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TEAM RATINGS" sheetId="7" r:id="rId11"/>
    <sheet state="visible" name="DATA QUALITY" sheetId="8" r:id="rId12"/>
    <sheet state="visible" name="SETTINGS" sheetId="9" r:id="rId13"/>
    <sheet state="visible" name="IMPORT SCHEDULE" sheetId="10" r:id="rId14"/>
    <sheet state="visible" name="IMPORT STATS" sheetId="11" r:id="rId15"/>
    <sheet state="hidden" name="MAP" sheetId="12" r:id="rId16"/>
    <sheet state="hidden" name="CLEAN" sheetId="13" r:id="rId17"/>
    <sheet state="hidden" name="CALC" sheetId="14" r:id="rId18"/>
    <sheet state="hidden" name="LISTS" sheetId="15" r:id="rId19"/>
    <sheet state="hidden" name="PRESEASON" sheetId="16" r:id="rId20"/>
    <sheet state="hidden" name="HISTORY 2025" sheetId="17" r:id="rId21"/>
    <sheet state="hidden" name="BACKTEST" sheetId="18" r:id="rId22"/>
    <sheet state="hidden" name="AUDIT" sheetId="19" r:id="rId23"/>
    <sheet state="hidden" name="DICTIONARY" sheetId="20" r:id="rId24"/>
    <sheet state="hidden" name="CHANGELOG" sheetId="21" r:id="rId25"/>
  </sheets>
  <definedNames>
    <definedName name="PtsPerWin">SETTINGS!$B$39</definedName>
    <definedName name="RatingRange">SETTINGS!$B$36</definedName>
    <definedName name="CLOppP0c">CLEAN!$AM$3:$AM$722</definedName>
    <definedName name="AsOfDate">SETTINGS!$B$7</definedName>
    <definedName name="CalcGP">CALC!$B$2:$B$33</definedName>
    <definedName name="MinGamesTrust">SETTINGS!$B$19</definedName>
    <definedName name="RatEff">'TEAM RATINGS'!$J$5:$J$36</definedName>
    <definedName name="FavList">LISTS!$B$2:$B$34</definedName>
    <definedName name="MktGameID">'MARKET LINES'!$B$5:$B$304</definedName>
    <definedName name="CLGameID">CLEAN!$D$3:$D$722</definedName>
    <definedName name="AdjGameID">ADJUSTMENTS!$A$5:$A$104</definedName>
    <definedName name="QBSpreadEff">'QB VALUES'!$G$5:$G$36</definedName>
    <definedName name="DQStatus">'DATA QUALITY'!$P$12:$P$311</definedName>
    <definedName name="WinTotalsMode">SETTINGS!$B$40</definedName>
    <definedName name="CLPerf">CLEAN!$AE$3:$AE$722</definedName>
    <definedName name="BetTot">SETTINGS!$B$29</definedName>
    <definedName name="CLOppP1cPv">CLEAN!$AQ$3:$AQ$722</definedName>
    <definedName name="CalcOffPl">CALC!$AG$2:$AG$33</definedName>
    <definedName name="AdjTeam">ADJUSTMENTS!$B$5:$B$104</definedName>
    <definedName name="CLPlays">CLEAN!$Q$3:$Q$722</definedName>
    <definedName name="HFAexcTeam">SETTINGS!$A$65:$A$70</definedName>
    <definedName name="MktCheck">'MARKET LINES'!$R$5:$R$304</definedName>
    <definedName name="CalcGoverned">CALC!$AD$2:$AD$33</definedName>
    <definedName name="PriorEff">PRESEASON!$S$5:$S$36</definedName>
    <definedName name="QBStaleDays">SETTINGS!$B$68</definedName>
    <definedName name="DQGameID">'DATA QUALITY'!$B$12:$B$311</definedName>
    <definedName name="CLOpp">CLEAN!$K$3:$K$722</definedName>
    <definedName name="QBActive">'QB VALUES'!$D$5:$D$36</definedName>
    <definedName name="BlendWts">SETTINGS!$B$44:$B$61</definedName>
    <definedName name="WEpa">SETTINGS!$B$12</definedName>
    <definedName name="MktHomeSpread">'MARKET LINES'!$Q$5:$Q$304</definedName>
    <definedName name="LeaguePlays">CALC!$B$37</definedName>
    <definedName name="TotRegress">SETTINGS!$B$21</definedName>
    <definedName name="QBTotEff">'QB VALUES'!$H$5:$H$36</definedName>
    <definedName name="CLOppP2c">CLEAN!$AO$3:$AO$722</definedName>
    <definedName name="AdjSpread">ADJUSTMENTS!$E$5:$E$104</definedName>
    <definedName name="AdjCap">SETTINGS!$B$34</definedName>
    <definedName name="CLOppP1c">CLEAN!$AN$3:$AN$722</definedName>
    <definedName name="CLTeam">CLEAN!$I$3:$I$722</definedName>
    <definedName name="NeutralHFA">SETTINGS!$B$10</definedName>
    <definedName name="MoveCap">SETTINGS!$B$17</definedName>
    <definedName name="MktTotal">'MARKET LINES'!$I$5:$I$304</definedName>
    <definedName name="CalcDefAdj">CALC!$AN$2:$AN$33</definedName>
    <definedName name="RestCapPts">SETTINGS!$B$16</definedName>
    <definedName name="CLUseCur">CLEAN!$AF$3:$AF$722</definedName>
    <definedName name="StatsZone">'IMPORT STATS'!$A$6:$EC$625</definedName>
    <definedName name="TotRecency">SETTINGS!$B$22</definedName>
    <definedName name="DstPts">CALC!$B$38</definedName>
    <definedName name="CLWeek">CLEAN!$G$3:$G$722</definedName>
    <definedName name="CLOffPts">CLEAN!$V$3:$V$722</definedName>
    <definedName name="MinGamesEnh">SETTINGS!$B$18</definedName>
    <definedName name="DQWeek">'DATA QUALITY'!$C$12:$C$311</definedName>
    <definedName name="AdjTot">ADJUSTMENTS!$F$5:$F$104</definedName>
    <definedName name="MktStale">'MARKET LINES'!$S$5:$S$304</definedName>
    <definedName name="Teams">LISTS!$A$2:$A$33</definedName>
    <definedName name="StatsKey">'IMPORT STATS'!$EE$6:$EE$625</definedName>
    <definedName name="BlendWeeks">SETTINGS!$A$44:$A$61</definedName>
    <definedName name="QBTotFactor">SETTINGS!$B$24</definedName>
    <definedName name="EngWeek">ENGINE!$C$5:$C$304</definedName>
    <definedName name="CLWgtPrev">CLEAN!$AI$3:$AI$722</definedName>
    <definedName name="CLGameType">CLEAN!$F$3:$F$722</definedName>
    <definedName name="InvATS">SETTINGS!$B$27</definedName>
    <definedName name="RatTeams">'TEAM RATINGS'!$A$5:$A$36</definedName>
    <definedName name="CLUsePrev">CLEAN!$AH$3:$AH$722</definedName>
    <definedName name="PriorKey">PRESEASON!$C$5:$C$36</definedName>
    <definedName name="EngGameID">ENGINE!$B$5:$B$304</definedName>
    <definedName name="SchedSeq">'IMPORT SCHEDULE'!$AW$6:$AW$562</definedName>
    <definedName name="QBTeams">'QB VALUES'!$A$5:$A$36</definedName>
    <definedName name="PriorRegress">SETTINGS!$B$38</definedName>
    <definedName name="CalcTeams">CALC!$A$2:$A$33</definedName>
    <definedName name="CalcDefPl">CALC!$AH$2:$AH$33</definedName>
    <definedName name="CLPlayed">CLEAN!$AU$3:$AU$722</definedName>
    <definedName name="DstOverride">SETTINGS!$B$23</definedName>
    <definedName name="EngHome">ENGINE!$F$5:$F$304</definedName>
    <definedName name="AdjActive">ADJUSTMENTS!$M$5:$M$104</definedName>
    <definedName name="EnableBetLabels">SETTINGS!$B$67</definedName>
    <definedName name="StaleDays">SETTINGS!$B$33</definedName>
    <definedName name="QBConf">'QB VALUES'!$I$5:$I$36</definedName>
    <definedName name="LeanTot">SETTINGS!$B$31</definedName>
    <definedName name="RestPerDay">SETTINGS!$B$15</definedName>
    <definedName name="CalcMoveFlag">CALC!$AE$2:$AE$33</definedName>
    <definedName name="CLOffPPP">CLEAN!$AK$3:$AK$722</definedName>
    <definedName name="RecencyMult">SETTINGS!$B$13</definedName>
    <definedName name="RatGP">'TEAM RATINGS'!$B$5:$B$36</definedName>
    <definedName name="CalcEpaGP">CALC!$C$2:$C$33</definedName>
    <definedName name="CLOppOffPPP">CLEAN!$AT$3:$AT$722</definedName>
    <definedName name="CLEpaOK">CLEAN!$AD$3:$AD$722</definedName>
    <definedName name="CLSeason">CLEAN!$E$3:$E$722</definedName>
    <definedName name="RatMode">'TEAM RATINGS'!$C$5:$C$36</definedName>
    <definedName name="CLOppP2cPv">CLEAN!$AR$3:$AR$722</definedName>
    <definedName name="QBDeltaCap">SETTINGS!$B$35</definedName>
    <definedName name="HFAexcVal">SETTINGS!$B$65:$B$70</definedName>
    <definedName name="CLOppDefPPP">CLEAN!$AS$3:$AS$722</definedName>
    <definedName name="HFA_Base">SETTINGS!$B$9</definedName>
    <definedName name="LeanATS">SETTINGS!$B$28</definedName>
    <definedName name="CurrentSeason">SETTINGS!$B$5</definedName>
    <definedName name="EngDash">ENGINE!$I$5:$I$304</definedName>
    <definedName name="MktLineDate">'MARKET LINES'!$O$5:$O$304</definedName>
    <definedName name="LeaguePPP">CALC!$B$36</definedName>
    <definedName name="CLUnmatched">CLEAN!$AV$3:$AV$722</definedName>
    <definedName name="EngAway">ENGINE!$E$5:$E$304</definedName>
    <definedName name="CurrentWeek">SETTINGS!$B$6</definedName>
    <definedName name="CLDefPPP">CLEAN!$AL$3:$AL$722</definedName>
    <definedName name="CLWgtCur">CLEAN!$AG$3:$AG$722</definedName>
    <definedName name="InvTot">SETTINGS!$B$30</definedName>
    <definedName name="CLDefStTD">CLEAN!$U$3:$U$722</definedName>
    <definedName name="CLTotWgt">CLEAN!$AJ$3:$AJ$722</definedName>
    <definedName name="CalcOffAdj">CALC!$AM$2:$AM$33</definedName>
    <definedName name="CLOppP0cPv">CLEAN!$AP$3:$AP$722</definedName>
    <definedName name="SchedZone">'IMPORT SCHEDULE'!$A$6:$AT$562</definedName>
    <definedName name="BetATS">SETTINGS!$B$26</definedName>
    <definedName name="CLOppPlays">CLEAN!$X$3:$X$722</definedName>
    <definedName name="MarginCap">SETTINGS!$B$11</definedName>
    <definedName name="RecencyWin">SETTINGS!$B$14</definedName>
    <definedName name="QBFlag">'QB VALUES'!$N$5:$N$36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'TEAM RATINGS'!$A$4:$Q$36</definedName>
    <definedName hidden="1" localSheetId="7" name="_xlnm._FilterDatabase">'DATA QUALITY'!$A$11:$P$311</definedName>
    <definedName hidden="1" localSheetId="16" name="_xlnm._FilterDatabase">'HISTORY 2025'!$A$4:$P$212</definedName>
  </definedNames>
  <calcPr/>
</workbook>
</file>

<file path=xl/sharedStrings.xml><?xml version="1.0" encoding="utf-8"?>
<sst xmlns="http://schemas.openxmlformats.org/spreadsheetml/2006/main" count="14841" uniqueCount="2693">
  <si>
    <t>TO THE WINDOW — NFL POWER RATINGS 2026 (v1.1)</t>
  </si>
  <si>
    <t>Google Sheets-first · nflverse data in, opponent-adjusted ratings out, Novig lines for edges · no picks sold here, just process</t>
  </si>
  <si>
    <t>WEEKLY ROUTINE (25-40 min). Status lights update live.</t>
  </si>
  <si>
    <t>Step</t>
  </si>
  <si>
    <t>What to do</t>
  </si>
  <si>
    <t>Status</t>
  </si>
  <si>
    <t>1</t>
  </si>
  <si>
    <t>Set SETTINGS → Current week + As-of date</t>
  </si>
  <si>
    <t>2</t>
  </si>
  <si>
    <t>Download the two nflverse files (links in DICTIONARY tab)</t>
  </si>
  <si>
    <t>—</t>
  </si>
  <si>
    <t>3</t>
  </si>
  <si>
    <t>Paste stats_team_week CSV into IMPORT STATS at A6 (whole file, replaces old)</t>
  </si>
  <si>
    <t>4</t>
  </si>
  <si>
    <t>Paste games.csv rows for your season(s) into IMPORT SCHEDULE at A6</t>
  </si>
  <si>
    <t>5</t>
  </si>
  <si>
    <t>Confirm QB VALUES — active starter, delta, confidence, "Reviewed for season" = current season, fresh update date</t>
  </si>
  <si>
    <t>6</t>
  </si>
  <si>
    <t>Enter Novig lines in MARKET LINES (favorite + positive spread + total + line date)</t>
  </si>
  <si>
    <t>7</t>
  </si>
  <si>
    <t>Log injuries/situational spots in ADJUSTMENTS (explanation required)</t>
  </si>
  <si>
    <t>8</t>
  </si>
  <si>
    <t>Clear DATA QUALITY, then work the DASHBOARD by Review Priority</t>
  </si>
  <si>
    <t>SIGN CONVENTION — worked example (this trips everyone once)</t>
  </si>
  <si>
    <t>• Market: Home team favored by 3 → you enter Favorite=HOME, Spread=3 → sheet stores market home spread = -3.0</t>
  </si>
  <si>
    <t>• Model: FinalMargin = +5.0 (model says home wins by 5) → model spread displays HOME -5.0</t>
  </si>
  <si>
    <t>• SpreadEdge = FinalMargin + market home spread = 5.0 + (-3.0) = +2.0 → positive = value on HOME at -3.0</t>
  </si>
  <si>
    <t>• If FinalMargin were +1.0: edge = 1.0 + (-3.0) = -2.0 → negative = value on AWAY at +3.0</t>
  </si>
  <si>
    <t>TAB MAP</t>
  </si>
  <si>
    <t>DASHBOARD</t>
  </si>
  <si>
    <t>This week at a glance, sorted by your attention priority</t>
  </si>
  <si>
    <t>ENGINE</t>
  </si>
  <si>
    <t>Every game, every bridge step from ratings to final number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</si>
  <si>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</si>
  <si>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</si>
  <si>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</si>
  <si>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</si>
  <si>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QB VALUES</t>
  </si>
  <si>
    <t>Baseline-delta QB system — only deltas move projections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</si>
  <si>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</si>
  <si>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</si>
  <si>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</si>
  <si>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</si>
  <si>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</si>
  <si>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</si>
  <si>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</si>
  <si>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</si>
  <si>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</si>
  <si>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</si>
  <si>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</si>
  <si>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</si>
  <si>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</si>
  <si>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</si>
  <si>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WEEKLY DASHBOARD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</si>
  <si>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</si>
  <si>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Game</t>
  </si>
  <si>
    <t>Date</t>
  </si>
  <si>
    <t>Market spread</t>
  </si>
  <si>
    <t>Model spread</t>
  </si>
  <si>
    <t>Edge (side @ market)</t>
  </si>
  <si>
    <t>ATS REC</t>
  </si>
  <si>
    <t>Market total</t>
  </si>
  <si>
    <t>Model total</t>
  </si>
  <si>
    <t>O/U edge</t>
  </si>
  <si>
    <t>TOTAL REC</t>
  </si>
  <si>
    <t>Total trigger</t>
  </si>
  <si>
    <t>DQ</t>
  </si>
  <si>
    <t>Priority</t>
  </si>
  <si>
    <t>Rank</t>
  </si>
  <si>
    <t>Mode (A/H)</t>
  </si>
  <si>
    <t>Notes</t>
  </si>
  <si>
    <t>MATCHUP ENGINE — full bridge from neutral-field rating difference to final number, one row per game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</si>
  <si>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</si>
  <si>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Seq</t>
  </si>
  <si>
    <t>GameID</t>
  </si>
  <si>
    <t>Wk</t>
  </si>
  <si>
    <t>Away</t>
  </si>
  <si>
    <t>Home</t>
  </si>
  <si>
    <t>Neutral</t>
  </si>
  <si>
    <t>Roof</t>
  </si>
  <si>
    <t>DashOrd</t>
  </si>
  <si>
    <t>AwayEff</t>
  </si>
  <si>
    <t>HomeEff</t>
  </si>
  <si>
    <t>NeutralDiff</t>
  </si>
  <si>
    <t>HFA</t>
  </si>
  <si>
    <t>QBadj</t>
  </si>
  <si>
    <t>RestAdj</t>
  </si>
  <si>
    <t>ManualAdj</t>
  </si>
  <si>
    <t>BaseMargin</t>
  </si>
  <si>
    <t>OverrideMargin</t>
  </si>
  <si>
    <t>FinalMargin</t>
  </si>
  <si>
    <t>ModelSpread</t>
  </si>
  <si>
    <t>MktHomeSpr</t>
  </si>
  <si>
    <t>SpreadEdge</t>
  </si>
  <si>
    <t>AbsEdge</t>
  </si>
  <si>
    <t>SupportedSide</t>
  </si>
  <si>
    <t>ATSconf</t>
  </si>
  <si>
    <t>ATS_REC</t>
  </si>
  <si>
    <t>AwayExpPts</t>
  </si>
  <si>
    <t>HomeExpPts</t>
  </si>
  <si>
    <t>QBTotAdj</t>
  </si>
  <si>
    <t>ManualTotAdj</t>
  </si>
  <si>
    <t>BaseTotal</t>
  </si>
  <si>
    <t>OverrideTotal</t>
  </si>
  <si>
    <t>FinalTotal</t>
  </si>
  <si>
    <t>MktTotal</t>
  </si>
  <si>
    <t>TotalEdge</t>
  </si>
  <si>
    <t>AbsTotEdge</t>
  </si>
  <si>
    <t>Direction</t>
  </si>
  <si>
    <t>Totconf</t>
  </si>
  <si>
    <t>TOTAL_REC</t>
  </si>
  <si>
    <t>TotalTrigger</t>
  </si>
  <si>
    <t>QBUnc</t>
  </si>
  <si>
    <t>OpsStatus</t>
  </si>
  <si>
    <t>OverrideFlag</t>
  </si>
  <si>
    <t>ReviewPriority</t>
  </si>
  <si>
    <t>RPrank</t>
  </si>
  <si>
    <t>MARKET LINES — Novig is your primary entry; OddsLogic columns are reference-only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</si>
  <si>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</si>
  <si>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Week</t>
  </si>
  <si>
    <t>Favorite (dropdown)</t>
  </si>
  <si>
    <t>Spread (+)</t>
  </si>
  <si>
    <t>Total</t>
  </si>
  <si>
    <t>Open spread</t>
  </si>
  <si>
    <t>Open total</t>
  </si>
  <si>
    <t>OddsLogic spread (ref)</t>
  </si>
  <si>
    <t>OddsLogic total (ref)</t>
  </si>
  <si>
    <t>Source</t>
  </si>
  <si>
    <t>Line date</t>
  </si>
  <si>
    <t>Market home spread (auto)</t>
  </si>
  <si>
    <t>Input check</t>
  </si>
  <si>
    <t>Stale?</t>
  </si>
  <si>
    <t>ATL</t>
  </si>
  <si>
    <t>NFLVERSE-HIST (sample)</t>
  </si>
  <si>
    <t>2026-01-01</t>
  </si>
  <si>
    <t>SAMPLE — historical reference line, replace with Novig</t>
  </si>
  <si>
    <t>BUF</t>
  </si>
  <si>
    <t>CHI</t>
  </si>
  <si>
    <t>CIN</t>
  </si>
  <si>
    <t>DEN</t>
  </si>
  <si>
    <t>HOU</t>
  </si>
  <si>
    <t>JAX</t>
  </si>
  <si>
    <t>LA</t>
  </si>
  <si>
    <t>KC</t>
  </si>
  <si>
    <t>MIN</t>
  </si>
  <si>
    <t>NE</t>
  </si>
  <si>
    <t>DAL</t>
  </si>
  <si>
    <t>PHI</t>
  </si>
  <si>
    <t>BAL</t>
  </si>
  <si>
    <t>SEA</t>
  </si>
  <si>
    <t>TB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</si>
  <si>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</si>
  <si>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</si>
  <si>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</si>
  <si>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</si>
  <si>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</si>
  <si>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</si>
  <si>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</si>
  <si>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</si>
  <si>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</si>
  <si>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</si>
  <si>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</si>
  <si>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</si>
  <si>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</si>
  <si>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</si>
  <si>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</si>
  <si>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</si>
  <si>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</si>
  <si>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</si>
  <si>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</si>
  <si>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</si>
  <si>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</si>
  <si>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</si>
  <si>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</si>
  <si>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</si>
  <si>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</si>
  <si>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</si>
  <si>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</si>
  <si>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</si>
  <si>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</si>
  <si>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Low</t>
  </si>
  <si>
    <t>ESPN roster preview: Brissett expected; Minshew/Beck behind — TTW scale</t>
  </si>
  <si>
    <t>Tua Tagovailoa</t>
  </si>
  <si>
    <t>Falcons camp: Tua/Penix battle; Tua slight projection — TTW scale</t>
  </si>
  <si>
    <t>Lamar Jackson</t>
  </si>
  <si>
    <t>High</t>
  </si>
  <si>
    <t>ESPN exec/scout 2026 QB survey — TTW scale</t>
  </si>
  <si>
    <t>Josh Allen</t>
  </si>
  <si>
    <t>ESPN exec/scout 2026 QB survey (#1) — TTW scale</t>
  </si>
  <si>
    <t>CAR</t>
  </si>
  <si>
    <t>Bryce Young</t>
  </si>
  <si>
    <t>PFF/WCG 2026 QB ranking — TTW scale</t>
  </si>
  <si>
    <t>Caleb Williams</t>
  </si>
  <si>
    <t>ESPN exec/scout 2026 QB survey (#10) — TTW scale</t>
  </si>
  <si>
    <t>Joe Burrow</t>
  </si>
  <si>
    <t>ESPN exec/scout 2026 QB survey (top five) — TTW scale</t>
  </si>
  <si>
    <t>CLE</t>
  </si>
  <si>
    <t>Deshaun Watson</t>
  </si>
  <si>
    <t>Browns camp: Watson/Sanders open; Watson current frontrunner — TTW scale</t>
  </si>
  <si>
    <t>Dak Prescott</t>
  </si>
  <si>
    <t>ESPN/PFF 2026 consensus — TTW scale</t>
  </si>
  <si>
    <t>Bo Nix</t>
  </si>
  <si>
    <t>DET</t>
  </si>
  <si>
    <t>Jared Goff</t>
  </si>
  <si>
    <t>ESPN exec/scout 2026 QB survey (#9) — TTW scale</t>
  </si>
  <si>
    <t>GB</t>
  </si>
  <si>
    <t>Jordan Love</t>
  </si>
  <si>
    <t>ESPN honorable mention + PFF 2026 — TTW scale</t>
  </si>
  <si>
    <t>C.J. Stroud</t>
  </si>
  <si>
    <t>PFF 2026 QB ranking (#17) — TTW scale</t>
  </si>
  <si>
    <t>IND</t>
  </si>
  <si>
    <t>Daniel Jones</t>
  </si>
  <si>
    <t>Medium</t>
  </si>
  <si>
    <t>PFF/WCG 2026 ranking; Achilles recovery — TTW scale</t>
  </si>
  <si>
    <t>Trevor Lawrence</t>
  </si>
  <si>
    <t>PFF 2026 QB ranking (#11) — TTW scale</t>
  </si>
  <si>
    <t>Patrick Mahomes</t>
  </si>
  <si>
    <t>ESPN exec/scout 2026 QB survey (#2) — TTW scale</t>
  </si>
  <si>
    <t>Matthew Stafford</t>
  </si>
  <si>
    <t>2025 NFL MVP + ESPN 2026 survey (#3) — TTW scale</t>
  </si>
  <si>
    <t>LAC</t>
  </si>
  <si>
    <t>Justin Herbert</t>
  </si>
  <si>
    <t>LV</t>
  </si>
  <si>
    <t>Fernando Mendoza</t>
  </si>
  <si>
    <t>No. 1 pick; Cousins mentor/competition — TTW scale</t>
  </si>
  <si>
    <t>MIA</t>
  </si>
  <si>
    <t>Malik Willis</t>
  </si>
  <si>
    <t>Dolphins camp: Willis expected starter — TTW scale</t>
  </si>
  <si>
    <t>Kyler Murray</t>
  </si>
  <si>
    <t>Vikings camp: Murray/McCarthy battle; Murray favorite — TTW scale</t>
  </si>
  <si>
    <t>Drake Maye</t>
  </si>
  <si>
    <t>2025 MVP runner-up + ESPN 2026 survey — TTW scale</t>
  </si>
  <si>
    <t>NO</t>
  </si>
  <si>
    <t>Tyler Shough</t>
  </si>
  <si>
    <t>Saints camp: Shough returning starter — TTW scale</t>
  </si>
  <si>
    <t>NYG</t>
  </si>
  <si>
    <t>Jaxson Dart</t>
  </si>
  <si>
    <t>Giants camp: Dart returning starter — TTW scale</t>
  </si>
  <si>
    <t>NYJ</t>
  </si>
  <si>
    <t>Geno Smith</t>
  </si>
  <si>
    <t>Jets 2026: Geno expected starter — TTW scale</t>
  </si>
  <si>
    <t>Jalen Hurts</t>
  </si>
  <si>
    <t>PIT</t>
  </si>
  <si>
    <t>Aaron Rodgers</t>
  </si>
  <si>
    <t>Steelers 2026: Rodgers starter/final season — TTW scale</t>
  </si>
  <si>
    <t>Sam Darnold</t>
  </si>
  <si>
    <t>SF</t>
  </si>
  <si>
    <t>Brock Purdy</t>
  </si>
  <si>
    <t>Baker Mayfield</t>
  </si>
  <si>
    <t>PFF/WCG 2026 QB ranking (#17 range) — TTW scale</t>
  </si>
  <si>
    <t>TEN</t>
  </si>
  <si>
    <t>Cam Ward</t>
  </si>
  <si>
    <t>Titans 2026: Ward returning starter — TTW scale</t>
  </si>
  <si>
    <t>WAS</t>
  </si>
  <si>
    <t>Jayden Daniels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</si>
  <si>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</si>
  <si>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</si>
  <si>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</si>
  <si>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</si>
  <si>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</si>
  <si>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</si>
  <si>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</si>
  <si>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</si>
  <si>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</si>
  <si>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</si>
  <si>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</si>
  <si>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</si>
  <si>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</si>
  <si>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</si>
  <si>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</si>
  <si>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</si>
  <si>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</si>
  <si>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</si>
  <si>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</si>
  <si>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</si>
  <si>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</si>
  <si>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</si>
  <si>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</si>
  <si>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</si>
  <si>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</si>
  <si>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</si>
  <si>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</si>
  <si>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</si>
  <si>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</si>
  <si>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</si>
  <si>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</si>
  <si>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</si>
  <si>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</si>
  <si>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</si>
  <si>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</si>
  <si>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</si>
  <si>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</si>
  <si>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</si>
  <si>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</si>
  <si>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</si>
  <si>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</si>
  <si>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</si>
  <si>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</si>
  <si>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</si>
  <si>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</si>
  <si>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</si>
  <si>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</si>
  <si>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</si>
  <si>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</si>
  <si>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</si>
  <si>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</si>
  <si>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</si>
  <si>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</si>
  <si>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</si>
  <si>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</si>
  <si>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</si>
  <si>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</si>
  <si>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</si>
  <si>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</si>
  <si>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</si>
  <si>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</si>
  <si>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</si>
  <si>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</si>
  <si>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</si>
  <si>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</si>
  <si>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</si>
  <si>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</si>
  <si>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</si>
  <si>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</si>
  <si>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</si>
  <si>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</si>
  <si>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</si>
  <si>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</si>
  <si>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</si>
  <si>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</si>
  <si>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</si>
  <si>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</si>
  <si>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</si>
  <si>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</si>
  <si>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</si>
  <si>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</si>
  <si>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3.0+ edges display STRONG INVESTIGATE)</t>
  </si>
  <si>
    <t>N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</si>
  <si>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</si>
  <si>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</si>
  <si>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</si>
  <si>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</si>
  <si>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</si>
  <si>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</si>
  <si>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</si>
  <si>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</si>
  <si>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</si>
  <si>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</si>
  <si>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</si>
  <si>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</si>
  <si>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</si>
  <si>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</si>
  <si>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</si>
  <si>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</si>
  <si>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</si>
  <si>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</si>
  <si>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</si>
  <si>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</si>
  <si>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</si>
  <si>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</si>
  <si>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</si>
  <si>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</si>
  <si>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</si>
  <si>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</si>
  <si>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</si>
  <si>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</si>
  <si>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</si>
  <si>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</si>
  <si>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</si>
  <si>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</si>
  <si>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</si>
  <si>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</si>
  <si>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</si>
  <si>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</si>
  <si>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</si>
  <si>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</si>
  <si>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</si>
  <si>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</si>
  <si>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</si>
  <si>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</si>
  <si>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</si>
  <si>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</si>
  <si>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</si>
  <si>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</si>
  <si>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</si>
  <si>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</si>
  <si>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</si>
  <si>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</si>
  <si>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</si>
  <si>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</si>
  <si>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</si>
  <si>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</si>
  <si>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</si>
  <si>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</si>
  <si>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</si>
  <si>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</si>
  <si>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</si>
  <si>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</si>
  <si>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</si>
  <si>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</si>
  <si>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</si>
  <si>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</si>
  <si>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</si>
  <si>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</si>
  <si>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</si>
  <si>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</si>
  <si>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</si>
  <si>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</si>
  <si>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</si>
  <si>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</si>
  <si>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</si>
  <si>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</si>
  <si>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</si>
  <si>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</si>
  <si>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</si>
  <si>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</si>
  <si>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</si>
  <si>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</si>
  <si>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</si>
  <si>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</si>
  <si>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</si>
  <si>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</si>
  <si>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</si>
  <si>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</si>
  <si>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</si>
  <si>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</si>
  <si>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</si>
  <si>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</si>
  <si>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</si>
  <si>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</si>
  <si>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</si>
  <si>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</si>
  <si>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</si>
  <si>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</si>
  <si>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</si>
  <si>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</si>
  <si>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</si>
  <si>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</si>
  <si>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</si>
  <si>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</si>
  <si>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</si>
  <si>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</si>
  <si>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</si>
  <si>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</si>
  <si>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</si>
  <si>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</si>
  <si>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</si>
  <si>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</si>
  <si>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</si>
  <si>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</si>
  <si>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</si>
  <si>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</si>
  <si>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</si>
  <si>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</si>
  <si>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</si>
  <si>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</si>
  <si>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</si>
  <si>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</si>
  <si>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</si>
  <si>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</si>
  <si>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</si>
  <si>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</si>
  <si>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</si>
  <si>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</si>
  <si>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</si>
  <si>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</si>
  <si>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</si>
  <si>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</si>
  <si>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</si>
  <si>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</si>
  <si>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</si>
  <si>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</si>
  <si>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</si>
  <si>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</si>
  <si>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</si>
  <si>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</si>
  <si>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</si>
  <si>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</si>
  <si>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</si>
  <si>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</si>
  <si>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</si>
  <si>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</si>
  <si>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</si>
  <si>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</si>
  <si>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</si>
  <si>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</si>
  <si>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</si>
  <si>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</si>
  <si>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</si>
  <si>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</si>
  <si>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</si>
  <si>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</si>
  <si>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</si>
  <si>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</si>
  <si>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</si>
  <si>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</si>
  <si>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</si>
  <si>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</si>
  <si>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</si>
  <si>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</si>
  <si>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</si>
  <si>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</si>
  <si>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</si>
  <si>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</si>
  <si>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</si>
  <si>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</si>
  <si>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</si>
  <si>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</si>
  <si>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</si>
  <si>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</si>
  <si>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</si>
  <si>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</si>
  <si>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</si>
  <si>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</si>
  <si>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</si>
  <si>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</si>
  <si>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</si>
  <si>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</si>
  <si>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</si>
  <si>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</si>
  <si>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</si>
  <si>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</si>
  <si>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</si>
  <si>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</si>
  <si>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</si>
  <si>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</si>
  <si>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</si>
  <si>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</si>
  <si>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</si>
  <si>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</si>
  <si>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</si>
  <si>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</si>
  <si>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</si>
  <si>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</si>
  <si>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</si>
  <si>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</si>
  <si>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</si>
  <si>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</si>
  <si>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</si>
  <si>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</si>
  <si>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</si>
  <si>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</si>
  <si>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</si>
  <si>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</si>
  <si>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</si>
  <si>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</si>
  <si>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</si>
  <si>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</si>
  <si>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</si>
  <si>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</si>
  <si>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</si>
  <si>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</si>
  <si>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</si>
  <si>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</si>
  <si>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</si>
  <si>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</si>
  <si>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</si>
  <si>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</si>
  <si>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</si>
  <si>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</si>
  <si>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</si>
  <si>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</si>
  <si>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</si>
  <si>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</si>
  <si>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</si>
  <si>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</si>
  <si>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</si>
  <si>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</si>
  <si>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</si>
  <si>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</si>
  <si>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</si>
  <si>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</si>
  <si>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</si>
  <si>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</si>
  <si>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</si>
  <si>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</si>
  <si>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</si>
  <si>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</si>
  <si>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</si>
  <si>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</si>
  <si>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</si>
  <si>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</si>
  <si>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</si>
  <si>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</si>
  <si>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</si>
  <si>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</si>
  <si>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</si>
  <si>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</si>
  <si>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</si>
  <si>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</si>
  <si>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</si>
  <si>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</si>
  <si>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</si>
  <si>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</si>
  <si>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</si>
  <si>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</si>
  <si>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</si>
  <si>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</si>
  <si>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</si>
  <si>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</si>
  <si>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</si>
  <si>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</si>
  <si>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</si>
  <si>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</si>
  <si>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</si>
  <si>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</si>
  <si>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</si>
  <si>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</si>
  <si>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</si>
  <si>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</si>
  <si>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</si>
  <si>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</si>
  <si>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</si>
  <si>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</si>
  <si>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</si>
  <si>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</si>
  <si>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</si>
  <si>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</si>
  <si>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</si>
  <si>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</si>
  <si>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</si>
  <si>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</si>
  <si>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</si>
  <si>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</si>
  <si>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</si>
  <si>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</si>
  <si>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</si>
  <si>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</si>
  <si>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</si>
  <si>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</si>
  <si>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</si>
  <si>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</si>
  <si>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</si>
  <si>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</si>
  <si>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</si>
  <si>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</si>
  <si>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</si>
  <si>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</si>
  <si>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</si>
  <si>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</si>
  <si>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</si>
  <si>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</si>
  <si>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</si>
  <si>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</si>
  <si>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</si>
  <si>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</si>
  <si>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</si>
  <si>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</si>
  <si>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</si>
  <si>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</si>
  <si>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</si>
  <si>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</si>
  <si>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</si>
  <si>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</si>
  <si>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</si>
  <si>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</si>
  <si>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</si>
  <si>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</si>
  <si>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</si>
  <si>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</si>
  <si>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</si>
  <si>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</si>
  <si>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</si>
  <si>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</si>
  <si>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</si>
  <si>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</si>
  <si>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</si>
  <si>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</si>
  <si>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</si>
  <si>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</si>
  <si>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</si>
  <si>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</si>
  <si>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</si>
  <si>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</si>
  <si>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</si>
  <si>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</si>
  <si>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</si>
  <si>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</si>
  <si>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</si>
  <si>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</si>
  <si>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</si>
  <si>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</si>
  <si>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</si>
  <si>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</si>
  <si>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</si>
  <si>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</si>
  <si>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</si>
  <si>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</si>
  <si>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</si>
  <si>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</si>
  <si>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</si>
  <si>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</si>
  <si>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</si>
  <si>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</si>
  <si>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</si>
  <si>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</si>
  <si>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</si>
  <si>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</si>
  <si>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</si>
  <si>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</si>
  <si>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</si>
  <si>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</si>
  <si>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</si>
  <si>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</si>
  <si>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</si>
  <si>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</si>
  <si>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</si>
  <si>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</si>
  <si>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</si>
  <si>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</si>
  <si>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</si>
  <si>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</si>
  <si>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</si>
  <si>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</si>
  <si>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</si>
  <si>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</si>
  <si>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</si>
  <si>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</si>
  <si>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</si>
  <si>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</si>
  <si>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</si>
  <si>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</si>
  <si>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</si>
  <si>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</si>
  <si>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</si>
  <si>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</si>
  <si>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</si>
  <si>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</si>
  <si>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</si>
  <si>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</si>
  <si>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</si>
  <si>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</si>
  <si>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</si>
  <si>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</si>
  <si>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</si>
  <si>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</si>
  <si>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</si>
  <si>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</si>
  <si>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</si>
  <si>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</si>
  <si>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</si>
  <si>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</si>
  <si>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</si>
  <si>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</si>
  <si>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</si>
  <si>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</si>
  <si>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</si>
  <si>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</si>
  <si>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</si>
  <si>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</si>
  <si>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</si>
  <si>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</si>
  <si>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</si>
  <si>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</si>
  <si>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</si>
  <si>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</si>
  <si>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</si>
  <si>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</si>
  <si>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</si>
  <si>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</si>
  <si>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</si>
  <si>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</si>
  <si>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</si>
  <si>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</si>
  <si>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</si>
  <si>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</si>
  <si>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</si>
  <si>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</si>
  <si>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</si>
  <si>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</si>
  <si>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</si>
  <si>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</si>
  <si>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</si>
  <si>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</si>
  <si>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</si>
  <si>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</si>
  <si>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</si>
  <si>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</si>
  <si>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</si>
  <si>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</si>
  <si>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</si>
  <si>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</si>
  <si>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</si>
  <si>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</si>
  <si>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</si>
  <si>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</si>
  <si>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</si>
  <si>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</si>
  <si>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</si>
  <si>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</si>
  <si>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</si>
  <si>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</si>
  <si>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</si>
  <si>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</si>
  <si>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</si>
  <si>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</si>
  <si>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</si>
  <si>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</si>
  <si>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</si>
  <si>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</si>
  <si>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</si>
  <si>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</si>
  <si>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</si>
  <si>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</si>
  <si>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</si>
  <si>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</si>
  <si>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</si>
  <si>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</si>
  <si>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</si>
  <si>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</si>
  <si>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</si>
  <si>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</si>
  <si>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</si>
  <si>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</si>
  <si>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</si>
  <si>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</si>
  <si>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</si>
  <si>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</si>
  <si>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</si>
  <si>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</si>
  <si>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</si>
  <si>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Kirk Cousins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</si>
  <si>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</si>
  <si>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</si>
  <si>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</si>
  <si>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</si>
  <si>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</si>
  <si>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</si>
  <si>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</si>
  <si>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</si>
  <si>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</si>
  <si>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</si>
  <si>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</si>
  <si>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</si>
  <si>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</si>
  <si>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</si>
  <si>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</si>
  <si>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</si>
  <si>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</si>
  <si>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</si>
  <si>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</si>
  <si>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</si>
  <si>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</si>
  <si>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</si>
  <si>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</si>
  <si>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</si>
  <si>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</si>
  <si>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</si>
  <si>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</si>
  <si>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</si>
  <si>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</si>
  <si>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</si>
  <si>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</si>
  <si>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</si>
  <si>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</si>
  <si>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</si>
  <si>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</si>
  <si>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</si>
  <si>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</si>
  <si>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</si>
  <si>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</si>
  <si>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</si>
  <si>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</si>
  <si>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</si>
  <si>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</si>
  <si>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</si>
  <si>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</si>
  <si>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</si>
  <si>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</si>
  <si>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</si>
  <si>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</si>
  <si>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</si>
  <si>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</si>
  <si>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</si>
  <si>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</si>
  <si>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</si>
  <si>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</si>
  <si>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</si>
  <si>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</si>
  <si>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</si>
  <si>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</si>
  <si>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</si>
  <si>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</si>
  <si>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</si>
  <si>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</si>
  <si>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</si>
  <si>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</si>
  <si>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</si>
  <si>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</si>
  <si>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</si>
  <si>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</si>
  <si>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</si>
  <si>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</si>
  <si>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</si>
  <si>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</si>
  <si>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</si>
  <si>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</si>
  <si>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</si>
  <si>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</si>
  <si>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</si>
  <si>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</si>
  <si>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</si>
  <si>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</si>
  <si>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</si>
  <si>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</si>
  <si>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</si>
  <si>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</si>
  <si>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</si>
  <si>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</si>
  <si>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</si>
  <si>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</si>
  <si>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</si>
  <si>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</si>
  <si>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</si>
  <si>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</si>
  <si>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</si>
  <si>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</si>
  <si>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</si>
  <si>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</si>
  <si>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</si>
  <si>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</si>
  <si>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</si>
  <si>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</si>
  <si>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</si>
  <si>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</si>
  <si>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</si>
  <si>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</si>
  <si>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</si>
  <si>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</si>
  <si>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</si>
  <si>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</si>
  <si>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</si>
  <si>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</si>
  <si>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</si>
  <si>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</si>
  <si>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</si>
  <si>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</si>
  <si>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</si>
  <si>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</si>
  <si>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</si>
  <si>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</si>
  <si>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</si>
  <si>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</si>
  <si>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</si>
  <si>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</si>
  <si>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</si>
  <si>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</si>
  <si>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</si>
  <si>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</si>
  <si>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</si>
  <si>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</si>
  <si>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</si>
  <si>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</si>
  <si>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</si>
  <si>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</si>
  <si>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</si>
  <si>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</si>
  <si>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</si>
  <si>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</si>
  <si>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</si>
  <si>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</si>
  <si>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</si>
  <si>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</si>
  <si>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</si>
  <si>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</si>
  <si>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</si>
  <si>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</si>
  <si>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</si>
  <si>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</si>
  <si>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</si>
  <si>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</si>
  <si>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</si>
  <si>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</si>
  <si>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</si>
  <si>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</si>
  <si>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</si>
  <si>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</si>
  <si>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</si>
  <si>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</si>
  <si>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</si>
  <si>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</si>
  <si>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</si>
  <si>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</si>
  <si>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</si>
  <si>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</si>
  <si>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</si>
  <si>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</si>
  <si>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</si>
  <si>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</si>
  <si>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</si>
  <si>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</si>
  <si>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</si>
  <si>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</si>
  <si>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</si>
  <si>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</si>
  <si>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</si>
  <si>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</si>
  <si>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</si>
  <si>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</si>
  <si>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</si>
  <si>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</si>
  <si>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</si>
  <si>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</si>
  <si>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</si>
  <si>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</si>
  <si>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</si>
  <si>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</si>
  <si>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</si>
  <si>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</si>
  <si>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</si>
  <si>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</si>
  <si>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</si>
  <si>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</si>
  <si>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</si>
  <si>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</si>
  <si>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</si>
  <si>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</si>
  <si>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</si>
  <si>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</si>
  <si>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</si>
  <si>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</si>
  <si>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</si>
  <si>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</si>
  <si>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</si>
  <si>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</si>
  <si>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</si>
  <si>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</si>
  <si>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</si>
  <si>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</si>
  <si>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</si>
  <si>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</si>
  <si>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</si>
  <si>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</si>
  <si>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</si>
  <si>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</si>
  <si>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</si>
  <si>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</si>
  <si>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</si>
  <si>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</si>
  <si>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</si>
  <si>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</si>
  <si>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</si>
  <si>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</si>
  <si>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</si>
  <si>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</si>
  <si>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</si>
  <si>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</si>
  <si>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</si>
  <si>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</si>
  <si>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</si>
  <si>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</si>
  <si>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</si>
  <si>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</si>
  <si>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</si>
  <si>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</si>
  <si>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</si>
  <si>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</si>
  <si>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</si>
  <si>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</si>
  <si>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</si>
  <si>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</si>
  <si>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</si>
  <si>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</si>
  <si>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</si>
  <si>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</si>
  <si>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</si>
  <si>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</si>
  <si>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</si>
  <si>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</si>
  <si>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</si>
  <si>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</si>
  <si>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</si>
  <si>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</si>
  <si>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</si>
  <si>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</si>
  <si>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</si>
  <si>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</si>
  <si>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</si>
  <si>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</si>
  <si>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</si>
  <si>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</si>
  <si>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</si>
  <si>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</si>
  <si>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</si>
  <si>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</si>
  <si>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</si>
  <si>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</si>
  <si>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</si>
  <si>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</si>
  <si>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</si>
  <si>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</si>
  <si>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</si>
  <si>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</si>
  <si>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</si>
  <si>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</si>
  <si>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</si>
  <si>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</si>
  <si>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</si>
  <si>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</si>
  <si>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</si>
  <si>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</si>
  <si>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</si>
  <si>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</si>
  <si>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</si>
  <si>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</si>
  <si>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</si>
  <si>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</si>
  <si>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</si>
  <si>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</si>
  <si>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</si>
  <si>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</si>
  <si>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</si>
  <si>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</si>
  <si>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</si>
  <si>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</si>
  <si>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</si>
  <si>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</si>
  <si>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</si>
  <si>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</si>
  <si>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</si>
  <si>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</si>
  <si>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</si>
  <si>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</si>
  <si>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</si>
  <si>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</si>
  <si>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</si>
  <si>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</si>
  <si>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</si>
  <si>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</si>
  <si>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</si>
  <si>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</si>
  <si>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</si>
  <si>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</si>
  <si>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</si>
  <si>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</si>
  <si>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</si>
  <si>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</si>
  <si>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</si>
  <si>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</si>
  <si>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</si>
  <si>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</si>
  <si>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</si>
  <si>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</si>
  <si>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</si>
  <si>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</si>
  <si>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</si>
  <si>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</si>
  <si>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</si>
  <si>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</si>
  <si>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</si>
  <si>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</si>
  <si>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</si>
  <si>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</si>
  <si>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</si>
  <si>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</si>
  <si>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</si>
  <si>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</si>
  <si>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</si>
  <si>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</si>
  <si>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</si>
  <si>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</si>
  <si>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</si>
  <si>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</si>
  <si>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</si>
  <si>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</si>
  <si>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</si>
  <si>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</si>
  <si>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</si>
  <si>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</si>
  <si>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</si>
  <si>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</si>
  <si>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</si>
  <si>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</si>
  <si>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</si>
  <si>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</si>
  <si>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</si>
  <si>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</si>
  <si>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</si>
  <si>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</si>
  <si>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</si>
  <si>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</si>
  <si>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</si>
  <si>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</si>
  <si>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</si>
  <si>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</si>
  <si>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</si>
  <si>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</si>
  <si>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</si>
  <si>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</si>
  <si>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</si>
  <si>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</si>
  <si>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</si>
  <si>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</si>
  <si>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</si>
  <si>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</si>
  <si>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</si>
  <si>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</si>
  <si>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</si>
  <si>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</si>
  <si>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</si>
  <si>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</si>
  <si>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</si>
  <si>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</si>
  <si>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</si>
  <si>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</si>
  <si>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</si>
  <si>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</si>
  <si>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</si>
  <si>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</si>
  <si>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</si>
  <si>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</si>
  <si>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</si>
  <si>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</si>
  <si>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</si>
  <si>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</si>
  <si>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</si>
  <si>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</si>
  <si>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</si>
  <si>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</si>
  <si>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</si>
  <si>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</si>
  <si>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</si>
  <si>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</si>
  <si>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</si>
  <si>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</si>
  <si>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</si>
  <si>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</si>
  <si>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</si>
  <si>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</si>
  <si>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</si>
  <si>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</si>
  <si>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</si>
  <si>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</si>
  <si>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</si>
  <si>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</si>
  <si>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</si>
  <si>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</si>
  <si>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</si>
  <si>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</si>
  <si>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</si>
  <si>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</si>
  <si>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</si>
  <si>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</si>
  <si>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</si>
  <si>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</si>
  <si>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</si>
  <si>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</si>
  <si>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</si>
  <si>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</si>
  <si>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</si>
  <si>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</si>
  <si>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</si>
  <si>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</si>
  <si>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</si>
  <si>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</si>
  <si>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</si>
  <si>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</si>
  <si>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</si>
  <si>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</si>
  <si>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</si>
  <si>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</si>
  <si>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</si>
  <si>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</si>
  <si>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</si>
  <si>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</si>
  <si>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</si>
  <si>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</si>
  <si>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</si>
  <si>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</si>
  <si>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</si>
  <si>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</si>
  <si>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</si>
  <si>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</si>
  <si>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</si>
  <si>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</si>
  <si>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</si>
  <si>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</si>
  <si>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</si>
  <si>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</si>
  <si>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</si>
  <si>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</si>
  <si>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</si>
  <si>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</si>
  <si>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</si>
  <si>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</si>
  <si>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</si>
  <si>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</si>
  <si>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</si>
  <si>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</si>
  <si>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</si>
  <si>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</si>
  <si>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</si>
  <si>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</si>
  <si>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</si>
  <si>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</si>
  <si>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</si>
  <si>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</si>
  <si>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</si>
  <si>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</si>
  <si>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</si>
  <si>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</si>
  <si>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</si>
  <si>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</si>
  <si>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</si>
  <si>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</si>
  <si>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</si>
  <si>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</si>
  <si>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</si>
  <si>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</si>
  <si>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</si>
  <si>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</si>
  <si>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</si>
  <si>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</si>
  <si>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</si>
  <si>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</si>
  <si>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</si>
  <si>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</si>
  <si>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</si>
  <si>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</si>
  <si>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</si>
  <si>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</si>
  <si>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</si>
  <si>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</si>
  <si>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</si>
  <si>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</si>
  <si>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</si>
  <si>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</si>
  <si>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</si>
  <si>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</si>
  <si>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</si>
  <si>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</si>
  <si>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</si>
  <si>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</si>
  <si>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</si>
  <si>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</si>
  <si>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</si>
  <si>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</si>
  <si>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</si>
  <si>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</si>
  <si>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</si>
  <si>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</si>
  <si>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</si>
  <si>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</si>
  <si>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</si>
  <si>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</si>
  <si>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</si>
  <si>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</si>
  <si>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</si>
  <si>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</si>
  <si>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</si>
  <si>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</si>
  <si>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</si>
  <si>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</si>
  <si>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</si>
  <si>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</si>
  <si>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</si>
  <si>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</si>
  <si>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</si>
  <si>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</si>
  <si>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</si>
  <si>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</si>
  <si>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</si>
  <si>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</si>
  <si>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</si>
  <si>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</si>
  <si>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</si>
  <si>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</si>
  <si>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</si>
  <si>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</si>
  <si>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</si>
  <si>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</si>
  <si>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</si>
  <si>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</si>
  <si>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</si>
  <si>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</si>
  <si>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</si>
  <si>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</si>
  <si>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</si>
  <si>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</si>
  <si>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</si>
  <si>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</si>
  <si>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</si>
  <si>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</si>
  <si>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</si>
  <si>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</si>
  <si>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</si>
  <si>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</si>
  <si>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</si>
  <si>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</si>
  <si>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</si>
  <si>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</si>
  <si>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</si>
  <si>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</si>
  <si>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</si>
  <si>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</si>
  <si>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</si>
  <si>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</si>
  <si>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</si>
  <si>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</si>
  <si>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</si>
  <si>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</si>
  <si>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</si>
  <si>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</si>
  <si>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</si>
  <si>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</si>
  <si>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</si>
  <si>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</si>
  <si>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</si>
  <si>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</si>
  <si>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</si>
  <si>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</si>
  <si>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</si>
  <si>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</si>
  <si>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</si>
  <si>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</si>
  <si>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</si>
  <si>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</si>
  <si>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</si>
  <si>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</si>
  <si>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</si>
  <si>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</si>
  <si>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</si>
  <si>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</si>
  <si>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</si>
  <si>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</si>
  <si>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</si>
  <si>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</si>
  <si>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</si>
  <si>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</si>
  <si>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</si>
  <si>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</si>
  <si>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</si>
  <si>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</si>
  <si>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</si>
  <si>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</si>
  <si>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</si>
  <si>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</si>
  <si>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</si>
  <si>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</si>
  <si>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</si>
  <si>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</si>
  <si>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</si>
  <si>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</si>
  <si>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</si>
  <si>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</si>
  <si>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</si>
  <si>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</si>
  <si>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</si>
  <si>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</si>
  <si>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</si>
  <si>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</si>
  <si>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</si>
  <si>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</si>
  <si>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</si>
  <si>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</si>
  <si>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</si>
  <si>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</si>
  <si>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</si>
  <si>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</si>
  <si>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</si>
  <si>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</si>
  <si>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</si>
  <si>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</si>
  <si>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</si>
  <si>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</si>
  <si>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</si>
  <si>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</si>
  <si>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</si>
  <si>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</si>
  <si>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</si>
  <si>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</si>
  <si>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</si>
  <si>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</si>
  <si>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</si>
  <si>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</si>
  <si>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</si>
  <si>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</si>
  <si>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</si>
  <si>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</si>
  <si>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</si>
  <si>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</si>
  <si>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</si>
  <si>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</si>
  <si>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</si>
  <si>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</si>
  <si>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</si>
  <si>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</si>
  <si>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</si>
  <si>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</si>
  <si>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</si>
  <si>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</si>
  <si>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</si>
  <si>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</si>
  <si>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</si>
  <si>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</si>
  <si>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</si>
  <si>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</si>
  <si>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</si>
  <si>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</si>
  <si>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</si>
  <si>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</si>
  <si>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</si>
  <si>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</si>
  <si>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</si>
  <si>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</si>
  <si>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</si>
  <si>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</si>
  <si>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</si>
  <si>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</si>
  <si>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</si>
  <si>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</si>
  <si>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</si>
  <si>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</si>
  <si>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</si>
  <si>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</si>
  <si>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</si>
  <si>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</si>
  <si>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</si>
  <si>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</si>
  <si>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</si>
  <si>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</si>
  <si>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</si>
  <si>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</si>
  <si>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</si>
  <si>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</si>
  <si>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</si>
  <si>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</si>
  <si>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</si>
  <si>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</si>
  <si>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</si>
  <si>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</si>
  <si>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</si>
  <si>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</si>
  <si>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</si>
  <si>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</si>
  <si>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</si>
  <si>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</si>
  <si>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</si>
  <si>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</si>
  <si>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</si>
  <si>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</si>
  <si>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</si>
  <si>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</si>
  <si>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</si>
  <si>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</si>
  <si>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</si>
  <si>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</si>
  <si>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</si>
  <si>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</si>
  <si>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</si>
  <si>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</si>
  <si>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</si>
  <si>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</si>
  <si>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</si>
  <si>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</si>
  <si>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</si>
  <si>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</si>
  <si>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</si>
  <si>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</si>
  <si>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</si>
  <si>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</si>
  <si>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</si>
  <si>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</si>
  <si>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</si>
  <si>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</si>
  <si>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</si>
  <si>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</si>
  <si>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</si>
  <si>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</si>
  <si>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</si>
  <si>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</si>
  <si>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</si>
  <si>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</si>
  <si>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</si>
  <si>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</si>
  <si>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</si>
  <si>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</si>
  <si>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</si>
  <si>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</si>
  <si>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</si>
  <si>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</si>
  <si>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</si>
  <si>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</si>
  <si>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</si>
  <si>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</si>
  <si>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</si>
  <si>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</si>
  <si>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</si>
  <si>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</si>
  <si>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</si>
  <si>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</si>
  <si>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</si>
  <si>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</si>
  <si>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</si>
  <si>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</si>
  <si>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</si>
  <si>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</si>
  <si>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</si>
  <si>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</si>
  <si>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</si>
  <si>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</si>
  <si>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</si>
  <si>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</si>
  <si>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</si>
  <si>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</si>
  <si>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</si>
  <si>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</si>
  <si>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</si>
  <si>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</si>
  <si>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</si>
  <si>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</si>
  <si>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</si>
  <si>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</si>
  <si>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</si>
  <si>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</si>
  <si>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</si>
  <si>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</si>
  <si>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</si>
  <si>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</si>
  <si>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</si>
  <si>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</si>
  <si>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</si>
  <si>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</si>
  <si>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</si>
  <si>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</si>
  <si>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</si>
  <si>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</si>
  <si>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</si>
  <si>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</si>
  <si>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</si>
  <si>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</si>
  <si>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</si>
  <si>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</si>
  <si>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</si>
  <si>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</si>
  <si>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</si>
  <si>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</si>
  <si>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</si>
  <si>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</si>
  <si>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</si>
  <si>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</si>
  <si>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</si>
  <si>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</si>
  <si>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</si>
  <si>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</si>
  <si>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</si>
  <si>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</si>
  <si>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</si>
  <si>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</si>
  <si>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</si>
  <si>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</si>
  <si>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</si>
  <si>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</si>
  <si>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</si>
  <si>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</si>
  <si>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</si>
  <si>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</si>
  <si>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</si>
  <si>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</si>
  <si>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</si>
  <si>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</si>
  <si>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</si>
  <si>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</si>
  <si>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</si>
  <si>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</si>
  <si>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</si>
  <si>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</si>
  <si>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</si>
  <si>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</si>
  <si>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</si>
  <si>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</si>
  <si>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</si>
  <si>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</si>
  <si>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</si>
  <si>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</si>
  <si>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</si>
  <si>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</si>
  <si>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</si>
  <si>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</si>
  <si>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</si>
  <si>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</si>
  <si>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</si>
  <si>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</si>
  <si>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</si>
  <si>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</si>
  <si>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</si>
  <si>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</si>
  <si>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</si>
  <si>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</si>
  <si>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</si>
  <si>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</si>
  <si>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</si>
  <si>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</si>
  <si>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</si>
  <si>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</si>
  <si>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</si>
  <si>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</si>
  <si>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</si>
  <si>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</si>
  <si>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</si>
  <si>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</si>
  <si>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</si>
  <si>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</si>
  <si>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</si>
  <si>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</si>
  <si>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</si>
  <si>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</si>
  <si>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</si>
  <si>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</si>
  <si>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</si>
  <si>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</si>
  <si>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</si>
  <si>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</si>
  <si>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</si>
  <si>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</si>
  <si>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</si>
  <si>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</si>
  <si>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</si>
  <si>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</si>
  <si>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</si>
  <si>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</si>
  <si>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</si>
  <si>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</si>
  <si>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</si>
  <si>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</si>
  <si>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</si>
  <si>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</si>
  <si>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</si>
  <si>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</si>
  <si>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</si>
  <si>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</si>
  <si>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</si>
  <si>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</si>
  <si>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</si>
  <si>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</si>
  <si>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</si>
  <si>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</si>
  <si>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</si>
  <si>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</si>
  <si>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</si>
  <si>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</si>
  <si>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</si>
  <si>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</si>
  <si>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</si>
  <si>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</si>
  <si>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</si>
  <si>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</si>
  <si>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</si>
  <si>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</si>
  <si>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</si>
  <si>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</si>
  <si>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</si>
  <si>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</si>
  <si>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</si>
  <si>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</si>
  <si>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</si>
  <si>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</si>
  <si>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</si>
  <si>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</si>
  <si>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</si>
  <si>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</si>
  <si>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</si>
  <si>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</si>
  <si>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</si>
  <si>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</si>
  <si>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</si>
  <si>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</si>
  <si>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</si>
  <si>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</si>
  <si>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</si>
  <si>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</si>
  <si>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</si>
  <si>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</si>
  <si>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</si>
  <si>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</si>
  <si>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</si>
  <si>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</si>
  <si>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</si>
  <si>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</si>
  <si>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</si>
  <si>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</si>
  <si>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</si>
  <si>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</si>
  <si>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</si>
  <si>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</si>
  <si>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</si>
  <si>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</si>
  <si>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</si>
  <si>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</si>
  <si>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</si>
  <si>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</si>
  <si>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</si>
  <si>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</si>
  <si>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</si>
  <si>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</si>
  <si>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</si>
  <si>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</si>
  <si>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</si>
  <si>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</si>
  <si>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</si>
  <si>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</si>
  <si>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</si>
  <si>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</si>
  <si>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</si>
  <si>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</si>
  <si>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</si>
  <si>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</si>
  <si>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</si>
  <si>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</si>
  <si>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</si>
  <si>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</si>
  <si>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</si>
  <si>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</si>
  <si>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</si>
  <si>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</si>
  <si>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</si>
  <si>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</si>
  <si>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</si>
  <si>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</si>
  <si>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</si>
  <si>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</si>
  <si>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</si>
  <si>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</si>
  <si>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</si>
  <si>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</si>
  <si>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</si>
  <si>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</si>
  <si>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</si>
  <si>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</si>
  <si>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</si>
  <si>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</si>
  <si>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</si>
  <si>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</si>
  <si>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</si>
  <si>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</si>
  <si>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</si>
  <si>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</si>
  <si>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</si>
  <si>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</si>
  <si>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</si>
  <si>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</si>
  <si>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</si>
  <si>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</si>
  <si>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</si>
  <si>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</si>
  <si>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</si>
  <si>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</si>
  <si>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</si>
  <si>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</si>
  <si>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</si>
  <si>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</si>
  <si>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</si>
  <si>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</si>
  <si>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</si>
  <si>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</si>
  <si>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</si>
  <si>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</si>
  <si>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</si>
  <si>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</si>
  <si>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</si>
  <si>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</si>
  <si>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</si>
  <si>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</si>
  <si>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</si>
  <si>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</si>
  <si>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</si>
  <si>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</si>
  <si>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</si>
  <si>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</si>
  <si>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</si>
  <si>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</si>
  <si>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</si>
  <si>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</si>
  <si>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</si>
  <si>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</si>
  <si>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</si>
  <si>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</si>
  <si>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</si>
  <si>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</si>
  <si>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</si>
  <si>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</si>
  <si>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</si>
  <si>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</si>
  <si>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</si>
  <si>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</si>
  <si>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</si>
  <si>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</si>
  <si>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</si>
  <si>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</si>
  <si>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</si>
  <si>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</si>
  <si>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</si>
  <si>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</si>
  <si>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</si>
  <si>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</si>
  <si>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</si>
  <si>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</si>
  <si>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</si>
  <si>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</si>
  <si>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</si>
  <si>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</si>
  <si>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</si>
  <si>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</si>
  <si>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</si>
  <si>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</si>
  <si>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</si>
  <si>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</si>
  <si>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</si>
  <si>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</si>
  <si>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</si>
  <si>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</si>
  <si>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</si>
  <si>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</si>
  <si>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</si>
  <si>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</si>
  <si>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</si>
  <si>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</si>
  <si>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</si>
  <si>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</si>
  <si>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</si>
  <si>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</si>
  <si>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</si>
  <si>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</si>
  <si>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</si>
  <si>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</si>
  <si>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</si>
  <si>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</si>
  <si>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</si>
  <si>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</si>
  <si>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</si>
  <si>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</si>
  <si>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</si>
  <si>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</si>
  <si>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</si>
  <si>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</si>
  <si>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</si>
  <si>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</si>
  <si>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</si>
  <si>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</si>
  <si>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</si>
  <si>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</si>
  <si>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</si>
  <si>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</si>
  <si>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</si>
  <si>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</si>
  <si>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</si>
  <si>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</si>
  <si>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</si>
  <si>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</si>
  <si>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</si>
  <si>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</si>
  <si>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</si>
  <si>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</si>
  <si>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</si>
  <si>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</si>
  <si>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</si>
  <si>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</si>
  <si>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</si>
  <si>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</si>
  <si>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</si>
  <si>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</si>
  <si>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</si>
  <si>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</si>
  <si>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</si>
  <si>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</si>
  <si>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</si>
  <si>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</si>
  <si>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</si>
  <si>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</si>
  <si>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</si>
  <si>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</si>
  <si>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</si>
  <si>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</si>
  <si>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</si>
  <si>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</si>
  <si>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</si>
  <si>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</si>
  <si>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</si>
  <si>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</si>
  <si>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</si>
  <si>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</si>
  <si>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</si>
  <si>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</si>
  <si>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</si>
  <si>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</si>
  <si>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</si>
  <si>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</si>
  <si>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</si>
  <si>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</si>
  <si>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</si>
  <si>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</si>
  <si>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</si>
  <si>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</si>
  <si>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</si>
  <si>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</si>
  <si>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</si>
  <si>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</si>
  <si>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</si>
  <si>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</si>
  <si>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</si>
  <si>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</si>
  <si>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</si>
  <si>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</si>
  <si>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</si>
  <si>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</si>
  <si>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</si>
  <si>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</si>
  <si>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</si>
  <si>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</si>
  <si>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</si>
  <si>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</si>
  <si>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</si>
  <si>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</si>
  <si>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</si>
  <si>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</si>
  <si>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</si>
  <si>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</si>
  <si>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</si>
  <si>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</si>
  <si>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</si>
  <si>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</si>
  <si>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</si>
  <si>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</si>
  <si>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</si>
  <si>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</si>
  <si>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</si>
  <si>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</si>
  <si>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</si>
  <si>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</si>
  <si>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</si>
  <si>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</si>
  <si>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</si>
  <si>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</si>
  <si>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</si>
  <si>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</si>
  <si>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</si>
  <si>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</si>
  <si>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</si>
  <si>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</si>
  <si>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</si>
  <si>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</si>
  <si>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</si>
  <si>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</si>
  <si>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</si>
  <si>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</si>
  <si>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</si>
  <si>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</si>
  <si>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</si>
  <si>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</si>
  <si>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</si>
  <si>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</si>
  <si>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</si>
  <si>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</si>
  <si>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</si>
  <si>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</si>
  <si>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</si>
  <si>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</si>
  <si>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22</t>
  </si>
  <si>
    <t>48;58</t>
  </si>
  <si>
    <t>53;34</t>
  </si>
  <si>
    <t>47;43</t>
  </si>
  <si>
    <t>52;38</t>
  </si>
  <si>
    <t>26;44</t>
  </si>
  <si>
    <t>38;23;31</t>
  </si>
  <si>
    <t>42;37</t>
  </si>
  <si>
    <t>29</t>
  </si>
  <si>
    <t>47;36</t>
  </si>
  <si>
    <t>41;28</t>
  </si>
  <si>
    <t>54;35</t>
  </si>
  <si>
    <t>22;31</t>
  </si>
  <si>
    <t>58;50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</si>
  <si>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</si>
  <si>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</si>
  <si>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</si>
  <si>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</si>
  <si>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</si>
  <si>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</si>
  <si>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</si>
  <si>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</si>
  <si>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</si>
  <si>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</si>
  <si>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</si>
  <si>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</si>
  <si>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</si>
  <si>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</si>
  <si>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</si>
  <si>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</si>
  <si>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</si>
  <si>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</si>
  <si>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</si>
  <si>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</si>
  <si>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</si>
  <si>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</si>
  <si>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</si>
  <si>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</si>
  <si>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</si>
  <si>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</si>
  <si>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</si>
  <si>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</si>
  <si>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</si>
  <si>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</si>
  <si>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</si>
  <si>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</si>
  <si>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</si>
  <si>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</si>
  <si>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</si>
  <si>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</si>
  <si>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</si>
  <si>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</si>
  <si>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</si>
  <si>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</si>
  <si>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</si>
  <si>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</si>
  <si>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</si>
  <si>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</si>
  <si>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</si>
  <si>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</si>
  <si>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</si>
  <si>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26;47</t>
  </si>
  <si>
    <t>55;43</t>
  </si>
  <si>
    <t>49;50</t>
  </si>
  <si>
    <t>42;28;32</t>
  </si>
  <si>
    <t>45;43</t>
  </si>
  <si>
    <t>32;39;47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</si>
  <si>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</si>
  <si>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</si>
  <si>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</si>
  <si>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</si>
  <si>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</si>
  <si>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</si>
  <si>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</si>
  <si>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</si>
  <si>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</si>
  <si>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</si>
  <si>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</si>
  <si>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</si>
  <si>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</si>
  <si>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</si>
  <si>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</si>
  <si>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</si>
  <si>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</si>
  <si>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</si>
  <si>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</si>
  <si>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</si>
  <si>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</si>
  <si>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</si>
  <si>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</si>
  <si>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</si>
  <si>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</si>
  <si>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</si>
  <si>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</si>
  <si>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</si>
  <si>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</si>
  <si>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</si>
  <si>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</si>
  <si>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</si>
  <si>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</si>
  <si>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</si>
  <si>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</si>
  <si>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</si>
  <si>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</si>
  <si>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</si>
  <si>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</si>
  <si>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</si>
  <si>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</si>
  <si>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</si>
  <si>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</si>
  <si>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</si>
  <si>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</si>
  <si>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</si>
  <si>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</si>
  <si>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</si>
  <si>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</si>
  <si>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</si>
  <si>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</si>
  <si>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</si>
  <si>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</si>
  <si>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</si>
  <si>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</si>
  <si>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</si>
  <si>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</si>
  <si>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</si>
  <si>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</si>
  <si>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</si>
  <si>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</si>
  <si>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</si>
  <si>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</si>
  <si>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</si>
  <si>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</si>
  <si>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</si>
  <si>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</si>
  <si>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</si>
  <si>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</si>
  <si>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</si>
  <si>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</si>
  <si>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</si>
  <si>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</si>
  <si>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</si>
  <si>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</si>
  <si>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</si>
  <si>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</si>
  <si>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</si>
  <si>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</si>
  <si>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</si>
  <si>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</si>
  <si>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</si>
  <si>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</si>
  <si>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</si>
  <si>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</si>
  <si>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</si>
  <si>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</si>
  <si>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</si>
  <si>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</si>
  <si>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</si>
  <si>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</si>
  <si>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</si>
  <si>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</si>
  <si>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</si>
  <si>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</si>
  <si>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</si>
  <si>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</si>
  <si>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</si>
  <si>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</si>
  <si>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</si>
  <si>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</si>
  <si>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</si>
  <si>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</si>
  <si>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</si>
  <si>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</si>
  <si>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</si>
  <si>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</si>
  <si>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</si>
  <si>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</si>
  <si>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</si>
  <si>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</si>
  <si>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</si>
  <si>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</si>
  <si>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</si>
  <si>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</si>
  <si>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</si>
  <si>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</si>
  <si>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</si>
  <si>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</si>
  <si>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</si>
  <si>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</si>
  <si>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</si>
  <si>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</si>
  <si>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</si>
  <si>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</si>
  <si>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</si>
  <si>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</si>
  <si>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</si>
  <si>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</si>
  <si>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</si>
  <si>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</si>
  <si>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</si>
  <si>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</si>
  <si>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</si>
  <si>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</si>
  <si>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</si>
  <si>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</si>
  <si>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</si>
  <si>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</si>
  <si>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</si>
  <si>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</si>
  <si>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</si>
  <si>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</si>
  <si>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</si>
  <si>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</si>
  <si>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</si>
  <si>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</si>
  <si>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</si>
  <si>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</si>
  <si>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</si>
  <si>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</si>
  <si>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</si>
  <si>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</si>
  <si>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</si>
  <si>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</si>
  <si>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</si>
  <si>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</si>
  <si>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</si>
  <si>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</si>
  <si>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</si>
  <si>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</si>
  <si>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</si>
  <si>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</si>
  <si>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</si>
  <si>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</si>
  <si>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</si>
  <si>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</si>
  <si>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</si>
  <si>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</si>
  <si>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</si>
  <si>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</si>
  <si>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</si>
  <si>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</si>
  <si>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</si>
  <si>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</si>
  <si>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</si>
  <si>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</si>
  <si>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</si>
  <si>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</si>
  <si>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</si>
  <si>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</si>
  <si>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</si>
  <si>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</si>
  <si>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</si>
  <si>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</si>
  <si>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</si>
  <si>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</si>
  <si>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</si>
  <si>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</si>
  <si>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</si>
  <si>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FIELD MAPPING — standardized field → source column header → column #</t>
  </si>
  <si>
    <t>Schedule field</t>
  </si>
  <si>
    <t>Col # (auto)</t>
  </si>
  <si>
    <t>Source header (edit if source renames)</t>
  </si>
  <si>
    <t>Stats field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</si>
  <si>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</si>
  <si>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</si>
  <si>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</si>
  <si>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</si>
  <si>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</si>
  <si>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</si>
  <si>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</si>
  <si>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</si>
  <si>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</si>
  <si>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Site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</si>
  <si>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</si>
  <si>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</si>
  <si>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</si>
  <si>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</si>
  <si>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</si>
  <si>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</si>
  <si>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</si>
  <si>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</si>
  <si>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</si>
  <si>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</si>
  <si>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</si>
  <si>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</si>
  <si>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</si>
  <si>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</si>
  <si>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</si>
  <si>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</si>
  <si>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</si>
  <si>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</si>
  <si>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</si>
  <si>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</si>
  <si>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</si>
  <si>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</si>
  <si>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</si>
  <si>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</si>
  <si>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</si>
  <si>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</si>
  <si>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</si>
  <si>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</si>
  <si>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</si>
  <si>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</si>
  <si>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</si>
  <si>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</si>
  <si>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</si>
  <si>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</si>
  <si>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</si>
  <si>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</si>
  <si>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HOME</t>
  </si>
  <si>
    <t>AWAY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</si>
  <si>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</si>
  <si>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</si>
  <si>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</si>
  <si>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</si>
  <si>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</si>
  <si>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</si>
  <si>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</si>
  <si>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</si>
  <si>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</si>
  <si>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</si>
  <si>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</si>
  <si>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</si>
  <si>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</si>
  <si>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</si>
  <si>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</si>
  <si>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</si>
  <si>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</si>
  <si>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</si>
  <si>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</si>
  <si>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</si>
  <si>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</si>
  <si>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</si>
  <si>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</si>
  <si>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</si>
  <si>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</si>
  <si>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</si>
  <si>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</si>
  <si>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</si>
  <si>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</si>
  <si>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</si>
  <si>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</si>
  <si>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</si>
  <si>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</si>
  <si>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</si>
  <si>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</si>
  <si>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</si>
  <si>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</si>
  <si>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</si>
  <si>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</si>
  <si>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</si>
  <si>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</si>
  <si>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</si>
  <si>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</si>
  <si>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</si>
  <si>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</si>
  <si>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</si>
  <si>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</si>
  <si>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</si>
  <si>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</si>
  <si>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</si>
  <si>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</si>
  <si>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</si>
  <si>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</si>
  <si>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</si>
  <si>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</si>
  <si>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</si>
  <si>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</si>
  <si>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</si>
  <si>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</si>
  <si>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Novig</t>
  </si>
  <si>
    <t>Y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</si>
  <si>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</si>
  <si>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</si>
  <si>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</si>
  <si>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</si>
  <si>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</si>
  <si>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</si>
  <si>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</si>
  <si>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</si>
  <si>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</si>
  <si>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</si>
  <si>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</si>
  <si>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</si>
  <si>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</si>
  <si>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</si>
  <si>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</si>
  <si>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</si>
  <si>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</si>
  <si>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</si>
  <si>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</si>
  <si>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</si>
  <si>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</si>
  <si>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</si>
  <si>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</si>
  <si>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</si>
  <si>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</si>
  <si>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</si>
  <si>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</si>
  <si>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</si>
  <si>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</si>
  <si>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</si>
  <si>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</si>
  <si>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</si>
  <si>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</si>
  <si>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</si>
  <si>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</si>
  <si>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</si>
  <si>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</si>
  <si>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</si>
  <si>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</si>
  <si>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</si>
  <si>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</si>
  <si>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</si>
  <si>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</si>
  <si>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</si>
  <si>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</si>
  <si>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</si>
  <si>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</si>
  <si>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</si>
  <si>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</si>
  <si>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</si>
  <si>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</si>
  <si>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</si>
  <si>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</si>
  <si>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</si>
  <si>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</si>
  <si>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</si>
  <si>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</si>
  <si>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</si>
  <si>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</si>
  <si>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</si>
  <si>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</si>
  <si>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</si>
  <si>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</si>
  <si>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</si>
  <si>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</si>
  <si>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</si>
  <si>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</si>
  <si>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</si>
  <si>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</si>
  <si>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</si>
  <si>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</si>
  <si>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</si>
  <si>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</si>
  <si>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</si>
  <si>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</si>
  <si>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</si>
  <si>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</si>
  <si>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</si>
  <si>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</si>
  <si>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</si>
  <si>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</si>
  <si>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</si>
  <si>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</si>
  <si>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</si>
  <si>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</si>
  <si>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</si>
  <si>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</si>
  <si>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</si>
  <si>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</si>
  <si>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</si>
  <si>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</si>
  <si>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</si>
  <si>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</si>
  <si>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</si>
  <si>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</si>
  <si>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</si>
  <si>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</si>
  <si>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</si>
  <si>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1.5-3.0</t>
  </si>
  <si>
    <t>3.0-5.0</t>
  </si>
  <si>
    <t>5.0+</t>
  </si>
  <si>
    <t>Read honestly: buckets are noisy and NON-monotonic (the 1.5-3.0 spread bucket went 38.9%). One season proves nothing profitable.</t>
  </si>
  <si>
    <t>This table exists so future seasons can be appended and judged on growing sample, not so week-1 content can claim an edge.</t>
  </si>
  <si>
    <t>CALIBRATION GRID (spread MAE vs results | vs reference line) — why the defaults are the defaults</t>
  </si>
  <si>
    <t>Config</t>
  </si>
  <si>
    <t>MAE vs results</t>
  </si>
  <si>
    <t>MAE vs ref line</t>
  </si>
  <si>
    <t>cap14_rec2.0w4_epa0.4</t>
  </si>
  <si>
    <t>cap14_rec2.0w4_epa0.3</t>
  </si>
  <si>
    <t>cap14_rec2.0w4_epa0</t>
  </si>
  <si>
    <t>cap17_rec2.0w4_epa0.3</t>
  </si>
  <si>
    <t>cap14_rec1.5w4_epa0.4</t>
  </si>
  <si>
    <t>cap14_rec1.5w4_epa0.3</t>
  </si>
  <si>
    <t>cap17_rec2.0w4_epa0.4</t>
  </si>
  <si>
    <t>cap14_rec1.5w6_epa0.3</t>
  </si>
  <si>
    <t>cap17_rec2.0w4_epa0</t>
  </si>
  <si>
    <t>cap14_rec1.5w6_epa0.4</t>
  </si>
  <si>
    <t>cap14_rec1.5w6_epa0</t>
  </si>
  <si>
    <t>cap14_rec1.5w4_epa0</t>
  </si>
  <si>
    <t>cap17_rec1.5w6_epa0</t>
  </si>
  <si>
    <t>cap17_rec1.5w4_epa0.3</t>
  </si>
  <si>
    <t>cap17_rec1.5w4_epa0</t>
  </si>
  <si>
    <t>cap17_rec1.5w6_epa0.3</t>
  </si>
  <si>
    <t>cap17_rec1.5w4_epa0.4</t>
  </si>
  <si>
    <t>cap17_rec1.5w6_epa0.4</t>
  </si>
  <si>
    <t>cap21_rec2.0w4_epa0.3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</si>
  <si>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</si>
  <si>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</si>
  <si>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</si>
  <si>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</si>
  <si>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</si>
  <si>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</si>
  <si>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</si>
  <si>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</si>
  <si>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</si>
  <si>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</si>
  <si>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</si>
  <si>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</si>
  <si>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</si>
  <si>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</si>
  <si>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</si>
  <si>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</si>
  <si>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</si>
  <si>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</si>
  <si>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</si>
  <si>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</si>
  <si>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</si>
  <si>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</si>
  <si>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</si>
  <si>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</si>
  <si>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</si>
  <si>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</si>
  <si>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</si>
  <si>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</si>
  <si>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</si>
  <si>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</si>
  <si>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</si>
  <si>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</si>
  <si>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</si>
  <si>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</si>
  <si>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</si>
  <si>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</si>
  <si>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</si>
  <si>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</si>
  <si>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</si>
  <si>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</si>
  <si>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</si>
  <si>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</si>
  <si>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</si>
  <si>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</si>
  <si>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</si>
  <si>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</si>
  <si>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</si>
  <si>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</si>
  <si>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</si>
  <si>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</si>
  <si>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DOUBLE-COUNT / EXCLUSION LEDGER</t>
  </si>
  <si>
    <t>· HFA: subtracted from every game margin BEFORE ratings; added back once per matchup. Never in both places.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</si>
  <si>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</si>
  <si>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</si>
  <si>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· Totals: def/ST TDs removed from offensive PPP at 7 pts/TD and added back once as a league-average constant. Plays counted once (blend of own offense pace + opponent defense pace faced, regressed 25% to league).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</si>
  <si>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</si>
  <si>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</si>
  <si>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· Rest: schedule rest days, 0.1 pt/day capped ±1.0. Travel/weather/altitude: NOT automated (no reliable pre-game source in files) — manual ADJUSTMENTS categories exist for them.</t>
  </si>
  <si>
    <t>KNOWN LIMITATIONS (say these out loud on the pod)</t>
  </si>
  <si>
    <t>· One-season calibration. Every default is provisional until 2026 data accumulates.</t>
  </si>
  <si>
    <t>· Spread MAE trails Vegas by ~0.4 pts. This is a divergence-finder and process tool, not an oracle.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</si>
  <si>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</si>
  <si>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</si>
  <si>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· Injuries beyond QB have no automated feed — manual adjustments only.</t>
  </si>
  <si>
    <t>· Playoff games: ratings pipeline uses REG games only; you can still project playoff matchups but sample/motivational caveats apply.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</si>
  <si>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</si>
  <si>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</si>
  <si>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✓ Engine math: FinalMargin/FinalTotal/SpreadEdge for all 16 wk-18 games match python within display rounding (0.01).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</si>
  <si>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</si>
  <si>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</si>
  <si>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</si>
  <si>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✓ Stale line (date older than threshold) -&gt; STALE LINE state + confidence drop. Cleared line -&gt; PENDING LINE, no recommendation.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</si>
  <si>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</si>
  <si>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</si>
  <si>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</si>
  <si>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</si>
  <si>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</si>
  <si>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</si>
  <si>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✓ Rest: 0.5/day setting -&gt; applied and capped at ±1.0 (PHI@GB 2025 wk10: 8-vs-15 rest days -&gt; -1.0).</t>
  </si>
  <si>
    <t>✓ Neutral sites: all 8 international 2025 games -&gt; HFA=0 in ENGINE.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</si>
  <si>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</si>
  <si>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</si>
  <si>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</si>
  <si>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✓ DQ lookup failure -&gt; "BLOCKED — DQ ROW NOT FOUND", ops shows it, both recs suppressed, both confidences drop. Never defaults READY.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</si>
  <si>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</si>
  <si>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</si>
  <si>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</si>
  <si>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</si>
  <si>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✓ QB guards: Reviewed-for-season mismatch -&gt; QB UNCERTAIN + "⚠ NOT REVIEWED FOR &lt;season&gt;"; update date older than QBStaleDays -&gt; QB UNCERTAIN + "⚠ STALE — REVIEW".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</si>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</sst>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1.0"/>
      <color theme="1"/>
      <name val="Calibri"/>
      <scheme val="minor"/>
    </font>
    <font>
      <b/>
      <sz val="16.0"/>
      <color rgb="FF15263C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b/>
      <sz val="14.0"/>
      <color rgb="FF15263C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3" fontId="9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1" fillId="3" fontId="9" numFmtId="164" xfId="0" applyAlignment="1" applyBorder="1" applyFont="1" applyNumberFormat="1">
      <alignment readingOrder="0"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2" numFmtId="0" xfId="0" applyAlignment="1" applyBorder="1" applyFont="1">
      <alignment shrinkToFit="0" vertical="bottom" wrapText="0"/>
    </xf>
    <xf borderId="2" fillId="3" fontId="9" numFmtId="0" xfId="0" applyAlignment="1" applyBorder="1" applyFont="1">
      <alignment readingOrder="0" shrinkToFit="0" vertical="bottom" wrapText="0"/>
    </xf>
    <xf borderId="2" fillId="3" fontId="9" numFmtId="164" xfId="0" applyAlignment="1" applyBorder="1" applyFont="1" applyNumberFormat="1">
      <alignment readingOrder="0" shrinkToFit="0" vertical="bottom" wrapText="0"/>
    </xf>
    <xf borderId="2" fillId="3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center" wrapText="1"/>
    </xf>
    <xf borderId="2" fillId="5" fontId="4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0" fillId="0" fontId="11" numFmtId="0" xfId="0" applyFont="1"/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26" width="8.71"/>
  </cols>
  <sheetData>
    <row r="1" ht="19.5" customHeight="1">
      <c r="A1" s="1" t="s">
        <v>0</v>
      </c>
      <c r="B1" s="2"/>
      <c r="C1" s="2"/>
    </row>
    <row r="2" ht="15.0" customHeight="1">
      <c r="A2" s="3" t="s">
        <v>1</v>
      </c>
      <c r="B2" s="2"/>
      <c r="C2" s="2"/>
    </row>
    <row r="3">
      <c r="A3" s="2"/>
      <c r="B3" s="2"/>
      <c r="C3" s="2"/>
    </row>
    <row r="4" ht="15.0" customHeight="1">
      <c r="A4" s="4" t="s">
        <v>2</v>
      </c>
      <c r="B4" s="2"/>
      <c r="C4" s="2"/>
    </row>
    <row r="5" ht="15.0" customHeight="1">
      <c r="A5" s="5" t="s">
        <v>3</v>
      </c>
      <c r="B5" s="5" t="s">
        <v>4</v>
      </c>
      <c r="C5" s="5" t="s">
        <v>5</v>
      </c>
    </row>
    <row r="6" ht="15.0" customHeight="1">
      <c r="A6" s="4" t="s">
        <v>6</v>
      </c>
      <c r="B6" s="6" t="s">
        <v>7</v>
      </c>
      <c r="C6" s="2" t="str">
        <f>IF(AND(CurrentWeek&gt;=1,CurrentWeek&lt;=22),"OK — week "&amp;CurrentWeek,"⚠ SET WEEK")</f>
        <v>OK — week 1</v>
      </c>
    </row>
    <row r="7" ht="15.0" customHeight="1">
      <c r="A7" s="4" t="s">
        <v>8</v>
      </c>
      <c r="B7" s="6" t="s">
        <v>9</v>
      </c>
      <c r="C7" s="2" t="s">
        <v>10</v>
      </c>
    </row>
    <row r="8" ht="15.0" customHeight="1">
      <c r="A8" s="4" t="s">
        <v>11</v>
      </c>
      <c r="B8" s="6" t="s">
        <v>12</v>
      </c>
      <c r="C8" s="2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4" t="s">
        <v>13</v>
      </c>
      <c r="B9" s="6" t="s">
        <v>14</v>
      </c>
      <c r="C9" s="2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4" t="s">
        <v>15</v>
      </c>
      <c r="B10" s="6" t="s">
        <v>16</v>
      </c>
      <c r="C10" s="2" t="str">
        <f>IF(SUMPRODUCT((QBActive="")*1)=0,"OK","⚠ "&amp;SUMPRODUCT((QBActive="")*1)&amp;" TEAMS BLANK")</f>
        <v>OK</v>
      </c>
    </row>
    <row r="11" ht="15.0" customHeight="1">
      <c r="A11" s="4" t="s">
        <v>17</v>
      </c>
      <c r="B11" s="6" t="s">
        <v>18</v>
      </c>
      <c r="C11" s="2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16 spreads · 16 totals</v>
      </c>
    </row>
    <row r="12" ht="15.0" customHeight="1">
      <c r="A12" s="4" t="s">
        <v>19</v>
      </c>
      <c r="B12" s="6" t="s">
        <v>20</v>
      </c>
      <c r="C12" s="2" t="s">
        <v>10</v>
      </c>
    </row>
    <row r="13" ht="15.0" customHeight="1">
      <c r="A13" s="4" t="s">
        <v>21</v>
      </c>
      <c r="B13" s="6" t="s">
        <v>22</v>
      </c>
      <c r="C13" s="2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2"/>
      <c r="B14" s="2"/>
      <c r="C14" s="2"/>
    </row>
    <row r="15" ht="15.0" customHeight="1">
      <c r="A15" s="4" t="s">
        <v>23</v>
      </c>
      <c r="B15" s="2"/>
      <c r="C15" s="2"/>
    </row>
    <row r="16" ht="15.0" customHeight="1">
      <c r="A16" s="6" t="s">
        <v>24</v>
      </c>
      <c r="B16" s="2"/>
      <c r="C16" s="2"/>
    </row>
    <row r="17" ht="15.0" customHeight="1">
      <c r="A17" s="6" t="s">
        <v>25</v>
      </c>
      <c r="B17" s="2"/>
      <c r="C17" s="2"/>
    </row>
    <row r="18" ht="15.0" customHeight="1">
      <c r="A18" s="6" t="s">
        <v>26</v>
      </c>
      <c r="B18" s="2"/>
      <c r="C18" s="2"/>
    </row>
    <row r="19" ht="15.0" customHeight="1">
      <c r="A19" s="6" t="s">
        <v>27</v>
      </c>
      <c r="B19" s="2"/>
      <c r="C19" s="2"/>
    </row>
    <row r="20">
      <c r="A20" s="2"/>
      <c r="B20" s="2"/>
      <c r="C20" s="2"/>
    </row>
    <row r="21" ht="15.0" customHeight="1">
      <c r="A21" s="4" t="s">
        <v>28</v>
      </c>
      <c r="B21" s="2"/>
      <c r="C21" s="2"/>
    </row>
    <row r="22" ht="15.0" customHeight="1">
      <c r="A22" s="4" t="s">
        <v>29</v>
      </c>
      <c r="B22" s="6" t="s">
        <v>30</v>
      </c>
      <c r="C22" s="2"/>
    </row>
    <row r="23" ht="15.0" customHeight="1">
      <c r="A23" s="4" t="s">
        <v>31</v>
      </c>
      <c r="B23" s="6" t="s">
        <v>32</v>
      </c>
      <c r="C23" s="2"/>
    </row>
    <row r="24" ht="15.0" customHeight="1">
      <c r="A24" s="4" t="s">
        <v>33</v>
      </c>
      <c r="B24" s="6" t="s">
        <v>34</v>
      </c>
      <c r="C24" s="2"/>
    </row>
    <row r="25" ht="15.0" customHeight="1">
      <c r="A25" s="4" t="s">
        <v>35</v>
      </c>
      <c r="B25" s="6" t="s">
        <v>36</v>
      </c>
      <c r="C25" s="2"/>
    </row>
    <row r="26" ht="15.0" customHeight="1">
      <c r="A26" s="4" t="s">
        <v>37</v>
      </c>
      <c r="B26" s="6" t="s">
        <v>38</v>
      </c>
      <c r="C26" s="2"/>
    </row>
    <row r="27" ht="15.0" customHeight="1">
      <c r="A27" s="4" t="s">
        <v>39</v>
      </c>
      <c r="B27" s="6" t="s">
        <v>40</v>
      </c>
      <c r="C27" s="2"/>
    </row>
    <row r="28" ht="15.0" customHeight="1">
      <c r="A28" s="4" t="s">
        <v>41</v>
      </c>
      <c r="B28" s="6" t="s">
        <v>42</v>
      </c>
      <c r="C28" s="2"/>
    </row>
    <row r="29" ht="15.0" customHeight="1">
      <c r="A29" s="4" t="s">
        <v>43</v>
      </c>
      <c r="B29" s="6" t="s">
        <v>44</v>
      </c>
      <c r="C29" s="2"/>
    </row>
    <row r="30" ht="15.0" customHeight="1">
      <c r="A30" s="4" t="s">
        <v>45</v>
      </c>
      <c r="B30" s="6" t="s">
        <v>46</v>
      </c>
      <c r="C30" s="2"/>
    </row>
    <row r="31" ht="15.0" customHeight="1">
      <c r="A31" s="4" t="s">
        <v>47</v>
      </c>
      <c r="B31" s="6" t="s">
        <v>48</v>
      </c>
      <c r="C31" s="2"/>
    </row>
    <row r="32" ht="15.0" customHeight="1">
      <c r="A32" s="4" t="s">
        <v>49</v>
      </c>
      <c r="B32" s="6" t="s">
        <v>50</v>
      </c>
      <c r="C32" s="2"/>
    </row>
    <row r="33" ht="15.0" customHeight="1">
      <c r="A33" s="4" t="s">
        <v>51</v>
      </c>
      <c r="B33" s="6" t="s">
        <v>52</v>
      </c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26" width="8.71"/>
  </cols>
  <sheetData>
    <row r="1" ht="17.25" customHeight="1">
      <c r="A1" s="7" t="s">
        <v>53</v>
      </c>
      <c r="C1" s="2"/>
      <c r="D1" s="2"/>
      <c r="E1" s="2"/>
      <c r="F1" s="2"/>
      <c r="K1" s="2"/>
      <c r="L1" s="2"/>
    </row>
    <row r="2" ht="15.0" customHeight="1">
      <c r="A2" s="3" t="str">
        <f>CONCATENATE("Season ",CurrentSeason,"  ·  Week ",CurrentWeek,"  ·  ",TEXT(R3,"0")," games  ·  set week in SETTINGS")</f>
        <v>Season 2026  ·  Week 1  ·  16 games  ·  set week in SETTINGS</v>
      </c>
      <c r="C2" s="2"/>
      <c r="D2" s="2"/>
      <c r="E2" s="2"/>
      <c r="F2" s="2"/>
      <c r="K2" s="2"/>
      <c r="L2" s="2"/>
    </row>
    <row r="3" ht="15.0" customHeight="1">
      <c r="A3" s="8" t="s">
        <v>54</v>
      </c>
      <c r="B3" s="2"/>
      <c r="C3" s="2"/>
      <c r="D3" s="2"/>
      <c r="E3" s="2"/>
      <c r="F3" s="2"/>
      <c r="K3" s="2"/>
      <c r="L3" s="2"/>
      <c r="R3" s="2">
        <f>SUMPRODUCT((EngWeek=CurrentWeek)*(EngGameID&lt;&gt;""))</f>
        <v>16</v>
      </c>
    </row>
    <row r="4" ht="21.75" customHeight="1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  <c r="L4" s="5" t="s">
        <v>5</v>
      </c>
      <c r="M4" s="5" t="s">
        <v>66</v>
      </c>
      <c r="N4" s="5" t="s">
        <v>67</v>
      </c>
      <c r="O4" s="5" t="s">
        <v>68</v>
      </c>
      <c r="P4" s="5" t="s">
        <v>69</v>
      </c>
      <c r="Q4" s="5" t="s">
        <v>70</v>
      </c>
    </row>
    <row r="5" ht="15.0" customHeight="1">
      <c r="A5" s="2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9">
        <f t="array" ref="B5">IF($A5="","",INDEX(ENGINE!$D$5:$D$304,MATCH(1,EngDash,0)))</f>
        <v>46274</v>
      </c>
      <c r="C5" s="2" t="str">
        <f t="array" ref="C5">IF($A5="","",IF(INDEX(ENGINE!$U$5:$U$304,MATCH(1,EngDash,0))="","PENDING",INDEX(ENGINE!$F$5:$F$304,MATCH(1,EngDash,0))&amp;" "&amp;TEXT(INDEX(ENGINE!$U$5:$U$304,MATCH(1,EngDash,0)),"+0.0;-0.0;""PK""")))</f>
        <v>PENDING</v>
      </c>
      <c r="D5" s="2" t="str">
        <f t="array" ref="D5">IF($A5="","",INDEX(ENGINE!$T$5:$T$304,MATCH(1,EngDash,0)))</f>
        <v>SEA -3.6</v>
      </c>
      <c r="E5" s="2" t="str">
        <f t="array" ref="E5">IF($A5="","",IF(INDEX(ENGINE!$V$5:$V$304,MATCH(1,EngDash,0))="","",TEXT(INDEX(ENGINE!$W$5:$W$304,MATCH(1,EngDash,0)),"0.0")&amp;" — "&amp;INDEX(ENGINE!$X$5:$X$304,MATCH(1,EngDash,0))))</f>
        <v/>
      </c>
      <c r="F5" s="2" t="str">
        <f t="array" ref="F5">IF($A5="","",INDEX(ENGINE!$Z$5:$Z$304,MATCH(1,EngDash,0)))</f>
        <v/>
      </c>
      <c r="G5" s="2" t="str">
        <f t="array" ref="G5">IF($A5="","",INDEX(ENGINE!$AH$5:$AH$304,MATCH(1,EngDash,0)))</f>
        <v/>
      </c>
      <c r="H5" s="2">
        <f t="array" ref="H5">IF($A5="","",INDEX(ENGINE!$AG$5:$AG$304,MATCH(1,EngDash,0)))</f>
        <v>0</v>
      </c>
      <c r="I5" s="2" t="str">
        <f t="array" ref="I5">IF($A5="","",IF(INDEX(ENGINE!$AI$5:$AI$304,MATCH(1,EngDash,0))="","",INDEX(ENGINE!$AK$5:$AK$304,MATCH(1,EngDash,0))&amp;" "&amp;TEXT(INDEX(ENGINE!$AJ$5:$AJ$304,MATCH(1,EngDash,0)),"0.0")))</f>
        <v/>
      </c>
      <c r="J5" s="2" t="str">
        <f t="array" ref="J5">IF($A5="","",INDEX(ENGINE!$AM$5:$AM$304,MATCH(1,EngDash,0)))</f>
        <v/>
      </c>
      <c r="K5" s="2" t="str">
        <f t="array" ref="K5">IF($A5="","",INDEX(ENGINE!$AN$5:$AN$304,MATCH(1,EngDash,0)))</f>
        <v>BET OVER at ≤ -3.0  |  BET UNDER at ≥ 3.0</v>
      </c>
      <c r="L5" s="2" t="str">
        <f t="array" ref="L5">IF($A5="","",INDEX(ENGINE!$AQ$5:$AQ$304,MATCH(1,EngDash,0)))</f>
        <v>PENDING BOTH</v>
      </c>
      <c r="M5" s="2" t="str">
        <f t="array" ref="M5">IF($A5="","",INDEX(ENGINE!$AP$5:$AP$304,MATCH(1,EngDash,0)))</f>
        <v>READY</v>
      </c>
      <c r="N5" s="2">
        <f t="array" ref="N5">IF($A5="","",INDEX(ENGINE!$AS$5:$AS$304,MATCH(1,EngDash,0)))</f>
        <v>50</v>
      </c>
      <c r="O5" s="2">
        <f t="array" ref="O5">IF($A5="","",INDEX(ENGINE!$AT$5:$AT$304,MATCH(1,EngDash,0)))</f>
        <v>1</v>
      </c>
      <c r="P5" s="2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2" t="str">
        <f t="array" ref="Q5">IF($A5="","",INDEX(ENGINE!$AU$5:$AU$304,MATCH(1,EngDash,0)))</f>
        <v/>
      </c>
    </row>
    <row r="6" ht="15.0" customHeight="1">
      <c r="A6" s="2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9">
        <f t="array" ref="B6">IF($A6="","",INDEX(ENGINE!$D$5:$D$304,MATCH(2,EngDash,0)))</f>
        <v>46275</v>
      </c>
      <c r="C6" s="2" t="str">
        <f t="array" ref="C6">IF($A6="","",IF(INDEX(ENGINE!$U$5:$U$304,MATCH(2,EngDash,0))="","PENDING",INDEX(ENGINE!$F$5:$F$304,MATCH(2,EngDash,0))&amp;" "&amp;TEXT(INDEX(ENGINE!$U$5:$U$304,MATCH(2,EngDash,0)),"+0.0;-0.0;""PK""")))</f>
        <v>PENDING</v>
      </c>
      <c r="D6" s="2" t="str">
        <f t="array" ref="D6">IF($A6="","",INDEX(ENGINE!$T$5:$T$304,MATCH(2,EngDash,0)))</f>
        <v>LA -2.3</v>
      </c>
      <c r="E6" s="2" t="str">
        <f t="array" ref="E6">IF($A6="","",IF(INDEX(ENGINE!$V$5:$V$304,MATCH(2,EngDash,0))="","",TEXT(INDEX(ENGINE!$W$5:$W$304,MATCH(2,EngDash,0)),"0.0")&amp;" — "&amp;INDEX(ENGINE!$X$5:$X$304,MATCH(2,EngDash,0))))</f>
        <v/>
      </c>
      <c r="F6" s="2" t="str">
        <f t="array" ref="F6">IF($A6="","",INDEX(ENGINE!$Z$5:$Z$304,MATCH(2,EngDash,0)))</f>
        <v/>
      </c>
      <c r="G6" s="2" t="str">
        <f t="array" ref="G6">IF($A6="","",INDEX(ENGINE!$AH$5:$AH$304,MATCH(2,EngDash,0)))</f>
        <v/>
      </c>
      <c r="H6" s="2">
        <f t="array" ref="H6">IF($A6="","",INDEX(ENGINE!$AG$5:$AG$304,MATCH(2,EngDash,0)))</f>
        <v>0</v>
      </c>
      <c r="I6" s="2" t="str">
        <f t="array" ref="I6">IF($A6="","",IF(INDEX(ENGINE!$AI$5:$AI$304,MATCH(2,EngDash,0))="","",INDEX(ENGINE!$AK$5:$AK$304,MATCH(2,EngDash,0))&amp;" "&amp;TEXT(INDEX(ENGINE!$AJ$5:$AJ$304,MATCH(2,EngDash,0)),"0.0")))</f>
        <v/>
      </c>
      <c r="J6" s="2" t="str">
        <f t="array" ref="J6">IF($A6="","",INDEX(ENGINE!$AM$5:$AM$304,MATCH(2,EngDash,0)))</f>
        <v/>
      </c>
      <c r="K6" s="2" t="str">
        <f t="array" ref="K6">IF($A6="","",INDEX(ENGINE!$AN$5:$AN$304,MATCH(2,EngDash,0)))</f>
        <v>BET OVER at ≤ -3.0  |  BET UNDER at ≥ 3.0</v>
      </c>
      <c r="L6" s="2" t="str">
        <f t="array" ref="L6">IF($A6="","",INDEX(ENGINE!$AQ$5:$AQ$304,MATCH(2,EngDash,0)))</f>
        <v>PENDING BOTH</v>
      </c>
      <c r="M6" s="2" t="str">
        <f t="array" ref="M6">IF($A6="","",INDEX(ENGINE!$AP$5:$AP$304,MATCH(2,EngDash,0)))</f>
        <v>READY</v>
      </c>
      <c r="N6" s="2">
        <f t="array" ref="N6">IF($A6="","",INDEX(ENGINE!$AS$5:$AS$304,MATCH(2,EngDash,0)))</f>
        <v>50</v>
      </c>
      <c r="O6" s="2">
        <f t="array" ref="O6">IF($A6="","",INDEX(ENGINE!$AT$5:$AT$304,MATCH(2,EngDash,0)))</f>
        <v>1</v>
      </c>
      <c r="P6" s="2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2" t="str">
        <f t="array" ref="Q6">IF($A6="","",INDEX(ENGINE!$AU$5:$AU$304,MATCH(2,EngDash,0)))</f>
        <v/>
      </c>
    </row>
    <row r="7" ht="15.0" customHeight="1">
      <c r="A7" s="2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9">
        <f t="array" ref="B7">IF($A7="","",INDEX(ENGINE!$D$5:$D$304,MATCH(3,EngDash,0)))</f>
        <v>46278</v>
      </c>
      <c r="C7" s="2" t="str">
        <f t="array" ref="C7">IF($A7="","",IF(INDEX(ENGINE!$U$5:$U$304,MATCH(3,EngDash,0))="","PENDING",INDEX(ENGINE!$F$5:$F$304,MATCH(3,EngDash,0))&amp;" "&amp;TEXT(INDEX(ENGINE!$U$5:$U$304,MATCH(3,EngDash,0)),"+0.0;-0.0;""PK""")))</f>
        <v>PENDING</v>
      </c>
      <c r="D7" s="2" t="str">
        <f t="array" ref="D7">IF($A7="","",INDEX(ENGINE!$T$5:$T$304,MATCH(3,EngDash,0)))</f>
        <v>CHI -0.6</v>
      </c>
      <c r="E7" s="2" t="str">
        <f t="array" ref="E7">IF($A7="","",IF(INDEX(ENGINE!$V$5:$V$304,MATCH(3,EngDash,0))="","",TEXT(INDEX(ENGINE!$W$5:$W$304,MATCH(3,EngDash,0)),"0.0")&amp;" — "&amp;INDEX(ENGINE!$X$5:$X$304,MATCH(3,EngDash,0))))</f>
        <v/>
      </c>
      <c r="F7" s="2" t="str">
        <f t="array" ref="F7">IF($A7="","",INDEX(ENGINE!$Z$5:$Z$304,MATCH(3,EngDash,0)))</f>
        <v/>
      </c>
      <c r="G7" s="2" t="str">
        <f t="array" ref="G7">IF($A7="","",INDEX(ENGINE!$AH$5:$AH$304,MATCH(3,EngDash,0)))</f>
        <v/>
      </c>
      <c r="H7" s="2">
        <f t="array" ref="H7">IF($A7="","",INDEX(ENGINE!$AG$5:$AG$304,MATCH(3,EngDash,0)))</f>
        <v>0</v>
      </c>
      <c r="I7" s="2" t="str">
        <f t="array" ref="I7">IF($A7="","",IF(INDEX(ENGINE!$AI$5:$AI$304,MATCH(3,EngDash,0))="","",INDEX(ENGINE!$AK$5:$AK$304,MATCH(3,EngDash,0))&amp;" "&amp;TEXT(INDEX(ENGINE!$AJ$5:$AJ$304,MATCH(3,EngDash,0)),"0.0")))</f>
        <v/>
      </c>
      <c r="J7" s="2" t="str">
        <f t="array" ref="J7">IF($A7="","",INDEX(ENGINE!$AM$5:$AM$304,MATCH(3,EngDash,0)))</f>
        <v/>
      </c>
      <c r="K7" s="2" t="str">
        <f t="array" ref="K7">IF($A7="","",INDEX(ENGINE!$AN$5:$AN$304,MATCH(3,EngDash,0)))</f>
        <v>BET OVER at ≤ -3.0  |  BET UNDER at ≥ 3.0</v>
      </c>
      <c r="L7" s="2" t="str">
        <f t="array" ref="L7">IF($A7="","",INDEX(ENGINE!$AQ$5:$AQ$304,MATCH(3,EngDash,0)))</f>
        <v>PENDING BOTH</v>
      </c>
      <c r="M7" s="2" t="str">
        <f t="array" ref="M7">IF($A7="","",INDEX(ENGINE!$AP$5:$AP$304,MATCH(3,EngDash,0)))</f>
        <v>READY</v>
      </c>
      <c r="N7" s="2">
        <f t="array" ref="N7">IF($A7="","",INDEX(ENGINE!$AS$5:$AS$304,MATCH(3,EngDash,0)))</f>
        <v>50</v>
      </c>
      <c r="O7" s="2">
        <f t="array" ref="O7">IF($A7="","",INDEX(ENGINE!$AT$5:$AT$304,MATCH(3,EngDash,0)))</f>
        <v>1</v>
      </c>
      <c r="P7" s="2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2" t="str">
        <f t="array" ref="Q7">IF($A7="","",INDEX(ENGINE!$AU$5:$AU$304,MATCH(3,EngDash,0)))</f>
        <v/>
      </c>
    </row>
    <row r="8" ht="15.0" customHeight="1">
      <c r="A8" s="2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9">
        <f t="array" ref="B8">IF($A8="","",INDEX(ENGINE!$D$5:$D$304,MATCH(4,EngDash,0)))</f>
        <v>46278</v>
      </c>
      <c r="C8" s="2" t="str">
        <f t="array" ref="C8">IF($A8="","",IF(INDEX(ENGINE!$U$5:$U$304,MATCH(4,EngDash,0))="","PENDING",INDEX(ENGINE!$F$5:$F$304,MATCH(4,EngDash,0))&amp;" "&amp;TEXT(INDEX(ENGINE!$U$5:$U$304,MATCH(4,EngDash,0)),"+0.0;-0.0;""PK""")))</f>
        <v>PENDING</v>
      </c>
      <c r="D8" s="2" t="str">
        <f t="array" ref="D8">IF($A8="","",INDEX(ENGINE!$T$5:$T$304,MATCH(4,EngDash,0)))</f>
        <v>CIN -0.6</v>
      </c>
      <c r="E8" s="2" t="str">
        <f t="array" ref="E8">IF($A8="","",IF(INDEX(ENGINE!$V$5:$V$304,MATCH(4,EngDash,0))="","",TEXT(INDEX(ENGINE!$W$5:$W$304,MATCH(4,EngDash,0)),"0.0")&amp;" — "&amp;INDEX(ENGINE!$X$5:$X$304,MATCH(4,EngDash,0))))</f>
        <v/>
      </c>
      <c r="F8" s="2" t="str">
        <f t="array" ref="F8">IF($A8="","",INDEX(ENGINE!$Z$5:$Z$304,MATCH(4,EngDash,0)))</f>
        <v/>
      </c>
      <c r="G8" s="2" t="str">
        <f t="array" ref="G8">IF($A8="","",INDEX(ENGINE!$AH$5:$AH$304,MATCH(4,EngDash,0)))</f>
        <v/>
      </c>
      <c r="H8" s="2">
        <f t="array" ref="H8">IF($A8="","",INDEX(ENGINE!$AG$5:$AG$304,MATCH(4,EngDash,0)))</f>
        <v>0</v>
      </c>
      <c r="I8" s="2" t="str">
        <f t="array" ref="I8">IF($A8="","",IF(INDEX(ENGINE!$AI$5:$AI$304,MATCH(4,EngDash,0))="","",INDEX(ENGINE!$AK$5:$AK$304,MATCH(4,EngDash,0))&amp;" "&amp;TEXT(INDEX(ENGINE!$AJ$5:$AJ$304,MATCH(4,EngDash,0)),"0.0")))</f>
        <v/>
      </c>
      <c r="J8" s="2" t="str">
        <f t="array" ref="J8">IF($A8="","",INDEX(ENGINE!$AM$5:$AM$304,MATCH(4,EngDash,0)))</f>
        <v/>
      </c>
      <c r="K8" s="2" t="str">
        <f t="array" ref="K8">IF($A8="","",INDEX(ENGINE!$AN$5:$AN$304,MATCH(4,EngDash,0)))</f>
        <v>BET OVER at ≤ -3.0  |  BET UNDER at ≥ 3.0</v>
      </c>
      <c r="L8" s="2" t="str">
        <f t="array" ref="L8">IF($A8="","",INDEX(ENGINE!$AQ$5:$AQ$304,MATCH(4,EngDash,0)))</f>
        <v>PENDING BOTH</v>
      </c>
      <c r="M8" s="2" t="str">
        <f t="array" ref="M8">IF($A8="","",INDEX(ENGINE!$AP$5:$AP$304,MATCH(4,EngDash,0)))</f>
        <v>READY</v>
      </c>
      <c r="N8" s="2">
        <f t="array" ref="N8">IF($A8="","",INDEX(ENGINE!$AS$5:$AS$304,MATCH(4,EngDash,0)))</f>
        <v>50</v>
      </c>
      <c r="O8" s="2">
        <f t="array" ref="O8">IF($A8="","",INDEX(ENGINE!$AT$5:$AT$304,MATCH(4,EngDash,0)))</f>
        <v>1</v>
      </c>
      <c r="P8" s="2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2" t="str">
        <f t="array" ref="Q8">IF($A8="","",INDEX(ENGINE!$AU$5:$AU$304,MATCH(4,EngDash,0)))</f>
        <v/>
      </c>
    </row>
    <row r="9" ht="15.0" customHeight="1">
      <c r="A9" s="2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9">
        <f t="array" ref="B9">IF($A9="","",INDEX(ENGINE!$D$5:$D$304,MATCH(5,EngDash,0)))</f>
        <v>46278</v>
      </c>
      <c r="C9" s="2" t="str">
        <f t="array" ref="C9">IF($A9="","",IF(INDEX(ENGINE!$U$5:$U$304,MATCH(5,EngDash,0))="","PENDING",INDEX(ENGINE!$F$5:$F$304,MATCH(5,EngDash,0))&amp;" "&amp;TEXT(INDEX(ENGINE!$U$5:$U$304,MATCH(5,EngDash,0)),"+0.0;-0.0;""PK""")))</f>
        <v>PENDING</v>
      </c>
      <c r="D9" s="2" t="str">
        <f t="array" ref="D9">IF($A9="","",INDEX(ENGINE!$T$5:$T$304,MATCH(5,EngDash,0)))</f>
        <v>DET -3.4</v>
      </c>
      <c r="E9" s="2" t="str">
        <f t="array" ref="E9">IF($A9="","",IF(INDEX(ENGINE!$V$5:$V$304,MATCH(5,EngDash,0))="","",TEXT(INDEX(ENGINE!$W$5:$W$304,MATCH(5,EngDash,0)),"0.0")&amp;" — "&amp;INDEX(ENGINE!$X$5:$X$304,MATCH(5,EngDash,0))))</f>
        <v/>
      </c>
      <c r="F9" s="2" t="str">
        <f t="array" ref="F9">IF($A9="","",INDEX(ENGINE!$Z$5:$Z$304,MATCH(5,EngDash,0)))</f>
        <v/>
      </c>
      <c r="G9" s="2" t="str">
        <f t="array" ref="G9">IF($A9="","",INDEX(ENGINE!$AH$5:$AH$304,MATCH(5,EngDash,0)))</f>
        <v/>
      </c>
      <c r="H9" s="2">
        <f t="array" ref="H9">IF($A9="","",INDEX(ENGINE!$AG$5:$AG$304,MATCH(5,EngDash,0)))</f>
        <v>0</v>
      </c>
      <c r="I9" s="2" t="str">
        <f t="array" ref="I9">IF($A9="","",IF(INDEX(ENGINE!$AI$5:$AI$304,MATCH(5,EngDash,0))="","",INDEX(ENGINE!$AK$5:$AK$304,MATCH(5,EngDash,0))&amp;" "&amp;TEXT(INDEX(ENGINE!$AJ$5:$AJ$304,MATCH(5,EngDash,0)),"0.0")))</f>
        <v/>
      </c>
      <c r="J9" s="2" t="str">
        <f t="array" ref="J9">IF($A9="","",INDEX(ENGINE!$AM$5:$AM$304,MATCH(5,EngDash,0)))</f>
        <v/>
      </c>
      <c r="K9" s="2" t="str">
        <f t="array" ref="K9">IF($A9="","",INDEX(ENGINE!$AN$5:$AN$304,MATCH(5,EngDash,0)))</f>
        <v>BET OVER at ≤ -3.0  |  BET UNDER at ≥ 3.0</v>
      </c>
      <c r="L9" s="2" t="str">
        <f t="array" ref="L9">IF($A9="","",INDEX(ENGINE!$AQ$5:$AQ$304,MATCH(5,EngDash,0)))</f>
        <v>PENDING BOTH</v>
      </c>
      <c r="M9" s="2" t="str">
        <f t="array" ref="M9">IF($A9="","",INDEX(ENGINE!$AP$5:$AP$304,MATCH(5,EngDash,0)))</f>
        <v>READY</v>
      </c>
      <c r="N9" s="2">
        <f t="array" ref="N9">IF($A9="","",INDEX(ENGINE!$AS$5:$AS$304,MATCH(5,EngDash,0)))</f>
        <v>50</v>
      </c>
      <c r="O9" s="2">
        <f t="array" ref="O9">IF($A9="","",INDEX(ENGINE!$AT$5:$AT$304,MATCH(5,EngDash,0)))</f>
        <v>1</v>
      </c>
      <c r="P9" s="2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2" t="str">
        <f t="array" ref="Q9">IF($A9="","",INDEX(ENGINE!$AU$5:$AU$304,MATCH(5,EngDash,0)))</f>
        <v/>
      </c>
    </row>
    <row r="10" ht="15.0" customHeight="1">
      <c r="A10" s="2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9">
        <f t="array" ref="B10">IF($A10="","",INDEX(ENGINE!$D$5:$D$304,MATCH(6,EngDash,0)))</f>
        <v>46278</v>
      </c>
      <c r="C10" s="2" t="str">
        <f t="array" ref="C10">IF($A10="","",IF(INDEX(ENGINE!$U$5:$U$304,MATCH(6,EngDash,0))="","PENDING",INDEX(ENGINE!$F$5:$F$304,MATCH(6,EngDash,0))&amp;" "&amp;TEXT(INDEX(ENGINE!$U$5:$U$304,MATCH(6,EngDash,0)),"+0.0;-0.0;""PK""")))</f>
        <v>PENDING</v>
      </c>
      <c r="D10" s="2" t="str">
        <f t="array" ref="D10">IF($A10="","",INDEX(ENGINE!$T$5:$T$304,MATCH(6,EngDash,0)))</f>
        <v>HOU -2.6</v>
      </c>
      <c r="E10" s="2" t="str">
        <f t="array" ref="E10">IF($A10="","",IF(INDEX(ENGINE!$V$5:$V$304,MATCH(6,EngDash,0))="","",TEXT(INDEX(ENGINE!$W$5:$W$304,MATCH(6,EngDash,0)),"0.0")&amp;" — "&amp;INDEX(ENGINE!$X$5:$X$304,MATCH(6,EngDash,0))))</f>
        <v/>
      </c>
      <c r="F10" s="2" t="str">
        <f t="array" ref="F10">IF($A10="","",INDEX(ENGINE!$Z$5:$Z$304,MATCH(6,EngDash,0)))</f>
        <v/>
      </c>
      <c r="G10" s="2" t="str">
        <f t="array" ref="G10">IF($A10="","",INDEX(ENGINE!$AH$5:$AH$304,MATCH(6,EngDash,0)))</f>
        <v/>
      </c>
      <c r="H10" s="2">
        <f t="array" ref="H10">IF($A10="","",INDEX(ENGINE!$AG$5:$AG$304,MATCH(6,EngDash,0)))</f>
        <v>0</v>
      </c>
      <c r="I10" s="2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2" t="str">
        <f t="array" ref="J10">IF($A10="","",INDEX(ENGINE!$AM$5:$AM$304,MATCH(6,EngDash,0)))</f>
        <v/>
      </c>
      <c r="K10" s="2" t="str">
        <f t="array" ref="K10">IF($A10="","",INDEX(ENGINE!$AN$5:$AN$304,MATCH(6,EngDash,0)))</f>
        <v>BET OVER at ≤ -3.0  |  BET UNDER at ≥ 3.0</v>
      </c>
      <c r="L10" s="2" t="str">
        <f t="array" ref="L10">IF($A10="","",INDEX(ENGINE!$AQ$5:$AQ$304,MATCH(6,EngDash,0)))</f>
        <v>PENDING BOTH</v>
      </c>
      <c r="M10" s="2" t="str">
        <f t="array" ref="M10">IF($A10="","",INDEX(ENGINE!$AP$5:$AP$304,MATCH(6,EngDash,0)))</f>
        <v>READY</v>
      </c>
      <c r="N10" s="2">
        <f t="array" ref="N10">IF($A10="","",INDEX(ENGINE!$AS$5:$AS$304,MATCH(6,EngDash,0)))</f>
        <v>50</v>
      </c>
      <c r="O10" s="2">
        <f t="array" ref="O10">IF($A10="","",INDEX(ENGINE!$AT$5:$AT$304,MATCH(6,EngDash,0)))</f>
        <v>1</v>
      </c>
      <c r="P10" s="2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2" t="str">
        <f t="array" ref="Q10">IF($A10="","",INDEX(ENGINE!$AU$5:$AU$304,MATCH(6,EngDash,0)))</f>
        <v/>
      </c>
    </row>
    <row r="11" ht="15.0" customHeight="1">
      <c r="A11" s="2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9">
        <f t="array" ref="B11">IF($A11="","",INDEX(ENGINE!$D$5:$D$304,MATCH(7,EngDash,0)))</f>
        <v>46278</v>
      </c>
      <c r="C11" s="2" t="str">
        <f t="array" ref="C11">IF($A11="","",IF(INDEX(ENGINE!$U$5:$U$304,MATCH(7,EngDash,0))="","PENDING",INDEX(ENGINE!$F$5:$F$304,MATCH(7,EngDash,0))&amp;" "&amp;TEXT(INDEX(ENGINE!$U$5:$U$304,MATCH(7,EngDash,0)),"+0.0;-0.0;""PK""")))</f>
        <v>PENDING</v>
      </c>
      <c r="D11" s="2" t="str">
        <f t="array" ref="D11">IF($A11="","",INDEX(ENGINE!$T$5:$T$304,MATCH(7,EngDash,0)))</f>
        <v>IND -1.5</v>
      </c>
      <c r="E11" s="2" t="str">
        <f t="array" ref="E11">IF($A11="","",IF(INDEX(ENGINE!$V$5:$V$304,MATCH(7,EngDash,0))="","",TEXT(INDEX(ENGINE!$W$5:$W$304,MATCH(7,EngDash,0)),"0.0")&amp;" — "&amp;INDEX(ENGINE!$X$5:$X$304,MATCH(7,EngDash,0))))</f>
        <v/>
      </c>
      <c r="F11" s="2" t="str">
        <f t="array" ref="F11">IF($A11="","",INDEX(ENGINE!$Z$5:$Z$304,MATCH(7,EngDash,0)))</f>
        <v/>
      </c>
      <c r="G11" s="2" t="str">
        <f t="array" ref="G11">IF($A11="","",INDEX(ENGINE!$AH$5:$AH$304,MATCH(7,EngDash,0)))</f>
        <v/>
      </c>
      <c r="H11" s="2">
        <f t="array" ref="H11">IF($A11="","",INDEX(ENGINE!$AG$5:$AG$304,MATCH(7,EngDash,0)))</f>
        <v>0</v>
      </c>
      <c r="I11" s="2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2" t="str">
        <f t="array" ref="J11">IF($A11="","",INDEX(ENGINE!$AM$5:$AM$304,MATCH(7,EngDash,0)))</f>
        <v/>
      </c>
      <c r="K11" s="2" t="str">
        <f t="array" ref="K11">IF($A11="","",INDEX(ENGINE!$AN$5:$AN$304,MATCH(7,EngDash,0)))</f>
        <v>BET OVER at ≤ -3.0  |  BET UNDER at ≥ 3.0</v>
      </c>
      <c r="L11" s="2" t="str">
        <f t="array" ref="L11">IF($A11="","",INDEX(ENGINE!$AQ$5:$AQ$304,MATCH(7,EngDash,0)))</f>
        <v>PENDING BOTH</v>
      </c>
      <c r="M11" s="2" t="str">
        <f t="array" ref="M11">IF($A11="","",INDEX(ENGINE!$AP$5:$AP$304,MATCH(7,EngDash,0)))</f>
        <v>READY</v>
      </c>
      <c r="N11" s="2">
        <f t="array" ref="N11">IF($A11="","",INDEX(ENGINE!$AS$5:$AS$304,MATCH(7,EngDash,0)))</f>
        <v>50</v>
      </c>
      <c r="O11" s="2">
        <f t="array" ref="O11">IF($A11="","",INDEX(ENGINE!$AT$5:$AT$304,MATCH(7,EngDash,0)))</f>
        <v>1</v>
      </c>
      <c r="P11" s="2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2" t="str">
        <f t="array" ref="Q11">IF($A11="","",INDEX(ENGINE!$AU$5:$AU$304,MATCH(7,EngDash,0)))</f>
        <v/>
      </c>
    </row>
    <row r="12" ht="15.0" customHeight="1">
      <c r="A12" s="2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9">
        <f t="array" ref="B12">IF($A12="","",INDEX(ENGINE!$D$5:$D$304,MATCH(8,EngDash,0)))</f>
        <v>46278</v>
      </c>
      <c r="C12" s="2" t="str">
        <f t="array" ref="C12">IF($A12="","",IF(INDEX(ENGINE!$U$5:$U$304,MATCH(8,EngDash,0))="","PENDING",INDEX(ENGINE!$F$5:$F$304,MATCH(8,EngDash,0))&amp;" "&amp;TEXT(INDEX(ENGINE!$U$5:$U$304,MATCH(8,EngDash,0)),"+0.0;-0.0;""PK""")))</f>
        <v>PENDING</v>
      </c>
      <c r="D12" s="2" t="str">
        <f t="array" ref="D12">IF($A12="","",INDEX(ENGINE!$T$5:$T$304,MATCH(8,EngDash,0)))</f>
        <v>JAX -7.4</v>
      </c>
      <c r="E12" s="2" t="str">
        <f t="array" ref="E12">IF($A12="","",IF(INDEX(ENGINE!$V$5:$V$304,MATCH(8,EngDash,0))="","",TEXT(INDEX(ENGINE!$W$5:$W$304,MATCH(8,EngDash,0)),"0.0")&amp;" — "&amp;INDEX(ENGINE!$X$5:$X$304,MATCH(8,EngDash,0))))</f>
        <v/>
      </c>
      <c r="F12" s="2" t="str">
        <f t="array" ref="F12">IF($A12="","",INDEX(ENGINE!$Z$5:$Z$304,MATCH(8,EngDash,0)))</f>
        <v/>
      </c>
      <c r="G12" s="2" t="str">
        <f t="array" ref="G12">IF($A12="","",INDEX(ENGINE!$AH$5:$AH$304,MATCH(8,EngDash,0)))</f>
        <v/>
      </c>
      <c r="H12" s="2">
        <f t="array" ref="H12">IF($A12="","",INDEX(ENGINE!$AG$5:$AG$304,MATCH(8,EngDash,0)))</f>
        <v>0</v>
      </c>
      <c r="I12" s="2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2" t="str">
        <f t="array" ref="J12">IF($A12="","",INDEX(ENGINE!$AM$5:$AM$304,MATCH(8,EngDash,0)))</f>
        <v/>
      </c>
      <c r="K12" s="2" t="str">
        <f t="array" ref="K12">IF($A12="","",INDEX(ENGINE!$AN$5:$AN$304,MATCH(8,EngDash,0)))</f>
        <v>BET OVER at ≤ -3.0  |  BET UNDER at ≥ 3.0</v>
      </c>
      <c r="L12" s="2" t="str">
        <f t="array" ref="L12">IF($A12="","",INDEX(ENGINE!$AQ$5:$AQ$304,MATCH(8,EngDash,0)))</f>
        <v>PENDING BOTH</v>
      </c>
      <c r="M12" s="2" t="str">
        <f t="array" ref="M12">IF($A12="","",INDEX(ENGINE!$AP$5:$AP$304,MATCH(8,EngDash,0)))</f>
        <v>READY</v>
      </c>
      <c r="N12" s="2">
        <f t="array" ref="N12">IF($A12="","",INDEX(ENGINE!$AS$5:$AS$304,MATCH(8,EngDash,0)))</f>
        <v>30</v>
      </c>
      <c r="O12" s="2">
        <f t="array" ref="O12">IF($A12="","",INDEX(ENGINE!$AT$5:$AT$304,MATCH(8,EngDash,0)))</f>
        <v>13</v>
      </c>
      <c r="P12" s="2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2" t="str">
        <f t="array" ref="Q12">IF($A12="","",INDEX(ENGINE!$AU$5:$AU$304,MATCH(8,EngDash,0)))</f>
        <v/>
      </c>
    </row>
    <row r="13" ht="15.0" customHeight="1">
      <c r="A13" s="2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9">
        <f t="array" ref="B13">IF($A13="","",INDEX(ENGINE!$D$5:$D$304,MATCH(9,EngDash,0)))</f>
        <v>46278</v>
      </c>
      <c r="C13" s="2" t="str">
        <f t="array" ref="C13">IF($A13="","",IF(INDEX(ENGINE!$U$5:$U$304,MATCH(9,EngDash,0))="","PENDING",INDEX(ENGINE!$F$5:$F$304,MATCH(9,EngDash,0))&amp;" "&amp;TEXT(INDEX(ENGINE!$U$5:$U$304,MATCH(9,EngDash,0)),"+0.0;-0.0;""PK""")))</f>
        <v>PENDING</v>
      </c>
      <c r="D13" s="2" t="str">
        <f t="array" ref="D13">IF($A13="","",INDEX(ENGINE!$T$5:$T$304,MATCH(9,EngDash,0)))</f>
        <v>PIT -2.3</v>
      </c>
      <c r="E13" s="2" t="str">
        <f t="array" ref="E13">IF($A13="","",IF(INDEX(ENGINE!$V$5:$V$304,MATCH(9,EngDash,0))="","",TEXT(INDEX(ENGINE!$W$5:$W$304,MATCH(9,EngDash,0)),"0.0")&amp;" — "&amp;INDEX(ENGINE!$X$5:$X$304,MATCH(9,EngDash,0))))</f>
        <v/>
      </c>
      <c r="F13" s="2" t="str">
        <f t="array" ref="F13">IF($A13="","",INDEX(ENGINE!$Z$5:$Z$304,MATCH(9,EngDash,0)))</f>
        <v/>
      </c>
      <c r="G13" s="2" t="str">
        <f t="array" ref="G13">IF($A13="","",INDEX(ENGINE!$AH$5:$AH$304,MATCH(9,EngDash,0)))</f>
        <v/>
      </c>
      <c r="H13" s="2">
        <f t="array" ref="H13">IF($A13="","",INDEX(ENGINE!$AG$5:$AG$304,MATCH(9,EngDash,0)))</f>
        <v>0</v>
      </c>
      <c r="I13" s="2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2" t="str">
        <f t="array" ref="J13">IF($A13="","",INDEX(ENGINE!$AM$5:$AM$304,MATCH(9,EngDash,0)))</f>
        <v/>
      </c>
      <c r="K13" s="2" t="str">
        <f t="array" ref="K13">IF($A13="","",INDEX(ENGINE!$AN$5:$AN$304,MATCH(9,EngDash,0)))</f>
        <v>BET OVER at ≤ -3.0  |  BET UNDER at ≥ 3.0</v>
      </c>
      <c r="L13" s="2" t="str">
        <f t="array" ref="L13">IF($A13="","",INDEX(ENGINE!$AQ$5:$AQ$304,MATCH(9,EngDash,0)))</f>
        <v>PENDING BOTH</v>
      </c>
      <c r="M13" s="2" t="str">
        <f t="array" ref="M13">IF($A13="","",INDEX(ENGINE!$AP$5:$AP$304,MATCH(9,EngDash,0)))</f>
        <v>READY</v>
      </c>
      <c r="N13" s="2">
        <f t="array" ref="N13">IF($A13="","",INDEX(ENGINE!$AS$5:$AS$304,MATCH(9,EngDash,0)))</f>
        <v>30</v>
      </c>
      <c r="O13" s="2">
        <f t="array" ref="O13">IF($A13="","",INDEX(ENGINE!$AT$5:$AT$304,MATCH(9,EngDash,0)))</f>
        <v>13</v>
      </c>
      <c r="P13" s="2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2" t="str">
        <f t="array" ref="Q13">IF($A13="","",INDEX(ENGINE!$AU$5:$AU$304,MATCH(9,EngDash,0)))</f>
        <v/>
      </c>
    </row>
    <row r="14" ht="15.0" customHeight="1">
      <c r="A14" s="2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9">
        <f t="array" ref="B14">IF($A14="","",INDEX(ENGINE!$D$5:$D$304,MATCH(10,EngDash,0)))</f>
        <v>46278</v>
      </c>
      <c r="C14" s="2" t="str">
        <f t="array" ref="C14">IF($A14="","",IF(INDEX(ENGINE!$U$5:$U$304,MATCH(10,EngDash,0))="","PENDING",INDEX(ENGINE!$F$5:$F$304,MATCH(10,EngDash,0))&amp;" "&amp;TEXT(INDEX(ENGINE!$U$5:$U$304,MATCH(10,EngDash,0)),"+0.0;-0.0;""PK""")))</f>
        <v>PENDING</v>
      </c>
      <c r="D14" s="2" t="str">
        <f t="array" ref="D14">IF($A14="","",INDEX(ENGINE!$T$5:$T$304,MATCH(10,EngDash,0)))</f>
        <v>TEN -3.1</v>
      </c>
      <c r="E14" s="2" t="str">
        <f t="array" ref="E14">IF($A14="","",IF(INDEX(ENGINE!$V$5:$V$304,MATCH(10,EngDash,0))="","",TEXT(INDEX(ENGINE!$W$5:$W$304,MATCH(10,EngDash,0)),"0.0")&amp;" — "&amp;INDEX(ENGINE!$X$5:$X$304,MATCH(10,EngDash,0))))</f>
        <v/>
      </c>
      <c r="F14" s="2" t="str">
        <f t="array" ref="F14">IF($A14="","",INDEX(ENGINE!$Z$5:$Z$304,MATCH(10,EngDash,0)))</f>
        <v/>
      </c>
      <c r="G14" s="2" t="str">
        <f t="array" ref="G14">IF($A14="","",INDEX(ENGINE!$AH$5:$AH$304,MATCH(10,EngDash,0)))</f>
        <v/>
      </c>
      <c r="H14" s="2">
        <f t="array" ref="H14">IF($A14="","",INDEX(ENGINE!$AG$5:$AG$304,MATCH(10,EngDash,0)))</f>
        <v>0</v>
      </c>
      <c r="I14" s="2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2" t="str">
        <f t="array" ref="J14">IF($A14="","",INDEX(ENGINE!$AM$5:$AM$304,MATCH(10,EngDash,0)))</f>
        <v/>
      </c>
      <c r="K14" s="2" t="str">
        <f t="array" ref="K14">IF($A14="","",INDEX(ENGINE!$AN$5:$AN$304,MATCH(10,EngDash,0)))</f>
        <v>BET OVER at ≤ -3.0  |  BET UNDER at ≥ 3.0</v>
      </c>
      <c r="L14" s="2" t="str">
        <f t="array" ref="L14">IF($A14="","",INDEX(ENGINE!$AQ$5:$AQ$304,MATCH(10,EngDash,0)))</f>
        <v>PENDING BOTH</v>
      </c>
      <c r="M14" s="2" t="str">
        <f t="array" ref="M14">IF($A14="","",INDEX(ENGINE!$AP$5:$AP$304,MATCH(10,EngDash,0)))</f>
        <v>READY</v>
      </c>
      <c r="N14" s="2">
        <f t="array" ref="N14">IF($A14="","",INDEX(ENGINE!$AS$5:$AS$304,MATCH(10,EngDash,0)))</f>
        <v>50</v>
      </c>
      <c r="O14" s="2">
        <f t="array" ref="O14">IF($A14="","",INDEX(ENGINE!$AT$5:$AT$304,MATCH(10,EngDash,0)))</f>
        <v>1</v>
      </c>
      <c r="P14" s="2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2" t="str">
        <f t="array" ref="Q14">IF($A14="","",INDEX(ENGINE!$AU$5:$AU$304,MATCH(10,EngDash,0)))</f>
        <v/>
      </c>
    </row>
    <row r="15" ht="15.0" customHeight="1">
      <c r="A15" s="2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9">
        <f t="array" ref="B15">IF($A15="","",INDEX(ENGINE!$D$5:$D$304,MATCH(11,EngDash,0)))</f>
        <v>46278</v>
      </c>
      <c r="C15" s="2" t="str">
        <f t="array" ref="C15">IF($A15="","",IF(INDEX(ENGINE!$U$5:$U$304,MATCH(11,EngDash,0))="","PENDING",INDEX(ENGINE!$F$5:$F$304,MATCH(11,EngDash,0))&amp;" "&amp;TEXT(INDEX(ENGINE!$U$5:$U$304,MATCH(11,EngDash,0)),"+0.0;-0.0;""PK""")))</f>
        <v>PENDING</v>
      </c>
      <c r="D15" s="2" t="str">
        <f t="array" ref="D15">IF($A15="","",INDEX(ENGINE!$T$5:$T$304,MATCH(11,EngDash,0)))</f>
        <v>LAC -4.2</v>
      </c>
      <c r="E15" s="2" t="str">
        <f t="array" ref="E15">IF($A15="","",IF(INDEX(ENGINE!$V$5:$V$304,MATCH(11,EngDash,0))="","",TEXT(INDEX(ENGINE!$W$5:$W$304,MATCH(11,EngDash,0)),"0.0")&amp;" — "&amp;INDEX(ENGINE!$X$5:$X$304,MATCH(11,EngDash,0))))</f>
        <v/>
      </c>
      <c r="F15" s="2" t="str">
        <f t="array" ref="F15">IF($A15="","",INDEX(ENGINE!$Z$5:$Z$304,MATCH(11,EngDash,0)))</f>
        <v/>
      </c>
      <c r="G15" s="2" t="str">
        <f t="array" ref="G15">IF($A15="","",INDEX(ENGINE!$AH$5:$AH$304,MATCH(11,EngDash,0)))</f>
        <v/>
      </c>
      <c r="H15" s="2">
        <f t="array" ref="H15">IF($A15="","",INDEX(ENGINE!$AG$5:$AG$304,MATCH(11,EngDash,0)))</f>
        <v>0</v>
      </c>
      <c r="I15" s="2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2" t="str">
        <f t="array" ref="J15">IF($A15="","",INDEX(ENGINE!$AM$5:$AM$304,MATCH(11,EngDash,0)))</f>
        <v/>
      </c>
      <c r="K15" s="2" t="str">
        <f t="array" ref="K15">IF($A15="","",INDEX(ENGINE!$AN$5:$AN$304,MATCH(11,EngDash,0)))</f>
        <v>BET OVER at ≤ -3.0  |  BET UNDER at ≥ 3.0</v>
      </c>
      <c r="L15" s="2" t="str">
        <f t="array" ref="L15">IF($A15="","",INDEX(ENGINE!$AQ$5:$AQ$304,MATCH(11,EngDash,0)))</f>
        <v>PENDING BOTH</v>
      </c>
      <c r="M15" s="2" t="str">
        <f t="array" ref="M15">IF($A15="","",INDEX(ENGINE!$AP$5:$AP$304,MATCH(11,EngDash,0)))</f>
        <v>READY</v>
      </c>
      <c r="N15" s="2">
        <f t="array" ref="N15">IF($A15="","",INDEX(ENGINE!$AS$5:$AS$304,MATCH(11,EngDash,0)))</f>
        <v>30</v>
      </c>
      <c r="O15" s="2">
        <f t="array" ref="O15">IF($A15="","",INDEX(ENGINE!$AT$5:$AT$304,MATCH(11,EngDash,0)))</f>
        <v>13</v>
      </c>
      <c r="P15" s="2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2" t="str">
        <f t="array" ref="Q15">IF($A15="","",INDEX(ENGINE!$AU$5:$AU$304,MATCH(11,EngDash,0)))</f>
        <v/>
      </c>
    </row>
    <row r="16" ht="15.0" customHeight="1">
      <c r="A16" s="2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9">
        <f t="array" ref="B16">IF($A16="","",INDEX(ENGINE!$D$5:$D$304,MATCH(12,EngDash,0)))</f>
        <v>46278</v>
      </c>
      <c r="C16" s="2" t="str">
        <f t="array" ref="C16">IF($A16="","",IF(INDEX(ENGINE!$U$5:$U$304,MATCH(12,EngDash,0))="","PENDING",INDEX(ENGINE!$F$5:$F$304,MATCH(12,EngDash,0))&amp;" "&amp;TEXT(INDEX(ENGINE!$U$5:$U$304,MATCH(12,EngDash,0)),"+0.0;-0.0;""PK""")))</f>
        <v>PENDING</v>
      </c>
      <c r="D16" s="2" t="str">
        <f t="array" ref="D16">IF($A16="","",INDEX(ENGINE!$T$5:$T$304,MATCH(12,EngDash,0)))</f>
        <v>LV -0.7</v>
      </c>
      <c r="E16" s="2" t="str">
        <f t="array" ref="E16">IF($A16="","",IF(INDEX(ENGINE!$V$5:$V$304,MATCH(12,EngDash,0))="","",TEXT(INDEX(ENGINE!$W$5:$W$304,MATCH(12,EngDash,0)),"0.0")&amp;" — "&amp;INDEX(ENGINE!$X$5:$X$304,MATCH(12,EngDash,0))))</f>
        <v/>
      </c>
      <c r="F16" s="2" t="str">
        <f t="array" ref="F16">IF($A16="","",INDEX(ENGINE!$Z$5:$Z$304,MATCH(12,EngDash,0)))</f>
        <v/>
      </c>
      <c r="G16" s="2" t="str">
        <f t="array" ref="G16">IF($A16="","",INDEX(ENGINE!$AH$5:$AH$304,MATCH(12,EngDash,0)))</f>
        <v/>
      </c>
      <c r="H16" s="2">
        <f t="array" ref="H16">IF($A16="","",INDEX(ENGINE!$AG$5:$AG$304,MATCH(12,EngDash,0)))</f>
        <v>0</v>
      </c>
      <c r="I16" s="2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2" t="str">
        <f t="array" ref="J16">IF($A16="","",INDEX(ENGINE!$AM$5:$AM$304,MATCH(12,EngDash,0)))</f>
        <v/>
      </c>
      <c r="K16" s="2" t="str">
        <f t="array" ref="K16">IF($A16="","",INDEX(ENGINE!$AN$5:$AN$304,MATCH(12,EngDash,0)))</f>
        <v>BET OVER at ≤ -3.0  |  BET UNDER at ≥ 3.0</v>
      </c>
      <c r="L16" s="2" t="str">
        <f t="array" ref="L16">IF($A16="","",INDEX(ENGINE!$AQ$5:$AQ$304,MATCH(12,EngDash,0)))</f>
        <v>PENDING BOTH</v>
      </c>
      <c r="M16" s="2" t="str">
        <f t="array" ref="M16">IF($A16="","",INDEX(ENGINE!$AP$5:$AP$304,MATCH(12,EngDash,0)))</f>
        <v>READY</v>
      </c>
      <c r="N16" s="2">
        <f t="array" ref="N16">IF($A16="","",INDEX(ENGINE!$AS$5:$AS$304,MATCH(12,EngDash,0)))</f>
        <v>50</v>
      </c>
      <c r="O16" s="2">
        <f t="array" ref="O16">IF($A16="","",INDEX(ENGINE!$AT$5:$AT$304,MATCH(12,EngDash,0)))</f>
        <v>1</v>
      </c>
      <c r="P16" s="2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2" t="str">
        <f t="array" ref="Q16">IF($A16="","",INDEX(ENGINE!$AU$5:$AU$304,MATCH(12,EngDash,0)))</f>
        <v/>
      </c>
    </row>
    <row r="17" ht="15.0" customHeight="1">
      <c r="A17" s="2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9">
        <f t="array" ref="B17">IF($A17="","",INDEX(ENGINE!$D$5:$D$304,MATCH(13,EngDash,0)))</f>
        <v>46278</v>
      </c>
      <c r="C17" s="2" t="str">
        <f t="array" ref="C17">IF($A17="","",IF(INDEX(ENGINE!$U$5:$U$304,MATCH(13,EngDash,0))="","PENDING",INDEX(ENGINE!$F$5:$F$304,MATCH(13,EngDash,0))&amp;" "&amp;TEXT(INDEX(ENGINE!$U$5:$U$304,MATCH(13,EngDash,0)),"+0.0;-0.0;""PK""")))</f>
        <v>PENDING</v>
      </c>
      <c r="D17" s="2" t="str">
        <f t="array" ref="D17">IF($A17="","",INDEX(ENGINE!$T$5:$T$304,MATCH(13,EngDash,0)))</f>
        <v>MIN -1.6</v>
      </c>
      <c r="E17" s="2" t="str">
        <f t="array" ref="E17">IF($A17="","",IF(INDEX(ENGINE!$V$5:$V$304,MATCH(13,EngDash,0))="","",TEXT(INDEX(ENGINE!$W$5:$W$304,MATCH(13,EngDash,0)),"0.0")&amp;" — "&amp;INDEX(ENGINE!$X$5:$X$304,MATCH(13,EngDash,0))))</f>
        <v/>
      </c>
      <c r="F17" s="2" t="str">
        <f t="array" ref="F17">IF($A17="","",INDEX(ENGINE!$Z$5:$Z$304,MATCH(13,EngDash,0)))</f>
        <v/>
      </c>
      <c r="G17" s="2" t="str">
        <f t="array" ref="G17">IF($A17="","",INDEX(ENGINE!$AH$5:$AH$304,MATCH(13,EngDash,0)))</f>
        <v/>
      </c>
      <c r="H17" s="2">
        <f t="array" ref="H17">IF($A17="","",INDEX(ENGINE!$AG$5:$AG$304,MATCH(13,EngDash,0)))</f>
        <v>0</v>
      </c>
      <c r="I17" s="2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2" t="str">
        <f t="array" ref="J17">IF($A17="","",INDEX(ENGINE!$AM$5:$AM$304,MATCH(13,EngDash,0)))</f>
        <v/>
      </c>
      <c r="K17" s="2" t="str">
        <f t="array" ref="K17">IF($A17="","",INDEX(ENGINE!$AN$5:$AN$304,MATCH(13,EngDash,0)))</f>
        <v>BET OVER at ≤ -3.0  |  BET UNDER at ≥ 3.0</v>
      </c>
      <c r="L17" s="2" t="str">
        <f t="array" ref="L17">IF($A17="","",INDEX(ENGINE!$AQ$5:$AQ$304,MATCH(13,EngDash,0)))</f>
        <v>PENDING BOTH</v>
      </c>
      <c r="M17" s="2" t="str">
        <f t="array" ref="M17">IF($A17="","",INDEX(ENGINE!$AP$5:$AP$304,MATCH(13,EngDash,0)))</f>
        <v>READY</v>
      </c>
      <c r="N17" s="2">
        <f t="array" ref="N17">IF($A17="","",INDEX(ENGINE!$AS$5:$AS$304,MATCH(13,EngDash,0)))</f>
        <v>30</v>
      </c>
      <c r="O17" s="2">
        <f t="array" ref="O17">IF($A17="","",INDEX(ENGINE!$AT$5:$AT$304,MATCH(13,EngDash,0)))</f>
        <v>13</v>
      </c>
      <c r="P17" s="2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2" t="str">
        <f t="array" ref="Q17">IF($A17="","",INDEX(ENGINE!$AU$5:$AU$304,MATCH(13,EngDash,0)))</f>
        <v/>
      </c>
    </row>
    <row r="18" ht="15.0" customHeight="1">
      <c r="A18" s="2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9">
        <f t="array" ref="B18">IF($A18="","",INDEX(ENGINE!$D$5:$D$304,MATCH(14,EngDash,0)))</f>
        <v>46278</v>
      </c>
      <c r="C18" s="2" t="str">
        <f t="array" ref="C18">IF($A18="","",IF(INDEX(ENGINE!$U$5:$U$304,MATCH(14,EngDash,0))="","PENDING",INDEX(ENGINE!$F$5:$F$304,MATCH(14,EngDash,0))&amp;" "&amp;TEXT(INDEX(ENGINE!$U$5:$U$304,MATCH(14,EngDash,0)),"+0.0;-0.0;""PK""")))</f>
        <v>PENDING</v>
      </c>
      <c r="D18" s="2" t="str">
        <f t="array" ref="D18">IF($A18="","",INDEX(ENGINE!$T$5:$T$304,MATCH(14,EngDash,0)))</f>
        <v>PHI -5.1</v>
      </c>
      <c r="E18" s="2" t="str">
        <f t="array" ref="E18">IF($A18="","",IF(INDEX(ENGINE!$V$5:$V$304,MATCH(14,EngDash,0))="","",TEXT(INDEX(ENGINE!$W$5:$W$304,MATCH(14,EngDash,0)),"0.0")&amp;" — "&amp;INDEX(ENGINE!$X$5:$X$304,MATCH(14,EngDash,0))))</f>
        <v/>
      </c>
      <c r="F18" s="2" t="str">
        <f t="array" ref="F18">IF($A18="","",INDEX(ENGINE!$Z$5:$Z$304,MATCH(14,EngDash,0)))</f>
        <v/>
      </c>
      <c r="G18" s="2" t="str">
        <f t="array" ref="G18">IF($A18="","",INDEX(ENGINE!$AH$5:$AH$304,MATCH(14,EngDash,0)))</f>
        <v/>
      </c>
      <c r="H18" s="2">
        <f t="array" ref="H18">IF($A18="","",INDEX(ENGINE!$AG$5:$AG$304,MATCH(14,EngDash,0)))</f>
        <v>0</v>
      </c>
      <c r="I18" s="2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2" t="str">
        <f t="array" ref="J18">IF($A18="","",INDEX(ENGINE!$AM$5:$AM$304,MATCH(14,EngDash,0)))</f>
        <v/>
      </c>
      <c r="K18" s="2" t="str">
        <f t="array" ref="K18">IF($A18="","",INDEX(ENGINE!$AN$5:$AN$304,MATCH(14,EngDash,0)))</f>
        <v>BET OVER at ≤ -3.0  |  BET UNDER at ≥ 3.0</v>
      </c>
      <c r="L18" s="2" t="str">
        <f t="array" ref="L18">IF($A18="","",INDEX(ENGINE!$AQ$5:$AQ$304,MATCH(14,EngDash,0)))</f>
        <v>PENDING BOTH</v>
      </c>
      <c r="M18" s="2" t="str">
        <f t="array" ref="M18">IF($A18="","",INDEX(ENGINE!$AP$5:$AP$304,MATCH(14,EngDash,0)))</f>
        <v>READY</v>
      </c>
      <c r="N18" s="2">
        <f t="array" ref="N18">IF($A18="","",INDEX(ENGINE!$AS$5:$AS$304,MATCH(14,EngDash,0)))</f>
        <v>50</v>
      </c>
      <c r="O18" s="2">
        <f t="array" ref="O18">IF($A18="","",INDEX(ENGINE!$AT$5:$AT$304,MATCH(14,EngDash,0)))</f>
        <v>1</v>
      </c>
      <c r="P18" s="2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2" t="str">
        <f t="array" ref="Q18">IF($A18="","",INDEX(ENGINE!$AU$5:$AU$304,MATCH(14,EngDash,0)))</f>
        <v/>
      </c>
    </row>
    <row r="19" ht="15.0" customHeight="1">
      <c r="A19" s="2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9">
        <f t="array" ref="B19">IF($A19="","",INDEX(ENGINE!$D$5:$D$304,MATCH(15,EngDash,0)))</f>
        <v>46278</v>
      </c>
      <c r="C19" s="2" t="str">
        <f t="array" ref="C19">IF($A19="","",IF(INDEX(ENGINE!$U$5:$U$304,MATCH(15,EngDash,0))="","PENDING",INDEX(ENGINE!$F$5:$F$304,MATCH(15,EngDash,0))&amp;" "&amp;TEXT(INDEX(ENGINE!$U$5:$U$304,MATCH(15,EngDash,0)),"+0.0;-0.0;""PK""")))</f>
        <v>PENDING</v>
      </c>
      <c r="D19" s="2" t="str">
        <f t="array" ref="D19">IF($A19="","",INDEX(ENGINE!$T$5:$T$304,MATCH(15,EngDash,0)))</f>
        <v>NYG -2.3</v>
      </c>
      <c r="E19" s="2" t="str">
        <f t="array" ref="E19">IF($A19="","",IF(INDEX(ENGINE!$V$5:$V$304,MATCH(15,EngDash,0))="","",TEXT(INDEX(ENGINE!$W$5:$W$304,MATCH(15,EngDash,0)),"0.0")&amp;" — "&amp;INDEX(ENGINE!$X$5:$X$304,MATCH(15,EngDash,0))))</f>
        <v/>
      </c>
      <c r="F19" s="2" t="str">
        <f t="array" ref="F19">IF($A19="","",INDEX(ENGINE!$Z$5:$Z$304,MATCH(15,EngDash,0)))</f>
        <v/>
      </c>
      <c r="G19" s="2" t="str">
        <f t="array" ref="G19">IF($A19="","",INDEX(ENGINE!$AH$5:$AH$304,MATCH(15,EngDash,0)))</f>
        <v/>
      </c>
      <c r="H19" s="2">
        <f t="array" ref="H19">IF($A19="","",INDEX(ENGINE!$AG$5:$AG$304,MATCH(15,EngDash,0)))</f>
        <v>0</v>
      </c>
      <c r="I19" s="2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2" t="str">
        <f t="array" ref="J19">IF($A19="","",INDEX(ENGINE!$AM$5:$AM$304,MATCH(15,EngDash,0)))</f>
        <v/>
      </c>
      <c r="K19" s="2" t="str">
        <f t="array" ref="K19">IF($A19="","",INDEX(ENGINE!$AN$5:$AN$304,MATCH(15,EngDash,0)))</f>
        <v>BET OVER at ≤ -3.0  |  BET UNDER at ≥ 3.0</v>
      </c>
      <c r="L19" s="2" t="str">
        <f t="array" ref="L19">IF($A19="","",INDEX(ENGINE!$AQ$5:$AQ$304,MATCH(15,EngDash,0)))</f>
        <v>PENDING BOTH</v>
      </c>
      <c r="M19" s="2" t="str">
        <f t="array" ref="M19">IF($A19="","",INDEX(ENGINE!$AP$5:$AP$304,MATCH(15,EngDash,0)))</f>
        <v>READY</v>
      </c>
      <c r="N19" s="2">
        <f t="array" ref="N19">IF($A19="","",INDEX(ENGINE!$AS$5:$AS$304,MATCH(15,EngDash,0)))</f>
        <v>50</v>
      </c>
      <c r="O19" s="2">
        <f t="array" ref="O19">IF($A19="","",INDEX(ENGINE!$AT$5:$AT$304,MATCH(15,EngDash,0)))</f>
        <v>1</v>
      </c>
      <c r="P19" s="2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2" t="str">
        <f t="array" ref="Q19">IF($A19="","",INDEX(ENGINE!$AU$5:$AU$304,MATCH(15,EngDash,0)))</f>
        <v/>
      </c>
    </row>
    <row r="20" ht="15.0" customHeight="1">
      <c r="A20" s="2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9">
        <f t="array" ref="B20">IF($A20="","",INDEX(ENGINE!$D$5:$D$304,MATCH(16,EngDash,0)))</f>
        <v>46279</v>
      </c>
      <c r="C20" s="2" t="str">
        <f t="array" ref="C20">IF($A20="","",IF(INDEX(ENGINE!$U$5:$U$304,MATCH(16,EngDash,0))="","PENDING",INDEX(ENGINE!$F$5:$F$304,MATCH(16,EngDash,0))&amp;" "&amp;TEXT(INDEX(ENGINE!$U$5:$U$304,MATCH(16,EngDash,0)),"+0.0;-0.0;""PK""")))</f>
        <v>PENDING</v>
      </c>
      <c r="D20" s="2" t="str">
        <f t="array" ref="D20">IF($A20="","",INDEX(ENGINE!$T$5:$T$304,MATCH(16,EngDash,0)))</f>
        <v>DEN -0.4</v>
      </c>
      <c r="E20" s="2" t="str">
        <f t="array" ref="E20">IF($A20="","",IF(INDEX(ENGINE!$V$5:$V$304,MATCH(16,EngDash,0))="","",TEXT(INDEX(ENGINE!$W$5:$W$304,MATCH(16,EngDash,0)),"0.0")&amp;" — "&amp;INDEX(ENGINE!$X$5:$X$304,MATCH(16,EngDash,0))))</f>
        <v/>
      </c>
      <c r="F20" s="2" t="str">
        <f t="array" ref="F20">IF($A20="","",INDEX(ENGINE!$Z$5:$Z$304,MATCH(16,EngDash,0)))</f>
        <v/>
      </c>
      <c r="G20" s="2" t="str">
        <f t="array" ref="G20">IF($A20="","",INDEX(ENGINE!$AH$5:$AH$304,MATCH(16,EngDash,0)))</f>
        <v/>
      </c>
      <c r="H20" s="2">
        <f t="array" ref="H20">IF($A20="","",INDEX(ENGINE!$AG$5:$AG$304,MATCH(16,EngDash,0)))</f>
        <v>0</v>
      </c>
      <c r="I20" s="2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2" t="str">
        <f t="array" ref="J20">IF($A20="","",INDEX(ENGINE!$AM$5:$AM$304,MATCH(16,EngDash,0)))</f>
        <v/>
      </c>
      <c r="K20" s="2" t="str">
        <f t="array" ref="K20">IF($A20="","",INDEX(ENGINE!$AN$5:$AN$304,MATCH(16,EngDash,0)))</f>
        <v>BET OVER at ≤ -3.0  |  BET UNDER at ≥ 3.0</v>
      </c>
      <c r="L20" s="2" t="str">
        <f t="array" ref="L20">IF($A20="","",INDEX(ENGINE!$AQ$5:$AQ$304,MATCH(16,EngDash,0)))</f>
        <v>PENDING BOTH</v>
      </c>
      <c r="M20" s="2" t="str">
        <f t="array" ref="M20">IF($A20="","",INDEX(ENGINE!$AP$5:$AP$304,MATCH(16,EngDash,0)))</f>
        <v>READY</v>
      </c>
      <c r="N20" s="2">
        <f t="array" ref="N20">IF($A20="","",INDEX(ENGINE!$AS$5:$AS$304,MATCH(16,EngDash,0)))</f>
        <v>50</v>
      </c>
      <c r="O20" s="2">
        <f t="array" ref="O20">IF($A20="","",INDEX(ENGINE!$AT$5:$AT$304,MATCH(16,EngDash,0)))</f>
        <v>1</v>
      </c>
      <c r="P20" s="2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2" t="str">
        <f t="array" ref="Q20">IF($A20="","",INDEX(ENGINE!$AU$5:$AU$304,MATCH(16,EngDash,0)))</f>
        <v/>
      </c>
    </row>
    <row r="21" ht="15.75" customHeight="1">
      <c r="A21" s="2"/>
      <c r="C21" s="2"/>
      <c r="D21" s="2"/>
      <c r="E21" s="2"/>
      <c r="F21" s="2"/>
      <c r="K21" s="2"/>
      <c r="L21" s="2"/>
    </row>
    <row r="22" ht="15.75" customHeight="1">
      <c r="A22" s="2"/>
      <c r="C22" s="2"/>
      <c r="D22" s="2"/>
      <c r="E22" s="2"/>
      <c r="F22" s="2"/>
      <c r="K22" s="2"/>
      <c r="L22" s="2"/>
    </row>
    <row r="23" ht="15.75" customHeight="1">
      <c r="A23" s="2"/>
      <c r="C23" s="2"/>
      <c r="D23" s="2"/>
      <c r="E23" s="2"/>
      <c r="F23" s="2"/>
      <c r="K23" s="2"/>
      <c r="L23" s="2"/>
    </row>
    <row r="24" ht="15.75" customHeight="1">
      <c r="A24" s="2"/>
      <c r="C24" s="2"/>
      <c r="D24" s="2"/>
      <c r="E24" s="2"/>
      <c r="F24" s="2"/>
      <c r="K24" s="2"/>
      <c r="L24" s="2"/>
    </row>
    <row r="25" ht="15.75" customHeight="1">
      <c r="A25" s="2"/>
      <c r="C25" s="2"/>
      <c r="D25" s="2"/>
      <c r="E25" s="2"/>
      <c r="F25" s="2"/>
      <c r="K25" s="2"/>
      <c r="L25" s="2"/>
    </row>
    <row r="26" ht="15.75" customHeight="1">
      <c r="A26" s="2"/>
      <c r="C26" s="2"/>
      <c r="D26" s="2"/>
      <c r="E26" s="2"/>
      <c r="F26" s="2"/>
      <c r="K26" s="2"/>
      <c r="L26" s="2"/>
    </row>
    <row r="27" ht="15.75" customHeight="1">
      <c r="A27" s="2"/>
      <c r="C27" s="2"/>
      <c r="D27" s="2"/>
      <c r="E27" s="2"/>
      <c r="F27" s="2"/>
      <c r="K27" s="2"/>
      <c r="L27" s="2"/>
    </row>
    <row r="28" ht="15.75" customHeight="1">
      <c r="A28" s="2"/>
      <c r="C28" s="2"/>
      <c r="D28" s="2"/>
      <c r="E28" s="2"/>
      <c r="F28" s="2"/>
      <c r="K28" s="2"/>
      <c r="L28" s="2"/>
    </row>
    <row r="29" ht="15.75" customHeight="1">
      <c r="A29" s="2"/>
      <c r="C29" s="2"/>
      <c r="D29" s="2"/>
      <c r="E29" s="2"/>
      <c r="F29" s="2"/>
      <c r="K29" s="2"/>
      <c r="L29" s="2"/>
    </row>
    <row r="30" ht="15.75" customHeight="1">
      <c r="A30" s="2"/>
      <c r="C30" s="2"/>
      <c r="D30" s="2"/>
      <c r="E30" s="2"/>
      <c r="F30" s="2"/>
      <c r="K30" s="2"/>
      <c r="L30" s="2"/>
    </row>
    <row r="31" ht="15.75" customHeight="1">
      <c r="A31" s="2"/>
      <c r="C31" s="2"/>
      <c r="D31" s="2"/>
      <c r="E31" s="2"/>
      <c r="F31" s="2"/>
      <c r="K31" s="2"/>
      <c r="L31" s="2"/>
    </row>
    <row r="32" ht="15.75" customHeight="1">
      <c r="A32" s="2"/>
      <c r="C32" s="2"/>
      <c r="D32" s="2"/>
      <c r="E32" s="2"/>
      <c r="F32" s="2"/>
      <c r="K32" s="2"/>
      <c r="L32" s="2"/>
    </row>
    <row r="33" ht="15.75" customHeight="1">
      <c r="A33" s="2"/>
      <c r="C33" s="2"/>
      <c r="D33" s="2"/>
      <c r="E33" s="2"/>
      <c r="F33" s="2"/>
      <c r="K33" s="2"/>
      <c r="L33" s="2"/>
    </row>
    <row r="34" ht="15.75" customHeight="1">
      <c r="A34" s="2"/>
      <c r="C34" s="2"/>
      <c r="D34" s="2"/>
      <c r="E34" s="2"/>
      <c r="F34" s="2"/>
      <c r="K34" s="2"/>
      <c r="L34" s="2"/>
    </row>
    <row r="35" ht="15.75" customHeight="1">
      <c r="A35" s="2"/>
      <c r="C35" s="2"/>
      <c r="D35" s="2"/>
      <c r="E35" s="2"/>
      <c r="F35" s="2"/>
      <c r="K35" s="2"/>
      <c r="L35" s="2"/>
    </row>
    <row r="36" ht="15.75" customHeight="1">
      <c r="A36" s="2"/>
      <c r="C36" s="2"/>
      <c r="D36" s="2"/>
      <c r="E36" s="2"/>
      <c r="F36" s="2"/>
      <c r="K36" s="2"/>
      <c r="L36" s="2"/>
    </row>
    <row r="37" ht="15.75" customHeight="1">
      <c r="A37" s="2"/>
      <c r="C37" s="2"/>
      <c r="D37" s="2"/>
      <c r="E37" s="2"/>
      <c r="F37" s="2"/>
      <c r="K37" s="2"/>
      <c r="L37" s="2"/>
    </row>
    <row r="38" ht="15.75" customHeight="1">
      <c r="A38" s="2"/>
      <c r="C38" s="2"/>
      <c r="D38" s="2"/>
      <c r="E38" s="2"/>
      <c r="F38" s="2"/>
      <c r="K38" s="2"/>
      <c r="L38" s="2"/>
    </row>
    <row r="39" ht="15.75" customHeight="1">
      <c r="A39" s="2"/>
      <c r="C39" s="2"/>
      <c r="D39" s="2"/>
      <c r="E39" s="2"/>
      <c r="F39" s="2"/>
      <c r="K39" s="2"/>
      <c r="L39" s="2"/>
    </row>
    <row r="40" ht="15.75" customHeight="1">
      <c r="A40" s="2"/>
      <c r="C40" s="2"/>
      <c r="D40" s="2"/>
      <c r="E40" s="2"/>
      <c r="F40" s="2"/>
      <c r="K40" s="2"/>
      <c r="L40" s="2"/>
    </row>
    <row r="41" ht="15.75" customHeight="1">
      <c r="A41" s="2"/>
      <c r="C41" s="2"/>
      <c r="D41" s="2"/>
      <c r="E41" s="2"/>
      <c r="F41" s="2"/>
      <c r="K41" s="2"/>
      <c r="L41" s="2"/>
    </row>
    <row r="42" ht="15.75" customHeight="1">
      <c r="A42" s="2"/>
      <c r="C42" s="2"/>
      <c r="D42" s="2"/>
      <c r="E42" s="2"/>
      <c r="F42" s="2"/>
      <c r="K42" s="2"/>
      <c r="L42" s="2"/>
    </row>
    <row r="43" ht="15.75" customHeight="1">
      <c r="A43" s="2"/>
      <c r="C43" s="2"/>
      <c r="D43" s="2"/>
      <c r="E43" s="2"/>
      <c r="F43" s="2"/>
      <c r="K43" s="2"/>
      <c r="L43" s="2"/>
    </row>
    <row r="44" ht="15.75" customHeight="1">
      <c r="A44" s="2"/>
      <c r="C44" s="2"/>
      <c r="D44" s="2"/>
      <c r="E44" s="2"/>
      <c r="F44" s="2"/>
      <c r="K44" s="2"/>
      <c r="L44" s="2"/>
    </row>
    <row r="45" ht="15.75" customHeight="1">
      <c r="A45" s="2"/>
      <c r="C45" s="2"/>
      <c r="D45" s="2"/>
      <c r="E45" s="2"/>
      <c r="F45" s="2"/>
      <c r="K45" s="2"/>
      <c r="L45" s="2"/>
    </row>
    <row r="46" ht="15.75" customHeight="1">
      <c r="A46" s="2"/>
      <c r="C46" s="2"/>
      <c r="D46" s="2"/>
      <c r="E46" s="2"/>
      <c r="F46" s="2"/>
      <c r="K46" s="2"/>
      <c r="L46" s="2"/>
    </row>
    <row r="47" ht="15.75" customHeight="1">
      <c r="A47" s="2"/>
      <c r="C47" s="2"/>
      <c r="D47" s="2"/>
      <c r="E47" s="2"/>
      <c r="F47" s="2"/>
      <c r="K47" s="2"/>
      <c r="L47" s="2"/>
    </row>
    <row r="48" ht="15.75" customHeight="1">
      <c r="A48" s="2"/>
      <c r="C48" s="2"/>
      <c r="D48" s="2"/>
      <c r="E48" s="2"/>
      <c r="F48" s="2"/>
      <c r="K48" s="2"/>
      <c r="L48" s="2"/>
    </row>
    <row r="49" ht="15.75" customHeight="1">
      <c r="A49" s="2"/>
      <c r="C49" s="2"/>
      <c r="D49" s="2"/>
      <c r="E49" s="2"/>
      <c r="F49" s="2"/>
      <c r="K49" s="2"/>
      <c r="L49" s="2"/>
    </row>
    <row r="50" ht="15.75" customHeight="1">
      <c r="A50" s="2"/>
      <c r="C50" s="2"/>
      <c r="D50" s="2"/>
      <c r="E50" s="2"/>
      <c r="F50" s="2"/>
      <c r="K50" s="2"/>
      <c r="L50" s="2"/>
    </row>
    <row r="51" ht="15.75" customHeight="1">
      <c r="A51" s="2"/>
      <c r="C51" s="2"/>
      <c r="D51" s="2"/>
      <c r="E51" s="2"/>
      <c r="F51" s="2"/>
      <c r="K51" s="2"/>
      <c r="L51" s="2"/>
    </row>
    <row r="52" ht="15.75" customHeight="1">
      <c r="A52" s="2"/>
      <c r="C52" s="2"/>
      <c r="D52" s="2"/>
      <c r="E52" s="2"/>
      <c r="F52" s="2"/>
      <c r="K52" s="2"/>
      <c r="L52" s="2"/>
    </row>
    <row r="53" ht="15.75" customHeight="1">
      <c r="A53" s="2"/>
      <c r="C53" s="2"/>
      <c r="D53" s="2"/>
      <c r="E53" s="2"/>
      <c r="F53" s="2"/>
      <c r="K53" s="2"/>
      <c r="L53" s="2"/>
    </row>
    <row r="54" ht="15.75" customHeight="1">
      <c r="A54" s="2"/>
      <c r="C54" s="2"/>
      <c r="D54" s="2"/>
      <c r="E54" s="2"/>
      <c r="F54" s="2"/>
      <c r="K54" s="2"/>
      <c r="L54" s="2"/>
    </row>
    <row r="55" ht="15.75" customHeight="1">
      <c r="A55" s="2"/>
      <c r="C55" s="2"/>
      <c r="D55" s="2"/>
      <c r="E55" s="2"/>
      <c r="F55" s="2"/>
      <c r="K55" s="2"/>
      <c r="L55" s="2"/>
    </row>
    <row r="56" ht="15.75" customHeight="1">
      <c r="A56" s="2"/>
      <c r="C56" s="2"/>
      <c r="D56" s="2"/>
      <c r="E56" s="2"/>
      <c r="F56" s="2"/>
      <c r="K56" s="2"/>
      <c r="L56" s="2"/>
    </row>
    <row r="57" ht="15.75" customHeight="1">
      <c r="A57" s="2"/>
      <c r="C57" s="2"/>
      <c r="D57" s="2"/>
      <c r="E57" s="2"/>
      <c r="F57" s="2"/>
      <c r="K57" s="2"/>
      <c r="L57" s="2"/>
    </row>
    <row r="58" ht="15.75" customHeight="1">
      <c r="A58" s="2"/>
      <c r="C58" s="2"/>
      <c r="D58" s="2"/>
      <c r="E58" s="2"/>
      <c r="F58" s="2"/>
      <c r="K58" s="2"/>
      <c r="L58" s="2"/>
    </row>
    <row r="59" ht="15.75" customHeight="1">
      <c r="A59" s="2"/>
      <c r="C59" s="2"/>
      <c r="D59" s="2"/>
      <c r="E59" s="2"/>
      <c r="F59" s="2"/>
      <c r="K59" s="2"/>
      <c r="L59" s="2"/>
    </row>
    <row r="60" ht="15.75" customHeight="1">
      <c r="A60" s="2"/>
      <c r="C60" s="2"/>
      <c r="D60" s="2"/>
      <c r="E60" s="2"/>
      <c r="F60" s="2"/>
      <c r="K60" s="2"/>
      <c r="L60" s="2"/>
    </row>
    <row r="61" ht="15.75" customHeight="1">
      <c r="A61" s="2"/>
      <c r="C61" s="2"/>
      <c r="D61" s="2"/>
      <c r="E61" s="2"/>
      <c r="F61" s="2"/>
      <c r="K61" s="2"/>
      <c r="L61" s="2"/>
    </row>
    <row r="62" ht="15.75" customHeight="1">
      <c r="A62" s="2"/>
      <c r="C62" s="2"/>
      <c r="D62" s="2"/>
      <c r="E62" s="2"/>
      <c r="F62" s="2"/>
      <c r="K62" s="2"/>
      <c r="L62" s="2"/>
    </row>
    <row r="63" ht="15.75" customHeight="1">
      <c r="A63" s="2"/>
      <c r="C63" s="2"/>
      <c r="D63" s="2"/>
      <c r="E63" s="2"/>
      <c r="F63" s="2"/>
      <c r="K63" s="2"/>
      <c r="L63" s="2"/>
    </row>
    <row r="64" ht="15.75" customHeight="1">
      <c r="A64" s="2"/>
      <c r="C64" s="2"/>
      <c r="D64" s="2"/>
      <c r="E64" s="2"/>
      <c r="F64" s="2"/>
      <c r="K64" s="2"/>
      <c r="L64" s="2"/>
    </row>
    <row r="65" ht="15.75" customHeight="1">
      <c r="A65" s="2"/>
      <c r="C65" s="2"/>
      <c r="D65" s="2"/>
      <c r="E65" s="2"/>
      <c r="F65" s="2"/>
      <c r="K65" s="2"/>
      <c r="L65" s="2"/>
    </row>
    <row r="66" ht="15.75" customHeight="1">
      <c r="A66" s="2"/>
      <c r="C66" s="2"/>
      <c r="D66" s="2"/>
      <c r="E66" s="2"/>
      <c r="F66" s="2"/>
      <c r="K66" s="2"/>
      <c r="L66" s="2"/>
    </row>
    <row r="67" ht="15.75" customHeight="1">
      <c r="A67" s="2"/>
      <c r="C67" s="2"/>
      <c r="D67" s="2"/>
      <c r="E67" s="2"/>
      <c r="F67" s="2"/>
      <c r="K67" s="2"/>
      <c r="L67" s="2"/>
    </row>
    <row r="68" ht="15.75" customHeight="1">
      <c r="A68" s="2"/>
      <c r="C68" s="2"/>
      <c r="D68" s="2"/>
      <c r="E68" s="2"/>
      <c r="F68" s="2"/>
      <c r="K68" s="2"/>
      <c r="L68" s="2"/>
    </row>
    <row r="69" ht="15.75" customHeight="1">
      <c r="A69" s="2"/>
      <c r="C69" s="2"/>
      <c r="D69" s="2"/>
      <c r="E69" s="2"/>
      <c r="F69" s="2"/>
      <c r="K69" s="2"/>
      <c r="L69" s="2"/>
    </row>
    <row r="70" ht="15.75" customHeight="1">
      <c r="A70" s="2"/>
      <c r="C70" s="2"/>
      <c r="D70" s="2"/>
      <c r="E70" s="2"/>
      <c r="F70" s="2"/>
      <c r="K70" s="2"/>
      <c r="L70" s="2"/>
    </row>
    <row r="71" ht="15.75" customHeight="1">
      <c r="A71" s="2"/>
      <c r="C71" s="2"/>
      <c r="D71" s="2"/>
      <c r="E71" s="2"/>
      <c r="F71" s="2"/>
      <c r="K71" s="2"/>
      <c r="L71" s="2"/>
    </row>
    <row r="72" ht="15.75" customHeight="1">
      <c r="A72" s="2"/>
      <c r="C72" s="2"/>
      <c r="D72" s="2"/>
      <c r="E72" s="2"/>
      <c r="F72" s="2"/>
      <c r="K72" s="2"/>
      <c r="L72" s="2"/>
    </row>
    <row r="73" ht="15.75" customHeight="1">
      <c r="A73" s="2"/>
      <c r="C73" s="2"/>
      <c r="D73" s="2"/>
      <c r="E73" s="2"/>
      <c r="F73" s="2"/>
      <c r="K73" s="2"/>
      <c r="L73" s="2"/>
    </row>
    <row r="74" ht="15.75" customHeight="1">
      <c r="A74" s="2"/>
      <c r="C74" s="2"/>
      <c r="D74" s="2"/>
      <c r="E74" s="2"/>
      <c r="F74" s="2"/>
      <c r="K74" s="2"/>
      <c r="L74" s="2"/>
    </row>
    <row r="75" ht="15.75" customHeight="1">
      <c r="A75" s="2"/>
      <c r="C75" s="2"/>
      <c r="D75" s="2"/>
      <c r="E75" s="2"/>
      <c r="F75" s="2"/>
      <c r="K75" s="2"/>
      <c r="L75" s="2"/>
    </row>
    <row r="76" ht="15.75" customHeight="1">
      <c r="A76" s="2"/>
      <c r="C76" s="2"/>
      <c r="D76" s="2"/>
      <c r="E76" s="2"/>
      <c r="F76" s="2"/>
      <c r="K76" s="2"/>
      <c r="L76" s="2"/>
    </row>
    <row r="77" ht="15.75" customHeight="1">
      <c r="A77" s="2"/>
      <c r="C77" s="2"/>
      <c r="D77" s="2"/>
      <c r="E77" s="2"/>
      <c r="F77" s="2"/>
      <c r="K77" s="2"/>
      <c r="L77" s="2"/>
    </row>
    <row r="78" ht="15.75" customHeight="1">
      <c r="A78" s="2"/>
      <c r="C78" s="2"/>
      <c r="D78" s="2"/>
      <c r="E78" s="2"/>
      <c r="F78" s="2"/>
      <c r="K78" s="2"/>
      <c r="L78" s="2"/>
    </row>
    <row r="79" ht="15.75" customHeight="1">
      <c r="A79" s="2"/>
      <c r="C79" s="2"/>
      <c r="D79" s="2"/>
      <c r="E79" s="2"/>
      <c r="F79" s="2"/>
      <c r="K79" s="2"/>
      <c r="L79" s="2"/>
    </row>
    <row r="80" ht="15.75" customHeight="1">
      <c r="A80" s="2"/>
      <c r="C80" s="2"/>
      <c r="D80" s="2"/>
      <c r="E80" s="2"/>
      <c r="F80" s="2"/>
      <c r="K80" s="2"/>
      <c r="L80" s="2"/>
    </row>
    <row r="81" ht="15.75" customHeight="1">
      <c r="A81" s="2"/>
      <c r="C81" s="2"/>
      <c r="D81" s="2"/>
      <c r="E81" s="2"/>
      <c r="F81" s="2"/>
      <c r="K81" s="2"/>
      <c r="L81" s="2"/>
    </row>
    <row r="82" ht="15.75" customHeight="1">
      <c r="A82" s="2"/>
      <c r="C82" s="2"/>
      <c r="D82" s="2"/>
      <c r="E82" s="2"/>
      <c r="F82" s="2"/>
      <c r="K82" s="2"/>
      <c r="L82" s="2"/>
    </row>
    <row r="83" ht="15.75" customHeight="1">
      <c r="A83" s="2"/>
      <c r="C83" s="2"/>
      <c r="D83" s="2"/>
      <c r="E83" s="2"/>
      <c r="F83" s="2"/>
      <c r="K83" s="2"/>
      <c r="L83" s="2"/>
    </row>
    <row r="84" ht="15.75" customHeight="1">
      <c r="A84" s="2"/>
      <c r="C84" s="2"/>
      <c r="D84" s="2"/>
      <c r="E84" s="2"/>
      <c r="F84" s="2"/>
      <c r="K84" s="2"/>
      <c r="L84" s="2"/>
    </row>
    <row r="85" ht="15.75" customHeight="1">
      <c r="A85" s="2"/>
      <c r="C85" s="2"/>
      <c r="D85" s="2"/>
      <c r="E85" s="2"/>
      <c r="F85" s="2"/>
      <c r="K85" s="2"/>
      <c r="L85" s="2"/>
    </row>
    <row r="86" ht="15.75" customHeight="1">
      <c r="A86" s="2"/>
      <c r="C86" s="2"/>
      <c r="D86" s="2"/>
      <c r="E86" s="2"/>
      <c r="F86" s="2"/>
      <c r="K86" s="2"/>
      <c r="L86" s="2"/>
    </row>
    <row r="87" ht="15.75" customHeight="1">
      <c r="A87" s="2"/>
      <c r="C87" s="2"/>
      <c r="D87" s="2"/>
      <c r="E87" s="2"/>
      <c r="F87" s="2"/>
      <c r="K87" s="2"/>
      <c r="L87" s="2"/>
    </row>
    <row r="88" ht="15.75" customHeight="1">
      <c r="A88" s="2"/>
      <c r="C88" s="2"/>
      <c r="D88" s="2"/>
      <c r="E88" s="2"/>
      <c r="F88" s="2"/>
      <c r="K88" s="2"/>
      <c r="L88" s="2"/>
    </row>
    <row r="89" ht="15.75" customHeight="1">
      <c r="A89" s="2"/>
      <c r="C89" s="2"/>
      <c r="D89" s="2"/>
      <c r="E89" s="2"/>
      <c r="F89" s="2"/>
      <c r="K89" s="2"/>
      <c r="L89" s="2"/>
    </row>
    <row r="90" ht="15.75" customHeight="1">
      <c r="A90" s="2"/>
      <c r="C90" s="2"/>
      <c r="D90" s="2"/>
      <c r="E90" s="2"/>
      <c r="F90" s="2"/>
      <c r="K90" s="2"/>
      <c r="L90" s="2"/>
    </row>
    <row r="91" ht="15.75" customHeight="1">
      <c r="A91" s="2"/>
      <c r="C91" s="2"/>
      <c r="D91" s="2"/>
      <c r="E91" s="2"/>
      <c r="F91" s="2"/>
      <c r="K91" s="2"/>
      <c r="L91" s="2"/>
    </row>
    <row r="92" ht="15.75" customHeight="1">
      <c r="A92" s="2"/>
      <c r="C92" s="2"/>
      <c r="D92" s="2"/>
      <c r="E92" s="2"/>
      <c r="F92" s="2"/>
      <c r="K92" s="2"/>
      <c r="L92" s="2"/>
    </row>
    <row r="93" ht="15.75" customHeight="1">
      <c r="A93" s="2"/>
      <c r="C93" s="2"/>
      <c r="D93" s="2"/>
      <c r="E93" s="2"/>
      <c r="F93" s="2"/>
      <c r="K93" s="2"/>
      <c r="L93" s="2"/>
    </row>
    <row r="94" ht="15.75" customHeight="1">
      <c r="A94" s="2"/>
      <c r="C94" s="2"/>
      <c r="D94" s="2"/>
      <c r="E94" s="2"/>
      <c r="F94" s="2"/>
      <c r="K94" s="2"/>
      <c r="L94" s="2"/>
    </row>
    <row r="95" ht="15.75" customHeight="1">
      <c r="A95" s="2"/>
      <c r="C95" s="2"/>
      <c r="D95" s="2"/>
      <c r="E95" s="2"/>
      <c r="F95" s="2"/>
      <c r="K95" s="2"/>
      <c r="L95" s="2"/>
    </row>
    <row r="96" ht="15.75" customHeight="1">
      <c r="A96" s="2"/>
      <c r="C96" s="2"/>
      <c r="D96" s="2"/>
      <c r="E96" s="2"/>
      <c r="F96" s="2"/>
      <c r="K96" s="2"/>
      <c r="L96" s="2"/>
    </row>
    <row r="97" ht="15.75" customHeight="1">
      <c r="A97" s="2"/>
      <c r="C97" s="2"/>
      <c r="D97" s="2"/>
      <c r="E97" s="2"/>
      <c r="F97" s="2"/>
      <c r="K97" s="2"/>
      <c r="L97" s="2"/>
    </row>
    <row r="98" ht="15.75" customHeight="1">
      <c r="A98" s="2"/>
      <c r="C98" s="2"/>
      <c r="D98" s="2"/>
      <c r="E98" s="2"/>
      <c r="F98" s="2"/>
      <c r="K98" s="2"/>
      <c r="L98" s="2"/>
    </row>
    <row r="99" ht="15.75" customHeight="1">
      <c r="A99" s="2"/>
      <c r="C99" s="2"/>
      <c r="D99" s="2"/>
      <c r="E99" s="2"/>
      <c r="F99" s="2"/>
      <c r="K99" s="2"/>
      <c r="L99" s="2"/>
    </row>
    <row r="100" ht="15.75" customHeight="1">
      <c r="A100" s="2"/>
      <c r="C100" s="2"/>
      <c r="D100" s="2"/>
      <c r="E100" s="2"/>
      <c r="F100" s="2"/>
      <c r="K100" s="2"/>
      <c r="L100" s="2"/>
    </row>
    <row r="101" ht="15.75" customHeight="1">
      <c r="A101" s="2"/>
      <c r="C101" s="2"/>
      <c r="D101" s="2"/>
      <c r="E101" s="2"/>
      <c r="F101" s="2"/>
      <c r="K101" s="2"/>
      <c r="L101" s="2"/>
    </row>
    <row r="102" ht="15.75" customHeight="1">
      <c r="A102" s="2"/>
      <c r="C102" s="2"/>
      <c r="D102" s="2"/>
      <c r="E102" s="2"/>
      <c r="F102" s="2"/>
      <c r="K102" s="2"/>
      <c r="L102" s="2"/>
    </row>
    <row r="103" ht="15.75" customHeight="1">
      <c r="A103" s="2"/>
      <c r="C103" s="2"/>
      <c r="D103" s="2"/>
      <c r="E103" s="2"/>
      <c r="F103" s="2"/>
      <c r="K103" s="2"/>
      <c r="L103" s="2"/>
    </row>
    <row r="104" ht="15.75" customHeight="1">
      <c r="A104" s="2"/>
      <c r="C104" s="2"/>
      <c r="D104" s="2"/>
      <c r="E104" s="2"/>
      <c r="F104" s="2"/>
      <c r="K104" s="2"/>
      <c r="L104" s="2"/>
    </row>
    <row r="105" ht="15.75" customHeight="1">
      <c r="A105" s="2"/>
      <c r="C105" s="2"/>
      <c r="D105" s="2"/>
      <c r="E105" s="2"/>
      <c r="F105" s="2"/>
      <c r="K105" s="2"/>
      <c r="L105" s="2"/>
    </row>
    <row r="106" ht="15.75" customHeight="1">
      <c r="A106" s="2"/>
      <c r="C106" s="2"/>
      <c r="D106" s="2"/>
      <c r="E106" s="2"/>
      <c r="F106" s="2"/>
      <c r="K106" s="2"/>
      <c r="L106" s="2"/>
    </row>
    <row r="107" ht="15.75" customHeight="1">
      <c r="A107" s="2"/>
      <c r="C107" s="2"/>
      <c r="D107" s="2"/>
      <c r="E107" s="2"/>
      <c r="F107" s="2"/>
      <c r="K107" s="2"/>
      <c r="L107" s="2"/>
    </row>
    <row r="108" ht="15.75" customHeight="1">
      <c r="A108" s="2"/>
      <c r="C108" s="2"/>
      <c r="D108" s="2"/>
      <c r="E108" s="2"/>
      <c r="F108" s="2"/>
      <c r="K108" s="2"/>
      <c r="L108" s="2"/>
    </row>
    <row r="109" ht="15.75" customHeight="1">
      <c r="A109" s="2"/>
      <c r="C109" s="2"/>
      <c r="D109" s="2"/>
      <c r="E109" s="2"/>
      <c r="F109" s="2"/>
      <c r="K109" s="2"/>
      <c r="L109" s="2"/>
    </row>
    <row r="110" ht="15.75" customHeight="1">
      <c r="A110" s="2"/>
      <c r="C110" s="2"/>
      <c r="D110" s="2"/>
      <c r="E110" s="2"/>
      <c r="F110" s="2"/>
      <c r="K110" s="2"/>
      <c r="L110" s="2"/>
    </row>
    <row r="111" ht="15.75" customHeight="1">
      <c r="A111" s="2"/>
      <c r="C111" s="2"/>
      <c r="D111" s="2"/>
      <c r="E111" s="2"/>
      <c r="F111" s="2"/>
      <c r="K111" s="2"/>
      <c r="L111" s="2"/>
    </row>
    <row r="112" ht="15.75" customHeight="1">
      <c r="A112" s="2"/>
      <c r="C112" s="2"/>
      <c r="D112" s="2"/>
      <c r="E112" s="2"/>
      <c r="F112" s="2"/>
      <c r="K112" s="2"/>
      <c r="L112" s="2"/>
    </row>
    <row r="113" ht="15.75" customHeight="1">
      <c r="A113" s="2"/>
      <c r="C113" s="2"/>
      <c r="D113" s="2"/>
      <c r="E113" s="2"/>
      <c r="F113" s="2"/>
      <c r="K113" s="2"/>
      <c r="L113" s="2"/>
    </row>
    <row r="114" ht="15.75" customHeight="1">
      <c r="A114" s="2"/>
      <c r="C114" s="2"/>
      <c r="D114" s="2"/>
      <c r="E114" s="2"/>
      <c r="F114" s="2"/>
      <c r="K114" s="2"/>
      <c r="L114" s="2"/>
    </row>
    <row r="115" ht="15.75" customHeight="1">
      <c r="A115" s="2"/>
      <c r="C115" s="2"/>
      <c r="D115" s="2"/>
      <c r="E115" s="2"/>
      <c r="F115" s="2"/>
      <c r="K115" s="2"/>
      <c r="L115" s="2"/>
    </row>
    <row r="116" ht="15.75" customHeight="1">
      <c r="A116" s="2"/>
      <c r="C116" s="2"/>
      <c r="D116" s="2"/>
      <c r="E116" s="2"/>
      <c r="F116" s="2"/>
      <c r="K116" s="2"/>
      <c r="L116" s="2"/>
    </row>
    <row r="117" ht="15.75" customHeight="1">
      <c r="A117" s="2"/>
      <c r="C117" s="2"/>
      <c r="D117" s="2"/>
      <c r="E117" s="2"/>
      <c r="F117" s="2"/>
      <c r="K117" s="2"/>
      <c r="L117" s="2"/>
    </row>
    <row r="118" ht="15.75" customHeight="1">
      <c r="A118" s="2"/>
      <c r="C118" s="2"/>
      <c r="D118" s="2"/>
      <c r="E118" s="2"/>
      <c r="F118" s="2"/>
      <c r="K118" s="2"/>
      <c r="L118" s="2"/>
    </row>
    <row r="119" ht="15.75" customHeight="1">
      <c r="A119" s="2"/>
      <c r="C119" s="2"/>
      <c r="D119" s="2"/>
      <c r="E119" s="2"/>
      <c r="F119" s="2"/>
      <c r="K119" s="2"/>
      <c r="L119" s="2"/>
    </row>
    <row r="120" ht="15.75" customHeight="1">
      <c r="A120" s="2"/>
      <c r="C120" s="2"/>
      <c r="D120" s="2"/>
      <c r="E120" s="2"/>
      <c r="F120" s="2"/>
      <c r="K120" s="2"/>
      <c r="L120" s="2"/>
    </row>
    <row r="121" ht="15.75" customHeight="1">
      <c r="A121" s="2"/>
      <c r="C121" s="2"/>
      <c r="D121" s="2"/>
      <c r="E121" s="2"/>
      <c r="F121" s="2"/>
      <c r="K121" s="2"/>
      <c r="L121" s="2"/>
    </row>
    <row r="122" ht="15.75" customHeight="1">
      <c r="A122" s="2"/>
      <c r="C122" s="2"/>
      <c r="D122" s="2"/>
      <c r="E122" s="2"/>
      <c r="F122" s="2"/>
      <c r="K122" s="2"/>
      <c r="L122" s="2"/>
    </row>
    <row r="123" ht="15.75" customHeight="1">
      <c r="A123" s="2"/>
      <c r="C123" s="2"/>
      <c r="D123" s="2"/>
      <c r="E123" s="2"/>
      <c r="F123" s="2"/>
      <c r="K123" s="2"/>
      <c r="L123" s="2"/>
    </row>
    <row r="124" ht="15.75" customHeight="1">
      <c r="A124" s="2"/>
      <c r="C124" s="2"/>
      <c r="D124" s="2"/>
      <c r="E124" s="2"/>
      <c r="F124" s="2"/>
      <c r="K124" s="2"/>
      <c r="L124" s="2"/>
    </row>
    <row r="125" ht="15.75" customHeight="1">
      <c r="A125" s="2"/>
      <c r="C125" s="2"/>
      <c r="D125" s="2"/>
      <c r="E125" s="2"/>
      <c r="F125" s="2"/>
      <c r="K125" s="2"/>
      <c r="L125" s="2"/>
    </row>
    <row r="126" ht="15.75" customHeight="1">
      <c r="A126" s="2"/>
      <c r="C126" s="2"/>
      <c r="D126" s="2"/>
      <c r="E126" s="2"/>
      <c r="F126" s="2"/>
      <c r="K126" s="2"/>
      <c r="L126" s="2"/>
    </row>
    <row r="127" ht="15.75" customHeight="1">
      <c r="A127" s="2"/>
      <c r="C127" s="2"/>
      <c r="D127" s="2"/>
      <c r="E127" s="2"/>
      <c r="F127" s="2"/>
      <c r="K127" s="2"/>
      <c r="L127" s="2"/>
    </row>
    <row r="128" ht="15.75" customHeight="1">
      <c r="A128" s="2"/>
      <c r="C128" s="2"/>
      <c r="D128" s="2"/>
      <c r="E128" s="2"/>
      <c r="F128" s="2"/>
      <c r="K128" s="2"/>
      <c r="L128" s="2"/>
    </row>
    <row r="129" ht="15.75" customHeight="1">
      <c r="A129" s="2"/>
      <c r="C129" s="2"/>
      <c r="D129" s="2"/>
      <c r="E129" s="2"/>
      <c r="F129" s="2"/>
      <c r="K129" s="2"/>
      <c r="L129" s="2"/>
    </row>
    <row r="130" ht="15.75" customHeight="1">
      <c r="A130" s="2"/>
      <c r="C130" s="2"/>
      <c r="D130" s="2"/>
      <c r="E130" s="2"/>
      <c r="F130" s="2"/>
      <c r="K130" s="2"/>
      <c r="L130" s="2"/>
    </row>
    <row r="131" ht="15.75" customHeight="1">
      <c r="A131" s="2"/>
      <c r="C131" s="2"/>
      <c r="D131" s="2"/>
      <c r="E131" s="2"/>
      <c r="F131" s="2"/>
      <c r="K131" s="2"/>
      <c r="L131" s="2"/>
    </row>
    <row r="132" ht="15.75" customHeight="1">
      <c r="A132" s="2"/>
      <c r="C132" s="2"/>
      <c r="D132" s="2"/>
      <c r="E132" s="2"/>
      <c r="F132" s="2"/>
      <c r="K132" s="2"/>
      <c r="L132" s="2"/>
    </row>
    <row r="133" ht="15.75" customHeight="1">
      <c r="A133" s="2"/>
      <c r="C133" s="2"/>
      <c r="D133" s="2"/>
      <c r="E133" s="2"/>
      <c r="F133" s="2"/>
      <c r="K133" s="2"/>
      <c r="L133" s="2"/>
    </row>
    <row r="134" ht="15.75" customHeight="1">
      <c r="A134" s="2"/>
      <c r="C134" s="2"/>
      <c r="D134" s="2"/>
      <c r="E134" s="2"/>
      <c r="F134" s="2"/>
      <c r="K134" s="2"/>
      <c r="L134" s="2"/>
    </row>
    <row r="135" ht="15.75" customHeight="1">
      <c r="A135" s="2"/>
      <c r="C135" s="2"/>
      <c r="D135" s="2"/>
      <c r="E135" s="2"/>
      <c r="F135" s="2"/>
      <c r="K135" s="2"/>
      <c r="L135" s="2"/>
    </row>
    <row r="136" ht="15.75" customHeight="1">
      <c r="A136" s="2"/>
      <c r="C136" s="2"/>
      <c r="D136" s="2"/>
      <c r="E136" s="2"/>
      <c r="F136" s="2"/>
      <c r="K136" s="2"/>
      <c r="L136" s="2"/>
    </row>
    <row r="137" ht="15.75" customHeight="1">
      <c r="A137" s="2"/>
      <c r="C137" s="2"/>
      <c r="D137" s="2"/>
      <c r="E137" s="2"/>
      <c r="F137" s="2"/>
      <c r="K137" s="2"/>
      <c r="L137" s="2"/>
    </row>
    <row r="138" ht="15.75" customHeight="1">
      <c r="A138" s="2"/>
      <c r="C138" s="2"/>
      <c r="D138" s="2"/>
      <c r="E138" s="2"/>
      <c r="F138" s="2"/>
      <c r="K138" s="2"/>
      <c r="L138" s="2"/>
    </row>
    <row r="139" ht="15.75" customHeight="1">
      <c r="A139" s="2"/>
      <c r="C139" s="2"/>
      <c r="D139" s="2"/>
      <c r="E139" s="2"/>
      <c r="F139" s="2"/>
      <c r="K139" s="2"/>
      <c r="L139" s="2"/>
    </row>
    <row r="140" ht="15.75" customHeight="1">
      <c r="A140" s="2"/>
      <c r="C140" s="2"/>
      <c r="D140" s="2"/>
      <c r="E140" s="2"/>
      <c r="F140" s="2"/>
      <c r="K140" s="2"/>
      <c r="L140" s="2"/>
    </row>
    <row r="141" ht="15.75" customHeight="1">
      <c r="A141" s="2"/>
      <c r="C141" s="2"/>
      <c r="D141" s="2"/>
      <c r="E141" s="2"/>
      <c r="F141" s="2"/>
      <c r="K141" s="2"/>
      <c r="L141" s="2"/>
    </row>
    <row r="142" ht="15.75" customHeight="1">
      <c r="A142" s="2"/>
      <c r="C142" s="2"/>
      <c r="D142" s="2"/>
      <c r="E142" s="2"/>
      <c r="F142" s="2"/>
      <c r="K142" s="2"/>
      <c r="L142" s="2"/>
    </row>
    <row r="143" ht="15.75" customHeight="1">
      <c r="A143" s="2"/>
      <c r="C143" s="2"/>
      <c r="D143" s="2"/>
      <c r="E143" s="2"/>
      <c r="F143" s="2"/>
      <c r="K143" s="2"/>
      <c r="L143" s="2"/>
    </row>
    <row r="144" ht="15.75" customHeight="1">
      <c r="A144" s="2"/>
      <c r="C144" s="2"/>
      <c r="D144" s="2"/>
      <c r="E144" s="2"/>
      <c r="F144" s="2"/>
      <c r="K144" s="2"/>
      <c r="L144" s="2"/>
    </row>
    <row r="145" ht="15.75" customHeight="1">
      <c r="A145" s="2"/>
      <c r="C145" s="2"/>
      <c r="D145" s="2"/>
      <c r="E145" s="2"/>
      <c r="F145" s="2"/>
      <c r="K145" s="2"/>
      <c r="L145" s="2"/>
    </row>
    <row r="146" ht="15.75" customHeight="1">
      <c r="A146" s="2"/>
      <c r="C146" s="2"/>
      <c r="D146" s="2"/>
      <c r="E146" s="2"/>
      <c r="F146" s="2"/>
      <c r="K146" s="2"/>
      <c r="L146" s="2"/>
    </row>
    <row r="147" ht="15.75" customHeight="1">
      <c r="A147" s="2"/>
      <c r="C147" s="2"/>
      <c r="D147" s="2"/>
      <c r="E147" s="2"/>
      <c r="F147" s="2"/>
      <c r="K147" s="2"/>
      <c r="L147" s="2"/>
    </row>
    <row r="148" ht="15.75" customHeight="1">
      <c r="A148" s="2"/>
      <c r="C148" s="2"/>
      <c r="D148" s="2"/>
      <c r="E148" s="2"/>
      <c r="F148" s="2"/>
      <c r="K148" s="2"/>
      <c r="L148" s="2"/>
    </row>
    <row r="149" ht="15.75" customHeight="1">
      <c r="A149" s="2"/>
      <c r="C149" s="2"/>
      <c r="D149" s="2"/>
      <c r="E149" s="2"/>
      <c r="F149" s="2"/>
      <c r="K149" s="2"/>
      <c r="L149" s="2"/>
    </row>
    <row r="150" ht="15.75" customHeight="1">
      <c r="A150" s="2"/>
      <c r="C150" s="2"/>
      <c r="D150" s="2"/>
      <c r="E150" s="2"/>
      <c r="F150" s="2"/>
      <c r="K150" s="2"/>
      <c r="L150" s="2"/>
    </row>
    <row r="151" ht="15.75" customHeight="1">
      <c r="A151" s="2"/>
      <c r="C151" s="2"/>
      <c r="D151" s="2"/>
      <c r="E151" s="2"/>
      <c r="F151" s="2"/>
      <c r="K151" s="2"/>
      <c r="L151" s="2"/>
    </row>
    <row r="152" ht="15.75" customHeight="1">
      <c r="A152" s="2"/>
      <c r="C152" s="2"/>
      <c r="D152" s="2"/>
      <c r="E152" s="2"/>
      <c r="F152" s="2"/>
      <c r="K152" s="2"/>
      <c r="L152" s="2"/>
    </row>
    <row r="153" ht="15.75" customHeight="1">
      <c r="A153" s="2"/>
      <c r="C153" s="2"/>
      <c r="D153" s="2"/>
      <c r="E153" s="2"/>
      <c r="F153" s="2"/>
      <c r="K153" s="2"/>
      <c r="L153" s="2"/>
    </row>
    <row r="154" ht="15.75" customHeight="1">
      <c r="A154" s="2"/>
      <c r="C154" s="2"/>
      <c r="D154" s="2"/>
      <c r="E154" s="2"/>
      <c r="F154" s="2"/>
      <c r="K154" s="2"/>
      <c r="L154" s="2"/>
    </row>
    <row r="155" ht="15.75" customHeight="1">
      <c r="A155" s="2"/>
      <c r="C155" s="2"/>
      <c r="D155" s="2"/>
      <c r="E155" s="2"/>
      <c r="F155" s="2"/>
      <c r="K155" s="2"/>
      <c r="L155" s="2"/>
    </row>
    <row r="156" ht="15.75" customHeight="1">
      <c r="A156" s="2"/>
      <c r="C156" s="2"/>
      <c r="D156" s="2"/>
      <c r="E156" s="2"/>
      <c r="F156" s="2"/>
      <c r="K156" s="2"/>
      <c r="L156" s="2"/>
    </row>
    <row r="157" ht="15.75" customHeight="1">
      <c r="A157" s="2"/>
      <c r="C157" s="2"/>
      <c r="D157" s="2"/>
      <c r="E157" s="2"/>
      <c r="F157" s="2"/>
      <c r="K157" s="2"/>
      <c r="L157" s="2"/>
    </row>
    <row r="158" ht="15.75" customHeight="1">
      <c r="A158" s="2"/>
      <c r="C158" s="2"/>
      <c r="D158" s="2"/>
      <c r="E158" s="2"/>
      <c r="F158" s="2"/>
      <c r="K158" s="2"/>
      <c r="L158" s="2"/>
    </row>
    <row r="159" ht="15.75" customHeight="1">
      <c r="A159" s="2"/>
      <c r="C159" s="2"/>
      <c r="D159" s="2"/>
      <c r="E159" s="2"/>
      <c r="F159" s="2"/>
      <c r="K159" s="2"/>
      <c r="L159" s="2"/>
    </row>
    <row r="160" ht="15.75" customHeight="1">
      <c r="A160" s="2"/>
      <c r="C160" s="2"/>
      <c r="D160" s="2"/>
      <c r="E160" s="2"/>
      <c r="F160" s="2"/>
      <c r="K160" s="2"/>
      <c r="L160" s="2"/>
    </row>
    <row r="161" ht="15.75" customHeight="1">
      <c r="A161" s="2"/>
      <c r="C161" s="2"/>
      <c r="D161" s="2"/>
      <c r="E161" s="2"/>
      <c r="F161" s="2"/>
      <c r="K161" s="2"/>
      <c r="L161" s="2"/>
    </row>
    <row r="162" ht="15.75" customHeight="1">
      <c r="A162" s="2"/>
      <c r="C162" s="2"/>
      <c r="D162" s="2"/>
      <c r="E162" s="2"/>
      <c r="F162" s="2"/>
      <c r="K162" s="2"/>
      <c r="L162" s="2"/>
    </row>
    <row r="163" ht="15.75" customHeight="1">
      <c r="A163" s="2"/>
      <c r="C163" s="2"/>
      <c r="D163" s="2"/>
      <c r="E163" s="2"/>
      <c r="F163" s="2"/>
      <c r="K163" s="2"/>
      <c r="L163" s="2"/>
    </row>
    <row r="164" ht="15.75" customHeight="1">
      <c r="A164" s="2"/>
      <c r="C164" s="2"/>
      <c r="D164" s="2"/>
      <c r="E164" s="2"/>
      <c r="F164" s="2"/>
      <c r="K164" s="2"/>
      <c r="L164" s="2"/>
    </row>
    <row r="165" ht="15.75" customHeight="1">
      <c r="A165" s="2"/>
      <c r="C165" s="2"/>
      <c r="D165" s="2"/>
      <c r="E165" s="2"/>
      <c r="F165" s="2"/>
      <c r="K165" s="2"/>
      <c r="L165" s="2"/>
    </row>
    <row r="166" ht="15.75" customHeight="1">
      <c r="A166" s="2"/>
      <c r="C166" s="2"/>
      <c r="D166" s="2"/>
      <c r="E166" s="2"/>
      <c r="F166" s="2"/>
      <c r="K166" s="2"/>
      <c r="L166" s="2"/>
    </row>
    <row r="167" ht="15.75" customHeight="1">
      <c r="A167" s="2"/>
      <c r="C167" s="2"/>
      <c r="D167" s="2"/>
      <c r="E167" s="2"/>
      <c r="F167" s="2"/>
      <c r="K167" s="2"/>
      <c r="L167" s="2"/>
    </row>
    <row r="168" ht="15.75" customHeight="1">
      <c r="A168" s="2"/>
      <c r="C168" s="2"/>
      <c r="D168" s="2"/>
      <c r="E168" s="2"/>
      <c r="F168" s="2"/>
      <c r="K168" s="2"/>
      <c r="L168" s="2"/>
    </row>
    <row r="169" ht="15.75" customHeight="1">
      <c r="A169" s="2"/>
      <c r="C169" s="2"/>
      <c r="D169" s="2"/>
      <c r="E169" s="2"/>
      <c r="F169" s="2"/>
      <c r="K169" s="2"/>
      <c r="L169" s="2"/>
    </row>
    <row r="170" ht="15.75" customHeight="1">
      <c r="A170" s="2"/>
      <c r="C170" s="2"/>
      <c r="D170" s="2"/>
      <c r="E170" s="2"/>
      <c r="F170" s="2"/>
      <c r="K170" s="2"/>
      <c r="L170" s="2"/>
    </row>
    <row r="171" ht="15.75" customHeight="1">
      <c r="A171" s="2"/>
      <c r="C171" s="2"/>
      <c r="D171" s="2"/>
      <c r="E171" s="2"/>
      <c r="F171" s="2"/>
      <c r="K171" s="2"/>
      <c r="L171" s="2"/>
    </row>
    <row r="172" ht="15.75" customHeight="1">
      <c r="A172" s="2"/>
      <c r="C172" s="2"/>
      <c r="D172" s="2"/>
      <c r="E172" s="2"/>
      <c r="F172" s="2"/>
      <c r="K172" s="2"/>
      <c r="L172" s="2"/>
    </row>
    <row r="173" ht="15.75" customHeight="1">
      <c r="A173" s="2"/>
      <c r="C173" s="2"/>
      <c r="D173" s="2"/>
      <c r="E173" s="2"/>
      <c r="F173" s="2"/>
      <c r="K173" s="2"/>
      <c r="L173" s="2"/>
    </row>
    <row r="174" ht="15.75" customHeight="1">
      <c r="A174" s="2"/>
      <c r="C174" s="2"/>
      <c r="D174" s="2"/>
      <c r="E174" s="2"/>
      <c r="F174" s="2"/>
      <c r="K174" s="2"/>
      <c r="L174" s="2"/>
    </row>
    <row r="175" ht="15.75" customHeight="1">
      <c r="A175" s="2"/>
      <c r="C175" s="2"/>
      <c r="D175" s="2"/>
      <c r="E175" s="2"/>
      <c r="F175" s="2"/>
      <c r="K175" s="2"/>
      <c r="L175" s="2"/>
    </row>
    <row r="176" ht="15.75" customHeight="1">
      <c r="A176" s="2"/>
      <c r="C176" s="2"/>
      <c r="D176" s="2"/>
      <c r="E176" s="2"/>
      <c r="F176" s="2"/>
      <c r="K176" s="2"/>
      <c r="L176" s="2"/>
    </row>
    <row r="177" ht="15.75" customHeight="1">
      <c r="A177" s="2"/>
      <c r="C177" s="2"/>
      <c r="D177" s="2"/>
      <c r="E177" s="2"/>
      <c r="F177" s="2"/>
      <c r="K177" s="2"/>
      <c r="L177" s="2"/>
    </row>
    <row r="178" ht="15.75" customHeight="1">
      <c r="A178" s="2"/>
      <c r="C178" s="2"/>
      <c r="D178" s="2"/>
      <c r="E178" s="2"/>
      <c r="F178" s="2"/>
      <c r="K178" s="2"/>
      <c r="L178" s="2"/>
    </row>
    <row r="179" ht="15.75" customHeight="1">
      <c r="A179" s="2"/>
      <c r="C179" s="2"/>
      <c r="D179" s="2"/>
      <c r="E179" s="2"/>
      <c r="F179" s="2"/>
      <c r="K179" s="2"/>
      <c r="L179" s="2"/>
    </row>
    <row r="180" ht="15.75" customHeight="1">
      <c r="A180" s="2"/>
      <c r="C180" s="2"/>
      <c r="D180" s="2"/>
      <c r="E180" s="2"/>
      <c r="F180" s="2"/>
      <c r="K180" s="2"/>
      <c r="L180" s="2"/>
    </row>
    <row r="181" ht="15.75" customHeight="1">
      <c r="A181" s="2"/>
      <c r="C181" s="2"/>
      <c r="D181" s="2"/>
      <c r="E181" s="2"/>
      <c r="F181" s="2"/>
      <c r="K181" s="2"/>
      <c r="L181" s="2"/>
    </row>
    <row r="182" ht="15.75" customHeight="1">
      <c r="A182" s="2"/>
      <c r="C182" s="2"/>
      <c r="D182" s="2"/>
      <c r="E182" s="2"/>
      <c r="F182" s="2"/>
      <c r="K182" s="2"/>
      <c r="L182" s="2"/>
    </row>
    <row r="183" ht="15.75" customHeight="1">
      <c r="A183" s="2"/>
      <c r="C183" s="2"/>
      <c r="D183" s="2"/>
      <c r="E183" s="2"/>
      <c r="F183" s="2"/>
      <c r="K183" s="2"/>
      <c r="L183" s="2"/>
    </row>
    <row r="184" ht="15.75" customHeight="1">
      <c r="A184" s="2"/>
      <c r="C184" s="2"/>
      <c r="D184" s="2"/>
      <c r="E184" s="2"/>
      <c r="F184" s="2"/>
      <c r="K184" s="2"/>
      <c r="L184" s="2"/>
    </row>
    <row r="185" ht="15.75" customHeight="1">
      <c r="A185" s="2"/>
      <c r="C185" s="2"/>
      <c r="D185" s="2"/>
      <c r="E185" s="2"/>
      <c r="F185" s="2"/>
      <c r="K185" s="2"/>
      <c r="L185" s="2"/>
    </row>
    <row r="186" ht="15.75" customHeight="1">
      <c r="A186" s="2"/>
      <c r="C186" s="2"/>
      <c r="D186" s="2"/>
      <c r="E186" s="2"/>
      <c r="F186" s="2"/>
      <c r="K186" s="2"/>
      <c r="L186" s="2"/>
    </row>
    <row r="187" ht="15.75" customHeight="1">
      <c r="A187" s="2"/>
      <c r="C187" s="2"/>
      <c r="D187" s="2"/>
      <c r="E187" s="2"/>
      <c r="F187" s="2"/>
      <c r="K187" s="2"/>
      <c r="L187" s="2"/>
    </row>
    <row r="188" ht="15.75" customHeight="1">
      <c r="A188" s="2"/>
      <c r="C188" s="2"/>
      <c r="D188" s="2"/>
      <c r="E188" s="2"/>
      <c r="F188" s="2"/>
      <c r="K188" s="2"/>
      <c r="L188" s="2"/>
    </row>
    <row r="189" ht="15.75" customHeight="1">
      <c r="A189" s="2"/>
      <c r="C189" s="2"/>
      <c r="D189" s="2"/>
      <c r="E189" s="2"/>
      <c r="F189" s="2"/>
      <c r="K189" s="2"/>
      <c r="L189" s="2"/>
    </row>
    <row r="190" ht="15.75" customHeight="1">
      <c r="A190" s="2"/>
      <c r="C190" s="2"/>
      <c r="D190" s="2"/>
      <c r="E190" s="2"/>
      <c r="F190" s="2"/>
      <c r="K190" s="2"/>
      <c r="L190" s="2"/>
    </row>
    <row r="191" ht="15.75" customHeight="1">
      <c r="A191" s="2"/>
      <c r="C191" s="2"/>
      <c r="D191" s="2"/>
      <c r="E191" s="2"/>
      <c r="F191" s="2"/>
      <c r="K191" s="2"/>
      <c r="L191" s="2"/>
    </row>
    <row r="192" ht="15.75" customHeight="1">
      <c r="A192" s="2"/>
      <c r="C192" s="2"/>
      <c r="D192" s="2"/>
      <c r="E192" s="2"/>
      <c r="F192" s="2"/>
      <c r="K192" s="2"/>
      <c r="L192" s="2"/>
    </row>
    <row r="193" ht="15.75" customHeight="1">
      <c r="A193" s="2"/>
      <c r="C193" s="2"/>
      <c r="D193" s="2"/>
      <c r="E193" s="2"/>
      <c r="F193" s="2"/>
      <c r="K193" s="2"/>
      <c r="L193" s="2"/>
    </row>
    <row r="194" ht="15.75" customHeight="1">
      <c r="A194" s="2"/>
      <c r="C194" s="2"/>
      <c r="D194" s="2"/>
      <c r="E194" s="2"/>
      <c r="F194" s="2"/>
      <c r="K194" s="2"/>
      <c r="L194" s="2"/>
    </row>
    <row r="195" ht="15.75" customHeight="1">
      <c r="A195" s="2"/>
      <c r="C195" s="2"/>
      <c r="D195" s="2"/>
      <c r="E195" s="2"/>
      <c r="F195" s="2"/>
      <c r="K195" s="2"/>
      <c r="L195" s="2"/>
    </row>
    <row r="196" ht="15.75" customHeight="1">
      <c r="A196" s="2"/>
      <c r="C196" s="2"/>
      <c r="D196" s="2"/>
      <c r="E196" s="2"/>
      <c r="F196" s="2"/>
      <c r="K196" s="2"/>
      <c r="L196" s="2"/>
    </row>
    <row r="197" ht="15.75" customHeight="1">
      <c r="A197" s="2"/>
      <c r="C197" s="2"/>
      <c r="D197" s="2"/>
      <c r="E197" s="2"/>
      <c r="F197" s="2"/>
      <c r="K197" s="2"/>
      <c r="L197" s="2"/>
    </row>
    <row r="198" ht="15.75" customHeight="1">
      <c r="A198" s="2"/>
      <c r="C198" s="2"/>
      <c r="D198" s="2"/>
      <c r="E198" s="2"/>
      <c r="F198" s="2"/>
      <c r="K198" s="2"/>
      <c r="L198" s="2"/>
    </row>
    <row r="199" ht="15.75" customHeight="1">
      <c r="A199" s="2"/>
      <c r="C199" s="2"/>
      <c r="D199" s="2"/>
      <c r="E199" s="2"/>
      <c r="F199" s="2"/>
      <c r="K199" s="2"/>
      <c r="L199" s="2"/>
    </row>
    <row r="200" ht="15.75" customHeight="1">
      <c r="A200" s="2"/>
      <c r="C200" s="2"/>
      <c r="D200" s="2"/>
      <c r="E200" s="2"/>
      <c r="F200" s="2"/>
      <c r="K200" s="2"/>
      <c r="L200" s="2"/>
    </row>
    <row r="201" ht="15.75" customHeight="1">
      <c r="A201" s="2"/>
      <c r="C201" s="2"/>
      <c r="D201" s="2"/>
      <c r="E201" s="2"/>
      <c r="F201" s="2"/>
      <c r="K201" s="2"/>
      <c r="L201" s="2"/>
    </row>
    <row r="202" ht="15.75" customHeight="1">
      <c r="A202" s="2"/>
      <c r="C202" s="2"/>
      <c r="D202" s="2"/>
      <c r="E202" s="2"/>
      <c r="F202" s="2"/>
      <c r="K202" s="2"/>
      <c r="L202" s="2"/>
    </row>
    <row r="203" ht="15.75" customHeight="1">
      <c r="A203" s="2"/>
      <c r="C203" s="2"/>
      <c r="D203" s="2"/>
      <c r="E203" s="2"/>
      <c r="F203" s="2"/>
      <c r="K203" s="2"/>
      <c r="L203" s="2"/>
    </row>
    <row r="204" ht="15.75" customHeight="1">
      <c r="A204" s="2"/>
      <c r="C204" s="2"/>
      <c r="D204" s="2"/>
      <c r="E204" s="2"/>
      <c r="F204" s="2"/>
      <c r="K204" s="2"/>
      <c r="L204" s="2"/>
    </row>
    <row r="205" ht="15.75" customHeight="1">
      <c r="A205" s="2"/>
      <c r="C205" s="2"/>
      <c r="D205" s="2"/>
      <c r="E205" s="2"/>
      <c r="F205" s="2"/>
      <c r="K205" s="2"/>
      <c r="L205" s="2"/>
    </row>
    <row r="206" ht="15.75" customHeight="1">
      <c r="A206" s="2"/>
      <c r="C206" s="2"/>
      <c r="D206" s="2"/>
      <c r="E206" s="2"/>
      <c r="F206" s="2"/>
      <c r="K206" s="2"/>
      <c r="L206" s="2"/>
    </row>
    <row r="207" ht="15.75" customHeight="1">
      <c r="A207" s="2"/>
      <c r="C207" s="2"/>
      <c r="D207" s="2"/>
      <c r="E207" s="2"/>
      <c r="F207" s="2"/>
      <c r="K207" s="2"/>
      <c r="L207" s="2"/>
    </row>
    <row r="208" ht="15.75" customHeight="1">
      <c r="A208" s="2"/>
      <c r="C208" s="2"/>
      <c r="D208" s="2"/>
      <c r="E208" s="2"/>
      <c r="F208" s="2"/>
      <c r="K208" s="2"/>
      <c r="L208" s="2"/>
    </row>
    <row r="209" ht="15.75" customHeight="1">
      <c r="A209" s="2"/>
      <c r="C209" s="2"/>
      <c r="D209" s="2"/>
      <c r="E209" s="2"/>
      <c r="F209" s="2"/>
      <c r="K209" s="2"/>
      <c r="L209" s="2"/>
    </row>
    <row r="210" ht="15.75" customHeight="1">
      <c r="A210" s="2"/>
      <c r="C210" s="2"/>
      <c r="D210" s="2"/>
      <c r="E210" s="2"/>
      <c r="F210" s="2"/>
      <c r="K210" s="2"/>
      <c r="L210" s="2"/>
    </row>
    <row r="211" ht="15.75" customHeight="1">
      <c r="A211" s="2"/>
      <c r="C211" s="2"/>
      <c r="D211" s="2"/>
      <c r="E211" s="2"/>
      <c r="F211" s="2"/>
      <c r="K211" s="2"/>
      <c r="L211" s="2"/>
    </row>
    <row r="212" ht="15.75" customHeight="1">
      <c r="A212" s="2"/>
      <c r="C212" s="2"/>
      <c r="D212" s="2"/>
      <c r="E212" s="2"/>
      <c r="F212" s="2"/>
      <c r="K212" s="2"/>
      <c r="L212" s="2"/>
    </row>
    <row r="213" ht="15.75" customHeight="1">
      <c r="A213" s="2"/>
      <c r="C213" s="2"/>
      <c r="D213" s="2"/>
      <c r="E213" s="2"/>
      <c r="F213" s="2"/>
      <c r="K213" s="2"/>
      <c r="L213" s="2"/>
    </row>
    <row r="214" ht="15.75" customHeight="1">
      <c r="A214" s="2"/>
      <c r="C214" s="2"/>
      <c r="D214" s="2"/>
      <c r="E214" s="2"/>
      <c r="F214" s="2"/>
      <c r="K214" s="2"/>
      <c r="L214" s="2"/>
    </row>
    <row r="215" ht="15.75" customHeight="1">
      <c r="A215" s="2"/>
      <c r="C215" s="2"/>
      <c r="D215" s="2"/>
      <c r="E215" s="2"/>
      <c r="F215" s="2"/>
      <c r="K215" s="2"/>
      <c r="L215" s="2"/>
    </row>
    <row r="216" ht="15.75" customHeight="1">
      <c r="A216" s="2"/>
      <c r="C216" s="2"/>
      <c r="D216" s="2"/>
      <c r="E216" s="2"/>
      <c r="F216" s="2"/>
      <c r="K216" s="2"/>
      <c r="L216" s="2"/>
    </row>
    <row r="217" ht="15.75" customHeight="1">
      <c r="A217" s="2"/>
      <c r="C217" s="2"/>
      <c r="D217" s="2"/>
      <c r="E217" s="2"/>
      <c r="F217" s="2"/>
      <c r="K217" s="2"/>
      <c r="L217" s="2"/>
    </row>
    <row r="218" ht="15.75" customHeight="1">
      <c r="A218" s="2"/>
      <c r="C218" s="2"/>
      <c r="D218" s="2"/>
      <c r="E218" s="2"/>
      <c r="F218" s="2"/>
      <c r="K218" s="2"/>
      <c r="L218" s="2"/>
    </row>
    <row r="219" ht="15.75" customHeight="1">
      <c r="A219" s="2"/>
      <c r="C219" s="2"/>
      <c r="D219" s="2"/>
      <c r="E219" s="2"/>
      <c r="F219" s="2"/>
      <c r="K219" s="2"/>
      <c r="L219" s="2"/>
    </row>
    <row r="220" ht="15.75" customHeight="1">
      <c r="A220" s="2"/>
      <c r="C220" s="2"/>
      <c r="D220" s="2"/>
      <c r="E220" s="2"/>
      <c r="F220" s="2"/>
      <c r="K220" s="2"/>
      <c r="L220" s="2"/>
    </row>
    <row r="221" ht="15.75" customHeight="1">
      <c r="A221" s="2"/>
      <c r="C221" s="2"/>
      <c r="D221" s="2"/>
      <c r="E221" s="2"/>
      <c r="F221" s="2"/>
      <c r="K221" s="2"/>
      <c r="L221" s="2"/>
    </row>
    <row r="222" ht="15.75" customHeight="1">
      <c r="A222" s="2"/>
      <c r="C222" s="2"/>
      <c r="D222" s="2"/>
      <c r="E222" s="2"/>
      <c r="F222" s="2"/>
      <c r="K222" s="2"/>
      <c r="L222" s="2"/>
    </row>
    <row r="223" ht="15.75" customHeight="1">
      <c r="A223" s="2"/>
      <c r="C223" s="2"/>
      <c r="D223" s="2"/>
      <c r="E223" s="2"/>
      <c r="F223" s="2"/>
      <c r="K223" s="2"/>
      <c r="L223" s="2"/>
    </row>
    <row r="224" ht="15.75" customHeight="1">
      <c r="A224" s="2"/>
      <c r="C224" s="2"/>
      <c r="D224" s="2"/>
      <c r="E224" s="2"/>
      <c r="F224" s="2"/>
      <c r="K224" s="2"/>
      <c r="L224" s="2"/>
    </row>
    <row r="225" ht="15.75" customHeight="1">
      <c r="A225" s="2"/>
      <c r="C225" s="2"/>
      <c r="D225" s="2"/>
      <c r="E225" s="2"/>
      <c r="F225" s="2"/>
      <c r="K225" s="2"/>
      <c r="L225" s="2"/>
    </row>
    <row r="226" ht="15.75" customHeight="1">
      <c r="A226" s="2"/>
      <c r="C226" s="2"/>
      <c r="D226" s="2"/>
      <c r="E226" s="2"/>
      <c r="F226" s="2"/>
      <c r="K226" s="2"/>
      <c r="L226" s="2"/>
    </row>
    <row r="227" ht="15.75" customHeight="1">
      <c r="A227" s="2"/>
      <c r="C227" s="2"/>
      <c r="D227" s="2"/>
      <c r="E227" s="2"/>
      <c r="F227" s="2"/>
      <c r="K227" s="2"/>
      <c r="L227" s="2"/>
    </row>
    <row r="228" ht="15.75" customHeight="1">
      <c r="A228" s="2"/>
      <c r="C228" s="2"/>
      <c r="D228" s="2"/>
      <c r="E228" s="2"/>
      <c r="F228" s="2"/>
      <c r="K228" s="2"/>
      <c r="L228" s="2"/>
    </row>
    <row r="229" ht="15.75" customHeight="1">
      <c r="A229" s="2"/>
      <c r="C229" s="2"/>
      <c r="D229" s="2"/>
      <c r="E229" s="2"/>
      <c r="F229" s="2"/>
      <c r="K229" s="2"/>
      <c r="L229" s="2"/>
    </row>
    <row r="230" ht="15.75" customHeight="1">
      <c r="A230" s="2"/>
      <c r="C230" s="2"/>
      <c r="D230" s="2"/>
      <c r="E230" s="2"/>
      <c r="F230" s="2"/>
      <c r="K230" s="2"/>
      <c r="L230" s="2"/>
    </row>
    <row r="231" ht="15.75" customHeight="1">
      <c r="A231" s="2"/>
      <c r="C231" s="2"/>
      <c r="D231" s="2"/>
      <c r="E231" s="2"/>
      <c r="F231" s="2"/>
      <c r="K231" s="2"/>
      <c r="L231" s="2"/>
    </row>
    <row r="232" ht="15.75" customHeight="1">
      <c r="A232" s="2"/>
      <c r="C232" s="2"/>
      <c r="D232" s="2"/>
      <c r="E232" s="2"/>
      <c r="F232" s="2"/>
      <c r="K232" s="2"/>
      <c r="L232" s="2"/>
    </row>
    <row r="233" ht="15.75" customHeight="1">
      <c r="A233" s="2"/>
      <c r="C233" s="2"/>
      <c r="D233" s="2"/>
      <c r="E233" s="2"/>
      <c r="F233" s="2"/>
      <c r="K233" s="2"/>
      <c r="L233" s="2"/>
    </row>
    <row r="234" ht="15.75" customHeight="1">
      <c r="A234" s="2"/>
      <c r="C234" s="2"/>
      <c r="D234" s="2"/>
      <c r="E234" s="2"/>
      <c r="F234" s="2"/>
      <c r="K234" s="2"/>
      <c r="L234" s="2"/>
    </row>
    <row r="235" ht="15.75" customHeight="1">
      <c r="A235" s="2"/>
      <c r="C235" s="2"/>
      <c r="D235" s="2"/>
      <c r="E235" s="2"/>
      <c r="F235" s="2"/>
      <c r="K235" s="2"/>
      <c r="L235" s="2"/>
    </row>
    <row r="236" ht="15.75" customHeight="1">
      <c r="A236" s="2"/>
      <c r="C236" s="2"/>
      <c r="D236" s="2"/>
      <c r="E236" s="2"/>
      <c r="F236" s="2"/>
      <c r="K236" s="2"/>
      <c r="L236" s="2"/>
    </row>
    <row r="237" ht="15.75" customHeight="1">
      <c r="A237" s="2"/>
      <c r="C237" s="2"/>
      <c r="D237" s="2"/>
      <c r="E237" s="2"/>
      <c r="F237" s="2"/>
      <c r="K237" s="2"/>
      <c r="L237" s="2"/>
    </row>
    <row r="238" ht="15.75" customHeight="1">
      <c r="A238" s="2"/>
      <c r="C238" s="2"/>
      <c r="D238" s="2"/>
      <c r="E238" s="2"/>
      <c r="F238" s="2"/>
      <c r="K238" s="2"/>
      <c r="L238" s="2"/>
    </row>
    <row r="239" ht="15.75" customHeight="1">
      <c r="A239" s="2"/>
      <c r="C239" s="2"/>
      <c r="D239" s="2"/>
      <c r="E239" s="2"/>
      <c r="F239" s="2"/>
      <c r="K239" s="2"/>
      <c r="L239" s="2"/>
    </row>
    <row r="240" ht="15.75" customHeight="1">
      <c r="A240" s="2"/>
      <c r="C240" s="2"/>
      <c r="D240" s="2"/>
      <c r="E240" s="2"/>
      <c r="F240" s="2"/>
      <c r="K240" s="2"/>
      <c r="L240" s="2"/>
    </row>
    <row r="241" ht="15.75" customHeight="1">
      <c r="A241" s="2"/>
      <c r="C241" s="2"/>
      <c r="D241" s="2"/>
      <c r="E241" s="2"/>
      <c r="F241" s="2"/>
      <c r="K241" s="2"/>
      <c r="L241" s="2"/>
    </row>
    <row r="242" ht="15.75" customHeight="1">
      <c r="A242" s="2"/>
      <c r="C242" s="2"/>
      <c r="D242" s="2"/>
      <c r="E242" s="2"/>
      <c r="F242" s="2"/>
      <c r="K242" s="2"/>
      <c r="L242" s="2"/>
    </row>
    <row r="243" ht="15.75" customHeight="1">
      <c r="A243" s="2"/>
      <c r="C243" s="2"/>
      <c r="D243" s="2"/>
      <c r="E243" s="2"/>
      <c r="F243" s="2"/>
      <c r="K243" s="2"/>
      <c r="L243" s="2"/>
    </row>
    <row r="244" ht="15.75" customHeight="1">
      <c r="A244" s="2"/>
      <c r="C244" s="2"/>
      <c r="D244" s="2"/>
      <c r="E244" s="2"/>
      <c r="F244" s="2"/>
      <c r="K244" s="2"/>
      <c r="L244" s="2"/>
    </row>
    <row r="245" ht="15.75" customHeight="1">
      <c r="A245" s="2"/>
      <c r="C245" s="2"/>
      <c r="D245" s="2"/>
      <c r="E245" s="2"/>
      <c r="F245" s="2"/>
      <c r="K245" s="2"/>
      <c r="L245" s="2"/>
    </row>
    <row r="246" ht="15.75" customHeight="1">
      <c r="A246" s="2"/>
      <c r="C246" s="2"/>
      <c r="D246" s="2"/>
      <c r="E246" s="2"/>
      <c r="F246" s="2"/>
      <c r="K246" s="2"/>
      <c r="L246" s="2"/>
    </row>
    <row r="247" ht="15.75" customHeight="1">
      <c r="A247" s="2"/>
      <c r="C247" s="2"/>
      <c r="D247" s="2"/>
      <c r="E247" s="2"/>
      <c r="F247" s="2"/>
      <c r="K247" s="2"/>
      <c r="L247" s="2"/>
    </row>
    <row r="248" ht="15.75" customHeight="1">
      <c r="A248" s="2"/>
      <c r="C248" s="2"/>
      <c r="D248" s="2"/>
      <c r="E248" s="2"/>
      <c r="F248" s="2"/>
      <c r="K248" s="2"/>
      <c r="L248" s="2"/>
    </row>
    <row r="249" ht="15.75" customHeight="1">
      <c r="A249" s="2"/>
      <c r="C249" s="2"/>
      <c r="D249" s="2"/>
      <c r="E249" s="2"/>
      <c r="F249" s="2"/>
      <c r="K249" s="2"/>
      <c r="L249" s="2"/>
    </row>
    <row r="250" ht="15.75" customHeight="1">
      <c r="A250" s="2"/>
      <c r="C250" s="2"/>
      <c r="D250" s="2"/>
      <c r="E250" s="2"/>
      <c r="F250" s="2"/>
      <c r="K250" s="2"/>
      <c r="L250" s="2"/>
    </row>
    <row r="251" ht="15.75" customHeight="1">
      <c r="A251" s="2"/>
      <c r="C251" s="2"/>
      <c r="D251" s="2"/>
      <c r="E251" s="2"/>
      <c r="F251" s="2"/>
      <c r="K251" s="2"/>
      <c r="L251" s="2"/>
    </row>
    <row r="252" ht="15.75" customHeight="1">
      <c r="A252" s="2"/>
      <c r="C252" s="2"/>
      <c r="D252" s="2"/>
      <c r="E252" s="2"/>
      <c r="F252" s="2"/>
      <c r="K252" s="2"/>
      <c r="L252" s="2"/>
    </row>
    <row r="253" ht="15.75" customHeight="1">
      <c r="A253" s="2"/>
      <c r="C253" s="2"/>
      <c r="D253" s="2"/>
      <c r="E253" s="2"/>
      <c r="F253" s="2"/>
      <c r="K253" s="2"/>
      <c r="L253" s="2"/>
    </row>
    <row r="254" ht="15.75" customHeight="1">
      <c r="A254" s="2"/>
      <c r="C254" s="2"/>
      <c r="D254" s="2"/>
      <c r="E254" s="2"/>
      <c r="F254" s="2"/>
      <c r="K254" s="2"/>
      <c r="L254" s="2"/>
    </row>
    <row r="255" ht="15.75" customHeight="1">
      <c r="A255" s="2"/>
      <c r="C255" s="2"/>
      <c r="D255" s="2"/>
      <c r="E255" s="2"/>
      <c r="F255" s="2"/>
      <c r="K255" s="2"/>
      <c r="L255" s="2"/>
    </row>
    <row r="256" ht="15.75" customHeight="1">
      <c r="A256" s="2"/>
      <c r="C256" s="2"/>
      <c r="D256" s="2"/>
      <c r="E256" s="2"/>
      <c r="F256" s="2"/>
      <c r="K256" s="2"/>
      <c r="L256" s="2"/>
    </row>
    <row r="257" ht="15.75" customHeight="1">
      <c r="A257" s="2"/>
      <c r="C257" s="2"/>
      <c r="D257" s="2"/>
      <c r="E257" s="2"/>
      <c r="F257" s="2"/>
      <c r="K257" s="2"/>
      <c r="L257" s="2"/>
    </row>
    <row r="258" ht="15.75" customHeight="1">
      <c r="A258" s="2"/>
      <c r="C258" s="2"/>
      <c r="D258" s="2"/>
      <c r="E258" s="2"/>
      <c r="F258" s="2"/>
      <c r="K258" s="2"/>
      <c r="L258" s="2"/>
    </row>
    <row r="259" ht="15.75" customHeight="1">
      <c r="A259" s="2"/>
      <c r="C259" s="2"/>
      <c r="D259" s="2"/>
      <c r="E259" s="2"/>
      <c r="F259" s="2"/>
      <c r="K259" s="2"/>
      <c r="L259" s="2"/>
    </row>
    <row r="260" ht="15.75" customHeight="1">
      <c r="A260" s="2"/>
      <c r="C260" s="2"/>
      <c r="D260" s="2"/>
      <c r="E260" s="2"/>
      <c r="F260" s="2"/>
      <c r="K260" s="2"/>
      <c r="L260" s="2"/>
    </row>
    <row r="261" ht="15.75" customHeight="1">
      <c r="A261" s="2"/>
      <c r="C261" s="2"/>
      <c r="D261" s="2"/>
      <c r="E261" s="2"/>
      <c r="F261" s="2"/>
      <c r="K261" s="2"/>
      <c r="L261" s="2"/>
    </row>
    <row r="262" ht="15.75" customHeight="1">
      <c r="A262" s="2"/>
      <c r="C262" s="2"/>
      <c r="D262" s="2"/>
      <c r="E262" s="2"/>
      <c r="F262" s="2"/>
      <c r="K262" s="2"/>
      <c r="L262" s="2"/>
    </row>
    <row r="263" ht="15.75" customHeight="1">
      <c r="A263" s="2"/>
      <c r="C263" s="2"/>
      <c r="D263" s="2"/>
      <c r="E263" s="2"/>
      <c r="F263" s="2"/>
      <c r="K263" s="2"/>
      <c r="L263" s="2"/>
    </row>
    <row r="264" ht="15.75" customHeight="1">
      <c r="A264" s="2"/>
      <c r="C264" s="2"/>
      <c r="D264" s="2"/>
      <c r="E264" s="2"/>
      <c r="F264" s="2"/>
      <c r="K264" s="2"/>
      <c r="L264" s="2"/>
    </row>
    <row r="265" ht="15.75" customHeight="1">
      <c r="A265" s="2"/>
      <c r="C265" s="2"/>
      <c r="D265" s="2"/>
      <c r="E265" s="2"/>
      <c r="F265" s="2"/>
      <c r="K265" s="2"/>
      <c r="L265" s="2"/>
    </row>
    <row r="266" ht="15.75" customHeight="1">
      <c r="A266" s="2"/>
      <c r="C266" s="2"/>
      <c r="D266" s="2"/>
      <c r="E266" s="2"/>
      <c r="F266" s="2"/>
      <c r="K266" s="2"/>
      <c r="L266" s="2"/>
    </row>
    <row r="267" ht="15.75" customHeight="1">
      <c r="A267" s="2"/>
      <c r="C267" s="2"/>
      <c r="D267" s="2"/>
      <c r="E267" s="2"/>
      <c r="F267" s="2"/>
      <c r="K267" s="2"/>
      <c r="L267" s="2"/>
    </row>
    <row r="268" ht="15.75" customHeight="1">
      <c r="A268" s="2"/>
      <c r="C268" s="2"/>
      <c r="D268" s="2"/>
      <c r="E268" s="2"/>
      <c r="F268" s="2"/>
      <c r="K268" s="2"/>
      <c r="L268" s="2"/>
    </row>
    <row r="269" ht="15.75" customHeight="1">
      <c r="A269" s="2"/>
      <c r="C269" s="2"/>
      <c r="D269" s="2"/>
      <c r="E269" s="2"/>
      <c r="F269" s="2"/>
      <c r="K269" s="2"/>
      <c r="L269" s="2"/>
    </row>
    <row r="270" ht="15.75" customHeight="1">
      <c r="A270" s="2"/>
      <c r="C270" s="2"/>
      <c r="D270" s="2"/>
      <c r="E270" s="2"/>
      <c r="F270" s="2"/>
      <c r="K270" s="2"/>
      <c r="L270" s="2"/>
    </row>
    <row r="271" ht="15.75" customHeight="1">
      <c r="A271" s="2"/>
      <c r="C271" s="2"/>
      <c r="D271" s="2"/>
      <c r="E271" s="2"/>
      <c r="F271" s="2"/>
      <c r="K271" s="2"/>
      <c r="L271" s="2"/>
    </row>
    <row r="272" ht="15.75" customHeight="1">
      <c r="A272" s="2"/>
      <c r="C272" s="2"/>
      <c r="D272" s="2"/>
      <c r="E272" s="2"/>
      <c r="F272" s="2"/>
      <c r="K272" s="2"/>
      <c r="L272" s="2"/>
    </row>
    <row r="273" ht="15.75" customHeight="1">
      <c r="A273" s="2"/>
      <c r="C273" s="2"/>
      <c r="D273" s="2"/>
      <c r="E273" s="2"/>
      <c r="F273" s="2"/>
      <c r="K273" s="2"/>
      <c r="L273" s="2"/>
    </row>
    <row r="274" ht="15.75" customHeight="1">
      <c r="A274" s="2"/>
      <c r="C274" s="2"/>
      <c r="D274" s="2"/>
      <c r="E274" s="2"/>
      <c r="F274" s="2"/>
      <c r="K274" s="2"/>
      <c r="L274" s="2"/>
    </row>
    <row r="275" ht="15.75" customHeight="1">
      <c r="A275" s="2"/>
      <c r="C275" s="2"/>
      <c r="D275" s="2"/>
      <c r="E275" s="2"/>
      <c r="F275" s="2"/>
      <c r="K275" s="2"/>
      <c r="L275" s="2"/>
    </row>
    <row r="276" ht="15.75" customHeight="1">
      <c r="A276" s="2"/>
      <c r="C276" s="2"/>
      <c r="D276" s="2"/>
      <c r="E276" s="2"/>
      <c r="F276" s="2"/>
      <c r="K276" s="2"/>
      <c r="L276" s="2"/>
    </row>
    <row r="277" ht="15.75" customHeight="1">
      <c r="A277" s="2"/>
      <c r="C277" s="2"/>
      <c r="D277" s="2"/>
      <c r="E277" s="2"/>
      <c r="F277" s="2"/>
      <c r="K277" s="2"/>
      <c r="L277" s="2"/>
    </row>
    <row r="278" ht="15.75" customHeight="1">
      <c r="A278" s="2"/>
      <c r="C278" s="2"/>
      <c r="D278" s="2"/>
      <c r="E278" s="2"/>
      <c r="F278" s="2"/>
      <c r="K278" s="2"/>
      <c r="L278" s="2"/>
    </row>
    <row r="279" ht="15.75" customHeight="1">
      <c r="A279" s="2"/>
      <c r="C279" s="2"/>
      <c r="D279" s="2"/>
      <c r="E279" s="2"/>
      <c r="F279" s="2"/>
      <c r="K279" s="2"/>
      <c r="L279" s="2"/>
    </row>
    <row r="280" ht="15.75" customHeight="1">
      <c r="A280" s="2"/>
      <c r="C280" s="2"/>
      <c r="D280" s="2"/>
      <c r="E280" s="2"/>
      <c r="F280" s="2"/>
      <c r="K280" s="2"/>
      <c r="L280" s="2"/>
    </row>
    <row r="281" ht="15.75" customHeight="1">
      <c r="A281" s="2"/>
      <c r="C281" s="2"/>
      <c r="D281" s="2"/>
      <c r="E281" s="2"/>
      <c r="F281" s="2"/>
      <c r="K281" s="2"/>
      <c r="L281" s="2"/>
    </row>
    <row r="282" ht="15.75" customHeight="1">
      <c r="A282" s="2"/>
      <c r="C282" s="2"/>
      <c r="D282" s="2"/>
      <c r="E282" s="2"/>
      <c r="F282" s="2"/>
      <c r="K282" s="2"/>
      <c r="L282" s="2"/>
    </row>
    <row r="283" ht="15.75" customHeight="1">
      <c r="A283" s="2"/>
      <c r="C283" s="2"/>
      <c r="D283" s="2"/>
      <c r="E283" s="2"/>
      <c r="F283" s="2"/>
      <c r="K283" s="2"/>
      <c r="L283" s="2"/>
    </row>
    <row r="284" ht="15.75" customHeight="1">
      <c r="A284" s="2"/>
      <c r="C284" s="2"/>
      <c r="D284" s="2"/>
      <c r="E284" s="2"/>
      <c r="F284" s="2"/>
      <c r="K284" s="2"/>
      <c r="L284" s="2"/>
    </row>
    <row r="285" ht="15.75" customHeight="1">
      <c r="A285" s="2"/>
      <c r="C285" s="2"/>
      <c r="D285" s="2"/>
      <c r="E285" s="2"/>
      <c r="F285" s="2"/>
      <c r="K285" s="2"/>
      <c r="L285" s="2"/>
    </row>
    <row r="286" ht="15.75" customHeight="1">
      <c r="A286" s="2"/>
      <c r="C286" s="2"/>
      <c r="D286" s="2"/>
      <c r="E286" s="2"/>
      <c r="F286" s="2"/>
      <c r="K286" s="2"/>
      <c r="L286" s="2"/>
    </row>
    <row r="287" ht="15.75" customHeight="1">
      <c r="A287" s="2"/>
      <c r="C287" s="2"/>
      <c r="D287" s="2"/>
      <c r="E287" s="2"/>
      <c r="F287" s="2"/>
      <c r="K287" s="2"/>
      <c r="L287" s="2"/>
    </row>
    <row r="288" ht="15.75" customHeight="1">
      <c r="A288" s="2"/>
      <c r="C288" s="2"/>
      <c r="D288" s="2"/>
      <c r="E288" s="2"/>
      <c r="F288" s="2"/>
      <c r="K288" s="2"/>
      <c r="L288" s="2"/>
    </row>
    <row r="289" ht="15.75" customHeight="1">
      <c r="A289" s="2"/>
      <c r="C289" s="2"/>
      <c r="D289" s="2"/>
      <c r="E289" s="2"/>
      <c r="F289" s="2"/>
      <c r="K289" s="2"/>
      <c r="L289" s="2"/>
    </row>
    <row r="290" ht="15.75" customHeight="1">
      <c r="A290" s="2"/>
      <c r="C290" s="2"/>
      <c r="D290" s="2"/>
      <c r="E290" s="2"/>
      <c r="F290" s="2"/>
      <c r="K290" s="2"/>
      <c r="L290" s="2"/>
    </row>
    <row r="291" ht="15.75" customHeight="1">
      <c r="A291" s="2"/>
      <c r="C291" s="2"/>
      <c r="D291" s="2"/>
      <c r="E291" s="2"/>
      <c r="F291" s="2"/>
      <c r="K291" s="2"/>
      <c r="L291" s="2"/>
    </row>
    <row r="292" ht="15.75" customHeight="1">
      <c r="A292" s="2"/>
      <c r="C292" s="2"/>
      <c r="D292" s="2"/>
      <c r="E292" s="2"/>
      <c r="F292" s="2"/>
      <c r="K292" s="2"/>
      <c r="L292" s="2"/>
    </row>
    <row r="293" ht="15.75" customHeight="1">
      <c r="A293" s="2"/>
      <c r="C293" s="2"/>
      <c r="D293" s="2"/>
      <c r="E293" s="2"/>
      <c r="F293" s="2"/>
      <c r="K293" s="2"/>
      <c r="L293" s="2"/>
    </row>
    <row r="294" ht="15.75" customHeight="1">
      <c r="A294" s="2"/>
      <c r="C294" s="2"/>
      <c r="D294" s="2"/>
      <c r="E294" s="2"/>
      <c r="F294" s="2"/>
      <c r="K294" s="2"/>
      <c r="L294" s="2"/>
    </row>
    <row r="295" ht="15.75" customHeight="1">
      <c r="A295" s="2"/>
      <c r="C295" s="2"/>
      <c r="D295" s="2"/>
      <c r="E295" s="2"/>
      <c r="F295" s="2"/>
      <c r="K295" s="2"/>
      <c r="L295" s="2"/>
    </row>
    <row r="296" ht="15.75" customHeight="1">
      <c r="A296" s="2"/>
      <c r="C296" s="2"/>
      <c r="D296" s="2"/>
      <c r="E296" s="2"/>
      <c r="F296" s="2"/>
      <c r="K296" s="2"/>
      <c r="L296" s="2"/>
    </row>
    <row r="297" ht="15.75" customHeight="1">
      <c r="A297" s="2"/>
      <c r="C297" s="2"/>
      <c r="D297" s="2"/>
      <c r="E297" s="2"/>
      <c r="F297" s="2"/>
      <c r="K297" s="2"/>
      <c r="L297" s="2"/>
    </row>
    <row r="298" ht="15.75" customHeight="1">
      <c r="A298" s="2"/>
      <c r="C298" s="2"/>
      <c r="D298" s="2"/>
      <c r="E298" s="2"/>
      <c r="F298" s="2"/>
      <c r="K298" s="2"/>
      <c r="L298" s="2"/>
    </row>
    <row r="299" ht="15.75" customHeight="1">
      <c r="A299" s="2"/>
      <c r="C299" s="2"/>
      <c r="D299" s="2"/>
      <c r="E299" s="2"/>
      <c r="F299" s="2"/>
      <c r="K299" s="2"/>
      <c r="L299" s="2"/>
    </row>
    <row r="300" ht="15.75" customHeight="1">
      <c r="A300" s="2"/>
      <c r="C300" s="2"/>
      <c r="D300" s="2"/>
      <c r="E300" s="2"/>
      <c r="F300" s="2"/>
      <c r="K300" s="2"/>
      <c r="L300" s="2"/>
    </row>
    <row r="301" ht="15.75" customHeight="1">
      <c r="A301" s="2"/>
      <c r="C301" s="2"/>
      <c r="D301" s="2"/>
      <c r="E301" s="2"/>
      <c r="F301" s="2"/>
      <c r="K301" s="2"/>
      <c r="L301" s="2"/>
    </row>
    <row r="302" ht="15.75" customHeight="1">
      <c r="A302" s="2"/>
      <c r="C302" s="2"/>
      <c r="D302" s="2"/>
      <c r="E302" s="2"/>
      <c r="F302" s="2"/>
      <c r="K302" s="2"/>
      <c r="L302" s="2"/>
    </row>
    <row r="303" ht="15.75" customHeight="1">
      <c r="A303" s="2"/>
      <c r="C303" s="2"/>
      <c r="D303" s="2"/>
      <c r="E303" s="2"/>
      <c r="F303" s="2"/>
      <c r="K303" s="2"/>
      <c r="L303" s="2"/>
    </row>
    <row r="304" ht="15.75" customHeight="1">
      <c r="A304" s="2"/>
      <c r="C304" s="2"/>
      <c r="D304" s="2"/>
      <c r="E304" s="2"/>
      <c r="F304" s="2"/>
      <c r="K304" s="2"/>
      <c r="L304" s="2"/>
    </row>
    <row r="305" ht="15.75" customHeight="1">
      <c r="A305" s="2"/>
      <c r="C305" s="2"/>
      <c r="D305" s="2"/>
      <c r="E305" s="2"/>
      <c r="F305" s="2"/>
      <c r="K305" s="2"/>
      <c r="L305" s="2"/>
    </row>
    <row r="306" ht="15.75" customHeight="1">
      <c r="A306" s="2"/>
      <c r="C306" s="2"/>
      <c r="D306" s="2"/>
      <c r="E306" s="2"/>
      <c r="F306" s="2"/>
      <c r="K306" s="2"/>
      <c r="L306" s="2"/>
    </row>
    <row r="307" ht="15.75" customHeight="1">
      <c r="A307" s="2"/>
      <c r="C307" s="2"/>
      <c r="D307" s="2"/>
      <c r="E307" s="2"/>
      <c r="F307" s="2"/>
      <c r="K307" s="2"/>
      <c r="L307" s="2"/>
    </row>
    <row r="308" ht="15.75" customHeight="1">
      <c r="A308" s="2"/>
      <c r="C308" s="2"/>
      <c r="D308" s="2"/>
      <c r="E308" s="2"/>
      <c r="F308" s="2"/>
      <c r="K308" s="2"/>
      <c r="L308" s="2"/>
    </row>
    <row r="309" ht="15.75" customHeight="1">
      <c r="A309" s="2"/>
      <c r="C309" s="2"/>
      <c r="D309" s="2"/>
      <c r="E309" s="2"/>
      <c r="F309" s="2"/>
      <c r="K309" s="2"/>
      <c r="L309" s="2"/>
    </row>
    <row r="310" ht="15.75" customHeight="1">
      <c r="A310" s="2"/>
      <c r="C310" s="2"/>
      <c r="D310" s="2"/>
      <c r="E310" s="2"/>
      <c r="F310" s="2"/>
      <c r="K310" s="2"/>
      <c r="L310" s="2"/>
    </row>
    <row r="311" ht="15.75" customHeight="1">
      <c r="A311" s="2"/>
      <c r="C311" s="2"/>
      <c r="D311" s="2"/>
      <c r="E311" s="2"/>
      <c r="F311" s="2"/>
      <c r="K311" s="2"/>
      <c r="L311" s="2"/>
    </row>
    <row r="312" ht="15.75" customHeight="1">
      <c r="A312" s="2"/>
      <c r="C312" s="2"/>
      <c r="D312" s="2"/>
      <c r="E312" s="2"/>
      <c r="F312" s="2"/>
      <c r="K312" s="2"/>
      <c r="L312" s="2"/>
    </row>
    <row r="313" ht="15.75" customHeight="1">
      <c r="A313" s="2"/>
      <c r="C313" s="2"/>
      <c r="D313" s="2"/>
      <c r="E313" s="2"/>
      <c r="F313" s="2"/>
      <c r="K313" s="2"/>
      <c r="L313" s="2"/>
    </row>
    <row r="314" ht="15.75" customHeight="1">
      <c r="A314" s="2"/>
      <c r="C314" s="2"/>
      <c r="D314" s="2"/>
      <c r="E314" s="2"/>
      <c r="F314" s="2"/>
      <c r="K314" s="2"/>
      <c r="L314" s="2"/>
    </row>
    <row r="315" ht="15.75" customHeight="1">
      <c r="A315" s="2"/>
      <c r="C315" s="2"/>
      <c r="D315" s="2"/>
      <c r="E315" s="2"/>
      <c r="F315" s="2"/>
      <c r="K315" s="2"/>
      <c r="L315" s="2"/>
    </row>
    <row r="316" ht="15.75" customHeight="1">
      <c r="A316" s="2"/>
      <c r="C316" s="2"/>
      <c r="D316" s="2"/>
      <c r="E316" s="2"/>
      <c r="F316" s="2"/>
      <c r="K316" s="2"/>
      <c r="L316" s="2"/>
    </row>
    <row r="317" ht="15.75" customHeight="1">
      <c r="A317" s="2"/>
      <c r="C317" s="2"/>
      <c r="D317" s="2"/>
      <c r="E317" s="2"/>
      <c r="F317" s="2"/>
      <c r="K317" s="2"/>
      <c r="L317" s="2"/>
    </row>
    <row r="318" ht="15.75" customHeight="1">
      <c r="A318" s="2"/>
      <c r="C318" s="2"/>
      <c r="D318" s="2"/>
      <c r="E318" s="2"/>
      <c r="F318" s="2"/>
      <c r="K318" s="2"/>
      <c r="L318" s="2"/>
    </row>
    <row r="319" ht="15.75" customHeight="1">
      <c r="A319" s="2"/>
      <c r="C319" s="2"/>
      <c r="D319" s="2"/>
      <c r="E319" s="2"/>
      <c r="F319" s="2"/>
      <c r="K319" s="2"/>
      <c r="L319" s="2"/>
    </row>
    <row r="320" ht="15.75" customHeight="1">
      <c r="A320" s="2"/>
      <c r="C320" s="2"/>
      <c r="D320" s="2"/>
      <c r="E320" s="2"/>
      <c r="F320" s="2"/>
      <c r="K320" s="2"/>
      <c r="L320" s="2"/>
    </row>
    <row r="321" ht="15.75" customHeight="1">
      <c r="A321" s="2"/>
      <c r="C321" s="2"/>
      <c r="D321" s="2"/>
      <c r="E321" s="2"/>
      <c r="F321" s="2"/>
      <c r="K321" s="2"/>
      <c r="L321" s="2"/>
    </row>
    <row r="322" ht="15.75" customHeight="1">
      <c r="A322" s="2"/>
      <c r="C322" s="2"/>
      <c r="D322" s="2"/>
      <c r="E322" s="2"/>
      <c r="F322" s="2"/>
      <c r="K322" s="2"/>
      <c r="L322" s="2"/>
    </row>
    <row r="323" ht="15.75" customHeight="1">
      <c r="A323" s="2"/>
      <c r="C323" s="2"/>
      <c r="D323" s="2"/>
      <c r="E323" s="2"/>
      <c r="F323" s="2"/>
      <c r="K323" s="2"/>
      <c r="L323" s="2"/>
    </row>
    <row r="324" ht="15.75" customHeight="1">
      <c r="A324" s="2"/>
      <c r="C324" s="2"/>
      <c r="D324" s="2"/>
      <c r="E324" s="2"/>
      <c r="F324" s="2"/>
      <c r="K324" s="2"/>
      <c r="L324" s="2"/>
    </row>
    <row r="325" ht="15.75" customHeight="1">
      <c r="A325" s="2"/>
      <c r="C325" s="2"/>
      <c r="D325" s="2"/>
      <c r="E325" s="2"/>
      <c r="F325" s="2"/>
      <c r="K325" s="2"/>
      <c r="L325" s="2"/>
    </row>
    <row r="326" ht="15.75" customHeight="1">
      <c r="A326" s="2"/>
      <c r="C326" s="2"/>
      <c r="D326" s="2"/>
      <c r="E326" s="2"/>
      <c r="F326" s="2"/>
      <c r="K326" s="2"/>
      <c r="L326" s="2"/>
    </row>
    <row r="327" ht="15.75" customHeight="1">
      <c r="A327" s="2"/>
      <c r="C327" s="2"/>
      <c r="D327" s="2"/>
      <c r="E327" s="2"/>
      <c r="F327" s="2"/>
      <c r="K327" s="2"/>
      <c r="L327" s="2"/>
    </row>
    <row r="328" ht="15.75" customHeight="1">
      <c r="A328" s="2"/>
      <c r="C328" s="2"/>
      <c r="D328" s="2"/>
      <c r="E328" s="2"/>
      <c r="F328" s="2"/>
      <c r="K328" s="2"/>
      <c r="L328" s="2"/>
    </row>
    <row r="329" ht="15.75" customHeight="1">
      <c r="A329" s="2"/>
      <c r="C329" s="2"/>
      <c r="D329" s="2"/>
      <c r="E329" s="2"/>
      <c r="F329" s="2"/>
      <c r="K329" s="2"/>
      <c r="L329" s="2"/>
    </row>
    <row r="330" ht="15.75" customHeight="1">
      <c r="A330" s="2"/>
      <c r="C330" s="2"/>
      <c r="D330" s="2"/>
      <c r="E330" s="2"/>
      <c r="F330" s="2"/>
      <c r="K330" s="2"/>
      <c r="L330" s="2"/>
    </row>
    <row r="331" ht="15.75" customHeight="1">
      <c r="A331" s="2"/>
      <c r="C331" s="2"/>
      <c r="D331" s="2"/>
      <c r="E331" s="2"/>
      <c r="F331" s="2"/>
      <c r="K331" s="2"/>
      <c r="L331" s="2"/>
    </row>
    <row r="332" ht="15.75" customHeight="1">
      <c r="A332" s="2"/>
      <c r="C332" s="2"/>
      <c r="D332" s="2"/>
      <c r="E332" s="2"/>
      <c r="F332" s="2"/>
      <c r="K332" s="2"/>
      <c r="L332" s="2"/>
    </row>
    <row r="333" ht="15.75" customHeight="1">
      <c r="A333" s="2"/>
      <c r="C333" s="2"/>
      <c r="D333" s="2"/>
      <c r="E333" s="2"/>
      <c r="F333" s="2"/>
      <c r="K333" s="2"/>
      <c r="L333" s="2"/>
    </row>
    <row r="334" ht="15.75" customHeight="1">
      <c r="A334" s="2"/>
      <c r="C334" s="2"/>
      <c r="D334" s="2"/>
      <c r="E334" s="2"/>
      <c r="F334" s="2"/>
      <c r="K334" s="2"/>
      <c r="L334" s="2"/>
    </row>
    <row r="335" ht="15.75" customHeight="1">
      <c r="A335" s="2"/>
      <c r="C335" s="2"/>
      <c r="D335" s="2"/>
      <c r="E335" s="2"/>
      <c r="F335" s="2"/>
      <c r="K335" s="2"/>
      <c r="L335" s="2"/>
    </row>
    <row r="336" ht="15.75" customHeight="1">
      <c r="A336" s="2"/>
      <c r="C336" s="2"/>
      <c r="D336" s="2"/>
      <c r="E336" s="2"/>
      <c r="F336" s="2"/>
      <c r="K336" s="2"/>
      <c r="L336" s="2"/>
    </row>
    <row r="337" ht="15.75" customHeight="1">
      <c r="A337" s="2"/>
      <c r="C337" s="2"/>
      <c r="D337" s="2"/>
      <c r="E337" s="2"/>
      <c r="F337" s="2"/>
      <c r="K337" s="2"/>
      <c r="L337" s="2"/>
    </row>
    <row r="338" ht="15.75" customHeight="1">
      <c r="A338" s="2"/>
      <c r="C338" s="2"/>
      <c r="D338" s="2"/>
      <c r="E338" s="2"/>
      <c r="F338" s="2"/>
      <c r="K338" s="2"/>
      <c r="L338" s="2"/>
    </row>
    <row r="339" ht="15.75" customHeight="1">
      <c r="A339" s="2"/>
      <c r="C339" s="2"/>
      <c r="D339" s="2"/>
      <c r="E339" s="2"/>
      <c r="F339" s="2"/>
      <c r="K339" s="2"/>
      <c r="L339" s="2"/>
    </row>
    <row r="340" ht="15.75" customHeight="1">
      <c r="A340" s="2"/>
      <c r="C340" s="2"/>
      <c r="D340" s="2"/>
      <c r="E340" s="2"/>
      <c r="F340" s="2"/>
      <c r="K340" s="2"/>
      <c r="L340" s="2"/>
    </row>
    <row r="341" ht="15.75" customHeight="1">
      <c r="A341" s="2"/>
      <c r="C341" s="2"/>
      <c r="D341" s="2"/>
      <c r="E341" s="2"/>
      <c r="F341" s="2"/>
      <c r="K341" s="2"/>
      <c r="L341" s="2"/>
    </row>
    <row r="342" ht="15.75" customHeight="1">
      <c r="A342" s="2"/>
      <c r="C342" s="2"/>
      <c r="D342" s="2"/>
      <c r="E342" s="2"/>
      <c r="F342" s="2"/>
      <c r="K342" s="2"/>
      <c r="L342" s="2"/>
    </row>
    <row r="343" ht="15.75" customHeight="1">
      <c r="A343" s="2"/>
      <c r="C343" s="2"/>
      <c r="D343" s="2"/>
      <c r="E343" s="2"/>
      <c r="F343" s="2"/>
      <c r="K343" s="2"/>
      <c r="L343" s="2"/>
    </row>
    <row r="344" ht="15.75" customHeight="1">
      <c r="A344" s="2"/>
      <c r="C344" s="2"/>
      <c r="D344" s="2"/>
      <c r="E344" s="2"/>
      <c r="F344" s="2"/>
      <c r="K344" s="2"/>
      <c r="L344" s="2"/>
    </row>
    <row r="345" ht="15.75" customHeight="1">
      <c r="A345" s="2"/>
      <c r="C345" s="2"/>
      <c r="D345" s="2"/>
      <c r="E345" s="2"/>
      <c r="F345" s="2"/>
      <c r="K345" s="2"/>
      <c r="L345" s="2"/>
    </row>
    <row r="346" ht="15.75" customHeight="1">
      <c r="A346" s="2"/>
      <c r="C346" s="2"/>
      <c r="D346" s="2"/>
      <c r="E346" s="2"/>
      <c r="F346" s="2"/>
      <c r="K346" s="2"/>
      <c r="L346" s="2"/>
    </row>
    <row r="347" ht="15.75" customHeight="1">
      <c r="A347" s="2"/>
      <c r="C347" s="2"/>
      <c r="D347" s="2"/>
      <c r="E347" s="2"/>
      <c r="F347" s="2"/>
      <c r="K347" s="2"/>
      <c r="L347" s="2"/>
    </row>
    <row r="348" ht="15.75" customHeight="1">
      <c r="A348" s="2"/>
      <c r="C348" s="2"/>
      <c r="D348" s="2"/>
      <c r="E348" s="2"/>
      <c r="F348" s="2"/>
      <c r="K348" s="2"/>
      <c r="L348" s="2"/>
    </row>
    <row r="349" ht="15.75" customHeight="1">
      <c r="A349" s="2"/>
      <c r="C349" s="2"/>
      <c r="D349" s="2"/>
      <c r="E349" s="2"/>
      <c r="F349" s="2"/>
      <c r="K349" s="2"/>
      <c r="L349" s="2"/>
    </row>
    <row r="350" ht="15.75" customHeight="1">
      <c r="A350" s="2"/>
      <c r="C350" s="2"/>
      <c r="D350" s="2"/>
      <c r="E350" s="2"/>
      <c r="F350" s="2"/>
      <c r="K350" s="2"/>
      <c r="L350" s="2"/>
    </row>
    <row r="351" ht="15.75" customHeight="1">
      <c r="A351" s="2"/>
      <c r="C351" s="2"/>
      <c r="D351" s="2"/>
      <c r="E351" s="2"/>
      <c r="F351" s="2"/>
      <c r="K351" s="2"/>
      <c r="L351" s="2"/>
    </row>
    <row r="352" ht="15.75" customHeight="1">
      <c r="A352" s="2"/>
      <c r="C352" s="2"/>
      <c r="D352" s="2"/>
      <c r="E352" s="2"/>
      <c r="F352" s="2"/>
      <c r="K352" s="2"/>
      <c r="L352" s="2"/>
    </row>
    <row r="353" ht="15.75" customHeight="1">
      <c r="A353" s="2"/>
      <c r="C353" s="2"/>
      <c r="D353" s="2"/>
      <c r="E353" s="2"/>
      <c r="F353" s="2"/>
      <c r="K353" s="2"/>
      <c r="L353" s="2"/>
    </row>
    <row r="354" ht="15.75" customHeight="1">
      <c r="A354" s="2"/>
      <c r="C354" s="2"/>
      <c r="D354" s="2"/>
      <c r="E354" s="2"/>
      <c r="F354" s="2"/>
      <c r="K354" s="2"/>
      <c r="L354" s="2"/>
    </row>
    <row r="355" ht="15.75" customHeight="1">
      <c r="A355" s="2"/>
      <c r="C355" s="2"/>
      <c r="D355" s="2"/>
      <c r="E355" s="2"/>
      <c r="F355" s="2"/>
      <c r="K355" s="2"/>
      <c r="L355" s="2"/>
    </row>
    <row r="356" ht="15.75" customHeight="1">
      <c r="A356" s="2"/>
      <c r="C356" s="2"/>
      <c r="D356" s="2"/>
      <c r="E356" s="2"/>
      <c r="F356" s="2"/>
      <c r="K356" s="2"/>
      <c r="L356" s="2"/>
    </row>
    <row r="357" ht="15.75" customHeight="1">
      <c r="A357" s="2"/>
      <c r="C357" s="2"/>
      <c r="D357" s="2"/>
      <c r="E357" s="2"/>
      <c r="F357" s="2"/>
      <c r="K357" s="2"/>
      <c r="L357" s="2"/>
    </row>
    <row r="358" ht="15.75" customHeight="1">
      <c r="A358" s="2"/>
      <c r="C358" s="2"/>
      <c r="D358" s="2"/>
      <c r="E358" s="2"/>
      <c r="F358" s="2"/>
      <c r="K358" s="2"/>
      <c r="L358" s="2"/>
    </row>
    <row r="359" ht="15.75" customHeight="1">
      <c r="A359" s="2"/>
      <c r="C359" s="2"/>
      <c r="D359" s="2"/>
      <c r="E359" s="2"/>
      <c r="F359" s="2"/>
      <c r="K359" s="2"/>
      <c r="L359" s="2"/>
    </row>
    <row r="360" ht="15.75" customHeight="1">
      <c r="A360" s="2"/>
      <c r="C360" s="2"/>
      <c r="D360" s="2"/>
      <c r="E360" s="2"/>
      <c r="F360" s="2"/>
      <c r="K360" s="2"/>
      <c r="L360" s="2"/>
    </row>
    <row r="361" ht="15.75" customHeight="1">
      <c r="A361" s="2"/>
      <c r="C361" s="2"/>
      <c r="D361" s="2"/>
      <c r="E361" s="2"/>
      <c r="F361" s="2"/>
      <c r="K361" s="2"/>
      <c r="L361" s="2"/>
    </row>
    <row r="362" ht="15.75" customHeight="1">
      <c r="A362" s="2"/>
      <c r="C362" s="2"/>
      <c r="D362" s="2"/>
      <c r="E362" s="2"/>
      <c r="F362" s="2"/>
      <c r="K362" s="2"/>
      <c r="L362" s="2"/>
    </row>
    <row r="363" ht="15.75" customHeight="1">
      <c r="A363" s="2"/>
      <c r="C363" s="2"/>
      <c r="D363" s="2"/>
      <c r="E363" s="2"/>
      <c r="F363" s="2"/>
      <c r="K363" s="2"/>
      <c r="L363" s="2"/>
    </row>
    <row r="364" ht="15.75" customHeight="1">
      <c r="A364" s="2"/>
      <c r="C364" s="2"/>
      <c r="D364" s="2"/>
      <c r="E364" s="2"/>
      <c r="F364" s="2"/>
      <c r="K364" s="2"/>
      <c r="L364" s="2"/>
    </row>
    <row r="365" ht="15.75" customHeight="1">
      <c r="A365" s="2"/>
      <c r="C365" s="2"/>
      <c r="D365" s="2"/>
      <c r="E365" s="2"/>
      <c r="F365" s="2"/>
      <c r="K365" s="2"/>
      <c r="L365" s="2"/>
    </row>
    <row r="366" ht="15.75" customHeight="1">
      <c r="A366" s="2"/>
      <c r="C366" s="2"/>
      <c r="D366" s="2"/>
      <c r="E366" s="2"/>
      <c r="F366" s="2"/>
      <c r="K366" s="2"/>
      <c r="L366" s="2"/>
    </row>
    <row r="367" ht="15.75" customHeight="1">
      <c r="A367" s="2"/>
      <c r="C367" s="2"/>
      <c r="D367" s="2"/>
      <c r="E367" s="2"/>
      <c r="F367" s="2"/>
      <c r="K367" s="2"/>
      <c r="L367" s="2"/>
    </row>
    <row r="368" ht="15.75" customHeight="1">
      <c r="A368" s="2"/>
      <c r="C368" s="2"/>
      <c r="D368" s="2"/>
      <c r="E368" s="2"/>
      <c r="F368" s="2"/>
      <c r="K368" s="2"/>
      <c r="L368" s="2"/>
    </row>
    <row r="369" ht="15.75" customHeight="1">
      <c r="A369" s="2"/>
      <c r="C369" s="2"/>
      <c r="D369" s="2"/>
      <c r="E369" s="2"/>
      <c r="F369" s="2"/>
      <c r="K369" s="2"/>
      <c r="L369" s="2"/>
    </row>
    <row r="370" ht="15.75" customHeight="1">
      <c r="A370" s="2"/>
      <c r="C370" s="2"/>
      <c r="D370" s="2"/>
      <c r="E370" s="2"/>
      <c r="F370" s="2"/>
      <c r="K370" s="2"/>
      <c r="L370" s="2"/>
    </row>
    <row r="371" ht="15.75" customHeight="1">
      <c r="A371" s="2"/>
      <c r="C371" s="2"/>
      <c r="D371" s="2"/>
      <c r="E371" s="2"/>
      <c r="F371" s="2"/>
      <c r="K371" s="2"/>
      <c r="L371" s="2"/>
    </row>
    <row r="372" ht="15.75" customHeight="1">
      <c r="A372" s="2"/>
      <c r="C372" s="2"/>
      <c r="D372" s="2"/>
      <c r="E372" s="2"/>
      <c r="F372" s="2"/>
      <c r="K372" s="2"/>
      <c r="L372" s="2"/>
    </row>
    <row r="373" ht="15.75" customHeight="1">
      <c r="A373" s="2"/>
      <c r="C373" s="2"/>
      <c r="D373" s="2"/>
      <c r="E373" s="2"/>
      <c r="F373" s="2"/>
      <c r="K373" s="2"/>
      <c r="L373" s="2"/>
    </row>
    <row r="374" ht="15.75" customHeight="1">
      <c r="A374" s="2"/>
      <c r="C374" s="2"/>
      <c r="D374" s="2"/>
      <c r="E374" s="2"/>
      <c r="F374" s="2"/>
      <c r="K374" s="2"/>
      <c r="L374" s="2"/>
    </row>
    <row r="375" ht="15.75" customHeight="1">
      <c r="A375" s="2"/>
      <c r="C375" s="2"/>
      <c r="D375" s="2"/>
      <c r="E375" s="2"/>
      <c r="F375" s="2"/>
      <c r="K375" s="2"/>
      <c r="L375" s="2"/>
    </row>
    <row r="376" ht="15.75" customHeight="1">
      <c r="A376" s="2"/>
      <c r="C376" s="2"/>
      <c r="D376" s="2"/>
      <c r="E376" s="2"/>
      <c r="F376" s="2"/>
      <c r="K376" s="2"/>
      <c r="L376" s="2"/>
    </row>
    <row r="377" ht="15.75" customHeight="1">
      <c r="A377" s="2"/>
      <c r="C377" s="2"/>
      <c r="D377" s="2"/>
      <c r="E377" s="2"/>
      <c r="F377" s="2"/>
      <c r="K377" s="2"/>
      <c r="L377" s="2"/>
    </row>
    <row r="378" ht="15.75" customHeight="1">
      <c r="A378" s="2"/>
      <c r="C378" s="2"/>
      <c r="D378" s="2"/>
      <c r="E378" s="2"/>
      <c r="F378" s="2"/>
      <c r="K378" s="2"/>
      <c r="L378" s="2"/>
    </row>
    <row r="379" ht="15.75" customHeight="1">
      <c r="A379" s="2"/>
      <c r="C379" s="2"/>
      <c r="D379" s="2"/>
      <c r="E379" s="2"/>
      <c r="F379" s="2"/>
      <c r="K379" s="2"/>
      <c r="L379" s="2"/>
    </row>
    <row r="380" ht="15.75" customHeight="1">
      <c r="A380" s="2"/>
      <c r="C380" s="2"/>
      <c r="D380" s="2"/>
      <c r="E380" s="2"/>
      <c r="F380" s="2"/>
      <c r="K380" s="2"/>
      <c r="L380" s="2"/>
    </row>
    <row r="381" ht="15.75" customHeight="1">
      <c r="A381" s="2"/>
      <c r="C381" s="2"/>
      <c r="D381" s="2"/>
      <c r="E381" s="2"/>
      <c r="F381" s="2"/>
      <c r="K381" s="2"/>
      <c r="L381" s="2"/>
    </row>
    <row r="382" ht="15.75" customHeight="1">
      <c r="A382" s="2"/>
      <c r="C382" s="2"/>
      <c r="D382" s="2"/>
      <c r="E382" s="2"/>
      <c r="F382" s="2"/>
      <c r="K382" s="2"/>
      <c r="L382" s="2"/>
    </row>
    <row r="383" ht="15.75" customHeight="1">
      <c r="A383" s="2"/>
      <c r="C383" s="2"/>
      <c r="D383" s="2"/>
      <c r="E383" s="2"/>
      <c r="F383" s="2"/>
      <c r="K383" s="2"/>
      <c r="L383" s="2"/>
    </row>
    <row r="384" ht="15.75" customHeight="1">
      <c r="A384" s="2"/>
      <c r="C384" s="2"/>
      <c r="D384" s="2"/>
      <c r="E384" s="2"/>
      <c r="F384" s="2"/>
      <c r="K384" s="2"/>
      <c r="L384" s="2"/>
    </row>
    <row r="385" ht="15.75" customHeight="1">
      <c r="A385" s="2"/>
      <c r="C385" s="2"/>
      <c r="D385" s="2"/>
      <c r="E385" s="2"/>
      <c r="F385" s="2"/>
      <c r="K385" s="2"/>
      <c r="L385" s="2"/>
    </row>
    <row r="386" ht="15.75" customHeight="1">
      <c r="A386" s="2"/>
      <c r="C386" s="2"/>
      <c r="D386" s="2"/>
      <c r="E386" s="2"/>
      <c r="F386" s="2"/>
      <c r="K386" s="2"/>
      <c r="L386" s="2"/>
    </row>
    <row r="387" ht="15.75" customHeight="1">
      <c r="A387" s="2"/>
      <c r="C387" s="2"/>
      <c r="D387" s="2"/>
      <c r="E387" s="2"/>
      <c r="F387" s="2"/>
      <c r="K387" s="2"/>
      <c r="L387" s="2"/>
    </row>
    <row r="388" ht="15.75" customHeight="1">
      <c r="A388" s="2"/>
      <c r="C388" s="2"/>
      <c r="D388" s="2"/>
      <c r="E388" s="2"/>
      <c r="F388" s="2"/>
      <c r="K388" s="2"/>
      <c r="L388" s="2"/>
    </row>
    <row r="389" ht="15.75" customHeight="1">
      <c r="A389" s="2"/>
      <c r="C389" s="2"/>
      <c r="D389" s="2"/>
      <c r="E389" s="2"/>
      <c r="F389" s="2"/>
      <c r="K389" s="2"/>
      <c r="L389" s="2"/>
    </row>
    <row r="390" ht="15.75" customHeight="1">
      <c r="A390" s="2"/>
      <c r="C390" s="2"/>
      <c r="D390" s="2"/>
      <c r="E390" s="2"/>
      <c r="F390" s="2"/>
      <c r="K390" s="2"/>
      <c r="L390" s="2"/>
    </row>
    <row r="391" ht="15.75" customHeight="1">
      <c r="A391" s="2"/>
      <c r="C391" s="2"/>
      <c r="D391" s="2"/>
      <c r="E391" s="2"/>
      <c r="F391" s="2"/>
      <c r="K391" s="2"/>
      <c r="L391" s="2"/>
    </row>
    <row r="392" ht="15.75" customHeight="1">
      <c r="A392" s="2"/>
      <c r="C392" s="2"/>
      <c r="D392" s="2"/>
      <c r="E392" s="2"/>
      <c r="F392" s="2"/>
      <c r="K392" s="2"/>
      <c r="L392" s="2"/>
    </row>
    <row r="393" ht="15.75" customHeight="1">
      <c r="A393" s="2"/>
      <c r="C393" s="2"/>
      <c r="D393" s="2"/>
      <c r="E393" s="2"/>
      <c r="F393" s="2"/>
      <c r="K393" s="2"/>
      <c r="L393" s="2"/>
    </row>
    <row r="394" ht="15.75" customHeight="1">
      <c r="A394" s="2"/>
      <c r="C394" s="2"/>
      <c r="D394" s="2"/>
      <c r="E394" s="2"/>
      <c r="F394" s="2"/>
      <c r="K394" s="2"/>
      <c r="L394" s="2"/>
    </row>
    <row r="395" ht="15.75" customHeight="1">
      <c r="A395" s="2"/>
      <c r="C395" s="2"/>
      <c r="D395" s="2"/>
      <c r="E395" s="2"/>
      <c r="F395" s="2"/>
      <c r="K395" s="2"/>
      <c r="L395" s="2"/>
    </row>
    <row r="396" ht="15.75" customHeight="1">
      <c r="A396" s="2"/>
      <c r="C396" s="2"/>
      <c r="D396" s="2"/>
      <c r="E396" s="2"/>
      <c r="F396" s="2"/>
      <c r="K396" s="2"/>
      <c r="L396" s="2"/>
    </row>
    <row r="397" ht="15.75" customHeight="1">
      <c r="A397" s="2"/>
      <c r="C397" s="2"/>
      <c r="D397" s="2"/>
      <c r="E397" s="2"/>
      <c r="F397" s="2"/>
      <c r="K397" s="2"/>
      <c r="L397" s="2"/>
    </row>
    <row r="398" ht="15.75" customHeight="1">
      <c r="A398" s="2"/>
      <c r="C398" s="2"/>
      <c r="D398" s="2"/>
      <c r="E398" s="2"/>
      <c r="F398" s="2"/>
      <c r="K398" s="2"/>
      <c r="L398" s="2"/>
    </row>
    <row r="399" ht="15.75" customHeight="1">
      <c r="A399" s="2"/>
      <c r="C399" s="2"/>
      <c r="D399" s="2"/>
      <c r="E399" s="2"/>
      <c r="F399" s="2"/>
      <c r="K399" s="2"/>
      <c r="L399" s="2"/>
    </row>
    <row r="400" ht="15.75" customHeight="1">
      <c r="A400" s="2"/>
      <c r="C400" s="2"/>
      <c r="D400" s="2"/>
      <c r="E400" s="2"/>
      <c r="F400" s="2"/>
      <c r="K400" s="2"/>
      <c r="L400" s="2"/>
    </row>
    <row r="401" ht="15.75" customHeight="1">
      <c r="A401" s="2"/>
      <c r="C401" s="2"/>
      <c r="D401" s="2"/>
      <c r="E401" s="2"/>
      <c r="F401" s="2"/>
      <c r="K401" s="2"/>
      <c r="L401" s="2"/>
    </row>
    <row r="402" ht="15.75" customHeight="1">
      <c r="A402" s="2"/>
      <c r="C402" s="2"/>
      <c r="D402" s="2"/>
      <c r="E402" s="2"/>
      <c r="F402" s="2"/>
      <c r="K402" s="2"/>
      <c r="L402" s="2"/>
    </row>
    <row r="403" ht="15.75" customHeight="1">
      <c r="A403" s="2"/>
      <c r="C403" s="2"/>
      <c r="D403" s="2"/>
      <c r="E403" s="2"/>
      <c r="F403" s="2"/>
      <c r="K403" s="2"/>
      <c r="L403" s="2"/>
    </row>
    <row r="404" ht="15.75" customHeight="1">
      <c r="A404" s="2"/>
      <c r="C404" s="2"/>
      <c r="D404" s="2"/>
      <c r="E404" s="2"/>
      <c r="F404" s="2"/>
      <c r="K404" s="2"/>
      <c r="L404" s="2"/>
    </row>
    <row r="405" ht="15.75" customHeight="1">
      <c r="A405" s="2"/>
      <c r="C405" s="2"/>
      <c r="D405" s="2"/>
      <c r="E405" s="2"/>
      <c r="F405" s="2"/>
      <c r="K405" s="2"/>
      <c r="L405" s="2"/>
    </row>
    <row r="406" ht="15.75" customHeight="1">
      <c r="A406" s="2"/>
      <c r="C406" s="2"/>
      <c r="D406" s="2"/>
      <c r="E406" s="2"/>
      <c r="F406" s="2"/>
      <c r="K406" s="2"/>
      <c r="L406" s="2"/>
    </row>
    <row r="407" ht="15.75" customHeight="1">
      <c r="A407" s="2"/>
      <c r="C407" s="2"/>
      <c r="D407" s="2"/>
      <c r="E407" s="2"/>
      <c r="F407" s="2"/>
      <c r="K407" s="2"/>
      <c r="L407" s="2"/>
    </row>
    <row r="408" ht="15.75" customHeight="1">
      <c r="A408" s="2"/>
      <c r="C408" s="2"/>
      <c r="D408" s="2"/>
      <c r="E408" s="2"/>
      <c r="F408" s="2"/>
      <c r="K408" s="2"/>
      <c r="L408" s="2"/>
    </row>
    <row r="409" ht="15.75" customHeight="1">
      <c r="A409" s="2"/>
      <c r="C409" s="2"/>
      <c r="D409" s="2"/>
      <c r="E409" s="2"/>
      <c r="F409" s="2"/>
      <c r="K409" s="2"/>
      <c r="L409" s="2"/>
    </row>
    <row r="410" ht="15.75" customHeight="1">
      <c r="A410" s="2"/>
      <c r="C410" s="2"/>
      <c r="D410" s="2"/>
      <c r="E410" s="2"/>
      <c r="F410" s="2"/>
      <c r="K410" s="2"/>
      <c r="L410" s="2"/>
    </row>
    <row r="411" ht="15.75" customHeight="1">
      <c r="A411" s="2"/>
      <c r="C411" s="2"/>
      <c r="D411" s="2"/>
      <c r="E411" s="2"/>
      <c r="F411" s="2"/>
      <c r="K411" s="2"/>
      <c r="L411" s="2"/>
    </row>
    <row r="412" ht="15.75" customHeight="1">
      <c r="A412" s="2"/>
      <c r="C412" s="2"/>
      <c r="D412" s="2"/>
      <c r="E412" s="2"/>
      <c r="F412" s="2"/>
      <c r="K412" s="2"/>
      <c r="L412" s="2"/>
    </row>
    <row r="413" ht="15.75" customHeight="1">
      <c r="A413" s="2"/>
      <c r="C413" s="2"/>
      <c r="D413" s="2"/>
      <c r="E413" s="2"/>
      <c r="F413" s="2"/>
      <c r="K413" s="2"/>
      <c r="L413" s="2"/>
    </row>
    <row r="414" ht="15.75" customHeight="1">
      <c r="A414" s="2"/>
      <c r="C414" s="2"/>
      <c r="D414" s="2"/>
      <c r="E414" s="2"/>
      <c r="F414" s="2"/>
      <c r="K414" s="2"/>
      <c r="L414" s="2"/>
    </row>
    <row r="415" ht="15.75" customHeight="1">
      <c r="A415" s="2"/>
      <c r="C415" s="2"/>
      <c r="D415" s="2"/>
      <c r="E415" s="2"/>
      <c r="F415" s="2"/>
      <c r="K415" s="2"/>
      <c r="L415" s="2"/>
    </row>
    <row r="416" ht="15.75" customHeight="1">
      <c r="A416" s="2"/>
      <c r="C416" s="2"/>
      <c r="D416" s="2"/>
      <c r="E416" s="2"/>
      <c r="F416" s="2"/>
      <c r="K416" s="2"/>
      <c r="L416" s="2"/>
    </row>
    <row r="417" ht="15.75" customHeight="1">
      <c r="A417" s="2"/>
      <c r="C417" s="2"/>
      <c r="D417" s="2"/>
      <c r="E417" s="2"/>
      <c r="F417" s="2"/>
      <c r="K417" s="2"/>
      <c r="L417" s="2"/>
    </row>
    <row r="418" ht="15.75" customHeight="1">
      <c r="A418" s="2"/>
      <c r="C418" s="2"/>
      <c r="D418" s="2"/>
      <c r="E418" s="2"/>
      <c r="F418" s="2"/>
      <c r="K418" s="2"/>
      <c r="L418" s="2"/>
    </row>
    <row r="419" ht="15.75" customHeight="1">
      <c r="A419" s="2"/>
      <c r="C419" s="2"/>
      <c r="D419" s="2"/>
      <c r="E419" s="2"/>
      <c r="F419" s="2"/>
      <c r="K419" s="2"/>
      <c r="L419" s="2"/>
    </row>
    <row r="420" ht="15.75" customHeight="1">
      <c r="A420" s="2"/>
      <c r="C420" s="2"/>
      <c r="D420" s="2"/>
      <c r="E420" s="2"/>
      <c r="F420" s="2"/>
      <c r="K420" s="2"/>
      <c r="L420" s="2"/>
    </row>
    <row r="421" ht="15.75" customHeight="1">
      <c r="A421" s="2"/>
      <c r="C421" s="2"/>
      <c r="D421" s="2"/>
      <c r="E421" s="2"/>
      <c r="F421" s="2"/>
      <c r="K421" s="2"/>
      <c r="L421" s="2"/>
    </row>
    <row r="422" ht="15.75" customHeight="1">
      <c r="A422" s="2"/>
      <c r="C422" s="2"/>
      <c r="D422" s="2"/>
      <c r="E422" s="2"/>
      <c r="F422" s="2"/>
      <c r="K422" s="2"/>
      <c r="L422" s="2"/>
    </row>
    <row r="423" ht="15.75" customHeight="1">
      <c r="A423" s="2"/>
      <c r="C423" s="2"/>
      <c r="D423" s="2"/>
      <c r="E423" s="2"/>
      <c r="F423" s="2"/>
      <c r="K423" s="2"/>
      <c r="L423" s="2"/>
    </row>
    <row r="424" ht="15.75" customHeight="1">
      <c r="A424" s="2"/>
      <c r="C424" s="2"/>
      <c r="D424" s="2"/>
      <c r="E424" s="2"/>
      <c r="F424" s="2"/>
      <c r="K424" s="2"/>
      <c r="L424" s="2"/>
    </row>
    <row r="425" ht="15.75" customHeight="1">
      <c r="A425" s="2"/>
      <c r="C425" s="2"/>
      <c r="D425" s="2"/>
      <c r="E425" s="2"/>
      <c r="F425" s="2"/>
      <c r="K425" s="2"/>
      <c r="L425" s="2"/>
    </row>
    <row r="426" ht="15.75" customHeight="1">
      <c r="A426" s="2"/>
      <c r="C426" s="2"/>
      <c r="D426" s="2"/>
      <c r="E426" s="2"/>
      <c r="F426" s="2"/>
      <c r="K426" s="2"/>
      <c r="L426" s="2"/>
    </row>
    <row r="427" ht="15.75" customHeight="1">
      <c r="A427" s="2"/>
      <c r="C427" s="2"/>
      <c r="D427" s="2"/>
      <c r="E427" s="2"/>
      <c r="F427" s="2"/>
      <c r="K427" s="2"/>
      <c r="L427" s="2"/>
    </row>
    <row r="428" ht="15.75" customHeight="1">
      <c r="A428" s="2"/>
      <c r="C428" s="2"/>
      <c r="D428" s="2"/>
      <c r="E428" s="2"/>
      <c r="F428" s="2"/>
      <c r="K428" s="2"/>
      <c r="L428" s="2"/>
    </row>
    <row r="429" ht="15.75" customHeight="1">
      <c r="A429" s="2"/>
      <c r="C429" s="2"/>
      <c r="D429" s="2"/>
      <c r="E429" s="2"/>
      <c r="F429" s="2"/>
      <c r="K429" s="2"/>
      <c r="L429" s="2"/>
    </row>
    <row r="430" ht="15.75" customHeight="1">
      <c r="A430" s="2"/>
      <c r="C430" s="2"/>
      <c r="D430" s="2"/>
      <c r="E430" s="2"/>
      <c r="F430" s="2"/>
      <c r="K430" s="2"/>
      <c r="L430" s="2"/>
    </row>
    <row r="431" ht="15.75" customHeight="1">
      <c r="A431" s="2"/>
      <c r="C431" s="2"/>
      <c r="D431" s="2"/>
      <c r="E431" s="2"/>
      <c r="F431" s="2"/>
      <c r="K431" s="2"/>
      <c r="L431" s="2"/>
    </row>
    <row r="432" ht="15.75" customHeight="1">
      <c r="A432" s="2"/>
      <c r="C432" s="2"/>
      <c r="D432" s="2"/>
      <c r="E432" s="2"/>
      <c r="F432" s="2"/>
      <c r="K432" s="2"/>
      <c r="L432" s="2"/>
    </row>
    <row r="433" ht="15.75" customHeight="1">
      <c r="A433" s="2"/>
      <c r="C433" s="2"/>
      <c r="D433" s="2"/>
      <c r="E433" s="2"/>
      <c r="F433" s="2"/>
      <c r="K433" s="2"/>
      <c r="L433" s="2"/>
    </row>
    <row r="434" ht="15.75" customHeight="1">
      <c r="A434" s="2"/>
      <c r="C434" s="2"/>
      <c r="D434" s="2"/>
      <c r="E434" s="2"/>
      <c r="F434" s="2"/>
      <c r="K434" s="2"/>
      <c r="L434" s="2"/>
    </row>
    <row r="435" ht="15.75" customHeight="1">
      <c r="A435" s="2"/>
      <c r="C435" s="2"/>
      <c r="D435" s="2"/>
      <c r="E435" s="2"/>
      <c r="F435" s="2"/>
      <c r="K435" s="2"/>
      <c r="L435" s="2"/>
    </row>
    <row r="436" ht="15.75" customHeight="1">
      <c r="A436" s="2"/>
      <c r="C436" s="2"/>
      <c r="D436" s="2"/>
      <c r="E436" s="2"/>
      <c r="F436" s="2"/>
      <c r="K436" s="2"/>
      <c r="L436" s="2"/>
    </row>
    <row r="437" ht="15.75" customHeight="1">
      <c r="A437" s="2"/>
      <c r="C437" s="2"/>
      <c r="D437" s="2"/>
      <c r="E437" s="2"/>
      <c r="F437" s="2"/>
      <c r="K437" s="2"/>
      <c r="L437" s="2"/>
    </row>
    <row r="438" ht="15.75" customHeight="1">
      <c r="A438" s="2"/>
      <c r="C438" s="2"/>
      <c r="D438" s="2"/>
      <c r="E438" s="2"/>
      <c r="F438" s="2"/>
      <c r="K438" s="2"/>
      <c r="L438" s="2"/>
    </row>
    <row r="439" ht="15.75" customHeight="1">
      <c r="A439" s="2"/>
      <c r="C439" s="2"/>
      <c r="D439" s="2"/>
      <c r="E439" s="2"/>
      <c r="F439" s="2"/>
      <c r="K439" s="2"/>
      <c r="L439" s="2"/>
    </row>
    <row r="440" ht="15.75" customHeight="1">
      <c r="A440" s="2"/>
      <c r="C440" s="2"/>
      <c r="D440" s="2"/>
      <c r="E440" s="2"/>
      <c r="F440" s="2"/>
      <c r="K440" s="2"/>
      <c r="L440" s="2"/>
    </row>
    <row r="441" ht="15.75" customHeight="1">
      <c r="A441" s="2"/>
      <c r="C441" s="2"/>
      <c r="D441" s="2"/>
      <c r="E441" s="2"/>
      <c r="F441" s="2"/>
      <c r="K441" s="2"/>
      <c r="L441" s="2"/>
    </row>
    <row r="442" ht="15.75" customHeight="1">
      <c r="A442" s="2"/>
      <c r="C442" s="2"/>
      <c r="D442" s="2"/>
      <c r="E442" s="2"/>
      <c r="F442" s="2"/>
      <c r="K442" s="2"/>
      <c r="L442" s="2"/>
    </row>
    <row r="443" ht="15.75" customHeight="1">
      <c r="A443" s="2"/>
      <c r="C443" s="2"/>
      <c r="D443" s="2"/>
      <c r="E443" s="2"/>
      <c r="F443" s="2"/>
      <c r="K443" s="2"/>
      <c r="L443" s="2"/>
    </row>
    <row r="444" ht="15.75" customHeight="1">
      <c r="A444" s="2"/>
      <c r="C444" s="2"/>
      <c r="D444" s="2"/>
      <c r="E444" s="2"/>
      <c r="F444" s="2"/>
      <c r="K444" s="2"/>
      <c r="L444" s="2"/>
    </row>
    <row r="445" ht="15.75" customHeight="1">
      <c r="A445" s="2"/>
      <c r="C445" s="2"/>
      <c r="D445" s="2"/>
      <c r="E445" s="2"/>
      <c r="F445" s="2"/>
      <c r="K445" s="2"/>
      <c r="L445" s="2"/>
    </row>
    <row r="446" ht="15.75" customHeight="1">
      <c r="A446" s="2"/>
      <c r="C446" s="2"/>
      <c r="D446" s="2"/>
      <c r="E446" s="2"/>
      <c r="F446" s="2"/>
      <c r="K446" s="2"/>
      <c r="L446" s="2"/>
    </row>
    <row r="447" ht="15.75" customHeight="1">
      <c r="A447" s="2"/>
      <c r="C447" s="2"/>
      <c r="D447" s="2"/>
      <c r="E447" s="2"/>
      <c r="F447" s="2"/>
      <c r="K447" s="2"/>
      <c r="L447" s="2"/>
    </row>
    <row r="448" ht="15.75" customHeight="1">
      <c r="A448" s="2"/>
      <c r="C448" s="2"/>
      <c r="D448" s="2"/>
      <c r="E448" s="2"/>
      <c r="F448" s="2"/>
      <c r="K448" s="2"/>
      <c r="L448" s="2"/>
    </row>
    <row r="449" ht="15.75" customHeight="1">
      <c r="A449" s="2"/>
      <c r="C449" s="2"/>
      <c r="D449" s="2"/>
      <c r="E449" s="2"/>
      <c r="F449" s="2"/>
      <c r="K449" s="2"/>
      <c r="L449" s="2"/>
    </row>
    <row r="450" ht="15.75" customHeight="1">
      <c r="A450" s="2"/>
      <c r="C450" s="2"/>
      <c r="D450" s="2"/>
      <c r="E450" s="2"/>
      <c r="F450" s="2"/>
      <c r="K450" s="2"/>
      <c r="L450" s="2"/>
    </row>
    <row r="451" ht="15.75" customHeight="1">
      <c r="A451" s="2"/>
      <c r="C451" s="2"/>
      <c r="D451" s="2"/>
      <c r="E451" s="2"/>
      <c r="F451" s="2"/>
      <c r="K451" s="2"/>
      <c r="L451" s="2"/>
    </row>
    <row r="452" ht="15.75" customHeight="1">
      <c r="A452" s="2"/>
      <c r="C452" s="2"/>
      <c r="D452" s="2"/>
      <c r="E452" s="2"/>
      <c r="F452" s="2"/>
      <c r="K452" s="2"/>
      <c r="L452" s="2"/>
    </row>
    <row r="453" ht="15.75" customHeight="1">
      <c r="A453" s="2"/>
      <c r="C453" s="2"/>
      <c r="D453" s="2"/>
      <c r="E453" s="2"/>
      <c r="F453" s="2"/>
      <c r="K453" s="2"/>
      <c r="L453" s="2"/>
    </row>
    <row r="454" ht="15.75" customHeight="1">
      <c r="A454" s="2"/>
      <c r="C454" s="2"/>
      <c r="D454" s="2"/>
      <c r="E454" s="2"/>
      <c r="F454" s="2"/>
      <c r="K454" s="2"/>
      <c r="L454" s="2"/>
    </row>
    <row r="455" ht="15.75" customHeight="1">
      <c r="A455" s="2"/>
      <c r="C455" s="2"/>
      <c r="D455" s="2"/>
      <c r="E455" s="2"/>
      <c r="F455" s="2"/>
      <c r="K455" s="2"/>
      <c r="L455" s="2"/>
    </row>
    <row r="456" ht="15.75" customHeight="1">
      <c r="A456" s="2"/>
      <c r="C456" s="2"/>
      <c r="D456" s="2"/>
      <c r="E456" s="2"/>
      <c r="F456" s="2"/>
      <c r="K456" s="2"/>
      <c r="L456" s="2"/>
    </row>
    <row r="457" ht="15.75" customHeight="1">
      <c r="A457" s="2"/>
      <c r="C457" s="2"/>
      <c r="D457" s="2"/>
      <c r="E457" s="2"/>
      <c r="F457" s="2"/>
      <c r="K457" s="2"/>
      <c r="L457" s="2"/>
    </row>
    <row r="458" ht="15.75" customHeight="1">
      <c r="A458" s="2"/>
      <c r="C458" s="2"/>
      <c r="D458" s="2"/>
      <c r="E458" s="2"/>
      <c r="F458" s="2"/>
      <c r="K458" s="2"/>
      <c r="L458" s="2"/>
    </row>
    <row r="459" ht="15.75" customHeight="1">
      <c r="A459" s="2"/>
      <c r="C459" s="2"/>
      <c r="D459" s="2"/>
      <c r="E459" s="2"/>
      <c r="F459" s="2"/>
      <c r="K459" s="2"/>
      <c r="L459" s="2"/>
    </row>
    <row r="460" ht="15.75" customHeight="1">
      <c r="A460" s="2"/>
      <c r="C460" s="2"/>
      <c r="D460" s="2"/>
      <c r="E460" s="2"/>
      <c r="F460" s="2"/>
      <c r="K460" s="2"/>
      <c r="L460" s="2"/>
    </row>
    <row r="461" ht="15.75" customHeight="1">
      <c r="A461" s="2"/>
      <c r="C461" s="2"/>
      <c r="D461" s="2"/>
      <c r="E461" s="2"/>
      <c r="F461" s="2"/>
      <c r="K461" s="2"/>
      <c r="L461" s="2"/>
    </row>
    <row r="462" ht="15.75" customHeight="1">
      <c r="A462" s="2"/>
      <c r="C462" s="2"/>
      <c r="D462" s="2"/>
      <c r="E462" s="2"/>
      <c r="F462" s="2"/>
      <c r="K462" s="2"/>
      <c r="L462" s="2"/>
    </row>
    <row r="463" ht="15.75" customHeight="1">
      <c r="A463" s="2"/>
      <c r="C463" s="2"/>
      <c r="D463" s="2"/>
      <c r="E463" s="2"/>
      <c r="F463" s="2"/>
      <c r="K463" s="2"/>
      <c r="L463" s="2"/>
    </row>
    <row r="464" ht="15.75" customHeight="1">
      <c r="A464" s="2"/>
      <c r="C464" s="2"/>
      <c r="D464" s="2"/>
      <c r="E464" s="2"/>
      <c r="F464" s="2"/>
      <c r="K464" s="2"/>
      <c r="L464" s="2"/>
    </row>
    <row r="465" ht="15.75" customHeight="1">
      <c r="A465" s="2"/>
      <c r="C465" s="2"/>
      <c r="D465" s="2"/>
      <c r="E465" s="2"/>
      <c r="F465" s="2"/>
      <c r="K465" s="2"/>
      <c r="L465" s="2"/>
    </row>
    <row r="466" ht="15.75" customHeight="1">
      <c r="A466" s="2"/>
      <c r="C466" s="2"/>
      <c r="D466" s="2"/>
      <c r="E466" s="2"/>
      <c r="F466" s="2"/>
      <c r="K466" s="2"/>
      <c r="L466" s="2"/>
    </row>
    <row r="467" ht="15.75" customHeight="1">
      <c r="A467" s="2"/>
      <c r="C467" s="2"/>
      <c r="D467" s="2"/>
      <c r="E467" s="2"/>
      <c r="F467" s="2"/>
      <c r="K467" s="2"/>
      <c r="L467" s="2"/>
    </row>
    <row r="468" ht="15.75" customHeight="1">
      <c r="A468" s="2"/>
      <c r="C468" s="2"/>
      <c r="D468" s="2"/>
      <c r="E468" s="2"/>
      <c r="F468" s="2"/>
      <c r="K468" s="2"/>
      <c r="L468" s="2"/>
    </row>
    <row r="469" ht="15.75" customHeight="1">
      <c r="A469" s="2"/>
      <c r="C469" s="2"/>
      <c r="D469" s="2"/>
      <c r="E469" s="2"/>
      <c r="F469" s="2"/>
      <c r="K469" s="2"/>
      <c r="L469" s="2"/>
    </row>
    <row r="470" ht="15.75" customHeight="1">
      <c r="A470" s="2"/>
      <c r="C470" s="2"/>
      <c r="D470" s="2"/>
      <c r="E470" s="2"/>
      <c r="F470" s="2"/>
      <c r="K470" s="2"/>
      <c r="L470" s="2"/>
    </row>
    <row r="471" ht="15.75" customHeight="1">
      <c r="A471" s="2"/>
      <c r="C471" s="2"/>
      <c r="D471" s="2"/>
      <c r="E471" s="2"/>
      <c r="F471" s="2"/>
      <c r="K471" s="2"/>
      <c r="L471" s="2"/>
    </row>
    <row r="472" ht="15.75" customHeight="1">
      <c r="A472" s="2"/>
      <c r="C472" s="2"/>
      <c r="D472" s="2"/>
      <c r="E472" s="2"/>
      <c r="F472" s="2"/>
      <c r="K472" s="2"/>
      <c r="L472" s="2"/>
    </row>
    <row r="473" ht="15.75" customHeight="1">
      <c r="A473" s="2"/>
      <c r="C473" s="2"/>
      <c r="D473" s="2"/>
      <c r="E473" s="2"/>
      <c r="F473" s="2"/>
      <c r="K473" s="2"/>
      <c r="L473" s="2"/>
    </row>
    <row r="474" ht="15.75" customHeight="1">
      <c r="A474" s="2"/>
      <c r="C474" s="2"/>
      <c r="D474" s="2"/>
      <c r="E474" s="2"/>
      <c r="F474" s="2"/>
      <c r="K474" s="2"/>
      <c r="L474" s="2"/>
    </row>
    <row r="475" ht="15.75" customHeight="1">
      <c r="A475" s="2"/>
      <c r="C475" s="2"/>
      <c r="D475" s="2"/>
      <c r="E475" s="2"/>
      <c r="F475" s="2"/>
      <c r="K475" s="2"/>
      <c r="L475" s="2"/>
    </row>
    <row r="476" ht="15.75" customHeight="1">
      <c r="A476" s="2"/>
      <c r="C476" s="2"/>
      <c r="D476" s="2"/>
      <c r="E476" s="2"/>
      <c r="F476" s="2"/>
      <c r="K476" s="2"/>
      <c r="L476" s="2"/>
    </row>
    <row r="477" ht="15.75" customHeight="1">
      <c r="A477" s="2"/>
      <c r="C477" s="2"/>
      <c r="D477" s="2"/>
      <c r="E477" s="2"/>
      <c r="F477" s="2"/>
      <c r="K477" s="2"/>
      <c r="L477" s="2"/>
    </row>
    <row r="478" ht="15.75" customHeight="1">
      <c r="A478" s="2"/>
      <c r="C478" s="2"/>
      <c r="D478" s="2"/>
      <c r="E478" s="2"/>
      <c r="F478" s="2"/>
      <c r="K478" s="2"/>
      <c r="L478" s="2"/>
    </row>
    <row r="479" ht="15.75" customHeight="1">
      <c r="A479" s="2"/>
      <c r="C479" s="2"/>
      <c r="D479" s="2"/>
      <c r="E479" s="2"/>
      <c r="F479" s="2"/>
      <c r="K479" s="2"/>
      <c r="L479" s="2"/>
    </row>
    <row r="480" ht="15.75" customHeight="1">
      <c r="A480" s="2"/>
      <c r="C480" s="2"/>
      <c r="D480" s="2"/>
      <c r="E480" s="2"/>
      <c r="F480" s="2"/>
      <c r="K480" s="2"/>
      <c r="L480" s="2"/>
    </row>
    <row r="481" ht="15.75" customHeight="1">
      <c r="A481" s="2"/>
      <c r="C481" s="2"/>
      <c r="D481" s="2"/>
      <c r="E481" s="2"/>
      <c r="F481" s="2"/>
      <c r="K481" s="2"/>
      <c r="L481" s="2"/>
    </row>
    <row r="482" ht="15.75" customHeight="1">
      <c r="A482" s="2"/>
      <c r="C482" s="2"/>
      <c r="D482" s="2"/>
      <c r="E482" s="2"/>
      <c r="F482" s="2"/>
      <c r="K482" s="2"/>
      <c r="L482" s="2"/>
    </row>
    <row r="483" ht="15.75" customHeight="1">
      <c r="A483" s="2"/>
      <c r="C483" s="2"/>
      <c r="D483" s="2"/>
      <c r="E483" s="2"/>
      <c r="F483" s="2"/>
      <c r="K483" s="2"/>
      <c r="L483" s="2"/>
    </row>
    <row r="484" ht="15.75" customHeight="1">
      <c r="A484" s="2"/>
      <c r="C484" s="2"/>
      <c r="D484" s="2"/>
      <c r="E484" s="2"/>
      <c r="F484" s="2"/>
      <c r="K484" s="2"/>
      <c r="L484" s="2"/>
    </row>
    <row r="485" ht="15.75" customHeight="1">
      <c r="A485" s="2"/>
      <c r="C485" s="2"/>
      <c r="D485" s="2"/>
      <c r="E485" s="2"/>
      <c r="F485" s="2"/>
      <c r="K485" s="2"/>
      <c r="L485" s="2"/>
    </row>
    <row r="486" ht="15.75" customHeight="1">
      <c r="A486" s="2"/>
      <c r="C486" s="2"/>
      <c r="D486" s="2"/>
      <c r="E486" s="2"/>
      <c r="F486" s="2"/>
      <c r="K486" s="2"/>
      <c r="L486" s="2"/>
    </row>
    <row r="487" ht="15.75" customHeight="1">
      <c r="A487" s="2"/>
      <c r="C487" s="2"/>
      <c r="D487" s="2"/>
      <c r="E487" s="2"/>
      <c r="F487" s="2"/>
      <c r="K487" s="2"/>
      <c r="L487" s="2"/>
    </row>
    <row r="488" ht="15.75" customHeight="1">
      <c r="A488" s="2"/>
      <c r="C488" s="2"/>
      <c r="D488" s="2"/>
      <c r="E488" s="2"/>
      <c r="F488" s="2"/>
      <c r="K488" s="2"/>
      <c r="L488" s="2"/>
    </row>
    <row r="489" ht="15.75" customHeight="1">
      <c r="A489" s="2"/>
      <c r="C489" s="2"/>
      <c r="D489" s="2"/>
      <c r="E489" s="2"/>
      <c r="F489" s="2"/>
      <c r="K489" s="2"/>
      <c r="L489" s="2"/>
    </row>
    <row r="490" ht="15.75" customHeight="1">
      <c r="A490" s="2"/>
      <c r="C490" s="2"/>
      <c r="D490" s="2"/>
      <c r="E490" s="2"/>
      <c r="F490" s="2"/>
      <c r="K490" s="2"/>
      <c r="L490" s="2"/>
    </row>
    <row r="491" ht="15.75" customHeight="1">
      <c r="A491" s="2"/>
      <c r="C491" s="2"/>
      <c r="D491" s="2"/>
      <c r="E491" s="2"/>
      <c r="F491" s="2"/>
      <c r="K491" s="2"/>
      <c r="L491" s="2"/>
    </row>
    <row r="492" ht="15.75" customHeight="1">
      <c r="A492" s="2"/>
      <c r="C492" s="2"/>
      <c r="D492" s="2"/>
      <c r="E492" s="2"/>
      <c r="F492" s="2"/>
      <c r="K492" s="2"/>
      <c r="L492" s="2"/>
    </row>
    <row r="493" ht="15.75" customHeight="1">
      <c r="A493" s="2"/>
      <c r="C493" s="2"/>
      <c r="D493" s="2"/>
      <c r="E493" s="2"/>
      <c r="F493" s="2"/>
      <c r="K493" s="2"/>
      <c r="L493" s="2"/>
    </row>
    <row r="494" ht="15.75" customHeight="1">
      <c r="A494" s="2"/>
      <c r="C494" s="2"/>
      <c r="D494" s="2"/>
      <c r="E494" s="2"/>
      <c r="F494" s="2"/>
      <c r="K494" s="2"/>
      <c r="L494" s="2"/>
    </row>
    <row r="495" ht="15.75" customHeight="1">
      <c r="A495" s="2"/>
      <c r="C495" s="2"/>
      <c r="D495" s="2"/>
      <c r="E495" s="2"/>
      <c r="F495" s="2"/>
      <c r="K495" s="2"/>
      <c r="L495" s="2"/>
    </row>
    <row r="496" ht="15.75" customHeight="1">
      <c r="A496" s="2"/>
      <c r="C496" s="2"/>
      <c r="D496" s="2"/>
      <c r="E496" s="2"/>
      <c r="F496" s="2"/>
      <c r="K496" s="2"/>
      <c r="L496" s="2"/>
    </row>
    <row r="497" ht="15.75" customHeight="1">
      <c r="A497" s="2"/>
      <c r="C497" s="2"/>
      <c r="D497" s="2"/>
      <c r="E497" s="2"/>
      <c r="F497" s="2"/>
      <c r="K497" s="2"/>
      <c r="L497" s="2"/>
    </row>
    <row r="498" ht="15.75" customHeight="1">
      <c r="A498" s="2"/>
      <c r="C498" s="2"/>
      <c r="D498" s="2"/>
      <c r="E498" s="2"/>
      <c r="F498" s="2"/>
      <c r="K498" s="2"/>
      <c r="L498" s="2"/>
    </row>
    <row r="499" ht="15.75" customHeight="1">
      <c r="A499" s="2"/>
      <c r="C499" s="2"/>
      <c r="D499" s="2"/>
      <c r="E499" s="2"/>
      <c r="F499" s="2"/>
      <c r="K499" s="2"/>
      <c r="L499" s="2"/>
    </row>
    <row r="500" ht="15.75" customHeight="1">
      <c r="A500" s="2"/>
      <c r="C500" s="2"/>
      <c r="D500" s="2"/>
      <c r="E500" s="2"/>
      <c r="F500" s="2"/>
      <c r="K500" s="2"/>
      <c r="L500" s="2"/>
    </row>
    <row r="501" ht="15.75" customHeight="1">
      <c r="A501" s="2"/>
      <c r="C501" s="2"/>
      <c r="D501" s="2"/>
      <c r="E501" s="2"/>
      <c r="F501" s="2"/>
      <c r="K501" s="2"/>
      <c r="L501" s="2"/>
    </row>
    <row r="502" ht="15.75" customHeight="1">
      <c r="A502" s="2"/>
      <c r="C502" s="2"/>
      <c r="D502" s="2"/>
      <c r="E502" s="2"/>
      <c r="F502" s="2"/>
      <c r="K502" s="2"/>
      <c r="L502" s="2"/>
    </row>
    <row r="503" ht="15.75" customHeight="1">
      <c r="A503" s="2"/>
      <c r="C503" s="2"/>
      <c r="D503" s="2"/>
      <c r="E503" s="2"/>
      <c r="F503" s="2"/>
      <c r="K503" s="2"/>
      <c r="L503" s="2"/>
    </row>
    <row r="504" ht="15.75" customHeight="1">
      <c r="A504" s="2"/>
      <c r="C504" s="2"/>
      <c r="D504" s="2"/>
      <c r="E504" s="2"/>
      <c r="F504" s="2"/>
      <c r="K504" s="2"/>
      <c r="L504" s="2"/>
    </row>
    <row r="505" ht="15.75" customHeight="1">
      <c r="A505" s="2"/>
      <c r="C505" s="2"/>
      <c r="D505" s="2"/>
      <c r="E505" s="2"/>
      <c r="F505" s="2"/>
      <c r="K505" s="2"/>
      <c r="L505" s="2"/>
    </row>
    <row r="506" ht="15.75" customHeight="1">
      <c r="A506" s="2"/>
      <c r="C506" s="2"/>
      <c r="D506" s="2"/>
      <c r="E506" s="2"/>
      <c r="F506" s="2"/>
      <c r="K506" s="2"/>
      <c r="L506" s="2"/>
    </row>
    <row r="507" ht="15.75" customHeight="1">
      <c r="A507" s="2"/>
      <c r="C507" s="2"/>
      <c r="D507" s="2"/>
      <c r="E507" s="2"/>
      <c r="F507" s="2"/>
      <c r="K507" s="2"/>
      <c r="L507" s="2"/>
    </row>
    <row r="508" ht="15.75" customHeight="1">
      <c r="A508" s="2"/>
      <c r="C508" s="2"/>
      <c r="D508" s="2"/>
      <c r="E508" s="2"/>
      <c r="F508" s="2"/>
      <c r="K508" s="2"/>
      <c r="L508" s="2"/>
    </row>
    <row r="509" ht="15.75" customHeight="1">
      <c r="A509" s="2"/>
      <c r="C509" s="2"/>
      <c r="D509" s="2"/>
      <c r="E509" s="2"/>
      <c r="F509" s="2"/>
      <c r="K509" s="2"/>
      <c r="L509" s="2"/>
    </row>
    <row r="510" ht="15.75" customHeight="1">
      <c r="A510" s="2"/>
      <c r="C510" s="2"/>
      <c r="D510" s="2"/>
      <c r="E510" s="2"/>
      <c r="F510" s="2"/>
      <c r="K510" s="2"/>
      <c r="L510" s="2"/>
    </row>
    <row r="511" ht="15.75" customHeight="1">
      <c r="A511" s="2"/>
      <c r="C511" s="2"/>
      <c r="D511" s="2"/>
      <c r="E511" s="2"/>
      <c r="F511" s="2"/>
      <c r="K511" s="2"/>
      <c r="L511" s="2"/>
    </row>
    <row r="512" ht="15.75" customHeight="1">
      <c r="A512" s="2"/>
      <c r="C512" s="2"/>
      <c r="D512" s="2"/>
      <c r="E512" s="2"/>
      <c r="F512" s="2"/>
      <c r="K512" s="2"/>
      <c r="L512" s="2"/>
    </row>
    <row r="513" ht="15.75" customHeight="1">
      <c r="A513" s="2"/>
      <c r="C513" s="2"/>
      <c r="D513" s="2"/>
      <c r="E513" s="2"/>
      <c r="F513" s="2"/>
      <c r="K513" s="2"/>
      <c r="L513" s="2"/>
    </row>
    <row r="514" ht="15.75" customHeight="1">
      <c r="A514" s="2"/>
      <c r="C514" s="2"/>
      <c r="D514" s="2"/>
      <c r="E514" s="2"/>
      <c r="F514" s="2"/>
      <c r="K514" s="2"/>
      <c r="L514" s="2"/>
    </row>
    <row r="515" ht="15.75" customHeight="1">
      <c r="A515" s="2"/>
      <c r="C515" s="2"/>
      <c r="D515" s="2"/>
      <c r="E515" s="2"/>
      <c r="F515" s="2"/>
      <c r="K515" s="2"/>
      <c r="L515" s="2"/>
    </row>
    <row r="516" ht="15.75" customHeight="1">
      <c r="A516" s="2"/>
      <c r="C516" s="2"/>
      <c r="D516" s="2"/>
      <c r="E516" s="2"/>
      <c r="F516" s="2"/>
      <c r="K516" s="2"/>
      <c r="L516" s="2"/>
    </row>
    <row r="517" ht="15.75" customHeight="1">
      <c r="A517" s="2"/>
      <c r="C517" s="2"/>
      <c r="D517" s="2"/>
      <c r="E517" s="2"/>
      <c r="F517" s="2"/>
      <c r="K517" s="2"/>
      <c r="L517" s="2"/>
    </row>
    <row r="518" ht="15.75" customHeight="1">
      <c r="A518" s="2"/>
      <c r="C518" s="2"/>
      <c r="D518" s="2"/>
      <c r="E518" s="2"/>
      <c r="F518" s="2"/>
      <c r="K518" s="2"/>
      <c r="L518" s="2"/>
    </row>
    <row r="519" ht="15.75" customHeight="1">
      <c r="A519" s="2"/>
      <c r="C519" s="2"/>
      <c r="D519" s="2"/>
      <c r="E519" s="2"/>
      <c r="F519" s="2"/>
      <c r="K519" s="2"/>
      <c r="L519" s="2"/>
    </row>
    <row r="520" ht="15.75" customHeight="1">
      <c r="A520" s="2"/>
      <c r="C520" s="2"/>
      <c r="D520" s="2"/>
      <c r="E520" s="2"/>
      <c r="F520" s="2"/>
      <c r="K520" s="2"/>
      <c r="L520" s="2"/>
    </row>
    <row r="521" ht="15.75" customHeight="1">
      <c r="A521" s="2"/>
      <c r="C521" s="2"/>
      <c r="D521" s="2"/>
      <c r="E521" s="2"/>
      <c r="F521" s="2"/>
      <c r="K521" s="2"/>
      <c r="L521" s="2"/>
    </row>
    <row r="522" ht="15.75" customHeight="1">
      <c r="A522" s="2"/>
      <c r="C522" s="2"/>
      <c r="D522" s="2"/>
      <c r="E522" s="2"/>
      <c r="F522" s="2"/>
      <c r="K522" s="2"/>
      <c r="L522" s="2"/>
    </row>
    <row r="523" ht="15.75" customHeight="1">
      <c r="A523" s="2"/>
      <c r="C523" s="2"/>
      <c r="D523" s="2"/>
      <c r="E523" s="2"/>
      <c r="F523" s="2"/>
      <c r="K523" s="2"/>
      <c r="L523" s="2"/>
    </row>
    <row r="524" ht="15.75" customHeight="1">
      <c r="A524" s="2"/>
      <c r="C524" s="2"/>
      <c r="D524" s="2"/>
      <c r="E524" s="2"/>
      <c r="F524" s="2"/>
      <c r="K524" s="2"/>
      <c r="L524" s="2"/>
    </row>
    <row r="525" ht="15.75" customHeight="1">
      <c r="A525" s="2"/>
      <c r="C525" s="2"/>
      <c r="D525" s="2"/>
      <c r="E525" s="2"/>
      <c r="F525" s="2"/>
      <c r="K525" s="2"/>
      <c r="L525" s="2"/>
    </row>
    <row r="526" ht="15.75" customHeight="1">
      <c r="A526" s="2"/>
      <c r="C526" s="2"/>
      <c r="D526" s="2"/>
      <c r="E526" s="2"/>
      <c r="F526" s="2"/>
      <c r="K526" s="2"/>
      <c r="L526" s="2"/>
    </row>
    <row r="527" ht="15.75" customHeight="1">
      <c r="A527" s="2"/>
      <c r="C527" s="2"/>
      <c r="D527" s="2"/>
      <c r="E527" s="2"/>
      <c r="F527" s="2"/>
      <c r="K527" s="2"/>
      <c r="L527" s="2"/>
    </row>
    <row r="528" ht="15.75" customHeight="1">
      <c r="A528" s="2"/>
      <c r="C528" s="2"/>
      <c r="D528" s="2"/>
      <c r="E528" s="2"/>
      <c r="F528" s="2"/>
      <c r="K528" s="2"/>
      <c r="L528" s="2"/>
    </row>
    <row r="529" ht="15.75" customHeight="1">
      <c r="A529" s="2"/>
      <c r="C529" s="2"/>
      <c r="D529" s="2"/>
      <c r="E529" s="2"/>
      <c r="F529" s="2"/>
      <c r="K529" s="2"/>
      <c r="L529" s="2"/>
    </row>
    <row r="530" ht="15.75" customHeight="1">
      <c r="A530" s="2"/>
      <c r="C530" s="2"/>
      <c r="D530" s="2"/>
      <c r="E530" s="2"/>
      <c r="F530" s="2"/>
      <c r="K530" s="2"/>
      <c r="L530" s="2"/>
    </row>
    <row r="531" ht="15.75" customHeight="1">
      <c r="A531" s="2"/>
      <c r="C531" s="2"/>
      <c r="D531" s="2"/>
      <c r="E531" s="2"/>
      <c r="F531" s="2"/>
      <c r="K531" s="2"/>
      <c r="L531" s="2"/>
    </row>
    <row r="532" ht="15.75" customHeight="1">
      <c r="A532" s="2"/>
      <c r="C532" s="2"/>
      <c r="D532" s="2"/>
      <c r="E532" s="2"/>
      <c r="F532" s="2"/>
      <c r="K532" s="2"/>
      <c r="L532" s="2"/>
    </row>
    <row r="533" ht="15.75" customHeight="1">
      <c r="A533" s="2"/>
      <c r="C533" s="2"/>
      <c r="D533" s="2"/>
      <c r="E533" s="2"/>
      <c r="F533" s="2"/>
      <c r="K533" s="2"/>
      <c r="L533" s="2"/>
    </row>
    <row r="534" ht="15.75" customHeight="1">
      <c r="A534" s="2"/>
      <c r="C534" s="2"/>
      <c r="D534" s="2"/>
      <c r="E534" s="2"/>
      <c r="F534" s="2"/>
      <c r="K534" s="2"/>
      <c r="L534" s="2"/>
    </row>
    <row r="535" ht="15.75" customHeight="1">
      <c r="A535" s="2"/>
      <c r="C535" s="2"/>
      <c r="D535" s="2"/>
      <c r="E535" s="2"/>
      <c r="F535" s="2"/>
      <c r="K535" s="2"/>
      <c r="L535" s="2"/>
    </row>
    <row r="536" ht="15.75" customHeight="1">
      <c r="A536" s="2"/>
      <c r="C536" s="2"/>
      <c r="D536" s="2"/>
      <c r="E536" s="2"/>
      <c r="F536" s="2"/>
      <c r="K536" s="2"/>
      <c r="L536" s="2"/>
    </row>
    <row r="537" ht="15.75" customHeight="1">
      <c r="A537" s="2"/>
      <c r="C537" s="2"/>
      <c r="D537" s="2"/>
      <c r="E537" s="2"/>
      <c r="F537" s="2"/>
      <c r="K537" s="2"/>
      <c r="L537" s="2"/>
    </row>
    <row r="538" ht="15.75" customHeight="1">
      <c r="A538" s="2"/>
      <c r="C538" s="2"/>
      <c r="D538" s="2"/>
      <c r="E538" s="2"/>
      <c r="F538" s="2"/>
      <c r="K538" s="2"/>
      <c r="L538" s="2"/>
    </row>
    <row r="539" ht="15.75" customHeight="1">
      <c r="A539" s="2"/>
      <c r="C539" s="2"/>
      <c r="D539" s="2"/>
      <c r="E539" s="2"/>
      <c r="F539" s="2"/>
      <c r="K539" s="2"/>
      <c r="L539" s="2"/>
    </row>
    <row r="540" ht="15.75" customHeight="1">
      <c r="A540" s="2"/>
      <c r="C540" s="2"/>
      <c r="D540" s="2"/>
      <c r="E540" s="2"/>
      <c r="F540" s="2"/>
      <c r="K540" s="2"/>
      <c r="L540" s="2"/>
    </row>
    <row r="541" ht="15.75" customHeight="1">
      <c r="A541" s="2"/>
      <c r="C541" s="2"/>
      <c r="D541" s="2"/>
      <c r="E541" s="2"/>
      <c r="F541" s="2"/>
      <c r="K541" s="2"/>
      <c r="L541" s="2"/>
    </row>
    <row r="542" ht="15.75" customHeight="1">
      <c r="A542" s="2"/>
      <c r="C542" s="2"/>
      <c r="D542" s="2"/>
      <c r="E542" s="2"/>
      <c r="F542" s="2"/>
      <c r="K542" s="2"/>
      <c r="L542" s="2"/>
    </row>
    <row r="543" ht="15.75" customHeight="1">
      <c r="A543" s="2"/>
      <c r="C543" s="2"/>
      <c r="D543" s="2"/>
      <c r="E543" s="2"/>
      <c r="F543" s="2"/>
      <c r="K543" s="2"/>
      <c r="L543" s="2"/>
    </row>
    <row r="544" ht="15.75" customHeight="1">
      <c r="A544" s="2"/>
      <c r="C544" s="2"/>
      <c r="D544" s="2"/>
      <c r="E544" s="2"/>
      <c r="F544" s="2"/>
      <c r="K544" s="2"/>
      <c r="L544" s="2"/>
    </row>
    <row r="545" ht="15.75" customHeight="1">
      <c r="A545" s="2"/>
      <c r="C545" s="2"/>
      <c r="D545" s="2"/>
      <c r="E545" s="2"/>
      <c r="F545" s="2"/>
      <c r="K545" s="2"/>
      <c r="L545" s="2"/>
    </row>
    <row r="546" ht="15.75" customHeight="1">
      <c r="A546" s="2"/>
      <c r="C546" s="2"/>
      <c r="D546" s="2"/>
      <c r="E546" s="2"/>
      <c r="F546" s="2"/>
      <c r="K546" s="2"/>
      <c r="L546" s="2"/>
    </row>
    <row r="547" ht="15.75" customHeight="1">
      <c r="A547" s="2"/>
      <c r="C547" s="2"/>
      <c r="D547" s="2"/>
      <c r="E547" s="2"/>
      <c r="F547" s="2"/>
      <c r="K547" s="2"/>
      <c r="L547" s="2"/>
    </row>
    <row r="548" ht="15.75" customHeight="1">
      <c r="A548" s="2"/>
      <c r="C548" s="2"/>
      <c r="D548" s="2"/>
      <c r="E548" s="2"/>
      <c r="F548" s="2"/>
      <c r="K548" s="2"/>
      <c r="L548" s="2"/>
    </row>
    <row r="549" ht="15.75" customHeight="1">
      <c r="A549" s="2"/>
      <c r="C549" s="2"/>
      <c r="D549" s="2"/>
      <c r="E549" s="2"/>
      <c r="F549" s="2"/>
      <c r="K549" s="2"/>
      <c r="L549" s="2"/>
    </row>
    <row r="550" ht="15.75" customHeight="1">
      <c r="A550" s="2"/>
      <c r="C550" s="2"/>
      <c r="D550" s="2"/>
      <c r="E550" s="2"/>
      <c r="F550" s="2"/>
      <c r="K550" s="2"/>
      <c r="L550" s="2"/>
    </row>
    <row r="551" ht="15.75" customHeight="1">
      <c r="A551" s="2"/>
      <c r="C551" s="2"/>
      <c r="D551" s="2"/>
      <c r="E551" s="2"/>
      <c r="F551" s="2"/>
      <c r="K551" s="2"/>
      <c r="L551" s="2"/>
    </row>
    <row r="552" ht="15.75" customHeight="1">
      <c r="A552" s="2"/>
      <c r="C552" s="2"/>
      <c r="D552" s="2"/>
      <c r="E552" s="2"/>
      <c r="F552" s="2"/>
      <c r="K552" s="2"/>
      <c r="L552" s="2"/>
    </row>
    <row r="553" ht="15.75" customHeight="1">
      <c r="A553" s="2"/>
      <c r="C553" s="2"/>
      <c r="D553" s="2"/>
      <c r="E553" s="2"/>
      <c r="F553" s="2"/>
      <c r="K553" s="2"/>
      <c r="L553" s="2"/>
    </row>
    <row r="554" ht="15.75" customHeight="1">
      <c r="A554" s="2"/>
      <c r="C554" s="2"/>
      <c r="D554" s="2"/>
      <c r="E554" s="2"/>
      <c r="F554" s="2"/>
      <c r="K554" s="2"/>
      <c r="L554" s="2"/>
    </row>
    <row r="555" ht="15.75" customHeight="1">
      <c r="A555" s="2"/>
      <c r="C555" s="2"/>
      <c r="D555" s="2"/>
      <c r="E555" s="2"/>
      <c r="F555" s="2"/>
      <c r="K555" s="2"/>
      <c r="L555" s="2"/>
    </row>
    <row r="556" ht="15.75" customHeight="1">
      <c r="A556" s="2"/>
      <c r="C556" s="2"/>
      <c r="D556" s="2"/>
      <c r="E556" s="2"/>
      <c r="F556" s="2"/>
      <c r="K556" s="2"/>
      <c r="L556" s="2"/>
    </row>
    <row r="557" ht="15.75" customHeight="1">
      <c r="A557" s="2"/>
      <c r="C557" s="2"/>
      <c r="D557" s="2"/>
      <c r="E557" s="2"/>
      <c r="F557" s="2"/>
      <c r="K557" s="2"/>
      <c r="L557" s="2"/>
    </row>
    <row r="558" ht="15.75" customHeight="1">
      <c r="A558" s="2"/>
      <c r="C558" s="2"/>
      <c r="D558" s="2"/>
      <c r="E558" s="2"/>
      <c r="F558" s="2"/>
      <c r="K558" s="2"/>
      <c r="L558" s="2"/>
    </row>
    <row r="559" ht="15.75" customHeight="1">
      <c r="A559" s="2"/>
      <c r="C559" s="2"/>
      <c r="D559" s="2"/>
      <c r="E559" s="2"/>
      <c r="F559" s="2"/>
      <c r="K559" s="2"/>
      <c r="L559" s="2"/>
    </row>
    <row r="560" ht="15.75" customHeight="1">
      <c r="A560" s="2"/>
      <c r="C560" s="2"/>
      <c r="D560" s="2"/>
      <c r="E560" s="2"/>
      <c r="F560" s="2"/>
      <c r="K560" s="2"/>
      <c r="L560" s="2"/>
    </row>
    <row r="561" ht="15.75" customHeight="1">
      <c r="A561" s="2"/>
      <c r="C561" s="2"/>
      <c r="D561" s="2"/>
      <c r="E561" s="2"/>
      <c r="F561" s="2"/>
      <c r="K561" s="2"/>
      <c r="L561" s="2"/>
    </row>
    <row r="562" ht="15.75" customHeight="1">
      <c r="A562" s="2"/>
      <c r="C562" s="2"/>
      <c r="D562" s="2"/>
      <c r="E562" s="2"/>
      <c r="F562" s="2"/>
      <c r="K562" s="2"/>
      <c r="L562" s="2"/>
    </row>
    <row r="563" ht="15.75" customHeight="1">
      <c r="A563" s="2"/>
      <c r="C563" s="2"/>
      <c r="D563" s="2"/>
      <c r="E563" s="2"/>
      <c r="F563" s="2"/>
      <c r="K563" s="2"/>
      <c r="L563" s="2"/>
    </row>
    <row r="564" ht="15.75" customHeight="1">
      <c r="A564" s="2"/>
      <c r="C564" s="2"/>
      <c r="D564" s="2"/>
      <c r="E564" s="2"/>
      <c r="F564" s="2"/>
      <c r="K564" s="2"/>
      <c r="L564" s="2"/>
    </row>
    <row r="565" ht="15.75" customHeight="1">
      <c r="A565" s="2"/>
      <c r="C565" s="2"/>
      <c r="D565" s="2"/>
      <c r="E565" s="2"/>
      <c r="F565" s="2"/>
      <c r="K565" s="2"/>
      <c r="L565" s="2"/>
    </row>
    <row r="566" ht="15.75" customHeight="1">
      <c r="A566" s="2"/>
      <c r="C566" s="2"/>
      <c r="D566" s="2"/>
      <c r="E566" s="2"/>
      <c r="F566" s="2"/>
      <c r="K566" s="2"/>
      <c r="L566" s="2"/>
    </row>
    <row r="567" ht="15.75" customHeight="1">
      <c r="A567" s="2"/>
      <c r="C567" s="2"/>
      <c r="D567" s="2"/>
      <c r="E567" s="2"/>
      <c r="F567" s="2"/>
      <c r="K567" s="2"/>
      <c r="L567" s="2"/>
    </row>
    <row r="568" ht="15.75" customHeight="1">
      <c r="A568" s="2"/>
      <c r="C568" s="2"/>
      <c r="D568" s="2"/>
      <c r="E568" s="2"/>
      <c r="F568" s="2"/>
      <c r="K568" s="2"/>
      <c r="L568" s="2"/>
    </row>
    <row r="569" ht="15.75" customHeight="1">
      <c r="A569" s="2"/>
      <c r="C569" s="2"/>
      <c r="D569" s="2"/>
      <c r="E569" s="2"/>
      <c r="F569" s="2"/>
      <c r="K569" s="2"/>
      <c r="L569" s="2"/>
    </row>
    <row r="570" ht="15.75" customHeight="1">
      <c r="A570" s="2"/>
      <c r="C570" s="2"/>
      <c r="D570" s="2"/>
      <c r="E570" s="2"/>
      <c r="F570" s="2"/>
      <c r="K570" s="2"/>
      <c r="L570" s="2"/>
    </row>
    <row r="571" ht="15.75" customHeight="1">
      <c r="A571" s="2"/>
      <c r="C571" s="2"/>
      <c r="D571" s="2"/>
      <c r="E571" s="2"/>
      <c r="F571" s="2"/>
      <c r="K571" s="2"/>
      <c r="L571" s="2"/>
    </row>
    <row r="572" ht="15.75" customHeight="1">
      <c r="A572" s="2"/>
      <c r="C572" s="2"/>
      <c r="D572" s="2"/>
      <c r="E572" s="2"/>
      <c r="F572" s="2"/>
      <c r="K572" s="2"/>
      <c r="L572" s="2"/>
    </row>
    <row r="573" ht="15.75" customHeight="1">
      <c r="A573" s="2"/>
      <c r="C573" s="2"/>
      <c r="D573" s="2"/>
      <c r="E573" s="2"/>
      <c r="F573" s="2"/>
      <c r="K573" s="2"/>
      <c r="L573" s="2"/>
    </row>
    <row r="574" ht="15.75" customHeight="1">
      <c r="A574" s="2"/>
      <c r="C574" s="2"/>
      <c r="D574" s="2"/>
      <c r="E574" s="2"/>
      <c r="F574" s="2"/>
      <c r="K574" s="2"/>
      <c r="L574" s="2"/>
    </row>
    <row r="575" ht="15.75" customHeight="1">
      <c r="A575" s="2"/>
      <c r="C575" s="2"/>
      <c r="D575" s="2"/>
      <c r="E575" s="2"/>
      <c r="F575" s="2"/>
      <c r="K575" s="2"/>
      <c r="L575" s="2"/>
    </row>
    <row r="576" ht="15.75" customHeight="1">
      <c r="A576" s="2"/>
      <c r="C576" s="2"/>
      <c r="D576" s="2"/>
      <c r="E576" s="2"/>
      <c r="F576" s="2"/>
      <c r="K576" s="2"/>
      <c r="L576" s="2"/>
    </row>
    <row r="577" ht="15.75" customHeight="1">
      <c r="A577" s="2"/>
      <c r="C577" s="2"/>
      <c r="D577" s="2"/>
      <c r="E577" s="2"/>
      <c r="F577" s="2"/>
      <c r="K577" s="2"/>
      <c r="L577" s="2"/>
    </row>
    <row r="578" ht="15.75" customHeight="1">
      <c r="A578" s="2"/>
      <c r="C578" s="2"/>
      <c r="D578" s="2"/>
      <c r="E578" s="2"/>
      <c r="F578" s="2"/>
      <c r="K578" s="2"/>
      <c r="L578" s="2"/>
    </row>
    <row r="579" ht="15.75" customHeight="1">
      <c r="A579" s="2"/>
      <c r="C579" s="2"/>
      <c r="D579" s="2"/>
      <c r="E579" s="2"/>
      <c r="F579" s="2"/>
      <c r="K579" s="2"/>
      <c r="L579" s="2"/>
    </row>
    <row r="580" ht="15.75" customHeight="1">
      <c r="A580" s="2"/>
      <c r="C580" s="2"/>
      <c r="D580" s="2"/>
      <c r="E580" s="2"/>
      <c r="F580" s="2"/>
      <c r="K580" s="2"/>
      <c r="L580" s="2"/>
    </row>
    <row r="581" ht="15.75" customHeight="1">
      <c r="A581" s="2"/>
      <c r="C581" s="2"/>
      <c r="D581" s="2"/>
      <c r="E581" s="2"/>
      <c r="F581" s="2"/>
      <c r="K581" s="2"/>
      <c r="L581" s="2"/>
    </row>
    <row r="582" ht="15.75" customHeight="1">
      <c r="A582" s="2"/>
      <c r="C582" s="2"/>
      <c r="D582" s="2"/>
      <c r="E582" s="2"/>
      <c r="F582" s="2"/>
      <c r="K582" s="2"/>
      <c r="L582" s="2"/>
    </row>
    <row r="583" ht="15.75" customHeight="1">
      <c r="A583" s="2"/>
      <c r="C583" s="2"/>
      <c r="D583" s="2"/>
      <c r="E583" s="2"/>
      <c r="F583" s="2"/>
      <c r="K583" s="2"/>
      <c r="L583" s="2"/>
    </row>
    <row r="584" ht="15.75" customHeight="1">
      <c r="A584" s="2"/>
      <c r="C584" s="2"/>
      <c r="D584" s="2"/>
      <c r="E584" s="2"/>
      <c r="F584" s="2"/>
      <c r="K584" s="2"/>
      <c r="L584" s="2"/>
    </row>
    <row r="585" ht="15.75" customHeight="1">
      <c r="A585" s="2"/>
      <c r="C585" s="2"/>
      <c r="D585" s="2"/>
      <c r="E585" s="2"/>
      <c r="F585" s="2"/>
      <c r="K585" s="2"/>
      <c r="L585" s="2"/>
    </row>
    <row r="586" ht="15.75" customHeight="1">
      <c r="A586" s="2"/>
      <c r="C586" s="2"/>
      <c r="D586" s="2"/>
      <c r="E586" s="2"/>
      <c r="F586" s="2"/>
      <c r="K586" s="2"/>
      <c r="L586" s="2"/>
    </row>
    <row r="587" ht="15.75" customHeight="1">
      <c r="A587" s="2"/>
      <c r="C587" s="2"/>
      <c r="D587" s="2"/>
      <c r="E587" s="2"/>
      <c r="F587" s="2"/>
      <c r="K587" s="2"/>
      <c r="L587" s="2"/>
    </row>
    <row r="588" ht="15.75" customHeight="1">
      <c r="A588" s="2"/>
      <c r="C588" s="2"/>
      <c r="D588" s="2"/>
      <c r="E588" s="2"/>
      <c r="F588" s="2"/>
      <c r="K588" s="2"/>
      <c r="L588" s="2"/>
    </row>
    <row r="589" ht="15.75" customHeight="1">
      <c r="A589" s="2"/>
      <c r="C589" s="2"/>
      <c r="D589" s="2"/>
      <c r="E589" s="2"/>
      <c r="F589" s="2"/>
      <c r="K589" s="2"/>
      <c r="L589" s="2"/>
    </row>
    <row r="590" ht="15.75" customHeight="1">
      <c r="A590" s="2"/>
      <c r="C590" s="2"/>
      <c r="D590" s="2"/>
      <c r="E590" s="2"/>
      <c r="F590" s="2"/>
      <c r="K590" s="2"/>
      <c r="L590" s="2"/>
    </row>
    <row r="591" ht="15.75" customHeight="1">
      <c r="A591" s="2"/>
      <c r="C591" s="2"/>
      <c r="D591" s="2"/>
      <c r="E591" s="2"/>
      <c r="F591" s="2"/>
      <c r="K591" s="2"/>
      <c r="L591" s="2"/>
    </row>
    <row r="592" ht="15.75" customHeight="1">
      <c r="A592" s="2"/>
      <c r="C592" s="2"/>
      <c r="D592" s="2"/>
      <c r="E592" s="2"/>
      <c r="F592" s="2"/>
      <c r="K592" s="2"/>
      <c r="L592" s="2"/>
    </row>
    <row r="593" ht="15.75" customHeight="1">
      <c r="A593" s="2"/>
      <c r="C593" s="2"/>
      <c r="D593" s="2"/>
      <c r="E593" s="2"/>
      <c r="F593" s="2"/>
      <c r="K593" s="2"/>
      <c r="L593" s="2"/>
    </row>
    <row r="594" ht="15.75" customHeight="1">
      <c r="A594" s="2"/>
      <c r="C594" s="2"/>
      <c r="D594" s="2"/>
      <c r="E594" s="2"/>
      <c r="F594" s="2"/>
      <c r="K594" s="2"/>
      <c r="L594" s="2"/>
    </row>
    <row r="595" ht="15.75" customHeight="1">
      <c r="A595" s="2"/>
      <c r="C595" s="2"/>
      <c r="D595" s="2"/>
      <c r="E595" s="2"/>
      <c r="F595" s="2"/>
      <c r="K595" s="2"/>
      <c r="L595" s="2"/>
    </row>
    <row r="596" ht="15.75" customHeight="1">
      <c r="A596" s="2"/>
      <c r="C596" s="2"/>
      <c r="D596" s="2"/>
      <c r="E596" s="2"/>
      <c r="F596" s="2"/>
      <c r="K596" s="2"/>
      <c r="L596" s="2"/>
    </row>
    <row r="597" ht="15.75" customHeight="1">
      <c r="A597" s="2"/>
      <c r="C597" s="2"/>
      <c r="D597" s="2"/>
      <c r="E597" s="2"/>
      <c r="F597" s="2"/>
      <c r="K597" s="2"/>
      <c r="L597" s="2"/>
    </row>
    <row r="598" ht="15.75" customHeight="1">
      <c r="A598" s="2"/>
      <c r="C598" s="2"/>
      <c r="D598" s="2"/>
      <c r="E598" s="2"/>
      <c r="F598" s="2"/>
      <c r="K598" s="2"/>
      <c r="L598" s="2"/>
    </row>
    <row r="599" ht="15.75" customHeight="1">
      <c r="A599" s="2"/>
      <c r="C599" s="2"/>
      <c r="D599" s="2"/>
      <c r="E599" s="2"/>
      <c r="F599" s="2"/>
      <c r="K599" s="2"/>
      <c r="L599" s="2"/>
    </row>
    <row r="600" ht="15.75" customHeight="1">
      <c r="A600" s="2"/>
      <c r="C600" s="2"/>
      <c r="D600" s="2"/>
      <c r="E600" s="2"/>
      <c r="F600" s="2"/>
      <c r="K600" s="2"/>
      <c r="L600" s="2"/>
    </row>
    <row r="601" ht="15.75" customHeight="1">
      <c r="A601" s="2"/>
      <c r="C601" s="2"/>
      <c r="D601" s="2"/>
      <c r="E601" s="2"/>
      <c r="F601" s="2"/>
      <c r="K601" s="2"/>
      <c r="L601" s="2"/>
    </row>
    <row r="602" ht="15.75" customHeight="1">
      <c r="A602" s="2"/>
      <c r="C602" s="2"/>
      <c r="D602" s="2"/>
      <c r="E602" s="2"/>
      <c r="F602" s="2"/>
      <c r="K602" s="2"/>
      <c r="L602" s="2"/>
    </row>
    <row r="603" ht="15.75" customHeight="1">
      <c r="A603" s="2"/>
      <c r="C603" s="2"/>
      <c r="D603" s="2"/>
      <c r="E603" s="2"/>
      <c r="F603" s="2"/>
      <c r="K603" s="2"/>
      <c r="L603" s="2"/>
    </row>
    <row r="604" ht="15.75" customHeight="1">
      <c r="A604" s="2"/>
      <c r="C604" s="2"/>
      <c r="D604" s="2"/>
      <c r="E604" s="2"/>
      <c r="F604" s="2"/>
      <c r="K604" s="2"/>
      <c r="L604" s="2"/>
    </row>
    <row r="605" ht="15.75" customHeight="1">
      <c r="A605" s="2"/>
      <c r="C605" s="2"/>
      <c r="D605" s="2"/>
      <c r="E605" s="2"/>
      <c r="F605" s="2"/>
      <c r="K605" s="2"/>
      <c r="L605" s="2"/>
    </row>
    <row r="606" ht="15.75" customHeight="1">
      <c r="A606" s="2"/>
      <c r="C606" s="2"/>
      <c r="D606" s="2"/>
      <c r="E606" s="2"/>
      <c r="F606" s="2"/>
      <c r="K606" s="2"/>
      <c r="L606" s="2"/>
    </row>
    <row r="607" ht="15.75" customHeight="1">
      <c r="A607" s="2"/>
      <c r="C607" s="2"/>
      <c r="D607" s="2"/>
      <c r="E607" s="2"/>
      <c r="F607" s="2"/>
      <c r="K607" s="2"/>
      <c r="L607" s="2"/>
    </row>
    <row r="608" ht="15.75" customHeight="1">
      <c r="A608" s="2"/>
      <c r="C608" s="2"/>
      <c r="D608" s="2"/>
      <c r="E608" s="2"/>
      <c r="F608" s="2"/>
      <c r="K608" s="2"/>
      <c r="L608" s="2"/>
    </row>
    <row r="609" ht="15.75" customHeight="1">
      <c r="A609" s="2"/>
      <c r="C609" s="2"/>
      <c r="D609" s="2"/>
      <c r="E609" s="2"/>
      <c r="F609" s="2"/>
      <c r="K609" s="2"/>
      <c r="L609" s="2"/>
    </row>
    <row r="610" ht="15.75" customHeight="1">
      <c r="A610" s="2"/>
      <c r="C610" s="2"/>
      <c r="D610" s="2"/>
      <c r="E610" s="2"/>
      <c r="F610" s="2"/>
      <c r="K610" s="2"/>
      <c r="L610" s="2"/>
    </row>
    <row r="611" ht="15.75" customHeight="1">
      <c r="A611" s="2"/>
      <c r="C611" s="2"/>
      <c r="D611" s="2"/>
      <c r="E611" s="2"/>
      <c r="F611" s="2"/>
      <c r="K611" s="2"/>
      <c r="L611" s="2"/>
    </row>
    <row r="612" ht="15.75" customHeight="1">
      <c r="A612" s="2"/>
      <c r="C612" s="2"/>
      <c r="D612" s="2"/>
      <c r="E612" s="2"/>
      <c r="F612" s="2"/>
      <c r="K612" s="2"/>
      <c r="L612" s="2"/>
    </row>
    <row r="613" ht="15.75" customHeight="1">
      <c r="A613" s="2"/>
      <c r="C613" s="2"/>
      <c r="D613" s="2"/>
      <c r="E613" s="2"/>
      <c r="F613" s="2"/>
      <c r="K613" s="2"/>
      <c r="L613" s="2"/>
    </row>
    <row r="614" ht="15.75" customHeight="1">
      <c r="A614" s="2"/>
      <c r="C614" s="2"/>
      <c r="D614" s="2"/>
      <c r="E614" s="2"/>
      <c r="F614" s="2"/>
      <c r="K614" s="2"/>
      <c r="L614" s="2"/>
    </row>
    <row r="615" ht="15.75" customHeight="1">
      <c r="A615" s="2"/>
      <c r="C615" s="2"/>
      <c r="D615" s="2"/>
      <c r="E615" s="2"/>
      <c r="F615" s="2"/>
      <c r="K615" s="2"/>
      <c r="L615" s="2"/>
    </row>
    <row r="616" ht="15.75" customHeight="1">
      <c r="A616" s="2"/>
      <c r="C616" s="2"/>
      <c r="D616" s="2"/>
      <c r="E616" s="2"/>
      <c r="F616" s="2"/>
      <c r="K616" s="2"/>
      <c r="L616" s="2"/>
    </row>
    <row r="617" ht="15.75" customHeight="1">
      <c r="A617" s="2"/>
      <c r="C617" s="2"/>
      <c r="D617" s="2"/>
      <c r="E617" s="2"/>
      <c r="F617" s="2"/>
      <c r="K617" s="2"/>
      <c r="L617" s="2"/>
    </row>
    <row r="618" ht="15.75" customHeight="1">
      <c r="A618" s="2"/>
      <c r="C618" s="2"/>
      <c r="D618" s="2"/>
      <c r="E618" s="2"/>
      <c r="F618" s="2"/>
      <c r="K618" s="2"/>
      <c r="L618" s="2"/>
    </row>
    <row r="619" ht="15.75" customHeight="1">
      <c r="A619" s="2"/>
      <c r="C619" s="2"/>
      <c r="D619" s="2"/>
      <c r="E619" s="2"/>
      <c r="F619" s="2"/>
      <c r="K619" s="2"/>
      <c r="L619" s="2"/>
    </row>
    <row r="620" ht="15.75" customHeight="1">
      <c r="A620" s="2"/>
      <c r="C620" s="2"/>
      <c r="D620" s="2"/>
      <c r="E620" s="2"/>
      <c r="F620" s="2"/>
      <c r="K620" s="2"/>
      <c r="L620" s="2"/>
    </row>
    <row r="621" ht="15.75" customHeight="1">
      <c r="A621" s="2"/>
      <c r="C621" s="2"/>
      <c r="D621" s="2"/>
      <c r="E621" s="2"/>
      <c r="F621" s="2"/>
      <c r="K621" s="2"/>
      <c r="L621" s="2"/>
    </row>
    <row r="622" ht="15.75" customHeight="1">
      <c r="A622" s="2"/>
      <c r="C622" s="2"/>
      <c r="D622" s="2"/>
      <c r="E622" s="2"/>
      <c r="F622" s="2"/>
      <c r="K622" s="2"/>
      <c r="L622" s="2"/>
    </row>
    <row r="623" ht="15.75" customHeight="1">
      <c r="A623" s="2"/>
      <c r="C623" s="2"/>
      <c r="D623" s="2"/>
      <c r="E623" s="2"/>
      <c r="F623" s="2"/>
      <c r="K623" s="2"/>
      <c r="L623" s="2"/>
    </row>
    <row r="624" ht="15.75" customHeight="1">
      <c r="A624" s="2"/>
      <c r="C624" s="2"/>
      <c r="D624" s="2"/>
      <c r="E624" s="2"/>
      <c r="F624" s="2"/>
      <c r="K624" s="2"/>
      <c r="L624" s="2"/>
    </row>
    <row r="625" ht="15.75" customHeight="1">
      <c r="A625" s="2"/>
      <c r="C625" s="2"/>
      <c r="D625" s="2"/>
      <c r="E625" s="2"/>
      <c r="F625" s="2"/>
      <c r="K625" s="2"/>
      <c r="L625" s="2"/>
    </row>
    <row r="626" ht="15.75" customHeight="1">
      <c r="A626" s="2"/>
      <c r="C626" s="2"/>
      <c r="D626" s="2"/>
      <c r="E626" s="2"/>
      <c r="F626" s="2"/>
      <c r="K626" s="2"/>
      <c r="L626" s="2"/>
    </row>
    <row r="627" ht="15.75" customHeight="1">
      <c r="A627" s="2"/>
      <c r="C627" s="2"/>
      <c r="D627" s="2"/>
      <c r="E627" s="2"/>
      <c r="F627" s="2"/>
      <c r="K627" s="2"/>
      <c r="L627" s="2"/>
    </row>
    <row r="628" ht="15.75" customHeight="1">
      <c r="A628" s="2"/>
      <c r="C628" s="2"/>
      <c r="D628" s="2"/>
      <c r="E628" s="2"/>
      <c r="F628" s="2"/>
      <c r="K628" s="2"/>
      <c r="L628" s="2"/>
    </row>
    <row r="629" ht="15.75" customHeight="1">
      <c r="A629" s="2"/>
      <c r="C629" s="2"/>
      <c r="D629" s="2"/>
      <c r="E629" s="2"/>
      <c r="F629" s="2"/>
      <c r="K629" s="2"/>
      <c r="L629" s="2"/>
    </row>
    <row r="630" ht="15.75" customHeight="1">
      <c r="A630" s="2"/>
      <c r="C630" s="2"/>
      <c r="D630" s="2"/>
      <c r="E630" s="2"/>
      <c r="F630" s="2"/>
      <c r="K630" s="2"/>
      <c r="L630" s="2"/>
    </row>
    <row r="631" ht="15.75" customHeight="1">
      <c r="A631" s="2"/>
      <c r="C631" s="2"/>
      <c r="D631" s="2"/>
      <c r="E631" s="2"/>
      <c r="F631" s="2"/>
      <c r="K631" s="2"/>
      <c r="L631" s="2"/>
    </row>
    <row r="632" ht="15.75" customHeight="1">
      <c r="A632" s="2"/>
      <c r="C632" s="2"/>
      <c r="D632" s="2"/>
      <c r="E632" s="2"/>
      <c r="F632" s="2"/>
      <c r="K632" s="2"/>
      <c r="L632" s="2"/>
    </row>
    <row r="633" ht="15.75" customHeight="1">
      <c r="A633" s="2"/>
      <c r="C633" s="2"/>
      <c r="D633" s="2"/>
      <c r="E633" s="2"/>
      <c r="F633" s="2"/>
      <c r="K633" s="2"/>
      <c r="L633" s="2"/>
    </row>
    <row r="634" ht="15.75" customHeight="1">
      <c r="A634" s="2"/>
      <c r="C634" s="2"/>
      <c r="D634" s="2"/>
      <c r="E634" s="2"/>
      <c r="F634" s="2"/>
      <c r="K634" s="2"/>
      <c r="L634" s="2"/>
    </row>
    <row r="635" ht="15.75" customHeight="1">
      <c r="A635" s="2"/>
      <c r="C635" s="2"/>
      <c r="D635" s="2"/>
      <c r="E635" s="2"/>
      <c r="F635" s="2"/>
      <c r="K635" s="2"/>
      <c r="L635" s="2"/>
    </row>
    <row r="636" ht="15.75" customHeight="1">
      <c r="A636" s="2"/>
      <c r="C636" s="2"/>
      <c r="D636" s="2"/>
      <c r="E636" s="2"/>
      <c r="F636" s="2"/>
      <c r="K636" s="2"/>
      <c r="L636" s="2"/>
    </row>
    <row r="637" ht="15.75" customHeight="1">
      <c r="A637" s="2"/>
      <c r="C637" s="2"/>
      <c r="D637" s="2"/>
      <c r="E637" s="2"/>
      <c r="F637" s="2"/>
      <c r="K637" s="2"/>
      <c r="L637" s="2"/>
    </row>
    <row r="638" ht="15.75" customHeight="1">
      <c r="A638" s="2"/>
      <c r="C638" s="2"/>
      <c r="D638" s="2"/>
      <c r="E638" s="2"/>
      <c r="F638" s="2"/>
      <c r="K638" s="2"/>
      <c r="L638" s="2"/>
    </row>
    <row r="639" ht="15.75" customHeight="1">
      <c r="A639" s="2"/>
      <c r="C639" s="2"/>
      <c r="D639" s="2"/>
      <c r="E639" s="2"/>
      <c r="F639" s="2"/>
      <c r="K639" s="2"/>
      <c r="L639" s="2"/>
    </row>
    <row r="640" ht="15.75" customHeight="1">
      <c r="A640" s="2"/>
      <c r="C640" s="2"/>
      <c r="D640" s="2"/>
      <c r="E640" s="2"/>
      <c r="F640" s="2"/>
      <c r="K640" s="2"/>
      <c r="L640" s="2"/>
    </row>
    <row r="641" ht="15.75" customHeight="1">
      <c r="A641" s="2"/>
      <c r="C641" s="2"/>
      <c r="D641" s="2"/>
      <c r="E641" s="2"/>
      <c r="F641" s="2"/>
      <c r="K641" s="2"/>
      <c r="L641" s="2"/>
    </row>
    <row r="642" ht="15.75" customHeight="1">
      <c r="A642" s="2"/>
      <c r="C642" s="2"/>
      <c r="D642" s="2"/>
      <c r="E642" s="2"/>
      <c r="F642" s="2"/>
      <c r="K642" s="2"/>
      <c r="L642" s="2"/>
    </row>
    <row r="643" ht="15.75" customHeight="1">
      <c r="A643" s="2"/>
      <c r="C643" s="2"/>
      <c r="D643" s="2"/>
      <c r="E643" s="2"/>
      <c r="F643" s="2"/>
      <c r="K643" s="2"/>
      <c r="L643" s="2"/>
    </row>
    <row r="644" ht="15.75" customHeight="1">
      <c r="A644" s="2"/>
      <c r="C644" s="2"/>
      <c r="D644" s="2"/>
      <c r="E644" s="2"/>
      <c r="F644" s="2"/>
      <c r="K644" s="2"/>
      <c r="L644" s="2"/>
    </row>
    <row r="645" ht="15.75" customHeight="1">
      <c r="A645" s="2"/>
      <c r="C645" s="2"/>
      <c r="D645" s="2"/>
      <c r="E645" s="2"/>
      <c r="F645" s="2"/>
      <c r="K645" s="2"/>
      <c r="L645" s="2"/>
    </row>
    <row r="646" ht="15.75" customHeight="1">
      <c r="A646" s="2"/>
      <c r="C646" s="2"/>
      <c r="D646" s="2"/>
      <c r="E646" s="2"/>
      <c r="F646" s="2"/>
      <c r="K646" s="2"/>
      <c r="L646" s="2"/>
    </row>
    <row r="647" ht="15.75" customHeight="1">
      <c r="A647" s="2"/>
      <c r="C647" s="2"/>
      <c r="D647" s="2"/>
      <c r="E647" s="2"/>
      <c r="F647" s="2"/>
      <c r="K647" s="2"/>
      <c r="L647" s="2"/>
    </row>
    <row r="648" ht="15.75" customHeight="1">
      <c r="A648" s="2"/>
      <c r="C648" s="2"/>
      <c r="D648" s="2"/>
      <c r="E648" s="2"/>
      <c r="F648" s="2"/>
      <c r="K648" s="2"/>
      <c r="L648" s="2"/>
    </row>
    <row r="649" ht="15.75" customHeight="1">
      <c r="A649" s="2"/>
      <c r="C649" s="2"/>
      <c r="D649" s="2"/>
      <c r="E649" s="2"/>
      <c r="F649" s="2"/>
      <c r="K649" s="2"/>
      <c r="L649" s="2"/>
    </row>
    <row r="650" ht="15.75" customHeight="1">
      <c r="A650" s="2"/>
      <c r="C650" s="2"/>
      <c r="D650" s="2"/>
      <c r="E650" s="2"/>
      <c r="F650" s="2"/>
      <c r="K650" s="2"/>
      <c r="L650" s="2"/>
    </row>
    <row r="651" ht="15.75" customHeight="1">
      <c r="A651" s="2"/>
      <c r="C651" s="2"/>
      <c r="D651" s="2"/>
      <c r="E651" s="2"/>
      <c r="F651" s="2"/>
      <c r="K651" s="2"/>
      <c r="L651" s="2"/>
    </row>
    <row r="652" ht="15.75" customHeight="1">
      <c r="A652" s="2"/>
      <c r="C652" s="2"/>
      <c r="D652" s="2"/>
      <c r="E652" s="2"/>
      <c r="F652" s="2"/>
      <c r="K652" s="2"/>
      <c r="L652" s="2"/>
    </row>
    <row r="653" ht="15.75" customHeight="1">
      <c r="A653" s="2"/>
      <c r="C653" s="2"/>
      <c r="D653" s="2"/>
      <c r="E653" s="2"/>
      <c r="F653" s="2"/>
      <c r="K653" s="2"/>
      <c r="L653" s="2"/>
    </row>
    <row r="654" ht="15.75" customHeight="1">
      <c r="A654" s="2"/>
      <c r="C654" s="2"/>
      <c r="D654" s="2"/>
      <c r="E654" s="2"/>
      <c r="F654" s="2"/>
      <c r="K654" s="2"/>
      <c r="L654" s="2"/>
    </row>
    <row r="655" ht="15.75" customHeight="1">
      <c r="A655" s="2"/>
      <c r="C655" s="2"/>
      <c r="D655" s="2"/>
      <c r="E655" s="2"/>
      <c r="F655" s="2"/>
      <c r="K655" s="2"/>
      <c r="L655" s="2"/>
    </row>
    <row r="656" ht="15.75" customHeight="1">
      <c r="A656" s="2"/>
      <c r="C656" s="2"/>
      <c r="D656" s="2"/>
      <c r="E656" s="2"/>
      <c r="F656" s="2"/>
      <c r="K656" s="2"/>
      <c r="L656" s="2"/>
    </row>
    <row r="657" ht="15.75" customHeight="1">
      <c r="A657" s="2"/>
      <c r="C657" s="2"/>
      <c r="D657" s="2"/>
      <c r="E657" s="2"/>
      <c r="F657" s="2"/>
      <c r="K657" s="2"/>
      <c r="L657" s="2"/>
    </row>
    <row r="658" ht="15.75" customHeight="1">
      <c r="A658" s="2"/>
      <c r="C658" s="2"/>
      <c r="D658" s="2"/>
      <c r="E658" s="2"/>
      <c r="F658" s="2"/>
      <c r="K658" s="2"/>
      <c r="L658" s="2"/>
    </row>
    <row r="659" ht="15.75" customHeight="1">
      <c r="A659" s="2"/>
      <c r="C659" s="2"/>
      <c r="D659" s="2"/>
      <c r="E659" s="2"/>
      <c r="F659" s="2"/>
      <c r="K659" s="2"/>
      <c r="L659" s="2"/>
    </row>
    <row r="660" ht="15.75" customHeight="1">
      <c r="A660" s="2"/>
      <c r="C660" s="2"/>
      <c r="D660" s="2"/>
      <c r="E660" s="2"/>
      <c r="F660" s="2"/>
      <c r="K660" s="2"/>
      <c r="L660" s="2"/>
    </row>
    <row r="661" ht="15.75" customHeight="1">
      <c r="A661" s="2"/>
      <c r="C661" s="2"/>
      <c r="D661" s="2"/>
      <c r="E661" s="2"/>
      <c r="F661" s="2"/>
      <c r="K661" s="2"/>
      <c r="L661" s="2"/>
    </row>
    <row r="662" ht="15.75" customHeight="1">
      <c r="A662" s="2"/>
      <c r="C662" s="2"/>
      <c r="D662" s="2"/>
      <c r="E662" s="2"/>
      <c r="F662" s="2"/>
      <c r="K662" s="2"/>
      <c r="L662" s="2"/>
    </row>
    <row r="663" ht="15.75" customHeight="1">
      <c r="A663" s="2"/>
      <c r="C663" s="2"/>
      <c r="D663" s="2"/>
      <c r="E663" s="2"/>
      <c r="F663" s="2"/>
      <c r="K663" s="2"/>
      <c r="L663" s="2"/>
    </row>
    <row r="664" ht="15.75" customHeight="1">
      <c r="A664" s="2"/>
      <c r="C664" s="2"/>
      <c r="D664" s="2"/>
      <c r="E664" s="2"/>
      <c r="F664" s="2"/>
      <c r="K664" s="2"/>
      <c r="L664" s="2"/>
    </row>
    <row r="665" ht="15.75" customHeight="1">
      <c r="A665" s="2"/>
      <c r="C665" s="2"/>
      <c r="D665" s="2"/>
      <c r="E665" s="2"/>
      <c r="F665" s="2"/>
      <c r="K665" s="2"/>
      <c r="L665" s="2"/>
    </row>
    <row r="666" ht="15.75" customHeight="1">
      <c r="A666" s="2"/>
      <c r="C666" s="2"/>
      <c r="D666" s="2"/>
      <c r="E666" s="2"/>
      <c r="F666" s="2"/>
      <c r="K666" s="2"/>
      <c r="L666" s="2"/>
    </row>
    <row r="667" ht="15.75" customHeight="1">
      <c r="A667" s="2"/>
      <c r="C667" s="2"/>
      <c r="D667" s="2"/>
      <c r="E667" s="2"/>
      <c r="F667" s="2"/>
      <c r="K667" s="2"/>
      <c r="L667" s="2"/>
    </row>
    <row r="668" ht="15.75" customHeight="1">
      <c r="A668" s="2"/>
      <c r="C668" s="2"/>
      <c r="D668" s="2"/>
      <c r="E668" s="2"/>
      <c r="F668" s="2"/>
      <c r="K668" s="2"/>
      <c r="L668" s="2"/>
    </row>
    <row r="669" ht="15.75" customHeight="1">
      <c r="A669" s="2"/>
      <c r="C669" s="2"/>
      <c r="D669" s="2"/>
      <c r="E669" s="2"/>
      <c r="F669" s="2"/>
      <c r="K669" s="2"/>
      <c r="L669" s="2"/>
    </row>
    <row r="670" ht="15.75" customHeight="1">
      <c r="A670" s="2"/>
      <c r="C670" s="2"/>
      <c r="D670" s="2"/>
      <c r="E670" s="2"/>
      <c r="F670" s="2"/>
      <c r="K670" s="2"/>
      <c r="L670" s="2"/>
    </row>
    <row r="671" ht="15.75" customHeight="1">
      <c r="A671" s="2"/>
      <c r="C671" s="2"/>
      <c r="D671" s="2"/>
      <c r="E671" s="2"/>
      <c r="F671" s="2"/>
      <c r="K671" s="2"/>
      <c r="L671" s="2"/>
    </row>
    <row r="672" ht="15.75" customHeight="1">
      <c r="A672" s="2"/>
      <c r="C672" s="2"/>
      <c r="D672" s="2"/>
      <c r="E672" s="2"/>
      <c r="F672" s="2"/>
      <c r="K672" s="2"/>
      <c r="L672" s="2"/>
    </row>
    <row r="673" ht="15.75" customHeight="1">
      <c r="A673" s="2"/>
      <c r="C673" s="2"/>
      <c r="D673" s="2"/>
      <c r="E673" s="2"/>
      <c r="F673" s="2"/>
      <c r="K673" s="2"/>
      <c r="L673" s="2"/>
    </row>
    <row r="674" ht="15.75" customHeight="1">
      <c r="A674" s="2"/>
      <c r="C674" s="2"/>
      <c r="D674" s="2"/>
      <c r="E674" s="2"/>
      <c r="F674" s="2"/>
      <c r="K674" s="2"/>
      <c r="L674" s="2"/>
    </row>
    <row r="675" ht="15.75" customHeight="1">
      <c r="A675" s="2"/>
      <c r="C675" s="2"/>
      <c r="D675" s="2"/>
      <c r="E675" s="2"/>
      <c r="F675" s="2"/>
      <c r="K675" s="2"/>
      <c r="L675" s="2"/>
    </row>
    <row r="676" ht="15.75" customHeight="1">
      <c r="A676" s="2"/>
      <c r="C676" s="2"/>
      <c r="D676" s="2"/>
      <c r="E676" s="2"/>
      <c r="F676" s="2"/>
      <c r="K676" s="2"/>
      <c r="L676" s="2"/>
    </row>
    <row r="677" ht="15.75" customHeight="1">
      <c r="A677" s="2"/>
      <c r="C677" s="2"/>
      <c r="D677" s="2"/>
      <c r="E677" s="2"/>
      <c r="F677" s="2"/>
      <c r="K677" s="2"/>
      <c r="L677" s="2"/>
    </row>
    <row r="678" ht="15.75" customHeight="1">
      <c r="A678" s="2"/>
      <c r="C678" s="2"/>
      <c r="D678" s="2"/>
      <c r="E678" s="2"/>
      <c r="F678" s="2"/>
      <c r="K678" s="2"/>
      <c r="L678" s="2"/>
    </row>
    <row r="679" ht="15.75" customHeight="1">
      <c r="A679" s="2"/>
      <c r="C679" s="2"/>
      <c r="D679" s="2"/>
      <c r="E679" s="2"/>
      <c r="F679" s="2"/>
      <c r="K679" s="2"/>
      <c r="L679" s="2"/>
    </row>
    <row r="680" ht="15.75" customHeight="1">
      <c r="A680" s="2"/>
      <c r="C680" s="2"/>
      <c r="D680" s="2"/>
      <c r="E680" s="2"/>
      <c r="F680" s="2"/>
      <c r="K680" s="2"/>
      <c r="L680" s="2"/>
    </row>
    <row r="681" ht="15.75" customHeight="1">
      <c r="A681" s="2"/>
      <c r="C681" s="2"/>
      <c r="D681" s="2"/>
      <c r="E681" s="2"/>
      <c r="F681" s="2"/>
      <c r="K681" s="2"/>
      <c r="L681" s="2"/>
    </row>
    <row r="682" ht="15.75" customHeight="1">
      <c r="A682" s="2"/>
      <c r="C682" s="2"/>
      <c r="D682" s="2"/>
      <c r="E682" s="2"/>
      <c r="F682" s="2"/>
      <c r="K682" s="2"/>
      <c r="L682" s="2"/>
    </row>
    <row r="683" ht="15.75" customHeight="1">
      <c r="A683" s="2"/>
      <c r="C683" s="2"/>
      <c r="D683" s="2"/>
      <c r="E683" s="2"/>
      <c r="F683" s="2"/>
      <c r="K683" s="2"/>
      <c r="L683" s="2"/>
    </row>
    <row r="684" ht="15.75" customHeight="1">
      <c r="A684" s="2"/>
      <c r="C684" s="2"/>
      <c r="D684" s="2"/>
      <c r="E684" s="2"/>
      <c r="F684" s="2"/>
      <c r="K684" s="2"/>
      <c r="L684" s="2"/>
    </row>
    <row r="685" ht="15.75" customHeight="1">
      <c r="A685" s="2"/>
      <c r="C685" s="2"/>
      <c r="D685" s="2"/>
      <c r="E685" s="2"/>
      <c r="F685" s="2"/>
      <c r="K685" s="2"/>
      <c r="L685" s="2"/>
    </row>
    <row r="686" ht="15.75" customHeight="1">
      <c r="A686" s="2"/>
      <c r="C686" s="2"/>
      <c r="D686" s="2"/>
      <c r="E686" s="2"/>
      <c r="F686" s="2"/>
      <c r="K686" s="2"/>
      <c r="L686" s="2"/>
    </row>
    <row r="687" ht="15.75" customHeight="1">
      <c r="A687" s="2"/>
      <c r="C687" s="2"/>
      <c r="D687" s="2"/>
      <c r="E687" s="2"/>
      <c r="F687" s="2"/>
      <c r="K687" s="2"/>
      <c r="L687" s="2"/>
    </row>
    <row r="688" ht="15.75" customHeight="1">
      <c r="A688" s="2"/>
      <c r="C688" s="2"/>
      <c r="D688" s="2"/>
      <c r="E688" s="2"/>
      <c r="F688" s="2"/>
      <c r="K688" s="2"/>
      <c r="L688" s="2"/>
    </row>
    <row r="689" ht="15.75" customHeight="1">
      <c r="A689" s="2"/>
      <c r="C689" s="2"/>
      <c r="D689" s="2"/>
      <c r="E689" s="2"/>
      <c r="F689" s="2"/>
      <c r="K689" s="2"/>
      <c r="L689" s="2"/>
    </row>
    <row r="690" ht="15.75" customHeight="1">
      <c r="A690" s="2"/>
      <c r="C690" s="2"/>
      <c r="D690" s="2"/>
      <c r="E690" s="2"/>
      <c r="F690" s="2"/>
      <c r="K690" s="2"/>
      <c r="L690" s="2"/>
    </row>
    <row r="691" ht="15.75" customHeight="1">
      <c r="A691" s="2"/>
      <c r="C691" s="2"/>
      <c r="D691" s="2"/>
      <c r="E691" s="2"/>
      <c r="F691" s="2"/>
      <c r="K691" s="2"/>
      <c r="L691" s="2"/>
    </row>
    <row r="692" ht="15.75" customHeight="1">
      <c r="A692" s="2"/>
      <c r="C692" s="2"/>
      <c r="D692" s="2"/>
      <c r="E692" s="2"/>
      <c r="F692" s="2"/>
      <c r="K692" s="2"/>
      <c r="L692" s="2"/>
    </row>
    <row r="693" ht="15.75" customHeight="1">
      <c r="A693" s="2"/>
      <c r="C693" s="2"/>
      <c r="D693" s="2"/>
      <c r="E693" s="2"/>
      <c r="F693" s="2"/>
      <c r="K693" s="2"/>
      <c r="L693" s="2"/>
    </row>
    <row r="694" ht="15.75" customHeight="1">
      <c r="A694" s="2"/>
      <c r="C694" s="2"/>
      <c r="D694" s="2"/>
      <c r="E694" s="2"/>
      <c r="F694" s="2"/>
      <c r="K694" s="2"/>
      <c r="L694" s="2"/>
    </row>
    <row r="695" ht="15.75" customHeight="1">
      <c r="A695" s="2"/>
      <c r="C695" s="2"/>
      <c r="D695" s="2"/>
      <c r="E695" s="2"/>
      <c r="F695" s="2"/>
      <c r="K695" s="2"/>
      <c r="L695" s="2"/>
    </row>
    <row r="696" ht="15.75" customHeight="1">
      <c r="A696" s="2"/>
      <c r="C696" s="2"/>
      <c r="D696" s="2"/>
      <c r="E696" s="2"/>
      <c r="F696" s="2"/>
      <c r="K696" s="2"/>
      <c r="L696" s="2"/>
    </row>
    <row r="697" ht="15.75" customHeight="1">
      <c r="A697" s="2"/>
      <c r="C697" s="2"/>
      <c r="D697" s="2"/>
      <c r="E697" s="2"/>
      <c r="F697" s="2"/>
      <c r="K697" s="2"/>
      <c r="L697" s="2"/>
    </row>
    <row r="698" ht="15.75" customHeight="1">
      <c r="A698" s="2"/>
      <c r="C698" s="2"/>
      <c r="D698" s="2"/>
      <c r="E698" s="2"/>
      <c r="F698" s="2"/>
      <c r="K698" s="2"/>
      <c r="L698" s="2"/>
    </row>
    <row r="699" ht="15.75" customHeight="1">
      <c r="A699" s="2"/>
      <c r="C699" s="2"/>
      <c r="D699" s="2"/>
      <c r="E699" s="2"/>
      <c r="F699" s="2"/>
      <c r="K699" s="2"/>
      <c r="L699" s="2"/>
    </row>
    <row r="700" ht="15.75" customHeight="1">
      <c r="A700" s="2"/>
      <c r="C700" s="2"/>
      <c r="D700" s="2"/>
      <c r="E700" s="2"/>
      <c r="F700" s="2"/>
      <c r="K700" s="2"/>
      <c r="L700" s="2"/>
    </row>
    <row r="701" ht="15.75" customHeight="1">
      <c r="A701" s="2"/>
      <c r="C701" s="2"/>
      <c r="D701" s="2"/>
      <c r="E701" s="2"/>
      <c r="F701" s="2"/>
      <c r="K701" s="2"/>
      <c r="L701" s="2"/>
    </row>
    <row r="702" ht="15.75" customHeight="1">
      <c r="A702" s="2"/>
      <c r="C702" s="2"/>
      <c r="D702" s="2"/>
      <c r="E702" s="2"/>
      <c r="F702" s="2"/>
      <c r="K702" s="2"/>
      <c r="L702" s="2"/>
    </row>
    <row r="703" ht="15.75" customHeight="1">
      <c r="A703" s="2"/>
      <c r="C703" s="2"/>
      <c r="D703" s="2"/>
      <c r="E703" s="2"/>
      <c r="F703" s="2"/>
      <c r="K703" s="2"/>
      <c r="L703" s="2"/>
    </row>
    <row r="704" ht="15.75" customHeight="1">
      <c r="A704" s="2"/>
      <c r="C704" s="2"/>
      <c r="D704" s="2"/>
      <c r="E704" s="2"/>
      <c r="F704" s="2"/>
      <c r="K704" s="2"/>
      <c r="L704" s="2"/>
    </row>
    <row r="705" ht="15.75" customHeight="1">
      <c r="A705" s="2"/>
      <c r="C705" s="2"/>
      <c r="D705" s="2"/>
      <c r="E705" s="2"/>
      <c r="F705" s="2"/>
      <c r="K705" s="2"/>
      <c r="L705" s="2"/>
    </row>
    <row r="706" ht="15.75" customHeight="1">
      <c r="A706" s="2"/>
      <c r="C706" s="2"/>
      <c r="D706" s="2"/>
      <c r="E706" s="2"/>
      <c r="F706" s="2"/>
      <c r="K706" s="2"/>
      <c r="L706" s="2"/>
    </row>
    <row r="707" ht="15.75" customHeight="1">
      <c r="A707" s="2"/>
      <c r="C707" s="2"/>
      <c r="D707" s="2"/>
      <c r="E707" s="2"/>
      <c r="F707" s="2"/>
      <c r="K707" s="2"/>
      <c r="L707" s="2"/>
    </row>
    <row r="708" ht="15.75" customHeight="1">
      <c r="A708" s="2"/>
      <c r="C708" s="2"/>
      <c r="D708" s="2"/>
      <c r="E708" s="2"/>
      <c r="F708" s="2"/>
      <c r="K708" s="2"/>
      <c r="L708" s="2"/>
    </row>
    <row r="709" ht="15.75" customHeight="1">
      <c r="A709" s="2"/>
      <c r="C709" s="2"/>
      <c r="D709" s="2"/>
      <c r="E709" s="2"/>
      <c r="F709" s="2"/>
      <c r="K709" s="2"/>
      <c r="L709" s="2"/>
    </row>
    <row r="710" ht="15.75" customHeight="1">
      <c r="A710" s="2"/>
      <c r="C710" s="2"/>
      <c r="D710" s="2"/>
      <c r="E710" s="2"/>
      <c r="F710" s="2"/>
      <c r="K710" s="2"/>
      <c r="L710" s="2"/>
    </row>
    <row r="711" ht="15.75" customHeight="1">
      <c r="A711" s="2"/>
      <c r="C711" s="2"/>
      <c r="D711" s="2"/>
      <c r="E711" s="2"/>
      <c r="F711" s="2"/>
      <c r="K711" s="2"/>
      <c r="L711" s="2"/>
    </row>
    <row r="712" ht="15.75" customHeight="1">
      <c r="A712" s="2"/>
      <c r="C712" s="2"/>
      <c r="D712" s="2"/>
      <c r="E712" s="2"/>
      <c r="F712" s="2"/>
      <c r="K712" s="2"/>
      <c r="L712" s="2"/>
    </row>
    <row r="713" ht="15.75" customHeight="1">
      <c r="A713" s="2"/>
      <c r="C713" s="2"/>
      <c r="D713" s="2"/>
      <c r="E713" s="2"/>
      <c r="F713" s="2"/>
      <c r="K713" s="2"/>
      <c r="L713" s="2"/>
    </row>
    <row r="714" ht="15.75" customHeight="1">
      <c r="A714" s="2"/>
      <c r="C714" s="2"/>
      <c r="D714" s="2"/>
      <c r="E714" s="2"/>
      <c r="F714" s="2"/>
      <c r="K714" s="2"/>
      <c r="L714" s="2"/>
    </row>
    <row r="715" ht="15.75" customHeight="1">
      <c r="A715" s="2"/>
      <c r="C715" s="2"/>
      <c r="D715" s="2"/>
      <c r="E715" s="2"/>
      <c r="F715" s="2"/>
      <c r="K715" s="2"/>
      <c r="L715" s="2"/>
    </row>
    <row r="716" ht="15.75" customHeight="1">
      <c r="A716" s="2"/>
      <c r="C716" s="2"/>
      <c r="D716" s="2"/>
      <c r="E716" s="2"/>
      <c r="F716" s="2"/>
      <c r="K716" s="2"/>
      <c r="L716" s="2"/>
    </row>
    <row r="717" ht="15.75" customHeight="1">
      <c r="A717" s="2"/>
      <c r="C717" s="2"/>
      <c r="D717" s="2"/>
      <c r="E717" s="2"/>
      <c r="F717" s="2"/>
      <c r="K717" s="2"/>
      <c r="L717" s="2"/>
    </row>
    <row r="718" ht="15.75" customHeight="1">
      <c r="A718" s="2"/>
      <c r="C718" s="2"/>
      <c r="D718" s="2"/>
      <c r="E718" s="2"/>
      <c r="F718" s="2"/>
      <c r="K718" s="2"/>
      <c r="L718" s="2"/>
    </row>
    <row r="719" ht="15.75" customHeight="1">
      <c r="A719" s="2"/>
      <c r="C719" s="2"/>
      <c r="D719" s="2"/>
      <c r="E719" s="2"/>
      <c r="F719" s="2"/>
      <c r="K719" s="2"/>
      <c r="L719" s="2"/>
    </row>
    <row r="720" ht="15.75" customHeight="1">
      <c r="A720" s="2"/>
      <c r="C720" s="2"/>
      <c r="D720" s="2"/>
      <c r="E720" s="2"/>
      <c r="F720" s="2"/>
      <c r="K720" s="2"/>
      <c r="L720" s="2"/>
    </row>
    <row r="721" ht="15.75" customHeight="1">
      <c r="A721" s="2"/>
      <c r="C721" s="2"/>
      <c r="D721" s="2"/>
      <c r="E721" s="2"/>
      <c r="F721" s="2"/>
      <c r="K721" s="2"/>
      <c r="L721" s="2"/>
    </row>
    <row r="722" ht="15.75" customHeight="1">
      <c r="A722" s="2"/>
      <c r="C722" s="2"/>
      <c r="D722" s="2"/>
      <c r="E722" s="2"/>
      <c r="F722" s="2"/>
      <c r="K722" s="2"/>
      <c r="L722" s="2"/>
    </row>
    <row r="723" ht="15.75" customHeight="1">
      <c r="A723" s="2"/>
      <c r="C723" s="2"/>
      <c r="D723" s="2"/>
      <c r="E723" s="2"/>
      <c r="F723" s="2"/>
      <c r="K723" s="2"/>
      <c r="L723" s="2"/>
    </row>
    <row r="724" ht="15.75" customHeight="1">
      <c r="A724" s="2"/>
      <c r="C724" s="2"/>
      <c r="D724" s="2"/>
      <c r="E724" s="2"/>
      <c r="F724" s="2"/>
      <c r="K724" s="2"/>
      <c r="L724" s="2"/>
    </row>
    <row r="725" ht="15.75" customHeight="1">
      <c r="A725" s="2"/>
      <c r="C725" s="2"/>
      <c r="D725" s="2"/>
      <c r="E725" s="2"/>
      <c r="F725" s="2"/>
      <c r="K725" s="2"/>
      <c r="L725" s="2"/>
    </row>
    <row r="726" ht="15.75" customHeight="1">
      <c r="A726" s="2"/>
      <c r="C726" s="2"/>
      <c r="D726" s="2"/>
      <c r="E726" s="2"/>
      <c r="F726" s="2"/>
      <c r="K726" s="2"/>
      <c r="L726" s="2"/>
    </row>
    <row r="727" ht="15.75" customHeight="1">
      <c r="A727" s="2"/>
      <c r="C727" s="2"/>
      <c r="D727" s="2"/>
      <c r="E727" s="2"/>
      <c r="F727" s="2"/>
      <c r="K727" s="2"/>
      <c r="L727" s="2"/>
    </row>
    <row r="728" ht="15.75" customHeight="1">
      <c r="A728" s="2"/>
      <c r="C728" s="2"/>
      <c r="D728" s="2"/>
      <c r="E728" s="2"/>
      <c r="F728" s="2"/>
      <c r="K728" s="2"/>
      <c r="L728" s="2"/>
    </row>
    <row r="729" ht="15.75" customHeight="1">
      <c r="A729" s="2"/>
      <c r="C729" s="2"/>
      <c r="D729" s="2"/>
      <c r="E729" s="2"/>
      <c r="F729" s="2"/>
      <c r="K729" s="2"/>
      <c r="L729" s="2"/>
    </row>
    <row r="730" ht="15.75" customHeight="1">
      <c r="A730" s="2"/>
      <c r="C730" s="2"/>
      <c r="D730" s="2"/>
      <c r="E730" s="2"/>
      <c r="F730" s="2"/>
      <c r="K730" s="2"/>
      <c r="L730" s="2"/>
    </row>
    <row r="731" ht="15.75" customHeight="1">
      <c r="A731" s="2"/>
      <c r="C731" s="2"/>
      <c r="D731" s="2"/>
      <c r="E731" s="2"/>
      <c r="F731" s="2"/>
      <c r="K731" s="2"/>
      <c r="L731" s="2"/>
    </row>
    <row r="732" ht="15.75" customHeight="1">
      <c r="A732" s="2"/>
      <c r="C732" s="2"/>
      <c r="D732" s="2"/>
      <c r="E732" s="2"/>
      <c r="F732" s="2"/>
      <c r="K732" s="2"/>
      <c r="L732" s="2"/>
    </row>
    <row r="733" ht="15.75" customHeight="1">
      <c r="A733" s="2"/>
      <c r="C733" s="2"/>
      <c r="D733" s="2"/>
      <c r="E733" s="2"/>
      <c r="F733" s="2"/>
      <c r="K733" s="2"/>
      <c r="L733" s="2"/>
    </row>
    <row r="734" ht="15.75" customHeight="1">
      <c r="A734" s="2"/>
      <c r="C734" s="2"/>
      <c r="D734" s="2"/>
      <c r="E734" s="2"/>
      <c r="F734" s="2"/>
      <c r="K734" s="2"/>
      <c r="L734" s="2"/>
    </row>
    <row r="735" ht="15.75" customHeight="1">
      <c r="A735" s="2"/>
      <c r="C735" s="2"/>
      <c r="D735" s="2"/>
      <c r="E735" s="2"/>
      <c r="F735" s="2"/>
      <c r="K735" s="2"/>
      <c r="L735" s="2"/>
    </row>
    <row r="736" ht="15.75" customHeight="1">
      <c r="A736" s="2"/>
      <c r="C736" s="2"/>
      <c r="D736" s="2"/>
      <c r="E736" s="2"/>
      <c r="F736" s="2"/>
      <c r="K736" s="2"/>
      <c r="L736" s="2"/>
    </row>
    <row r="737" ht="15.75" customHeight="1">
      <c r="A737" s="2"/>
      <c r="C737" s="2"/>
      <c r="D737" s="2"/>
      <c r="E737" s="2"/>
      <c r="F737" s="2"/>
      <c r="K737" s="2"/>
      <c r="L737" s="2"/>
    </row>
    <row r="738" ht="15.75" customHeight="1">
      <c r="A738" s="2"/>
      <c r="C738" s="2"/>
      <c r="D738" s="2"/>
      <c r="E738" s="2"/>
      <c r="F738" s="2"/>
      <c r="K738" s="2"/>
      <c r="L738" s="2"/>
    </row>
    <row r="739" ht="15.75" customHeight="1">
      <c r="A739" s="2"/>
      <c r="C739" s="2"/>
      <c r="D739" s="2"/>
      <c r="E739" s="2"/>
      <c r="F739" s="2"/>
      <c r="K739" s="2"/>
      <c r="L739" s="2"/>
    </row>
    <row r="740" ht="15.75" customHeight="1">
      <c r="A740" s="2"/>
      <c r="C740" s="2"/>
      <c r="D740" s="2"/>
      <c r="E740" s="2"/>
      <c r="F740" s="2"/>
      <c r="K740" s="2"/>
      <c r="L740" s="2"/>
    </row>
    <row r="741" ht="15.75" customHeight="1">
      <c r="A741" s="2"/>
      <c r="C741" s="2"/>
      <c r="D741" s="2"/>
      <c r="E741" s="2"/>
      <c r="F741" s="2"/>
      <c r="K741" s="2"/>
      <c r="L741" s="2"/>
    </row>
    <row r="742" ht="15.75" customHeight="1">
      <c r="A742" s="2"/>
      <c r="C742" s="2"/>
      <c r="D742" s="2"/>
      <c r="E742" s="2"/>
      <c r="F742" s="2"/>
      <c r="K742" s="2"/>
      <c r="L742" s="2"/>
    </row>
    <row r="743" ht="15.75" customHeight="1">
      <c r="A743" s="2"/>
      <c r="C743" s="2"/>
      <c r="D743" s="2"/>
      <c r="E743" s="2"/>
      <c r="F743" s="2"/>
      <c r="K743" s="2"/>
      <c r="L743" s="2"/>
    </row>
    <row r="744" ht="15.75" customHeight="1">
      <c r="A744" s="2"/>
      <c r="C744" s="2"/>
      <c r="D744" s="2"/>
      <c r="E744" s="2"/>
      <c r="F744" s="2"/>
      <c r="K744" s="2"/>
      <c r="L744" s="2"/>
    </row>
    <row r="745" ht="15.75" customHeight="1">
      <c r="A745" s="2"/>
      <c r="C745" s="2"/>
      <c r="D745" s="2"/>
      <c r="E745" s="2"/>
      <c r="F745" s="2"/>
      <c r="K745" s="2"/>
      <c r="L745" s="2"/>
    </row>
    <row r="746" ht="15.75" customHeight="1">
      <c r="A746" s="2"/>
      <c r="C746" s="2"/>
      <c r="D746" s="2"/>
      <c r="E746" s="2"/>
      <c r="F746" s="2"/>
      <c r="K746" s="2"/>
      <c r="L746" s="2"/>
    </row>
    <row r="747" ht="15.75" customHeight="1">
      <c r="A747" s="2"/>
      <c r="C747" s="2"/>
      <c r="D747" s="2"/>
      <c r="E747" s="2"/>
      <c r="F747" s="2"/>
      <c r="K747" s="2"/>
      <c r="L747" s="2"/>
    </row>
    <row r="748" ht="15.75" customHeight="1">
      <c r="A748" s="2"/>
      <c r="C748" s="2"/>
      <c r="D748" s="2"/>
      <c r="E748" s="2"/>
      <c r="F748" s="2"/>
      <c r="K748" s="2"/>
      <c r="L748" s="2"/>
    </row>
    <row r="749" ht="15.75" customHeight="1">
      <c r="A749" s="2"/>
      <c r="C749" s="2"/>
      <c r="D749" s="2"/>
      <c r="E749" s="2"/>
      <c r="F749" s="2"/>
      <c r="K749" s="2"/>
      <c r="L749" s="2"/>
    </row>
    <row r="750" ht="15.75" customHeight="1">
      <c r="A750" s="2"/>
      <c r="C750" s="2"/>
      <c r="D750" s="2"/>
      <c r="E750" s="2"/>
      <c r="F750" s="2"/>
      <c r="K750" s="2"/>
      <c r="L750" s="2"/>
    </row>
    <row r="751" ht="15.75" customHeight="1">
      <c r="A751" s="2"/>
      <c r="C751" s="2"/>
      <c r="D751" s="2"/>
      <c r="E751" s="2"/>
      <c r="F751" s="2"/>
      <c r="K751" s="2"/>
      <c r="L751" s="2"/>
    </row>
    <row r="752" ht="15.75" customHeight="1">
      <c r="A752" s="2"/>
      <c r="C752" s="2"/>
      <c r="D752" s="2"/>
      <c r="E752" s="2"/>
      <c r="F752" s="2"/>
      <c r="K752" s="2"/>
      <c r="L752" s="2"/>
    </row>
    <row r="753" ht="15.75" customHeight="1">
      <c r="A753" s="2"/>
      <c r="C753" s="2"/>
      <c r="D753" s="2"/>
      <c r="E753" s="2"/>
      <c r="F753" s="2"/>
      <c r="K753" s="2"/>
      <c r="L753" s="2"/>
    </row>
    <row r="754" ht="15.75" customHeight="1">
      <c r="A754" s="2"/>
      <c r="C754" s="2"/>
      <c r="D754" s="2"/>
      <c r="E754" s="2"/>
      <c r="F754" s="2"/>
      <c r="K754" s="2"/>
      <c r="L754" s="2"/>
    </row>
    <row r="755" ht="15.75" customHeight="1">
      <c r="A755" s="2"/>
      <c r="C755" s="2"/>
      <c r="D755" s="2"/>
      <c r="E755" s="2"/>
      <c r="F755" s="2"/>
      <c r="K755" s="2"/>
      <c r="L755" s="2"/>
    </row>
    <row r="756" ht="15.75" customHeight="1">
      <c r="A756" s="2"/>
      <c r="C756" s="2"/>
      <c r="D756" s="2"/>
      <c r="E756" s="2"/>
      <c r="F756" s="2"/>
      <c r="K756" s="2"/>
      <c r="L756" s="2"/>
    </row>
    <row r="757" ht="15.75" customHeight="1">
      <c r="A757" s="2"/>
      <c r="C757" s="2"/>
      <c r="D757" s="2"/>
      <c r="E757" s="2"/>
      <c r="F757" s="2"/>
      <c r="K757" s="2"/>
      <c r="L757" s="2"/>
    </row>
    <row r="758" ht="15.75" customHeight="1">
      <c r="A758" s="2"/>
      <c r="C758" s="2"/>
      <c r="D758" s="2"/>
      <c r="E758" s="2"/>
      <c r="F758" s="2"/>
      <c r="K758" s="2"/>
      <c r="L758" s="2"/>
    </row>
    <row r="759" ht="15.75" customHeight="1">
      <c r="A759" s="2"/>
      <c r="C759" s="2"/>
      <c r="D759" s="2"/>
      <c r="E759" s="2"/>
      <c r="F759" s="2"/>
      <c r="K759" s="2"/>
      <c r="L759" s="2"/>
    </row>
    <row r="760" ht="15.75" customHeight="1">
      <c r="A760" s="2"/>
      <c r="C760" s="2"/>
      <c r="D760" s="2"/>
      <c r="E760" s="2"/>
      <c r="F760" s="2"/>
      <c r="K760" s="2"/>
      <c r="L760" s="2"/>
    </row>
    <row r="761" ht="15.75" customHeight="1">
      <c r="A761" s="2"/>
      <c r="C761" s="2"/>
      <c r="D761" s="2"/>
      <c r="E761" s="2"/>
      <c r="F761" s="2"/>
      <c r="K761" s="2"/>
      <c r="L761" s="2"/>
    </row>
    <row r="762" ht="15.75" customHeight="1">
      <c r="A762" s="2"/>
      <c r="C762" s="2"/>
      <c r="D762" s="2"/>
      <c r="E762" s="2"/>
      <c r="F762" s="2"/>
      <c r="K762" s="2"/>
      <c r="L762" s="2"/>
    </row>
    <row r="763" ht="15.75" customHeight="1">
      <c r="A763" s="2"/>
      <c r="C763" s="2"/>
      <c r="D763" s="2"/>
      <c r="E763" s="2"/>
      <c r="F763" s="2"/>
      <c r="K763" s="2"/>
      <c r="L763" s="2"/>
    </row>
    <row r="764" ht="15.75" customHeight="1">
      <c r="A764" s="2"/>
      <c r="C764" s="2"/>
      <c r="D764" s="2"/>
      <c r="E764" s="2"/>
      <c r="F764" s="2"/>
      <c r="K764" s="2"/>
      <c r="L764" s="2"/>
    </row>
    <row r="765" ht="15.75" customHeight="1">
      <c r="A765" s="2"/>
      <c r="C765" s="2"/>
      <c r="D765" s="2"/>
      <c r="E765" s="2"/>
      <c r="F765" s="2"/>
      <c r="K765" s="2"/>
      <c r="L765" s="2"/>
    </row>
    <row r="766" ht="15.75" customHeight="1">
      <c r="A766" s="2"/>
      <c r="C766" s="2"/>
      <c r="D766" s="2"/>
      <c r="E766" s="2"/>
      <c r="F766" s="2"/>
      <c r="K766" s="2"/>
      <c r="L766" s="2"/>
    </row>
    <row r="767" ht="15.75" customHeight="1">
      <c r="A767" s="2"/>
      <c r="C767" s="2"/>
      <c r="D767" s="2"/>
      <c r="E767" s="2"/>
      <c r="F767" s="2"/>
      <c r="K767" s="2"/>
      <c r="L767" s="2"/>
    </row>
    <row r="768" ht="15.75" customHeight="1">
      <c r="A768" s="2"/>
      <c r="C768" s="2"/>
      <c r="D768" s="2"/>
      <c r="E768" s="2"/>
      <c r="F768" s="2"/>
      <c r="K768" s="2"/>
      <c r="L768" s="2"/>
    </row>
    <row r="769" ht="15.75" customHeight="1">
      <c r="A769" s="2"/>
      <c r="C769" s="2"/>
      <c r="D769" s="2"/>
      <c r="E769" s="2"/>
      <c r="F769" s="2"/>
      <c r="K769" s="2"/>
      <c r="L769" s="2"/>
    </row>
    <row r="770" ht="15.75" customHeight="1">
      <c r="A770" s="2"/>
      <c r="C770" s="2"/>
      <c r="D770" s="2"/>
      <c r="E770" s="2"/>
      <c r="F770" s="2"/>
      <c r="K770" s="2"/>
      <c r="L770" s="2"/>
    </row>
    <row r="771" ht="15.75" customHeight="1">
      <c r="A771" s="2"/>
      <c r="C771" s="2"/>
      <c r="D771" s="2"/>
      <c r="E771" s="2"/>
      <c r="F771" s="2"/>
      <c r="K771" s="2"/>
      <c r="L771" s="2"/>
    </row>
    <row r="772" ht="15.75" customHeight="1">
      <c r="A772" s="2"/>
      <c r="C772" s="2"/>
      <c r="D772" s="2"/>
      <c r="E772" s="2"/>
      <c r="F772" s="2"/>
      <c r="K772" s="2"/>
      <c r="L772" s="2"/>
    </row>
    <row r="773" ht="15.75" customHeight="1">
      <c r="A773" s="2"/>
      <c r="C773" s="2"/>
      <c r="D773" s="2"/>
      <c r="E773" s="2"/>
      <c r="F773" s="2"/>
      <c r="K773" s="2"/>
      <c r="L773" s="2"/>
    </row>
    <row r="774" ht="15.75" customHeight="1">
      <c r="A774" s="2"/>
      <c r="C774" s="2"/>
      <c r="D774" s="2"/>
      <c r="E774" s="2"/>
      <c r="F774" s="2"/>
      <c r="K774" s="2"/>
      <c r="L774" s="2"/>
    </row>
    <row r="775" ht="15.75" customHeight="1">
      <c r="A775" s="2"/>
      <c r="C775" s="2"/>
      <c r="D775" s="2"/>
      <c r="E775" s="2"/>
      <c r="F775" s="2"/>
      <c r="K775" s="2"/>
      <c r="L775" s="2"/>
    </row>
    <row r="776" ht="15.75" customHeight="1">
      <c r="A776" s="2"/>
      <c r="C776" s="2"/>
      <c r="D776" s="2"/>
      <c r="E776" s="2"/>
      <c r="F776" s="2"/>
      <c r="K776" s="2"/>
      <c r="L776" s="2"/>
    </row>
    <row r="777" ht="15.75" customHeight="1">
      <c r="A777" s="2"/>
      <c r="C777" s="2"/>
      <c r="D777" s="2"/>
      <c r="E777" s="2"/>
      <c r="F777" s="2"/>
      <c r="K777" s="2"/>
      <c r="L777" s="2"/>
    </row>
    <row r="778" ht="15.75" customHeight="1">
      <c r="A778" s="2"/>
      <c r="C778" s="2"/>
      <c r="D778" s="2"/>
      <c r="E778" s="2"/>
      <c r="F778" s="2"/>
      <c r="K778" s="2"/>
      <c r="L778" s="2"/>
    </row>
    <row r="779" ht="15.75" customHeight="1">
      <c r="A779" s="2"/>
      <c r="C779" s="2"/>
      <c r="D779" s="2"/>
      <c r="E779" s="2"/>
      <c r="F779" s="2"/>
      <c r="K779" s="2"/>
      <c r="L779" s="2"/>
    </row>
    <row r="780" ht="15.75" customHeight="1">
      <c r="A780" s="2"/>
      <c r="C780" s="2"/>
      <c r="D780" s="2"/>
      <c r="E780" s="2"/>
      <c r="F780" s="2"/>
      <c r="K780" s="2"/>
      <c r="L780" s="2"/>
    </row>
    <row r="781" ht="15.75" customHeight="1">
      <c r="A781" s="2"/>
      <c r="C781" s="2"/>
      <c r="D781" s="2"/>
      <c r="E781" s="2"/>
      <c r="F781" s="2"/>
      <c r="K781" s="2"/>
      <c r="L781" s="2"/>
    </row>
    <row r="782" ht="15.75" customHeight="1">
      <c r="A782" s="2"/>
      <c r="C782" s="2"/>
      <c r="D782" s="2"/>
      <c r="E782" s="2"/>
      <c r="F782" s="2"/>
      <c r="K782" s="2"/>
      <c r="L782" s="2"/>
    </row>
    <row r="783" ht="15.75" customHeight="1">
      <c r="A783" s="2"/>
      <c r="C783" s="2"/>
      <c r="D783" s="2"/>
      <c r="E783" s="2"/>
      <c r="F783" s="2"/>
      <c r="K783" s="2"/>
      <c r="L783" s="2"/>
    </row>
    <row r="784" ht="15.75" customHeight="1">
      <c r="A784" s="2"/>
      <c r="C784" s="2"/>
      <c r="D784" s="2"/>
      <c r="E784" s="2"/>
      <c r="F784" s="2"/>
      <c r="K784" s="2"/>
      <c r="L784" s="2"/>
    </row>
    <row r="785" ht="15.75" customHeight="1">
      <c r="A785" s="2"/>
      <c r="C785" s="2"/>
      <c r="D785" s="2"/>
      <c r="E785" s="2"/>
      <c r="F785" s="2"/>
      <c r="K785" s="2"/>
      <c r="L785" s="2"/>
    </row>
    <row r="786" ht="15.75" customHeight="1">
      <c r="A786" s="2"/>
      <c r="C786" s="2"/>
      <c r="D786" s="2"/>
      <c r="E786" s="2"/>
      <c r="F786" s="2"/>
      <c r="K786" s="2"/>
      <c r="L786" s="2"/>
    </row>
    <row r="787" ht="15.75" customHeight="1">
      <c r="A787" s="2"/>
      <c r="C787" s="2"/>
      <c r="D787" s="2"/>
      <c r="E787" s="2"/>
      <c r="F787" s="2"/>
      <c r="K787" s="2"/>
      <c r="L787" s="2"/>
    </row>
    <row r="788" ht="15.75" customHeight="1">
      <c r="A788" s="2"/>
      <c r="C788" s="2"/>
      <c r="D788" s="2"/>
      <c r="E788" s="2"/>
      <c r="F788" s="2"/>
      <c r="K788" s="2"/>
      <c r="L788" s="2"/>
    </row>
    <row r="789" ht="15.75" customHeight="1">
      <c r="A789" s="2"/>
      <c r="C789" s="2"/>
      <c r="D789" s="2"/>
      <c r="E789" s="2"/>
      <c r="F789" s="2"/>
      <c r="K789" s="2"/>
      <c r="L789" s="2"/>
    </row>
    <row r="790" ht="15.75" customHeight="1">
      <c r="A790" s="2"/>
      <c r="C790" s="2"/>
      <c r="D790" s="2"/>
      <c r="E790" s="2"/>
      <c r="F790" s="2"/>
      <c r="K790" s="2"/>
      <c r="L790" s="2"/>
    </row>
    <row r="791" ht="15.75" customHeight="1">
      <c r="A791" s="2"/>
      <c r="C791" s="2"/>
      <c r="D791" s="2"/>
      <c r="E791" s="2"/>
      <c r="F791" s="2"/>
      <c r="K791" s="2"/>
      <c r="L791" s="2"/>
    </row>
    <row r="792" ht="15.75" customHeight="1">
      <c r="A792" s="2"/>
      <c r="C792" s="2"/>
      <c r="D792" s="2"/>
      <c r="E792" s="2"/>
      <c r="F792" s="2"/>
      <c r="K792" s="2"/>
      <c r="L792" s="2"/>
    </row>
    <row r="793" ht="15.75" customHeight="1">
      <c r="A793" s="2"/>
      <c r="C793" s="2"/>
      <c r="D793" s="2"/>
      <c r="E793" s="2"/>
      <c r="F793" s="2"/>
      <c r="K793" s="2"/>
      <c r="L793" s="2"/>
    </row>
    <row r="794" ht="15.75" customHeight="1">
      <c r="A794" s="2"/>
      <c r="C794" s="2"/>
      <c r="D794" s="2"/>
      <c r="E794" s="2"/>
      <c r="F794" s="2"/>
      <c r="K794" s="2"/>
      <c r="L794" s="2"/>
    </row>
    <row r="795" ht="15.75" customHeight="1">
      <c r="A795" s="2"/>
      <c r="C795" s="2"/>
      <c r="D795" s="2"/>
      <c r="E795" s="2"/>
      <c r="F795" s="2"/>
      <c r="K795" s="2"/>
      <c r="L795" s="2"/>
    </row>
    <row r="796" ht="15.75" customHeight="1">
      <c r="A796" s="2"/>
      <c r="C796" s="2"/>
      <c r="D796" s="2"/>
      <c r="E796" s="2"/>
      <c r="F796" s="2"/>
      <c r="K796" s="2"/>
      <c r="L796" s="2"/>
    </row>
    <row r="797" ht="15.75" customHeight="1">
      <c r="A797" s="2"/>
      <c r="C797" s="2"/>
      <c r="D797" s="2"/>
      <c r="E797" s="2"/>
      <c r="F797" s="2"/>
      <c r="K797" s="2"/>
      <c r="L797" s="2"/>
    </row>
    <row r="798" ht="15.75" customHeight="1">
      <c r="A798" s="2"/>
      <c r="C798" s="2"/>
      <c r="D798" s="2"/>
      <c r="E798" s="2"/>
      <c r="F798" s="2"/>
      <c r="K798" s="2"/>
      <c r="L798" s="2"/>
    </row>
    <row r="799" ht="15.75" customHeight="1">
      <c r="A799" s="2"/>
      <c r="C799" s="2"/>
      <c r="D799" s="2"/>
      <c r="E799" s="2"/>
      <c r="F799" s="2"/>
      <c r="K799" s="2"/>
      <c r="L799" s="2"/>
    </row>
    <row r="800" ht="15.75" customHeight="1">
      <c r="A800" s="2"/>
      <c r="C800" s="2"/>
      <c r="D800" s="2"/>
      <c r="E800" s="2"/>
      <c r="F800" s="2"/>
      <c r="K800" s="2"/>
      <c r="L800" s="2"/>
    </row>
    <row r="801" ht="15.75" customHeight="1">
      <c r="A801" s="2"/>
      <c r="C801" s="2"/>
      <c r="D801" s="2"/>
      <c r="E801" s="2"/>
      <c r="F801" s="2"/>
      <c r="K801" s="2"/>
      <c r="L801" s="2"/>
    </row>
    <row r="802" ht="15.75" customHeight="1">
      <c r="A802" s="2"/>
      <c r="C802" s="2"/>
      <c r="D802" s="2"/>
      <c r="E802" s="2"/>
      <c r="F802" s="2"/>
      <c r="K802" s="2"/>
      <c r="L802" s="2"/>
    </row>
    <row r="803" ht="15.75" customHeight="1">
      <c r="A803" s="2"/>
      <c r="C803" s="2"/>
      <c r="D803" s="2"/>
      <c r="E803" s="2"/>
      <c r="F803" s="2"/>
      <c r="K803" s="2"/>
      <c r="L803" s="2"/>
    </row>
    <row r="804" ht="15.75" customHeight="1">
      <c r="A804" s="2"/>
      <c r="C804" s="2"/>
      <c r="D804" s="2"/>
      <c r="E804" s="2"/>
      <c r="F804" s="2"/>
      <c r="K804" s="2"/>
      <c r="L804" s="2"/>
    </row>
    <row r="805" ht="15.75" customHeight="1">
      <c r="A805" s="2"/>
      <c r="C805" s="2"/>
      <c r="D805" s="2"/>
      <c r="E805" s="2"/>
      <c r="F805" s="2"/>
      <c r="K805" s="2"/>
      <c r="L805" s="2"/>
    </row>
    <row r="806" ht="15.75" customHeight="1">
      <c r="A806" s="2"/>
      <c r="C806" s="2"/>
      <c r="D806" s="2"/>
      <c r="E806" s="2"/>
      <c r="F806" s="2"/>
      <c r="K806" s="2"/>
      <c r="L806" s="2"/>
    </row>
    <row r="807" ht="15.75" customHeight="1">
      <c r="A807" s="2"/>
      <c r="C807" s="2"/>
      <c r="D807" s="2"/>
      <c r="E807" s="2"/>
      <c r="F807" s="2"/>
      <c r="K807" s="2"/>
      <c r="L807" s="2"/>
    </row>
    <row r="808" ht="15.75" customHeight="1">
      <c r="A808" s="2"/>
      <c r="C808" s="2"/>
      <c r="D808" s="2"/>
      <c r="E808" s="2"/>
      <c r="F808" s="2"/>
      <c r="K808" s="2"/>
      <c r="L808" s="2"/>
    </row>
    <row r="809" ht="15.75" customHeight="1">
      <c r="A809" s="2"/>
      <c r="C809" s="2"/>
      <c r="D809" s="2"/>
      <c r="E809" s="2"/>
      <c r="F809" s="2"/>
      <c r="K809" s="2"/>
      <c r="L809" s="2"/>
    </row>
    <row r="810" ht="15.75" customHeight="1">
      <c r="A810" s="2"/>
      <c r="C810" s="2"/>
      <c r="D810" s="2"/>
      <c r="E810" s="2"/>
      <c r="F810" s="2"/>
      <c r="K810" s="2"/>
      <c r="L810" s="2"/>
    </row>
    <row r="811" ht="15.75" customHeight="1">
      <c r="A811" s="2"/>
      <c r="C811" s="2"/>
      <c r="D811" s="2"/>
      <c r="E811" s="2"/>
      <c r="F811" s="2"/>
      <c r="K811" s="2"/>
      <c r="L811" s="2"/>
    </row>
    <row r="812" ht="15.75" customHeight="1">
      <c r="A812" s="2"/>
      <c r="C812" s="2"/>
      <c r="D812" s="2"/>
      <c r="E812" s="2"/>
      <c r="F812" s="2"/>
      <c r="K812" s="2"/>
      <c r="L812" s="2"/>
    </row>
    <row r="813" ht="15.75" customHeight="1">
      <c r="A813" s="2"/>
      <c r="C813" s="2"/>
      <c r="D813" s="2"/>
      <c r="E813" s="2"/>
      <c r="F813" s="2"/>
      <c r="K813" s="2"/>
      <c r="L813" s="2"/>
    </row>
    <row r="814" ht="15.75" customHeight="1">
      <c r="A814" s="2"/>
      <c r="C814" s="2"/>
      <c r="D814" s="2"/>
      <c r="E814" s="2"/>
      <c r="F814" s="2"/>
      <c r="K814" s="2"/>
      <c r="L814" s="2"/>
    </row>
    <row r="815" ht="15.75" customHeight="1">
      <c r="A815" s="2"/>
      <c r="C815" s="2"/>
      <c r="D815" s="2"/>
      <c r="E815" s="2"/>
      <c r="F815" s="2"/>
      <c r="K815" s="2"/>
      <c r="L815" s="2"/>
    </row>
    <row r="816" ht="15.75" customHeight="1">
      <c r="A816" s="2"/>
      <c r="C816" s="2"/>
      <c r="D816" s="2"/>
      <c r="E816" s="2"/>
      <c r="F816" s="2"/>
      <c r="K816" s="2"/>
      <c r="L816" s="2"/>
    </row>
    <row r="817" ht="15.75" customHeight="1">
      <c r="A817" s="2"/>
      <c r="C817" s="2"/>
      <c r="D817" s="2"/>
      <c r="E817" s="2"/>
      <c r="F817" s="2"/>
      <c r="K817" s="2"/>
      <c r="L817" s="2"/>
    </row>
    <row r="818" ht="15.75" customHeight="1">
      <c r="A818" s="2"/>
      <c r="C818" s="2"/>
      <c r="D818" s="2"/>
      <c r="E818" s="2"/>
      <c r="F818" s="2"/>
      <c r="K818" s="2"/>
      <c r="L818" s="2"/>
    </row>
    <row r="819" ht="15.75" customHeight="1">
      <c r="A819" s="2"/>
      <c r="C819" s="2"/>
      <c r="D819" s="2"/>
      <c r="E819" s="2"/>
      <c r="F819" s="2"/>
      <c r="K819" s="2"/>
      <c r="L819" s="2"/>
    </row>
    <row r="820" ht="15.75" customHeight="1">
      <c r="A820" s="2"/>
      <c r="C820" s="2"/>
      <c r="D820" s="2"/>
      <c r="E820" s="2"/>
      <c r="F820" s="2"/>
      <c r="K820" s="2"/>
      <c r="L820" s="2"/>
    </row>
    <row r="821" ht="15.75" customHeight="1">
      <c r="A821" s="2"/>
      <c r="C821" s="2"/>
      <c r="D821" s="2"/>
      <c r="E821" s="2"/>
      <c r="F821" s="2"/>
      <c r="K821" s="2"/>
      <c r="L821" s="2"/>
    </row>
    <row r="822" ht="15.75" customHeight="1">
      <c r="A822" s="2"/>
      <c r="C822" s="2"/>
      <c r="D822" s="2"/>
      <c r="E822" s="2"/>
      <c r="F822" s="2"/>
      <c r="K822" s="2"/>
      <c r="L822" s="2"/>
    </row>
    <row r="823" ht="15.75" customHeight="1">
      <c r="A823" s="2"/>
      <c r="C823" s="2"/>
      <c r="D823" s="2"/>
      <c r="E823" s="2"/>
      <c r="F823" s="2"/>
      <c r="K823" s="2"/>
      <c r="L823" s="2"/>
    </row>
    <row r="824" ht="15.75" customHeight="1">
      <c r="A824" s="2"/>
      <c r="C824" s="2"/>
      <c r="D824" s="2"/>
      <c r="E824" s="2"/>
      <c r="F824" s="2"/>
      <c r="K824" s="2"/>
      <c r="L824" s="2"/>
    </row>
    <row r="825" ht="15.75" customHeight="1">
      <c r="A825" s="2"/>
      <c r="C825" s="2"/>
      <c r="D825" s="2"/>
      <c r="E825" s="2"/>
      <c r="F825" s="2"/>
      <c r="K825" s="2"/>
      <c r="L825" s="2"/>
    </row>
    <row r="826" ht="15.75" customHeight="1">
      <c r="A826" s="2"/>
      <c r="C826" s="2"/>
      <c r="D826" s="2"/>
      <c r="E826" s="2"/>
      <c r="F826" s="2"/>
      <c r="K826" s="2"/>
      <c r="L826" s="2"/>
    </row>
    <row r="827" ht="15.75" customHeight="1">
      <c r="A827" s="2"/>
      <c r="C827" s="2"/>
      <c r="D827" s="2"/>
      <c r="E827" s="2"/>
      <c r="F827" s="2"/>
      <c r="K827" s="2"/>
      <c r="L827" s="2"/>
    </row>
    <row r="828" ht="15.75" customHeight="1">
      <c r="A828" s="2"/>
      <c r="C828" s="2"/>
      <c r="D828" s="2"/>
      <c r="E828" s="2"/>
      <c r="F828" s="2"/>
      <c r="K828" s="2"/>
      <c r="L828" s="2"/>
    </row>
    <row r="829" ht="15.75" customHeight="1">
      <c r="A829" s="2"/>
      <c r="C829" s="2"/>
      <c r="D829" s="2"/>
      <c r="E829" s="2"/>
      <c r="F829" s="2"/>
      <c r="K829" s="2"/>
      <c r="L829" s="2"/>
    </row>
    <row r="830" ht="15.75" customHeight="1">
      <c r="A830" s="2"/>
      <c r="C830" s="2"/>
      <c r="D830" s="2"/>
      <c r="E830" s="2"/>
      <c r="F830" s="2"/>
      <c r="K830" s="2"/>
      <c r="L830" s="2"/>
    </row>
    <row r="831" ht="15.75" customHeight="1">
      <c r="A831" s="2"/>
      <c r="C831" s="2"/>
      <c r="D831" s="2"/>
      <c r="E831" s="2"/>
      <c r="F831" s="2"/>
      <c r="K831" s="2"/>
      <c r="L831" s="2"/>
    </row>
    <row r="832" ht="15.75" customHeight="1">
      <c r="A832" s="2"/>
      <c r="C832" s="2"/>
      <c r="D832" s="2"/>
      <c r="E832" s="2"/>
      <c r="F832" s="2"/>
      <c r="K832" s="2"/>
      <c r="L832" s="2"/>
    </row>
    <row r="833" ht="15.75" customHeight="1">
      <c r="A833" s="2"/>
      <c r="C833" s="2"/>
      <c r="D833" s="2"/>
      <c r="E833" s="2"/>
      <c r="F833" s="2"/>
      <c r="K833" s="2"/>
      <c r="L833" s="2"/>
    </row>
    <row r="834" ht="15.75" customHeight="1">
      <c r="A834" s="2"/>
      <c r="C834" s="2"/>
      <c r="D834" s="2"/>
      <c r="E834" s="2"/>
      <c r="F834" s="2"/>
      <c r="K834" s="2"/>
      <c r="L834" s="2"/>
    </row>
    <row r="835" ht="15.75" customHeight="1">
      <c r="A835" s="2"/>
      <c r="C835" s="2"/>
      <c r="D835" s="2"/>
      <c r="E835" s="2"/>
      <c r="F835" s="2"/>
      <c r="K835" s="2"/>
      <c r="L835" s="2"/>
    </row>
    <row r="836" ht="15.75" customHeight="1">
      <c r="A836" s="2"/>
      <c r="C836" s="2"/>
      <c r="D836" s="2"/>
      <c r="E836" s="2"/>
      <c r="F836" s="2"/>
      <c r="K836" s="2"/>
      <c r="L836" s="2"/>
    </row>
    <row r="837" ht="15.75" customHeight="1">
      <c r="A837" s="2"/>
      <c r="C837" s="2"/>
      <c r="D837" s="2"/>
      <c r="E837" s="2"/>
      <c r="F837" s="2"/>
      <c r="K837" s="2"/>
      <c r="L837" s="2"/>
    </row>
    <row r="838" ht="15.75" customHeight="1">
      <c r="A838" s="2"/>
      <c r="C838" s="2"/>
      <c r="D838" s="2"/>
      <c r="E838" s="2"/>
      <c r="F838" s="2"/>
      <c r="K838" s="2"/>
      <c r="L838" s="2"/>
    </row>
    <row r="839" ht="15.75" customHeight="1">
      <c r="A839" s="2"/>
      <c r="C839" s="2"/>
      <c r="D839" s="2"/>
      <c r="E839" s="2"/>
      <c r="F839" s="2"/>
      <c r="K839" s="2"/>
      <c r="L839" s="2"/>
    </row>
    <row r="840" ht="15.75" customHeight="1">
      <c r="A840" s="2"/>
      <c r="C840" s="2"/>
      <c r="D840" s="2"/>
      <c r="E840" s="2"/>
      <c r="F840" s="2"/>
      <c r="K840" s="2"/>
      <c r="L840" s="2"/>
    </row>
    <row r="841" ht="15.75" customHeight="1">
      <c r="A841" s="2"/>
      <c r="C841" s="2"/>
      <c r="D841" s="2"/>
      <c r="E841" s="2"/>
      <c r="F841" s="2"/>
      <c r="K841" s="2"/>
      <c r="L841" s="2"/>
    </row>
    <row r="842" ht="15.75" customHeight="1">
      <c r="A842" s="2"/>
      <c r="C842" s="2"/>
      <c r="D842" s="2"/>
      <c r="E842" s="2"/>
      <c r="F842" s="2"/>
      <c r="K842" s="2"/>
      <c r="L842" s="2"/>
    </row>
    <row r="843" ht="15.75" customHeight="1">
      <c r="A843" s="2"/>
      <c r="C843" s="2"/>
      <c r="D843" s="2"/>
      <c r="E843" s="2"/>
      <c r="F843" s="2"/>
      <c r="K843" s="2"/>
      <c r="L843" s="2"/>
    </row>
    <row r="844" ht="15.75" customHeight="1">
      <c r="A844" s="2"/>
      <c r="C844" s="2"/>
      <c r="D844" s="2"/>
      <c r="E844" s="2"/>
      <c r="F844" s="2"/>
      <c r="K844" s="2"/>
      <c r="L844" s="2"/>
    </row>
    <row r="845" ht="15.75" customHeight="1">
      <c r="A845" s="2"/>
      <c r="C845" s="2"/>
      <c r="D845" s="2"/>
      <c r="E845" s="2"/>
      <c r="F845" s="2"/>
      <c r="K845" s="2"/>
      <c r="L845" s="2"/>
    </row>
    <row r="846" ht="15.75" customHeight="1">
      <c r="A846" s="2"/>
      <c r="C846" s="2"/>
      <c r="D846" s="2"/>
      <c r="E846" s="2"/>
      <c r="F846" s="2"/>
      <c r="K846" s="2"/>
      <c r="L846" s="2"/>
    </row>
    <row r="847" ht="15.75" customHeight="1">
      <c r="A847" s="2"/>
      <c r="C847" s="2"/>
      <c r="D847" s="2"/>
      <c r="E847" s="2"/>
      <c r="F847" s="2"/>
      <c r="K847" s="2"/>
      <c r="L847" s="2"/>
    </row>
    <row r="848" ht="15.75" customHeight="1">
      <c r="A848" s="2"/>
      <c r="C848" s="2"/>
      <c r="D848" s="2"/>
      <c r="E848" s="2"/>
      <c r="F848" s="2"/>
      <c r="K848" s="2"/>
      <c r="L848" s="2"/>
    </row>
    <row r="849" ht="15.75" customHeight="1">
      <c r="A849" s="2"/>
      <c r="C849" s="2"/>
      <c r="D849" s="2"/>
      <c r="E849" s="2"/>
      <c r="F849" s="2"/>
      <c r="K849" s="2"/>
      <c r="L849" s="2"/>
    </row>
    <row r="850" ht="15.75" customHeight="1">
      <c r="A850" s="2"/>
      <c r="C850" s="2"/>
      <c r="D850" s="2"/>
      <c r="E850" s="2"/>
      <c r="F850" s="2"/>
      <c r="K850" s="2"/>
      <c r="L850" s="2"/>
    </row>
    <row r="851" ht="15.75" customHeight="1">
      <c r="A851" s="2"/>
      <c r="C851" s="2"/>
      <c r="D851" s="2"/>
      <c r="E851" s="2"/>
      <c r="F851" s="2"/>
      <c r="K851" s="2"/>
      <c r="L851" s="2"/>
    </row>
    <row r="852" ht="15.75" customHeight="1">
      <c r="A852" s="2"/>
      <c r="C852" s="2"/>
      <c r="D852" s="2"/>
      <c r="E852" s="2"/>
      <c r="F852" s="2"/>
      <c r="K852" s="2"/>
      <c r="L852" s="2"/>
    </row>
    <row r="853" ht="15.75" customHeight="1">
      <c r="A853" s="2"/>
      <c r="C853" s="2"/>
      <c r="D853" s="2"/>
      <c r="E853" s="2"/>
      <c r="F853" s="2"/>
      <c r="K853" s="2"/>
      <c r="L853" s="2"/>
    </row>
    <row r="854" ht="15.75" customHeight="1">
      <c r="A854" s="2"/>
      <c r="C854" s="2"/>
      <c r="D854" s="2"/>
      <c r="E854" s="2"/>
      <c r="F854" s="2"/>
      <c r="K854" s="2"/>
      <c r="L854" s="2"/>
    </row>
    <row r="855" ht="15.75" customHeight="1">
      <c r="A855" s="2"/>
      <c r="C855" s="2"/>
      <c r="D855" s="2"/>
      <c r="E855" s="2"/>
      <c r="F855" s="2"/>
      <c r="K855" s="2"/>
      <c r="L855" s="2"/>
    </row>
    <row r="856" ht="15.75" customHeight="1">
      <c r="A856" s="2"/>
      <c r="C856" s="2"/>
      <c r="D856" s="2"/>
      <c r="E856" s="2"/>
      <c r="F856" s="2"/>
      <c r="K856" s="2"/>
      <c r="L856" s="2"/>
    </row>
    <row r="857" ht="15.75" customHeight="1">
      <c r="A857" s="2"/>
      <c r="C857" s="2"/>
      <c r="D857" s="2"/>
      <c r="E857" s="2"/>
      <c r="F857" s="2"/>
      <c r="K857" s="2"/>
      <c r="L857" s="2"/>
    </row>
    <row r="858" ht="15.75" customHeight="1">
      <c r="A858" s="2"/>
      <c r="C858" s="2"/>
      <c r="D858" s="2"/>
      <c r="E858" s="2"/>
      <c r="F858" s="2"/>
      <c r="K858" s="2"/>
      <c r="L858" s="2"/>
    </row>
    <row r="859" ht="15.75" customHeight="1">
      <c r="A859" s="2"/>
      <c r="C859" s="2"/>
      <c r="D859" s="2"/>
      <c r="E859" s="2"/>
      <c r="F859" s="2"/>
      <c r="K859" s="2"/>
      <c r="L859" s="2"/>
    </row>
    <row r="860" ht="15.75" customHeight="1">
      <c r="A860" s="2"/>
      <c r="C860" s="2"/>
      <c r="D860" s="2"/>
      <c r="E860" s="2"/>
      <c r="F860" s="2"/>
      <c r="K860" s="2"/>
      <c r="L860" s="2"/>
    </row>
    <row r="861" ht="15.75" customHeight="1">
      <c r="A861" s="2"/>
      <c r="C861" s="2"/>
      <c r="D861" s="2"/>
      <c r="E861" s="2"/>
      <c r="F861" s="2"/>
      <c r="K861" s="2"/>
      <c r="L861" s="2"/>
    </row>
    <row r="862" ht="15.75" customHeight="1">
      <c r="A862" s="2"/>
      <c r="C862" s="2"/>
      <c r="D862" s="2"/>
      <c r="E862" s="2"/>
      <c r="F862" s="2"/>
      <c r="K862" s="2"/>
      <c r="L862" s="2"/>
    </row>
    <row r="863" ht="15.75" customHeight="1">
      <c r="A863" s="2"/>
      <c r="C863" s="2"/>
      <c r="D863" s="2"/>
      <c r="E863" s="2"/>
      <c r="F863" s="2"/>
      <c r="K863" s="2"/>
      <c r="L863" s="2"/>
    </row>
    <row r="864" ht="15.75" customHeight="1">
      <c r="A864" s="2"/>
      <c r="C864" s="2"/>
      <c r="D864" s="2"/>
      <c r="E864" s="2"/>
      <c r="F864" s="2"/>
      <c r="K864" s="2"/>
      <c r="L864" s="2"/>
    </row>
    <row r="865" ht="15.75" customHeight="1">
      <c r="A865" s="2"/>
      <c r="C865" s="2"/>
      <c r="D865" s="2"/>
      <c r="E865" s="2"/>
      <c r="F865" s="2"/>
      <c r="K865" s="2"/>
      <c r="L865" s="2"/>
    </row>
    <row r="866" ht="15.75" customHeight="1">
      <c r="A866" s="2"/>
      <c r="C866" s="2"/>
      <c r="D866" s="2"/>
      <c r="E866" s="2"/>
      <c r="F866" s="2"/>
      <c r="K866" s="2"/>
      <c r="L866" s="2"/>
    </row>
    <row r="867" ht="15.75" customHeight="1">
      <c r="A867" s="2"/>
      <c r="C867" s="2"/>
      <c r="D867" s="2"/>
      <c r="E867" s="2"/>
      <c r="F867" s="2"/>
      <c r="K867" s="2"/>
      <c r="L867" s="2"/>
    </row>
    <row r="868" ht="15.75" customHeight="1">
      <c r="A868" s="2"/>
      <c r="C868" s="2"/>
      <c r="D868" s="2"/>
      <c r="E868" s="2"/>
      <c r="F868" s="2"/>
      <c r="K868" s="2"/>
      <c r="L868" s="2"/>
    </row>
    <row r="869" ht="15.75" customHeight="1">
      <c r="A869" s="2"/>
      <c r="C869" s="2"/>
      <c r="D869" s="2"/>
      <c r="E869" s="2"/>
      <c r="F869" s="2"/>
      <c r="K869" s="2"/>
      <c r="L869" s="2"/>
    </row>
    <row r="870" ht="15.75" customHeight="1">
      <c r="A870" s="2"/>
      <c r="C870" s="2"/>
      <c r="D870" s="2"/>
      <c r="E870" s="2"/>
      <c r="F870" s="2"/>
      <c r="K870" s="2"/>
      <c r="L870" s="2"/>
    </row>
    <row r="871" ht="15.75" customHeight="1">
      <c r="A871" s="2"/>
      <c r="C871" s="2"/>
      <c r="D871" s="2"/>
      <c r="E871" s="2"/>
      <c r="F871" s="2"/>
      <c r="K871" s="2"/>
      <c r="L871" s="2"/>
    </row>
    <row r="872" ht="15.75" customHeight="1">
      <c r="A872" s="2"/>
      <c r="C872" s="2"/>
      <c r="D872" s="2"/>
      <c r="E872" s="2"/>
      <c r="F872" s="2"/>
      <c r="K872" s="2"/>
      <c r="L872" s="2"/>
    </row>
    <row r="873" ht="15.75" customHeight="1">
      <c r="A873" s="2"/>
      <c r="C873" s="2"/>
      <c r="D873" s="2"/>
      <c r="E873" s="2"/>
      <c r="F873" s="2"/>
      <c r="K873" s="2"/>
      <c r="L873" s="2"/>
    </row>
    <row r="874" ht="15.75" customHeight="1">
      <c r="A874" s="2"/>
      <c r="C874" s="2"/>
      <c r="D874" s="2"/>
      <c r="E874" s="2"/>
      <c r="F874" s="2"/>
      <c r="K874" s="2"/>
      <c r="L874" s="2"/>
    </row>
    <row r="875" ht="15.75" customHeight="1">
      <c r="A875" s="2"/>
      <c r="C875" s="2"/>
      <c r="D875" s="2"/>
      <c r="E875" s="2"/>
      <c r="F875" s="2"/>
      <c r="K875" s="2"/>
      <c r="L875" s="2"/>
    </row>
    <row r="876" ht="15.75" customHeight="1">
      <c r="A876" s="2"/>
      <c r="C876" s="2"/>
      <c r="D876" s="2"/>
      <c r="E876" s="2"/>
      <c r="F876" s="2"/>
      <c r="K876" s="2"/>
      <c r="L876" s="2"/>
    </row>
    <row r="877" ht="15.75" customHeight="1">
      <c r="A877" s="2"/>
      <c r="C877" s="2"/>
      <c r="D877" s="2"/>
      <c r="E877" s="2"/>
      <c r="F877" s="2"/>
      <c r="K877" s="2"/>
      <c r="L877" s="2"/>
    </row>
    <row r="878" ht="15.75" customHeight="1">
      <c r="A878" s="2"/>
      <c r="C878" s="2"/>
      <c r="D878" s="2"/>
      <c r="E878" s="2"/>
      <c r="F878" s="2"/>
      <c r="K878" s="2"/>
      <c r="L878" s="2"/>
    </row>
    <row r="879" ht="15.75" customHeight="1">
      <c r="A879" s="2"/>
      <c r="C879" s="2"/>
      <c r="D879" s="2"/>
      <c r="E879" s="2"/>
      <c r="F879" s="2"/>
      <c r="K879" s="2"/>
      <c r="L879" s="2"/>
    </row>
    <row r="880" ht="15.75" customHeight="1">
      <c r="A880" s="2"/>
      <c r="C880" s="2"/>
      <c r="D880" s="2"/>
      <c r="E880" s="2"/>
      <c r="F880" s="2"/>
      <c r="K880" s="2"/>
      <c r="L880" s="2"/>
    </row>
    <row r="881" ht="15.75" customHeight="1">
      <c r="A881" s="2"/>
      <c r="C881" s="2"/>
      <c r="D881" s="2"/>
      <c r="E881" s="2"/>
      <c r="F881" s="2"/>
      <c r="K881" s="2"/>
      <c r="L881" s="2"/>
    </row>
    <row r="882" ht="15.75" customHeight="1">
      <c r="A882" s="2"/>
      <c r="C882" s="2"/>
      <c r="D882" s="2"/>
      <c r="E882" s="2"/>
      <c r="F882" s="2"/>
      <c r="K882" s="2"/>
      <c r="L882" s="2"/>
    </row>
    <row r="883" ht="15.75" customHeight="1">
      <c r="A883" s="2"/>
      <c r="C883" s="2"/>
      <c r="D883" s="2"/>
      <c r="E883" s="2"/>
      <c r="F883" s="2"/>
      <c r="K883" s="2"/>
      <c r="L883" s="2"/>
    </row>
    <row r="884" ht="15.75" customHeight="1">
      <c r="A884" s="2"/>
      <c r="C884" s="2"/>
      <c r="D884" s="2"/>
      <c r="E884" s="2"/>
      <c r="F884" s="2"/>
      <c r="K884" s="2"/>
      <c r="L884" s="2"/>
    </row>
    <row r="885" ht="15.75" customHeight="1">
      <c r="A885" s="2"/>
      <c r="C885" s="2"/>
      <c r="D885" s="2"/>
      <c r="E885" s="2"/>
      <c r="F885" s="2"/>
      <c r="K885" s="2"/>
      <c r="L885" s="2"/>
    </row>
    <row r="886" ht="15.75" customHeight="1">
      <c r="A886" s="2"/>
      <c r="C886" s="2"/>
      <c r="D886" s="2"/>
      <c r="E886" s="2"/>
      <c r="F886" s="2"/>
      <c r="K886" s="2"/>
      <c r="L886" s="2"/>
    </row>
    <row r="887" ht="15.75" customHeight="1">
      <c r="A887" s="2"/>
      <c r="C887" s="2"/>
      <c r="D887" s="2"/>
      <c r="E887" s="2"/>
      <c r="F887" s="2"/>
      <c r="K887" s="2"/>
      <c r="L887" s="2"/>
    </row>
    <row r="888" ht="15.75" customHeight="1">
      <c r="A888" s="2"/>
      <c r="C888" s="2"/>
      <c r="D888" s="2"/>
      <c r="E888" s="2"/>
      <c r="F888" s="2"/>
      <c r="K888" s="2"/>
      <c r="L888" s="2"/>
    </row>
    <row r="889" ht="15.75" customHeight="1">
      <c r="A889" s="2"/>
      <c r="C889" s="2"/>
      <c r="D889" s="2"/>
      <c r="E889" s="2"/>
      <c r="F889" s="2"/>
      <c r="K889" s="2"/>
      <c r="L889" s="2"/>
    </row>
    <row r="890" ht="15.75" customHeight="1">
      <c r="A890" s="2"/>
      <c r="C890" s="2"/>
      <c r="D890" s="2"/>
      <c r="E890" s="2"/>
      <c r="F890" s="2"/>
      <c r="K890" s="2"/>
      <c r="L890" s="2"/>
    </row>
    <row r="891" ht="15.75" customHeight="1">
      <c r="A891" s="2"/>
      <c r="C891" s="2"/>
      <c r="D891" s="2"/>
      <c r="E891" s="2"/>
      <c r="F891" s="2"/>
      <c r="K891" s="2"/>
      <c r="L891" s="2"/>
    </row>
    <row r="892" ht="15.75" customHeight="1">
      <c r="A892" s="2"/>
      <c r="C892" s="2"/>
      <c r="D892" s="2"/>
      <c r="E892" s="2"/>
      <c r="F892" s="2"/>
      <c r="K892" s="2"/>
      <c r="L892" s="2"/>
    </row>
    <row r="893" ht="15.75" customHeight="1">
      <c r="A893" s="2"/>
      <c r="C893" s="2"/>
      <c r="D893" s="2"/>
      <c r="E893" s="2"/>
      <c r="F893" s="2"/>
      <c r="K893" s="2"/>
      <c r="L893" s="2"/>
    </row>
    <row r="894" ht="15.75" customHeight="1">
      <c r="A894" s="2"/>
      <c r="C894" s="2"/>
      <c r="D894" s="2"/>
      <c r="E894" s="2"/>
      <c r="F894" s="2"/>
      <c r="K894" s="2"/>
      <c r="L894" s="2"/>
    </row>
    <row r="895" ht="15.75" customHeight="1">
      <c r="A895" s="2"/>
      <c r="C895" s="2"/>
      <c r="D895" s="2"/>
      <c r="E895" s="2"/>
      <c r="F895" s="2"/>
      <c r="K895" s="2"/>
      <c r="L895" s="2"/>
    </row>
    <row r="896" ht="15.75" customHeight="1">
      <c r="A896" s="2"/>
      <c r="C896" s="2"/>
      <c r="D896" s="2"/>
      <c r="E896" s="2"/>
      <c r="F896" s="2"/>
      <c r="K896" s="2"/>
      <c r="L896" s="2"/>
    </row>
    <row r="897" ht="15.75" customHeight="1">
      <c r="A897" s="2"/>
      <c r="C897" s="2"/>
      <c r="D897" s="2"/>
      <c r="E897" s="2"/>
      <c r="F897" s="2"/>
      <c r="K897" s="2"/>
      <c r="L897" s="2"/>
    </row>
    <row r="898" ht="15.75" customHeight="1">
      <c r="A898" s="2"/>
      <c r="C898" s="2"/>
      <c r="D898" s="2"/>
      <c r="E898" s="2"/>
      <c r="F898" s="2"/>
      <c r="K898" s="2"/>
      <c r="L898" s="2"/>
    </row>
    <row r="899" ht="15.75" customHeight="1">
      <c r="A899" s="2"/>
      <c r="C899" s="2"/>
      <c r="D899" s="2"/>
      <c r="E899" s="2"/>
      <c r="F899" s="2"/>
      <c r="K899" s="2"/>
      <c r="L899" s="2"/>
    </row>
    <row r="900" ht="15.75" customHeight="1">
      <c r="A900" s="2"/>
      <c r="C900" s="2"/>
      <c r="D900" s="2"/>
      <c r="E900" s="2"/>
      <c r="F900" s="2"/>
      <c r="K900" s="2"/>
      <c r="L900" s="2"/>
    </row>
    <row r="901" ht="15.75" customHeight="1">
      <c r="A901" s="2"/>
      <c r="C901" s="2"/>
      <c r="D901" s="2"/>
      <c r="E901" s="2"/>
      <c r="F901" s="2"/>
      <c r="K901" s="2"/>
      <c r="L901" s="2"/>
    </row>
    <row r="902" ht="15.75" customHeight="1">
      <c r="A902" s="2"/>
      <c r="C902" s="2"/>
      <c r="D902" s="2"/>
      <c r="E902" s="2"/>
      <c r="F902" s="2"/>
      <c r="K902" s="2"/>
      <c r="L902" s="2"/>
    </row>
    <row r="903" ht="15.75" customHeight="1">
      <c r="A903" s="2"/>
      <c r="C903" s="2"/>
      <c r="D903" s="2"/>
      <c r="E903" s="2"/>
      <c r="F903" s="2"/>
      <c r="K903" s="2"/>
      <c r="L903" s="2"/>
    </row>
    <row r="904" ht="15.75" customHeight="1">
      <c r="A904" s="2"/>
      <c r="C904" s="2"/>
      <c r="D904" s="2"/>
      <c r="E904" s="2"/>
      <c r="F904" s="2"/>
      <c r="K904" s="2"/>
      <c r="L904" s="2"/>
    </row>
    <row r="905" ht="15.75" customHeight="1">
      <c r="A905" s="2"/>
      <c r="C905" s="2"/>
      <c r="D905" s="2"/>
      <c r="E905" s="2"/>
      <c r="F905" s="2"/>
      <c r="K905" s="2"/>
      <c r="L905" s="2"/>
    </row>
    <row r="906" ht="15.75" customHeight="1">
      <c r="A906" s="2"/>
      <c r="C906" s="2"/>
      <c r="D906" s="2"/>
      <c r="E906" s="2"/>
      <c r="F906" s="2"/>
      <c r="K906" s="2"/>
      <c r="L906" s="2"/>
    </row>
    <row r="907" ht="15.75" customHeight="1">
      <c r="A907" s="2"/>
      <c r="C907" s="2"/>
      <c r="D907" s="2"/>
      <c r="E907" s="2"/>
      <c r="F907" s="2"/>
      <c r="K907" s="2"/>
      <c r="L907" s="2"/>
    </row>
    <row r="908" ht="15.75" customHeight="1">
      <c r="A908" s="2"/>
      <c r="C908" s="2"/>
      <c r="D908" s="2"/>
      <c r="E908" s="2"/>
      <c r="F908" s="2"/>
      <c r="K908" s="2"/>
      <c r="L908" s="2"/>
    </row>
    <row r="909" ht="15.75" customHeight="1">
      <c r="A909" s="2"/>
      <c r="C909" s="2"/>
      <c r="D909" s="2"/>
      <c r="E909" s="2"/>
      <c r="F909" s="2"/>
      <c r="K909" s="2"/>
      <c r="L909" s="2"/>
    </row>
    <row r="910" ht="15.75" customHeight="1">
      <c r="A910" s="2"/>
      <c r="C910" s="2"/>
      <c r="D910" s="2"/>
      <c r="E910" s="2"/>
      <c r="F910" s="2"/>
      <c r="K910" s="2"/>
      <c r="L910" s="2"/>
    </row>
    <row r="911" ht="15.75" customHeight="1">
      <c r="A911" s="2"/>
      <c r="C911" s="2"/>
      <c r="D911" s="2"/>
      <c r="E911" s="2"/>
      <c r="F911" s="2"/>
      <c r="K911" s="2"/>
      <c r="L911" s="2"/>
    </row>
    <row r="912" ht="15.75" customHeight="1">
      <c r="A912" s="2"/>
      <c r="C912" s="2"/>
      <c r="D912" s="2"/>
      <c r="E912" s="2"/>
      <c r="F912" s="2"/>
      <c r="K912" s="2"/>
      <c r="L912" s="2"/>
    </row>
    <row r="913" ht="15.75" customHeight="1">
      <c r="A913" s="2"/>
      <c r="C913" s="2"/>
      <c r="D913" s="2"/>
      <c r="E913" s="2"/>
      <c r="F913" s="2"/>
      <c r="K913" s="2"/>
      <c r="L913" s="2"/>
    </row>
    <row r="914" ht="15.75" customHeight="1">
      <c r="A914" s="2"/>
      <c r="C914" s="2"/>
      <c r="D914" s="2"/>
      <c r="E914" s="2"/>
      <c r="F914" s="2"/>
      <c r="K914" s="2"/>
      <c r="L914" s="2"/>
    </row>
    <row r="915" ht="15.75" customHeight="1">
      <c r="A915" s="2"/>
      <c r="C915" s="2"/>
      <c r="D915" s="2"/>
      <c r="E915" s="2"/>
      <c r="F915" s="2"/>
      <c r="K915" s="2"/>
      <c r="L915" s="2"/>
    </row>
    <row r="916" ht="15.75" customHeight="1">
      <c r="A916" s="2"/>
      <c r="C916" s="2"/>
      <c r="D916" s="2"/>
      <c r="E916" s="2"/>
      <c r="F916" s="2"/>
      <c r="K916" s="2"/>
      <c r="L916" s="2"/>
    </row>
    <row r="917" ht="15.75" customHeight="1">
      <c r="A917" s="2"/>
      <c r="C917" s="2"/>
      <c r="D917" s="2"/>
      <c r="E917" s="2"/>
      <c r="F917" s="2"/>
      <c r="K917" s="2"/>
      <c r="L917" s="2"/>
    </row>
    <row r="918" ht="15.75" customHeight="1">
      <c r="A918" s="2"/>
      <c r="C918" s="2"/>
      <c r="D918" s="2"/>
      <c r="E918" s="2"/>
      <c r="F918" s="2"/>
      <c r="K918" s="2"/>
      <c r="L918" s="2"/>
    </row>
    <row r="919" ht="15.75" customHeight="1">
      <c r="A919" s="2"/>
      <c r="C919" s="2"/>
      <c r="D919" s="2"/>
      <c r="E919" s="2"/>
      <c r="F919" s="2"/>
      <c r="K919" s="2"/>
      <c r="L919" s="2"/>
    </row>
    <row r="920" ht="15.75" customHeight="1">
      <c r="A920" s="2"/>
      <c r="C920" s="2"/>
      <c r="D920" s="2"/>
      <c r="E920" s="2"/>
      <c r="F920" s="2"/>
      <c r="K920" s="2"/>
      <c r="L920" s="2"/>
    </row>
    <row r="921" ht="15.75" customHeight="1">
      <c r="A921" s="2"/>
      <c r="C921" s="2"/>
      <c r="D921" s="2"/>
      <c r="E921" s="2"/>
      <c r="F921" s="2"/>
      <c r="K921" s="2"/>
      <c r="L921" s="2"/>
    </row>
    <row r="922" ht="15.75" customHeight="1">
      <c r="A922" s="2"/>
      <c r="C922" s="2"/>
      <c r="D922" s="2"/>
      <c r="E922" s="2"/>
      <c r="F922" s="2"/>
      <c r="K922" s="2"/>
      <c r="L922" s="2"/>
    </row>
    <row r="923" ht="15.75" customHeight="1">
      <c r="A923" s="2"/>
      <c r="C923" s="2"/>
      <c r="D923" s="2"/>
      <c r="E923" s="2"/>
      <c r="F923" s="2"/>
      <c r="K923" s="2"/>
      <c r="L923" s="2"/>
    </row>
    <row r="924" ht="15.75" customHeight="1">
      <c r="A924" s="2"/>
      <c r="C924" s="2"/>
      <c r="D924" s="2"/>
      <c r="E924" s="2"/>
      <c r="F924" s="2"/>
      <c r="K924" s="2"/>
      <c r="L924" s="2"/>
    </row>
    <row r="925" ht="15.75" customHeight="1">
      <c r="A925" s="2"/>
      <c r="C925" s="2"/>
      <c r="D925" s="2"/>
      <c r="E925" s="2"/>
      <c r="F925" s="2"/>
      <c r="K925" s="2"/>
      <c r="L925" s="2"/>
    </row>
    <row r="926" ht="15.75" customHeight="1">
      <c r="A926" s="2"/>
      <c r="C926" s="2"/>
      <c r="D926" s="2"/>
      <c r="E926" s="2"/>
      <c r="F926" s="2"/>
      <c r="K926" s="2"/>
      <c r="L926" s="2"/>
    </row>
    <row r="927" ht="15.75" customHeight="1">
      <c r="A927" s="2"/>
      <c r="C927" s="2"/>
      <c r="D927" s="2"/>
      <c r="E927" s="2"/>
      <c r="F927" s="2"/>
      <c r="K927" s="2"/>
      <c r="L927" s="2"/>
    </row>
    <row r="928" ht="15.75" customHeight="1">
      <c r="A928" s="2"/>
      <c r="C928" s="2"/>
      <c r="D928" s="2"/>
      <c r="E928" s="2"/>
      <c r="F928" s="2"/>
      <c r="K928" s="2"/>
      <c r="L928" s="2"/>
    </row>
    <row r="929" ht="15.75" customHeight="1">
      <c r="A929" s="2"/>
      <c r="C929" s="2"/>
      <c r="D929" s="2"/>
      <c r="E929" s="2"/>
      <c r="F929" s="2"/>
      <c r="K929" s="2"/>
      <c r="L929" s="2"/>
    </row>
    <row r="930" ht="15.75" customHeight="1">
      <c r="A930" s="2"/>
      <c r="C930" s="2"/>
      <c r="D930" s="2"/>
      <c r="E930" s="2"/>
      <c r="F930" s="2"/>
      <c r="K930" s="2"/>
      <c r="L930" s="2"/>
    </row>
    <row r="931" ht="15.75" customHeight="1">
      <c r="A931" s="2"/>
      <c r="C931" s="2"/>
      <c r="D931" s="2"/>
      <c r="E931" s="2"/>
      <c r="F931" s="2"/>
      <c r="K931" s="2"/>
      <c r="L931" s="2"/>
    </row>
    <row r="932" ht="15.75" customHeight="1">
      <c r="A932" s="2"/>
      <c r="C932" s="2"/>
      <c r="D932" s="2"/>
      <c r="E932" s="2"/>
      <c r="F932" s="2"/>
      <c r="K932" s="2"/>
      <c r="L932" s="2"/>
    </row>
    <row r="933" ht="15.75" customHeight="1">
      <c r="A933" s="2"/>
      <c r="C933" s="2"/>
      <c r="D933" s="2"/>
      <c r="E933" s="2"/>
      <c r="F933" s="2"/>
      <c r="K933" s="2"/>
      <c r="L933" s="2"/>
    </row>
    <row r="934" ht="15.75" customHeight="1">
      <c r="A934" s="2"/>
      <c r="C934" s="2"/>
      <c r="D934" s="2"/>
      <c r="E934" s="2"/>
      <c r="F934" s="2"/>
      <c r="K934" s="2"/>
      <c r="L934" s="2"/>
    </row>
    <row r="935" ht="15.75" customHeight="1">
      <c r="A935" s="2"/>
      <c r="C935" s="2"/>
      <c r="D935" s="2"/>
      <c r="E935" s="2"/>
      <c r="F935" s="2"/>
      <c r="K935" s="2"/>
      <c r="L935" s="2"/>
    </row>
    <row r="936" ht="15.75" customHeight="1">
      <c r="A936" s="2"/>
      <c r="C936" s="2"/>
      <c r="D936" s="2"/>
      <c r="E936" s="2"/>
      <c r="F936" s="2"/>
      <c r="K936" s="2"/>
      <c r="L936" s="2"/>
    </row>
    <row r="937" ht="15.75" customHeight="1">
      <c r="A937" s="2"/>
      <c r="C937" s="2"/>
      <c r="D937" s="2"/>
      <c r="E937" s="2"/>
      <c r="F937" s="2"/>
      <c r="K937" s="2"/>
      <c r="L937" s="2"/>
    </row>
    <row r="938" ht="15.75" customHeight="1">
      <c r="A938" s="2"/>
      <c r="C938" s="2"/>
      <c r="D938" s="2"/>
      <c r="E938" s="2"/>
      <c r="F938" s="2"/>
      <c r="K938" s="2"/>
      <c r="L938" s="2"/>
    </row>
    <row r="939" ht="15.75" customHeight="1">
      <c r="A939" s="2"/>
      <c r="C939" s="2"/>
      <c r="D939" s="2"/>
      <c r="E939" s="2"/>
      <c r="F939" s="2"/>
      <c r="K939" s="2"/>
      <c r="L939" s="2"/>
    </row>
    <row r="940" ht="15.75" customHeight="1">
      <c r="A940" s="2"/>
      <c r="C940" s="2"/>
      <c r="D940" s="2"/>
      <c r="E940" s="2"/>
      <c r="F940" s="2"/>
      <c r="K940" s="2"/>
      <c r="L940" s="2"/>
    </row>
    <row r="941" ht="15.75" customHeight="1">
      <c r="A941" s="2"/>
      <c r="C941" s="2"/>
      <c r="D941" s="2"/>
      <c r="E941" s="2"/>
      <c r="F941" s="2"/>
      <c r="K941" s="2"/>
      <c r="L941" s="2"/>
    </row>
    <row r="942" ht="15.75" customHeight="1">
      <c r="A942" s="2"/>
      <c r="C942" s="2"/>
      <c r="D942" s="2"/>
      <c r="E942" s="2"/>
      <c r="F942" s="2"/>
      <c r="K942" s="2"/>
      <c r="L942" s="2"/>
    </row>
    <row r="943" ht="15.75" customHeight="1">
      <c r="A943" s="2"/>
      <c r="C943" s="2"/>
      <c r="D943" s="2"/>
      <c r="E943" s="2"/>
      <c r="F943" s="2"/>
      <c r="K943" s="2"/>
      <c r="L943" s="2"/>
    </row>
    <row r="944" ht="15.75" customHeight="1">
      <c r="A944" s="2"/>
      <c r="C944" s="2"/>
      <c r="D944" s="2"/>
      <c r="E944" s="2"/>
      <c r="F944" s="2"/>
      <c r="K944" s="2"/>
      <c r="L944" s="2"/>
    </row>
    <row r="945" ht="15.75" customHeight="1">
      <c r="A945" s="2"/>
      <c r="C945" s="2"/>
      <c r="D945" s="2"/>
      <c r="E945" s="2"/>
      <c r="F945" s="2"/>
      <c r="K945" s="2"/>
      <c r="L945" s="2"/>
    </row>
    <row r="946" ht="15.75" customHeight="1">
      <c r="A946" s="2"/>
      <c r="C946" s="2"/>
      <c r="D946" s="2"/>
      <c r="E946" s="2"/>
      <c r="F946" s="2"/>
      <c r="K946" s="2"/>
      <c r="L946" s="2"/>
    </row>
    <row r="947" ht="15.75" customHeight="1">
      <c r="A947" s="2"/>
      <c r="C947" s="2"/>
      <c r="D947" s="2"/>
      <c r="E947" s="2"/>
      <c r="F947" s="2"/>
      <c r="K947" s="2"/>
      <c r="L947" s="2"/>
    </row>
    <row r="948" ht="15.75" customHeight="1">
      <c r="A948" s="2"/>
      <c r="C948" s="2"/>
      <c r="D948" s="2"/>
      <c r="E948" s="2"/>
      <c r="F948" s="2"/>
      <c r="K948" s="2"/>
      <c r="L948" s="2"/>
    </row>
    <row r="949" ht="15.75" customHeight="1">
      <c r="A949" s="2"/>
      <c r="C949" s="2"/>
      <c r="D949" s="2"/>
      <c r="E949" s="2"/>
      <c r="F949" s="2"/>
      <c r="K949" s="2"/>
      <c r="L949" s="2"/>
    </row>
    <row r="950" ht="15.75" customHeight="1">
      <c r="A950" s="2"/>
      <c r="C950" s="2"/>
      <c r="D950" s="2"/>
      <c r="E950" s="2"/>
      <c r="F950" s="2"/>
      <c r="K950" s="2"/>
      <c r="L950" s="2"/>
    </row>
    <row r="951" ht="15.75" customHeight="1">
      <c r="A951" s="2"/>
      <c r="C951" s="2"/>
      <c r="D951" s="2"/>
      <c r="E951" s="2"/>
      <c r="F951" s="2"/>
      <c r="K951" s="2"/>
      <c r="L951" s="2"/>
    </row>
    <row r="952" ht="15.75" customHeight="1">
      <c r="A952" s="2"/>
      <c r="C952" s="2"/>
      <c r="D952" s="2"/>
      <c r="E952" s="2"/>
      <c r="F952" s="2"/>
      <c r="K952" s="2"/>
      <c r="L952" s="2"/>
    </row>
    <row r="953" ht="15.75" customHeight="1">
      <c r="A953" s="2"/>
      <c r="C953" s="2"/>
      <c r="D953" s="2"/>
      <c r="E953" s="2"/>
      <c r="F953" s="2"/>
      <c r="K953" s="2"/>
      <c r="L953" s="2"/>
    </row>
    <row r="954" ht="15.75" customHeight="1">
      <c r="A954" s="2"/>
      <c r="C954" s="2"/>
      <c r="D954" s="2"/>
      <c r="E954" s="2"/>
      <c r="F954" s="2"/>
      <c r="K954" s="2"/>
      <c r="L954" s="2"/>
    </row>
    <row r="955" ht="15.75" customHeight="1">
      <c r="A955" s="2"/>
      <c r="C955" s="2"/>
      <c r="D955" s="2"/>
      <c r="E955" s="2"/>
      <c r="F955" s="2"/>
      <c r="K955" s="2"/>
      <c r="L955" s="2"/>
    </row>
    <row r="956" ht="15.75" customHeight="1">
      <c r="A956" s="2"/>
      <c r="C956" s="2"/>
      <c r="D956" s="2"/>
      <c r="E956" s="2"/>
      <c r="F956" s="2"/>
      <c r="K956" s="2"/>
      <c r="L956" s="2"/>
    </row>
    <row r="957" ht="15.75" customHeight="1">
      <c r="A957" s="2"/>
      <c r="C957" s="2"/>
      <c r="D957" s="2"/>
      <c r="E957" s="2"/>
      <c r="F957" s="2"/>
      <c r="K957" s="2"/>
      <c r="L957" s="2"/>
    </row>
    <row r="958" ht="15.75" customHeight="1">
      <c r="A958" s="2"/>
      <c r="C958" s="2"/>
      <c r="D958" s="2"/>
      <c r="E958" s="2"/>
      <c r="F958" s="2"/>
      <c r="K958" s="2"/>
      <c r="L958" s="2"/>
    </row>
    <row r="959" ht="15.75" customHeight="1">
      <c r="A959" s="2"/>
      <c r="C959" s="2"/>
      <c r="D959" s="2"/>
      <c r="E959" s="2"/>
      <c r="F959" s="2"/>
      <c r="K959" s="2"/>
      <c r="L959" s="2"/>
    </row>
    <row r="960" ht="15.75" customHeight="1">
      <c r="A960" s="2"/>
      <c r="C960" s="2"/>
      <c r="D960" s="2"/>
      <c r="E960" s="2"/>
      <c r="F960" s="2"/>
      <c r="K960" s="2"/>
      <c r="L960" s="2"/>
    </row>
    <row r="961" ht="15.75" customHeight="1">
      <c r="A961" s="2"/>
      <c r="C961" s="2"/>
      <c r="D961" s="2"/>
      <c r="E961" s="2"/>
      <c r="F961" s="2"/>
      <c r="K961" s="2"/>
      <c r="L961" s="2"/>
    </row>
    <row r="962" ht="15.75" customHeight="1">
      <c r="A962" s="2"/>
      <c r="C962" s="2"/>
      <c r="D962" s="2"/>
      <c r="E962" s="2"/>
      <c r="F962" s="2"/>
      <c r="K962" s="2"/>
      <c r="L962" s="2"/>
    </row>
    <row r="963" ht="15.75" customHeight="1">
      <c r="A963" s="2"/>
      <c r="C963" s="2"/>
      <c r="D963" s="2"/>
      <c r="E963" s="2"/>
      <c r="F963" s="2"/>
      <c r="K963" s="2"/>
      <c r="L963" s="2"/>
    </row>
    <row r="964" ht="15.75" customHeight="1">
      <c r="A964" s="2"/>
      <c r="C964" s="2"/>
      <c r="D964" s="2"/>
      <c r="E964" s="2"/>
      <c r="F964" s="2"/>
      <c r="K964" s="2"/>
      <c r="L964" s="2"/>
    </row>
    <row r="965" ht="15.75" customHeight="1">
      <c r="A965" s="2"/>
      <c r="C965" s="2"/>
      <c r="D965" s="2"/>
      <c r="E965" s="2"/>
      <c r="F965" s="2"/>
      <c r="K965" s="2"/>
      <c r="L965" s="2"/>
    </row>
    <row r="966" ht="15.75" customHeight="1">
      <c r="A966" s="2"/>
      <c r="C966" s="2"/>
      <c r="D966" s="2"/>
      <c r="E966" s="2"/>
      <c r="F966" s="2"/>
      <c r="K966" s="2"/>
      <c r="L966" s="2"/>
    </row>
    <row r="967" ht="15.75" customHeight="1">
      <c r="A967" s="2"/>
      <c r="C967" s="2"/>
      <c r="D967" s="2"/>
      <c r="E967" s="2"/>
      <c r="F967" s="2"/>
      <c r="K967" s="2"/>
      <c r="L967" s="2"/>
    </row>
    <row r="968" ht="15.75" customHeight="1">
      <c r="A968" s="2"/>
      <c r="C968" s="2"/>
      <c r="D968" s="2"/>
      <c r="E968" s="2"/>
      <c r="F968" s="2"/>
      <c r="K968" s="2"/>
      <c r="L968" s="2"/>
    </row>
    <row r="969" ht="15.75" customHeight="1">
      <c r="A969" s="2"/>
      <c r="C969" s="2"/>
      <c r="D969" s="2"/>
      <c r="E969" s="2"/>
      <c r="F969" s="2"/>
      <c r="K969" s="2"/>
      <c r="L969" s="2"/>
    </row>
    <row r="970" ht="15.75" customHeight="1">
      <c r="A970" s="2"/>
      <c r="C970" s="2"/>
      <c r="D970" s="2"/>
      <c r="E970" s="2"/>
      <c r="F970" s="2"/>
      <c r="K970" s="2"/>
      <c r="L970" s="2"/>
    </row>
    <row r="971" ht="15.75" customHeight="1">
      <c r="A971" s="2"/>
      <c r="C971" s="2"/>
      <c r="D971" s="2"/>
      <c r="E971" s="2"/>
      <c r="F971" s="2"/>
      <c r="K971" s="2"/>
      <c r="L971" s="2"/>
    </row>
    <row r="972" ht="15.75" customHeight="1">
      <c r="A972" s="2"/>
      <c r="C972" s="2"/>
      <c r="D972" s="2"/>
      <c r="E972" s="2"/>
      <c r="F972" s="2"/>
      <c r="K972" s="2"/>
      <c r="L972" s="2"/>
    </row>
    <row r="973" ht="15.75" customHeight="1">
      <c r="A973" s="2"/>
      <c r="C973" s="2"/>
      <c r="D973" s="2"/>
      <c r="E973" s="2"/>
      <c r="F973" s="2"/>
      <c r="K973" s="2"/>
      <c r="L973" s="2"/>
    </row>
    <row r="974" ht="15.75" customHeight="1">
      <c r="A974" s="2"/>
      <c r="C974" s="2"/>
      <c r="D974" s="2"/>
      <c r="E974" s="2"/>
      <c r="F974" s="2"/>
      <c r="K974" s="2"/>
      <c r="L974" s="2"/>
    </row>
    <row r="975" ht="15.75" customHeight="1">
      <c r="A975" s="2"/>
      <c r="C975" s="2"/>
      <c r="D975" s="2"/>
      <c r="E975" s="2"/>
      <c r="F975" s="2"/>
      <c r="K975" s="2"/>
      <c r="L975" s="2"/>
    </row>
    <row r="976" ht="15.75" customHeight="1">
      <c r="A976" s="2"/>
      <c r="C976" s="2"/>
      <c r="D976" s="2"/>
      <c r="E976" s="2"/>
      <c r="F976" s="2"/>
      <c r="K976" s="2"/>
      <c r="L976" s="2"/>
    </row>
    <row r="977" ht="15.75" customHeight="1">
      <c r="A977" s="2"/>
      <c r="C977" s="2"/>
      <c r="D977" s="2"/>
      <c r="E977" s="2"/>
      <c r="F977" s="2"/>
      <c r="K977" s="2"/>
      <c r="L977" s="2"/>
    </row>
    <row r="978" ht="15.75" customHeight="1">
      <c r="A978" s="2"/>
      <c r="C978" s="2"/>
      <c r="D978" s="2"/>
      <c r="E978" s="2"/>
      <c r="F978" s="2"/>
      <c r="K978" s="2"/>
      <c r="L978" s="2"/>
    </row>
    <row r="979" ht="15.75" customHeight="1">
      <c r="A979" s="2"/>
      <c r="C979" s="2"/>
      <c r="D979" s="2"/>
      <c r="E979" s="2"/>
      <c r="F979" s="2"/>
      <c r="K979" s="2"/>
      <c r="L979" s="2"/>
    </row>
    <row r="980" ht="15.75" customHeight="1">
      <c r="A980" s="2"/>
      <c r="C980" s="2"/>
      <c r="D980" s="2"/>
      <c r="E980" s="2"/>
      <c r="F980" s="2"/>
      <c r="K980" s="2"/>
      <c r="L980" s="2"/>
    </row>
    <row r="981" ht="15.75" customHeight="1">
      <c r="A981" s="2"/>
      <c r="C981" s="2"/>
      <c r="D981" s="2"/>
      <c r="E981" s="2"/>
      <c r="F981" s="2"/>
      <c r="K981" s="2"/>
      <c r="L981" s="2"/>
    </row>
    <row r="982" ht="15.75" customHeight="1">
      <c r="A982" s="2"/>
      <c r="C982" s="2"/>
      <c r="D982" s="2"/>
      <c r="E982" s="2"/>
      <c r="F982" s="2"/>
      <c r="K982" s="2"/>
      <c r="L982" s="2"/>
    </row>
    <row r="983" ht="15.75" customHeight="1">
      <c r="A983" s="2"/>
      <c r="C983" s="2"/>
      <c r="D983" s="2"/>
      <c r="E983" s="2"/>
      <c r="F983" s="2"/>
      <c r="K983" s="2"/>
      <c r="L983" s="2"/>
    </row>
    <row r="984" ht="15.75" customHeight="1">
      <c r="A984" s="2"/>
      <c r="C984" s="2"/>
      <c r="D984" s="2"/>
      <c r="E984" s="2"/>
      <c r="F984" s="2"/>
      <c r="K984" s="2"/>
      <c r="L984" s="2"/>
    </row>
    <row r="985" ht="15.75" customHeight="1">
      <c r="A985" s="2"/>
      <c r="C985" s="2"/>
      <c r="D985" s="2"/>
      <c r="E985" s="2"/>
      <c r="F985" s="2"/>
      <c r="K985" s="2"/>
      <c r="L985" s="2"/>
    </row>
    <row r="986" ht="15.75" customHeight="1">
      <c r="A986" s="2"/>
      <c r="C986" s="2"/>
      <c r="D986" s="2"/>
      <c r="E986" s="2"/>
      <c r="F986" s="2"/>
      <c r="K986" s="2"/>
      <c r="L986" s="2"/>
    </row>
    <row r="987" ht="15.75" customHeight="1">
      <c r="A987" s="2"/>
      <c r="C987" s="2"/>
      <c r="D987" s="2"/>
      <c r="E987" s="2"/>
      <c r="F987" s="2"/>
      <c r="K987" s="2"/>
      <c r="L987" s="2"/>
    </row>
    <row r="988" ht="15.75" customHeight="1">
      <c r="A988" s="2"/>
      <c r="C988" s="2"/>
      <c r="D988" s="2"/>
      <c r="E988" s="2"/>
      <c r="F988" s="2"/>
      <c r="K988" s="2"/>
      <c r="L988" s="2"/>
    </row>
    <row r="989" ht="15.75" customHeight="1">
      <c r="A989" s="2"/>
      <c r="C989" s="2"/>
      <c r="D989" s="2"/>
      <c r="E989" s="2"/>
      <c r="F989" s="2"/>
      <c r="K989" s="2"/>
      <c r="L989" s="2"/>
    </row>
    <row r="990" ht="15.75" customHeight="1">
      <c r="A990" s="2"/>
      <c r="C990" s="2"/>
      <c r="D990" s="2"/>
      <c r="E990" s="2"/>
      <c r="F990" s="2"/>
      <c r="K990" s="2"/>
      <c r="L990" s="2"/>
    </row>
    <row r="991" ht="15.75" customHeight="1">
      <c r="A991" s="2"/>
      <c r="C991" s="2"/>
      <c r="D991" s="2"/>
      <c r="E991" s="2"/>
      <c r="F991" s="2"/>
      <c r="K991" s="2"/>
      <c r="L991" s="2"/>
    </row>
    <row r="992" ht="15.75" customHeight="1">
      <c r="A992" s="2"/>
      <c r="C992" s="2"/>
      <c r="D992" s="2"/>
      <c r="E992" s="2"/>
      <c r="F992" s="2"/>
      <c r="K992" s="2"/>
      <c r="L992" s="2"/>
    </row>
    <row r="993" ht="15.75" customHeight="1">
      <c r="A993" s="2"/>
      <c r="C993" s="2"/>
      <c r="D993" s="2"/>
      <c r="E993" s="2"/>
      <c r="F993" s="2"/>
      <c r="K993" s="2"/>
      <c r="L993" s="2"/>
    </row>
    <row r="994" ht="15.75" customHeight="1">
      <c r="A994" s="2"/>
      <c r="C994" s="2"/>
      <c r="D994" s="2"/>
      <c r="E994" s="2"/>
      <c r="F994" s="2"/>
      <c r="K994" s="2"/>
      <c r="L994" s="2"/>
    </row>
    <row r="995" ht="15.75" customHeight="1">
      <c r="A995" s="2"/>
      <c r="C995" s="2"/>
      <c r="D995" s="2"/>
      <c r="E995" s="2"/>
      <c r="F995" s="2"/>
      <c r="K995" s="2"/>
      <c r="L995" s="2"/>
    </row>
    <row r="996" ht="15.75" customHeight="1">
      <c r="A996" s="2"/>
      <c r="C996" s="2"/>
      <c r="D996" s="2"/>
      <c r="E996" s="2"/>
      <c r="F996" s="2"/>
      <c r="K996" s="2"/>
      <c r="L996" s="2"/>
    </row>
    <row r="997" ht="15.75" customHeight="1">
      <c r="A997" s="2"/>
      <c r="C997" s="2"/>
      <c r="D997" s="2"/>
      <c r="E997" s="2"/>
      <c r="F997" s="2"/>
      <c r="K997" s="2"/>
      <c r="L997" s="2"/>
    </row>
    <row r="998" ht="15.75" customHeight="1">
      <c r="A998" s="2"/>
      <c r="C998" s="2"/>
      <c r="D998" s="2"/>
      <c r="E998" s="2"/>
      <c r="F998" s="2"/>
      <c r="K998" s="2"/>
      <c r="L998" s="2"/>
    </row>
    <row r="999" ht="15.75" customHeight="1">
      <c r="A999" s="2"/>
      <c r="C999" s="2"/>
      <c r="D999" s="2"/>
      <c r="E999" s="2"/>
      <c r="F999" s="2"/>
      <c r="K999" s="2"/>
      <c r="L999" s="2"/>
    </row>
    <row r="1000" ht="15.75" customHeight="1">
      <c r="A1000" s="2"/>
      <c r="C1000" s="2"/>
      <c r="D1000" s="2"/>
      <c r="E1000" s="2"/>
      <c r="F1000" s="2"/>
      <c r="K1000" s="2"/>
      <c r="L1000" s="2"/>
    </row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7" t="s">
        <v>71</v>
      </c>
      <c r="B1" s="2"/>
      <c r="E1" s="2"/>
      <c r="F1" s="2"/>
      <c r="T1" s="2"/>
      <c r="X1" s="2"/>
      <c r="Z1" s="2"/>
      <c r="AM1" s="2"/>
      <c r="AN1" s="2"/>
      <c r="AQ1" s="2"/>
    </row>
    <row r="2" ht="39.75" customHeight="1">
      <c r="A2" s="10" t="s">
        <v>72</v>
      </c>
      <c r="B2" s="2"/>
      <c r="E2" s="2"/>
      <c r="F2" s="2"/>
      <c r="T2" s="2"/>
      <c r="X2" s="2"/>
      <c r="Z2" s="2"/>
      <c r="AM2" s="2"/>
      <c r="AN2" s="2"/>
      <c r="AQ2" s="2"/>
    </row>
    <row r="3">
      <c r="B3" s="2"/>
      <c r="E3" s="2"/>
      <c r="F3" s="2"/>
      <c r="T3" s="2"/>
      <c r="X3" s="2"/>
      <c r="Z3" s="2"/>
      <c r="AM3" s="2"/>
      <c r="AN3" s="2"/>
      <c r="AQ3" s="2"/>
    </row>
    <row r="4" ht="32.25" customHeight="1">
      <c r="A4" s="5" t="s">
        <v>73</v>
      </c>
      <c r="B4" s="5" t="s">
        <v>74</v>
      </c>
      <c r="C4" s="5" t="s">
        <v>75</v>
      </c>
      <c r="D4" s="5" t="s">
        <v>56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5" t="s">
        <v>82</v>
      </c>
      <c r="L4" s="5" t="s">
        <v>83</v>
      </c>
      <c r="M4" s="5" t="s">
        <v>84</v>
      </c>
      <c r="N4" s="5" t="s">
        <v>85</v>
      </c>
      <c r="O4" s="5" t="s">
        <v>86</v>
      </c>
      <c r="P4" s="5" t="s">
        <v>87</v>
      </c>
      <c r="Q4" s="5" t="s">
        <v>88</v>
      </c>
      <c r="R4" s="5" t="s">
        <v>89</v>
      </c>
      <c r="S4" s="5" t="s">
        <v>90</v>
      </c>
      <c r="T4" s="5" t="s">
        <v>91</v>
      </c>
      <c r="U4" s="5" t="s">
        <v>92</v>
      </c>
      <c r="V4" s="5" t="s">
        <v>93</v>
      </c>
      <c r="W4" s="5" t="s">
        <v>94</v>
      </c>
      <c r="X4" s="5" t="s">
        <v>95</v>
      </c>
      <c r="Y4" s="5" t="s">
        <v>96</v>
      </c>
      <c r="Z4" s="5" t="s">
        <v>97</v>
      </c>
      <c r="AA4" s="5" t="s">
        <v>98</v>
      </c>
      <c r="AB4" s="5" t="s">
        <v>99</v>
      </c>
      <c r="AC4" s="5" t="s">
        <v>100</v>
      </c>
      <c r="AD4" s="5" t="s">
        <v>101</v>
      </c>
      <c r="AE4" s="5" t="s">
        <v>102</v>
      </c>
      <c r="AF4" s="5" t="s">
        <v>103</v>
      </c>
      <c r="AG4" s="5" t="s">
        <v>104</v>
      </c>
      <c r="AH4" s="5" t="s">
        <v>105</v>
      </c>
      <c r="AI4" s="5" t="s">
        <v>106</v>
      </c>
      <c r="AJ4" s="5" t="s">
        <v>107</v>
      </c>
      <c r="AK4" s="5" t="s">
        <v>108</v>
      </c>
      <c r="AL4" s="5" t="s">
        <v>109</v>
      </c>
      <c r="AM4" s="5" t="s">
        <v>110</v>
      </c>
      <c r="AN4" s="5" t="s">
        <v>111</v>
      </c>
      <c r="AO4" s="5" t="s">
        <v>112</v>
      </c>
      <c r="AP4" s="5" t="s">
        <v>66</v>
      </c>
      <c r="AQ4" s="5" t="s">
        <v>113</v>
      </c>
      <c r="AR4" s="5" t="s">
        <v>114</v>
      </c>
      <c r="AS4" s="5" t="s">
        <v>115</v>
      </c>
      <c r="AT4" s="5" t="s">
        <v>116</v>
      </c>
      <c r="AU4" s="5" t="s">
        <v>70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9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2" t="str">
        <f t="array" ref="G5">IF($B5="","",IF(INDEX(SchedZone,MATCH($A5,SchedSeq,0),MAP!$B$14)="Neutral","Y",""))</f>
        <v/>
      </c>
      <c r="H5" s="2" t="str">
        <f t="array" ref="H5">IF($B5="","",INDEX(SchedZone,MATCH($A5,SchedSeq,0),MAP!$B$17))</f>
        <v>outdoors</v>
      </c>
      <c r="I5" s="2">
        <f>IF(OR($B5="",$C5&lt;&gt;CurrentWeek),"",COUNTIF($C$5:$C5,CurrentWeek))</f>
        <v>1</v>
      </c>
      <c r="J5" s="2">
        <f t="array" ref="J5">IF($B5="","",IFERROR(INDEX(RatEff,MATCH($E5,RatTeams,0)),"⚠ TEAM NOT FOUND"))</f>
        <v>2.09</v>
      </c>
      <c r="K5" s="2">
        <f t="array" ref="K5">IF($B5="","",IFERROR(INDEX(RatEff,MATCH($F5,RatTeams,0)),"⚠ TEAM NOT FOUND"))</f>
        <v>4.1</v>
      </c>
      <c r="L5" s="2">
        <f t="shared" ref="L5:L304" si="1">IF(OR($B5="",NOT(ISNUMBER($J5)),NOT(ISNUMBER($K5))),"",$K5-$J5)</f>
        <v>2.01</v>
      </c>
      <c r="M5" s="2">
        <f t="array" ref="M5">IF($B5="","",IF($G5="Y",NeutralHFA,IFERROR(INDEX(HFAexcVal,MATCH($F5,HFAexcTeam,0)),HFA_Base)))</f>
        <v>1.6</v>
      </c>
      <c r="N5" s="2">
        <f t="array" ref="N5">IF($B5="","",IFERROR(INDEX(QBSpreadEff,MATCH($F5,QBTeams,0)),0)-IFERROR(INDEX(QBSpreadEff,MATCH($E5,QBTeams,0)),0))</f>
        <v>0</v>
      </c>
      <c r="O5" s="2">
        <f t="array" ref="O5">IF($B5="","",IFERROR(MEDIAN(-RestCapPts,RestCapPts,RestPerDay*(INDEX(SchedZone,MATCH($A5,SchedSeq,0),MAP!$B$16)-INDEX(SchedZone,MATCH($A5,SchedSeq,0),MAP!$B$15))),0))</f>
        <v>0</v>
      </c>
      <c r="P5" s="2">
        <f>IF($B5="","",SUMIFS(AdjSpread,AdjGameID,$B5,AdjTeam,$F5,AdjActive,1)-SUMIFS(AdjSpread,AdjGameID,$B5,AdjTeam,$E5,AdjActive,1))</f>
        <v>0</v>
      </c>
      <c r="Q5" s="2">
        <f t="shared" ref="Q5:Q304" si="2">IF($L5="","",ROUND($L5+$M5+$N5+$O5+$P5,2))</f>
        <v>3.61</v>
      </c>
      <c r="R5" s="11"/>
      <c r="S5" s="2">
        <f t="shared" ref="S5:S304" si="3">IF(AND($R5="",$Q5=""),"",IF($R5&lt;&gt;"",$R5,$Q5))</f>
        <v>3.61</v>
      </c>
      <c r="T5" s="2" t="str">
        <f t="shared" ref="T5:T304" si="4">IF($S5="","",IF(ABS($S5)&lt;0.05,"PK",IF($S5&gt;0,$F5&amp;" "&amp;TEXT(-$S5,"+0.0;-0.0"),$E5&amp;" "&amp;TEXT($S5,"+0.0;-0.0"))))</f>
        <v>SEA -3.6</v>
      </c>
      <c r="U5" s="2" t="str">
        <f t="array" ref="U5">IF($B5="","",IFERROR(INDEX(MktHomeSpread,MATCH($B5,MktGameID,0)),""))</f>
        <v/>
      </c>
      <c r="V5" s="2" t="str">
        <f t="shared" ref="V5:V304" si="5">IF(OR($S5="",$U5=""),"",ROUND($S5+$U5,2))</f>
        <v/>
      </c>
      <c r="W5" s="2" t="str">
        <f t="shared" ref="W5:W304" si="6">IF($V5="","",ABS($V5))</f>
        <v/>
      </c>
      <c r="X5" s="2" t="str">
        <f t="shared" ref="X5:X304" si="7">IF($V5="","",IF($V5&gt;0,$F5&amp;" "&amp;TEXT($U5,"+0.0;-0.0;""PK"""),$E5&amp;" "&amp;TEXT(-$U5,"+0.0;-0.0;""PK""")))</f>
        <v/>
      </c>
      <c r="Y5" s="2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2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2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2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2">
        <f t="array" ref="AC5">IF($B5="","",IFERROR(INDEX(QBTotEff,MATCH($F5,QBTeams,0)),0)+IFERROR(INDEX(QBTotEff,MATCH($E5,QBTeams,0)),0))</f>
        <v>0</v>
      </c>
      <c r="AD5" s="2">
        <f>IF($B5="","",SUMIFS(AdjTot,AdjGameID,$B5,AdjActive,1))</f>
        <v>0</v>
      </c>
      <c r="AE5" s="2">
        <f t="shared" ref="AE5:AE304" si="8">IF(OR($AA5="",$AB5=""),"",ROUND($AA5+$AB5+$AC5+$AD5,2))</f>
        <v>0</v>
      </c>
      <c r="AF5" s="11"/>
      <c r="AG5" s="2">
        <f t="shared" ref="AG5:AG304" si="9">IF(AND($AF5="",$AE5=""),"",IF($AF5&lt;&gt;"",$AF5,$AE5))</f>
        <v>0</v>
      </c>
      <c r="AH5" s="2" t="str">
        <f t="array" ref="AH5">IF($B5="","",IFERROR(INDEX(MktTotal,MATCH($B5,MktGameID,0)),""))</f>
        <v/>
      </c>
      <c r="AI5" s="2" t="str">
        <f t="shared" ref="AI5:AI304" si="10">IF(OR($AG5="",$AH5=""),"",ROUND($AG5-$AH5,2))</f>
        <v/>
      </c>
      <c r="AJ5" s="2" t="str">
        <f t="shared" ref="AJ5:AJ304" si="11">IF($AI5="","",ABS($AI5))</f>
        <v/>
      </c>
      <c r="AK5" s="2" t="str">
        <f t="shared" ref="AK5:AK304" si="12">IF($AI5="","",IF($AI5&gt;0.05,"OVER",IF($AI5&lt;-0.05,"UNDER","—")))</f>
        <v/>
      </c>
      <c r="AL5" s="2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2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2" t="str">
        <f>IF($AG5="","","BET OVER at ≤ "&amp;TEXT($AG5-BetTot,"0.0")&amp;"  |  BET UNDER at ≥ "&amp;TEXT($AG5+BetTot,"0.0"))</f>
        <v>BET OVER at ≤ -3.0  |  BET UNDER at ≥ 3.0</v>
      </c>
      <c r="AO5" s="2" t="str">
        <f t="array" ref="AO5">IF($B5="","",IF(OR(IFERROR(INDEX(QBFlag,MATCH($F5,QBTeams,0)),1)=1,IFERROR(INDEX(QBFlag,MATCH($E5,QBTeams,0)),1)=1),"QB UNCERTAIN",""))</f>
        <v/>
      </c>
      <c r="AP5" s="2" t="str">
        <f t="array" ref="AP5">IF($B5="","",IFERROR(INDEX(DQStatus,MATCH($B5,DQGameID,0)),"BLOCKED — DQ ROW NOT FOUND"))</f>
        <v>READY</v>
      </c>
      <c r="AQ5" s="2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BOTH</v>
      </c>
      <c r="AR5" s="2" t="str">
        <f t="shared" ref="AR5:AR304" si="13">IF(OR($R5&lt;&gt;"",$AF5&lt;&gt;""),"OVERRIDE","")</f>
        <v/>
      </c>
      <c r="AS5" s="2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50</v>
      </c>
      <c r="AT5" s="2">
        <f t="shared" ref="AT5:AT304" si="14">IF($AS5="","",RANK($AS5,$AS$5:$AS$304,0))</f>
        <v>1</v>
      </c>
      <c r="AU5" s="11"/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9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2" t="str">
        <f t="array" ref="G6">IF($B6="","",IF(INDEX(SchedZone,MATCH($A6,SchedSeq,0),MAP!$B$14)="Neutral","Y",""))</f>
        <v>Y</v>
      </c>
      <c r="H6" s="2" t="str">
        <f t="array" ref="H6">IF($B6="","",INDEX(SchedZone,MATCH($A6,SchedSeq,0),MAP!$B$17))</f>
        <v>dome</v>
      </c>
      <c r="I6" s="2">
        <f>IF(OR($B6="",$C6&lt;&gt;CurrentWeek),"",COUNTIF($C$5:$C6,CurrentWeek))</f>
        <v>2</v>
      </c>
      <c r="J6" s="2">
        <f t="array" ref="J6">IF($B6="","",IFERROR(INDEX(RatEff,MATCH($E6,RatTeams,0)),"⚠ TEAM NOT FOUND"))</f>
        <v>1.78</v>
      </c>
      <c r="K6" s="2">
        <f t="array" ref="K6">IF($B6="","",IFERROR(INDEX(RatEff,MATCH($F6,RatTeams,0)),"⚠ TEAM NOT FOUND"))</f>
        <v>4.09</v>
      </c>
      <c r="L6" s="2">
        <f t="shared" si="1"/>
        <v>2.31</v>
      </c>
      <c r="M6" s="2">
        <f t="array" ref="M6">IF($B6="","",IF($G6="Y",NeutralHFA,IFERROR(INDEX(HFAexcVal,MATCH($F6,HFAexcTeam,0)),HFA_Base)))</f>
        <v>0</v>
      </c>
      <c r="N6" s="2">
        <f t="array" ref="N6">IF($B6="","",IFERROR(INDEX(QBSpreadEff,MATCH($F6,QBTeams,0)),0)-IFERROR(INDEX(QBSpreadEff,MATCH($E6,QBTeams,0)),0))</f>
        <v>0</v>
      </c>
      <c r="O6" s="2">
        <f t="array" ref="O6">IF($B6="","",IFERROR(MEDIAN(-RestCapPts,RestCapPts,RestPerDay*(INDEX(SchedZone,MATCH($A6,SchedSeq,0),MAP!$B$16)-INDEX(SchedZone,MATCH($A6,SchedSeq,0),MAP!$B$15))),0))</f>
        <v>0</v>
      </c>
      <c r="P6" s="2">
        <f>IF($B6="","",SUMIFS(AdjSpread,AdjGameID,$B6,AdjTeam,$F6,AdjActive,1)-SUMIFS(AdjSpread,AdjGameID,$B6,AdjTeam,$E6,AdjActive,1))</f>
        <v>0</v>
      </c>
      <c r="Q6" s="2">
        <f t="shared" si="2"/>
        <v>2.31</v>
      </c>
      <c r="R6" s="11"/>
      <c r="S6" s="2">
        <f t="shared" si="3"/>
        <v>2.31</v>
      </c>
      <c r="T6" s="2" t="str">
        <f t="shared" si="4"/>
        <v>LA -2.3</v>
      </c>
      <c r="U6" s="2" t="str">
        <f t="array" ref="U6">IF($B6="","",IFERROR(INDEX(MktHomeSpread,MATCH($B6,MktGameID,0)),""))</f>
        <v/>
      </c>
      <c r="V6" s="2" t="str">
        <f t="shared" si="5"/>
        <v/>
      </c>
      <c r="W6" s="2" t="str">
        <f t="shared" si="6"/>
        <v/>
      </c>
      <c r="X6" s="2" t="str">
        <f t="shared" si="7"/>
        <v/>
      </c>
      <c r="Y6" s="2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2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2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2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2">
        <f t="array" ref="AC6">IF($B6="","",IFERROR(INDEX(QBTotEff,MATCH($F6,QBTeams,0)),0)+IFERROR(INDEX(QBTotEff,MATCH($E6,QBTeams,0)),0))</f>
        <v>0</v>
      </c>
      <c r="AD6" s="2">
        <f>IF($B6="","",SUMIFS(AdjTot,AdjGameID,$B6,AdjActive,1))</f>
        <v>0</v>
      </c>
      <c r="AE6" s="2">
        <f t="shared" si="8"/>
        <v>0</v>
      </c>
      <c r="AF6" s="11"/>
      <c r="AG6" s="2">
        <f t="shared" si="9"/>
        <v>0</v>
      </c>
      <c r="AH6" s="2" t="str">
        <f t="array" ref="AH6">IF($B6="","",IFERROR(INDEX(MktTotal,MATCH($B6,MktGameID,0)),""))</f>
        <v/>
      </c>
      <c r="AI6" s="2" t="str">
        <f t="shared" si="10"/>
        <v/>
      </c>
      <c r="AJ6" s="2" t="str">
        <f t="shared" si="11"/>
        <v/>
      </c>
      <c r="AK6" s="2" t="str">
        <f t="shared" si="12"/>
        <v/>
      </c>
      <c r="AL6" s="2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2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2" t="str">
        <f>IF($AG6="","","BET OVER at ≤ "&amp;TEXT($AG6-BetTot,"0.0")&amp;"  |  BET UNDER at ≥ "&amp;TEXT($AG6+BetTot,"0.0"))</f>
        <v>BET OVER at ≤ -3.0  |  BET UNDER at ≥ 3.0</v>
      </c>
      <c r="AO6" s="2" t="str">
        <f t="array" ref="AO6">IF($B6="","",IF(OR(IFERROR(INDEX(QBFlag,MATCH($F6,QBTeams,0)),1)=1,IFERROR(INDEX(QBFlag,MATCH($E6,QBTeams,0)),1)=1),"QB UNCERTAIN",""))</f>
        <v/>
      </c>
      <c r="AP6" s="2" t="str">
        <f t="array" ref="AP6">IF($B6="","",IFERROR(INDEX(DQStatus,MATCH($B6,DQGameID,0)),"BLOCKED — DQ ROW NOT FOUND"))</f>
        <v>READY</v>
      </c>
      <c r="AQ6" s="2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BOTH</v>
      </c>
      <c r="AR6" s="2" t="str">
        <f t="shared" si="13"/>
        <v/>
      </c>
      <c r="AS6" s="2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50</v>
      </c>
      <c r="AT6" s="2">
        <f t="shared" si="14"/>
        <v>1</v>
      </c>
      <c r="AU6" s="11"/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9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2" t="str">
        <f t="array" ref="G7">IF($B7="","",IF(INDEX(SchedZone,MATCH($A7,SchedSeq,0),MAP!$B$14)="Neutral","Y",""))</f>
        <v/>
      </c>
      <c r="H7" s="2" t="str">
        <f t="array" ref="H7">IF($B7="","",INDEX(SchedZone,MATCH($A7,SchedSeq,0),MAP!$B$17))</f>
        <v>outdoors</v>
      </c>
      <c r="I7" s="2">
        <f>IF(OR($B7="",$C7&lt;&gt;CurrentWeek),"",COUNTIF($C$5:$C7,CurrentWeek))</f>
        <v>3</v>
      </c>
      <c r="J7" s="2">
        <f t="array" ref="J7">IF($B7="","",IFERROR(INDEX(RatEff,MATCH($E7,RatTeams,0)),"⚠ TEAM NOT FOUND"))</f>
        <v>0.86</v>
      </c>
      <c r="K7" s="2">
        <f t="array" ref="K7">IF($B7="","",IFERROR(INDEX(RatEff,MATCH($F7,RatTeams,0)),"⚠ TEAM NOT FOUND"))</f>
        <v>-1.3</v>
      </c>
      <c r="L7" s="2">
        <f t="shared" si="1"/>
        <v>-2.16</v>
      </c>
      <c r="M7" s="2">
        <f t="array" ref="M7">IF($B7="","",IF($G7="Y",NeutralHFA,IFERROR(INDEX(HFAexcVal,MATCH($F7,HFAexcTeam,0)),HFA_Base)))</f>
        <v>1.6</v>
      </c>
      <c r="N7" s="2">
        <f t="array" ref="N7">IF($B7="","",IFERROR(INDEX(QBSpreadEff,MATCH($F7,QBTeams,0)),0)-IFERROR(INDEX(QBSpreadEff,MATCH($E7,QBTeams,0)),0))</f>
        <v>0</v>
      </c>
      <c r="O7" s="2">
        <f t="array" ref="O7">IF($B7="","",IFERROR(MEDIAN(-RestCapPts,RestCapPts,RestPerDay*(INDEX(SchedZone,MATCH($A7,SchedSeq,0),MAP!$B$16)-INDEX(SchedZone,MATCH($A7,SchedSeq,0),MAP!$B$15))),0))</f>
        <v>0</v>
      </c>
      <c r="P7" s="2">
        <f>IF($B7="","",SUMIFS(AdjSpread,AdjGameID,$B7,AdjTeam,$F7,AdjActive,1)-SUMIFS(AdjSpread,AdjGameID,$B7,AdjTeam,$E7,AdjActive,1))</f>
        <v>0</v>
      </c>
      <c r="Q7" s="2">
        <f t="shared" si="2"/>
        <v>-0.56</v>
      </c>
      <c r="R7" s="11"/>
      <c r="S7" s="2">
        <f t="shared" si="3"/>
        <v>-0.56</v>
      </c>
      <c r="T7" s="2" t="str">
        <f t="shared" si="4"/>
        <v>CHI -0.6</v>
      </c>
      <c r="U7" s="2" t="str">
        <f t="array" ref="U7">IF($B7="","",IFERROR(INDEX(MktHomeSpread,MATCH($B7,MktGameID,0)),""))</f>
        <v/>
      </c>
      <c r="V7" s="2" t="str">
        <f t="shared" si="5"/>
        <v/>
      </c>
      <c r="W7" s="2" t="str">
        <f t="shared" si="6"/>
        <v/>
      </c>
      <c r="X7" s="2" t="str">
        <f t="shared" si="7"/>
        <v/>
      </c>
      <c r="Y7" s="2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2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/>
      </c>
      <c r="AA7" s="2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2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2">
        <f t="array" ref="AC7">IF($B7="","",IFERROR(INDEX(QBTotEff,MATCH($F7,QBTeams,0)),0)+IFERROR(INDEX(QBTotEff,MATCH($E7,QBTeams,0)),0))</f>
        <v>0</v>
      </c>
      <c r="AD7" s="2">
        <f>IF($B7="","",SUMIFS(AdjTot,AdjGameID,$B7,AdjActive,1))</f>
        <v>0</v>
      </c>
      <c r="AE7" s="2">
        <f t="shared" si="8"/>
        <v>0</v>
      </c>
      <c r="AF7" s="11"/>
      <c r="AG7" s="2">
        <f t="shared" si="9"/>
        <v>0</v>
      </c>
      <c r="AH7" s="2" t="str">
        <f t="array" ref="AH7">IF($B7="","",IFERROR(INDEX(MktTotal,MATCH($B7,MktGameID,0)),""))</f>
        <v/>
      </c>
      <c r="AI7" s="2" t="str">
        <f t="shared" si="10"/>
        <v/>
      </c>
      <c r="AJ7" s="2" t="str">
        <f t="shared" si="11"/>
        <v/>
      </c>
      <c r="AK7" s="2" t="str">
        <f t="shared" si="12"/>
        <v/>
      </c>
      <c r="AL7" s="2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2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2" t="str">
        <f>IF($AG7="","","BET OVER at ≤ "&amp;TEXT($AG7-BetTot,"0.0")&amp;"  |  BET UNDER at ≥ "&amp;TEXT($AG7+BetTot,"0.0"))</f>
        <v>BET OVER at ≤ -3.0  |  BET UNDER at ≥ 3.0</v>
      </c>
      <c r="AO7" s="2" t="str">
        <f t="array" ref="AO7">IF($B7="","",IF(OR(IFERROR(INDEX(QBFlag,MATCH($F7,QBTeams,0)),1)=1,IFERROR(INDEX(QBFlag,MATCH($E7,QBTeams,0)),1)=1),"QB UNCERTAIN",""))</f>
        <v/>
      </c>
      <c r="AP7" s="2" t="str">
        <f t="array" ref="AP7">IF($B7="","",IFERROR(INDEX(DQStatus,MATCH($B7,DQGameID,0)),"BLOCKED — DQ ROW NOT FOUND"))</f>
        <v>READY</v>
      </c>
      <c r="AQ7" s="2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BOTH</v>
      </c>
      <c r="AR7" s="2" t="str">
        <f t="shared" si="13"/>
        <v/>
      </c>
      <c r="AS7" s="2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50</v>
      </c>
      <c r="AT7" s="2">
        <f t="shared" si="14"/>
        <v>1</v>
      </c>
      <c r="AU7" s="11"/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9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2" t="str">
        <f t="array" ref="G8">IF($B8="","",IF(INDEX(SchedZone,MATCH($A8,SchedSeq,0),MAP!$B$14)="Neutral","Y",""))</f>
        <v/>
      </c>
      <c r="H8" s="2" t="str">
        <f t="array" ref="H8">IF($B8="","",INDEX(SchedZone,MATCH($A8,SchedSeq,0),MAP!$B$17))</f>
        <v>outdoors</v>
      </c>
      <c r="I8" s="2">
        <f>IF(OR($B8="",$C8&lt;&gt;CurrentWeek),"",COUNTIF($C$5:$C8,CurrentWeek))</f>
        <v>4</v>
      </c>
      <c r="J8" s="2">
        <f t="array" ref="J8">IF($B8="","",IFERROR(INDEX(RatEff,MATCH($E8,RatTeams,0)),"⚠ TEAM NOT FOUND"))</f>
        <v>-0.48</v>
      </c>
      <c r="K8" s="2">
        <f t="array" ref="K8">IF($B8="","",IFERROR(INDEX(RatEff,MATCH($F8,RatTeams,0)),"⚠ TEAM NOT FOUND"))</f>
        <v>-1.53</v>
      </c>
      <c r="L8" s="2">
        <f t="shared" si="1"/>
        <v>-1.05</v>
      </c>
      <c r="M8" s="2">
        <f t="array" ref="M8">IF($B8="","",IF($G8="Y",NeutralHFA,IFERROR(INDEX(HFAexcVal,MATCH($F8,HFAexcTeam,0)),HFA_Base)))</f>
        <v>1.6</v>
      </c>
      <c r="N8" s="2">
        <f t="array" ref="N8">IF($B8="","",IFERROR(INDEX(QBSpreadEff,MATCH($F8,QBTeams,0)),0)-IFERROR(INDEX(QBSpreadEff,MATCH($E8,QBTeams,0)),0))</f>
        <v>0</v>
      </c>
      <c r="O8" s="2">
        <f t="array" ref="O8">IF($B8="","",IFERROR(MEDIAN(-RestCapPts,RestCapPts,RestPerDay*(INDEX(SchedZone,MATCH($A8,SchedSeq,0),MAP!$B$16)-INDEX(SchedZone,MATCH($A8,SchedSeq,0),MAP!$B$15))),0))</f>
        <v>0</v>
      </c>
      <c r="P8" s="2">
        <f>IF($B8="","",SUMIFS(AdjSpread,AdjGameID,$B8,AdjTeam,$F8,AdjActive,1)-SUMIFS(AdjSpread,AdjGameID,$B8,AdjTeam,$E8,AdjActive,1))</f>
        <v>0</v>
      </c>
      <c r="Q8" s="2">
        <f t="shared" si="2"/>
        <v>0.55</v>
      </c>
      <c r="R8" s="11"/>
      <c r="S8" s="2">
        <f t="shared" si="3"/>
        <v>0.55</v>
      </c>
      <c r="T8" s="2" t="str">
        <f t="shared" si="4"/>
        <v>CIN -0.6</v>
      </c>
      <c r="U8" s="2" t="str">
        <f t="array" ref="U8">IF($B8="","",IFERROR(INDEX(MktHomeSpread,MATCH($B8,MktGameID,0)),""))</f>
        <v/>
      </c>
      <c r="V8" s="2" t="str">
        <f t="shared" si="5"/>
        <v/>
      </c>
      <c r="W8" s="2" t="str">
        <f t="shared" si="6"/>
        <v/>
      </c>
      <c r="X8" s="2" t="str">
        <f t="shared" si="7"/>
        <v/>
      </c>
      <c r="Y8" s="2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2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/>
      </c>
      <c r="AA8" s="2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2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2">
        <f t="array" ref="AC8">IF($B8="","",IFERROR(INDEX(QBTotEff,MATCH($F8,QBTeams,0)),0)+IFERROR(INDEX(QBTotEff,MATCH($E8,QBTeams,0)),0))</f>
        <v>0</v>
      </c>
      <c r="AD8" s="2">
        <f>IF($B8="","",SUMIFS(AdjTot,AdjGameID,$B8,AdjActive,1))</f>
        <v>0</v>
      </c>
      <c r="AE8" s="2">
        <f t="shared" si="8"/>
        <v>0</v>
      </c>
      <c r="AF8" s="11"/>
      <c r="AG8" s="2">
        <f t="shared" si="9"/>
        <v>0</v>
      </c>
      <c r="AH8" s="2" t="str">
        <f t="array" ref="AH8">IF($B8="","",IFERROR(INDEX(MktTotal,MATCH($B8,MktGameID,0)),""))</f>
        <v/>
      </c>
      <c r="AI8" s="2" t="str">
        <f t="shared" si="10"/>
        <v/>
      </c>
      <c r="AJ8" s="2" t="str">
        <f t="shared" si="11"/>
        <v/>
      </c>
      <c r="AK8" s="2" t="str">
        <f t="shared" si="12"/>
        <v/>
      </c>
      <c r="AL8" s="2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2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2" t="str">
        <f>IF($AG8="","","BET OVER at ≤ "&amp;TEXT($AG8-BetTot,"0.0")&amp;"  |  BET UNDER at ≥ "&amp;TEXT($AG8+BetTot,"0.0"))</f>
        <v>BET OVER at ≤ -3.0  |  BET UNDER at ≥ 3.0</v>
      </c>
      <c r="AO8" s="2" t="str">
        <f t="array" ref="AO8">IF($B8="","",IF(OR(IFERROR(INDEX(QBFlag,MATCH($F8,QBTeams,0)),1)=1,IFERROR(INDEX(QBFlag,MATCH($E8,QBTeams,0)),1)=1),"QB UNCERTAIN",""))</f>
        <v/>
      </c>
      <c r="AP8" s="2" t="str">
        <f t="array" ref="AP8">IF($B8="","",IFERROR(INDEX(DQStatus,MATCH($B8,DQGameID,0)),"BLOCKED — DQ ROW NOT FOUND"))</f>
        <v>READY</v>
      </c>
      <c r="AQ8" s="2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BOTH</v>
      </c>
      <c r="AR8" s="2" t="str">
        <f t="shared" si="13"/>
        <v/>
      </c>
      <c r="AS8" s="2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50</v>
      </c>
      <c r="AT8" s="2">
        <f t="shared" si="14"/>
        <v>1</v>
      </c>
      <c r="AU8" s="11"/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9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2" t="str">
        <f t="array" ref="G9">IF($B9="","",IF(INDEX(SchedZone,MATCH($A9,SchedSeq,0),MAP!$B$14)="Neutral","Y",""))</f>
        <v/>
      </c>
      <c r="H9" s="2" t="str">
        <f t="array" ref="H9">IF($B9="","",INDEX(SchedZone,MATCH($A9,SchedSeq,0),MAP!$B$17))</f>
        <v>dome</v>
      </c>
      <c r="I9" s="2">
        <f>IF(OR($B9="",$C9&lt;&gt;CurrentWeek),"",COUNTIF($C$5:$C9,CurrentWeek))</f>
        <v>5</v>
      </c>
      <c r="J9" s="2">
        <f t="array" ref="J9">IF($B9="","",IFERROR(INDEX(RatEff,MATCH($E9,RatTeams,0)),"⚠ TEAM NOT FOUND"))</f>
        <v>-0.94</v>
      </c>
      <c r="K9" s="2">
        <f t="array" ref="K9">IF($B9="","",IFERROR(INDEX(RatEff,MATCH($F9,RatTeams,0)),"⚠ TEAM NOT FOUND"))</f>
        <v>0.86</v>
      </c>
      <c r="L9" s="2">
        <f t="shared" si="1"/>
        <v>1.8</v>
      </c>
      <c r="M9" s="2">
        <f t="array" ref="M9">IF($B9="","",IF($G9="Y",NeutralHFA,IFERROR(INDEX(HFAexcVal,MATCH($F9,HFAexcTeam,0)),HFA_Base)))</f>
        <v>1.6</v>
      </c>
      <c r="N9" s="2">
        <f t="array" ref="N9">IF($B9="","",IFERROR(INDEX(QBSpreadEff,MATCH($F9,QBTeams,0)),0)-IFERROR(INDEX(QBSpreadEff,MATCH($E9,QBTeams,0)),0))</f>
        <v>0</v>
      </c>
      <c r="O9" s="2">
        <f t="array" ref="O9">IF($B9="","",IFERROR(MEDIAN(-RestCapPts,RestCapPts,RestPerDay*(INDEX(SchedZone,MATCH($A9,SchedSeq,0),MAP!$B$16)-INDEX(SchedZone,MATCH($A9,SchedSeq,0),MAP!$B$15))),0))</f>
        <v>0</v>
      </c>
      <c r="P9" s="2">
        <f>IF($B9="","",SUMIFS(AdjSpread,AdjGameID,$B9,AdjTeam,$F9,AdjActive,1)-SUMIFS(AdjSpread,AdjGameID,$B9,AdjTeam,$E9,AdjActive,1))</f>
        <v>0</v>
      </c>
      <c r="Q9" s="2">
        <f t="shared" si="2"/>
        <v>3.4</v>
      </c>
      <c r="R9" s="11"/>
      <c r="S9" s="2">
        <f t="shared" si="3"/>
        <v>3.4</v>
      </c>
      <c r="T9" s="2" t="str">
        <f t="shared" si="4"/>
        <v>DET -3.4</v>
      </c>
      <c r="U9" s="2" t="str">
        <f t="array" ref="U9">IF($B9="","",IFERROR(INDEX(MktHomeSpread,MATCH($B9,MktGameID,0)),""))</f>
        <v/>
      </c>
      <c r="V9" s="2" t="str">
        <f t="shared" si="5"/>
        <v/>
      </c>
      <c r="W9" s="2" t="str">
        <f t="shared" si="6"/>
        <v/>
      </c>
      <c r="X9" s="2" t="str">
        <f t="shared" si="7"/>
        <v/>
      </c>
      <c r="Y9" s="2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2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/>
      </c>
      <c r="AA9" s="2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2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2">
        <f t="array" ref="AC9">IF($B9="","",IFERROR(INDEX(QBTotEff,MATCH($F9,QBTeams,0)),0)+IFERROR(INDEX(QBTotEff,MATCH($E9,QBTeams,0)),0))</f>
        <v>0</v>
      </c>
      <c r="AD9" s="2">
        <f>IF($B9="","",SUMIFS(AdjTot,AdjGameID,$B9,AdjActive,1))</f>
        <v>0</v>
      </c>
      <c r="AE9" s="2">
        <f t="shared" si="8"/>
        <v>0</v>
      </c>
      <c r="AF9" s="11"/>
      <c r="AG9" s="2">
        <f t="shared" si="9"/>
        <v>0</v>
      </c>
      <c r="AH9" s="2" t="str">
        <f t="array" ref="AH9">IF($B9="","",IFERROR(INDEX(MktTotal,MATCH($B9,MktGameID,0)),""))</f>
        <v/>
      </c>
      <c r="AI9" s="2" t="str">
        <f t="shared" si="10"/>
        <v/>
      </c>
      <c r="AJ9" s="2" t="str">
        <f t="shared" si="11"/>
        <v/>
      </c>
      <c r="AK9" s="2" t="str">
        <f t="shared" si="12"/>
        <v/>
      </c>
      <c r="AL9" s="2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2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2" t="str">
        <f>IF($AG9="","","BET OVER at ≤ "&amp;TEXT($AG9-BetTot,"0.0")&amp;"  |  BET UNDER at ≥ "&amp;TEXT($AG9+BetTot,"0.0"))</f>
        <v>BET OVER at ≤ -3.0  |  BET UNDER at ≥ 3.0</v>
      </c>
      <c r="AO9" s="2" t="str">
        <f t="array" ref="AO9">IF($B9="","",IF(OR(IFERROR(INDEX(QBFlag,MATCH($F9,QBTeams,0)),1)=1,IFERROR(INDEX(QBFlag,MATCH($E9,QBTeams,0)),1)=1),"QB UNCERTAIN",""))</f>
        <v/>
      </c>
      <c r="AP9" s="2" t="str">
        <f t="array" ref="AP9">IF($B9="","",IFERROR(INDEX(DQStatus,MATCH($B9,DQGameID,0)),"BLOCKED — DQ ROW NOT FOUND"))</f>
        <v>READY</v>
      </c>
      <c r="AQ9" s="2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BOTH</v>
      </c>
      <c r="AR9" s="2" t="str">
        <f t="shared" si="13"/>
        <v/>
      </c>
      <c r="AS9" s="2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50</v>
      </c>
      <c r="AT9" s="2">
        <f t="shared" si="14"/>
        <v>1</v>
      </c>
      <c r="AU9" s="11"/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9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2" t="str">
        <f t="array" ref="G10">IF($B10="","",IF(INDEX(SchedZone,MATCH($A10,SchedSeq,0),MAP!$B$14)="Neutral","Y",""))</f>
        <v/>
      </c>
      <c r="H10" s="2" t="str">
        <f t="array" ref="H10">IF($B10="","",INDEX(SchedZone,MATCH($A10,SchedSeq,0),MAP!$B$17))</f>
        <v/>
      </c>
      <c r="I10" s="2">
        <f>IF(OR($B10="",$C10&lt;&gt;CurrentWeek),"",COUNTIF($C$5:$C10,CurrentWeek))</f>
        <v>6</v>
      </c>
      <c r="J10" s="2">
        <f t="array" ref="J10">IF($B10="","",IFERROR(INDEX(RatEff,MATCH($E10,RatTeams,0)),"⚠ TEAM NOT FOUND"))</f>
        <v>1.75</v>
      </c>
      <c r="K10" s="2">
        <f t="array" ref="K10">IF($B10="","",IFERROR(INDEX(RatEff,MATCH($F10,RatTeams,0)),"⚠ TEAM NOT FOUND"))</f>
        <v>2.71</v>
      </c>
      <c r="L10" s="2">
        <f t="shared" si="1"/>
        <v>0.96</v>
      </c>
      <c r="M10" s="2">
        <f t="array" ref="M10">IF($B10="","",IF($G10="Y",NeutralHFA,IFERROR(INDEX(HFAexcVal,MATCH($F10,HFAexcTeam,0)),HFA_Base)))</f>
        <v>1.6</v>
      </c>
      <c r="N10" s="2">
        <f t="array" ref="N10">IF($B10="","",IFERROR(INDEX(QBSpreadEff,MATCH($F10,QBTeams,0)),0)-IFERROR(INDEX(QBSpreadEff,MATCH($E10,QBTeams,0)),0))</f>
        <v>0</v>
      </c>
      <c r="O10" s="2">
        <f t="array" ref="O10">IF($B10="","",IFERROR(MEDIAN(-RestCapPts,RestCapPts,RestPerDay*(INDEX(SchedZone,MATCH($A10,SchedSeq,0),MAP!$B$16)-INDEX(SchedZone,MATCH($A10,SchedSeq,0),MAP!$B$15))),0))</f>
        <v>0</v>
      </c>
      <c r="P10" s="2">
        <f>IF($B10="","",SUMIFS(AdjSpread,AdjGameID,$B10,AdjTeam,$F10,AdjActive,1)-SUMIFS(AdjSpread,AdjGameID,$B10,AdjTeam,$E10,AdjActive,1))</f>
        <v>0</v>
      </c>
      <c r="Q10" s="2">
        <f t="shared" si="2"/>
        <v>2.56</v>
      </c>
      <c r="R10" s="11"/>
      <c r="S10" s="2">
        <f t="shared" si="3"/>
        <v>2.56</v>
      </c>
      <c r="T10" s="2" t="str">
        <f t="shared" si="4"/>
        <v>HOU -2.6</v>
      </c>
      <c r="U10" s="2" t="str">
        <f t="array" ref="U10">IF($B10="","",IFERROR(INDEX(MktHomeSpread,MATCH($B10,MktGameID,0)),""))</f>
        <v/>
      </c>
      <c r="V10" s="2" t="str">
        <f t="shared" si="5"/>
        <v/>
      </c>
      <c r="W10" s="2" t="str">
        <f t="shared" si="6"/>
        <v/>
      </c>
      <c r="X10" s="2" t="str">
        <f t="shared" si="7"/>
        <v/>
      </c>
      <c r="Y10" s="2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2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/>
      </c>
      <c r="AA10" s="2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2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2">
        <f t="array" ref="AC10">IF($B10="","",IFERROR(INDEX(QBTotEff,MATCH($F10,QBTeams,0)),0)+IFERROR(INDEX(QBTotEff,MATCH($E10,QBTeams,0)),0))</f>
        <v>0</v>
      </c>
      <c r="AD10" s="2">
        <f>IF($B10="","",SUMIFS(AdjTot,AdjGameID,$B10,AdjActive,1))</f>
        <v>0</v>
      </c>
      <c r="AE10" s="2">
        <f t="shared" si="8"/>
        <v>0</v>
      </c>
      <c r="AF10" s="11"/>
      <c r="AG10" s="2">
        <f t="shared" si="9"/>
        <v>0</v>
      </c>
      <c r="AH10" s="2" t="str">
        <f t="array" ref="AH10">IF($B10="","",IFERROR(INDEX(MktTotal,MATCH($B10,MktGameID,0)),""))</f>
        <v/>
      </c>
      <c r="AI10" s="2" t="str">
        <f t="shared" si="10"/>
        <v/>
      </c>
      <c r="AJ10" s="2" t="str">
        <f t="shared" si="11"/>
        <v/>
      </c>
      <c r="AK10" s="2" t="str">
        <f t="shared" si="12"/>
        <v/>
      </c>
      <c r="AL10" s="2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2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2" t="str">
        <f>IF($AG10="","","BET OVER at ≤ "&amp;TEXT($AG10-BetTot,"0.0")&amp;"  |  BET UNDER at ≥ "&amp;TEXT($AG10+BetTot,"0.0"))</f>
        <v>BET OVER at ≤ -3.0  |  BET UNDER at ≥ 3.0</v>
      </c>
      <c r="AO10" s="2" t="str">
        <f t="array" ref="AO10">IF($B10="","",IF(OR(IFERROR(INDEX(QBFlag,MATCH($F10,QBTeams,0)),1)=1,IFERROR(INDEX(QBFlag,MATCH($E10,QBTeams,0)),1)=1),"QB UNCERTAIN",""))</f>
        <v/>
      </c>
      <c r="AP10" s="2" t="str">
        <f t="array" ref="AP10">IF($B10="","",IFERROR(INDEX(DQStatus,MATCH($B10,DQGameID,0)),"BLOCKED — DQ ROW NOT FOUND"))</f>
        <v>READY</v>
      </c>
      <c r="AQ10" s="2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BOTH</v>
      </c>
      <c r="AR10" s="2" t="str">
        <f t="shared" si="13"/>
        <v/>
      </c>
      <c r="AS10" s="2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50</v>
      </c>
      <c r="AT10" s="2">
        <f t="shared" si="14"/>
        <v>1</v>
      </c>
      <c r="AU10" s="11"/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9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2" t="str">
        <f t="array" ref="G11">IF($B11="","",IF(INDEX(SchedZone,MATCH($A11,SchedSeq,0),MAP!$B$14)="Neutral","Y",""))</f>
        <v/>
      </c>
      <c r="H11" s="2" t="str">
        <f t="array" ref="H11">IF($B11="","",INDEX(SchedZone,MATCH($A11,SchedSeq,0),MAP!$B$17))</f>
        <v/>
      </c>
      <c r="I11" s="2">
        <f>IF(OR($B11="",$C11&lt;&gt;CurrentWeek),"",COUNTIF($C$5:$C11,CurrentWeek))</f>
        <v>7</v>
      </c>
      <c r="J11" s="2">
        <f t="array" ref="J11">IF($B11="","",IFERROR(INDEX(RatEff,MATCH($E11,RatTeams,0)),"⚠ TEAM NOT FOUND"))</f>
        <v>0.92</v>
      </c>
      <c r="K11" s="2">
        <f t="array" ref="K11">IF($B11="","",IFERROR(INDEX(RatEff,MATCH($F11,RatTeams,0)),"⚠ TEAM NOT FOUND"))</f>
        <v>0.82</v>
      </c>
      <c r="L11" s="2">
        <f t="shared" si="1"/>
        <v>-0.1</v>
      </c>
      <c r="M11" s="2">
        <f t="array" ref="M11">IF($B11="","",IF($G11="Y",NeutralHFA,IFERROR(INDEX(HFAexcVal,MATCH($F11,HFAexcTeam,0)),HFA_Base)))</f>
        <v>1.6</v>
      </c>
      <c r="N11" s="2">
        <f t="array" ref="N11">IF($B11="","",IFERROR(INDEX(QBSpreadEff,MATCH($F11,QBTeams,0)),0)-IFERROR(INDEX(QBSpreadEff,MATCH($E11,QBTeams,0)),0))</f>
        <v>0</v>
      </c>
      <c r="O11" s="2">
        <f t="array" ref="O11">IF($B11="","",IFERROR(MEDIAN(-RestCapPts,RestCapPts,RestPerDay*(INDEX(SchedZone,MATCH($A11,SchedSeq,0),MAP!$B$16)-INDEX(SchedZone,MATCH($A11,SchedSeq,0),MAP!$B$15))),0))</f>
        <v>0</v>
      </c>
      <c r="P11" s="2">
        <f>IF($B11="","",SUMIFS(AdjSpread,AdjGameID,$B11,AdjTeam,$F11,AdjActive,1)-SUMIFS(AdjSpread,AdjGameID,$B11,AdjTeam,$E11,AdjActive,1))</f>
        <v>0</v>
      </c>
      <c r="Q11" s="2">
        <f t="shared" si="2"/>
        <v>1.5</v>
      </c>
      <c r="R11" s="11"/>
      <c r="S11" s="2">
        <f t="shared" si="3"/>
        <v>1.5</v>
      </c>
      <c r="T11" s="2" t="str">
        <f t="shared" si="4"/>
        <v>IND -1.5</v>
      </c>
      <c r="U11" s="2" t="str">
        <f t="array" ref="U11">IF($B11="","",IFERROR(INDEX(MktHomeSpread,MATCH($B11,MktGameID,0)),""))</f>
        <v/>
      </c>
      <c r="V11" s="2" t="str">
        <f t="shared" si="5"/>
        <v/>
      </c>
      <c r="W11" s="2" t="str">
        <f t="shared" si="6"/>
        <v/>
      </c>
      <c r="X11" s="2" t="str">
        <f t="shared" si="7"/>
        <v/>
      </c>
      <c r="Y11" s="2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2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/>
      </c>
      <c r="AA11" s="2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2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2">
        <f t="array" ref="AC11">IF($B11="","",IFERROR(INDEX(QBTotEff,MATCH($F11,QBTeams,0)),0)+IFERROR(INDEX(QBTotEff,MATCH($E11,QBTeams,0)),0))</f>
        <v>0</v>
      </c>
      <c r="AD11" s="2">
        <f>IF($B11="","",SUMIFS(AdjTot,AdjGameID,$B11,AdjActive,1))</f>
        <v>0</v>
      </c>
      <c r="AE11" s="2">
        <f t="shared" si="8"/>
        <v>0</v>
      </c>
      <c r="AF11" s="11"/>
      <c r="AG11" s="2">
        <f t="shared" si="9"/>
        <v>0</v>
      </c>
      <c r="AH11" s="2" t="str">
        <f t="array" ref="AH11">IF($B11="","",IFERROR(INDEX(MktTotal,MATCH($B11,MktGameID,0)),""))</f>
        <v/>
      </c>
      <c r="AI11" s="2" t="str">
        <f t="shared" si="10"/>
        <v/>
      </c>
      <c r="AJ11" s="2" t="str">
        <f t="shared" si="11"/>
        <v/>
      </c>
      <c r="AK11" s="2" t="str">
        <f t="shared" si="12"/>
        <v/>
      </c>
      <c r="AL11" s="2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2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2" t="str">
        <f>IF($AG11="","","BET OVER at ≤ "&amp;TEXT($AG11-BetTot,"0.0")&amp;"  |  BET UNDER at ≥ "&amp;TEXT($AG11+BetTot,"0.0"))</f>
        <v>BET OVER at ≤ -3.0  |  BET UNDER at ≥ 3.0</v>
      </c>
      <c r="AO11" s="2" t="str">
        <f t="array" ref="AO11">IF($B11="","",IF(OR(IFERROR(INDEX(QBFlag,MATCH($F11,QBTeams,0)),1)=1,IFERROR(INDEX(QBFlag,MATCH($E11,QBTeams,0)),1)=1),"QB UNCERTAIN",""))</f>
        <v/>
      </c>
      <c r="AP11" s="2" t="str">
        <f t="array" ref="AP11">IF($B11="","",IFERROR(INDEX(DQStatus,MATCH($B11,DQGameID,0)),"BLOCKED — DQ ROW NOT FOUND"))</f>
        <v>READY</v>
      </c>
      <c r="AQ11" s="2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BOTH</v>
      </c>
      <c r="AR11" s="2" t="str">
        <f t="shared" si="13"/>
        <v/>
      </c>
      <c r="AS11" s="2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50</v>
      </c>
      <c r="AT11" s="2">
        <f t="shared" si="14"/>
        <v>1</v>
      </c>
      <c r="AU11" s="11"/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9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2" t="str">
        <f t="array" ref="G12">IF($B12="","",IF(INDEX(SchedZone,MATCH($A12,SchedSeq,0),MAP!$B$14)="Neutral","Y",""))</f>
        <v/>
      </c>
      <c r="H12" s="2" t="str">
        <f t="array" ref="H12">IF($B12="","",INDEX(SchedZone,MATCH($A12,SchedSeq,0),MAP!$B$17))</f>
        <v>outdoors</v>
      </c>
      <c r="I12" s="2">
        <f>IF(OR($B12="",$C12&lt;&gt;CurrentWeek),"",COUNTIF($C$5:$C12,CurrentWeek))</f>
        <v>8</v>
      </c>
      <c r="J12" s="2">
        <f t="array" ref="J12">IF($B12="","",IFERROR(INDEX(RatEff,MATCH($E12,RatTeams,0)),"⚠ TEAM NOT FOUND"))</f>
        <v>-2.6</v>
      </c>
      <c r="K12" s="2">
        <f t="array" ref="K12">IF($B12="","",IFERROR(INDEX(RatEff,MATCH($F12,RatTeams,0)),"⚠ TEAM NOT FOUND"))</f>
        <v>3.22</v>
      </c>
      <c r="L12" s="2">
        <f t="shared" si="1"/>
        <v>5.82</v>
      </c>
      <c r="M12" s="2">
        <f t="array" ref="M12">IF($B12="","",IF($G12="Y",NeutralHFA,IFERROR(INDEX(HFAexcVal,MATCH($F12,HFAexcTeam,0)),HFA_Base)))</f>
        <v>1.6</v>
      </c>
      <c r="N12" s="2">
        <f t="array" ref="N12">IF($B12="","",IFERROR(INDEX(QBSpreadEff,MATCH($F12,QBTeams,0)),0)-IFERROR(INDEX(QBSpreadEff,MATCH($E12,QBTeams,0)),0))</f>
        <v>0</v>
      </c>
      <c r="O12" s="2">
        <f t="array" ref="O12">IF($B12="","",IFERROR(MEDIAN(-RestCapPts,RestCapPts,RestPerDay*(INDEX(SchedZone,MATCH($A12,SchedSeq,0),MAP!$B$16)-INDEX(SchedZone,MATCH($A12,SchedSeq,0),MAP!$B$15))),0))</f>
        <v>0</v>
      </c>
      <c r="P12" s="2">
        <f>IF($B12="","",SUMIFS(AdjSpread,AdjGameID,$B12,AdjTeam,$F12,AdjActive,1)-SUMIFS(AdjSpread,AdjGameID,$B12,AdjTeam,$E12,AdjActive,1))</f>
        <v>0</v>
      </c>
      <c r="Q12" s="2">
        <f t="shared" si="2"/>
        <v>7.42</v>
      </c>
      <c r="R12" s="11"/>
      <c r="S12" s="2">
        <f t="shared" si="3"/>
        <v>7.42</v>
      </c>
      <c r="T12" s="2" t="str">
        <f t="shared" si="4"/>
        <v>JAX -7.4</v>
      </c>
      <c r="U12" s="2" t="str">
        <f t="array" ref="U12">IF($B12="","",IFERROR(INDEX(MktHomeSpread,MATCH($B12,MktGameID,0)),""))</f>
        <v/>
      </c>
      <c r="V12" s="2" t="str">
        <f t="shared" si="5"/>
        <v/>
      </c>
      <c r="W12" s="2" t="str">
        <f t="shared" si="6"/>
        <v/>
      </c>
      <c r="X12" s="2" t="str">
        <f t="shared" si="7"/>
        <v/>
      </c>
      <c r="Y12" s="2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2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2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2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2">
        <f t="array" ref="AC12">IF($B12="","",IFERROR(INDEX(QBTotEff,MATCH($F12,QBTeams,0)),0)+IFERROR(INDEX(QBTotEff,MATCH($E12,QBTeams,0)),0))</f>
        <v>0</v>
      </c>
      <c r="AD12" s="2">
        <f>IF($B12="","",SUMIFS(AdjTot,AdjGameID,$B12,AdjActive,1))</f>
        <v>0</v>
      </c>
      <c r="AE12" s="2">
        <f t="shared" si="8"/>
        <v>0</v>
      </c>
      <c r="AF12" s="11"/>
      <c r="AG12" s="2">
        <f t="shared" si="9"/>
        <v>0</v>
      </c>
      <c r="AH12" s="2" t="str">
        <f t="array" ref="AH12">IF($B12="","",IFERROR(INDEX(MktTotal,MATCH($B12,MktGameID,0)),""))</f>
        <v/>
      </c>
      <c r="AI12" s="2" t="str">
        <f t="shared" si="10"/>
        <v/>
      </c>
      <c r="AJ12" s="2" t="str">
        <f t="shared" si="11"/>
        <v/>
      </c>
      <c r="AK12" s="2" t="str">
        <f t="shared" si="12"/>
        <v/>
      </c>
      <c r="AL12" s="2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Low</v>
      </c>
      <c r="AM12" s="2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2" t="str">
        <f>IF($AG12="","","BET OVER at ≤ "&amp;TEXT($AG12-BetTot,"0.0")&amp;"  |  BET UNDER at ≥ "&amp;TEXT($AG12+BetTot,"0.0"))</f>
        <v>BET OVER at ≤ -3.0  |  BET UNDER at ≥ 3.0</v>
      </c>
      <c r="AO12" s="2" t="str">
        <f t="array" ref="AO12">IF($B12="","",IF(OR(IFERROR(INDEX(QBFlag,MATCH($F12,QBTeams,0)),1)=1,IFERROR(INDEX(QBFlag,MATCH($E12,QBTeams,0)),1)=1),"QB UNCERTAIN",""))</f>
        <v>QB UNCERTAIN</v>
      </c>
      <c r="AP12" s="2" t="str">
        <f t="array" ref="AP12">IF($B12="","",IFERROR(INDEX(DQStatus,MATCH($B12,DQGameID,0)),"BLOCKED — DQ ROW NOT FOUND"))</f>
        <v>READY</v>
      </c>
      <c r="AQ12" s="2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BOTH</v>
      </c>
      <c r="AR12" s="2" t="str">
        <f t="shared" si="13"/>
        <v/>
      </c>
      <c r="AS12" s="2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30</v>
      </c>
      <c r="AT12" s="2">
        <f t="shared" si="14"/>
        <v>13</v>
      </c>
      <c r="AU12" s="11"/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9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2" t="str">
        <f t="array" ref="G13">IF($B13="","",IF(INDEX(SchedZone,MATCH($A13,SchedSeq,0),MAP!$B$14)="Neutral","Y",""))</f>
        <v/>
      </c>
      <c r="H13" s="2" t="str">
        <f t="array" ref="H13">IF($B13="","",INDEX(SchedZone,MATCH($A13,SchedSeq,0),MAP!$B$17))</f>
        <v>outdoors</v>
      </c>
      <c r="I13" s="2">
        <f>IF(OR($B13="",$C13&lt;&gt;CurrentWeek),"",COUNTIF($C$5:$C13,CurrentWeek))</f>
        <v>9</v>
      </c>
      <c r="J13" s="2">
        <f t="array" ref="J13">IF($B13="","",IFERROR(INDEX(RatEff,MATCH($E13,RatTeams,0)),"⚠ TEAM NOT FOUND"))</f>
        <v>-0.06</v>
      </c>
      <c r="K13" s="2">
        <f t="array" ref="K13">IF($B13="","",IFERROR(INDEX(RatEff,MATCH($F13,RatTeams,0)),"⚠ TEAM NOT FOUND"))</f>
        <v>0.66</v>
      </c>
      <c r="L13" s="2">
        <f t="shared" si="1"/>
        <v>0.72</v>
      </c>
      <c r="M13" s="2">
        <f t="array" ref="M13">IF($B13="","",IF($G13="Y",NeutralHFA,IFERROR(INDEX(HFAexcVal,MATCH($F13,HFAexcTeam,0)),HFA_Base)))</f>
        <v>1.6</v>
      </c>
      <c r="N13" s="2">
        <f t="array" ref="N13">IF($B13="","",IFERROR(INDEX(QBSpreadEff,MATCH($F13,QBTeams,0)),0)-IFERROR(INDEX(QBSpreadEff,MATCH($E13,QBTeams,0)),0))</f>
        <v>0</v>
      </c>
      <c r="O13" s="2">
        <f t="array" ref="O13">IF($B13="","",IFERROR(MEDIAN(-RestCapPts,RestCapPts,RestPerDay*(INDEX(SchedZone,MATCH($A13,SchedSeq,0),MAP!$B$16)-INDEX(SchedZone,MATCH($A13,SchedSeq,0),MAP!$B$15))),0))</f>
        <v>0</v>
      </c>
      <c r="P13" s="2">
        <f>IF($B13="","",SUMIFS(AdjSpread,AdjGameID,$B13,AdjTeam,$F13,AdjActive,1)-SUMIFS(AdjSpread,AdjGameID,$B13,AdjTeam,$E13,AdjActive,1))</f>
        <v>0</v>
      </c>
      <c r="Q13" s="2">
        <f t="shared" si="2"/>
        <v>2.32</v>
      </c>
      <c r="R13" s="11"/>
      <c r="S13" s="2">
        <f t="shared" si="3"/>
        <v>2.32</v>
      </c>
      <c r="T13" s="2" t="str">
        <f t="shared" si="4"/>
        <v>PIT -2.3</v>
      </c>
      <c r="U13" s="2" t="str">
        <f t="array" ref="U13">IF($B13="","",IFERROR(INDEX(MktHomeSpread,MATCH($B13,MktGameID,0)),""))</f>
        <v/>
      </c>
      <c r="V13" s="2" t="str">
        <f t="shared" si="5"/>
        <v/>
      </c>
      <c r="W13" s="2" t="str">
        <f t="shared" si="6"/>
        <v/>
      </c>
      <c r="X13" s="2" t="str">
        <f t="shared" si="7"/>
        <v/>
      </c>
      <c r="Y13" s="2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2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2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2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2">
        <f t="array" ref="AC13">IF($B13="","",IFERROR(INDEX(QBTotEff,MATCH($F13,QBTeams,0)),0)+IFERROR(INDEX(QBTotEff,MATCH($E13,QBTeams,0)),0))</f>
        <v>0</v>
      </c>
      <c r="AD13" s="2">
        <f>IF($B13="","",SUMIFS(AdjTot,AdjGameID,$B13,AdjActive,1))</f>
        <v>0</v>
      </c>
      <c r="AE13" s="2">
        <f t="shared" si="8"/>
        <v>0</v>
      </c>
      <c r="AF13" s="11"/>
      <c r="AG13" s="2">
        <f t="shared" si="9"/>
        <v>0</v>
      </c>
      <c r="AH13" s="2" t="str">
        <f t="array" ref="AH13">IF($B13="","",IFERROR(INDEX(MktTotal,MATCH($B13,MktGameID,0)),""))</f>
        <v/>
      </c>
      <c r="AI13" s="2" t="str">
        <f t="shared" si="10"/>
        <v/>
      </c>
      <c r="AJ13" s="2" t="str">
        <f t="shared" si="11"/>
        <v/>
      </c>
      <c r="AK13" s="2" t="str">
        <f t="shared" si="12"/>
        <v/>
      </c>
      <c r="AL13" s="2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2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2" t="str">
        <f>IF($AG13="","","BET OVER at ≤ "&amp;TEXT($AG13-BetTot,"0.0")&amp;"  |  BET UNDER at ≥ "&amp;TEXT($AG13+BetTot,"0.0"))</f>
        <v>BET OVER at ≤ -3.0  |  BET UNDER at ≥ 3.0</v>
      </c>
      <c r="AO13" s="2" t="str">
        <f t="array" ref="AO13">IF($B13="","",IF(OR(IFERROR(INDEX(QBFlag,MATCH($F13,QBTeams,0)),1)=1,IFERROR(INDEX(QBFlag,MATCH($E13,QBTeams,0)),1)=1),"QB UNCERTAIN",""))</f>
        <v>QB UNCERTAIN</v>
      </c>
      <c r="AP13" s="2" t="str">
        <f t="array" ref="AP13">IF($B13="","",IFERROR(INDEX(DQStatus,MATCH($B13,DQGameID,0)),"BLOCKED — DQ ROW NOT FOUND"))</f>
        <v>READY</v>
      </c>
      <c r="AQ13" s="2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BOTH</v>
      </c>
      <c r="AR13" s="2" t="str">
        <f t="shared" si="13"/>
        <v/>
      </c>
      <c r="AS13" s="2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30</v>
      </c>
      <c r="AT13" s="2">
        <f t="shared" si="14"/>
        <v>13</v>
      </c>
      <c r="AU13" s="11"/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9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2" t="str">
        <f t="array" ref="G14">IF($B14="","",IF(INDEX(SchedZone,MATCH($A14,SchedSeq,0),MAP!$B$14)="Neutral","Y",""))</f>
        <v/>
      </c>
      <c r="H14" s="2" t="str">
        <f t="array" ref="H14">IF($B14="","",INDEX(SchedZone,MATCH($A14,SchedSeq,0),MAP!$B$17))</f>
        <v>outdoors</v>
      </c>
      <c r="I14" s="2">
        <f>IF(OR($B14="",$C14&lt;&gt;CurrentWeek),"",COUNTIF($C$5:$C14,CurrentWeek))</f>
        <v>10</v>
      </c>
      <c r="J14" s="2">
        <f t="array" ref="J14">IF($B14="","",IFERROR(INDEX(RatEff,MATCH($E14,RatTeams,0)),"⚠ TEAM NOT FOUND"))</f>
        <v>-4.67</v>
      </c>
      <c r="K14" s="2">
        <f t="array" ref="K14">IF($B14="","",IFERROR(INDEX(RatEff,MATCH($F14,RatTeams,0)),"⚠ TEAM NOT FOUND"))</f>
        <v>-3.14</v>
      </c>
      <c r="L14" s="2">
        <f t="shared" si="1"/>
        <v>1.53</v>
      </c>
      <c r="M14" s="2">
        <f t="array" ref="M14">IF($B14="","",IF($G14="Y",NeutralHFA,IFERROR(INDEX(HFAexcVal,MATCH($F14,HFAexcTeam,0)),HFA_Base)))</f>
        <v>1.6</v>
      </c>
      <c r="N14" s="2">
        <f t="array" ref="N14">IF($B14="","",IFERROR(INDEX(QBSpreadEff,MATCH($F14,QBTeams,0)),0)-IFERROR(INDEX(QBSpreadEff,MATCH($E14,QBTeams,0)),0))</f>
        <v>0</v>
      </c>
      <c r="O14" s="2">
        <f t="array" ref="O14">IF($B14="","",IFERROR(MEDIAN(-RestCapPts,RestCapPts,RestPerDay*(INDEX(SchedZone,MATCH($A14,SchedSeq,0),MAP!$B$16)-INDEX(SchedZone,MATCH($A14,SchedSeq,0),MAP!$B$15))),0))</f>
        <v>0</v>
      </c>
      <c r="P14" s="2">
        <f>IF($B14="","",SUMIFS(AdjSpread,AdjGameID,$B14,AdjTeam,$F14,AdjActive,1)-SUMIFS(AdjSpread,AdjGameID,$B14,AdjTeam,$E14,AdjActive,1))</f>
        <v>0</v>
      </c>
      <c r="Q14" s="2">
        <f t="shared" si="2"/>
        <v>3.13</v>
      </c>
      <c r="R14" s="11"/>
      <c r="S14" s="2">
        <f t="shared" si="3"/>
        <v>3.13</v>
      </c>
      <c r="T14" s="2" t="str">
        <f t="shared" si="4"/>
        <v>TEN -3.1</v>
      </c>
      <c r="U14" s="2" t="str">
        <f t="array" ref="U14">IF($B14="","",IFERROR(INDEX(MktHomeSpread,MATCH($B14,MktGameID,0)),""))</f>
        <v/>
      </c>
      <c r="V14" s="2" t="str">
        <f t="shared" si="5"/>
        <v/>
      </c>
      <c r="W14" s="2" t="str">
        <f t="shared" si="6"/>
        <v/>
      </c>
      <c r="X14" s="2" t="str">
        <f t="shared" si="7"/>
        <v/>
      </c>
      <c r="Y14" s="2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2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2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2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2">
        <f t="array" ref="AC14">IF($B14="","",IFERROR(INDEX(QBTotEff,MATCH($F14,QBTeams,0)),0)+IFERROR(INDEX(QBTotEff,MATCH($E14,QBTeams,0)),0))</f>
        <v>0</v>
      </c>
      <c r="AD14" s="2">
        <f>IF($B14="","",SUMIFS(AdjTot,AdjGameID,$B14,AdjActive,1))</f>
        <v>0</v>
      </c>
      <c r="AE14" s="2">
        <f t="shared" si="8"/>
        <v>0</v>
      </c>
      <c r="AF14" s="11"/>
      <c r="AG14" s="2">
        <f t="shared" si="9"/>
        <v>0</v>
      </c>
      <c r="AH14" s="2" t="str">
        <f t="array" ref="AH14">IF($B14="","",IFERROR(INDEX(MktTotal,MATCH($B14,MktGameID,0)),""))</f>
        <v/>
      </c>
      <c r="AI14" s="2" t="str">
        <f t="shared" si="10"/>
        <v/>
      </c>
      <c r="AJ14" s="2" t="str">
        <f t="shared" si="11"/>
        <v/>
      </c>
      <c r="AK14" s="2" t="str">
        <f t="shared" si="12"/>
        <v/>
      </c>
      <c r="AL14" s="2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2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2" t="str">
        <f>IF($AG14="","","BET OVER at ≤ "&amp;TEXT($AG14-BetTot,"0.0")&amp;"  |  BET UNDER at ≥ "&amp;TEXT($AG14+BetTot,"0.0"))</f>
        <v>BET OVER at ≤ -3.0  |  BET UNDER at ≥ 3.0</v>
      </c>
      <c r="AO14" s="2" t="str">
        <f t="array" ref="AO14">IF($B14="","",IF(OR(IFERROR(INDEX(QBFlag,MATCH($F14,QBTeams,0)),1)=1,IFERROR(INDEX(QBFlag,MATCH($E14,QBTeams,0)),1)=1),"QB UNCERTAIN",""))</f>
        <v/>
      </c>
      <c r="AP14" s="2" t="str">
        <f t="array" ref="AP14">IF($B14="","",IFERROR(INDEX(DQStatus,MATCH($B14,DQGameID,0)),"BLOCKED — DQ ROW NOT FOUND"))</f>
        <v>READY</v>
      </c>
      <c r="AQ14" s="2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BOTH</v>
      </c>
      <c r="AR14" s="2" t="str">
        <f t="shared" si="13"/>
        <v/>
      </c>
      <c r="AS14" s="2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50</v>
      </c>
      <c r="AT14" s="2">
        <f t="shared" si="14"/>
        <v>1</v>
      </c>
      <c r="AU14" s="11"/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9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2" t="str">
        <f t="array" ref="G15">IF($B15="","",IF(INDEX(SchedZone,MATCH($A15,SchedSeq,0),MAP!$B$14)="Neutral","Y",""))</f>
        <v/>
      </c>
      <c r="H15" s="2" t="str">
        <f t="array" ref="H15">IF($B15="","",INDEX(SchedZone,MATCH($A15,SchedSeq,0),MAP!$B$17))</f>
        <v>dome</v>
      </c>
      <c r="I15" s="2">
        <f>IF(OR($B15="",$C15&lt;&gt;CurrentWeek),"",COUNTIF($C$5:$C15,CurrentWeek))</f>
        <v>11</v>
      </c>
      <c r="J15" s="2">
        <f t="array" ref="J15">IF($B15="","",IFERROR(INDEX(RatEff,MATCH($E15,RatTeams,0)),"⚠ TEAM NOT FOUND"))</f>
        <v>-2.07</v>
      </c>
      <c r="K15" s="2">
        <f t="array" ref="K15">IF($B15="","",IFERROR(INDEX(RatEff,MATCH($F15,RatTeams,0)),"⚠ TEAM NOT FOUND"))</f>
        <v>0.56</v>
      </c>
      <c r="L15" s="2">
        <f t="shared" si="1"/>
        <v>2.63</v>
      </c>
      <c r="M15" s="2">
        <f t="array" ref="M15">IF($B15="","",IF($G15="Y",NeutralHFA,IFERROR(INDEX(HFAexcVal,MATCH($F15,HFAexcTeam,0)),HFA_Base)))</f>
        <v>1.6</v>
      </c>
      <c r="N15" s="2">
        <f t="array" ref="N15">IF($B15="","",IFERROR(INDEX(QBSpreadEff,MATCH($F15,QBTeams,0)),0)-IFERROR(INDEX(QBSpreadEff,MATCH($E15,QBTeams,0)),0))</f>
        <v>0</v>
      </c>
      <c r="O15" s="2">
        <f t="array" ref="O15">IF($B15="","",IFERROR(MEDIAN(-RestCapPts,RestCapPts,RestPerDay*(INDEX(SchedZone,MATCH($A15,SchedSeq,0),MAP!$B$16)-INDEX(SchedZone,MATCH($A15,SchedSeq,0),MAP!$B$15))),0))</f>
        <v>0</v>
      </c>
      <c r="P15" s="2">
        <f>IF($B15="","",SUMIFS(AdjSpread,AdjGameID,$B15,AdjTeam,$F15,AdjActive,1)-SUMIFS(AdjSpread,AdjGameID,$B15,AdjTeam,$E15,AdjActive,1))</f>
        <v>0</v>
      </c>
      <c r="Q15" s="2">
        <f t="shared" si="2"/>
        <v>4.23</v>
      </c>
      <c r="R15" s="11"/>
      <c r="S15" s="2">
        <f t="shared" si="3"/>
        <v>4.23</v>
      </c>
      <c r="T15" s="2" t="str">
        <f t="shared" si="4"/>
        <v>LAC -4.2</v>
      </c>
      <c r="U15" s="2" t="str">
        <f t="array" ref="U15">IF($B15="","",IFERROR(INDEX(MktHomeSpread,MATCH($B15,MktGameID,0)),""))</f>
        <v/>
      </c>
      <c r="V15" s="2" t="str">
        <f t="shared" si="5"/>
        <v/>
      </c>
      <c r="W15" s="2" t="str">
        <f t="shared" si="6"/>
        <v/>
      </c>
      <c r="X15" s="2" t="str">
        <f t="shared" si="7"/>
        <v/>
      </c>
      <c r="Y15" s="2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2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/>
      </c>
      <c r="AA15" s="2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2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2">
        <f t="array" ref="AC15">IF($B15="","",IFERROR(INDEX(QBTotEff,MATCH($F15,QBTeams,0)),0)+IFERROR(INDEX(QBTotEff,MATCH($E15,QBTeams,0)),0))</f>
        <v>0</v>
      </c>
      <c r="AD15" s="2">
        <f>IF($B15="","",SUMIFS(AdjTot,AdjGameID,$B15,AdjActive,1))</f>
        <v>0</v>
      </c>
      <c r="AE15" s="2">
        <f t="shared" si="8"/>
        <v>0</v>
      </c>
      <c r="AF15" s="11"/>
      <c r="AG15" s="2">
        <f t="shared" si="9"/>
        <v>0</v>
      </c>
      <c r="AH15" s="2" t="str">
        <f t="array" ref="AH15">IF($B15="","",IFERROR(INDEX(MktTotal,MATCH($B15,MktGameID,0)),""))</f>
        <v/>
      </c>
      <c r="AI15" s="2" t="str">
        <f t="shared" si="10"/>
        <v/>
      </c>
      <c r="AJ15" s="2" t="str">
        <f t="shared" si="11"/>
        <v/>
      </c>
      <c r="AK15" s="2" t="str">
        <f t="shared" si="12"/>
        <v/>
      </c>
      <c r="AL15" s="2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Low</v>
      </c>
      <c r="AM15" s="2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2" t="str">
        <f>IF($AG15="","","BET OVER at ≤ "&amp;TEXT($AG15-BetTot,"0.0")&amp;"  |  BET UNDER at ≥ "&amp;TEXT($AG15+BetTot,"0.0"))</f>
        <v>BET OVER at ≤ -3.0  |  BET UNDER at ≥ 3.0</v>
      </c>
      <c r="AO15" s="2" t="str">
        <f t="array" ref="AO15">IF($B15="","",IF(OR(IFERROR(INDEX(QBFlag,MATCH($F15,QBTeams,0)),1)=1,IFERROR(INDEX(QBFlag,MATCH($E15,QBTeams,0)),1)=1),"QB UNCERTAIN",""))</f>
        <v>QB UNCERTAIN</v>
      </c>
      <c r="AP15" s="2" t="str">
        <f t="array" ref="AP15">IF($B15="","",IFERROR(INDEX(DQStatus,MATCH($B15,DQGameID,0)),"BLOCKED — DQ ROW NOT FOUND"))</f>
        <v>READY</v>
      </c>
      <c r="AQ15" s="2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BOTH</v>
      </c>
      <c r="AR15" s="2" t="str">
        <f t="shared" si="13"/>
        <v/>
      </c>
      <c r="AS15" s="2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30</v>
      </c>
      <c r="AT15" s="2">
        <f t="shared" si="14"/>
        <v>13</v>
      </c>
      <c r="AU15" s="11"/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9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2" t="str">
        <f t="array" ref="G16">IF($B16="","",IF(INDEX(SchedZone,MATCH($A16,SchedSeq,0),MAP!$B$14)="Neutral","Y",""))</f>
        <v/>
      </c>
      <c r="H16" s="2" t="str">
        <f t="array" ref="H16">IF($B16="","",INDEX(SchedZone,MATCH($A16,SchedSeq,0),MAP!$B$17))</f>
        <v>dome</v>
      </c>
      <c r="I16" s="2">
        <f>IF(OR($B16="",$C16&lt;&gt;CurrentWeek),"",COUNTIF($C$5:$C16,CurrentWeek))</f>
        <v>12</v>
      </c>
      <c r="J16" s="2">
        <f t="array" ref="J16">IF($B16="","",IFERROR(INDEX(RatEff,MATCH($E16,RatTeams,0)),"⚠ TEAM NOT FOUND"))</f>
        <v>-2.64</v>
      </c>
      <c r="K16" s="2">
        <f t="array" ref="K16">IF($B16="","",IFERROR(INDEX(RatEff,MATCH($F16,RatTeams,0)),"⚠ TEAM NOT FOUND"))</f>
        <v>-3.52</v>
      </c>
      <c r="L16" s="2">
        <f t="shared" si="1"/>
        <v>-0.88</v>
      </c>
      <c r="M16" s="2">
        <f t="array" ref="M16">IF($B16="","",IF($G16="Y",NeutralHFA,IFERROR(INDEX(HFAexcVal,MATCH($F16,HFAexcTeam,0)),HFA_Base)))</f>
        <v>1.6</v>
      </c>
      <c r="N16" s="2">
        <f t="array" ref="N16">IF($B16="","",IFERROR(INDEX(QBSpreadEff,MATCH($F16,QBTeams,0)),0)-IFERROR(INDEX(QBSpreadEff,MATCH($E16,QBTeams,0)),0))</f>
        <v>0</v>
      </c>
      <c r="O16" s="2">
        <f t="array" ref="O16">IF($B16="","",IFERROR(MEDIAN(-RestCapPts,RestCapPts,RestPerDay*(INDEX(SchedZone,MATCH($A16,SchedSeq,0),MAP!$B$16)-INDEX(SchedZone,MATCH($A16,SchedSeq,0),MAP!$B$15))),0))</f>
        <v>0</v>
      </c>
      <c r="P16" s="2">
        <f>IF($B16="","",SUMIFS(AdjSpread,AdjGameID,$B16,AdjTeam,$F16,AdjActive,1)-SUMIFS(AdjSpread,AdjGameID,$B16,AdjTeam,$E16,AdjActive,1))</f>
        <v>0</v>
      </c>
      <c r="Q16" s="2">
        <f t="shared" si="2"/>
        <v>0.72</v>
      </c>
      <c r="R16" s="11"/>
      <c r="S16" s="2">
        <f t="shared" si="3"/>
        <v>0.72</v>
      </c>
      <c r="T16" s="2" t="str">
        <f t="shared" si="4"/>
        <v>LV -0.7</v>
      </c>
      <c r="U16" s="2" t="str">
        <f t="array" ref="U16">IF($B16="","",IFERROR(INDEX(MktHomeSpread,MATCH($B16,MktGameID,0)),""))</f>
        <v/>
      </c>
      <c r="V16" s="2" t="str">
        <f t="shared" si="5"/>
        <v/>
      </c>
      <c r="W16" s="2" t="str">
        <f t="shared" si="6"/>
        <v/>
      </c>
      <c r="X16" s="2" t="str">
        <f t="shared" si="7"/>
        <v/>
      </c>
      <c r="Y16" s="2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2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/>
      </c>
      <c r="AA16" s="2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2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2">
        <f t="array" ref="AC16">IF($B16="","",IFERROR(INDEX(QBTotEff,MATCH($F16,QBTeams,0)),0)+IFERROR(INDEX(QBTotEff,MATCH($E16,QBTeams,0)),0))</f>
        <v>0</v>
      </c>
      <c r="AD16" s="2">
        <f>IF($B16="","",SUMIFS(AdjTot,AdjGameID,$B16,AdjActive,1))</f>
        <v>0</v>
      </c>
      <c r="AE16" s="2">
        <f t="shared" si="8"/>
        <v>0</v>
      </c>
      <c r="AF16" s="11"/>
      <c r="AG16" s="2">
        <f t="shared" si="9"/>
        <v>0</v>
      </c>
      <c r="AH16" s="2" t="str">
        <f t="array" ref="AH16">IF($B16="","",IFERROR(INDEX(MktTotal,MATCH($B16,MktGameID,0)),""))</f>
        <v/>
      </c>
      <c r="AI16" s="2" t="str">
        <f t="shared" si="10"/>
        <v/>
      </c>
      <c r="AJ16" s="2" t="str">
        <f t="shared" si="11"/>
        <v/>
      </c>
      <c r="AK16" s="2" t="str">
        <f t="shared" si="12"/>
        <v/>
      </c>
      <c r="AL16" s="2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2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2" t="str">
        <f>IF($AG16="","","BET OVER at ≤ "&amp;TEXT($AG16-BetTot,"0.0")&amp;"  |  BET UNDER at ≥ "&amp;TEXT($AG16+BetTot,"0.0"))</f>
        <v>BET OVER at ≤ -3.0  |  BET UNDER at ≥ 3.0</v>
      </c>
      <c r="AO16" s="2" t="str">
        <f t="array" ref="AO16">IF($B16="","",IF(OR(IFERROR(INDEX(QBFlag,MATCH($F16,QBTeams,0)),1)=1,IFERROR(INDEX(QBFlag,MATCH($E16,QBTeams,0)),1)=1),"QB UNCERTAIN",""))</f>
        <v/>
      </c>
      <c r="AP16" s="2" t="str">
        <f t="array" ref="AP16">IF($B16="","",IFERROR(INDEX(DQStatus,MATCH($B16,DQGameID,0)),"BLOCKED — DQ ROW NOT FOUND"))</f>
        <v>READY</v>
      </c>
      <c r="AQ16" s="2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BOTH</v>
      </c>
      <c r="AR16" s="2" t="str">
        <f t="shared" si="13"/>
        <v/>
      </c>
      <c r="AS16" s="2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50</v>
      </c>
      <c r="AT16" s="2">
        <f t="shared" si="14"/>
        <v>1</v>
      </c>
      <c r="AU16" s="11"/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9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2" t="str">
        <f t="array" ref="G17">IF($B17="","",IF(INDEX(SchedZone,MATCH($A17,SchedSeq,0),MAP!$B$14)="Neutral","Y",""))</f>
        <v/>
      </c>
      <c r="H17" s="2" t="str">
        <f t="array" ref="H17">IF($B17="","",INDEX(SchedZone,MATCH($A17,SchedSeq,0),MAP!$B$17))</f>
        <v>dome</v>
      </c>
      <c r="I17" s="2">
        <f>IF(OR($B17="",$C17&lt;&gt;CurrentWeek),"",COUNTIF($C$5:$C17,CurrentWeek))</f>
        <v>13</v>
      </c>
      <c r="J17" s="2">
        <f t="array" ref="J17">IF($B17="","",IFERROR(INDEX(RatEff,MATCH($E17,RatTeams,0)),"⚠ TEAM NOT FOUND"))</f>
        <v>0.51</v>
      </c>
      <c r="K17" s="2">
        <f t="array" ref="K17">IF($B17="","",IFERROR(INDEX(RatEff,MATCH($F17,RatTeams,0)),"⚠ TEAM NOT FOUND"))</f>
        <v>0.5</v>
      </c>
      <c r="L17" s="2">
        <f t="shared" si="1"/>
        <v>-0.01</v>
      </c>
      <c r="M17" s="2">
        <f t="array" ref="M17">IF($B17="","",IF($G17="Y",NeutralHFA,IFERROR(INDEX(HFAexcVal,MATCH($F17,HFAexcTeam,0)),HFA_Base)))</f>
        <v>1.6</v>
      </c>
      <c r="N17" s="2">
        <f t="array" ref="N17">IF($B17="","",IFERROR(INDEX(QBSpreadEff,MATCH($F17,QBTeams,0)),0)-IFERROR(INDEX(QBSpreadEff,MATCH($E17,QBTeams,0)),0))</f>
        <v>0</v>
      </c>
      <c r="O17" s="2">
        <f t="array" ref="O17">IF($B17="","",IFERROR(MEDIAN(-RestCapPts,RestCapPts,RestPerDay*(INDEX(SchedZone,MATCH($A17,SchedSeq,0),MAP!$B$16)-INDEX(SchedZone,MATCH($A17,SchedSeq,0),MAP!$B$15))),0))</f>
        <v>0</v>
      </c>
      <c r="P17" s="2">
        <f>IF($B17="","",SUMIFS(AdjSpread,AdjGameID,$B17,AdjTeam,$F17,AdjActive,1)-SUMIFS(AdjSpread,AdjGameID,$B17,AdjTeam,$E17,AdjActive,1))</f>
        <v>0</v>
      </c>
      <c r="Q17" s="2">
        <f t="shared" si="2"/>
        <v>1.59</v>
      </c>
      <c r="R17" s="11"/>
      <c r="S17" s="2">
        <f t="shared" si="3"/>
        <v>1.59</v>
      </c>
      <c r="T17" s="2" t="str">
        <f t="shared" si="4"/>
        <v>MIN -1.6</v>
      </c>
      <c r="U17" s="2" t="str">
        <f t="array" ref="U17">IF($B17="","",IFERROR(INDEX(MktHomeSpread,MATCH($B17,MktGameID,0)),""))</f>
        <v/>
      </c>
      <c r="V17" s="2" t="str">
        <f t="shared" si="5"/>
        <v/>
      </c>
      <c r="W17" s="2" t="str">
        <f t="shared" si="6"/>
        <v/>
      </c>
      <c r="X17" s="2" t="str">
        <f t="shared" si="7"/>
        <v/>
      </c>
      <c r="Y17" s="2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2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2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2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2">
        <f t="array" ref="AC17">IF($B17="","",IFERROR(INDEX(QBTotEff,MATCH($F17,QBTeams,0)),0)+IFERROR(INDEX(QBTotEff,MATCH($E17,QBTeams,0)),0))</f>
        <v>0</v>
      </c>
      <c r="AD17" s="2">
        <f>IF($B17="","",SUMIFS(AdjTot,AdjGameID,$B17,AdjActive,1))</f>
        <v>0</v>
      </c>
      <c r="AE17" s="2">
        <f t="shared" si="8"/>
        <v>0</v>
      </c>
      <c r="AF17" s="11"/>
      <c r="AG17" s="2">
        <f t="shared" si="9"/>
        <v>0</v>
      </c>
      <c r="AH17" s="2" t="str">
        <f t="array" ref="AH17">IF($B17="","",IFERROR(INDEX(MktTotal,MATCH($B17,MktGameID,0)),""))</f>
        <v/>
      </c>
      <c r="AI17" s="2" t="str">
        <f t="shared" si="10"/>
        <v/>
      </c>
      <c r="AJ17" s="2" t="str">
        <f t="shared" si="11"/>
        <v/>
      </c>
      <c r="AK17" s="2" t="str">
        <f t="shared" si="12"/>
        <v/>
      </c>
      <c r="AL17" s="2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Low</v>
      </c>
      <c r="AM17" s="2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2" t="str">
        <f>IF($AG17="","","BET OVER at ≤ "&amp;TEXT($AG17-BetTot,"0.0")&amp;"  |  BET UNDER at ≥ "&amp;TEXT($AG17+BetTot,"0.0"))</f>
        <v>BET OVER at ≤ -3.0  |  BET UNDER at ≥ 3.0</v>
      </c>
      <c r="AO17" s="2" t="str">
        <f t="array" ref="AO17">IF($B17="","",IF(OR(IFERROR(INDEX(QBFlag,MATCH($F17,QBTeams,0)),1)=1,IFERROR(INDEX(QBFlag,MATCH($E17,QBTeams,0)),1)=1),"QB UNCERTAIN",""))</f>
        <v>QB UNCERTAIN</v>
      </c>
      <c r="AP17" s="2" t="str">
        <f t="array" ref="AP17">IF($B17="","",IFERROR(INDEX(DQStatus,MATCH($B17,DQGameID,0)),"BLOCKED — DQ ROW NOT FOUND"))</f>
        <v>READY</v>
      </c>
      <c r="AQ17" s="2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BOTH</v>
      </c>
      <c r="AR17" s="2" t="str">
        <f t="shared" si="13"/>
        <v/>
      </c>
      <c r="AS17" s="2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30</v>
      </c>
      <c r="AT17" s="2">
        <f t="shared" si="14"/>
        <v>13</v>
      </c>
      <c r="AU17" s="11"/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9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2" t="str">
        <f t="array" ref="G18">IF($B18="","",IF(INDEX(SchedZone,MATCH($A18,SchedSeq,0),MAP!$B$14)="Neutral","Y",""))</f>
        <v/>
      </c>
      <c r="H18" s="2" t="str">
        <f t="array" ref="H18">IF($B18="","",INDEX(SchedZone,MATCH($A18,SchedSeq,0),MAP!$B$17))</f>
        <v>outdoors</v>
      </c>
      <c r="I18" s="2">
        <f>IF(OR($B18="",$C18&lt;&gt;CurrentWeek),"",COUNTIF($C$5:$C18,CurrentWeek))</f>
        <v>14</v>
      </c>
      <c r="J18" s="2">
        <f t="array" ref="J18">IF($B18="","",IFERROR(INDEX(RatEff,MATCH($E18,RatTeams,0)),"⚠ TEAM NOT FOUND"))</f>
        <v>-2.02</v>
      </c>
      <c r="K18" s="2">
        <f t="array" ref="K18">IF($B18="","",IFERROR(INDEX(RatEff,MATCH($F18,RatTeams,0)),"⚠ TEAM NOT FOUND"))</f>
        <v>1.5</v>
      </c>
      <c r="L18" s="2">
        <f t="shared" si="1"/>
        <v>3.52</v>
      </c>
      <c r="M18" s="2">
        <f t="array" ref="M18">IF($B18="","",IF($G18="Y",NeutralHFA,IFERROR(INDEX(HFAexcVal,MATCH($F18,HFAexcTeam,0)),HFA_Base)))</f>
        <v>1.6</v>
      </c>
      <c r="N18" s="2">
        <f t="array" ref="N18">IF($B18="","",IFERROR(INDEX(QBSpreadEff,MATCH($F18,QBTeams,0)),0)-IFERROR(INDEX(QBSpreadEff,MATCH($E18,QBTeams,0)),0))</f>
        <v>0</v>
      </c>
      <c r="O18" s="2">
        <f t="array" ref="O18">IF($B18="","",IFERROR(MEDIAN(-RestCapPts,RestCapPts,RestPerDay*(INDEX(SchedZone,MATCH($A18,SchedSeq,0),MAP!$B$16)-INDEX(SchedZone,MATCH($A18,SchedSeq,0),MAP!$B$15))),0))</f>
        <v>0</v>
      </c>
      <c r="P18" s="2">
        <f>IF($B18="","",SUMIFS(AdjSpread,AdjGameID,$B18,AdjTeam,$F18,AdjActive,1)-SUMIFS(AdjSpread,AdjGameID,$B18,AdjTeam,$E18,AdjActive,1))</f>
        <v>0</v>
      </c>
      <c r="Q18" s="2">
        <f t="shared" si="2"/>
        <v>5.12</v>
      </c>
      <c r="R18" s="11"/>
      <c r="S18" s="2">
        <f t="shared" si="3"/>
        <v>5.12</v>
      </c>
      <c r="T18" s="2" t="str">
        <f t="shared" si="4"/>
        <v>PHI -5.1</v>
      </c>
      <c r="U18" s="2" t="str">
        <f t="array" ref="U18">IF($B18="","",IFERROR(INDEX(MktHomeSpread,MATCH($B18,MktGameID,0)),""))</f>
        <v/>
      </c>
      <c r="V18" s="2" t="str">
        <f t="shared" si="5"/>
        <v/>
      </c>
      <c r="W18" s="2" t="str">
        <f t="shared" si="6"/>
        <v/>
      </c>
      <c r="X18" s="2" t="str">
        <f t="shared" si="7"/>
        <v/>
      </c>
      <c r="Y18" s="2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2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2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2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2">
        <f t="array" ref="AC18">IF($B18="","",IFERROR(INDEX(QBTotEff,MATCH($F18,QBTeams,0)),0)+IFERROR(INDEX(QBTotEff,MATCH($E18,QBTeams,0)),0))</f>
        <v>0</v>
      </c>
      <c r="AD18" s="2">
        <f>IF($B18="","",SUMIFS(AdjTot,AdjGameID,$B18,AdjActive,1))</f>
        <v>0</v>
      </c>
      <c r="AE18" s="2">
        <f t="shared" si="8"/>
        <v>0</v>
      </c>
      <c r="AF18" s="11"/>
      <c r="AG18" s="2">
        <f t="shared" si="9"/>
        <v>0</v>
      </c>
      <c r="AH18" s="2" t="str">
        <f t="array" ref="AH18">IF($B18="","",IFERROR(INDEX(MktTotal,MATCH($B18,MktGameID,0)),""))</f>
        <v/>
      </c>
      <c r="AI18" s="2" t="str">
        <f t="shared" si="10"/>
        <v/>
      </c>
      <c r="AJ18" s="2" t="str">
        <f t="shared" si="11"/>
        <v/>
      </c>
      <c r="AK18" s="2" t="str">
        <f t="shared" si="12"/>
        <v/>
      </c>
      <c r="AL18" s="2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2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2" t="str">
        <f>IF($AG18="","","BET OVER at ≤ "&amp;TEXT($AG18-BetTot,"0.0")&amp;"  |  BET UNDER at ≥ "&amp;TEXT($AG18+BetTot,"0.0"))</f>
        <v>BET OVER at ≤ -3.0  |  BET UNDER at ≥ 3.0</v>
      </c>
      <c r="AO18" s="2" t="str">
        <f t="array" ref="AO18">IF($B18="","",IF(OR(IFERROR(INDEX(QBFlag,MATCH($F18,QBTeams,0)),1)=1,IFERROR(INDEX(QBFlag,MATCH($E18,QBTeams,0)),1)=1),"QB UNCERTAIN",""))</f>
        <v/>
      </c>
      <c r="AP18" s="2" t="str">
        <f t="array" ref="AP18">IF($B18="","",IFERROR(INDEX(DQStatus,MATCH($B18,DQGameID,0)),"BLOCKED — DQ ROW NOT FOUND"))</f>
        <v>READY</v>
      </c>
      <c r="AQ18" s="2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BOTH</v>
      </c>
      <c r="AR18" s="2" t="str">
        <f t="shared" si="13"/>
        <v/>
      </c>
      <c r="AS18" s="2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50</v>
      </c>
      <c r="AT18" s="2">
        <f t="shared" si="14"/>
        <v>1</v>
      </c>
      <c r="AU18" s="11"/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9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2" t="str">
        <f t="array" ref="G19">IF($B19="","",IF(INDEX(SchedZone,MATCH($A19,SchedSeq,0),MAP!$B$14)="Neutral","Y",""))</f>
        <v/>
      </c>
      <c r="H19" s="2" t="str">
        <f t="array" ref="H19">IF($B19="","",INDEX(SchedZone,MATCH($A19,SchedSeq,0),MAP!$B$17))</f>
        <v>outdoors</v>
      </c>
      <c r="I19" s="2">
        <f>IF(OR($B19="",$C19&lt;&gt;CurrentWeek),"",COUNTIF($C$5:$C19,CurrentWeek))</f>
        <v>15</v>
      </c>
      <c r="J19" s="2">
        <f t="array" ref="J19">IF($B19="","",IFERROR(INDEX(RatEff,MATCH($E19,RatTeams,0)),"⚠ TEAM NOT FOUND"))</f>
        <v>-2.26</v>
      </c>
      <c r="K19" s="2">
        <f t="array" ref="K19">IF($B19="","",IFERROR(INDEX(RatEff,MATCH($F19,RatTeams,0)),"⚠ TEAM NOT FOUND"))</f>
        <v>-1.59</v>
      </c>
      <c r="L19" s="2">
        <f t="shared" si="1"/>
        <v>0.67</v>
      </c>
      <c r="M19" s="2">
        <f t="array" ref="M19">IF($B19="","",IF($G19="Y",NeutralHFA,IFERROR(INDEX(HFAexcVal,MATCH($F19,HFAexcTeam,0)),HFA_Base)))</f>
        <v>1.6</v>
      </c>
      <c r="N19" s="2">
        <f t="array" ref="N19">IF($B19="","",IFERROR(INDEX(QBSpreadEff,MATCH($F19,QBTeams,0)),0)-IFERROR(INDEX(QBSpreadEff,MATCH($E19,QBTeams,0)),0))</f>
        <v>0</v>
      </c>
      <c r="O19" s="2">
        <f t="array" ref="O19">IF($B19="","",IFERROR(MEDIAN(-RestCapPts,RestCapPts,RestPerDay*(INDEX(SchedZone,MATCH($A19,SchedSeq,0),MAP!$B$16)-INDEX(SchedZone,MATCH($A19,SchedSeq,0),MAP!$B$15))),0))</f>
        <v>0</v>
      </c>
      <c r="P19" s="2">
        <f>IF($B19="","",SUMIFS(AdjSpread,AdjGameID,$B19,AdjTeam,$F19,AdjActive,1)-SUMIFS(AdjSpread,AdjGameID,$B19,AdjTeam,$E19,AdjActive,1))</f>
        <v>0</v>
      </c>
      <c r="Q19" s="2">
        <f t="shared" si="2"/>
        <v>2.27</v>
      </c>
      <c r="R19" s="11"/>
      <c r="S19" s="2">
        <f t="shared" si="3"/>
        <v>2.27</v>
      </c>
      <c r="T19" s="2" t="str">
        <f t="shared" si="4"/>
        <v>NYG -2.3</v>
      </c>
      <c r="U19" s="2" t="str">
        <f t="array" ref="U19">IF($B19="","",IFERROR(INDEX(MktHomeSpread,MATCH($B19,MktGameID,0)),""))</f>
        <v/>
      </c>
      <c r="V19" s="2" t="str">
        <f t="shared" si="5"/>
        <v/>
      </c>
      <c r="W19" s="2" t="str">
        <f t="shared" si="6"/>
        <v/>
      </c>
      <c r="X19" s="2" t="str">
        <f t="shared" si="7"/>
        <v/>
      </c>
      <c r="Y19" s="2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2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/>
      </c>
      <c r="AA19" s="2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2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2">
        <f t="array" ref="AC19">IF($B19="","",IFERROR(INDEX(QBTotEff,MATCH($F19,QBTeams,0)),0)+IFERROR(INDEX(QBTotEff,MATCH($E19,QBTeams,0)),0))</f>
        <v>0</v>
      </c>
      <c r="AD19" s="2">
        <f>IF($B19="","",SUMIFS(AdjTot,AdjGameID,$B19,AdjActive,1))</f>
        <v>0</v>
      </c>
      <c r="AE19" s="2">
        <f t="shared" si="8"/>
        <v>0</v>
      </c>
      <c r="AF19" s="11"/>
      <c r="AG19" s="2">
        <f t="shared" si="9"/>
        <v>0</v>
      </c>
      <c r="AH19" s="2" t="str">
        <f t="array" ref="AH19">IF($B19="","",IFERROR(INDEX(MktTotal,MATCH($B19,MktGameID,0)),""))</f>
        <v/>
      </c>
      <c r="AI19" s="2" t="str">
        <f t="shared" si="10"/>
        <v/>
      </c>
      <c r="AJ19" s="2" t="str">
        <f t="shared" si="11"/>
        <v/>
      </c>
      <c r="AK19" s="2" t="str">
        <f t="shared" si="12"/>
        <v/>
      </c>
      <c r="AL19" s="2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2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2" t="str">
        <f>IF($AG19="","","BET OVER at ≤ "&amp;TEXT($AG19-BetTot,"0.0")&amp;"  |  BET UNDER at ≥ "&amp;TEXT($AG19+BetTot,"0.0"))</f>
        <v>BET OVER at ≤ -3.0  |  BET UNDER at ≥ 3.0</v>
      </c>
      <c r="AO19" s="2" t="str">
        <f t="array" ref="AO19">IF($B19="","",IF(OR(IFERROR(INDEX(QBFlag,MATCH($F19,QBTeams,0)),1)=1,IFERROR(INDEX(QBFlag,MATCH($E19,QBTeams,0)),1)=1),"QB UNCERTAIN",""))</f>
        <v/>
      </c>
      <c r="AP19" s="2" t="str">
        <f t="array" ref="AP19">IF($B19="","",IFERROR(INDEX(DQStatus,MATCH($B19,DQGameID,0)),"BLOCKED — DQ ROW NOT FOUND"))</f>
        <v>READY</v>
      </c>
      <c r="AQ19" s="2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BOTH</v>
      </c>
      <c r="AR19" s="2" t="str">
        <f t="shared" si="13"/>
        <v/>
      </c>
      <c r="AS19" s="2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50</v>
      </c>
      <c r="AT19" s="2">
        <f t="shared" si="14"/>
        <v>1</v>
      </c>
      <c r="AU19" s="11"/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9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2" t="str">
        <f t="array" ref="G20">IF($B20="","",IF(INDEX(SchedZone,MATCH($A20,SchedSeq,0),MAP!$B$14)="Neutral","Y",""))</f>
        <v/>
      </c>
      <c r="H20" s="2" t="str">
        <f t="array" ref="H20">IF($B20="","",INDEX(SchedZone,MATCH($A20,SchedSeq,0),MAP!$B$17))</f>
        <v>outdoors</v>
      </c>
      <c r="I20" s="2">
        <f>IF(OR($B20="",$C20&lt;&gt;CurrentWeek),"",COUNTIF($C$5:$C20,CurrentWeek))</f>
        <v>16</v>
      </c>
      <c r="J20" s="2">
        <f t="array" ref="J20">IF($B20="","",IFERROR(INDEX(RatEff,MATCH($E20,RatTeams,0)),"⚠ TEAM NOT FOUND"))</f>
        <v>1.93</v>
      </c>
      <c r="K20" s="2">
        <f t="array" ref="K20">IF($B20="","",IFERROR(INDEX(RatEff,MATCH($F20,RatTeams,0)),"⚠ TEAM NOT FOUND"))</f>
        <v>-0.04</v>
      </c>
      <c r="L20" s="2">
        <f t="shared" si="1"/>
        <v>-1.97</v>
      </c>
      <c r="M20" s="2">
        <f t="array" ref="M20">IF($B20="","",IF($G20="Y",NeutralHFA,IFERROR(INDEX(HFAexcVal,MATCH($F20,HFAexcTeam,0)),HFA_Base)))</f>
        <v>1.6</v>
      </c>
      <c r="N20" s="2">
        <f t="array" ref="N20">IF($B20="","",IFERROR(INDEX(QBSpreadEff,MATCH($F20,QBTeams,0)),0)-IFERROR(INDEX(QBSpreadEff,MATCH($E20,QBTeams,0)),0))</f>
        <v>0</v>
      </c>
      <c r="O20" s="2">
        <f t="array" ref="O20">IF($B20="","",IFERROR(MEDIAN(-RestCapPts,RestCapPts,RestPerDay*(INDEX(SchedZone,MATCH($A20,SchedSeq,0),MAP!$B$16)-INDEX(SchedZone,MATCH($A20,SchedSeq,0),MAP!$B$15))),0))</f>
        <v>0</v>
      </c>
      <c r="P20" s="2">
        <f>IF($B20="","",SUMIFS(AdjSpread,AdjGameID,$B20,AdjTeam,$F20,AdjActive,1)-SUMIFS(AdjSpread,AdjGameID,$B20,AdjTeam,$E20,AdjActive,1))</f>
        <v>0</v>
      </c>
      <c r="Q20" s="2">
        <f t="shared" si="2"/>
        <v>-0.37</v>
      </c>
      <c r="R20" s="11"/>
      <c r="S20" s="2">
        <f t="shared" si="3"/>
        <v>-0.37</v>
      </c>
      <c r="T20" s="2" t="str">
        <f t="shared" si="4"/>
        <v>DEN -0.4</v>
      </c>
      <c r="U20" s="2" t="str">
        <f t="array" ref="U20">IF($B20="","",IFERROR(INDEX(MktHomeSpread,MATCH($B20,MktGameID,0)),""))</f>
        <v/>
      </c>
      <c r="V20" s="2" t="str">
        <f t="shared" si="5"/>
        <v/>
      </c>
      <c r="W20" s="2" t="str">
        <f t="shared" si="6"/>
        <v/>
      </c>
      <c r="X20" s="2" t="str">
        <f t="shared" si="7"/>
        <v/>
      </c>
      <c r="Y20" s="2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2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/>
      </c>
      <c r="AA20" s="2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2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2">
        <f t="array" ref="AC20">IF($B20="","",IFERROR(INDEX(QBTotEff,MATCH($F20,QBTeams,0)),0)+IFERROR(INDEX(QBTotEff,MATCH($E20,QBTeams,0)),0))</f>
        <v>0</v>
      </c>
      <c r="AD20" s="2">
        <f>IF($B20="","",SUMIFS(AdjTot,AdjGameID,$B20,AdjActive,1))</f>
        <v>0</v>
      </c>
      <c r="AE20" s="2">
        <f t="shared" si="8"/>
        <v>0</v>
      </c>
      <c r="AF20" s="11"/>
      <c r="AG20" s="2">
        <f t="shared" si="9"/>
        <v>0</v>
      </c>
      <c r="AH20" s="2" t="str">
        <f t="array" ref="AH20">IF($B20="","",IFERROR(INDEX(MktTotal,MATCH($B20,MktGameID,0)),""))</f>
        <v/>
      </c>
      <c r="AI20" s="2" t="str">
        <f t="shared" si="10"/>
        <v/>
      </c>
      <c r="AJ20" s="2" t="str">
        <f t="shared" si="11"/>
        <v/>
      </c>
      <c r="AK20" s="2" t="str">
        <f t="shared" si="12"/>
        <v/>
      </c>
      <c r="AL20" s="2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Medium</v>
      </c>
      <c r="AM20" s="2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2" t="str">
        <f>IF($AG20="","","BET OVER at ≤ "&amp;TEXT($AG20-BetTot,"0.0")&amp;"  |  BET UNDER at ≥ "&amp;TEXT($AG20+BetTot,"0.0"))</f>
        <v>BET OVER at ≤ -3.0  |  BET UNDER at ≥ 3.0</v>
      </c>
      <c r="AO20" s="2" t="str">
        <f t="array" ref="AO20">IF($B20="","",IF(OR(IFERROR(INDEX(QBFlag,MATCH($F20,QBTeams,0)),1)=1,IFERROR(INDEX(QBFlag,MATCH($E20,QBTeams,0)),1)=1),"QB UNCERTAIN",""))</f>
        <v/>
      </c>
      <c r="AP20" s="2" t="str">
        <f t="array" ref="AP20">IF($B20="","",IFERROR(INDEX(DQStatus,MATCH($B20,DQGameID,0)),"BLOCKED — DQ ROW NOT FOUND"))</f>
        <v>READY</v>
      </c>
      <c r="AQ20" s="2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BOTH</v>
      </c>
      <c r="AR20" s="2" t="str">
        <f t="shared" si="13"/>
        <v/>
      </c>
      <c r="AS20" s="2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50</v>
      </c>
      <c r="AT20" s="2">
        <f t="shared" si="14"/>
        <v>1</v>
      </c>
      <c r="AU20" s="11"/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9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2" t="str">
        <f t="array" ref="G21">IF($B21="","",IF(INDEX(SchedZone,MATCH($A21,SchedSeq,0),MAP!$B$14)="Neutral","Y",""))</f>
        <v/>
      </c>
      <c r="H21" s="2" t="str">
        <f t="array" ref="H21">IF($B21="","",INDEX(SchedZone,MATCH($A21,SchedSeq,0),MAP!$B$17))</f>
        <v>outdoors</v>
      </c>
      <c r="I21" s="2" t="str">
        <f>IF(OR($B21="",$C21&lt;&gt;CurrentWeek),"",COUNTIF($C$5:$C21,CurrentWeek))</f>
        <v/>
      </c>
      <c r="J21" s="2">
        <f t="array" ref="J21">IF($B21="","",IFERROR(INDEX(RatEff,MATCH($E21,RatTeams,0)),"⚠ TEAM NOT FOUND"))</f>
        <v>0.86</v>
      </c>
      <c r="K21" s="2">
        <f t="array" ref="K21">IF($B21="","",IFERROR(INDEX(RatEff,MATCH($F21,RatTeams,0)),"⚠ TEAM NOT FOUND"))</f>
        <v>1.75</v>
      </c>
      <c r="L21" s="2">
        <f t="shared" si="1"/>
        <v>0.89</v>
      </c>
      <c r="M21" s="2">
        <f t="array" ref="M21">IF($B21="","",IF($G21="Y",NeutralHFA,IFERROR(INDEX(HFAexcVal,MATCH($F21,HFAexcTeam,0)),HFA_Base)))</f>
        <v>1.6</v>
      </c>
      <c r="N21" s="2">
        <f t="array" ref="N21">IF($B21="","",IFERROR(INDEX(QBSpreadEff,MATCH($F21,QBTeams,0)),0)-IFERROR(INDEX(QBSpreadEff,MATCH($E21,QBTeams,0)),0))</f>
        <v>0</v>
      </c>
      <c r="O21" s="2">
        <f t="array" ref="O21">IF($B21="","",IFERROR(MEDIAN(-RestCapPts,RestCapPts,RestPerDay*(INDEX(SchedZone,MATCH($A21,SchedSeq,0),MAP!$B$16)-INDEX(SchedZone,MATCH($A21,SchedSeq,0),MAP!$B$15))),0))</f>
        <v>0</v>
      </c>
      <c r="P21" s="2">
        <f>IF($B21="","",SUMIFS(AdjSpread,AdjGameID,$B21,AdjTeam,$F21,AdjActive,1)-SUMIFS(AdjSpread,AdjGameID,$B21,AdjTeam,$E21,AdjActive,1))</f>
        <v>0</v>
      </c>
      <c r="Q21" s="2">
        <f t="shared" si="2"/>
        <v>2.49</v>
      </c>
      <c r="R21" s="11"/>
      <c r="S21" s="2">
        <f t="shared" si="3"/>
        <v>2.49</v>
      </c>
      <c r="T21" s="2" t="str">
        <f t="shared" si="4"/>
        <v>BUF -2.5</v>
      </c>
      <c r="U21" s="2" t="str">
        <f t="array" ref="U21">IF($B21="","",IFERROR(INDEX(MktHomeSpread,MATCH($B21,MktGameID,0)),""))</f>
        <v/>
      </c>
      <c r="V21" s="2" t="str">
        <f t="shared" si="5"/>
        <v/>
      </c>
      <c r="W21" s="2" t="str">
        <f t="shared" si="6"/>
        <v/>
      </c>
      <c r="X21" s="2" t="str">
        <f t="shared" si="7"/>
        <v/>
      </c>
      <c r="Y21" s="2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2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2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2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2">
        <f t="array" ref="AC21">IF($B21="","",IFERROR(INDEX(QBTotEff,MATCH($F21,QBTeams,0)),0)+IFERROR(INDEX(QBTotEff,MATCH($E21,QBTeams,0)),0))</f>
        <v>0</v>
      </c>
      <c r="AD21" s="2">
        <f>IF($B21="","",SUMIFS(AdjTot,AdjGameID,$B21,AdjActive,1))</f>
        <v>0</v>
      </c>
      <c r="AE21" s="2">
        <f t="shared" si="8"/>
        <v>0</v>
      </c>
      <c r="AF21" s="11"/>
      <c r="AG21" s="2">
        <f t="shared" si="9"/>
        <v>0</v>
      </c>
      <c r="AH21" s="2" t="str">
        <f t="array" ref="AH21">IF($B21="","",IFERROR(INDEX(MktTotal,MATCH($B21,MktGameID,0)),""))</f>
        <v/>
      </c>
      <c r="AI21" s="2" t="str">
        <f t="shared" si="10"/>
        <v/>
      </c>
      <c r="AJ21" s="2" t="str">
        <f t="shared" si="11"/>
        <v/>
      </c>
      <c r="AK21" s="2" t="str">
        <f t="shared" si="12"/>
        <v/>
      </c>
      <c r="AL21" s="2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2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2" t="str">
        <f>IF($AG21="","","BET OVER at ≤ "&amp;TEXT($AG21-BetTot,"0.0")&amp;"  |  BET UNDER at ≥ "&amp;TEXT($AG21+BetTot,"0.0"))</f>
        <v>BET OVER at ≤ -3.0  |  BET UNDER at ≥ 3.0</v>
      </c>
      <c r="AO21" s="2" t="str">
        <f t="array" ref="AO21">IF($B21="","",IF(OR(IFERROR(INDEX(QBFlag,MATCH($F21,QBTeams,0)),1)=1,IFERROR(INDEX(QBFlag,MATCH($E21,QBTeams,0)),1)=1),"QB UNCERTAIN",""))</f>
        <v/>
      </c>
      <c r="AP21" s="2" t="str">
        <f t="array" ref="AP21">IF($B21="","",IFERROR(INDEX(DQStatus,MATCH($B21,DQGameID,0)),"BLOCKED — DQ ROW NOT FOUND"))</f>
        <v>READY</v>
      </c>
      <c r="AQ21" s="2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2" t="str">
        <f t="shared" si="13"/>
        <v/>
      </c>
      <c r="AS21" s="2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2" t="str">
        <f t="shared" si="14"/>
        <v/>
      </c>
      <c r="AU21" s="11"/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9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2" t="str">
        <f t="array" ref="G22">IF($B22="","",IF(INDEX(SchedZone,MATCH($A22,SchedSeq,0),MAP!$B$14)="Neutral","Y",""))</f>
        <v/>
      </c>
      <c r="H22" s="2" t="str">
        <f t="array" ref="H22">IF($B22="","",INDEX(SchedZone,MATCH($A22,SchedSeq,0),MAP!$B$17))</f>
        <v/>
      </c>
      <c r="I22" s="2" t="str">
        <f>IF(OR($B22="",$C22&lt;&gt;CurrentWeek),"",COUNTIF($C$5:$C22,CurrentWeek))</f>
        <v/>
      </c>
      <c r="J22" s="2">
        <f t="array" ref="J22">IF($B22="","",IFERROR(INDEX(RatEff,MATCH($E22,RatTeams,0)),"⚠ TEAM NOT FOUND"))</f>
        <v>-1.3</v>
      </c>
      <c r="K22" s="2">
        <f t="array" ref="K22">IF($B22="","",IFERROR(INDEX(RatEff,MATCH($F22,RatTeams,0)),"⚠ TEAM NOT FOUND"))</f>
        <v>-0.06</v>
      </c>
      <c r="L22" s="2">
        <f t="shared" si="1"/>
        <v>1.24</v>
      </c>
      <c r="M22" s="2">
        <f t="array" ref="M22">IF($B22="","",IF($G22="Y",NeutralHFA,IFERROR(INDEX(HFAexcVal,MATCH($F22,HFAexcTeam,0)),HFA_Base)))</f>
        <v>1.6</v>
      </c>
      <c r="N22" s="2">
        <f t="array" ref="N22">IF($B22="","",IFERROR(INDEX(QBSpreadEff,MATCH($F22,QBTeams,0)),0)-IFERROR(INDEX(QBSpreadEff,MATCH($E22,QBTeams,0)),0))</f>
        <v>0</v>
      </c>
      <c r="O22" s="2">
        <f t="array" ref="O22">IF($B22="","",IFERROR(MEDIAN(-RestCapPts,RestCapPts,RestPerDay*(INDEX(SchedZone,MATCH($A22,SchedSeq,0),MAP!$B$16)-INDEX(SchedZone,MATCH($A22,SchedSeq,0),MAP!$B$15))),0))</f>
        <v>0</v>
      </c>
      <c r="P22" s="2">
        <f>IF($B22="","",SUMIFS(AdjSpread,AdjGameID,$B22,AdjTeam,$F22,AdjActive,1)-SUMIFS(AdjSpread,AdjGameID,$B22,AdjTeam,$E22,AdjActive,1))</f>
        <v>0</v>
      </c>
      <c r="Q22" s="2">
        <f t="shared" si="2"/>
        <v>2.84</v>
      </c>
      <c r="R22" s="11"/>
      <c r="S22" s="2">
        <f t="shared" si="3"/>
        <v>2.84</v>
      </c>
      <c r="T22" s="2" t="str">
        <f t="shared" si="4"/>
        <v>ATL -2.8</v>
      </c>
      <c r="U22" s="2" t="str">
        <f t="array" ref="U22">IF($B22="","",IFERROR(INDEX(MktHomeSpread,MATCH($B22,MktGameID,0)),""))</f>
        <v/>
      </c>
      <c r="V22" s="2" t="str">
        <f t="shared" si="5"/>
        <v/>
      </c>
      <c r="W22" s="2" t="str">
        <f t="shared" si="6"/>
        <v/>
      </c>
      <c r="X22" s="2" t="str">
        <f t="shared" si="7"/>
        <v/>
      </c>
      <c r="Y22" s="2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2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2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2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2">
        <f t="array" ref="AC22">IF($B22="","",IFERROR(INDEX(QBTotEff,MATCH($F22,QBTeams,0)),0)+IFERROR(INDEX(QBTotEff,MATCH($E22,QBTeams,0)),0))</f>
        <v>0</v>
      </c>
      <c r="AD22" s="2">
        <f>IF($B22="","",SUMIFS(AdjTot,AdjGameID,$B22,AdjActive,1))</f>
        <v>0</v>
      </c>
      <c r="AE22" s="2">
        <f t="shared" si="8"/>
        <v>0</v>
      </c>
      <c r="AF22" s="11"/>
      <c r="AG22" s="2">
        <f t="shared" si="9"/>
        <v>0</v>
      </c>
      <c r="AH22" s="2" t="str">
        <f t="array" ref="AH22">IF($B22="","",IFERROR(INDEX(MktTotal,MATCH($B22,MktGameID,0)),""))</f>
        <v/>
      </c>
      <c r="AI22" s="2" t="str">
        <f t="shared" si="10"/>
        <v/>
      </c>
      <c r="AJ22" s="2" t="str">
        <f t="shared" si="11"/>
        <v/>
      </c>
      <c r="AK22" s="2" t="str">
        <f t="shared" si="12"/>
        <v/>
      </c>
      <c r="AL22" s="2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2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2" t="str">
        <f>IF($AG22="","","BET OVER at ≤ "&amp;TEXT($AG22-BetTot,"0.0")&amp;"  |  BET UNDER at ≥ "&amp;TEXT($AG22+BetTot,"0.0"))</f>
        <v>BET OVER at ≤ -3.0  |  BET UNDER at ≥ 3.0</v>
      </c>
      <c r="AO22" s="2" t="str">
        <f t="array" ref="AO22">IF($B22="","",IF(OR(IFERROR(INDEX(QBFlag,MATCH($F22,QBTeams,0)),1)=1,IFERROR(INDEX(QBFlag,MATCH($E22,QBTeams,0)),1)=1),"QB UNCERTAIN",""))</f>
        <v>QB UNCERTAIN</v>
      </c>
      <c r="AP22" s="2" t="str">
        <f t="array" ref="AP22">IF($B22="","",IFERROR(INDEX(DQStatus,MATCH($B22,DQGameID,0)),"BLOCKED — DQ ROW NOT FOUND"))</f>
        <v>READY</v>
      </c>
      <c r="AQ22" s="2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2" t="str">
        <f t="shared" si="13"/>
        <v/>
      </c>
      <c r="AS22" s="2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2" t="str">
        <f t="shared" si="14"/>
        <v/>
      </c>
      <c r="AU22" s="11"/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9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2" t="str">
        <f t="array" ref="G23">IF($B23="","",IF(INDEX(SchedZone,MATCH($A23,SchedSeq,0),MAP!$B$14)="Neutral","Y",""))</f>
        <v/>
      </c>
      <c r="H23" s="2" t="str">
        <f t="array" ref="H23">IF($B23="","",INDEX(SchedZone,MATCH($A23,SchedSeq,0),MAP!$B$17))</f>
        <v>outdoors</v>
      </c>
      <c r="I23" s="2" t="str">
        <f>IF(OR($B23="",$C23&lt;&gt;CurrentWeek),"",COUNTIF($C$5:$C23,CurrentWeek))</f>
        <v/>
      </c>
      <c r="J23" s="2">
        <f t="array" ref="J23">IF($B23="","",IFERROR(INDEX(RatEff,MATCH($E23,RatTeams,0)),"⚠ TEAM NOT FOUND"))</f>
        <v>-0.94</v>
      </c>
      <c r="K23" s="2">
        <f t="array" ref="K23">IF($B23="","",IFERROR(INDEX(RatEff,MATCH($F23,RatTeams,0)),"⚠ TEAM NOT FOUND"))</f>
        <v>0.92</v>
      </c>
      <c r="L23" s="2">
        <f t="shared" si="1"/>
        <v>1.86</v>
      </c>
      <c r="M23" s="2">
        <f t="array" ref="M23">IF($B23="","",IF($G23="Y",NeutralHFA,IFERROR(INDEX(HFAexcVal,MATCH($F23,HFAexcTeam,0)),HFA_Base)))</f>
        <v>1.6</v>
      </c>
      <c r="N23" s="2">
        <f t="array" ref="N23">IF($B23="","",IFERROR(INDEX(QBSpreadEff,MATCH($F23,QBTeams,0)),0)-IFERROR(INDEX(QBSpreadEff,MATCH($E23,QBTeams,0)),0))</f>
        <v>0</v>
      </c>
      <c r="O23" s="2">
        <f t="array" ref="O23">IF($B23="","",IFERROR(MEDIAN(-RestCapPts,RestCapPts,RestPerDay*(INDEX(SchedZone,MATCH($A23,SchedSeq,0),MAP!$B$16)-INDEX(SchedZone,MATCH($A23,SchedSeq,0),MAP!$B$15))),0))</f>
        <v>0</v>
      </c>
      <c r="P23" s="2">
        <f>IF($B23="","",SUMIFS(AdjSpread,AdjGameID,$B23,AdjTeam,$F23,AdjActive,1)-SUMIFS(AdjSpread,AdjGameID,$B23,AdjTeam,$E23,AdjActive,1))</f>
        <v>0</v>
      </c>
      <c r="Q23" s="2">
        <f t="shared" si="2"/>
        <v>3.46</v>
      </c>
      <c r="R23" s="11"/>
      <c r="S23" s="2">
        <f t="shared" si="3"/>
        <v>3.46</v>
      </c>
      <c r="T23" s="2" t="str">
        <f t="shared" si="4"/>
        <v>BAL -3.5</v>
      </c>
      <c r="U23" s="2" t="str">
        <f t="array" ref="U23">IF($B23="","",IFERROR(INDEX(MktHomeSpread,MATCH($B23,MktGameID,0)),""))</f>
        <v/>
      </c>
      <c r="V23" s="2" t="str">
        <f t="shared" si="5"/>
        <v/>
      </c>
      <c r="W23" s="2" t="str">
        <f t="shared" si="6"/>
        <v/>
      </c>
      <c r="X23" s="2" t="str">
        <f t="shared" si="7"/>
        <v/>
      </c>
      <c r="Y23" s="2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2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2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2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2">
        <f t="array" ref="AC23">IF($B23="","",IFERROR(INDEX(QBTotEff,MATCH($F23,QBTeams,0)),0)+IFERROR(INDEX(QBTotEff,MATCH($E23,QBTeams,0)),0))</f>
        <v>0</v>
      </c>
      <c r="AD23" s="2">
        <f>IF($B23="","",SUMIFS(AdjTot,AdjGameID,$B23,AdjActive,1))</f>
        <v>0</v>
      </c>
      <c r="AE23" s="2">
        <f t="shared" si="8"/>
        <v>0</v>
      </c>
      <c r="AF23" s="11"/>
      <c r="AG23" s="2">
        <f t="shared" si="9"/>
        <v>0</v>
      </c>
      <c r="AH23" s="2" t="str">
        <f t="array" ref="AH23">IF($B23="","",IFERROR(INDEX(MktTotal,MATCH($B23,MktGameID,0)),""))</f>
        <v/>
      </c>
      <c r="AI23" s="2" t="str">
        <f t="shared" si="10"/>
        <v/>
      </c>
      <c r="AJ23" s="2" t="str">
        <f t="shared" si="11"/>
        <v/>
      </c>
      <c r="AK23" s="2" t="str">
        <f t="shared" si="12"/>
        <v/>
      </c>
      <c r="AL23" s="2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2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2" t="str">
        <f>IF($AG23="","","BET OVER at ≤ "&amp;TEXT($AG23-BetTot,"0.0")&amp;"  |  BET UNDER at ≥ "&amp;TEXT($AG23+BetTot,"0.0"))</f>
        <v>BET OVER at ≤ -3.0  |  BET UNDER at ≥ 3.0</v>
      </c>
      <c r="AO23" s="2" t="str">
        <f t="array" ref="AO23">IF($B23="","",IF(OR(IFERROR(INDEX(QBFlag,MATCH($F23,QBTeams,0)),1)=1,IFERROR(INDEX(QBFlag,MATCH($E23,QBTeams,0)),1)=1),"QB UNCERTAIN",""))</f>
        <v/>
      </c>
      <c r="AP23" s="2" t="str">
        <f t="array" ref="AP23">IF($B23="","",IFERROR(INDEX(DQStatus,MATCH($B23,DQGameID,0)),"BLOCKED — DQ ROW NOT FOUND"))</f>
        <v>READY</v>
      </c>
      <c r="AQ23" s="2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2" t="str">
        <f t="shared" si="13"/>
        <v/>
      </c>
      <c r="AS23" s="2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2" t="str">
        <f t="shared" si="14"/>
        <v/>
      </c>
      <c r="AU23" s="11"/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9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2" t="str">
        <f t="array" ref="G24">IF($B24="","",IF(INDEX(SchedZone,MATCH($A24,SchedSeq,0),MAP!$B$14)="Neutral","Y",""))</f>
        <v/>
      </c>
      <c r="H24" s="2" t="str">
        <f t="array" ref="H24">IF($B24="","",INDEX(SchedZone,MATCH($A24,SchedSeq,0),MAP!$B$17))</f>
        <v>outdoors</v>
      </c>
      <c r="I24" s="2" t="str">
        <f>IF(OR($B24="",$C24&lt;&gt;CurrentWeek),"",COUNTIF($C$5:$C24,CurrentWeek))</f>
        <v/>
      </c>
      <c r="J24" s="2">
        <f t="array" ref="J24">IF($B24="","",IFERROR(INDEX(RatEff,MATCH($E24,RatTeams,0)),"⚠ TEAM NOT FOUND"))</f>
        <v>0.5</v>
      </c>
      <c r="K24" s="2">
        <f t="array" ref="K24">IF($B24="","",IFERROR(INDEX(RatEff,MATCH($F24,RatTeams,0)),"⚠ TEAM NOT FOUND"))</f>
        <v>0.86</v>
      </c>
      <c r="L24" s="2">
        <f t="shared" si="1"/>
        <v>0.36</v>
      </c>
      <c r="M24" s="2">
        <f t="array" ref="M24">IF($B24="","",IF($G24="Y",NeutralHFA,IFERROR(INDEX(HFAexcVal,MATCH($F24,HFAexcTeam,0)),HFA_Base)))</f>
        <v>1.6</v>
      </c>
      <c r="N24" s="2">
        <f t="array" ref="N24">IF($B24="","",IFERROR(INDEX(QBSpreadEff,MATCH($F24,QBTeams,0)),0)-IFERROR(INDEX(QBSpreadEff,MATCH($E24,QBTeams,0)),0))</f>
        <v>0</v>
      </c>
      <c r="O24" s="2">
        <f t="array" ref="O24">IF($B24="","",IFERROR(MEDIAN(-RestCapPts,RestCapPts,RestPerDay*(INDEX(SchedZone,MATCH($A24,SchedSeq,0),MAP!$B$16)-INDEX(SchedZone,MATCH($A24,SchedSeq,0),MAP!$B$15))),0))</f>
        <v>0</v>
      </c>
      <c r="P24" s="2">
        <f>IF($B24="","",SUMIFS(AdjSpread,AdjGameID,$B24,AdjTeam,$F24,AdjActive,1)-SUMIFS(AdjSpread,AdjGameID,$B24,AdjTeam,$E24,AdjActive,1))</f>
        <v>0</v>
      </c>
      <c r="Q24" s="2">
        <f t="shared" si="2"/>
        <v>1.96</v>
      </c>
      <c r="R24" s="11"/>
      <c r="S24" s="2">
        <f t="shared" si="3"/>
        <v>1.96</v>
      </c>
      <c r="T24" s="2" t="str">
        <f t="shared" si="4"/>
        <v>CHI -2.0</v>
      </c>
      <c r="U24" s="2" t="str">
        <f t="array" ref="U24">IF($B24="","",IFERROR(INDEX(MktHomeSpread,MATCH($B24,MktGameID,0)),""))</f>
        <v/>
      </c>
      <c r="V24" s="2" t="str">
        <f t="shared" si="5"/>
        <v/>
      </c>
      <c r="W24" s="2" t="str">
        <f t="shared" si="6"/>
        <v/>
      </c>
      <c r="X24" s="2" t="str">
        <f t="shared" si="7"/>
        <v/>
      </c>
      <c r="Y24" s="2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2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2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2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2">
        <f t="array" ref="AC24">IF($B24="","",IFERROR(INDEX(QBTotEff,MATCH($F24,QBTeams,0)),0)+IFERROR(INDEX(QBTotEff,MATCH($E24,QBTeams,0)),0))</f>
        <v>0</v>
      </c>
      <c r="AD24" s="2">
        <f>IF($B24="","",SUMIFS(AdjTot,AdjGameID,$B24,AdjActive,1))</f>
        <v>0</v>
      </c>
      <c r="AE24" s="2">
        <f t="shared" si="8"/>
        <v>0</v>
      </c>
      <c r="AF24" s="11"/>
      <c r="AG24" s="2">
        <f t="shared" si="9"/>
        <v>0</v>
      </c>
      <c r="AH24" s="2" t="str">
        <f t="array" ref="AH24">IF($B24="","",IFERROR(INDEX(MktTotal,MATCH($B24,MktGameID,0)),""))</f>
        <v/>
      </c>
      <c r="AI24" s="2" t="str">
        <f t="shared" si="10"/>
        <v/>
      </c>
      <c r="AJ24" s="2" t="str">
        <f t="shared" si="11"/>
        <v/>
      </c>
      <c r="AK24" s="2" t="str">
        <f t="shared" si="12"/>
        <v/>
      </c>
      <c r="AL24" s="2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Low</v>
      </c>
      <c r="AM24" s="2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2" t="str">
        <f>IF($AG24="","","BET OVER at ≤ "&amp;TEXT($AG24-BetTot,"0.0")&amp;"  |  BET UNDER at ≥ "&amp;TEXT($AG24+BetTot,"0.0"))</f>
        <v>BET OVER at ≤ -3.0  |  BET UNDER at ≥ 3.0</v>
      </c>
      <c r="AO24" s="2" t="str">
        <f t="array" ref="AO24">IF($B24="","",IF(OR(IFERROR(INDEX(QBFlag,MATCH($F24,QBTeams,0)),1)=1,IFERROR(INDEX(QBFlag,MATCH($E24,QBTeams,0)),1)=1),"QB UNCERTAIN",""))</f>
        <v>QB UNCERTAIN</v>
      </c>
      <c r="AP24" s="2" t="str">
        <f t="array" ref="AP24">IF($B24="","",IFERROR(INDEX(DQStatus,MATCH($B24,DQGameID,0)),"BLOCKED — DQ ROW NOT FOUND"))</f>
        <v>READY</v>
      </c>
      <c r="AQ24" s="2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2" t="str">
        <f t="shared" si="13"/>
        <v/>
      </c>
      <c r="AS24" s="2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2" t="str">
        <f t="shared" si="14"/>
        <v/>
      </c>
      <c r="AU24" s="11"/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9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2" t="str">
        <f t="array" ref="G25">IF($B25="","",IF(INDEX(SchedZone,MATCH($A25,SchedSeq,0),MAP!$B$14)="Neutral","Y",""))</f>
        <v/>
      </c>
      <c r="H25" s="2" t="str">
        <f t="array" ref="H25">IF($B25="","",INDEX(SchedZone,MATCH($A25,SchedSeq,0),MAP!$B$17))</f>
        <v/>
      </c>
      <c r="I25" s="2" t="str">
        <f>IF(OR($B25="",$C25&lt;&gt;CurrentWeek),"",COUNTIF($C$5:$C25,CurrentWeek))</f>
        <v/>
      </c>
      <c r="J25" s="2">
        <f t="array" ref="J25">IF($B25="","",IFERROR(INDEX(RatEff,MATCH($E25,RatTeams,0)),"⚠ TEAM NOT FOUND"))</f>
        <v>-1.53</v>
      </c>
      <c r="K25" s="2">
        <f t="array" ref="K25">IF($B25="","",IFERROR(INDEX(RatEff,MATCH($F25,RatTeams,0)),"⚠ TEAM NOT FOUND"))</f>
        <v>2.71</v>
      </c>
      <c r="L25" s="2">
        <f t="shared" si="1"/>
        <v>4.24</v>
      </c>
      <c r="M25" s="2">
        <f t="array" ref="M25">IF($B25="","",IF($G25="Y",NeutralHFA,IFERROR(INDEX(HFAexcVal,MATCH($F25,HFAexcTeam,0)),HFA_Base)))</f>
        <v>1.6</v>
      </c>
      <c r="N25" s="2">
        <f t="array" ref="N25">IF($B25="","",IFERROR(INDEX(QBSpreadEff,MATCH($F25,QBTeams,0)),0)-IFERROR(INDEX(QBSpreadEff,MATCH($E25,QBTeams,0)),0))</f>
        <v>0</v>
      </c>
      <c r="O25" s="2">
        <f t="array" ref="O25">IF($B25="","",IFERROR(MEDIAN(-RestCapPts,RestCapPts,RestPerDay*(INDEX(SchedZone,MATCH($A25,SchedSeq,0),MAP!$B$16)-INDEX(SchedZone,MATCH($A25,SchedSeq,0),MAP!$B$15))),0))</f>
        <v>0</v>
      </c>
      <c r="P25" s="2">
        <f>IF($B25="","",SUMIFS(AdjSpread,AdjGameID,$B25,AdjTeam,$F25,AdjActive,1)-SUMIFS(AdjSpread,AdjGameID,$B25,AdjTeam,$E25,AdjActive,1))</f>
        <v>0</v>
      </c>
      <c r="Q25" s="2">
        <f t="shared" si="2"/>
        <v>5.84</v>
      </c>
      <c r="R25" s="11"/>
      <c r="S25" s="2">
        <f t="shared" si="3"/>
        <v>5.84</v>
      </c>
      <c r="T25" s="2" t="str">
        <f t="shared" si="4"/>
        <v>HOU -5.8</v>
      </c>
      <c r="U25" s="2" t="str">
        <f t="array" ref="U25">IF($B25="","",IFERROR(INDEX(MktHomeSpread,MATCH($B25,MktGameID,0)),""))</f>
        <v/>
      </c>
      <c r="V25" s="2" t="str">
        <f t="shared" si="5"/>
        <v/>
      </c>
      <c r="W25" s="2" t="str">
        <f t="shared" si="6"/>
        <v/>
      </c>
      <c r="X25" s="2" t="str">
        <f t="shared" si="7"/>
        <v/>
      </c>
      <c r="Y25" s="2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2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2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2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2">
        <f t="array" ref="AC25">IF($B25="","",IFERROR(INDEX(QBTotEff,MATCH($F25,QBTeams,0)),0)+IFERROR(INDEX(QBTotEff,MATCH($E25,QBTeams,0)),0))</f>
        <v>0</v>
      </c>
      <c r="AD25" s="2">
        <f>IF($B25="","",SUMIFS(AdjTot,AdjGameID,$B25,AdjActive,1))</f>
        <v>0</v>
      </c>
      <c r="AE25" s="2">
        <f t="shared" si="8"/>
        <v>0</v>
      </c>
      <c r="AF25" s="11"/>
      <c r="AG25" s="2">
        <f t="shared" si="9"/>
        <v>0</v>
      </c>
      <c r="AH25" s="2" t="str">
        <f t="array" ref="AH25">IF($B25="","",IFERROR(INDEX(MktTotal,MATCH($B25,MktGameID,0)),""))</f>
        <v/>
      </c>
      <c r="AI25" s="2" t="str">
        <f t="shared" si="10"/>
        <v/>
      </c>
      <c r="AJ25" s="2" t="str">
        <f t="shared" si="11"/>
        <v/>
      </c>
      <c r="AK25" s="2" t="str">
        <f t="shared" si="12"/>
        <v/>
      </c>
      <c r="AL25" s="2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2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2" t="str">
        <f>IF($AG25="","","BET OVER at ≤ "&amp;TEXT($AG25-BetTot,"0.0")&amp;"  |  BET UNDER at ≥ "&amp;TEXT($AG25+BetTot,"0.0"))</f>
        <v>BET OVER at ≤ -3.0  |  BET UNDER at ≥ 3.0</v>
      </c>
      <c r="AO25" s="2" t="str">
        <f t="array" ref="AO25">IF($B25="","",IF(OR(IFERROR(INDEX(QBFlag,MATCH($F25,QBTeams,0)),1)=1,IFERROR(INDEX(QBFlag,MATCH($E25,QBTeams,0)),1)=1),"QB UNCERTAIN",""))</f>
        <v/>
      </c>
      <c r="AP25" s="2" t="str">
        <f t="array" ref="AP25">IF($B25="","",IFERROR(INDEX(DQStatus,MATCH($B25,DQGameID,0)),"BLOCKED — DQ ROW NOT FOUND"))</f>
        <v>READY</v>
      </c>
      <c r="AQ25" s="2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2" t="str">
        <f t="shared" si="13"/>
        <v/>
      </c>
      <c r="AS25" s="2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2" t="str">
        <f t="shared" si="14"/>
        <v/>
      </c>
      <c r="AU25" s="11"/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9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2" t="str">
        <f t="array" ref="G26">IF($B26="","",IF(INDEX(SchedZone,MATCH($A26,SchedSeq,0),MAP!$B$14)="Neutral","Y",""))</f>
        <v/>
      </c>
      <c r="H26" s="2" t="str">
        <f t="array" ref="H26">IF($B26="","",INDEX(SchedZone,MATCH($A26,SchedSeq,0),MAP!$B$17))</f>
        <v>outdoors</v>
      </c>
      <c r="I26" s="2" t="str">
        <f>IF(OR($B26="",$C26&lt;&gt;CurrentWeek),"",COUNTIF($C$5:$C26,CurrentWeek))</f>
        <v/>
      </c>
      <c r="J26" s="2">
        <f t="array" ref="J26">IF($B26="","",IFERROR(INDEX(RatEff,MATCH($E26,RatTeams,0)),"⚠ TEAM NOT FOUND"))</f>
        <v>0.66</v>
      </c>
      <c r="K26" s="2">
        <f t="array" ref="K26">IF($B26="","",IFERROR(INDEX(RatEff,MATCH($F26,RatTeams,0)),"⚠ TEAM NOT FOUND"))</f>
        <v>2.09</v>
      </c>
      <c r="L26" s="2">
        <f t="shared" si="1"/>
        <v>1.43</v>
      </c>
      <c r="M26" s="2">
        <f t="array" ref="M26">IF($B26="","",IF($G26="Y",NeutralHFA,IFERROR(INDEX(HFAexcVal,MATCH($F26,HFAexcTeam,0)),HFA_Base)))</f>
        <v>1.6</v>
      </c>
      <c r="N26" s="2">
        <f t="array" ref="N26">IF($B26="","",IFERROR(INDEX(QBSpreadEff,MATCH($F26,QBTeams,0)),0)-IFERROR(INDEX(QBSpreadEff,MATCH($E26,QBTeams,0)),0))</f>
        <v>0</v>
      </c>
      <c r="O26" s="2">
        <f t="array" ref="O26">IF($B26="","",IFERROR(MEDIAN(-RestCapPts,RestCapPts,RestPerDay*(INDEX(SchedZone,MATCH($A26,SchedSeq,0),MAP!$B$16)-INDEX(SchedZone,MATCH($A26,SchedSeq,0),MAP!$B$15))),0))</f>
        <v>0.4</v>
      </c>
      <c r="P26" s="2">
        <f>IF($B26="","",SUMIFS(AdjSpread,AdjGameID,$B26,AdjTeam,$F26,AdjActive,1)-SUMIFS(AdjSpread,AdjGameID,$B26,AdjTeam,$E26,AdjActive,1))</f>
        <v>0</v>
      </c>
      <c r="Q26" s="2">
        <f t="shared" si="2"/>
        <v>3.43</v>
      </c>
      <c r="R26" s="11"/>
      <c r="S26" s="2">
        <f t="shared" si="3"/>
        <v>3.43</v>
      </c>
      <c r="T26" s="2" t="str">
        <f t="shared" si="4"/>
        <v>NE -3.4</v>
      </c>
      <c r="U26" s="2" t="str">
        <f t="array" ref="U26">IF($B26="","",IFERROR(INDEX(MktHomeSpread,MATCH($B26,MktGameID,0)),""))</f>
        <v/>
      </c>
      <c r="V26" s="2" t="str">
        <f t="shared" si="5"/>
        <v/>
      </c>
      <c r="W26" s="2" t="str">
        <f t="shared" si="6"/>
        <v/>
      </c>
      <c r="X26" s="2" t="str">
        <f t="shared" si="7"/>
        <v/>
      </c>
      <c r="Y26" s="2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2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2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2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2">
        <f t="array" ref="AC26">IF($B26="","",IFERROR(INDEX(QBTotEff,MATCH($F26,QBTeams,0)),0)+IFERROR(INDEX(QBTotEff,MATCH($E26,QBTeams,0)),0))</f>
        <v>0</v>
      </c>
      <c r="AD26" s="2">
        <f>IF($B26="","",SUMIFS(AdjTot,AdjGameID,$B26,AdjActive,1))</f>
        <v>0</v>
      </c>
      <c r="AE26" s="2">
        <f t="shared" si="8"/>
        <v>0</v>
      </c>
      <c r="AF26" s="11"/>
      <c r="AG26" s="2">
        <f t="shared" si="9"/>
        <v>0</v>
      </c>
      <c r="AH26" s="2" t="str">
        <f t="array" ref="AH26">IF($B26="","",IFERROR(INDEX(MktTotal,MATCH($B26,MktGameID,0)),""))</f>
        <v/>
      </c>
      <c r="AI26" s="2" t="str">
        <f t="shared" si="10"/>
        <v/>
      </c>
      <c r="AJ26" s="2" t="str">
        <f t="shared" si="11"/>
        <v/>
      </c>
      <c r="AK26" s="2" t="str">
        <f t="shared" si="12"/>
        <v/>
      </c>
      <c r="AL26" s="2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2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2" t="str">
        <f>IF($AG26="","","BET OVER at ≤ "&amp;TEXT($AG26-BetTot,"0.0")&amp;"  |  BET UNDER at ≥ "&amp;TEXT($AG26+BetTot,"0.0"))</f>
        <v>BET OVER at ≤ -3.0  |  BET UNDER at ≥ 3.0</v>
      </c>
      <c r="AO26" s="2" t="str">
        <f t="array" ref="AO26">IF($B26="","",IF(OR(IFERROR(INDEX(QBFlag,MATCH($F26,QBTeams,0)),1)=1,IFERROR(INDEX(QBFlag,MATCH($E26,QBTeams,0)),1)=1),"QB UNCERTAIN",""))</f>
        <v/>
      </c>
      <c r="AP26" s="2" t="str">
        <f t="array" ref="AP26">IF($B26="","",IFERROR(INDEX(DQStatus,MATCH($B26,DQGameID,0)),"BLOCKED — DQ ROW NOT FOUND"))</f>
        <v>READY</v>
      </c>
      <c r="AQ26" s="2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2" t="str">
        <f t="shared" si="13"/>
        <v/>
      </c>
      <c r="AS26" s="2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2" t="str">
        <f t="shared" si="14"/>
        <v/>
      </c>
      <c r="AU26" s="11"/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9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2" t="str">
        <f t="array" ref="G27">IF($B27="","",IF(INDEX(SchedZone,MATCH($A27,SchedSeq,0),MAP!$B$14)="Neutral","Y",""))</f>
        <v/>
      </c>
      <c r="H27" s="2" t="str">
        <f t="array" ref="H27">IF($B27="","",INDEX(SchedZone,MATCH($A27,SchedSeq,0),MAP!$B$17))</f>
        <v>outdoors</v>
      </c>
      <c r="I27" s="2" t="str">
        <f>IF(OR($B27="",$C27&lt;&gt;CurrentWeek),"",COUNTIF($C$5:$C27,CurrentWeek))</f>
        <v/>
      </c>
      <c r="J27" s="2">
        <f t="array" ref="J27">IF($B27="","",IFERROR(INDEX(RatEff,MATCH($E27,RatTeams,0)),"⚠ TEAM NOT FOUND"))</f>
        <v>0.51</v>
      </c>
      <c r="K27" s="2">
        <f t="array" ref="K27">IF($B27="","",IFERROR(INDEX(RatEff,MATCH($F27,RatTeams,0)),"⚠ TEAM NOT FOUND"))</f>
        <v>-4.67</v>
      </c>
      <c r="L27" s="2">
        <f t="shared" si="1"/>
        <v>-5.18</v>
      </c>
      <c r="M27" s="2">
        <f t="array" ref="M27">IF($B27="","",IF($G27="Y",NeutralHFA,IFERROR(INDEX(HFAexcVal,MATCH($F27,HFAexcTeam,0)),HFA_Base)))</f>
        <v>1.6</v>
      </c>
      <c r="N27" s="2">
        <f t="array" ref="N27">IF($B27="","",IFERROR(INDEX(QBSpreadEff,MATCH($F27,QBTeams,0)),0)-IFERROR(INDEX(QBSpreadEff,MATCH($E27,QBTeams,0)),0))</f>
        <v>0</v>
      </c>
      <c r="O27" s="2">
        <f t="array" ref="O27">IF($B27="","",IFERROR(MEDIAN(-RestCapPts,RestCapPts,RestPerDay*(INDEX(SchedZone,MATCH($A27,SchedSeq,0),MAP!$B$16)-INDEX(SchedZone,MATCH($A27,SchedSeq,0),MAP!$B$15))),0))</f>
        <v>0</v>
      </c>
      <c r="P27" s="2">
        <f>IF($B27="","",SUMIFS(AdjSpread,AdjGameID,$B27,AdjTeam,$F27,AdjActive,1)-SUMIFS(AdjSpread,AdjGameID,$B27,AdjTeam,$E27,AdjActive,1))</f>
        <v>0</v>
      </c>
      <c r="Q27" s="2">
        <f t="shared" si="2"/>
        <v>-3.58</v>
      </c>
      <c r="R27" s="11"/>
      <c r="S27" s="2">
        <f t="shared" si="3"/>
        <v>-3.58</v>
      </c>
      <c r="T27" s="2" t="str">
        <f t="shared" si="4"/>
        <v>GB -3.6</v>
      </c>
      <c r="U27" s="2" t="str">
        <f t="array" ref="U27">IF($B27="","",IFERROR(INDEX(MktHomeSpread,MATCH($B27,MktGameID,0)),""))</f>
        <v/>
      </c>
      <c r="V27" s="2" t="str">
        <f t="shared" si="5"/>
        <v/>
      </c>
      <c r="W27" s="2" t="str">
        <f t="shared" si="6"/>
        <v/>
      </c>
      <c r="X27" s="2" t="str">
        <f t="shared" si="7"/>
        <v/>
      </c>
      <c r="Y27" s="2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2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2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2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2">
        <f t="array" ref="AC27">IF($B27="","",IFERROR(INDEX(QBTotEff,MATCH($F27,QBTeams,0)),0)+IFERROR(INDEX(QBTotEff,MATCH($E27,QBTeams,0)),0))</f>
        <v>0</v>
      </c>
      <c r="AD27" s="2">
        <f>IF($B27="","",SUMIFS(AdjTot,AdjGameID,$B27,AdjActive,1))</f>
        <v>0</v>
      </c>
      <c r="AE27" s="2">
        <f t="shared" si="8"/>
        <v>0</v>
      </c>
      <c r="AF27" s="11"/>
      <c r="AG27" s="2">
        <f t="shared" si="9"/>
        <v>0</v>
      </c>
      <c r="AH27" s="2" t="str">
        <f t="array" ref="AH27">IF($B27="","",IFERROR(INDEX(MktTotal,MATCH($B27,MktGameID,0)),""))</f>
        <v/>
      </c>
      <c r="AI27" s="2" t="str">
        <f t="shared" si="10"/>
        <v/>
      </c>
      <c r="AJ27" s="2" t="str">
        <f t="shared" si="11"/>
        <v/>
      </c>
      <c r="AK27" s="2" t="str">
        <f t="shared" si="12"/>
        <v/>
      </c>
      <c r="AL27" s="2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2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2" t="str">
        <f>IF($AG27="","","BET OVER at ≤ "&amp;TEXT($AG27-BetTot,"0.0")&amp;"  |  BET UNDER at ≥ "&amp;TEXT($AG27+BetTot,"0.0"))</f>
        <v>BET OVER at ≤ -3.0  |  BET UNDER at ≥ 3.0</v>
      </c>
      <c r="AO27" s="2" t="str">
        <f t="array" ref="AO27">IF($B27="","",IF(OR(IFERROR(INDEX(QBFlag,MATCH($F27,QBTeams,0)),1)=1,IFERROR(INDEX(QBFlag,MATCH($E27,QBTeams,0)),1)=1),"QB UNCERTAIN",""))</f>
        <v/>
      </c>
      <c r="AP27" s="2" t="str">
        <f t="array" ref="AP27">IF($B27="","",IFERROR(INDEX(DQStatus,MATCH($B27,DQGameID,0)),"BLOCKED — DQ ROW NOT FOUND"))</f>
        <v>READY</v>
      </c>
      <c r="AQ27" s="2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2" t="str">
        <f t="shared" si="13"/>
        <v/>
      </c>
      <c r="AS27" s="2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2" t="str">
        <f t="shared" si="14"/>
        <v/>
      </c>
      <c r="AU27" s="11"/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9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2" t="str">
        <f t="array" ref="G28">IF($B28="","",IF(INDEX(SchedZone,MATCH($A28,SchedSeq,0),MAP!$B$14)="Neutral","Y",""))</f>
        <v/>
      </c>
      <c r="H28" s="2" t="str">
        <f t="array" ref="H28">IF($B28="","",INDEX(SchedZone,MATCH($A28,SchedSeq,0),MAP!$B$17))</f>
        <v>outdoors</v>
      </c>
      <c r="I28" s="2" t="str">
        <f>IF(OR($B28="",$C28&lt;&gt;CurrentWeek),"",COUNTIF($C$5:$C28,CurrentWeek))</f>
        <v/>
      </c>
      <c r="J28" s="2">
        <f t="array" ref="J28">IF($B28="","",IFERROR(INDEX(RatEff,MATCH($E28,RatTeams,0)),"⚠ TEAM NOT FOUND"))</f>
        <v>-2.6</v>
      </c>
      <c r="K28" s="2">
        <f t="array" ref="K28">IF($B28="","",IFERROR(INDEX(RatEff,MATCH($F28,RatTeams,0)),"⚠ TEAM NOT FOUND"))</f>
        <v>-0.48</v>
      </c>
      <c r="L28" s="2">
        <f t="shared" si="1"/>
        <v>2.12</v>
      </c>
      <c r="M28" s="2">
        <f t="array" ref="M28">IF($B28="","",IF($G28="Y",NeutralHFA,IFERROR(INDEX(HFAexcVal,MATCH($F28,HFAexcTeam,0)),HFA_Base)))</f>
        <v>1.6</v>
      </c>
      <c r="N28" s="2">
        <f t="array" ref="N28">IF($B28="","",IFERROR(INDEX(QBSpreadEff,MATCH($F28,QBTeams,0)),0)-IFERROR(INDEX(QBSpreadEff,MATCH($E28,QBTeams,0)),0))</f>
        <v>0</v>
      </c>
      <c r="O28" s="2">
        <f t="array" ref="O28">IF($B28="","",IFERROR(MEDIAN(-RestCapPts,RestCapPts,RestPerDay*(INDEX(SchedZone,MATCH($A28,SchedSeq,0),MAP!$B$16)-INDEX(SchedZone,MATCH($A28,SchedSeq,0),MAP!$B$15))),0))</f>
        <v>0</v>
      </c>
      <c r="P28" s="2">
        <f>IF($B28="","",SUMIFS(AdjSpread,AdjGameID,$B28,AdjTeam,$F28,AdjActive,1)-SUMIFS(AdjSpread,AdjGameID,$B28,AdjTeam,$E28,AdjActive,1))</f>
        <v>0</v>
      </c>
      <c r="Q28" s="2">
        <f t="shared" si="2"/>
        <v>3.72</v>
      </c>
      <c r="R28" s="11"/>
      <c r="S28" s="2">
        <f t="shared" si="3"/>
        <v>3.72</v>
      </c>
      <c r="T28" s="2" t="str">
        <f t="shared" si="4"/>
        <v>TB -3.7</v>
      </c>
      <c r="U28" s="2" t="str">
        <f t="array" ref="U28">IF($B28="","",IFERROR(INDEX(MktHomeSpread,MATCH($B28,MktGameID,0)),""))</f>
        <v/>
      </c>
      <c r="V28" s="2" t="str">
        <f t="shared" si="5"/>
        <v/>
      </c>
      <c r="W28" s="2" t="str">
        <f t="shared" si="6"/>
        <v/>
      </c>
      <c r="X28" s="2" t="str">
        <f t="shared" si="7"/>
        <v/>
      </c>
      <c r="Y28" s="2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2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2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2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2">
        <f t="array" ref="AC28">IF($B28="","",IFERROR(INDEX(QBTotEff,MATCH($F28,QBTeams,0)),0)+IFERROR(INDEX(QBTotEff,MATCH($E28,QBTeams,0)),0))</f>
        <v>0</v>
      </c>
      <c r="AD28" s="2">
        <f>IF($B28="","",SUMIFS(AdjTot,AdjGameID,$B28,AdjActive,1))</f>
        <v>0</v>
      </c>
      <c r="AE28" s="2">
        <f t="shared" si="8"/>
        <v>0</v>
      </c>
      <c r="AF28" s="11"/>
      <c r="AG28" s="2">
        <f t="shared" si="9"/>
        <v>0</v>
      </c>
      <c r="AH28" s="2" t="str">
        <f t="array" ref="AH28">IF($B28="","",IFERROR(INDEX(MktTotal,MATCH($B28,MktGameID,0)),""))</f>
        <v/>
      </c>
      <c r="AI28" s="2" t="str">
        <f t="shared" si="10"/>
        <v/>
      </c>
      <c r="AJ28" s="2" t="str">
        <f t="shared" si="11"/>
        <v/>
      </c>
      <c r="AK28" s="2" t="str">
        <f t="shared" si="12"/>
        <v/>
      </c>
      <c r="AL28" s="2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Low</v>
      </c>
      <c r="AM28" s="2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2" t="str">
        <f>IF($AG28="","","BET OVER at ≤ "&amp;TEXT($AG28-BetTot,"0.0")&amp;"  |  BET UNDER at ≥ "&amp;TEXT($AG28+BetTot,"0.0"))</f>
        <v>BET OVER at ≤ -3.0  |  BET UNDER at ≥ 3.0</v>
      </c>
      <c r="AO28" s="2" t="str">
        <f t="array" ref="AO28">IF($B28="","",IF(OR(IFERROR(INDEX(QBFlag,MATCH($F28,QBTeams,0)),1)=1,IFERROR(INDEX(QBFlag,MATCH($E28,QBTeams,0)),1)=1),"QB UNCERTAIN",""))</f>
        <v>QB UNCERTAIN</v>
      </c>
      <c r="AP28" s="2" t="str">
        <f t="array" ref="AP28">IF($B28="","",IFERROR(INDEX(DQStatus,MATCH($B28,DQGameID,0)),"BLOCKED — DQ ROW NOT FOUND"))</f>
        <v>READY</v>
      </c>
      <c r="AQ28" s="2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2" t="str">
        <f t="shared" si="13"/>
        <v/>
      </c>
      <c r="AS28" s="2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2" t="str">
        <f t="shared" si="14"/>
        <v/>
      </c>
      <c r="AU28" s="11"/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9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2" t="str">
        <f t="array" ref="G29">IF($B29="","",IF(INDEX(SchedZone,MATCH($A29,SchedSeq,0),MAP!$B$14)="Neutral","Y",""))</f>
        <v/>
      </c>
      <c r="H29" s="2" t="str">
        <f t="array" ref="H29">IF($B29="","",INDEX(SchedZone,MATCH($A29,SchedSeq,0),MAP!$B$17))</f>
        <v>outdoors</v>
      </c>
      <c r="I29" s="2" t="str">
        <f>IF(OR($B29="",$C29&lt;&gt;CurrentWeek),"",COUNTIF($C$5:$C29,CurrentWeek))</f>
        <v/>
      </c>
      <c r="J29" s="2">
        <f t="array" ref="J29">IF($B29="","",IFERROR(INDEX(RatEff,MATCH($E29,RatTeams,0)),"⚠ TEAM NOT FOUND"))</f>
        <v>1.5</v>
      </c>
      <c r="K29" s="2">
        <f t="array" ref="K29">IF($B29="","",IFERROR(INDEX(RatEff,MATCH($F29,RatTeams,0)),"⚠ TEAM NOT FOUND"))</f>
        <v>-3.14</v>
      </c>
      <c r="L29" s="2">
        <f t="shared" si="1"/>
        <v>-4.64</v>
      </c>
      <c r="M29" s="2">
        <f t="array" ref="M29">IF($B29="","",IF($G29="Y",NeutralHFA,IFERROR(INDEX(HFAexcVal,MATCH($F29,HFAexcTeam,0)),HFA_Base)))</f>
        <v>1.6</v>
      </c>
      <c r="N29" s="2">
        <f t="array" ref="N29">IF($B29="","",IFERROR(INDEX(QBSpreadEff,MATCH($F29,QBTeams,0)),0)-IFERROR(INDEX(QBSpreadEff,MATCH($E29,QBTeams,0)),0))</f>
        <v>0</v>
      </c>
      <c r="O29" s="2">
        <f t="array" ref="O29">IF($B29="","",IFERROR(MEDIAN(-RestCapPts,RestCapPts,RestPerDay*(INDEX(SchedZone,MATCH($A29,SchedSeq,0),MAP!$B$16)-INDEX(SchedZone,MATCH($A29,SchedSeq,0),MAP!$B$15))),0))</f>
        <v>0</v>
      </c>
      <c r="P29" s="2">
        <f>IF($B29="","",SUMIFS(AdjSpread,AdjGameID,$B29,AdjTeam,$F29,AdjActive,1)-SUMIFS(AdjSpread,AdjGameID,$B29,AdjTeam,$E29,AdjActive,1))</f>
        <v>0</v>
      </c>
      <c r="Q29" s="2">
        <f t="shared" si="2"/>
        <v>-3.04</v>
      </c>
      <c r="R29" s="11"/>
      <c r="S29" s="2">
        <f t="shared" si="3"/>
        <v>-3.04</v>
      </c>
      <c r="T29" s="2" t="str">
        <f t="shared" si="4"/>
        <v>PHI -3.0</v>
      </c>
      <c r="U29" s="2" t="str">
        <f t="array" ref="U29">IF($B29="","",IFERROR(INDEX(MktHomeSpread,MATCH($B29,MktGameID,0)),""))</f>
        <v/>
      </c>
      <c r="V29" s="2" t="str">
        <f t="shared" si="5"/>
        <v/>
      </c>
      <c r="W29" s="2" t="str">
        <f t="shared" si="6"/>
        <v/>
      </c>
      <c r="X29" s="2" t="str">
        <f t="shared" si="7"/>
        <v/>
      </c>
      <c r="Y29" s="2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2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2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2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2">
        <f t="array" ref="AC29">IF($B29="","",IFERROR(INDEX(QBTotEff,MATCH($F29,QBTeams,0)),0)+IFERROR(INDEX(QBTotEff,MATCH($E29,QBTeams,0)),0))</f>
        <v>0</v>
      </c>
      <c r="AD29" s="2">
        <f>IF($B29="","",SUMIFS(AdjTot,AdjGameID,$B29,AdjActive,1))</f>
        <v>0</v>
      </c>
      <c r="AE29" s="2">
        <f t="shared" si="8"/>
        <v>0</v>
      </c>
      <c r="AF29" s="11"/>
      <c r="AG29" s="2">
        <f t="shared" si="9"/>
        <v>0</v>
      </c>
      <c r="AH29" s="2" t="str">
        <f t="array" ref="AH29">IF($B29="","",IFERROR(INDEX(MktTotal,MATCH($B29,MktGameID,0)),""))</f>
        <v/>
      </c>
      <c r="AI29" s="2" t="str">
        <f t="shared" si="10"/>
        <v/>
      </c>
      <c r="AJ29" s="2" t="str">
        <f t="shared" si="11"/>
        <v/>
      </c>
      <c r="AK29" s="2" t="str">
        <f t="shared" si="12"/>
        <v/>
      </c>
      <c r="AL29" s="2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2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2" t="str">
        <f>IF($AG29="","","BET OVER at ≤ "&amp;TEXT($AG29-BetTot,"0.0")&amp;"  |  BET UNDER at ≥ "&amp;TEXT($AG29+BetTot,"0.0"))</f>
        <v>BET OVER at ≤ -3.0  |  BET UNDER at ≥ 3.0</v>
      </c>
      <c r="AO29" s="2" t="str">
        <f t="array" ref="AO29">IF($B29="","",IF(OR(IFERROR(INDEX(QBFlag,MATCH($F29,QBTeams,0)),1)=1,IFERROR(INDEX(QBFlag,MATCH($E29,QBTeams,0)),1)=1),"QB UNCERTAIN",""))</f>
        <v/>
      </c>
      <c r="AP29" s="2" t="str">
        <f t="array" ref="AP29">IF($B29="","",IFERROR(INDEX(DQStatus,MATCH($B29,DQGameID,0)),"BLOCKED — DQ ROW NOT FOUND"))</f>
        <v>READY</v>
      </c>
      <c r="AQ29" s="2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2" t="str">
        <f t="shared" si="13"/>
        <v/>
      </c>
      <c r="AS29" s="2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2" t="str">
        <f t="shared" si="14"/>
        <v/>
      </c>
      <c r="AU29" s="11"/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9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2" t="str">
        <f t="array" ref="G30">IF($B30="","",IF(INDEX(SchedZone,MATCH($A30,SchedSeq,0),MAP!$B$14)="Neutral","Y",""))</f>
        <v/>
      </c>
      <c r="H30" s="2" t="str">
        <f t="array" ref="H30">IF($B30="","",INDEX(SchedZone,MATCH($A30,SchedSeq,0),MAP!$B$17))</f>
        <v>outdoors</v>
      </c>
      <c r="I30" s="2" t="str">
        <f>IF(OR($B30="",$C30&lt;&gt;CurrentWeek),"",COUNTIF($C$5:$C30,CurrentWeek))</f>
        <v/>
      </c>
      <c r="J30" s="2">
        <f t="array" ref="J30">IF($B30="","",IFERROR(INDEX(RatEff,MATCH($E30,RatTeams,0)),"⚠ TEAM NOT FOUND"))</f>
        <v>3.22</v>
      </c>
      <c r="K30" s="2">
        <f t="array" ref="K30">IF($B30="","",IFERROR(INDEX(RatEff,MATCH($F30,RatTeams,0)),"⚠ TEAM NOT FOUND"))</f>
        <v>1.93</v>
      </c>
      <c r="L30" s="2">
        <f t="shared" si="1"/>
        <v>-1.29</v>
      </c>
      <c r="M30" s="2">
        <f t="array" ref="M30">IF($B30="","",IF($G30="Y",NeutralHFA,IFERROR(INDEX(HFAexcVal,MATCH($F30,HFAexcTeam,0)),HFA_Base)))</f>
        <v>1.6</v>
      </c>
      <c r="N30" s="2">
        <f t="array" ref="N30">IF($B30="","",IFERROR(INDEX(QBSpreadEff,MATCH($F30,QBTeams,0)),0)-IFERROR(INDEX(QBSpreadEff,MATCH($E30,QBTeams,0)),0))</f>
        <v>0</v>
      </c>
      <c r="O30" s="2">
        <f t="array" ref="O30">IF($B30="","",IFERROR(MEDIAN(-RestCapPts,RestCapPts,RestPerDay*(INDEX(SchedZone,MATCH($A30,SchedSeq,0),MAP!$B$16)-INDEX(SchedZone,MATCH($A30,SchedSeq,0),MAP!$B$15))),0))</f>
        <v>-0.1</v>
      </c>
      <c r="P30" s="2">
        <f>IF($B30="","",SUMIFS(AdjSpread,AdjGameID,$B30,AdjTeam,$F30,AdjActive,1)-SUMIFS(AdjSpread,AdjGameID,$B30,AdjTeam,$E30,AdjActive,1))</f>
        <v>0</v>
      </c>
      <c r="Q30" s="2">
        <f t="shared" si="2"/>
        <v>0.21</v>
      </c>
      <c r="R30" s="11"/>
      <c r="S30" s="2">
        <f t="shared" si="3"/>
        <v>0.21</v>
      </c>
      <c r="T30" s="2" t="str">
        <f t="shared" si="4"/>
        <v>DEN -0.2</v>
      </c>
      <c r="U30" s="2" t="str">
        <f t="array" ref="U30">IF($B30="","",IFERROR(INDEX(MktHomeSpread,MATCH($B30,MktGameID,0)),""))</f>
        <v/>
      </c>
      <c r="V30" s="2" t="str">
        <f t="shared" si="5"/>
        <v/>
      </c>
      <c r="W30" s="2" t="str">
        <f t="shared" si="6"/>
        <v/>
      </c>
      <c r="X30" s="2" t="str">
        <f t="shared" si="7"/>
        <v/>
      </c>
      <c r="Y30" s="2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2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2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2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2">
        <f t="array" ref="AC30">IF($B30="","",IFERROR(INDEX(QBTotEff,MATCH($F30,QBTeams,0)),0)+IFERROR(INDEX(QBTotEff,MATCH($E30,QBTeams,0)),0))</f>
        <v>0</v>
      </c>
      <c r="AD30" s="2">
        <f>IF($B30="","",SUMIFS(AdjTot,AdjGameID,$B30,AdjActive,1))</f>
        <v>0</v>
      </c>
      <c r="AE30" s="2">
        <f t="shared" si="8"/>
        <v>0</v>
      </c>
      <c r="AF30" s="11"/>
      <c r="AG30" s="2">
        <f t="shared" si="9"/>
        <v>0</v>
      </c>
      <c r="AH30" s="2" t="str">
        <f t="array" ref="AH30">IF($B30="","",IFERROR(INDEX(MktTotal,MATCH($B30,MktGameID,0)),""))</f>
        <v/>
      </c>
      <c r="AI30" s="2" t="str">
        <f t="shared" si="10"/>
        <v/>
      </c>
      <c r="AJ30" s="2" t="str">
        <f t="shared" si="11"/>
        <v/>
      </c>
      <c r="AK30" s="2" t="str">
        <f t="shared" si="12"/>
        <v/>
      </c>
      <c r="AL30" s="2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2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2" t="str">
        <f>IF($AG30="","","BET OVER at ≤ "&amp;TEXT($AG30-BetTot,"0.0")&amp;"  |  BET UNDER at ≥ "&amp;TEXT($AG30+BetTot,"0.0"))</f>
        <v>BET OVER at ≤ -3.0  |  BET UNDER at ≥ 3.0</v>
      </c>
      <c r="AO30" s="2" t="str">
        <f t="array" ref="AO30">IF($B30="","",IF(OR(IFERROR(INDEX(QBFlag,MATCH($F30,QBTeams,0)),1)=1,IFERROR(INDEX(QBFlag,MATCH($E30,QBTeams,0)),1)=1),"QB UNCERTAIN",""))</f>
        <v/>
      </c>
      <c r="AP30" s="2" t="str">
        <f t="array" ref="AP30">IF($B30="","",IFERROR(INDEX(DQStatus,MATCH($B30,DQGameID,0)),"BLOCKED — DQ ROW NOT FOUND"))</f>
        <v>READY</v>
      </c>
      <c r="AQ30" s="2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2" t="str">
        <f t="shared" si="13"/>
        <v/>
      </c>
      <c r="AS30" s="2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2" t="str">
        <f t="shared" si="14"/>
        <v/>
      </c>
      <c r="AU30" s="11"/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9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2" t="str">
        <f t="array" ref="G31">IF($B31="","",IF(INDEX(SchedZone,MATCH($A31,SchedSeq,0),MAP!$B$14)="Neutral","Y",""))</f>
        <v/>
      </c>
      <c r="H31" s="2" t="str">
        <f t="array" ref="H31">IF($B31="","",INDEX(SchedZone,MATCH($A31,SchedSeq,0),MAP!$B$17))</f>
        <v>dome</v>
      </c>
      <c r="I31" s="2" t="str">
        <f>IF(OR($B31="",$C31&lt;&gt;CurrentWeek),"",COUNTIF($C$5:$C31,CurrentWeek))</f>
        <v/>
      </c>
      <c r="J31" s="2">
        <f t="array" ref="J31">IF($B31="","",IFERROR(INDEX(RatEff,MATCH($E31,RatTeams,0)),"⚠ TEAM NOT FOUND"))</f>
        <v>-3.52</v>
      </c>
      <c r="K31" s="2">
        <f t="array" ref="K31">IF($B31="","",IFERROR(INDEX(RatEff,MATCH($F31,RatTeams,0)),"⚠ TEAM NOT FOUND"))</f>
        <v>0.56</v>
      </c>
      <c r="L31" s="2">
        <f t="shared" si="1"/>
        <v>4.08</v>
      </c>
      <c r="M31" s="2">
        <f t="array" ref="M31">IF($B31="","",IF($G31="Y",NeutralHFA,IFERROR(INDEX(HFAexcVal,MATCH($F31,HFAexcTeam,0)),HFA_Base)))</f>
        <v>1.6</v>
      </c>
      <c r="N31" s="2">
        <f t="array" ref="N31">IF($B31="","",IFERROR(INDEX(QBSpreadEff,MATCH($F31,QBTeams,0)),0)-IFERROR(INDEX(QBSpreadEff,MATCH($E31,QBTeams,0)),0))</f>
        <v>0</v>
      </c>
      <c r="O31" s="2">
        <f t="array" ref="O31">IF($B31="","",IFERROR(MEDIAN(-RestCapPts,RestCapPts,RestPerDay*(INDEX(SchedZone,MATCH($A31,SchedSeq,0),MAP!$B$16)-INDEX(SchedZone,MATCH($A31,SchedSeq,0),MAP!$B$15))),0))</f>
        <v>0</v>
      </c>
      <c r="P31" s="2">
        <f>IF($B31="","",SUMIFS(AdjSpread,AdjGameID,$B31,AdjTeam,$F31,AdjActive,1)-SUMIFS(AdjSpread,AdjGameID,$B31,AdjTeam,$E31,AdjActive,1))</f>
        <v>0</v>
      </c>
      <c r="Q31" s="2">
        <f t="shared" si="2"/>
        <v>5.68</v>
      </c>
      <c r="R31" s="11"/>
      <c r="S31" s="2">
        <f t="shared" si="3"/>
        <v>5.68</v>
      </c>
      <c r="T31" s="2" t="str">
        <f t="shared" si="4"/>
        <v>LAC -5.7</v>
      </c>
      <c r="U31" s="2" t="str">
        <f t="array" ref="U31">IF($B31="","",IFERROR(INDEX(MktHomeSpread,MATCH($B31,MktGameID,0)),""))</f>
        <v/>
      </c>
      <c r="V31" s="2" t="str">
        <f t="shared" si="5"/>
        <v/>
      </c>
      <c r="W31" s="2" t="str">
        <f t="shared" si="6"/>
        <v/>
      </c>
      <c r="X31" s="2" t="str">
        <f t="shared" si="7"/>
        <v/>
      </c>
      <c r="Y31" s="2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2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2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2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2">
        <f t="array" ref="AC31">IF($B31="","",IFERROR(INDEX(QBTotEff,MATCH($F31,QBTeams,0)),0)+IFERROR(INDEX(QBTotEff,MATCH($E31,QBTeams,0)),0))</f>
        <v>0</v>
      </c>
      <c r="AD31" s="2">
        <f>IF($B31="","",SUMIFS(AdjTot,AdjGameID,$B31,AdjActive,1))</f>
        <v>0</v>
      </c>
      <c r="AE31" s="2">
        <f t="shared" si="8"/>
        <v>0</v>
      </c>
      <c r="AF31" s="11"/>
      <c r="AG31" s="2">
        <f t="shared" si="9"/>
        <v>0</v>
      </c>
      <c r="AH31" s="2" t="str">
        <f t="array" ref="AH31">IF($B31="","",IFERROR(INDEX(MktTotal,MATCH($B31,MktGameID,0)),""))</f>
        <v/>
      </c>
      <c r="AI31" s="2" t="str">
        <f t="shared" si="10"/>
        <v/>
      </c>
      <c r="AJ31" s="2" t="str">
        <f t="shared" si="11"/>
        <v/>
      </c>
      <c r="AK31" s="2" t="str">
        <f t="shared" si="12"/>
        <v/>
      </c>
      <c r="AL31" s="2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2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2" t="str">
        <f>IF($AG31="","","BET OVER at ≤ "&amp;TEXT($AG31-BetTot,"0.0")&amp;"  |  BET UNDER at ≥ "&amp;TEXT($AG31+BetTot,"0.0"))</f>
        <v>BET OVER at ≤ -3.0  |  BET UNDER at ≥ 3.0</v>
      </c>
      <c r="AO31" s="2" t="str">
        <f t="array" ref="AO31">IF($B31="","",IF(OR(IFERROR(INDEX(QBFlag,MATCH($F31,QBTeams,0)),1)=1,IFERROR(INDEX(QBFlag,MATCH($E31,QBTeams,0)),1)=1),"QB UNCERTAIN",""))</f>
        <v/>
      </c>
      <c r="AP31" s="2" t="str">
        <f t="array" ref="AP31">IF($B31="","",IFERROR(INDEX(DQStatus,MATCH($B31,DQGameID,0)),"BLOCKED — DQ ROW NOT FOUND"))</f>
        <v>READY</v>
      </c>
      <c r="AQ31" s="2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2" t="str">
        <f t="shared" si="13"/>
        <v/>
      </c>
      <c r="AS31" s="2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2" t="str">
        <f t="shared" si="14"/>
        <v/>
      </c>
      <c r="AU31" s="11"/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9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2" t="str">
        <f t="array" ref="G32">IF($B32="","",IF(INDEX(SchedZone,MATCH($A32,SchedSeq,0),MAP!$B$14)="Neutral","Y",""))</f>
        <v/>
      </c>
      <c r="H32" s="2" t="str">
        <f t="array" ref="H32">IF($B32="","",INDEX(SchedZone,MATCH($A32,SchedSeq,0),MAP!$B$17))</f>
        <v/>
      </c>
      <c r="I32" s="2" t="str">
        <f>IF(OR($B32="",$C32&lt;&gt;CurrentWeek),"",COUNTIF($C$5:$C32,CurrentWeek))</f>
        <v/>
      </c>
      <c r="J32" s="2">
        <f t="array" ref="J32">IF($B32="","",IFERROR(INDEX(RatEff,MATCH($E32,RatTeams,0)),"⚠ TEAM NOT FOUND"))</f>
        <v>4.1</v>
      </c>
      <c r="K32" s="2">
        <f t="array" ref="K32">IF($B32="","",IFERROR(INDEX(RatEff,MATCH($F32,RatTeams,0)),"⚠ TEAM NOT FOUND"))</f>
        <v>-2.07</v>
      </c>
      <c r="L32" s="2">
        <f t="shared" si="1"/>
        <v>-6.17</v>
      </c>
      <c r="M32" s="2">
        <f t="array" ref="M32">IF($B32="","",IF($G32="Y",NeutralHFA,IFERROR(INDEX(HFAexcVal,MATCH($F32,HFAexcTeam,0)),HFA_Base)))</f>
        <v>1.6</v>
      </c>
      <c r="N32" s="2">
        <f t="array" ref="N32">IF($B32="","",IFERROR(INDEX(QBSpreadEff,MATCH($F32,QBTeams,0)),0)-IFERROR(INDEX(QBSpreadEff,MATCH($E32,QBTeams,0)),0))</f>
        <v>0</v>
      </c>
      <c r="O32" s="2">
        <f t="array" ref="O32">IF($B32="","",IFERROR(MEDIAN(-RestCapPts,RestCapPts,RestPerDay*(INDEX(SchedZone,MATCH($A32,SchedSeq,0),MAP!$B$16)-INDEX(SchedZone,MATCH($A32,SchedSeq,0),MAP!$B$15))),0))</f>
        <v>-0.4</v>
      </c>
      <c r="P32" s="2">
        <f>IF($B32="","",SUMIFS(AdjSpread,AdjGameID,$B32,AdjTeam,$F32,AdjActive,1)-SUMIFS(AdjSpread,AdjGameID,$B32,AdjTeam,$E32,AdjActive,1))</f>
        <v>0</v>
      </c>
      <c r="Q32" s="2">
        <f t="shared" si="2"/>
        <v>-4.97</v>
      </c>
      <c r="R32" s="11"/>
      <c r="S32" s="2">
        <f t="shared" si="3"/>
        <v>-4.97</v>
      </c>
      <c r="T32" s="2" t="str">
        <f t="shared" si="4"/>
        <v>SEA -5.0</v>
      </c>
      <c r="U32" s="2" t="str">
        <f t="array" ref="U32">IF($B32="","",IFERROR(INDEX(MktHomeSpread,MATCH($B32,MktGameID,0)),""))</f>
        <v/>
      </c>
      <c r="V32" s="2" t="str">
        <f t="shared" si="5"/>
        <v/>
      </c>
      <c r="W32" s="2" t="str">
        <f t="shared" si="6"/>
        <v/>
      </c>
      <c r="X32" s="2" t="str">
        <f t="shared" si="7"/>
        <v/>
      </c>
      <c r="Y32" s="2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2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2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2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2">
        <f t="array" ref="AC32">IF($B32="","",IFERROR(INDEX(QBTotEff,MATCH($F32,QBTeams,0)),0)+IFERROR(INDEX(QBTotEff,MATCH($E32,QBTeams,0)),0))</f>
        <v>0</v>
      </c>
      <c r="AD32" s="2">
        <f>IF($B32="","",SUMIFS(AdjTot,AdjGameID,$B32,AdjActive,1))</f>
        <v>0</v>
      </c>
      <c r="AE32" s="2">
        <f t="shared" si="8"/>
        <v>0</v>
      </c>
      <c r="AF32" s="11"/>
      <c r="AG32" s="2">
        <f t="shared" si="9"/>
        <v>0</v>
      </c>
      <c r="AH32" s="2" t="str">
        <f t="array" ref="AH32">IF($B32="","",IFERROR(INDEX(MktTotal,MATCH($B32,MktGameID,0)),""))</f>
        <v/>
      </c>
      <c r="AI32" s="2" t="str">
        <f t="shared" si="10"/>
        <v/>
      </c>
      <c r="AJ32" s="2" t="str">
        <f t="shared" si="11"/>
        <v/>
      </c>
      <c r="AK32" s="2" t="str">
        <f t="shared" si="12"/>
        <v/>
      </c>
      <c r="AL32" s="2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Low</v>
      </c>
      <c r="AM32" s="2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2" t="str">
        <f>IF($AG32="","","BET OVER at ≤ "&amp;TEXT($AG32-BetTot,"0.0")&amp;"  |  BET UNDER at ≥ "&amp;TEXT($AG32+BetTot,"0.0"))</f>
        <v>BET OVER at ≤ -3.0  |  BET UNDER at ≥ 3.0</v>
      </c>
      <c r="AO32" s="2" t="str">
        <f t="array" ref="AO32">IF($B32="","",IF(OR(IFERROR(INDEX(QBFlag,MATCH($F32,QBTeams,0)),1)=1,IFERROR(INDEX(QBFlag,MATCH($E32,QBTeams,0)),1)=1),"QB UNCERTAIN",""))</f>
        <v>QB UNCERTAIN</v>
      </c>
      <c r="AP32" s="2" t="str">
        <f t="array" ref="AP32">IF($B32="","",IFERROR(INDEX(DQStatus,MATCH($B32,DQGameID,0)),"BLOCKED — DQ ROW NOT FOUND"))</f>
        <v>READY</v>
      </c>
      <c r="AQ32" s="2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2" t="str">
        <f t="shared" si="13"/>
        <v/>
      </c>
      <c r="AS32" s="2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2" t="str">
        <f t="shared" si="14"/>
        <v/>
      </c>
      <c r="AU32" s="11"/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9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2" t="str">
        <f t="array" ref="G33">IF($B33="","",IF(INDEX(SchedZone,MATCH($A33,SchedSeq,0),MAP!$B$14)="Neutral","Y",""))</f>
        <v/>
      </c>
      <c r="H33" s="2" t="str">
        <f t="array" ref="H33">IF($B33="","",INDEX(SchedZone,MATCH($A33,SchedSeq,0),MAP!$B$17))</f>
        <v/>
      </c>
      <c r="I33" s="2" t="str">
        <f>IF(OR($B33="",$C33&lt;&gt;CurrentWeek),"",COUNTIF($C$5:$C33,CurrentWeek))</f>
        <v/>
      </c>
      <c r="J33" s="2">
        <f t="array" ref="J33">IF($B33="","",IFERROR(INDEX(RatEff,MATCH($E33,RatTeams,0)),"⚠ TEAM NOT FOUND"))</f>
        <v>-2.02</v>
      </c>
      <c r="K33" s="2">
        <f t="array" ref="K33">IF($B33="","",IFERROR(INDEX(RatEff,MATCH($F33,RatTeams,0)),"⚠ TEAM NOT FOUND"))</f>
        <v>-2.26</v>
      </c>
      <c r="L33" s="2">
        <f t="shared" si="1"/>
        <v>-0.24</v>
      </c>
      <c r="M33" s="2">
        <f t="array" ref="M33">IF($B33="","",IF($G33="Y",NeutralHFA,IFERROR(INDEX(HFAexcVal,MATCH($F33,HFAexcTeam,0)),HFA_Base)))</f>
        <v>1.6</v>
      </c>
      <c r="N33" s="2">
        <f t="array" ref="N33">IF($B33="","",IFERROR(INDEX(QBSpreadEff,MATCH($F33,QBTeams,0)),0)-IFERROR(INDEX(QBSpreadEff,MATCH($E33,QBTeams,0)),0))</f>
        <v>0</v>
      </c>
      <c r="O33" s="2">
        <f t="array" ref="O33">IF($B33="","",IFERROR(MEDIAN(-RestCapPts,RestCapPts,RestPerDay*(INDEX(SchedZone,MATCH($A33,SchedSeq,0),MAP!$B$16)-INDEX(SchedZone,MATCH($A33,SchedSeq,0),MAP!$B$15))),0))</f>
        <v>0</v>
      </c>
      <c r="P33" s="2">
        <f>IF($B33="","",SUMIFS(AdjSpread,AdjGameID,$B33,AdjTeam,$F33,AdjActive,1)-SUMIFS(AdjSpread,AdjGameID,$B33,AdjTeam,$E33,AdjActive,1))</f>
        <v>0</v>
      </c>
      <c r="Q33" s="2">
        <f t="shared" si="2"/>
        <v>1.36</v>
      </c>
      <c r="R33" s="11"/>
      <c r="S33" s="2">
        <f t="shared" si="3"/>
        <v>1.36</v>
      </c>
      <c r="T33" s="2" t="str">
        <f t="shared" si="4"/>
        <v>DAL -1.4</v>
      </c>
      <c r="U33" s="2" t="str">
        <f t="array" ref="U33">IF($B33="","",IFERROR(INDEX(MktHomeSpread,MATCH($B33,MktGameID,0)),""))</f>
        <v/>
      </c>
      <c r="V33" s="2" t="str">
        <f t="shared" si="5"/>
        <v/>
      </c>
      <c r="W33" s="2" t="str">
        <f t="shared" si="6"/>
        <v/>
      </c>
      <c r="X33" s="2" t="str">
        <f t="shared" si="7"/>
        <v/>
      </c>
      <c r="Y33" s="2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2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2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2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2">
        <f t="array" ref="AC33">IF($B33="","",IFERROR(INDEX(QBTotEff,MATCH($F33,QBTeams,0)),0)+IFERROR(INDEX(QBTotEff,MATCH($E33,QBTeams,0)),0))</f>
        <v>0</v>
      </c>
      <c r="AD33" s="2">
        <f>IF($B33="","",SUMIFS(AdjTot,AdjGameID,$B33,AdjActive,1))</f>
        <v>0</v>
      </c>
      <c r="AE33" s="2">
        <f t="shared" si="8"/>
        <v>0</v>
      </c>
      <c r="AF33" s="11"/>
      <c r="AG33" s="2">
        <f t="shared" si="9"/>
        <v>0</v>
      </c>
      <c r="AH33" s="2" t="str">
        <f t="array" ref="AH33">IF($B33="","",IFERROR(INDEX(MktTotal,MATCH($B33,MktGameID,0)),""))</f>
        <v/>
      </c>
      <c r="AI33" s="2" t="str">
        <f t="shared" si="10"/>
        <v/>
      </c>
      <c r="AJ33" s="2" t="str">
        <f t="shared" si="11"/>
        <v/>
      </c>
      <c r="AK33" s="2" t="str">
        <f t="shared" si="12"/>
        <v/>
      </c>
      <c r="AL33" s="2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2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2" t="str">
        <f>IF($AG33="","","BET OVER at ≤ "&amp;TEXT($AG33-BetTot,"0.0")&amp;"  |  BET UNDER at ≥ "&amp;TEXT($AG33+BetTot,"0.0"))</f>
        <v>BET OVER at ≤ -3.0  |  BET UNDER at ≥ 3.0</v>
      </c>
      <c r="AO33" s="2" t="str">
        <f t="array" ref="AO33">IF($B33="","",IF(OR(IFERROR(INDEX(QBFlag,MATCH($F33,QBTeams,0)),1)=1,IFERROR(INDEX(QBFlag,MATCH($E33,QBTeams,0)),1)=1),"QB UNCERTAIN",""))</f>
        <v/>
      </c>
      <c r="AP33" s="2" t="str">
        <f t="array" ref="AP33">IF($B33="","",IFERROR(INDEX(DQStatus,MATCH($B33,DQGameID,0)),"BLOCKED — DQ ROW NOT FOUND"))</f>
        <v>READY</v>
      </c>
      <c r="AQ33" s="2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2" t="str">
        <f t="shared" si="13"/>
        <v/>
      </c>
      <c r="AS33" s="2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2" t="str">
        <f t="shared" si="14"/>
        <v/>
      </c>
      <c r="AU33" s="11"/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9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2" t="str">
        <f t="array" ref="G34">IF($B34="","",IF(INDEX(SchedZone,MATCH($A34,SchedSeq,0),MAP!$B$14)="Neutral","Y",""))</f>
        <v/>
      </c>
      <c r="H34" s="2" t="str">
        <f t="array" ref="H34">IF($B34="","",INDEX(SchedZone,MATCH($A34,SchedSeq,0),MAP!$B$17))</f>
        <v>outdoors</v>
      </c>
      <c r="I34" s="2" t="str">
        <f>IF(OR($B34="",$C34&lt;&gt;CurrentWeek),"",COUNTIF($C$5:$C34,CurrentWeek))</f>
        <v/>
      </c>
      <c r="J34" s="2">
        <f t="array" ref="J34">IF($B34="","",IFERROR(INDEX(RatEff,MATCH($E34,RatTeams,0)),"⚠ TEAM NOT FOUND"))</f>
        <v>-2.64</v>
      </c>
      <c r="K34" s="2">
        <f t="array" ref="K34">IF($B34="","",IFERROR(INDEX(RatEff,MATCH($F34,RatTeams,0)),"⚠ TEAM NOT FOUND"))</f>
        <v>1.78</v>
      </c>
      <c r="L34" s="2">
        <f t="shared" si="1"/>
        <v>4.42</v>
      </c>
      <c r="M34" s="2">
        <f t="array" ref="M34">IF($B34="","",IF($G34="Y",NeutralHFA,IFERROR(INDEX(HFAexcVal,MATCH($F34,HFAexcTeam,0)),HFA_Base)))</f>
        <v>1.6</v>
      </c>
      <c r="N34" s="2">
        <f t="array" ref="N34">IF($B34="","",IFERROR(INDEX(QBSpreadEff,MATCH($F34,QBTeams,0)),0)-IFERROR(INDEX(QBSpreadEff,MATCH($E34,QBTeams,0)),0))</f>
        <v>0</v>
      </c>
      <c r="O34" s="2">
        <f t="array" ref="O34">IF($B34="","",IFERROR(MEDIAN(-RestCapPts,RestCapPts,RestPerDay*(INDEX(SchedZone,MATCH($A34,SchedSeq,0),MAP!$B$16)-INDEX(SchedZone,MATCH($A34,SchedSeq,0),MAP!$B$15))),0))</f>
        <v>0.3</v>
      </c>
      <c r="P34" s="2">
        <f>IF($B34="","",SUMIFS(AdjSpread,AdjGameID,$B34,AdjTeam,$F34,AdjActive,1)-SUMIFS(AdjSpread,AdjGameID,$B34,AdjTeam,$E34,AdjActive,1))</f>
        <v>0</v>
      </c>
      <c r="Q34" s="2">
        <f t="shared" si="2"/>
        <v>6.32</v>
      </c>
      <c r="R34" s="11"/>
      <c r="S34" s="2">
        <f t="shared" si="3"/>
        <v>6.32</v>
      </c>
      <c r="T34" s="2" t="str">
        <f t="shared" si="4"/>
        <v>SF -6.3</v>
      </c>
      <c r="U34" s="2" t="str">
        <f t="array" ref="U34">IF($B34="","",IFERROR(INDEX(MktHomeSpread,MATCH($B34,MktGameID,0)),""))</f>
        <v/>
      </c>
      <c r="V34" s="2" t="str">
        <f t="shared" si="5"/>
        <v/>
      </c>
      <c r="W34" s="2" t="str">
        <f t="shared" si="6"/>
        <v/>
      </c>
      <c r="X34" s="2" t="str">
        <f t="shared" si="7"/>
        <v/>
      </c>
      <c r="Y34" s="2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2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2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2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2">
        <f t="array" ref="AC34">IF($B34="","",IFERROR(INDEX(QBTotEff,MATCH($F34,QBTeams,0)),0)+IFERROR(INDEX(QBTotEff,MATCH($E34,QBTeams,0)),0))</f>
        <v>0</v>
      </c>
      <c r="AD34" s="2">
        <f>IF($B34="","",SUMIFS(AdjTot,AdjGameID,$B34,AdjActive,1))</f>
        <v>0</v>
      </c>
      <c r="AE34" s="2">
        <f t="shared" si="8"/>
        <v>0</v>
      </c>
      <c r="AF34" s="11"/>
      <c r="AG34" s="2">
        <f t="shared" si="9"/>
        <v>0</v>
      </c>
      <c r="AH34" s="2" t="str">
        <f t="array" ref="AH34">IF($B34="","",IFERROR(INDEX(MktTotal,MATCH($B34,MktGameID,0)),""))</f>
        <v/>
      </c>
      <c r="AI34" s="2" t="str">
        <f t="shared" si="10"/>
        <v/>
      </c>
      <c r="AJ34" s="2" t="str">
        <f t="shared" si="11"/>
        <v/>
      </c>
      <c r="AK34" s="2" t="str">
        <f t="shared" si="12"/>
        <v/>
      </c>
      <c r="AL34" s="2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2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2" t="str">
        <f>IF($AG34="","","BET OVER at ≤ "&amp;TEXT($AG34-BetTot,"0.0")&amp;"  |  BET UNDER at ≥ "&amp;TEXT($AG34+BetTot,"0.0"))</f>
        <v>BET OVER at ≤ -3.0  |  BET UNDER at ≥ 3.0</v>
      </c>
      <c r="AO34" s="2" t="str">
        <f t="array" ref="AO34">IF($B34="","",IF(OR(IFERROR(INDEX(QBFlag,MATCH($F34,QBTeams,0)),1)=1,IFERROR(INDEX(QBFlag,MATCH($E34,QBTeams,0)),1)=1),"QB UNCERTAIN",""))</f>
        <v/>
      </c>
      <c r="AP34" s="2" t="str">
        <f t="array" ref="AP34">IF($B34="","",IFERROR(INDEX(DQStatus,MATCH($B34,DQGameID,0)),"BLOCKED — DQ ROW NOT FOUND"))</f>
        <v>READY</v>
      </c>
      <c r="AQ34" s="2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2" t="str">
        <f t="shared" si="13"/>
        <v/>
      </c>
      <c r="AS34" s="2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2" t="str">
        <f t="shared" si="14"/>
        <v/>
      </c>
      <c r="AU34" s="11"/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9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2" t="str">
        <f t="array" ref="G35">IF($B35="","",IF(INDEX(SchedZone,MATCH($A35,SchedSeq,0),MAP!$B$14)="Neutral","Y",""))</f>
        <v/>
      </c>
      <c r="H35" s="2" t="str">
        <f t="array" ref="H35">IF($B35="","",INDEX(SchedZone,MATCH($A35,SchedSeq,0),MAP!$B$17))</f>
        <v>outdoors</v>
      </c>
      <c r="I35" s="2" t="str">
        <f>IF(OR($B35="",$C35&lt;&gt;CurrentWeek),"",COUNTIF($C$5:$C35,CurrentWeek))</f>
        <v/>
      </c>
      <c r="J35" s="2">
        <f t="array" ref="J35">IF($B35="","",IFERROR(INDEX(RatEff,MATCH($E35,RatTeams,0)),"⚠ TEAM NOT FOUND"))</f>
        <v>0.82</v>
      </c>
      <c r="K35" s="2">
        <f t="array" ref="K35">IF($B35="","",IFERROR(INDEX(RatEff,MATCH($F35,RatTeams,0)),"⚠ TEAM NOT FOUND"))</f>
        <v>-0.04</v>
      </c>
      <c r="L35" s="2">
        <f t="shared" si="1"/>
        <v>-0.86</v>
      </c>
      <c r="M35" s="2">
        <f t="array" ref="M35">IF($B35="","",IF($G35="Y",NeutralHFA,IFERROR(INDEX(HFAexcVal,MATCH($F35,HFAexcTeam,0)),HFA_Base)))</f>
        <v>1.6</v>
      </c>
      <c r="N35" s="2">
        <f t="array" ref="N35">IF($B35="","",IFERROR(INDEX(QBSpreadEff,MATCH($F35,QBTeams,0)),0)-IFERROR(INDEX(QBSpreadEff,MATCH($E35,QBTeams,0)),0))</f>
        <v>0</v>
      </c>
      <c r="O35" s="2">
        <f t="array" ref="O35">IF($B35="","",IFERROR(MEDIAN(-RestCapPts,RestCapPts,RestPerDay*(INDEX(SchedZone,MATCH($A35,SchedSeq,0),MAP!$B$16)-INDEX(SchedZone,MATCH($A35,SchedSeq,0),MAP!$B$15))),0))</f>
        <v>-0.1</v>
      </c>
      <c r="P35" s="2">
        <f>IF($B35="","",SUMIFS(AdjSpread,AdjGameID,$B35,AdjTeam,$F35,AdjActive,1)-SUMIFS(AdjSpread,AdjGameID,$B35,AdjTeam,$E35,AdjActive,1))</f>
        <v>0</v>
      </c>
      <c r="Q35" s="2">
        <f t="shared" si="2"/>
        <v>0.64</v>
      </c>
      <c r="R35" s="11"/>
      <c r="S35" s="2">
        <f t="shared" si="3"/>
        <v>0.64</v>
      </c>
      <c r="T35" s="2" t="str">
        <f t="shared" si="4"/>
        <v>KC -0.6</v>
      </c>
      <c r="U35" s="2" t="str">
        <f t="array" ref="U35">IF($B35="","",IFERROR(INDEX(MktHomeSpread,MATCH($B35,MktGameID,0)),""))</f>
        <v/>
      </c>
      <c r="V35" s="2" t="str">
        <f t="shared" si="5"/>
        <v/>
      </c>
      <c r="W35" s="2" t="str">
        <f t="shared" si="6"/>
        <v/>
      </c>
      <c r="X35" s="2" t="str">
        <f t="shared" si="7"/>
        <v/>
      </c>
      <c r="Y35" s="2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2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2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2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2">
        <f t="array" ref="AC35">IF($B35="","",IFERROR(INDEX(QBTotEff,MATCH($F35,QBTeams,0)),0)+IFERROR(INDEX(QBTotEff,MATCH($E35,QBTeams,0)),0))</f>
        <v>0</v>
      </c>
      <c r="AD35" s="2">
        <f>IF($B35="","",SUMIFS(AdjTot,AdjGameID,$B35,AdjActive,1))</f>
        <v>0</v>
      </c>
      <c r="AE35" s="2">
        <f t="shared" si="8"/>
        <v>0</v>
      </c>
      <c r="AF35" s="11"/>
      <c r="AG35" s="2">
        <f t="shared" si="9"/>
        <v>0</v>
      </c>
      <c r="AH35" s="2" t="str">
        <f t="array" ref="AH35">IF($B35="","",IFERROR(INDEX(MktTotal,MATCH($B35,MktGameID,0)),""))</f>
        <v/>
      </c>
      <c r="AI35" s="2" t="str">
        <f t="shared" si="10"/>
        <v/>
      </c>
      <c r="AJ35" s="2" t="str">
        <f t="shared" si="11"/>
        <v/>
      </c>
      <c r="AK35" s="2" t="str">
        <f t="shared" si="12"/>
        <v/>
      </c>
      <c r="AL35" s="2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Medium</v>
      </c>
      <c r="AM35" s="2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2" t="str">
        <f>IF($AG35="","","BET OVER at ≤ "&amp;TEXT($AG35-BetTot,"0.0")&amp;"  |  BET UNDER at ≥ "&amp;TEXT($AG35+BetTot,"0.0"))</f>
        <v>BET OVER at ≤ -3.0  |  BET UNDER at ≥ 3.0</v>
      </c>
      <c r="AO35" s="2" t="str">
        <f t="array" ref="AO35">IF($B35="","",IF(OR(IFERROR(INDEX(QBFlag,MATCH($F35,QBTeams,0)),1)=1,IFERROR(INDEX(QBFlag,MATCH($E35,QBTeams,0)),1)=1),"QB UNCERTAIN",""))</f>
        <v/>
      </c>
      <c r="AP35" s="2" t="str">
        <f t="array" ref="AP35">IF($B35="","",IFERROR(INDEX(DQStatus,MATCH($B35,DQGameID,0)),"BLOCKED — DQ ROW NOT FOUND"))</f>
        <v>READY</v>
      </c>
      <c r="AQ35" s="2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2" t="str">
        <f t="shared" si="13"/>
        <v/>
      </c>
      <c r="AS35" s="2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2" t="str">
        <f t="shared" si="14"/>
        <v/>
      </c>
      <c r="AU35" s="11"/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9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2" t="str">
        <f t="array" ref="G36">IF($B36="","",IF(INDEX(SchedZone,MATCH($A36,SchedSeq,0),MAP!$B$14)="Neutral","Y",""))</f>
        <v/>
      </c>
      <c r="H36" s="2" t="str">
        <f t="array" ref="H36">IF($B36="","",INDEX(SchedZone,MATCH($A36,SchedSeq,0),MAP!$B$17))</f>
        <v>dome</v>
      </c>
      <c r="I36" s="2" t="str">
        <f>IF(OR($B36="",$C36&lt;&gt;CurrentWeek),"",COUNTIF($C$5:$C36,CurrentWeek))</f>
        <v/>
      </c>
      <c r="J36" s="2">
        <f t="array" ref="J36">IF($B36="","",IFERROR(INDEX(RatEff,MATCH($E36,RatTeams,0)),"⚠ TEAM NOT FOUND"))</f>
        <v>-1.59</v>
      </c>
      <c r="K36" s="2">
        <f t="array" ref="K36">IF($B36="","",IFERROR(INDEX(RatEff,MATCH($F36,RatTeams,0)),"⚠ TEAM NOT FOUND"))</f>
        <v>4.09</v>
      </c>
      <c r="L36" s="2">
        <f t="shared" si="1"/>
        <v>5.68</v>
      </c>
      <c r="M36" s="2">
        <f t="array" ref="M36">IF($B36="","",IF($G36="Y",NeutralHFA,IFERROR(INDEX(HFAexcVal,MATCH($F36,HFAexcTeam,0)),HFA_Base)))</f>
        <v>1.6</v>
      </c>
      <c r="N36" s="2">
        <f t="array" ref="N36">IF($B36="","",IFERROR(INDEX(QBSpreadEff,MATCH($F36,QBTeams,0)),0)-IFERROR(INDEX(QBSpreadEff,MATCH($E36,QBTeams,0)),0))</f>
        <v>0</v>
      </c>
      <c r="O36" s="2">
        <f t="array" ref="O36">IF($B36="","",IFERROR(MEDIAN(-RestCapPts,RestCapPts,RestPerDay*(INDEX(SchedZone,MATCH($A36,SchedSeq,0),MAP!$B$16)-INDEX(SchedZone,MATCH($A36,SchedSeq,0),MAP!$B$15))),0))</f>
        <v>0.3</v>
      </c>
      <c r="P36" s="2">
        <f>IF($B36="","",SUMIFS(AdjSpread,AdjGameID,$B36,AdjTeam,$F36,AdjActive,1)-SUMIFS(AdjSpread,AdjGameID,$B36,AdjTeam,$E36,AdjActive,1))</f>
        <v>0</v>
      </c>
      <c r="Q36" s="2">
        <f t="shared" si="2"/>
        <v>7.58</v>
      </c>
      <c r="R36" s="11"/>
      <c r="S36" s="2">
        <f t="shared" si="3"/>
        <v>7.58</v>
      </c>
      <c r="T36" s="2" t="str">
        <f t="shared" si="4"/>
        <v>LA -7.6</v>
      </c>
      <c r="U36" s="2" t="str">
        <f t="array" ref="U36">IF($B36="","",IFERROR(INDEX(MktHomeSpread,MATCH($B36,MktGameID,0)),""))</f>
        <v/>
      </c>
      <c r="V36" s="2" t="str">
        <f t="shared" si="5"/>
        <v/>
      </c>
      <c r="W36" s="2" t="str">
        <f t="shared" si="6"/>
        <v/>
      </c>
      <c r="X36" s="2" t="str">
        <f t="shared" si="7"/>
        <v/>
      </c>
      <c r="Y36" s="2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2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2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2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2">
        <f t="array" ref="AC36">IF($B36="","",IFERROR(INDEX(QBTotEff,MATCH($F36,QBTeams,0)),0)+IFERROR(INDEX(QBTotEff,MATCH($E36,QBTeams,0)),0))</f>
        <v>0</v>
      </c>
      <c r="AD36" s="2">
        <f>IF($B36="","",SUMIFS(AdjTot,AdjGameID,$B36,AdjActive,1))</f>
        <v>0</v>
      </c>
      <c r="AE36" s="2">
        <f t="shared" si="8"/>
        <v>0</v>
      </c>
      <c r="AF36" s="11"/>
      <c r="AG36" s="2">
        <f t="shared" si="9"/>
        <v>0</v>
      </c>
      <c r="AH36" s="2" t="str">
        <f t="array" ref="AH36">IF($B36="","",IFERROR(INDEX(MktTotal,MATCH($B36,MktGameID,0)),""))</f>
        <v/>
      </c>
      <c r="AI36" s="2" t="str">
        <f t="shared" si="10"/>
        <v/>
      </c>
      <c r="AJ36" s="2" t="str">
        <f t="shared" si="11"/>
        <v/>
      </c>
      <c r="AK36" s="2" t="str">
        <f t="shared" si="12"/>
        <v/>
      </c>
      <c r="AL36" s="2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2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2" t="str">
        <f>IF($AG36="","","BET OVER at ≤ "&amp;TEXT($AG36-BetTot,"0.0")&amp;"  |  BET UNDER at ≥ "&amp;TEXT($AG36+BetTot,"0.0"))</f>
        <v>BET OVER at ≤ -3.0  |  BET UNDER at ≥ 3.0</v>
      </c>
      <c r="AO36" s="2" t="str">
        <f t="array" ref="AO36">IF($B36="","",IF(OR(IFERROR(INDEX(QBFlag,MATCH($F36,QBTeams,0)),1)=1,IFERROR(INDEX(QBFlag,MATCH($E36,QBTeams,0)),1)=1),"QB UNCERTAIN",""))</f>
        <v/>
      </c>
      <c r="AP36" s="2" t="str">
        <f t="array" ref="AP36">IF($B36="","",IFERROR(INDEX(DQStatus,MATCH($B36,DQGameID,0)),"BLOCKED — DQ ROW NOT FOUND"))</f>
        <v>READY</v>
      </c>
      <c r="AQ36" s="2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2" t="str">
        <f t="shared" si="13"/>
        <v/>
      </c>
      <c r="AS36" s="2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2" t="str">
        <f t="shared" si="14"/>
        <v/>
      </c>
      <c r="AU36" s="11"/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9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2" t="str">
        <f t="array" ref="G37">IF($B37="","",IF(INDEX(SchedZone,MATCH($A37,SchedSeq,0),MAP!$B$14)="Neutral","Y",""))</f>
        <v/>
      </c>
      <c r="H37" s="2" t="str">
        <f t="array" ref="H37">IF($B37="","",INDEX(SchedZone,MATCH($A37,SchedSeq,0),MAP!$B$17))</f>
        <v>outdoors</v>
      </c>
      <c r="I37" s="2" t="str">
        <f>IF(OR($B37="",$C37&lt;&gt;CurrentWeek),"",COUNTIF($C$5:$C37,CurrentWeek))</f>
        <v/>
      </c>
      <c r="J37" s="2">
        <f t="array" ref="J37">IF($B37="","",IFERROR(INDEX(RatEff,MATCH($E37,RatTeams,0)),"⚠ TEAM NOT FOUND"))</f>
        <v>-0.06</v>
      </c>
      <c r="K37" s="2">
        <f t="array" ref="K37">IF($B37="","",IFERROR(INDEX(RatEff,MATCH($F37,RatTeams,0)),"⚠ TEAM NOT FOUND"))</f>
        <v>0.51</v>
      </c>
      <c r="L37" s="2">
        <f t="shared" si="1"/>
        <v>0.57</v>
      </c>
      <c r="M37" s="2">
        <f t="array" ref="M37">IF($B37="","",IF($G37="Y",NeutralHFA,IFERROR(INDEX(HFAexcVal,MATCH($F37,HFAexcTeam,0)),HFA_Base)))</f>
        <v>1.6</v>
      </c>
      <c r="N37" s="2">
        <f t="array" ref="N37">IF($B37="","",IFERROR(INDEX(QBSpreadEff,MATCH($F37,QBTeams,0)),0)-IFERROR(INDEX(QBSpreadEff,MATCH($E37,QBTeams,0)),0))</f>
        <v>0</v>
      </c>
      <c r="O37" s="2">
        <f t="array" ref="O37">IF($B37="","",IFERROR(MEDIAN(-RestCapPts,RestCapPts,RestPerDay*(INDEX(SchedZone,MATCH($A37,SchedSeq,0),MAP!$B$16)-INDEX(SchedZone,MATCH($A37,SchedSeq,0),MAP!$B$15))),0))</f>
        <v>0</v>
      </c>
      <c r="P37" s="2">
        <f>IF($B37="","",SUMIFS(AdjSpread,AdjGameID,$B37,AdjTeam,$F37,AdjActive,1)-SUMIFS(AdjSpread,AdjGameID,$B37,AdjTeam,$E37,AdjActive,1))</f>
        <v>0</v>
      </c>
      <c r="Q37" s="2">
        <f t="shared" si="2"/>
        <v>2.17</v>
      </c>
      <c r="R37" s="11"/>
      <c r="S37" s="2">
        <f t="shared" si="3"/>
        <v>2.17</v>
      </c>
      <c r="T37" s="2" t="str">
        <f t="shared" si="4"/>
        <v>GB -2.2</v>
      </c>
      <c r="U37" s="2" t="str">
        <f t="array" ref="U37">IF($B37="","",IFERROR(INDEX(MktHomeSpread,MATCH($B37,MktGameID,0)),""))</f>
        <v/>
      </c>
      <c r="V37" s="2" t="str">
        <f t="shared" si="5"/>
        <v/>
      </c>
      <c r="W37" s="2" t="str">
        <f t="shared" si="6"/>
        <v/>
      </c>
      <c r="X37" s="2" t="str">
        <f t="shared" si="7"/>
        <v/>
      </c>
      <c r="Y37" s="2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2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2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2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2">
        <f t="array" ref="AC37">IF($B37="","",IFERROR(INDEX(QBTotEff,MATCH($F37,QBTeams,0)),0)+IFERROR(INDEX(QBTotEff,MATCH($E37,QBTeams,0)),0))</f>
        <v>0</v>
      </c>
      <c r="AD37" s="2">
        <f>IF($B37="","",SUMIFS(AdjTot,AdjGameID,$B37,AdjActive,1))</f>
        <v>0</v>
      </c>
      <c r="AE37" s="2">
        <f t="shared" si="8"/>
        <v>0</v>
      </c>
      <c r="AF37" s="11"/>
      <c r="AG37" s="2">
        <f t="shared" si="9"/>
        <v>0</v>
      </c>
      <c r="AH37" s="2" t="str">
        <f t="array" ref="AH37">IF($B37="","",IFERROR(INDEX(MktTotal,MATCH($B37,MktGameID,0)),""))</f>
        <v/>
      </c>
      <c r="AI37" s="2" t="str">
        <f t="shared" si="10"/>
        <v/>
      </c>
      <c r="AJ37" s="2" t="str">
        <f t="shared" si="11"/>
        <v/>
      </c>
      <c r="AK37" s="2" t="str">
        <f t="shared" si="12"/>
        <v/>
      </c>
      <c r="AL37" s="2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2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2" t="str">
        <f>IF($AG37="","","BET OVER at ≤ "&amp;TEXT($AG37-BetTot,"0.0")&amp;"  |  BET UNDER at ≥ "&amp;TEXT($AG37+BetTot,"0.0"))</f>
        <v>BET OVER at ≤ -3.0  |  BET UNDER at ≥ 3.0</v>
      </c>
      <c r="AO37" s="2" t="str">
        <f t="array" ref="AO37">IF($B37="","",IF(OR(IFERROR(INDEX(QBFlag,MATCH($F37,QBTeams,0)),1)=1,IFERROR(INDEX(QBFlag,MATCH($E37,QBTeams,0)),1)=1),"QB UNCERTAIN",""))</f>
        <v>QB UNCERTAIN</v>
      </c>
      <c r="AP37" s="2" t="str">
        <f t="array" ref="AP37">IF($B37="","",IFERROR(INDEX(DQStatus,MATCH($B37,DQGameID,0)),"BLOCKED — DQ ROW NOT FOUND"))</f>
        <v>READY</v>
      </c>
      <c r="AQ37" s="2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2" t="str">
        <f t="shared" si="13"/>
        <v/>
      </c>
      <c r="AS37" s="2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2" t="str">
        <f t="shared" si="14"/>
        <v/>
      </c>
      <c r="AU37" s="11"/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9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2" t="str">
        <f t="array" ref="G38">IF($B38="","",IF(INDEX(SchedZone,MATCH($A38,SchedSeq,0),MAP!$B$14)="Neutral","Y",""))</f>
        <v/>
      </c>
      <c r="H38" s="2" t="str">
        <f t="array" ref="H38">IF($B38="","",INDEX(SchedZone,MATCH($A38,SchedSeq,0),MAP!$B$17))</f>
        <v>outdoors</v>
      </c>
      <c r="I38" s="2" t="str">
        <f>IF(OR($B38="",$C38&lt;&gt;CurrentWeek),"",COUNTIF($C$5:$C38,CurrentWeek))</f>
        <v/>
      </c>
      <c r="J38" s="2">
        <f t="array" ref="J38">IF($B38="","",IFERROR(INDEX(RatEff,MATCH($E38,RatTeams,0)),"⚠ TEAM NOT FOUND"))</f>
        <v>0.56</v>
      </c>
      <c r="K38" s="2">
        <f t="array" ref="K38">IF($B38="","",IFERROR(INDEX(RatEff,MATCH($F38,RatTeams,0)),"⚠ TEAM NOT FOUND"))</f>
        <v>1.75</v>
      </c>
      <c r="L38" s="2">
        <f t="shared" si="1"/>
        <v>1.19</v>
      </c>
      <c r="M38" s="2">
        <f t="array" ref="M38">IF($B38="","",IF($G38="Y",NeutralHFA,IFERROR(INDEX(HFAexcVal,MATCH($F38,HFAexcTeam,0)),HFA_Base)))</f>
        <v>1.6</v>
      </c>
      <c r="N38" s="2">
        <f t="array" ref="N38">IF($B38="","",IFERROR(INDEX(QBSpreadEff,MATCH($F38,QBTeams,0)),0)-IFERROR(INDEX(QBSpreadEff,MATCH($E38,QBTeams,0)),0))</f>
        <v>0</v>
      </c>
      <c r="O38" s="2">
        <f t="array" ref="O38">IF($B38="","",IFERROR(MEDIAN(-RestCapPts,RestCapPts,RestPerDay*(INDEX(SchedZone,MATCH($A38,SchedSeq,0),MAP!$B$16)-INDEX(SchedZone,MATCH($A38,SchedSeq,0),MAP!$B$15))),0))</f>
        <v>0.3</v>
      </c>
      <c r="P38" s="2">
        <f>IF($B38="","",SUMIFS(AdjSpread,AdjGameID,$B38,AdjTeam,$F38,AdjActive,1)-SUMIFS(AdjSpread,AdjGameID,$B38,AdjTeam,$E38,AdjActive,1))</f>
        <v>0</v>
      </c>
      <c r="Q38" s="2">
        <f t="shared" si="2"/>
        <v>3.09</v>
      </c>
      <c r="R38" s="11"/>
      <c r="S38" s="2">
        <f t="shared" si="3"/>
        <v>3.09</v>
      </c>
      <c r="T38" s="2" t="str">
        <f t="shared" si="4"/>
        <v>BUF -3.1</v>
      </c>
      <c r="U38" s="2" t="str">
        <f t="array" ref="U38">IF($B38="","",IFERROR(INDEX(MktHomeSpread,MATCH($B38,MktGameID,0)),""))</f>
        <v/>
      </c>
      <c r="V38" s="2" t="str">
        <f t="shared" si="5"/>
        <v/>
      </c>
      <c r="W38" s="2" t="str">
        <f t="shared" si="6"/>
        <v/>
      </c>
      <c r="X38" s="2" t="str">
        <f t="shared" si="7"/>
        <v/>
      </c>
      <c r="Y38" s="2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2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2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2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2">
        <f t="array" ref="AC38">IF($B38="","",IFERROR(INDEX(QBTotEff,MATCH($F38,QBTeams,0)),0)+IFERROR(INDEX(QBTotEff,MATCH($E38,QBTeams,0)),0))</f>
        <v>0</v>
      </c>
      <c r="AD38" s="2">
        <f>IF($B38="","",SUMIFS(AdjTot,AdjGameID,$B38,AdjActive,1))</f>
        <v>0</v>
      </c>
      <c r="AE38" s="2">
        <f t="shared" si="8"/>
        <v>0</v>
      </c>
      <c r="AF38" s="11"/>
      <c r="AG38" s="2">
        <f t="shared" si="9"/>
        <v>0</v>
      </c>
      <c r="AH38" s="2" t="str">
        <f t="array" ref="AH38">IF($B38="","",IFERROR(INDEX(MktTotal,MATCH($B38,MktGameID,0)),""))</f>
        <v/>
      </c>
      <c r="AI38" s="2" t="str">
        <f t="shared" si="10"/>
        <v/>
      </c>
      <c r="AJ38" s="2" t="str">
        <f t="shared" si="11"/>
        <v/>
      </c>
      <c r="AK38" s="2" t="str">
        <f t="shared" si="12"/>
        <v/>
      </c>
      <c r="AL38" s="2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2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2" t="str">
        <f>IF($AG38="","","BET OVER at ≤ "&amp;TEXT($AG38-BetTot,"0.0")&amp;"  |  BET UNDER at ≥ "&amp;TEXT($AG38+BetTot,"0.0"))</f>
        <v>BET OVER at ≤ -3.0  |  BET UNDER at ≥ 3.0</v>
      </c>
      <c r="AO38" s="2" t="str">
        <f t="array" ref="AO38">IF($B38="","",IF(OR(IFERROR(INDEX(QBFlag,MATCH($F38,QBTeams,0)),1)=1,IFERROR(INDEX(QBFlag,MATCH($E38,QBTeams,0)),1)=1),"QB UNCERTAIN",""))</f>
        <v/>
      </c>
      <c r="AP38" s="2" t="str">
        <f t="array" ref="AP38">IF($B38="","",IFERROR(INDEX(DQStatus,MATCH($B38,DQGameID,0)),"BLOCKED — DQ ROW NOT FOUND"))</f>
        <v>READY</v>
      </c>
      <c r="AQ38" s="2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2" t="str">
        <f t="shared" si="13"/>
        <v/>
      </c>
      <c r="AS38" s="2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2" t="str">
        <f t="shared" si="14"/>
        <v/>
      </c>
      <c r="AU38" s="11"/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9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2" t="str">
        <f t="array" ref="G39">IF($B39="","",IF(INDEX(SchedZone,MATCH($A39,SchedSeq,0),MAP!$B$14)="Neutral","Y",""))</f>
        <v/>
      </c>
      <c r="H39" s="2" t="str">
        <f t="array" ref="H39">IF($B39="","",INDEX(SchedZone,MATCH($A39,SchedSeq,0),MAP!$B$17))</f>
        <v>outdoors</v>
      </c>
      <c r="I39" s="2" t="str">
        <f>IF(OR($B39="",$C39&lt;&gt;CurrentWeek),"",COUNTIF($C$5:$C39,CurrentWeek))</f>
        <v/>
      </c>
      <c r="J39" s="2">
        <f t="array" ref="J39">IF($B39="","",IFERROR(INDEX(RatEff,MATCH($E39,RatTeams,0)),"⚠ TEAM NOT FOUND"))</f>
        <v>-1.3</v>
      </c>
      <c r="K39" s="2">
        <f t="array" ref="K39">IF($B39="","",IFERROR(INDEX(RatEff,MATCH($F39,RatTeams,0)),"⚠ TEAM NOT FOUND"))</f>
        <v>-2.6</v>
      </c>
      <c r="L39" s="2">
        <f t="shared" si="1"/>
        <v>-1.3</v>
      </c>
      <c r="M39" s="2">
        <f t="array" ref="M39">IF($B39="","",IF($G39="Y",NeutralHFA,IFERROR(INDEX(HFAexcVal,MATCH($F39,HFAexcTeam,0)),HFA_Base)))</f>
        <v>1.6</v>
      </c>
      <c r="N39" s="2">
        <f t="array" ref="N39">IF($B39="","",IFERROR(INDEX(QBSpreadEff,MATCH($F39,QBTeams,0)),0)-IFERROR(INDEX(QBSpreadEff,MATCH($E39,QBTeams,0)),0))</f>
        <v>0</v>
      </c>
      <c r="O39" s="2">
        <f t="array" ref="O39">IF($B39="","",IFERROR(MEDIAN(-RestCapPts,RestCapPts,RestPerDay*(INDEX(SchedZone,MATCH($A39,SchedSeq,0),MAP!$B$16)-INDEX(SchedZone,MATCH($A39,SchedSeq,0),MAP!$B$15))),0))</f>
        <v>0</v>
      </c>
      <c r="P39" s="2">
        <f>IF($B39="","",SUMIFS(AdjSpread,AdjGameID,$B39,AdjTeam,$F39,AdjActive,1)-SUMIFS(AdjSpread,AdjGameID,$B39,AdjTeam,$E39,AdjActive,1))</f>
        <v>0</v>
      </c>
      <c r="Q39" s="2">
        <f t="shared" si="2"/>
        <v>0.3</v>
      </c>
      <c r="R39" s="11"/>
      <c r="S39" s="2">
        <f t="shared" si="3"/>
        <v>0.3</v>
      </c>
      <c r="T39" s="2" t="str">
        <f t="shared" si="4"/>
        <v>CLE -0.3</v>
      </c>
      <c r="U39" s="2" t="str">
        <f t="array" ref="U39">IF($B39="","",IFERROR(INDEX(MktHomeSpread,MATCH($B39,MktGameID,0)),""))</f>
        <v/>
      </c>
      <c r="V39" s="2" t="str">
        <f t="shared" si="5"/>
        <v/>
      </c>
      <c r="W39" s="2" t="str">
        <f t="shared" si="6"/>
        <v/>
      </c>
      <c r="X39" s="2" t="str">
        <f t="shared" si="7"/>
        <v/>
      </c>
      <c r="Y39" s="2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2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2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2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2">
        <f t="array" ref="AC39">IF($B39="","",IFERROR(INDEX(QBTotEff,MATCH($F39,QBTeams,0)),0)+IFERROR(INDEX(QBTotEff,MATCH($E39,QBTeams,0)),0))</f>
        <v>0</v>
      </c>
      <c r="AD39" s="2">
        <f>IF($B39="","",SUMIFS(AdjTot,AdjGameID,$B39,AdjActive,1))</f>
        <v>0</v>
      </c>
      <c r="AE39" s="2">
        <f t="shared" si="8"/>
        <v>0</v>
      </c>
      <c r="AF39" s="11"/>
      <c r="AG39" s="2">
        <f t="shared" si="9"/>
        <v>0</v>
      </c>
      <c r="AH39" s="2" t="str">
        <f t="array" ref="AH39">IF($B39="","",IFERROR(INDEX(MktTotal,MATCH($B39,MktGameID,0)),""))</f>
        <v/>
      </c>
      <c r="AI39" s="2" t="str">
        <f t="shared" si="10"/>
        <v/>
      </c>
      <c r="AJ39" s="2" t="str">
        <f t="shared" si="11"/>
        <v/>
      </c>
      <c r="AK39" s="2" t="str">
        <f t="shared" si="12"/>
        <v/>
      </c>
      <c r="AL39" s="2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Low</v>
      </c>
      <c r="AM39" s="2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2" t="str">
        <f>IF($AG39="","","BET OVER at ≤ "&amp;TEXT($AG39-BetTot,"0.0")&amp;"  |  BET UNDER at ≥ "&amp;TEXT($AG39+BetTot,"0.0"))</f>
        <v>BET OVER at ≤ -3.0  |  BET UNDER at ≥ 3.0</v>
      </c>
      <c r="AO39" s="2" t="str">
        <f t="array" ref="AO39">IF($B39="","",IF(OR(IFERROR(INDEX(QBFlag,MATCH($F39,QBTeams,0)),1)=1,IFERROR(INDEX(QBFlag,MATCH($E39,QBTeams,0)),1)=1),"QB UNCERTAIN",""))</f>
        <v>QB UNCERTAIN</v>
      </c>
      <c r="AP39" s="2" t="str">
        <f t="array" ref="AP39">IF($B39="","",IFERROR(INDEX(DQStatus,MATCH($B39,DQGameID,0)),"BLOCKED — DQ ROW NOT FOUND"))</f>
        <v>READY</v>
      </c>
      <c r="AQ39" s="2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2" t="str">
        <f t="shared" si="13"/>
        <v/>
      </c>
      <c r="AS39" s="2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2" t="str">
        <f t="shared" si="14"/>
        <v/>
      </c>
      <c r="AU39" s="11"/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9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2" t="str">
        <f t="array" ref="G40">IF($B40="","",IF(INDEX(SchedZone,MATCH($A40,SchedSeq,0),MAP!$B$14)="Neutral","Y",""))</f>
        <v/>
      </c>
      <c r="H40" s="2" t="str">
        <f t="array" ref="H40">IF($B40="","",INDEX(SchedZone,MATCH($A40,SchedSeq,0),MAP!$B$17))</f>
        <v>dome</v>
      </c>
      <c r="I40" s="2" t="str">
        <f>IF(OR($B40="",$C40&lt;&gt;CurrentWeek),"",COUNTIF($C$5:$C40,CurrentWeek))</f>
        <v/>
      </c>
      <c r="J40" s="2">
        <f t="array" ref="J40">IF($B40="","",IFERROR(INDEX(RatEff,MATCH($E40,RatTeams,0)),"⚠ TEAM NOT FOUND"))</f>
        <v>-4.67</v>
      </c>
      <c r="K40" s="2">
        <f t="array" ref="K40">IF($B40="","",IFERROR(INDEX(RatEff,MATCH($F40,RatTeams,0)),"⚠ TEAM NOT FOUND"))</f>
        <v>0.86</v>
      </c>
      <c r="L40" s="2">
        <f t="shared" si="1"/>
        <v>5.53</v>
      </c>
      <c r="M40" s="2">
        <f t="array" ref="M40">IF($B40="","",IF($G40="Y",NeutralHFA,IFERROR(INDEX(HFAexcVal,MATCH($F40,HFAexcTeam,0)),HFA_Base)))</f>
        <v>1.6</v>
      </c>
      <c r="N40" s="2">
        <f t="array" ref="N40">IF($B40="","",IFERROR(INDEX(QBSpreadEff,MATCH($F40,QBTeams,0)),0)-IFERROR(INDEX(QBSpreadEff,MATCH($E40,QBTeams,0)),0))</f>
        <v>0</v>
      </c>
      <c r="O40" s="2">
        <f t="array" ref="O40">IF($B40="","",IFERROR(MEDIAN(-RestCapPts,RestCapPts,RestPerDay*(INDEX(SchedZone,MATCH($A40,SchedSeq,0),MAP!$B$16)-INDEX(SchedZone,MATCH($A40,SchedSeq,0),MAP!$B$15))),0))</f>
        <v>0.3</v>
      </c>
      <c r="P40" s="2">
        <f>IF($B40="","",SUMIFS(AdjSpread,AdjGameID,$B40,AdjTeam,$F40,AdjActive,1)-SUMIFS(AdjSpread,AdjGameID,$B40,AdjTeam,$E40,AdjActive,1))</f>
        <v>0</v>
      </c>
      <c r="Q40" s="2">
        <f t="shared" si="2"/>
        <v>7.43</v>
      </c>
      <c r="R40" s="11"/>
      <c r="S40" s="2">
        <f t="shared" si="3"/>
        <v>7.43</v>
      </c>
      <c r="T40" s="2" t="str">
        <f t="shared" si="4"/>
        <v>DET -7.4</v>
      </c>
      <c r="U40" s="2" t="str">
        <f t="array" ref="U40">IF($B40="","",IFERROR(INDEX(MktHomeSpread,MATCH($B40,MktGameID,0)),""))</f>
        <v/>
      </c>
      <c r="V40" s="2" t="str">
        <f t="shared" si="5"/>
        <v/>
      </c>
      <c r="W40" s="2" t="str">
        <f t="shared" si="6"/>
        <v/>
      </c>
      <c r="X40" s="2" t="str">
        <f t="shared" si="7"/>
        <v/>
      </c>
      <c r="Y40" s="2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2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2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2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2">
        <f t="array" ref="AC40">IF($B40="","",IFERROR(INDEX(QBTotEff,MATCH($F40,QBTeams,0)),0)+IFERROR(INDEX(QBTotEff,MATCH($E40,QBTeams,0)),0))</f>
        <v>0</v>
      </c>
      <c r="AD40" s="2">
        <f>IF($B40="","",SUMIFS(AdjTot,AdjGameID,$B40,AdjActive,1))</f>
        <v>0</v>
      </c>
      <c r="AE40" s="2">
        <f t="shared" si="8"/>
        <v>0</v>
      </c>
      <c r="AF40" s="11"/>
      <c r="AG40" s="2">
        <f t="shared" si="9"/>
        <v>0</v>
      </c>
      <c r="AH40" s="2" t="str">
        <f t="array" ref="AH40">IF($B40="","",IFERROR(INDEX(MktTotal,MATCH($B40,MktGameID,0)),""))</f>
        <v/>
      </c>
      <c r="AI40" s="2" t="str">
        <f t="shared" si="10"/>
        <v/>
      </c>
      <c r="AJ40" s="2" t="str">
        <f t="shared" si="11"/>
        <v/>
      </c>
      <c r="AK40" s="2" t="str">
        <f t="shared" si="12"/>
        <v/>
      </c>
      <c r="AL40" s="2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2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2" t="str">
        <f>IF($AG40="","","BET OVER at ≤ "&amp;TEXT($AG40-BetTot,"0.0")&amp;"  |  BET UNDER at ≥ "&amp;TEXT($AG40+BetTot,"0.0"))</f>
        <v>BET OVER at ≤ -3.0  |  BET UNDER at ≥ 3.0</v>
      </c>
      <c r="AO40" s="2" t="str">
        <f t="array" ref="AO40">IF($B40="","",IF(OR(IFERROR(INDEX(QBFlag,MATCH($F40,QBTeams,0)),1)=1,IFERROR(INDEX(QBFlag,MATCH($E40,QBTeams,0)),1)=1),"QB UNCERTAIN",""))</f>
        <v/>
      </c>
      <c r="AP40" s="2" t="str">
        <f t="array" ref="AP40">IF($B40="","",IFERROR(INDEX(DQStatus,MATCH($B40,DQGameID,0)),"BLOCKED — DQ ROW NOT FOUND"))</f>
        <v>READY</v>
      </c>
      <c r="AQ40" s="2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2" t="str">
        <f t="shared" si="13"/>
        <v/>
      </c>
      <c r="AS40" s="2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2" t="str">
        <f t="shared" si="14"/>
        <v/>
      </c>
      <c r="AU40" s="11"/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9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2" t="str">
        <f t="array" ref="G41">IF($B41="","",IF(INDEX(SchedZone,MATCH($A41,SchedSeq,0),MAP!$B$14)="Neutral","Y",""))</f>
        <v/>
      </c>
      <c r="H41" s="2" t="str">
        <f t="array" ref="H41">IF($B41="","",INDEX(SchedZone,MATCH($A41,SchedSeq,0),MAP!$B$17))</f>
        <v/>
      </c>
      <c r="I41" s="2" t="str">
        <f>IF(OR($B41="",$C41&lt;&gt;CurrentWeek),"",COUNTIF($C$5:$C41,CurrentWeek))</f>
        <v/>
      </c>
      <c r="J41" s="2">
        <f t="array" ref="J41">IF($B41="","",IFERROR(INDEX(RatEff,MATCH($E41,RatTeams,0)),"⚠ TEAM NOT FOUND"))</f>
        <v>2.71</v>
      </c>
      <c r="K41" s="2">
        <f t="array" ref="K41">IF($B41="","",IFERROR(INDEX(RatEff,MATCH($F41,RatTeams,0)),"⚠ TEAM NOT FOUND"))</f>
        <v>0.82</v>
      </c>
      <c r="L41" s="2">
        <f t="shared" si="1"/>
        <v>-1.89</v>
      </c>
      <c r="M41" s="2">
        <f t="array" ref="M41">IF($B41="","",IF($G41="Y",NeutralHFA,IFERROR(INDEX(HFAexcVal,MATCH($F41,HFAexcTeam,0)),HFA_Base)))</f>
        <v>1.6</v>
      </c>
      <c r="N41" s="2">
        <f t="array" ref="N41">IF($B41="","",IFERROR(INDEX(QBSpreadEff,MATCH($F41,QBTeams,0)),0)-IFERROR(INDEX(QBSpreadEff,MATCH($E41,QBTeams,0)),0))</f>
        <v>0</v>
      </c>
      <c r="O41" s="2">
        <f t="array" ref="O41">IF($B41="","",IFERROR(MEDIAN(-RestCapPts,RestCapPts,RestPerDay*(INDEX(SchedZone,MATCH($A41,SchedSeq,0),MAP!$B$16)-INDEX(SchedZone,MATCH($A41,SchedSeq,0),MAP!$B$15))),0))</f>
        <v>0</v>
      </c>
      <c r="P41" s="2">
        <f>IF($B41="","",SUMIFS(AdjSpread,AdjGameID,$B41,AdjTeam,$F41,AdjActive,1)-SUMIFS(AdjSpread,AdjGameID,$B41,AdjTeam,$E41,AdjActive,1))</f>
        <v>0</v>
      </c>
      <c r="Q41" s="2">
        <f t="shared" si="2"/>
        <v>-0.29</v>
      </c>
      <c r="R41" s="11"/>
      <c r="S41" s="2">
        <f t="shared" si="3"/>
        <v>-0.29</v>
      </c>
      <c r="T41" s="2" t="str">
        <f t="shared" si="4"/>
        <v>HOU -0.3</v>
      </c>
      <c r="U41" s="2" t="str">
        <f t="array" ref="U41">IF($B41="","",IFERROR(INDEX(MktHomeSpread,MATCH($B41,MktGameID,0)),""))</f>
        <v/>
      </c>
      <c r="V41" s="2" t="str">
        <f t="shared" si="5"/>
        <v/>
      </c>
      <c r="W41" s="2" t="str">
        <f t="shared" si="6"/>
        <v/>
      </c>
      <c r="X41" s="2" t="str">
        <f t="shared" si="7"/>
        <v/>
      </c>
      <c r="Y41" s="2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2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2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2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2">
        <f t="array" ref="AC41">IF($B41="","",IFERROR(INDEX(QBTotEff,MATCH($F41,QBTeams,0)),0)+IFERROR(INDEX(QBTotEff,MATCH($E41,QBTeams,0)),0))</f>
        <v>0</v>
      </c>
      <c r="AD41" s="2">
        <f>IF($B41="","",SUMIFS(AdjTot,AdjGameID,$B41,AdjActive,1))</f>
        <v>0</v>
      </c>
      <c r="AE41" s="2">
        <f t="shared" si="8"/>
        <v>0</v>
      </c>
      <c r="AF41" s="11"/>
      <c r="AG41" s="2">
        <f t="shared" si="9"/>
        <v>0</v>
      </c>
      <c r="AH41" s="2" t="str">
        <f t="array" ref="AH41">IF($B41="","",IFERROR(INDEX(MktTotal,MATCH($B41,MktGameID,0)),""))</f>
        <v/>
      </c>
      <c r="AI41" s="2" t="str">
        <f t="shared" si="10"/>
        <v/>
      </c>
      <c r="AJ41" s="2" t="str">
        <f t="shared" si="11"/>
        <v/>
      </c>
      <c r="AK41" s="2" t="str">
        <f t="shared" si="12"/>
        <v/>
      </c>
      <c r="AL41" s="2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2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2" t="str">
        <f>IF($AG41="","","BET OVER at ≤ "&amp;TEXT($AG41-BetTot,"0.0")&amp;"  |  BET UNDER at ≥ "&amp;TEXT($AG41+BetTot,"0.0"))</f>
        <v>BET OVER at ≤ -3.0  |  BET UNDER at ≥ 3.0</v>
      </c>
      <c r="AO41" s="2" t="str">
        <f t="array" ref="AO41">IF($B41="","",IF(OR(IFERROR(INDEX(QBFlag,MATCH($F41,QBTeams,0)),1)=1,IFERROR(INDEX(QBFlag,MATCH($E41,QBTeams,0)),1)=1),"QB UNCERTAIN",""))</f>
        <v/>
      </c>
      <c r="AP41" s="2" t="str">
        <f t="array" ref="AP41">IF($B41="","",IFERROR(INDEX(DQStatus,MATCH($B41,DQGameID,0)),"BLOCKED — DQ ROW NOT FOUND"))</f>
        <v>READY</v>
      </c>
      <c r="AQ41" s="2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2" t="str">
        <f t="shared" si="13"/>
        <v/>
      </c>
      <c r="AS41" s="2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2" t="str">
        <f t="shared" si="14"/>
        <v/>
      </c>
      <c r="AU41" s="11"/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9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2" t="str">
        <f t="array" ref="G42">IF($B42="","",IF(INDEX(SchedZone,MATCH($A42,SchedSeq,0),MAP!$B$14)="Neutral","Y",""))</f>
        <v/>
      </c>
      <c r="H42" s="2" t="str">
        <f t="array" ref="H42">IF($B42="","",INDEX(SchedZone,MATCH($A42,SchedSeq,0),MAP!$B$17))</f>
        <v>outdoors</v>
      </c>
      <c r="I42" s="2" t="str">
        <f>IF(OR($B42="",$C42&lt;&gt;CurrentWeek),"",COUNTIF($C$5:$C42,CurrentWeek))</f>
        <v/>
      </c>
      <c r="J42" s="2">
        <f t="array" ref="J42">IF($B42="","",IFERROR(INDEX(RatEff,MATCH($E42,RatTeams,0)),"⚠ TEAM NOT FOUND"))</f>
        <v>2.09</v>
      </c>
      <c r="K42" s="2">
        <f t="array" ref="K42">IF($B42="","",IFERROR(INDEX(RatEff,MATCH($F42,RatTeams,0)),"⚠ TEAM NOT FOUND"))</f>
        <v>3.22</v>
      </c>
      <c r="L42" s="2">
        <f t="shared" si="1"/>
        <v>1.13</v>
      </c>
      <c r="M42" s="2">
        <f t="array" ref="M42">IF($B42="","",IF($G42="Y",NeutralHFA,IFERROR(INDEX(HFAexcVal,MATCH($F42,HFAexcTeam,0)),HFA_Base)))</f>
        <v>1.6</v>
      </c>
      <c r="N42" s="2">
        <f t="array" ref="N42">IF($B42="","",IFERROR(INDEX(QBSpreadEff,MATCH($F42,QBTeams,0)),0)-IFERROR(INDEX(QBSpreadEff,MATCH($E42,QBTeams,0)),0))</f>
        <v>0</v>
      </c>
      <c r="O42" s="2">
        <f t="array" ref="O42">IF($B42="","",IFERROR(MEDIAN(-RestCapPts,RestCapPts,RestPerDay*(INDEX(SchedZone,MATCH($A42,SchedSeq,0),MAP!$B$16)-INDEX(SchedZone,MATCH($A42,SchedSeq,0),MAP!$B$15))),0))</f>
        <v>0</v>
      </c>
      <c r="P42" s="2">
        <f>IF($B42="","",SUMIFS(AdjSpread,AdjGameID,$B42,AdjTeam,$F42,AdjActive,1)-SUMIFS(AdjSpread,AdjGameID,$B42,AdjTeam,$E42,AdjActive,1))</f>
        <v>0</v>
      </c>
      <c r="Q42" s="2">
        <f t="shared" si="2"/>
        <v>2.73</v>
      </c>
      <c r="R42" s="11"/>
      <c r="S42" s="2">
        <f t="shared" si="3"/>
        <v>2.73</v>
      </c>
      <c r="T42" s="2" t="str">
        <f t="shared" si="4"/>
        <v>JAX -2.7</v>
      </c>
      <c r="U42" s="2" t="str">
        <f t="array" ref="U42">IF($B42="","",IFERROR(INDEX(MktHomeSpread,MATCH($B42,MktGameID,0)),""))</f>
        <v/>
      </c>
      <c r="V42" s="2" t="str">
        <f t="shared" si="5"/>
        <v/>
      </c>
      <c r="W42" s="2" t="str">
        <f t="shared" si="6"/>
        <v/>
      </c>
      <c r="X42" s="2" t="str">
        <f t="shared" si="7"/>
        <v/>
      </c>
      <c r="Y42" s="2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2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2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2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2">
        <f t="array" ref="AC42">IF($B42="","",IFERROR(INDEX(QBTotEff,MATCH($F42,QBTeams,0)),0)+IFERROR(INDEX(QBTotEff,MATCH($E42,QBTeams,0)),0))</f>
        <v>0</v>
      </c>
      <c r="AD42" s="2">
        <f>IF($B42="","",SUMIFS(AdjTot,AdjGameID,$B42,AdjActive,1))</f>
        <v>0</v>
      </c>
      <c r="AE42" s="2">
        <f t="shared" si="8"/>
        <v>0</v>
      </c>
      <c r="AF42" s="11"/>
      <c r="AG42" s="2">
        <f t="shared" si="9"/>
        <v>0</v>
      </c>
      <c r="AH42" s="2" t="str">
        <f t="array" ref="AH42">IF($B42="","",IFERROR(INDEX(MktTotal,MATCH($B42,MktGameID,0)),""))</f>
        <v/>
      </c>
      <c r="AI42" s="2" t="str">
        <f t="shared" si="10"/>
        <v/>
      </c>
      <c r="AJ42" s="2" t="str">
        <f t="shared" si="11"/>
        <v/>
      </c>
      <c r="AK42" s="2" t="str">
        <f t="shared" si="12"/>
        <v/>
      </c>
      <c r="AL42" s="2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2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2" t="str">
        <f>IF($AG42="","","BET OVER at ≤ "&amp;TEXT($AG42-BetTot,"0.0")&amp;"  |  BET UNDER at ≥ "&amp;TEXT($AG42+BetTot,"0.0"))</f>
        <v>BET OVER at ≤ -3.0  |  BET UNDER at ≥ 3.0</v>
      </c>
      <c r="AO42" s="2" t="str">
        <f t="array" ref="AO42">IF($B42="","",IF(OR(IFERROR(INDEX(QBFlag,MATCH($F42,QBTeams,0)),1)=1,IFERROR(INDEX(QBFlag,MATCH($E42,QBTeams,0)),1)=1),"QB UNCERTAIN",""))</f>
        <v/>
      </c>
      <c r="AP42" s="2" t="str">
        <f t="array" ref="AP42">IF($B42="","",IFERROR(INDEX(DQStatus,MATCH($B42,DQGameID,0)),"BLOCKED — DQ ROW NOT FOUND"))</f>
        <v>READY</v>
      </c>
      <c r="AQ42" s="2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2" t="str">
        <f t="shared" si="13"/>
        <v/>
      </c>
      <c r="AS42" s="2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2" t="str">
        <f t="shared" si="14"/>
        <v/>
      </c>
      <c r="AU42" s="11"/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9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2" t="str">
        <f t="array" ref="G43">IF($B43="","",IF(INDEX(SchedZone,MATCH($A43,SchedSeq,0),MAP!$B$14)="Neutral","Y",""))</f>
        <v/>
      </c>
      <c r="H43" s="2" t="str">
        <f t="array" ref="H43">IF($B43="","",INDEX(SchedZone,MATCH($A43,SchedSeq,0),MAP!$B$17))</f>
        <v>outdoors</v>
      </c>
      <c r="I43" s="2" t="str">
        <f>IF(OR($B43="",$C43&lt;&gt;CurrentWeek),"",COUNTIF($C$5:$C43,CurrentWeek))</f>
        <v/>
      </c>
      <c r="J43" s="2">
        <f t="array" ref="J43">IF($B43="","",IFERROR(INDEX(RatEff,MATCH($E43,RatTeams,0)),"⚠ TEAM NOT FOUND"))</f>
        <v>-0.04</v>
      </c>
      <c r="K43" s="2">
        <f t="array" ref="K43">IF($B43="","",IFERROR(INDEX(RatEff,MATCH($F43,RatTeams,0)),"⚠ TEAM NOT FOUND"))</f>
        <v>-2.64</v>
      </c>
      <c r="L43" s="2">
        <f t="shared" si="1"/>
        <v>-2.6</v>
      </c>
      <c r="M43" s="2">
        <f t="array" ref="M43">IF($B43="","",IF($G43="Y",NeutralHFA,IFERROR(INDEX(HFAexcVal,MATCH($F43,HFAexcTeam,0)),HFA_Base)))</f>
        <v>1.6</v>
      </c>
      <c r="N43" s="2">
        <f t="array" ref="N43">IF($B43="","",IFERROR(INDEX(QBSpreadEff,MATCH($F43,QBTeams,0)),0)-IFERROR(INDEX(QBSpreadEff,MATCH($E43,QBTeams,0)),0))</f>
        <v>0</v>
      </c>
      <c r="O43" s="2">
        <f t="array" ref="O43">IF($B43="","",IFERROR(MEDIAN(-RestCapPts,RestCapPts,RestPerDay*(INDEX(SchedZone,MATCH($A43,SchedSeq,0),MAP!$B$16)-INDEX(SchedZone,MATCH($A43,SchedSeq,0),MAP!$B$15))),0))</f>
        <v>0</v>
      </c>
      <c r="P43" s="2">
        <f>IF($B43="","",SUMIFS(AdjSpread,AdjGameID,$B43,AdjTeam,$F43,AdjActive,1)-SUMIFS(AdjSpread,AdjGameID,$B43,AdjTeam,$E43,AdjActive,1))</f>
        <v>0</v>
      </c>
      <c r="Q43" s="2">
        <f t="shared" si="2"/>
        <v>-1</v>
      </c>
      <c r="R43" s="11"/>
      <c r="S43" s="2">
        <f t="shared" si="3"/>
        <v>-1</v>
      </c>
      <c r="T43" s="2" t="str">
        <f t="shared" si="4"/>
        <v>KC -1.0</v>
      </c>
      <c r="U43" s="2" t="str">
        <f t="array" ref="U43">IF($B43="","",IFERROR(INDEX(MktHomeSpread,MATCH($B43,MktGameID,0)),""))</f>
        <v/>
      </c>
      <c r="V43" s="2" t="str">
        <f t="shared" si="5"/>
        <v/>
      </c>
      <c r="W43" s="2" t="str">
        <f t="shared" si="6"/>
        <v/>
      </c>
      <c r="X43" s="2" t="str">
        <f t="shared" si="7"/>
        <v/>
      </c>
      <c r="Y43" s="2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2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2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2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2">
        <f t="array" ref="AC43">IF($B43="","",IFERROR(INDEX(QBTotEff,MATCH($F43,QBTeams,0)),0)+IFERROR(INDEX(QBTotEff,MATCH($E43,QBTeams,0)),0))</f>
        <v>0</v>
      </c>
      <c r="AD43" s="2">
        <f>IF($B43="","",SUMIFS(AdjTot,AdjGameID,$B43,AdjActive,1))</f>
        <v>0</v>
      </c>
      <c r="AE43" s="2">
        <f t="shared" si="8"/>
        <v>0</v>
      </c>
      <c r="AF43" s="11"/>
      <c r="AG43" s="2">
        <f t="shared" si="9"/>
        <v>0</v>
      </c>
      <c r="AH43" s="2" t="str">
        <f t="array" ref="AH43">IF($B43="","",IFERROR(INDEX(MktTotal,MATCH($B43,MktGameID,0)),""))</f>
        <v/>
      </c>
      <c r="AI43" s="2" t="str">
        <f t="shared" si="10"/>
        <v/>
      </c>
      <c r="AJ43" s="2" t="str">
        <f t="shared" si="11"/>
        <v/>
      </c>
      <c r="AK43" s="2" t="str">
        <f t="shared" si="12"/>
        <v/>
      </c>
      <c r="AL43" s="2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Medium</v>
      </c>
      <c r="AM43" s="2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2" t="str">
        <f>IF($AG43="","","BET OVER at ≤ "&amp;TEXT($AG43-BetTot,"0.0")&amp;"  |  BET UNDER at ≥ "&amp;TEXT($AG43+BetTot,"0.0"))</f>
        <v>BET OVER at ≤ -3.0  |  BET UNDER at ≥ 3.0</v>
      </c>
      <c r="AO43" s="2" t="str">
        <f t="array" ref="AO43">IF($B43="","",IF(OR(IFERROR(INDEX(QBFlag,MATCH($F43,QBTeams,0)),1)=1,IFERROR(INDEX(QBFlag,MATCH($E43,QBTeams,0)),1)=1),"QB UNCERTAIN",""))</f>
        <v/>
      </c>
      <c r="AP43" s="2" t="str">
        <f t="array" ref="AP43">IF($B43="","",IFERROR(INDEX(DQStatus,MATCH($B43,DQGameID,0)),"BLOCKED — DQ ROW NOT FOUND"))</f>
        <v>READY</v>
      </c>
      <c r="AQ43" s="2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2" t="str">
        <f t="shared" si="13"/>
        <v/>
      </c>
      <c r="AS43" s="2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2" t="str">
        <f t="shared" si="14"/>
        <v/>
      </c>
      <c r="AU43" s="11"/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9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2" t="str">
        <f t="array" ref="G44">IF($B44="","",IF(INDEX(SchedZone,MATCH($A44,SchedSeq,0),MAP!$B$14)="Neutral","Y",""))</f>
        <v/>
      </c>
      <c r="H44" s="2" t="str">
        <f t="array" ref="H44">IF($B44="","",INDEX(SchedZone,MATCH($A44,SchedSeq,0),MAP!$B$17))</f>
        <v>outdoors</v>
      </c>
      <c r="I44" s="2" t="str">
        <f>IF(OR($B44="",$C44&lt;&gt;CurrentWeek),"",COUNTIF($C$5:$C44,CurrentWeek))</f>
        <v/>
      </c>
      <c r="J44" s="2">
        <f t="array" ref="J44">IF($B44="","",IFERROR(INDEX(RatEff,MATCH($E44,RatTeams,0)),"⚠ TEAM NOT FOUND"))</f>
        <v>-3.14</v>
      </c>
      <c r="K44" s="2">
        <f t="array" ref="K44">IF($B44="","",IFERROR(INDEX(RatEff,MATCH($F44,RatTeams,0)),"⚠ TEAM NOT FOUND"))</f>
        <v>-1.59</v>
      </c>
      <c r="L44" s="2">
        <f t="shared" si="1"/>
        <v>1.55</v>
      </c>
      <c r="M44" s="2">
        <f t="array" ref="M44">IF($B44="","",IF($G44="Y",NeutralHFA,IFERROR(INDEX(HFAexcVal,MATCH($F44,HFAexcTeam,0)),HFA_Base)))</f>
        <v>1.6</v>
      </c>
      <c r="N44" s="2">
        <f t="array" ref="N44">IF($B44="","",IFERROR(INDEX(QBSpreadEff,MATCH($F44,QBTeams,0)),0)-IFERROR(INDEX(QBSpreadEff,MATCH($E44,QBTeams,0)),0))</f>
        <v>0</v>
      </c>
      <c r="O44" s="2">
        <f t="array" ref="O44">IF($B44="","",IFERROR(MEDIAN(-RestCapPts,RestCapPts,RestPerDay*(INDEX(SchedZone,MATCH($A44,SchedSeq,0),MAP!$B$16)-INDEX(SchedZone,MATCH($A44,SchedSeq,0),MAP!$B$15))),0))</f>
        <v>-0.1</v>
      </c>
      <c r="P44" s="2">
        <f>IF($B44="","",SUMIFS(AdjSpread,AdjGameID,$B44,AdjTeam,$F44,AdjActive,1)-SUMIFS(AdjSpread,AdjGameID,$B44,AdjTeam,$E44,AdjActive,1))</f>
        <v>0</v>
      </c>
      <c r="Q44" s="2">
        <f t="shared" si="2"/>
        <v>3.05</v>
      </c>
      <c r="R44" s="11"/>
      <c r="S44" s="2">
        <f t="shared" si="3"/>
        <v>3.05</v>
      </c>
      <c r="T44" s="2" t="str">
        <f t="shared" si="4"/>
        <v>NYG -3.1</v>
      </c>
      <c r="U44" s="2" t="str">
        <f t="array" ref="U44">IF($B44="","",IFERROR(INDEX(MktHomeSpread,MATCH($B44,MktGameID,0)),""))</f>
        <v/>
      </c>
      <c r="V44" s="2" t="str">
        <f t="shared" si="5"/>
        <v/>
      </c>
      <c r="W44" s="2" t="str">
        <f t="shared" si="6"/>
        <v/>
      </c>
      <c r="X44" s="2" t="str">
        <f t="shared" si="7"/>
        <v/>
      </c>
      <c r="Y44" s="2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2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2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2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2">
        <f t="array" ref="AC44">IF($B44="","",IFERROR(INDEX(QBTotEff,MATCH($F44,QBTeams,0)),0)+IFERROR(INDEX(QBTotEff,MATCH($E44,QBTeams,0)),0))</f>
        <v>0</v>
      </c>
      <c r="AD44" s="2">
        <f>IF($B44="","",SUMIFS(AdjTot,AdjGameID,$B44,AdjActive,1))</f>
        <v>0</v>
      </c>
      <c r="AE44" s="2">
        <f t="shared" si="8"/>
        <v>0</v>
      </c>
      <c r="AF44" s="11"/>
      <c r="AG44" s="2">
        <f t="shared" si="9"/>
        <v>0</v>
      </c>
      <c r="AH44" s="2" t="str">
        <f t="array" ref="AH44">IF($B44="","",IFERROR(INDEX(MktTotal,MATCH($B44,MktGameID,0)),""))</f>
        <v/>
      </c>
      <c r="AI44" s="2" t="str">
        <f t="shared" si="10"/>
        <v/>
      </c>
      <c r="AJ44" s="2" t="str">
        <f t="shared" si="11"/>
        <v/>
      </c>
      <c r="AK44" s="2" t="str">
        <f t="shared" si="12"/>
        <v/>
      </c>
      <c r="AL44" s="2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2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2" t="str">
        <f>IF($AG44="","","BET OVER at ≤ "&amp;TEXT($AG44-BetTot,"0.0")&amp;"  |  BET UNDER at ≥ "&amp;TEXT($AG44+BetTot,"0.0"))</f>
        <v>BET OVER at ≤ -3.0  |  BET UNDER at ≥ 3.0</v>
      </c>
      <c r="AO44" s="2" t="str">
        <f t="array" ref="AO44">IF($B44="","",IF(OR(IFERROR(INDEX(QBFlag,MATCH($F44,QBTeams,0)),1)=1,IFERROR(INDEX(QBFlag,MATCH($E44,QBTeams,0)),1)=1),"QB UNCERTAIN",""))</f>
        <v/>
      </c>
      <c r="AP44" s="2" t="str">
        <f t="array" ref="AP44">IF($B44="","",IFERROR(INDEX(DQStatus,MATCH($B44,DQGameID,0)),"BLOCKED — DQ ROW NOT FOUND"))</f>
        <v>READY</v>
      </c>
      <c r="AQ44" s="2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2" t="str">
        <f t="shared" si="13"/>
        <v/>
      </c>
      <c r="AS44" s="2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2" t="str">
        <f t="shared" si="14"/>
        <v/>
      </c>
      <c r="AU44" s="11"/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9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2" t="str">
        <f t="array" ref="G45">IF($B45="","",IF(INDEX(SchedZone,MATCH($A45,SchedSeq,0),MAP!$B$14)="Neutral","Y",""))</f>
        <v/>
      </c>
      <c r="H45" s="2" t="str">
        <f t="array" ref="H45">IF($B45="","",INDEX(SchedZone,MATCH($A45,SchedSeq,0),MAP!$B$17))</f>
        <v>outdoors</v>
      </c>
      <c r="I45" s="2" t="str">
        <f>IF(OR($B45="",$C45&lt;&gt;CurrentWeek),"",COUNTIF($C$5:$C45,CurrentWeek))</f>
        <v/>
      </c>
      <c r="J45" s="2">
        <f t="array" ref="J45">IF($B45="","",IFERROR(INDEX(RatEff,MATCH($E45,RatTeams,0)),"⚠ TEAM NOT FOUND"))</f>
        <v>-1.53</v>
      </c>
      <c r="K45" s="2">
        <f t="array" ref="K45">IF($B45="","",IFERROR(INDEX(RatEff,MATCH($F45,RatTeams,0)),"⚠ TEAM NOT FOUND"))</f>
        <v>0.66</v>
      </c>
      <c r="L45" s="2">
        <f t="shared" si="1"/>
        <v>2.19</v>
      </c>
      <c r="M45" s="2">
        <f t="array" ref="M45">IF($B45="","",IF($G45="Y",NeutralHFA,IFERROR(INDEX(HFAexcVal,MATCH($F45,HFAexcTeam,0)),HFA_Base)))</f>
        <v>1.6</v>
      </c>
      <c r="N45" s="2">
        <f t="array" ref="N45">IF($B45="","",IFERROR(INDEX(QBSpreadEff,MATCH($F45,QBTeams,0)),0)-IFERROR(INDEX(QBSpreadEff,MATCH($E45,QBTeams,0)),0))</f>
        <v>0</v>
      </c>
      <c r="O45" s="2">
        <f t="array" ref="O45">IF($B45="","",IFERROR(MEDIAN(-RestCapPts,RestCapPts,RestPerDay*(INDEX(SchedZone,MATCH($A45,SchedSeq,0),MAP!$B$16)-INDEX(SchedZone,MATCH($A45,SchedSeq,0),MAP!$B$15))),0))</f>
        <v>0</v>
      </c>
      <c r="P45" s="2">
        <f>IF($B45="","",SUMIFS(AdjSpread,AdjGameID,$B45,AdjTeam,$F45,AdjActive,1)-SUMIFS(AdjSpread,AdjGameID,$B45,AdjTeam,$E45,AdjActive,1))</f>
        <v>0</v>
      </c>
      <c r="Q45" s="2">
        <f t="shared" si="2"/>
        <v>3.79</v>
      </c>
      <c r="R45" s="11"/>
      <c r="S45" s="2">
        <f t="shared" si="3"/>
        <v>3.79</v>
      </c>
      <c r="T45" s="2" t="str">
        <f t="shared" si="4"/>
        <v>PIT -3.8</v>
      </c>
      <c r="U45" s="2" t="str">
        <f t="array" ref="U45">IF($B45="","",IFERROR(INDEX(MktHomeSpread,MATCH($B45,MktGameID,0)),""))</f>
        <v/>
      </c>
      <c r="V45" s="2" t="str">
        <f t="shared" si="5"/>
        <v/>
      </c>
      <c r="W45" s="2" t="str">
        <f t="shared" si="6"/>
        <v/>
      </c>
      <c r="X45" s="2" t="str">
        <f t="shared" si="7"/>
        <v/>
      </c>
      <c r="Y45" s="2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2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2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2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2">
        <f t="array" ref="AC45">IF($B45="","",IFERROR(INDEX(QBTotEff,MATCH($F45,QBTeams,0)),0)+IFERROR(INDEX(QBTotEff,MATCH($E45,QBTeams,0)),0))</f>
        <v>0</v>
      </c>
      <c r="AD45" s="2">
        <f>IF($B45="","",SUMIFS(AdjTot,AdjGameID,$B45,AdjActive,1))</f>
        <v>0</v>
      </c>
      <c r="AE45" s="2">
        <f t="shared" si="8"/>
        <v>0</v>
      </c>
      <c r="AF45" s="11"/>
      <c r="AG45" s="2">
        <f t="shared" si="9"/>
        <v>0</v>
      </c>
      <c r="AH45" s="2" t="str">
        <f t="array" ref="AH45">IF($B45="","",IFERROR(INDEX(MktTotal,MATCH($B45,MktGameID,0)),""))</f>
        <v/>
      </c>
      <c r="AI45" s="2" t="str">
        <f t="shared" si="10"/>
        <v/>
      </c>
      <c r="AJ45" s="2" t="str">
        <f t="shared" si="11"/>
        <v/>
      </c>
      <c r="AK45" s="2" t="str">
        <f t="shared" si="12"/>
        <v/>
      </c>
      <c r="AL45" s="2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2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2" t="str">
        <f>IF($AG45="","","BET OVER at ≤ "&amp;TEXT($AG45-BetTot,"0.0")&amp;"  |  BET UNDER at ≥ "&amp;TEXT($AG45+BetTot,"0.0"))</f>
        <v>BET OVER at ≤ -3.0  |  BET UNDER at ≥ 3.0</v>
      </c>
      <c r="AO45" s="2" t="str">
        <f t="array" ref="AO45">IF($B45="","",IF(OR(IFERROR(INDEX(QBFlag,MATCH($F45,QBTeams,0)),1)=1,IFERROR(INDEX(QBFlag,MATCH($E45,QBTeams,0)),1)=1),"QB UNCERTAIN",""))</f>
        <v/>
      </c>
      <c r="AP45" s="2" t="str">
        <f t="array" ref="AP45">IF($B45="","",IFERROR(INDEX(DQStatus,MATCH($B45,DQGameID,0)),"BLOCKED — DQ ROW NOT FOUND"))</f>
        <v>READY</v>
      </c>
      <c r="AQ45" s="2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2" t="str">
        <f t="shared" si="13"/>
        <v/>
      </c>
      <c r="AS45" s="2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2" t="str">
        <f t="shared" si="14"/>
        <v/>
      </c>
      <c r="AU45" s="11"/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9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2" t="str">
        <f t="array" ref="G46">IF($B46="","",IF(INDEX(SchedZone,MATCH($A46,SchedSeq,0),MAP!$B$14)="Neutral","Y",""))</f>
        <v/>
      </c>
      <c r="H46" s="2" t="str">
        <f t="array" ref="H46">IF($B46="","",INDEX(SchedZone,MATCH($A46,SchedSeq,0),MAP!$B$17))</f>
        <v>outdoors</v>
      </c>
      <c r="I46" s="2" t="str">
        <f>IF(OR($B46="",$C46&lt;&gt;CurrentWeek),"",COUNTIF($C$5:$C46,CurrentWeek))</f>
        <v/>
      </c>
      <c r="J46" s="2">
        <f t="array" ref="J46">IF($B46="","",IFERROR(INDEX(RatEff,MATCH($E46,RatTeams,0)),"⚠ TEAM NOT FOUND"))</f>
        <v>4.1</v>
      </c>
      <c r="K46" s="2">
        <f t="array" ref="K46">IF($B46="","",IFERROR(INDEX(RatEff,MATCH($F46,RatTeams,0)),"⚠ TEAM NOT FOUND"))</f>
        <v>-2.02</v>
      </c>
      <c r="L46" s="2">
        <f t="shared" si="1"/>
        <v>-6.12</v>
      </c>
      <c r="M46" s="2">
        <f t="array" ref="M46">IF($B46="","",IF($G46="Y",NeutralHFA,IFERROR(INDEX(HFAexcVal,MATCH($F46,HFAexcTeam,0)),HFA_Base)))</f>
        <v>1.6</v>
      </c>
      <c r="N46" s="2">
        <f t="array" ref="N46">IF($B46="","",IFERROR(INDEX(QBSpreadEff,MATCH($F46,QBTeams,0)),0)-IFERROR(INDEX(QBSpreadEff,MATCH($E46,QBTeams,0)),0))</f>
        <v>0</v>
      </c>
      <c r="O46" s="2">
        <f t="array" ref="O46">IF($B46="","",IFERROR(MEDIAN(-RestCapPts,RestCapPts,RestPerDay*(INDEX(SchedZone,MATCH($A46,SchedSeq,0),MAP!$B$16)-INDEX(SchedZone,MATCH($A46,SchedSeq,0),MAP!$B$15))),0))</f>
        <v>0</v>
      </c>
      <c r="P46" s="2">
        <f>IF($B46="","",SUMIFS(AdjSpread,AdjGameID,$B46,AdjTeam,$F46,AdjActive,1)-SUMIFS(AdjSpread,AdjGameID,$B46,AdjTeam,$E46,AdjActive,1))</f>
        <v>0</v>
      </c>
      <c r="Q46" s="2">
        <f t="shared" si="2"/>
        <v>-4.52</v>
      </c>
      <c r="R46" s="11"/>
      <c r="S46" s="2">
        <f t="shared" si="3"/>
        <v>-4.52</v>
      </c>
      <c r="T46" s="2" t="str">
        <f t="shared" si="4"/>
        <v>SEA -4.5</v>
      </c>
      <c r="U46" s="2" t="str">
        <f t="array" ref="U46">IF($B46="","",IFERROR(INDEX(MktHomeSpread,MATCH($B46,MktGameID,0)),""))</f>
        <v/>
      </c>
      <c r="V46" s="2" t="str">
        <f t="shared" si="5"/>
        <v/>
      </c>
      <c r="W46" s="2" t="str">
        <f t="shared" si="6"/>
        <v/>
      </c>
      <c r="X46" s="2" t="str">
        <f t="shared" si="7"/>
        <v/>
      </c>
      <c r="Y46" s="2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2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2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2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2">
        <f t="array" ref="AC46">IF($B46="","",IFERROR(INDEX(QBTotEff,MATCH($F46,QBTeams,0)),0)+IFERROR(INDEX(QBTotEff,MATCH($E46,QBTeams,0)),0))</f>
        <v>0</v>
      </c>
      <c r="AD46" s="2">
        <f>IF($B46="","",SUMIFS(AdjTot,AdjGameID,$B46,AdjActive,1))</f>
        <v>0</v>
      </c>
      <c r="AE46" s="2">
        <f t="shared" si="8"/>
        <v>0</v>
      </c>
      <c r="AF46" s="11"/>
      <c r="AG46" s="2">
        <f t="shared" si="9"/>
        <v>0</v>
      </c>
      <c r="AH46" s="2" t="str">
        <f t="array" ref="AH46">IF($B46="","",IFERROR(INDEX(MktTotal,MATCH($B46,MktGameID,0)),""))</f>
        <v/>
      </c>
      <c r="AI46" s="2" t="str">
        <f t="shared" si="10"/>
        <v/>
      </c>
      <c r="AJ46" s="2" t="str">
        <f t="shared" si="11"/>
        <v/>
      </c>
      <c r="AK46" s="2" t="str">
        <f t="shared" si="12"/>
        <v/>
      </c>
      <c r="AL46" s="2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2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2" t="str">
        <f>IF($AG46="","","BET OVER at ≤ "&amp;TEXT($AG46-BetTot,"0.0")&amp;"  |  BET UNDER at ≥ "&amp;TEXT($AG46+BetTot,"0.0"))</f>
        <v>BET OVER at ≤ -3.0  |  BET UNDER at ≥ 3.0</v>
      </c>
      <c r="AO46" s="2" t="str">
        <f t="array" ref="AO46">IF($B46="","",IF(OR(IFERROR(INDEX(QBFlag,MATCH($F46,QBTeams,0)),1)=1,IFERROR(INDEX(QBFlag,MATCH($E46,QBTeams,0)),1)=1),"QB UNCERTAIN",""))</f>
        <v/>
      </c>
      <c r="AP46" s="2" t="str">
        <f t="array" ref="AP46">IF($B46="","",IFERROR(INDEX(DQStatus,MATCH($B46,DQGameID,0)),"BLOCKED — DQ ROW NOT FOUND"))</f>
        <v>READY</v>
      </c>
      <c r="AQ46" s="2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2" t="str">
        <f t="shared" si="13"/>
        <v/>
      </c>
      <c r="AS46" s="2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2" t="str">
        <f t="shared" si="14"/>
        <v/>
      </c>
      <c r="AU46" s="11"/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9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2" t="str">
        <f t="array" ref="G47">IF($B47="","",IF(INDEX(SchedZone,MATCH($A47,SchedSeq,0),MAP!$B$14)="Neutral","Y",""))</f>
        <v/>
      </c>
      <c r="H47" s="2" t="str">
        <f t="array" ref="H47">IF($B47="","",INDEX(SchedZone,MATCH($A47,SchedSeq,0),MAP!$B$17))</f>
        <v>outdoors</v>
      </c>
      <c r="I47" s="2" t="str">
        <f>IF(OR($B47="",$C47&lt;&gt;CurrentWeek),"",COUNTIF($C$5:$C47,CurrentWeek))</f>
        <v/>
      </c>
      <c r="J47" s="2">
        <f t="array" ref="J47">IF($B47="","",IFERROR(INDEX(RatEff,MATCH($E47,RatTeams,0)),"⚠ TEAM NOT FOUND"))</f>
        <v>-2.07</v>
      </c>
      <c r="K47" s="2">
        <f t="array" ref="K47">IF($B47="","",IFERROR(INDEX(RatEff,MATCH($F47,RatTeams,0)),"⚠ TEAM NOT FOUND"))</f>
        <v>1.78</v>
      </c>
      <c r="L47" s="2">
        <f t="shared" si="1"/>
        <v>3.85</v>
      </c>
      <c r="M47" s="2">
        <f t="array" ref="M47">IF($B47="","",IF($G47="Y",NeutralHFA,IFERROR(INDEX(HFAexcVal,MATCH($F47,HFAexcTeam,0)),HFA_Base)))</f>
        <v>1.6</v>
      </c>
      <c r="N47" s="2">
        <f t="array" ref="N47">IF($B47="","",IFERROR(INDEX(QBSpreadEff,MATCH($F47,QBTeams,0)),0)-IFERROR(INDEX(QBSpreadEff,MATCH($E47,QBTeams,0)),0))</f>
        <v>0</v>
      </c>
      <c r="O47" s="2">
        <f t="array" ref="O47">IF($B47="","",IFERROR(MEDIAN(-RestCapPts,RestCapPts,RestPerDay*(INDEX(SchedZone,MATCH($A47,SchedSeq,0),MAP!$B$16)-INDEX(SchedZone,MATCH($A47,SchedSeq,0),MAP!$B$15))),0))</f>
        <v>0</v>
      </c>
      <c r="P47" s="2">
        <f>IF($B47="","",SUMIFS(AdjSpread,AdjGameID,$B47,AdjTeam,$F47,AdjActive,1)-SUMIFS(AdjSpread,AdjGameID,$B47,AdjTeam,$E47,AdjActive,1))</f>
        <v>0</v>
      </c>
      <c r="Q47" s="2">
        <f t="shared" si="2"/>
        <v>5.45</v>
      </c>
      <c r="R47" s="11"/>
      <c r="S47" s="2">
        <f t="shared" si="3"/>
        <v>5.45</v>
      </c>
      <c r="T47" s="2" t="str">
        <f t="shared" si="4"/>
        <v>SF -5.5</v>
      </c>
      <c r="U47" s="2" t="str">
        <f t="array" ref="U47">IF($B47="","",IFERROR(INDEX(MktHomeSpread,MATCH($B47,MktGameID,0)),""))</f>
        <v/>
      </c>
      <c r="V47" s="2" t="str">
        <f t="shared" si="5"/>
        <v/>
      </c>
      <c r="W47" s="2" t="str">
        <f t="shared" si="6"/>
        <v/>
      </c>
      <c r="X47" s="2" t="str">
        <f t="shared" si="7"/>
        <v/>
      </c>
      <c r="Y47" s="2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2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2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2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2">
        <f t="array" ref="AC47">IF($B47="","",IFERROR(INDEX(QBTotEff,MATCH($F47,QBTeams,0)),0)+IFERROR(INDEX(QBTotEff,MATCH($E47,QBTeams,0)),0))</f>
        <v>0</v>
      </c>
      <c r="AD47" s="2">
        <f>IF($B47="","",SUMIFS(AdjTot,AdjGameID,$B47,AdjActive,1))</f>
        <v>0</v>
      </c>
      <c r="AE47" s="2">
        <f t="shared" si="8"/>
        <v>0</v>
      </c>
      <c r="AF47" s="11"/>
      <c r="AG47" s="2">
        <f t="shared" si="9"/>
        <v>0</v>
      </c>
      <c r="AH47" s="2" t="str">
        <f t="array" ref="AH47">IF($B47="","",IFERROR(INDEX(MktTotal,MATCH($B47,MktGameID,0)),""))</f>
        <v/>
      </c>
      <c r="AI47" s="2" t="str">
        <f t="shared" si="10"/>
        <v/>
      </c>
      <c r="AJ47" s="2" t="str">
        <f t="shared" si="11"/>
        <v/>
      </c>
      <c r="AK47" s="2" t="str">
        <f t="shared" si="12"/>
        <v/>
      </c>
      <c r="AL47" s="2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Low</v>
      </c>
      <c r="AM47" s="2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2" t="str">
        <f>IF($AG47="","","BET OVER at ≤ "&amp;TEXT($AG47-BetTot,"0.0")&amp;"  |  BET UNDER at ≥ "&amp;TEXT($AG47+BetTot,"0.0"))</f>
        <v>BET OVER at ≤ -3.0  |  BET UNDER at ≥ 3.0</v>
      </c>
      <c r="AO47" s="2" t="str">
        <f t="array" ref="AO47">IF($B47="","",IF(OR(IFERROR(INDEX(QBFlag,MATCH($F47,QBTeams,0)),1)=1,IFERROR(INDEX(QBFlag,MATCH($E47,QBTeams,0)),1)=1),"QB UNCERTAIN",""))</f>
        <v>QB UNCERTAIN</v>
      </c>
      <c r="AP47" s="2" t="str">
        <f t="array" ref="AP47">IF($B47="","",IFERROR(INDEX(DQStatus,MATCH($B47,DQGameID,0)),"BLOCKED — DQ ROW NOT FOUND"))</f>
        <v>READY</v>
      </c>
      <c r="AQ47" s="2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2" t="str">
        <f t="shared" si="13"/>
        <v/>
      </c>
      <c r="AS47" s="2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2" t="str">
        <f t="shared" si="14"/>
        <v/>
      </c>
      <c r="AU47" s="11"/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9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2" t="str">
        <f t="array" ref="G48">IF($B48="","",IF(INDEX(SchedZone,MATCH($A48,SchedSeq,0),MAP!$B$14)="Neutral","Y",""))</f>
        <v/>
      </c>
      <c r="H48" s="2" t="str">
        <f t="array" ref="H48">IF($B48="","",INDEX(SchedZone,MATCH($A48,SchedSeq,0),MAP!$B$17))</f>
        <v>outdoors</v>
      </c>
      <c r="I48" s="2" t="str">
        <f>IF(OR($B48="",$C48&lt;&gt;CurrentWeek),"",COUNTIF($C$5:$C48,CurrentWeek))</f>
        <v/>
      </c>
      <c r="J48" s="2">
        <f t="array" ref="J48">IF($B48="","",IFERROR(INDEX(RatEff,MATCH($E48,RatTeams,0)),"⚠ TEAM NOT FOUND"))</f>
        <v>0.5</v>
      </c>
      <c r="K48" s="2">
        <f t="array" ref="K48">IF($B48="","",IFERROR(INDEX(RatEff,MATCH($F48,RatTeams,0)),"⚠ TEAM NOT FOUND"))</f>
        <v>-0.48</v>
      </c>
      <c r="L48" s="2">
        <f t="shared" si="1"/>
        <v>-0.98</v>
      </c>
      <c r="M48" s="2">
        <f t="array" ref="M48">IF($B48="","",IF($G48="Y",NeutralHFA,IFERROR(INDEX(HFAexcVal,MATCH($F48,HFAexcTeam,0)),HFA_Base)))</f>
        <v>1.6</v>
      </c>
      <c r="N48" s="2">
        <f t="array" ref="N48">IF($B48="","",IFERROR(INDEX(QBSpreadEff,MATCH($F48,QBTeams,0)),0)-IFERROR(INDEX(QBSpreadEff,MATCH($E48,QBTeams,0)),0))</f>
        <v>0</v>
      </c>
      <c r="O48" s="2">
        <f t="array" ref="O48">IF($B48="","",IFERROR(MEDIAN(-RestCapPts,RestCapPts,RestPerDay*(INDEX(SchedZone,MATCH($A48,SchedSeq,0),MAP!$B$16)-INDEX(SchedZone,MATCH($A48,SchedSeq,0),MAP!$B$15))),0))</f>
        <v>0</v>
      </c>
      <c r="P48" s="2">
        <f>IF($B48="","",SUMIFS(AdjSpread,AdjGameID,$B48,AdjTeam,$F48,AdjActive,1)-SUMIFS(AdjSpread,AdjGameID,$B48,AdjTeam,$E48,AdjActive,1))</f>
        <v>0</v>
      </c>
      <c r="Q48" s="2">
        <f t="shared" si="2"/>
        <v>0.62</v>
      </c>
      <c r="R48" s="11"/>
      <c r="S48" s="2">
        <f t="shared" si="3"/>
        <v>0.62</v>
      </c>
      <c r="T48" s="2" t="str">
        <f t="shared" si="4"/>
        <v>TB -0.6</v>
      </c>
      <c r="U48" s="2" t="str">
        <f t="array" ref="U48">IF($B48="","",IFERROR(INDEX(MktHomeSpread,MATCH($B48,MktGameID,0)),""))</f>
        <v/>
      </c>
      <c r="V48" s="2" t="str">
        <f t="shared" si="5"/>
        <v/>
      </c>
      <c r="W48" s="2" t="str">
        <f t="shared" si="6"/>
        <v/>
      </c>
      <c r="X48" s="2" t="str">
        <f t="shared" si="7"/>
        <v/>
      </c>
      <c r="Y48" s="2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2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2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2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2">
        <f t="array" ref="AC48">IF($B48="","",IFERROR(INDEX(QBTotEff,MATCH($F48,QBTeams,0)),0)+IFERROR(INDEX(QBTotEff,MATCH($E48,QBTeams,0)),0))</f>
        <v>0</v>
      </c>
      <c r="AD48" s="2">
        <f>IF($B48="","",SUMIFS(AdjTot,AdjGameID,$B48,AdjActive,1))</f>
        <v>0</v>
      </c>
      <c r="AE48" s="2">
        <f t="shared" si="8"/>
        <v>0</v>
      </c>
      <c r="AF48" s="11"/>
      <c r="AG48" s="2">
        <f t="shared" si="9"/>
        <v>0</v>
      </c>
      <c r="AH48" s="2" t="str">
        <f t="array" ref="AH48">IF($B48="","",IFERROR(INDEX(MktTotal,MATCH($B48,MktGameID,0)),""))</f>
        <v/>
      </c>
      <c r="AI48" s="2" t="str">
        <f t="shared" si="10"/>
        <v/>
      </c>
      <c r="AJ48" s="2" t="str">
        <f t="shared" si="11"/>
        <v/>
      </c>
      <c r="AK48" s="2" t="str">
        <f t="shared" si="12"/>
        <v/>
      </c>
      <c r="AL48" s="2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Low</v>
      </c>
      <c r="AM48" s="2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2" t="str">
        <f>IF($AG48="","","BET OVER at ≤ "&amp;TEXT($AG48-BetTot,"0.0")&amp;"  |  BET UNDER at ≥ "&amp;TEXT($AG48+BetTot,"0.0"))</f>
        <v>BET OVER at ≤ -3.0  |  BET UNDER at ≥ 3.0</v>
      </c>
      <c r="AO48" s="2" t="str">
        <f t="array" ref="AO48">IF($B48="","",IF(OR(IFERROR(INDEX(QBFlag,MATCH($F48,QBTeams,0)),1)=1,IFERROR(INDEX(QBFlag,MATCH($E48,QBTeams,0)),1)=1),"QB UNCERTAIN",""))</f>
        <v>QB UNCERTAIN</v>
      </c>
      <c r="AP48" s="2" t="str">
        <f t="array" ref="AP48">IF($B48="","",IFERROR(INDEX(DQStatus,MATCH($B48,DQGameID,0)),"BLOCKED — DQ ROW NOT FOUND"))</f>
        <v>READY</v>
      </c>
      <c r="AQ48" s="2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2" t="str">
        <f t="shared" si="13"/>
        <v/>
      </c>
      <c r="AS48" s="2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2" t="str">
        <f t="shared" si="14"/>
        <v/>
      </c>
      <c r="AU48" s="11"/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9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2" t="str">
        <f t="array" ref="G49">IF($B49="","",IF(INDEX(SchedZone,MATCH($A49,SchedSeq,0),MAP!$B$14)="Neutral","Y",""))</f>
        <v>Y</v>
      </c>
      <c r="H49" s="2" t="str">
        <f t="array" ref="H49">IF($B49="","",INDEX(SchedZone,MATCH($A49,SchedSeq,0),MAP!$B$17))</f>
        <v/>
      </c>
      <c r="I49" s="2" t="str">
        <f>IF(OR($B49="",$C49&lt;&gt;CurrentWeek),"",COUNTIF($C$5:$C49,CurrentWeek))</f>
        <v/>
      </c>
      <c r="J49" s="2">
        <f t="array" ref="J49">IF($B49="","",IFERROR(INDEX(RatEff,MATCH($E49,RatTeams,0)),"⚠ TEAM NOT FOUND"))</f>
        <v>0.92</v>
      </c>
      <c r="K49" s="2">
        <f t="array" ref="K49">IF($B49="","",IFERROR(INDEX(RatEff,MATCH($F49,RatTeams,0)),"⚠ TEAM NOT FOUND"))</f>
        <v>-2.26</v>
      </c>
      <c r="L49" s="2">
        <f t="shared" si="1"/>
        <v>-3.18</v>
      </c>
      <c r="M49" s="2">
        <f t="array" ref="M49">IF($B49="","",IF($G49="Y",NeutralHFA,IFERROR(INDEX(HFAexcVal,MATCH($F49,HFAexcTeam,0)),HFA_Base)))</f>
        <v>0</v>
      </c>
      <c r="N49" s="2">
        <f t="array" ref="N49">IF($B49="","",IFERROR(INDEX(QBSpreadEff,MATCH($F49,QBTeams,0)),0)-IFERROR(INDEX(QBSpreadEff,MATCH($E49,QBTeams,0)),0))</f>
        <v>0</v>
      </c>
      <c r="O49" s="2">
        <f t="array" ref="O49">IF($B49="","",IFERROR(MEDIAN(-RestCapPts,RestCapPts,RestPerDay*(INDEX(SchedZone,MATCH($A49,SchedSeq,0),MAP!$B$16)-INDEX(SchedZone,MATCH($A49,SchedSeq,0),MAP!$B$15))),0))</f>
        <v>0</v>
      </c>
      <c r="P49" s="2">
        <f>IF($B49="","",SUMIFS(AdjSpread,AdjGameID,$B49,AdjTeam,$F49,AdjActive,1)-SUMIFS(AdjSpread,AdjGameID,$B49,AdjTeam,$E49,AdjActive,1))</f>
        <v>0</v>
      </c>
      <c r="Q49" s="2">
        <f t="shared" si="2"/>
        <v>-3.18</v>
      </c>
      <c r="R49" s="11"/>
      <c r="S49" s="2">
        <f t="shared" si="3"/>
        <v>-3.18</v>
      </c>
      <c r="T49" s="2" t="str">
        <f t="shared" si="4"/>
        <v>BAL -3.2</v>
      </c>
      <c r="U49" s="2" t="str">
        <f t="array" ref="U49">IF($B49="","",IFERROR(INDEX(MktHomeSpread,MATCH($B49,MktGameID,0)),""))</f>
        <v/>
      </c>
      <c r="V49" s="2" t="str">
        <f t="shared" si="5"/>
        <v/>
      </c>
      <c r="W49" s="2" t="str">
        <f t="shared" si="6"/>
        <v/>
      </c>
      <c r="X49" s="2" t="str">
        <f t="shared" si="7"/>
        <v/>
      </c>
      <c r="Y49" s="2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2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2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2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2">
        <f t="array" ref="AC49">IF($B49="","",IFERROR(INDEX(QBTotEff,MATCH($F49,QBTeams,0)),0)+IFERROR(INDEX(QBTotEff,MATCH($E49,QBTeams,0)),0))</f>
        <v>0</v>
      </c>
      <c r="AD49" s="2">
        <f>IF($B49="","",SUMIFS(AdjTot,AdjGameID,$B49,AdjActive,1))</f>
        <v>0</v>
      </c>
      <c r="AE49" s="2">
        <f t="shared" si="8"/>
        <v>0</v>
      </c>
      <c r="AF49" s="11"/>
      <c r="AG49" s="2">
        <f t="shared" si="9"/>
        <v>0</v>
      </c>
      <c r="AH49" s="2" t="str">
        <f t="array" ref="AH49">IF($B49="","",IFERROR(INDEX(MktTotal,MATCH($B49,MktGameID,0)),""))</f>
        <v/>
      </c>
      <c r="AI49" s="2" t="str">
        <f t="shared" si="10"/>
        <v/>
      </c>
      <c r="AJ49" s="2" t="str">
        <f t="shared" si="11"/>
        <v/>
      </c>
      <c r="AK49" s="2" t="str">
        <f t="shared" si="12"/>
        <v/>
      </c>
      <c r="AL49" s="2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2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2" t="str">
        <f>IF($AG49="","","BET OVER at ≤ "&amp;TEXT($AG49-BetTot,"0.0")&amp;"  |  BET UNDER at ≥ "&amp;TEXT($AG49+BetTot,"0.0"))</f>
        <v>BET OVER at ≤ -3.0  |  BET UNDER at ≥ 3.0</v>
      </c>
      <c r="AO49" s="2" t="str">
        <f t="array" ref="AO49">IF($B49="","",IF(OR(IFERROR(INDEX(QBFlag,MATCH($F49,QBTeams,0)),1)=1,IFERROR(INDEX(QBFlag,MATCH($E49,QBTeams,0)),1)=1),"QB UNCERTAIN",""))</f>
        <v/>
      </c>
      <c r="AP49" s="2" t="str">
        <f t="array" ref="AP49">IF($B49="","",IFERROR(INDEX(DQStatus,MATCH($B49,DQGameID,0)),"BLOCKED — DQ ROW NOT FOUND"))</f>
        <v>READY</v>
      </c>
      <c r="AQ49" s="2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2" t="str">
        <f t="shared" si="13"/>
        <v/>
      </c>
      <c r="AS49" s="2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2" t="str">
        <f t="shared" si="14"/>
        <v/>
      </c>
      <c r="AU49" s="11"/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9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2" t="str">
        <f t="array" ref="G50">IF($B50="","",IF(INDEX(SchedZone,MATCH($A50,SchedSeq,0),MAP!$B$14)="Neutral","Y",""))</f>
        <v/>
      </c>
      <c r="H50" s="2" t="str">
        <f t="array" ref="H50">IF($B50="","",INDEX(SchedZone,MATCH($A50,SchedSeq,0),MAP!$B$17))</f>
        <v>dome</v>
      </c>
      <c r="I50" s="2" t="str">
        <f>IF(OR($B50="",$C50&lt;&gt;CurrentWeek),"",COUNTIF($C$5:$C50,CurrentWeek))</f>
        <v/>
      </c>
      <c r="J50" s="2">
        <f t="array" ref="J50">IF($B50="","",IFERROR(INDEX(RatEff,MATCH($E50,RatTeams,0)),"⚠ TEAM NOT FOUND"))</f>
        <v>-3.52</v>
      </c>
      <c r="K50" s="2">
        <f t="array" ref="K50">IF($B50="","",IFERROR(INDEX(RatEff,MATCH($F50,RatTeams,0)),"⚠ TEAM NOT FOUND"))</f>
        <v>-0.94</v>
      </c>
      <c r="L50" s="2">
        <f t="shared" si="1"/>
        <v>2.58</v>
      </c>
      <c r="M50" s="2">
        <f t="array" ref="M50">IF($B50="","",IF($G50="Y",NeutralHFA,IFERROR(INDEX(HFAexcVal,MATCH($F50,HFAexcTeam,0)),HFA_Base)))</f>
        <v>1.6</v>
      </c>
      <c r="N50" s="2">
        <f t="array" ref="N50">IF($B50="","",IFERROR(INDEX(QBSpreadEff,MATCH($F50,QBTeams,0)),0)-IFERROR(INDEX(QBSpreadEff,MATCH($E50,QBTeams,0)),0))</f>
        <v>0</v>
      </c>
      <c r="O50" s="2">
        <f t="array" ref="O50">IF($B50="","",IFERROR(MEDIAN(-RestCapPts,RestCapPts,RestPerDay*(INDEX(SchedZone,MATCH($A50,SchedSeq,0),MAP!$B$16)-INDEX(SchedZone,MATCH($A50,SchedSeq,0),MAP!$B$15))),0))</f>
        <v>0</v>
      </c>
      <c r="P50" s="2">
        <f>IF($B50="","",SUMIFS(AdjSpread,AdjGameID,$B50,AdjTeam,$F50,AdjActive,1)-SUMIFS(AdjSpread,AdjGameID,$B50,AdjTeam,$E50,AdjActive,1))</f>
        <v>0</v>
      </c>
      <c r="Q50" s="2">
        <f t="shared" si="2"/>
        <v>4.18</v>
      </c>
      <c r="R50" s="11"/>
      <c r="S50" s="2">
        <f t="shared" si="3"/>
        <v>4.18</v>
      </c>
      <c r="T50" s="2" t="str">
        <f t="shared" si="4"/>
        <v>NO -4.2</v>
      </c>
      <c r="U50" s="2" t="str">
        <f t="array" ref="U50">IF($B50="","",IFERROR(INDEX(MktHomeSpread,MATCH($B50,MktGameID,0)),""))</f>
        <v/>
      </c>
      <c r="V50" s="2" t="str">
        <f t="shared" si="5"/>
        <v/>
      </c>
      <c r="W50" s="2" t="str">
        <f t="shared" si="6"/>
        <v/>
      </c>
      <c r="X50" s="2" t="str">
        <f t="shared" si="7"/>
        <v/>
      </c>
      <c r="Y50" s="2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2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2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2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2">
        <f t="array" ref="AC50">IF($B50="","",IFERROR(INDEX(QBTotEff,MATCH($F50,QBTeams,0)),0)+IFERROR(INDEX(QBTotEff,MATCH($E50,QBTeams,0)),0))</f>
        <v>0</v>
      </c>
      <c r="AD50" s="2">
        <f>IF($B50="","",SUMIFS(AdjTot,AdjGameID,$B50,AdjActive,1))</f>
        <v>0</v>
      </c>
      <c r="AE50" s="2">
        <f t="shared" si="8"/>
        <v>0</v>
      </c>
      <c r="AF50" s="11"/>
      <c r="AG50" s="2">
        <f t="shared" si="9"/>
        <v>0</v>
      </c>
      <c r="AH50" s="2" t="str">
        <f t="array" ref="AH50">IF($B50="","",IFERROR(INDEX(MktTotal,MATCH($B50,MktGameID,0)),""))</f>
        <v/>
      </c>
      <c r="AI50" s="2" t="str">
        <f t="shared" si="10"/>
        <v/>
      </c>
      <c r="AJ50" s="2" t="str">
        <f t="shared" si="11"/>
        <v/>
      </c>
      <c r="AK50" s="2" t="str">
        <f t="shared" si="12"/>
        <v/>
      </c>
      <c r="AL50" s="2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2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2" t="str">
        <f>IF($AG50="","","BET OVER at ≤ "&amp;TEXT($AG50-BetTot,"0.0")&amp;"  |  BET UNDER at ≥ "&amp;TEXT($AG50+BetTot,"0.0"))</f>
        <v>BET OVER at ≤ -3.0  |  BET UNDER at ≥ 3.0</v>
      </c>
      <c r="AO50" s="2" t="str">
        <f t="array" ref="AO50">IF($B50="","",IF(OR(IFERROR(INDEX(QBFlag,MATCH($F50,QBTeams,0)),1)=1,IFERROR(INDEX(QBFlag,MATCH($E50,QBTeams,0)),1)=1),"QB UNCERTAIN",""))</f>
        <v/>
      </c>
      <c r="AP50" s="2" t="str">
        <f t="array" ref="AP50">IF($B50="","",IFERROR(INDEX(DQStatus,MATCH($B50,DQGameID,0)),"BLOCKED — DQ ROW NOT FOUND"))</f>
        <v>READY</v>
      </c>
      <c r="AQ50" s="2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2" t="str">
        <f t="shared" si="13"/>
        <v/>
      </c>
      <c r="AS50" s="2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2" t="str">
        <f t="shared" si="14"/>
        <v/>
      </c>
      <c r="AU50" s="11"/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9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2" t="str">
        <f t="array" ref="G51">IF($B51="","",IF(INDEX(SchedZone,MATCH($A51,SchedSeq,0),MAP!$B$14)="Neutral","Y",""))</f>
        <v/>
      </c>
      <c r="H51" s="2" t="str">
        <f t="array" ref="H51">IF($B51="","",INDEX(SchedZone,MATCH($A51,SchedSeq,0),MAP!$B$17))</f>
        <v>outdoors</v>
      </c>
      <c r="I51" s="2" t="str">
        <f>IF(OR($B51="",$C51&lt;&gt;CurrentWeek),"",COUNTIF($C$5:$C51,CurrentWeek))</f>
        <v/>
      </c>
      <c r="J51" s="2">
        <f t="array" ref="J51">IF($B51="","",IFERROR(INDEX(RatEff,MATCH($E51,RatTeams,0)),"⚠ TEAM NOT FOUND"))</f>
        <v>4.09</v>
      </c>
      <c r="K51" s="2">
        <f t="array" ref="K51">IF($B51="","",IFERROR(INDEX(RatEff,MATCH($F51,RatTeams,0)),"⚠ TEAM NOT FOUND"))</f>
        <v>1.93</v>
      </c>
      <c r="L51" s="2">
        <f t="shared" si="1"/>
        <v>-2.16</v>
      </c>
      <c r="M51" s="2">
        <f t="array" ref="M51">IF($B51="","",IF($G51="Y",NeutralHFA,IFERROR(INDEX(HFAexcVal,MATCH($F51,HFAexcTeam,0)),HFA_Base)))</f>
        <v>1.6</v>
      </c>
      <c r="N51" s="2">
        <f t="array" ref="N51">IF($B51="","",IFERROR(INDEX(QBSpreadEff,MATCH($F51,QBTeams,0)),0)-IFERROR(INDEX(QBSpreadEff,MATCH($E51,QBTeams,0)),0))</f>
        <v>0</v>
      </c>
      <c r="O51" s="2">
        <f t="array" ref="O51">IF($B51="","",IFERROR(MEDIAN(-RestCapPts,RestCapPts,RestPerDay*(INDEX(SchedZone,MATCH($A51,SchedSeq,0),MAP!$B$16)-INDEX(SchedZone,MATCH($A51,SchedSeq,0),MAP!$B$15))),0))</f>
        <v>0.1</v>
      </c>
      <c r="P51" s="2">
        <f>IF($B51="","",SUMIFS(AdjSpread,AdjGameID,$B51,AdjTeam,$F51,AdjActive,1)-SUMIFS(AdjSpread,AdjGameID,$B51,AdjTeam,$E51,AdjActive,1))</f>
        <v>0</v>
      </c>
      <c r="Q51" s="2">
        <f t="shared" si="2"/>
        <v>-0.46</v>
      </c>
      <c r="R51" s="11"/>
      <c r="S51" s="2">
        <f t="shared" si="3"/>
        <v>-0.46</v>
      </c>
      <c r="T51" s="2" t="str">
        <f t="shared" si="4"/>
        <v>LA -0.5</v>
      </c>
      <c r="U51" s="2" t="str">
        <f t="array" ref="U51">IF($B51="","",IFERROR(INDEX(MktHomeSpread,MATCH($B51,MktGameID,0)),""))</f>
        <v/>
      </c>
      <c r="V51" s="2" t="str">
        <f t="shared" si="5"/>
        <v/>
      </c>
      <c r="W51" s="2" t="str">
        <f t="shared" si="6"/>
        <v/>
      </c>
      <c r="X51" s="2" t="str">
        <f t="shared" si="7"/>
        <v/>
      </c>
      <c r="Y51" s="2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2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2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2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2">
        <f t="array" ref="AC51">IF($B51="","",IFERROR(INDEX(QBTotEff,MATCH($F51,QBTeams,0)),0)+IFERROR(INDEX(QBTotEff,MATCH($E51,QBTeams,0)),0))</f>
        <v>0</v>
      </c>
      <c r="AD51" s="2">
        <f>IF($B51="","",SUMIFS(AdjTot,AdjGameID,$B51,AdjActive,1))</f>
        <v>0</v>
      </c>
      <c r="AE51" s="2">
        <f t="shared" si="8"/>
        <v>0</v>
      </c>
      <c r="AF51" s="11"/>
      <c r="AG51" s="2">
        <f t="shared" si="9"/>
        <v>0</v>
      </c>
      <c r="AH51" s="2" t="str">
        <f t="array" ref="AH51">IF($B51="","",IFERROR(INDEX(MktTotal,MATCH($B51,MktGameID,0)),""))</f>
        <v/>
      </c>
      <c r="AI51" s="2" t="str">
        <f t="shared" si="10"/>
        <v/>
      </c>
      <c r="AJ51" s="2" t="str">
        <f t="shared" si="11"/>
        <v/>
      </c>
      <c r="AK51" s="2" t="str">
        <f t="shared" si="12"/>
        <v/>
      </c>
      <c r="AL51" s="2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2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2" t="str">
        <f>IF($AG51="","","BET OVER at ≤ "&amp;TEXT($AG51-BetTot,"0.0")&amp;"  |  BET UNDER at ≥ "&amp;TEXT($AG51+BetTot,"0.0"))</f>
        <v>BET OVER at ≤ -3.0  |  BET UNDER at ≥ 3.0</v>
      </c>
      <c r="AO51" s="2" t="str">
        <f t="array" ref="AO51">IF($B51="","",IF(OR(IFERROR(INDEX(QBFlag,MATCH($F51,QBTeams,0)),1)=1,IFERROR(INDEX(QBFlag,MATCH($E51,QBTeams,0)),1)=1),"QB UNCERTAIN",""))</f>
        <v/>
      </c>
      <c r="AP51" s="2" t="str">
        <f t="array" ref="AP51">IF($B51="","",IFERROR(INDEX(DQStatus,MATCH($B51,DQGameID,0)),"BLOCKED — DQ ROW NOT FOUND"))</f>
        <v>READY</v>
      </c>
      <c r="AQ51" s="2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2" t="str">
        <f t="shared" si="13"/>
        <v/>
      </c>
      <c r="AS51" s="2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2" t="str">
        <f t="shared" si="14"/>
        <v/>
      </c>
      <c r="AU51" s="11"/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9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2" t="str">
        <f t="array" ref="G52">IF($B52="","",IF(INDEX(SchedZone,MATCH($A52,SchedSeq,0),MAP!$B$14)="Neutral","Y",""))</f>
        <v/>
      </c>
      <c r="H52" s="2" t="str">
        <f t="array" ref="H52">IF($B52="","",INDEX(SchedZone,MATCH($A52,SchedSeq,0),MAP!$B$17))</f>
        <v>outdoors</v>
      </c>
      <c r="I52" s="2" t="str">
        <f>IF(OR($B52="",$C52&lt;&gt;CurrentWeek),"",COUNTIF($C$5:$C52,CurrentWeek))</f>
        <v/>
      </c>
      <c r="J52" s="2">
        <f t="array" ref="J52">IF($B52="","",IFERROR(INDEX(RatEff,MATCH($E52,RatTeams,0)),"⚠ TEAM NOT FOUND"))</f>
        <v>1.5</v>
      </c>
      <c r="K52" s="2">
        <f t="array" ref="K52">IF($B52="","",IFERROR(INDEX(RatEff,MATCH($F52,RatTeams,0)),"⚠ TEAM NOT FOUND"))</f>
        <v>0.86</v>
      </c>
      <c r="L52" s="2">
        <f t="shared" si="1"/>
        <v>-0.64</v>
      </c>
      <c r="M52" s="2">
        <f t="array" ref="M52">IF($B52="","",IF($G52="Y",NeutralHFA,IFERROR(INDEX(HFAexcVal,MATCH($F52,HFAexcTeam,0)),HFA_Base)))</f>
        <v>1.6</v>
      </c>
      <c r="N52" s="2">
        <f t="array" ref="N52">IF($B52="","",IFERROR(INDEX(QBSpreadEff,MATCH($F52,QBTeams,0)),0)-IFERROR(INDEX(QBSpreadEff,MATCH($E52,QBTeams,0)),0))</f>
        <v>0</v>
      </c>
      <c r="O52" s="2">
        <f t="array" ref="O52">IF($B52="","",IFERROR(MEDIAN(-RestCapPts,RestCapPts,RestPerDay*(INDEX(SchedZone,MATCH($A52,SchedSeq,0),MAP!$B$16)-INDEX(SchedZone,MATCH($A52,SchedSeq,0),MAP!$B$15))),0))</f>
        <v>0</v>
      </c>
      <c r="P52" s="2">
        <f>IF($B52="","",SUMIFS(AdjSpread,AdjGameID,$B52,AdjTeam,$F52,AdjActive,1)-SUMIFS(AdjSpread,AdjGameID,$B52,AdjTeam,$E52,AdjActive,1))</f>
        <v>0</v>
      </c>
      <c r="Q52" s="2">
        <f t="shared" si="2"/>
        <v>0.96</v>
      </c>
      <c r="R52" s="11"/>
      <c r="S52" s="2">
        <f t="shared" si="3"/>
        <v>0.96</v>
      </c>
      <c r="T52" s="2" t="str">
        <f t="shared" si="4"/>
        <v>CHI -1.0</v>
      </c>
      <c r="U52" s="2" t="str">
        <f t="array" ref="U52">IF($B52="","",IFERROR(INDEX(MktHomeSpread,MATCH($B52,MktGameID,0)),""))</f>
        <v/>
      </c>
      <c r="V52" s="2" t="str">
        <f t="shared" si="5"/>
        <v/>
      </c>
      <c r="W52" s="2" t="str">
        <f t="shared" si="6"/>
        <v/>
      </c>
      <c r="X52" s="2" t="str">
        <f t="shared" si="7"/>
        <v/>
      </c>
      <c r="Y52" s="2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2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2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2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2">
        <f t="array" ref="AC52">IF($B52="","",IFERROR(INDEX(QBTotEff,MATCH($F52,QBTeams,0)),0)+IFERROR(INDEX(QBTotEff,MATCH($E52,QBTeams,0)),0))</f>
        <v>0</v>
      </c>
      <c r="AD52" s="2">
        <f>IF($B52="","",SUMIFS(AdjTot,AdjGameID,$B52,AdjActive,1))</f>
        <v>0</v>
      </c>
      <c r="AE52" s="2">
        <f t="shared" si="8"/>
        <v>0</v>
      </c>
      <c r="AF52" s="11"/>
      <c r="AG52" s="2">
        <f t="shared" si="9"/>
        <v>0</v>
      </c>
      <c r="AH52" s="2" t="str">
        <f t="array" ref="AH52">IF($B52="","",IFERROR(INDEX(MktTotal,MATCH($B52,MktGameID,0)),""))</f>
        <v/>
      </c>
      <c r="AI52" s="2" t="str">
        <f t="shared" si="10"/>
        <v/>
      </c>
      <c r="AJ52" s="2" t="str">
        <f t="shared" si="11"/>
        <v/>
      </c>
      <c r="AK52" s="2" t="str">
        <f t="shared" si="12"/>
        <v/>
      </c>
      <c r="AL52" s="2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2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2" t="str">
        <f>IF($AG52="","","BET OVER at ≤ "&amp;TEXT($AG52-BetTot,"0.0")&amp;"  |  BET UNDER at ≥ "&amp;TEXT($AG52+BetTot,"0.0"))</f>
        <v>BET OVER at ≤ -3.0  |  BET UNDER at ≥ 3.0</v>
      </c>
      <c r="AO52" s="2" t="str">
        <f t="array" ref="AO52">IF($B52="","",IF(OR(IFERROR(INDEX(QBFlag,MATCH($F52,QBTeams,0)),1)=1,IFERROR(INDEX(QBFlag,MATCH($E52,QBTeams,0)),1)=1),"QB UNCERTAIN",""))</f>
        <v/>
      </c>
      <c r="AP52" s="2" t="str">
        <f t="array" ref="AP52">IF($B52="","",IFERROR(INDEX(DQStatus,MATCH($B52,DQGameID,0)),"BLOCKED — DQ ROW NOT FOUND"))</f>
        <v>READY</v>
      </c>
      <c r="AQ52" s="2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2" t="str">
        <f t="shared" si="13"/>
        <v/>
      </c>
      <c r="AS52" s="2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2" t="str">
        <f t="shared" si="14"/>
        <v/>
      </c>
      <c r="AU52" s="11"/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9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2" t="str">
        <f t="array" ref="G53">IF($B53="","",IF(INDEX(SchedZone,MATCH($A53,SchedSeq,0),MAP!$B$14)="Neutral","Y",""))</f>
        <v/>
      </c>
      <c r="H53" s="2" t="str">
        <f t="array" ref="H53">IF($B53="","",INDEX(SchedZone,MATCH($A53,SchedSeq,0),MAP!$B$17))</f>
        <v>outdoors</v>
      </c>
      <c r="I53" s="2" t="str">
        <f>IF(OR($B53="",$C53&lt;&gt;CurrentWeek),"",COUNTIF($C$5:$C53,CurrentWeek))</f>
        <v/>
      </c>
      <c r="J53" s="2">
        <f t="array" ref="J53">IF($B53="","",IFERROR(INDEX(RatEff,MATCH($E53,RatTeams,0)),"⚠ TEAM NOT FOUND"))</f>
        <v>0.66</v>
      </c>
      <c r="K53" s="2">
        <f t="array" ref="K53">IF($B53="","",IFERROR(INDEX(RatEff,MATCH($F53,RatTeams,0)),"⚠ TEAM NOT FOUND"))</f>
        <v>-2.6</v>
      </c>
      <c r="L53" s="2">
        <f t="shared" si="1"/>
        <v>-3.26</v>
      </c>
      <c r="M53" s="2">
        <f t="array" ref="M53">IF($B53="","",IF($G53="Y",NeutralHFA,IFERROR(INDEX(HFAexcVal,MATCH($F53,HFAexcTeam,0)),HFA_Base)))</f>
        <v>1.6</v>
      </c>
      <c r="N53" s="2">
        <f t="array" ref="N53">IF($B53="","",IFERROR(INDEX(QBSpreadEff,MATCH($F53,QBTeams,0)),0)-IFERROR(INDEX(QBSpreadEff,MATCH($E53,QBTeams,0)),0))</f>
        <v>0</v>
      </c>
      <c r="O53" s="2">
        <f t="array" ref="O53">IF($B53="","",IFERROR(MEDIAN(-RestCapPts,RestCapPts,RestPerDay*(INDEX(SchedZone,MATCH($A53,SchedSeq,0),MAP!$B$16)-INDEX(SchedZone,MATCH($A53,SchedSeq,0),MAP!$B$15))),0))</f>
        <v>0</v>
      </c>
      <c r="P53" s="2">
        <f>IF($B53="","",SUMIFS(AdjSpread,AdjGameID,$B53,AdjTeam,$F53,AdjActive,1)-SUMIFS(AdjSpread,AdjGameID,$B53,AdjTeam,$E53,AdjActive,1))</f>
        <v>0</v>
      </c>
      <c r="Q53" s="2">
        <f t="shared" si="2"/>
        <v>-1.66</v>
      </c>
      <c r="R53" s="11"/>
      <c r="S53" s="2">
        <f t="shared" si="3"/>
        <v>-1.66</v>
      </c>
      <c r="T53" s="2" t="str">
        <f t="shared" si="4"/>
        <v>PIT -1.7</v>
      </c>
      <c r="U53" s="2" t="str">
        <f t="array" ref="U53">IF($B53="","",IFERROR(INDEX(MktHomeSpread,MATCH($B53,MktGameID,0)),""))</f>
        <v/>
      </c>
      <c r="V53" s="2" t="str">
        <f t="shared" si="5"/>
        <v/>
      </c>
      <c r="W53" s="2" t="str">
        <f t="shared" si="6"/>
        <v/>
      </c>
      <c r="X53" s="2" t="str">
        <f t="shared" si="7"/>
        <v/>
      </c>
      <c r="Y53" s="2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2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2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2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2">
        <f t="array" ref="AC53">IF($B53="","",IFERROR(INDEX(QBTotEff,MATCH($F53,QBTeams,0)),0)+IFERROR(INDEX(QBTotEff,MATCH($E53,QBTeams,0)),0))</f>
        <v>0</v>
      </c>
      <c r="AD53" s="2">
        <f>IF($B53="","",SUMIFS(AdjTot,AdjGameID,$B53,AdjActive,1))</f>
        <v>0</v>
      </c>
      <c r="AE53" s="2">
        <f t="shared" si="8"/>
        <v>0</v>
      </c>
      <c r="AF53" s="11"/>
      <c r="AG53" s="2">
        <f t="shared" si="9"/>
        <v>0</v>
      </c>
      <c r="AH53" s="2" t="str">
        <f t="array" ref="AH53">IF($B53="","",IFERROR(INDEX(MktTotal,MATCH($B53,MktGameID,0)),""))</f>
        <v/>
      </c>
      <c r="AI53" s="2" t="str">
        <f t="shared" si="10"/>
        <v/>
      </c>
      <c r="AJ53" s="2" t="str">
        <f t="shared" si="11"/>
        <v/>
      </c>
      <c r="AK53" s="2" t="str">
        <f t="shared" si="12"/>
        <v/>
      </c>
      <c r="AL53" s="2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Low</v>
      </c>
      <c r="AM53" s="2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2" t="str">
        <f>IF($AG53="","","BET OVER at ≤ "&amp;TEXT($AG53-BetTot,"0.0")&amp;"  |  BET UNDER at ≥ "&amp;TEXT($AG53+BetTot,"0.0"))</f>
        <v>BET OVER at ≤ -3.0  |  BET UNDER at ≥ 3.0</v>
      </c>
      <c r="AO53" s="2" t="str">
        <f t="array" ref="AO53">IF($B53="","",IF(OR(IFERROR(INDEX(QBFlag,MATCH($F53,QBTeams,0)),1)=1,IFERROR(INDEX(QBFlag,MATCH($E53,QBTeams,0)),1)=1),"QB UNCERTAIN",""))</f>
        <v>QB UNCERTAIN</v>
      </c>
      <c r="AP53" s="2" t="str">
        <f t="array" ref="AP53">IF($B53="","",IFERROR(INDEX(DQStatus,MATCH($B53,DQGameID,0)),"BLOCKED — DQ ROW NOT FOUND"))</f>
        <v>READY</v>
      </c>
      <c r="AQ53" s="2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2" t="str">
        <f t="shared" si="13"/>
        <v/>
      </c>
      <c r="AS53" s="2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2" t="str">
        <f t="shared" si="14"/>
        <v/>
      </c>
      <c r="AU53" s="11"/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9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2" t="str">
        <f t="array" ref="G54">IF($B54="","",IF(INDEX(SchedZone,MATCH($A54,SchedSeq,0),MAP!$B$14)="Neutral","Y",""))</f>
        <v>Y</v>
      </c>
      <c r="H54" s="2" t="str">
        <f t="array" ref="H54">IF($B54="","",INDEX(SchedZone,MATCH($A54,SchedSeq,0),MAP!$B$17))</f>
        <v>outdoors</v>
      </c>
      <c r="I54" s="2" t="str">
        <f>IF(OR($B54="",$C54&lt;&gt;CurrentWeek),"",COUNTIF($C$5:$C54,CurrentWeek))</f>
        <v/>
      </c>
      <c r="J54" s="2">
        <f t="array" ref="J54">IF($B54="","",IFERROR(INDEX(RatEff,MATCH($E54,RatTeams,0)),"⚠ TEAM NOT FOUND"))</f>
        <v>0.82</v>
      </c>
      <c r="K54" s="2">
        <f t="array" ref="K54">IF($B54="","",IFERROR(INDEX(RatEff,MATCH($F54,RatTeams,0)),"⚠ TEAM NOT FOUND"))</f>
        <v>-2.02</v>
      </c>
      <c r="L54" s="2">
        <f t="shared" si="1"/>
        <v>-2.84</v>
      </c>
      <c r="M54" s="2">
        <f t="array" ref="M54">IF($B54="","",IF($G54="Y",NeutralHFA,IFERROR(INDEX(HFAexcVal,MATCH($F54,HFAexcTeam,0)),HFA_Base)))</f>
        <v>0</v>
      </c>
      <c r="N54" s="2">
        <f t="array" ref="N54">IF($B54="","",IFERROR(INDEX(QBSpreadEff,MATCH($F54,QBTeams,0)),0)-IFERROR(INDEX(QBSpreadEff,MATCH($E54,QBTeams,0)),0))</f>
        <v>0</v>
      </c>
      <c r="O54" s="2">
        <f t="array" ref="O54">IF($B54="","",IFERROR(MEDIAN(-RestCapPts,RestCapPts,RestPerDay*(INDEX(SchedZone,MATCH($A54,SchedSeq,0),MAP!$B$16)-INDEX(SchedZone,MATCH($A54,SchedSeq,0),MAP!$B$15))),0))</f>
        <v>0</v>
      </c>
      <c r="P54" s="2">
        <f>IF($B54="","",SUMIFS(AdjSpread,AdjGameID,$B54,AdjTeam,$F54,AdjActive,1)-SUMIFS(AdjSpread,AdjGameID,$B54,AdjTeam,$E54,AdjActive,1))</f>
        <v>0</v>
      </c>
      <c r="Q54" s="2">
        <f t="shared" si="2"/>
        <v>-2.84</v>
      </c>
      <c r="R54" s="11"/>
      <c r="S54" s="2">
        <f t="shared" si="3"/>
        <v>-2.84</v>
      </c>
      <c r="T54" s="2" t="str">
        <f t="shared" si="4"/>
        <v>IND -2.8</v>
      </c>
      <c r="U54" s="2" t="str">
        <f t="array" ref="U54">IF($B54="","",IFERROR(INDEX(MktHomeSpread,MATCH($B54,MktGameID,0)),""))</f>
        <v/>
      </c>
      <c r="V54" s="2" t="str">
        <f t="shared" si="5"/>
        <v/>
      </c>
      <c r="W54" s="2" t="str">
        <f t="shared" si="6"/>
        <v/>
      </c>
      <c r="X54" s="2" t="str">
        <f t="shared" si="7"/>
        <v/>
      </c>
      <c r="Y54" s="2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2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2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2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2">
        <f t="array" ref="AC54">IF($B54="","",IFERROR(INDEX(QBTotEff,MATCH($F54,QBTeams,0)),0)+IFERROR(INDEX(QBTotEff,MATCH($E54,QBTeams,0)),0))</f>
        <v>0</v>
      </c>
      <c r="AD54" s="2">
        <f>IF($B54="","",SUMIFS(AdjTot,AdjGameID,$B54,AdjActive,1))</f>
        <v>0</v>
      </c>
      <c r="AE54" s="2">
        <f t="shared" si="8"/>
        <v>0</v>
      </c>
      <c r="AF54" s="11"/>
      <c r="AG54" s="2">
        <f t="shared" si="9"/>
        <v>0</v>
      </c>
      <c r="AH54" s="2" t="str">
        <f t="array" ref="AH54">IF($B54="","",IFERROR(INDEX(MktTotal,MATCH($B54,MktGameID,0)),""))</f>
        <v/>
      </c>
      <c r="AI54" s="2" t="str">
        <f t="shared" si="10"/>
        <v/>
      </c>
      <c r="AJ54" s="2" t="str">
        <f t="shared" si="11"/>
        <v/>
      </c>
      <c r="AK54" s="2" t="str">
        <f t="shared" si="12"/>
        <v/>
      </c>
      <c r="AL54" s="2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2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2" t="str">
        <f>IF($AG54="","","BET OVER at ≤ "&amp;TEXT($AG54-BetTot,"0.0")&amp;"  |  BET UNDER at ≥ "&amp;TEXT($AG54+BetTot,"0.0"))</f>
        <v>BET OVER at ≤ -3.0  |  BET UNDER at ≥ 3.0</v>
      </c>
      <c r="AO54" s="2" t="str">
        <f t="array" ref="AO54">IF($B54="","",IF(OR(IFERROR(INDEX(QBFlag,MATCH($F54,QBTeams,0)),1)=1,IFERROR(INDEX(QBFlag,MATCH($E54,QBTeams,0)),1)=1),"QB UNCERTAIN",""))</f>
        <v/>
      </c>
      <c r="AP54" s="2" t="str">
        <f t="array" ref="AP54">IF($B54="","",IFERROR(INDEX(DQStatus,MATCH($B54,DQGameID,0)),"BLOCKED — DQ ROW NOT FOUND"))</f>
        <v>READY</v>
      </c>
      <c r="AQ54" s="2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2" t="str">
        <f t="shared" si="13"/>
        <v/>
      </c>
      <c r="AS54" s="2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2" t="str">
        <f t="shared" si="14"/>
        <v/>
      </c>
      <c r="AU54" s="11"/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9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2" t="str">
        <f t="array" ref="G55">IF($B55="","",IF(INDEX(SchedZone,MATCH($A55,SchedSeq,0),MAP!$B$14)="Neutral","Y",""))</f>
        <v/>
      </c>
      <c r="H55" s="2" t="str">
        <f t="array" ref="H55">IF($B55="","",INDEX(SchedZone,MATCH($A55,SchedSeq,0),MAP!$B$17))</f>
        <v>outdoors</v>
      </c>
      <c r="I55" s="2" t="str">
        <f>IF(OR($B55="",$C55&lt;&gt;CurrentWeek),"",COUNTIF($C$5:$C55,CurrentWeek))</f>
        <v/>
      </c>
      <c r="J55" s="2">
        <f t="array" ref="J55">IF($B55="","",IFERROR(INDEX(RatEff,MATCH($E55,RatTeams,0)),"⚠ TEAM NOT FOUND"))</f>
        <v>-3.14</v>
      </c>
      <c r="K55" s="2">
        <f t="array" ref="K55">IF($B55="","",IFERROR(INDEX(RatEff,MATCH($F55,RatTeams,0)),"⚠ TEAM NOT FOUND"))</f>
        <v>0.92</v>
      </c>
      <c r="L55" s="2">
        <f t="shared" si="1"/>
        <v>4.06</v>
      </c>
      <c r="M55" s="2">
        <f t="array" ref="M55">IF($B55="","",IF($G55="Y",NeutralHFA,IFERROR(INDEX(HFAexcVal,MATCH($F55,HFAexcTeam,0)),HFA_Base)))</f>
        <v>1.6</v>
      </c>
      <c r="N55" s="2">
        <f t="array" ref="N55">IF($B55="","",IFERROR(INDEX(QBSpreadEff,MATCH($F55,QBTeams,0)),0)-IFERROR(INDEX(QBSpreadEff,MATCH($E55,QBTeams,0)),0))</f>
        <v>0</v>
      </c>
      <c r="O55" s="2">
        <f t="array" ref="O55">IF($B55="","",IFERROR(MEDIAN(-RestCapPts,RestCapPts,RestPerDay*(INDEX(SchedZone,MATCH($A55,SchedSeq,0),MAP!$B$16)-INDEX(SchedZone,MATCH($A55,SchedSeq,0),MAP!$B$15))),0))</f>
        <v>0</v>
      </c>
      <c r="P55" s="2">
        <f>IF($B55="","",SUMIFS(AdjSpread,AdjGameID,$B55,AdjTeam,$F55,AdjActive,1)-SUMIFS(AdjSpread,AdjGameID,$B55,AdjTeam,$E55,AdjActive,1))</f>
        <v>0</v>
      </c>
      <c r="Q55" s="2">
        <f t="shared" si="2"/>
        <v>5.66</v>
      </c>
      <c r="R55" s="11"/>
      <c r="S55" s="2">
        <f t="shared" si="3"/>
        <v>5.66</v>
      </c>
      <c r="T55" s="2" t="str">
        <f t="shared" si="4"/>
        <v>BAL -5.7</v>
      </c>
      <c r="U55" s="2" t="str">
        <f t="array" ref="U55">IF($B55="","",IFERROR(INDEX(MktHomeSpread,MATCH($B55,MktGameID,0)),""))</f>
        <v/>
      </c>
      <c r="V55" s="2" t="str">
        <f t="shared" si="5"/>
        <v/>
      </c>
      <c r="W55" s="2" t="str">
        <f t="shared" si="6"/>
        <v/>
      </c>
      <c r="X55" s="2" t="str">
        <f t="shared" si="7"/>
        <v/>
      </c>
      <c r="Y55" s="2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2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2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2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2">
        <f t="array" ref="AC55">IF($B55="","",IFERROR(INDEX(QBTotEff,MATCH($F55,QBTeams,0)),0)+IFERROR(INDEX(QBTotEff,MATCH($E55,QBTeams,0)),0))</f>
        <v>0</v>
      </c>
      <c r="AD55" s="2">
        <f>IF($B55="","",SUMIFS(AdjTot,AdjGameID,$B55,AdjActive,1))</f>
        <v>0</v>
      </c>
      <c r="AE55" s="2">
        <f t="shared" si="8"/>
        <v>0</v>
      </c>
      <c r="AF55" s="11"/>
      <c r="AG55" s="2">
        <f t="shared" si="9"/>
        <v>0</v>
      </c>
      <c r="AH55" s="2" t="str">
        <f t="array" ref="AH55">IF($B55="","",IFERROR(INDEX(MktTotal,MATCH($B55,MktGameID,0)),""))</f>
        <v/>
      </c>
      <c r="AI55" s="2" t="str">
        <f t="shared" si="10"/>
        <v/>
      </c>
      <c r="AJ55" s="2" t="str">
        <f t="shared" si="11"/>
        <v/>
      </c>
      <c r="AK55" s="2" t="str">
        <f t="shared" si="12"/>
        <v/>
      </c>
      <c r="AL55" s="2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2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2" t="str">
        <f>IF($AG55="","","BET OVER at ≤ "&amp;TEXT($AG55-BetTot,"0.0")&amp;"  |  BET UNDER at ≥ "&amp;TEXT($AG55+BetTot,"0.0"))</f>
        <v>BET OVER at ≤ -3.0  |  BET UNDER at ≥ 3.0</v>
      </c>
      <c r="AO55" s="2" t="str">
        <f t="array" ref="AO55">IF($B55="","",IF(OR(IFERROR(INDEX(QBFlag,MATCH($F55,QBTeams,0)),1)=1,IFERROR(INDEX(QBFlag,MATCH($E55,QBTeams,0)),1)=1),"QB UNCERTAIN",""))</f>
        <v/>
      </c>
      <c r="AP55" s="2" t="str">
        <f t="array" ref="AP55">IF($B55="","",IFERROR(INDEX(DQStatus,MATCH($B55,DQGameID,0)),"BLOCKED — DQ ROW NOT FOUND"))</f>
        <v>READY</v>
      </c>
      <c r="AQ55" s="2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2" t="str">
        <f t="shared" si="13"/>
        <v/>
      </c>
      <c r="AS55" s="2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2" t="str">
        <f t="shared" si="14"/>
        <v/>
      </c>
      <c r="AU55" s="11"/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9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2" t="str">
        <f t="array" ref="G56">IF($B56="","",IF(INDEX(SchedZone,MATCH($A56,SchedSeq,0),MAP!$B$14)="Neutral","Y",""))</f>
        <v/>
      </c>
      <c r="H56" s="2" t="str">
        <f t="array" ref="H56">IF($B56="","",INDEX(SchedZone,MATCH($A56,SchedSeq,0),MAP!$B$17))</f>
        <v>outdoors</v>
      </c>
      <c r="I56" s="2" t="str">
        <f>IF(OR($B56="",$C56&lt;&gt;CurrentWeek),"",COUNTIF($C$5:$C56,CurrentWeek))</f>
        <v/>
      </c>
      <c r="J56" s="2">
        <f t="array" ref="J56">IF($B56="","",IFERROR(INDEX(RatEff,MATCH($E56,RatTeams,0)),"⚠ TEAM NOT FOUND"))</f>
        <v>2.09</v>
      </c>
      <c r="K56" s="2">
        <f t="array" ref="K56">IF($B56="","",IFERROR(INDEX(RatEff,MATCH($F56,RatTeams,0)),"⚠ TEAM NOT FOUND"))</f>
        <v>1.75</v>
      </c>
      <c r="L56" s="2">
        <f t="shared" si="1"/>
        <v>-0.34</v>
      </c>
      <c r="M56" s="2">
        <f t="array" ref="M56">IF($B56="","",IF($G56="Y",NeutralHFA,IFERROR(INDEX(HFAexcVal,MATCH($F56,HFAexcTeam,0)),HFA_Base)))</f>
        <v>1.6</v>
      </c>
      <c r="N56" s="2">
        <f t="array" ref="N56">IF($B56="","",IFERROR(INDEX(QBSpreadEff,MATCH($F56,QBTeams,0)),0)-IFERROR(INDEX(QBSpreadEff,MATCH($E56,QBTeams,0)),0))</f>
        <v>0</v>
      </c>
      <c r="O56" s="2">
        <f t="array" ref="O56">IF($B56="","",IFERROR(MEDIAN(-RestCapPts,RestCapPts,RestPerDay*(INDEX(SchedZone,MATCH($A56,SchedSeq,0),MAP!$B$16)-INDEX(SchedZone,MATCH($A56,SchedSeq,0),MAP!$B$15))),0))</f>
        <v>0</v>
      </c>
      <c r="P56" s="2">
        <f>IF($B56="","",SUMIFS(AdjSpread,AdjGameID,$B56,AdjTeam,$F56,AdjActive,1)-SUMIFS(AdjSpread,AdjGameID,$B56,AdjTeam,$E56,AdjActive,1))</f>
        <v>0</v>
      </c>
      <c r="Q56" s="2">
        <f t="shared" si="2"/>
        <v>1.26</v>
      </c>
      <c r="R56" s="11"/>
      <c r="S56" s="2">
        <f t="shared" si="3"/>
        <v>1.26</v>
      </c>
      <c r="T56" s="2" t="str">
        <f t="shared" si="4"/>
        <v>BUF -1.3</v>
      </c>
      <c r="U56" s="2" t="str">
        <f t="array" ref="U56">IF($B56="","",IFERROR(INDEX(MktHomeSpread,MATCH($B56,MktGameID,0)),""))</f>
        <v/>
      </c>
      <c r="V56" s="2" t="str">
        <f t="shared" si="5"/>
        <v/>
      </c>
      <c r="W56" s="2" t="str">
        <f t="shared" si="6"/>
        <v/>
      </c>
      <c r="X56" s="2" t="str">
        <f t="shared" si="7"/>
        <v/>
      </c>
      <c r="Y56" s="2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2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2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2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2">
        <f t="array" ref="AC56">IF($B56="","",IFERROR(INDEX(QBTotEff,MATCH($F56,QBTeams,0)),0)+IFERROR(INDEX(QBTotEff,MATCH($E56,QBTeams,0)),0))</f>
        <v>0</v>
      </c>
      <c r="AD56" s="2">
        <f>IF($B56="","",SUMIFS(AdjTot,AdjGameID,$B56,AdjActive,1))</f>
        <v>0</v>
      </c>
      <c r="AE56" s="2">
        <f t="shared" si="8"/>
        <v>0</v>
      </c>
      <c r="AF56" s="11"/>
      <c r="AG56" s="2">
        <f t="shared" si="9"/>
        <v>0</v>
      </c>
      <c r="AH56" s="2" t="str">
        <f t="array" ref="AH56">IF($B56="","",IFERROR(INDEX(MktTotal,MATCH($B56,MktGameID,0)),""))</f>
        <v/>
      </c>
      <c r="AI56" s="2" t="str">
        <f t="shared" si="10"/>
        <v/>
      </c>
      <c r="AJ56" s="2" t="str">
        <f t="shared" si="11"/>
        <v/>
      </c>
      <c r="AK56" s="2" t="str">
        <f t="shared" si="12"/>
        <v/>
      </c>
      <c r="AL56" s="2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2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2" t="str">
        <f>IF($AG56="","","BET OVER at ≤ "&amp;TEXT($AG56-BetTot,"0.0")&amp;"  |  BET UNDER at ≥ "&amp;TEXT($AG56+BetTot,"0.0"))</f>
        <v>BET OVER at ≤ -3.0  |  BET UNDER at ≥ 3.0</v>
      </c>
      <c r="AO56" s="2" t="str">
        <f t="array" ref="AO56">IF($B56="","",IF(OR(IFERROR(INDEX(QBFlag,MATCH($F56,QBTeams,0)),1)=1,IFERROR(INDEX(QBFlag,MATCH($E56,QBTeams,0)),1)=1),"QB UNCERTAIN",""))</f>
        <v/>
      </c>
      <c r="AP56" s="2" t="str">
        <f t="array" ref="AP56">IF($B56="","",IFERROR(INDEX(DQStatus,MATCH($B56,DQGameID,0)),"BLOCKED — DQ ROW NOT FOUND"))</f>
        <v>READY</v>
      </c>
      <c r="AQ56" s="2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2" t="str">
        <f t="shared" si="13"/>
        <v/>
      </c>
      <c r="AS56" s="2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2" t="str">
        <f t="shared" si="14"/>
        <v/>
      </c>
      <c r="AU56" s="11"/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9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2" t="str">
        <f t="array" ref="G57">IF($B57="","",IF(INDEX(SchedZone,MATCH($A57,SchedSeq,0),MAP!$B$14)="Neutral","Y",""))</f>
        <v/>
      </c>
      <c r="H57" s="2" t="str">
        <f t="array" ref="H57">IF($B57="","",INDEX(SchedZone,MATCH($A57,SchedSeq,0),MAP!$B$17))</f>
        <v>outdoors</v>
      </c>
      <c r="I57" s="2" t="str">
        <f>IF(OR($B57="",$C57&lt;&gt;CurrentWeek),"",COUNTIF($C$5:$C57,CurrentWeek))</f>
        <v/>
      </c>
      <c r="J57" s="2">
        <f t="array" ref="J57">IF($B57="","",IFERROR(INDEX(RatEff,MATCH($E57,RatTeams,0)),"⚠ TEAM NOT FOUND"))</f>
        <v>-4.67</v>
      </c>
      <c r="K57" s="2">
        <f t="array" ref="K57">IF($B57="","",IFERROR(INDEX(RatEff,MATCH($F57,RatTeams,0)),"⚠ TEAM NOT FOUND"))</f>
        <v>0.86</v>
      </c>
      <c r="L57" s="2">
        <f t="shared" si="1"/>
        <v>5.53</v>
      </c>
      <c r="M57" s="2">
        <f t="array" ref="M57">IF($B57="","",IF($G57="Y",NeutralHFA,IFERROR(INDEX(HFAexcVal,MATCH($F57,HFAexcTeam,0)),HFA_Base)))</f>
        <v>1.6</v>
      </c>
      <c r="N57" s="2">
        <f t="array" ref="N57">IF($B57="","",IFERROR(INDEX(QBSpreadEff,MATCH($F57,QBTeams,0)),0)-IFERROR(INDEX(QBSpreadEff,MATCH($E57,QBTeams,0)),0))</f>
        <v>0</v>
      </c>
      <c r="O57" s="2">
        <f t="array" ref="O57">IF($B57="","",IFERROR(MEDIAN(-RestCapPts,RestCapPts,RestPerDay*(INDEX(SchedZone,MATCH($A57,SchedSeq,0),MAP!$B$16)-INDEX(SchedZone,MATCH($A57,SchedSeq,0),MAP!$B$15))),0))</f>
        <v>-0.1</v>
      </c>
      <c r="P57" s="2">
        <f>IF($B57="","",SUMIFS(AdjSpread,AdjGameID,$B57,AdjTeam,$F57,AdjActive,1)-SUMIFS(AdjSpread,AdjGameID,$B57,AdjTeam,$E57,AdjActive,1))</f>
        <v>0</v>
      </c>
      <c r="Q57" s="2">
        <f t="shared" si="2"/>
        <v>7.03</v>
      </c>
      <c r="R57" s="11"/>
      <c r="S57" s="2">
        <f t="shared" si="3"/>
        <v>7.03</v>
      </c>
      <c r="T57" s="2" t="str">
        <f t="shared" si="4"/>
        <v>CHI -7.0</v>
      </c>
      <c r="U57" s="2" t="str">
        <f t="array" ref="U57">IF($B57="","",IFERROR(INDEX(MktHomeSpread,MATCH($B57,MktGameID,0)),""))</f>
        <v/>
      </c>
      <c r="V57" s="2" t="str">
        <f t="shared" si="5"/>
        <v/>
      </c>
      <c r="W57" s="2" t="str">
        <f t="shared" si="6"/>
        <v/>
      </c>
      <c r="X57" s="2" t="str">
        <f t="shared" si="7"/>
        <v/>
      </c>
      <c r="Y57" s="2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2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2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2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2">
        <f t="array" ref="AC57">IF($B57="","",IFERROR(INDEX(QBTotEff,MATCH($F57,QBTeams,0)),0)+IFERROR(INDEX(QBTotEff,MATCH($E57,QBTeams,0)),0))</f>
        <v>0</v>
      </c>
      <c r="AD57" s="2">
        <f>IF($B57="","",SUMIFS(AdjTot,AdjGameID,$B57,AdjActive,1))</f>
        <v>0</v>
      </c>
      <c r="AE57" s="2">
        <f t="shared" si="8"/>
        <v>0</v>
      </c>
      <c r="AF57" s="11"/>
      <c r="AG57" s="2">
        <f t="shared" si="9"/>
        <v>0</v>
      </c>
      <c r="AH57" s="2" t="str">
        <f t="array" ref="AH57">IF($B57="","",IFERROR(INDEX(MktTotal,MATCH($B57,MktGameID,0)),""))</f>
        <v/>
      </c>
      <c r="AI57" s="2" t="str">
        <f t="shared" si="10"/>
        <v/>
      </c>
      <c r="AJ57" s="2" t="str">
        <f t="shared" si="11"/>
        <v/>
      </c>
      <c r="AK57" s="2" t="str">
        <f t="shared" si="12"/>
        <v/>
      </c>
      <c r="AL57" s="2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2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2" t="str">
        <f>IF($AG57="","","BET OVER at ≤ "&amp;TEXT($AG57-BetTot,"0.0")&amp;"  |  BET UNDER at ≥ "&amp;TEXT($AG57+BetTot,"0.0"))</f>
        <v>BET OVER at ≤ -3.0  |  BET UNDER at ≥ 3.0</v>
      </c>
      <c r="AO57" s="2" t="str">
        <f t="array" ref="AO57">IF($B57="","",IF(OR(IFERROR(INDEX(QBFlag,MATCH($F57,QBTeams,0)),1)=1,IFERROR(INDEX(QBFlag,MATCH($E57,QBTeams,0)),1)=1),"QB UNCERTAIN",""))</f>
        <v/>
      </c>
      <c r="AP57" s="2" t="str">
        <f t="array" ref="AP57">IF($B57="","",IFERROR(INDEX(DQStatus,MATCH($B57,DQGameID,0)),"BLOCKED — DQ ROW NOT FOUND"))</f>
        <v>READY</v>
      </c>
      <c r="AQ57" s="2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2" t="str">
        <f t="shared" si="13"/>
        <v/>
      </c>
      <c r="AS57" s="2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2" t="str">
        <f t="shared" si="14"/>
        <v/>
      </c>
      <c r="AU57" s="11"/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9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2" t="str">
        <f t="array" ref="G58">IF($B58="","",IF(INDEX(SchedZone,MATCH($A58,SchedSeq,0),MAP!$B$14)="Neutral","Y",""))</f>
        <v/>
      </c>
      <c r="H58" s="2" t="str">
        <f t="array" ref="H58">IF($B58="","",INDEX(SchedZone,MATCH($A58,SchedSeq,0),MAP!$B$17))</f>
        <v>outdoors</v>
      </c>
      <c r="I58" s="2" t="str">
        <f>IF(OR($B58="",$C58&lt;&gt;CurrentWeek),"",COUNTIF($C$5:$C58,CurrentWeek))</f>
        <v/>
      </c>
      <c r="J58" s="2">
        <f t="array" ref="J58">IF($B58="","",IFERROR(INDEX(RatEff,MATCH($E58,RatTeams,0)),"⚠ TEAM NOT FOUND"))</f>
        <v>3.22</v>
      </c>
      <c r="K58" s="2">
        <f t="array" ref="K58">IF($B58="","",IFERROR(INDEX(RatEff,MATCH($F58,RatTeams,0)),"⚠ TEAM NOT FOUND"))</f>
        <v>-1.53</v>
      </c>
      <c r="L58" s="2">
        <f t="shared" si="1"/>
        <v>-4.75</v>
      </c>
      <c r="M58" s="2">
        <f t="array" ref="M58">IF($B58="","",IF($G58="Y",NeutralHFA,IFERROR(INDEX(HFAexcVal,MATCH($F58,HFAexcTeam,0)),HFA_Base)))</f>
        <v>1.6</v>
      </c>
      <c r="N58" s="2">
        <f t="array" ref="N58">IF($B58="","",IFERROR(INDEX(QBSpreadEff,MATCH($F58,QBTeams,0)),0)-IFERROR(INDEX(QBSpreadEff,MATCH($E58,QBTeams,0)),0))</f>
        <v>0</v>
      </c>
      <c r="O58" s="2">
        <f t="array" ref="O58">IF($B58="","",IFERROR(MEDIAN(-RestCapPts,RestCapPts,RestPerDay*(INDEX(SchedZone,MATCH($A58,SchedSeq,0),MAP!$B$16)-INDEX(SchedZone,MATCH($A58,SchedSeq,0),MAP!$B$15))),0))</f>
        <v>0</v>
      </c>
      <c r="P58" s="2">
        <f>IF($B58="","",SUMIFS(AdjSpread,AdjGameID,$B58,AdjTeam,$F58,AdjActive,1)-SUMIFS(AdjSpread,AdjGameID,$B58,AdjTeam,$E58,AdjActive,1))</f>
        <v>0</v>
      </c>
      <c r="Q58" s="2">
        <f t="shared" si="2"/>
        <v>-3.15</v>
      </c>
      <c r="R58" s="11"/>
      <c r="S58" s="2">
        <f t="shared" si="3"/>
        <v>-3.15</v>
      </c>
      <c r="T58" s="2" t="str">
        <f t="shared" si="4"/>
        <v>JAX -3.2</v>
      </c>
      <c r="U58" s="2" t="str">
        <f t="array" ref="U58">IF($B58="","",IFERROR(INDEX(MktHomeSpread,MATCH($B58,MktGameID,0)),""))</f>
        <v/>
      </c>
      <c r="V58" s="2" t="str">
        <f t="shared" si="5"/>
        <v/>
      </c>
      <c r="W58" s="2" t="str">
        <f t="shared" si="6"/>
        <v/>
      </c>
      <c r="X58" s="2" t="str">
        <f t="shared" si="7"/>
        <v/>
      </c>
      <c r="Y58" s="2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2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2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2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2">
        <f t="array" ref="AC58">IF($B58="","",IFERROR(INDEX(QBTotEff,MATCH($F58,QBTeams,0)),0)+IFERROR(INDEX(QBTotEff,MATCH($E58,QBTeams,0)),0))</f>
        <v>0</v>
      </c>
      <c r="AD58" s="2">
        <f>IF($B58="","",SUMIFS(AdjTot,AdjGameID,$B58,AdjActive,1))</f>
        <v>0</v>
      </c>
      <c r="AE58" s="2">
        <f t="shared" si="8"/>
        <v>0</v>
      </c>
      <c r="AF58" s="11"/>
      <c r="AG58" s="2">
        <f t="shared" si="9"/>
        <v>0</v>
      </c>
      <c r="AH58" s="2" t="str">
        <f t="array" ref="AH58">IF($B58="","",IFERROR(INDEX(MktTotal,MATCH($B58,MktGameID,0)),""))</f>
        <v/>
      </c>
      <c r="AI58" s="2" t="str">
        <f t="shared" si="10"/>
        <v/>
      </c>
      <c r="AJ58" s="2" t="str">
        <f t="shared" si="11"/>
        <v/>
      </c>
      <c r="AK58" s="2" t="str">
        <f t="shared" si="12"/>
        <v/>
      </c>
      <c r="AL58" s="2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2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2" t="str">
        <f>IF($AG58="","","BET OVER at ≤ "&amp;TEXT($AG58-BetTot,"0.0")&amp;"  |  BET UNDER at ≥ "&amp;TEXT($AG58+BetTot,"0.0"))</f>
        <v>BET OVER at ≤ -3.0  |  BET UNDER at ≥ 3.0</v>
      </c>
      <c r="AO58" s="2" t="str">
        <f t="array" ref="AO58">IF($B58="","",IF(OR(IFERROR(INDEX(QBFlag,MATCH($F58,QBTeams,0)),1)=1,IFERROR(INDEX(QBFlag,MATCH($E58,QBTeams,0)),1)=1),"QB UNCERTAIN",""))</f>
        <v/>
      </c>
      <c r="AP58" s="2" t="str">
        <f t="array" ref="AP58">IF($B58="","",IFERROR(INDEX(DQStatus,MATCH($B58,DQGameID,0)),"BLOCKED — DQ ROW NOT FOUND"))</f>
        <v>READY</v>
      </c>
      <c r="AQ58" s="2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2" t="str">
        <f t="shared" si="13"/>
        <v/>
      </c>
      <c r="AS58" s="2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2" t="str">
        <f t="shared" si="14"/>
        <v/>
      </c>
      <c r="AU58" s="11"/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9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2" t="str">
        <f t="array" ref="G59">IF($B59="","",IF(INDEX(SchedZone,MATCH($A59,SchedSeq,0),MAP!$B$14)="Neutral","Y",""))</f>
        <v/>
      </c>
      <c r="H59" s="2" t="str">
        <f t="array" ref="H59">IF($B59="","",INDEX(SchedZone,MATCH($A59,SchedSeq,0),MAP!$B$17))</f>
        <v/>
      </c>
      <c r="I59" s="2" t="str">
        <f>IF(OR($B59="",$C59&lt;&gt;CurrentWeek),"",COUNTIF($C$5:$C59,CurrentWeek))</f>
        <v/>
      </c>
      <c r="J59" s="2">
        <f t="array" ref="J59">IF($B59="","",IFERROR(INDEX(RatEff,MATCH($E59,RatTeams,0)),"⚠ TEAM NOT FOUND"))</f>
        <v>-2.26</v>
      </c>
      <c r="K59" s="2">
        <f t="array" ref="K59">IF($B59="","",IFERROR(INDEX(RatEff,MATCH($F59,RatTeams,0)),"⚠ TEAM NOT FOUND"))</f>
        <v>2.71</v>
      </c>
      <c r="L59" s="2">
        <f t="shared" si="1"/>
        <v>4.97</v>
      </c>
      <c r="M59" s="2">
        <f t="array" ref="M59">IF($B59="","",IF($G59="Y",NeutralHFA,IFERROR(INDEX(HFAexcVal,MATCH($F59,HFAexcTeam,0)),HFA_Base)))</f>
        <v>1.6</v>
      </c>
      <c r="N59" s="2">
        <f t="array" ref="N59">IF($B59="","",IFERROR(INDEX(QBSpreadEff,MATCH($F59,QBTeams,0)),0)-IFERROR(INDEX(QBSpreadEff,MATCH($E59,QBTeams,0)),0))</f>
        <v>0</v>
      </c>
      <c r="O59" s="2">
        <f t="array" ref="O59">IF($B59="","",IFERROR(MEDIAN(-RestCapPts,RestCapPts,RestPerDay*(INDEX(SchedZone,MATCH($A59,SchedSeq,0),MAP!$B$16)-INDEX(SchedZone,MATCH($A59,SchedSeq,0),MAP!$B$15))),0))</f>
        <v>0</v>
      </c>
      <c r="P59" s="2">
        <f>IF($B59="","",SUMIFS(AdjSpread,AdjGameID,$B59,AdjTeam,$F59,AdjActive,1)-SUMIFS(AdjSpread,AdjGameID,$B59,AdjTeam,$E59,AdjActive,1))</f>
        <v>0</v>
      </c>
      <c r="Q59" s="2">
        <f t="shared" si="2"/>
        <v>6.57</v>
      </c>
      <c r="R59" s="11"/>
      <c r="S59" s="2">
        <f t="shared" si="3"/>
        <v>6.57</v>
      </c>
      <c r="T59" s="2" t="str">
        <f t="shared" si="4"/>
        <v>HOU -6.6</v>
      </c>
      <c r="U59" s="2" t="str">
        <f t="array" ref="U59">IF($B59="","",IFERROR(INDEX(MktHomeSpread,MATCH($B59,MktGameID,0)),""))</f>
        <v/>
      </c>
      <c r="V59" s="2" t="str">
        <f t="shared" si="5"/>
        <v/>
      </c>
      <c r="W59" s="2" t="str">
        <f t="shared" si="6"/>
        <v/>
      </c>
      <c r="X59" s="2" t="str">
        <f t="shared" si="7"/>
        <v/>
      </c>
      <c r="Y59" s="2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2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2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2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2">
        <f t="array" ref="AC59">IF($B59="","",IFERROR(INDEX(QBTotEff,MATCH($F59,QBTeams,0)),0)+IFERROR(INDEX(QBTotEff,MATCH($E59,QBTeams,0)),0))</f>
        <v>0</v>
      </c>
      <c r="AD59" s="2">
        <f>IF($B59="","",SUMIFS(AdjTot,AdjGameID,$B59,AdjActive,1))</f>
        <v>0</v>
      </c>
      <c r="AE59" s="2">
        <f t="shared" si="8"/>
        <v>0</v>
      </c>
      <c r="AF59" s="11"/>
      <c r="AG59" s="2">
        <f t="shared" si="9"/>
        <v>0</v>
      </c>
      <c r="AH59" s="2" t="str">
        <f t="array" ref="AH59">IF($B59="","",IFERROR(INDEX(MktTotal,MATCH($B59,MktGameID,0)),""))</f>
        <v/>
      </c>
      <c r="AI59" s="2" t="str">
        <f t="shared" si="10"/>
        <v/>
      </c>
      <c r="AJ59" s="2" t="str">
        <f t="shared" si="11"/>
        <v/>
      </c>
      <c r="AK59" s="2" t="str">
        <f t="shared" si="12"/>
        <v/>
      </c>
      <c r="AL59" s="2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2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2" t="str">
        <f>IF($AG59="","","BET OVER at ≤ "&amp;TEXT($AG59-BetTot,"0.0")&amp;"  |  BET UNDER at ≥ "&amp;TEXT($AG59+BetTot,"0.0"))</f>
        <v>BET OVER at ≤ -3.0  |  BET UNDER at ≥ 3.0</v>
      </c>
      <c r="AO59" s="2" t="str">
        <f t="array" ref="AO59">IF($B59="","",IF(OR(IFERROR(INDEX(QBFlag,MATCH($F59,QBTeams,0)),1)=1,IFERROR(INDEX(QBFlag,MATCH($E59,QBTeams,0)),1)=1),"QB UNCERTAIN",""))</f>
        <v/>
      </c>
      <c r="AP59" s="2" t="str">
        <f t="array" ref="AP59">IF($B59="","",IFERROR(INDEX(DQStatus,MATCH($B59,DQGameID,0)),"BLOCKED — DQ ROW NOT FOUND"))</f>
        <v>READY</v>
      </c>
      <c r="AQ59" s="2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2" t="str">
        <f t="shared" si="13"/>
        <v/>
      </c>
      <c r="AS59" s="2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2" t="str">
        <f t="shared" si="14"/>
        <v/>
      </c>
      <c r="AU59" s="11"/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9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2" t="str">
        <f t="array" ref="G60">IF($B60="","",IF(INDEX(SchedZone,MATCH($A60,SchedSeq,0),MAP!$B$14)="Neutral","Y",""))</f>
        <v/>
      </c>
      <c r="H60" s="2" t="str">
        <f t="array" ref="H60">IF($B60="","",INDEX(SchedZone,MATCH($A60,SchedSeq,0),MAP!$B$17))</f>
        <v>outdoors</v>
      </c>
      <c r="I60" s="2" t="str">
        <f>IF(OR($B60="",$C60&lt;&gt;CurrentWeek),"",COUNTIF($C$5:$C60,CurrentWeek))</f>
        <v/>
      </c>
      <c r="J60" s="2">
        <f t="array" ref="J60">IF($B60="","",IFERROR(INDEX(RatEff,MATCH($E60,RatTeams,0)),"⚠ TEAM NOT FOUND"))</f>
        <v>-2.07</v>
      </c>
      <c r="K60" s="2">
        <f t="array" ref="K60">IF($B60="","",IFERROR(INDEX(RatEff,MATCH($F60,RatTeams,0)),"⚠ TEAM NOT FOUND"))</f>
        <v>-1.59</v>
      </c>
      <c r="L60" s="2">
        <f t="shared" si="1"/>
        <v>0.48</v>
      </c>
      <c r="M60" s="2">
        <f t="array" ref="M60">IF($B60="","",IF($G60="Y",NeutralHFA,IFERROR(INDEX(HFAexcVal,MATCH($F60,HFAexcTeam,0)),HFA_Base)))</f>
        <v>1.6</v>
      </c>
      <c r="N60" s="2">
        <f t="array" ref="N60">IF($B60="","",IFERROR(INDEX(QBSpreadEff,MATCH($F60,QBTeams,0)),0)-IFERROR(INDEX(QBSpreadEff,MATCH($E60,QBTeams,0)),0))</f>
        <v>0</v>
      </c>
      <c r="O60" s="2">
        <f t="array" ref="O60">IF($B60="","",IFERROR(MEDIAN(-RestCapPts,RestCapPts,RestPerDay*(INDEX(SchedZone,MATCH($A60,SchedSeq,0),MAP!$B$16)-INDEX(SchedZone,MATCH($A60,SchedSeq,0),MAP!$B$15))),0))</f>
        <v>0</v>
      </c>
      <c r="P60" s="2">
        <f>IF($B60="","",SUMIFS(AdjSpread,AdjGameID,$B60,AdjTeam,$F60,AdjActive,1)-SUMIFS(AdjSpread,AdjGameID,$B60,AdjTeam,$E60,AdjActive,1))</f>
        <v>0</v>
      </c>
      <c r="Q60" s="2">
        <f t="shared" si="2"/>
        <v>2.08</v>
      </c>
      <c r="R60" s="11"/>
      <c r="S60" s="2">
        <f t="shared" si="3"/>
        <v>2.08</v>
      </c>
      <c r="T60" s="2" t="str">
        <f t="shared" si="4"/>
        <v>NYG -2.1</v>
      </c>
      <c r="U60" s="2" t="str">
        <f t="array" ref="U60">IF($B60="","",IFERROR(INDEX(MktHomeSpread,MATCH($B60,MktGameID,0)),""))</f>
        <v/>
      </c>
      <c r="V60" s="2" t="str">
        <f t="shared" si="5"/>
        <v/>
      </c>
      <c r="W60" s="2" t="str">
        <f t="shared" si="6"/>
        <v/>
      </c>
      <c r="X60" s="2" t="str">
        <f t="shared" si="7"/>
        <v/>
      </c>
      <c r="Y60" s="2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2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2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2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2">
        <f t="array" ref="AC60">IF($B60="","",IFERROR(INDEX(QBTotEff,MATCH($F60,QBTeams,0)),0)+IFERROR(INDEX(QBTotEff,MATCH($E60,QBTeams,0)),0))</f>
        <v>0</v>
      </c>
      <c r="AD60" s="2">
        <f>IF($B60="","",SUMIFS(AdjTot,AdjGameID,$B60,AdjActive,1))</f>
        <v>0</v>
      </c>
      <c r="AE60" s="2">
        <f t="shared" si="8"/>
        <v>0</v>
      </c>
      <c r="AF60" s="11"/>
      <c r="AG60" s="2">
        <f t="shared" si="9"/>
        <v>0</v>
      </c>
      <c r="AH60" s="2" t="str">
        <f t="array" ref="AH60">IF($B60="","",IFERROR(INDEX(MktTotal,MATCH($B60,MktGameID,0)),""))</f>
        <v/>
      </c>
      <c r="AI60" s="2" t="str">
        <f t="shared" si="10"/>
        <v/>
      </c>
      <c r="AJ60" s="2" t="str">
        <f t="shared" si="11"/>
        <v/>
      </c>
      <c r="AK60" s="2" t="str">
        <f t="shared" si="12"/>
        <v/>
      </c>
      <c r="AL60" s="2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Low</v>
      </c>
      <c r="AM60" s="2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2" t="str">
        <f>IF($AG60="","","BET OVER at ≤ "&amp;TEXT($AG60-BetTot,"0.0")&amp;"  |  BET UNDER at ≥ "&amp;TEXT($AG60+BetTot,"0.0"))</f>
        <v>BET OVER at ≤ -3.0  |  BET UNDER at ≥ 3.0</v>
      </c>
      <c r="AO60" s="2" t="str">
        <f t="array" ref="AO60">IF($B60="","",IF(OR(IFERROR(INDEX(QBFlag,MATCH($F60,QBTeams,0)),1)=1,IFERROR(INDEX(QBFlag,MATCH($E60,QBTeams,0)),1)=1),"QB UNCERTAIN",""))</f>
        <v>QB UNCERTAIN</v>
      </c>
      <c r="AP60" s="2" t="str">
        <f t="array" ref="AP60">IF($B60="","",IFERROR(INDEX(DQStatus,MATCH($B60,DQGameID,0)),"BLOCKED — DQ ROW NOT FOUND"))</f>
        <v>READY</v>
      </c>
      <c r="AQ60" s="2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2" t="str">
        <f t="shared" si="13"/>
        <v/>
      </c>
      <c r="AS60" s="2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2" t="str">
        <f t="shared" si="14"/>
        <v/>
      </c>
      <c r="AU60" s="11"/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9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2" t="str">
        <f t="array" ref="G61">IF($B61="","",IF(INDEX(SchedZone,MATCH($A61,SchedSeq,0),MAP!$B$14)="Neutral","Y",""))</f>
        <v/>
      </c>
      <c r="H61" s="2" t="str">
        <f t="array" ref="H61">IF($B61="","",INDEX(SchedZone,MATCH($A61,SchedSeq,0),MAP!$B$17))</f>
        <v>outdoors</v>
      </c>
      <c r="I61" s="2" t="str">
        <f>IF(OR($B61="",$C61&lt;&gt;CurrentWeek),"",COUNTIF($C$5:$C61,CurrentWeek))</f>
        <v/>
      </c>
      <c r="J61" s="2">
        <f t="array" ref="J61">IF($B61="","",IFERROR(INDEX(RatEff,MATCH($E61,RatTeams,0)),"⚠ TEAM NOT FOUND"))</f>
        <v>4.09</v>
      </c>
      <c r="K61" s="2">
        <f t="array" ref="K61">IF($B61="","",IFERROR(INDEX(RatEff,MATCH($F61,RatTeams,0)),"⚠ TEAM NOT FOUND"))</f>
        <v>1.5</v>
      </c>
      <c r="L61" s="2">
        <f t="shared" si="1"/>
        <v>-2.59</v>
      </c>
      <c r="M61" s="2">
        <f t="array" ref="M61">IF($B61="","",IF($G61="Y",NeutralHFA,IFERROR(INDEX(HFAexcVal,MATCH($F61,HFAexcTeam,0)),HFA_Base)))</f>
        <v>1.6</v>
      </c>
      <c r="N61" s="2">
        <f t="array" ref="N61">IF($B61="","",IFERROR(INDEX(QBSpreadEff,MATCH($F61,QBTeams,0)),0)-IFERROR(INDEX(QBSpreadEff,MATCH($E61,QBTeams,0)),0))</f>
        <v>0</v>
      </c>
      <c r="O61" s="2">
        <f t="array" ref="O61">IF($B61="","",IFERROR(MEDIAN(-RestCapPts,RestCapPts,RestPerDay*(INDEX(SchedZone,MATCH($A61,SchedSeq,0),MAP!$B$16)-INDEX(SchedZone,MATCH($A61,SchedSeq,0),MAP!$B$15))),0))</f>
        <v>-0.1</v>
      </c>
      <c r="P61" s="2">
        <f>IF($B61="","",SUMIFS(AdjSpread,AdjGameID,$B61,AdjTeam,$F61,AdjActive,1)-SUMIFS(AdjSpread,AdjGameID,$B61,AdjTeam,$E61,AdjActive,1))</f>
        <v>0</v>
      </c>
      <c r="Q61" s="2">
        <f t="shared" si="2"/>
        <v>-1.09</v>
      </c>
      <c r="R61" s="11"/>
      <c r="S61" s="2">
        <f t="shared" si="3"/>
        <v>-1.09</v>
      </c>
      <c r="T61" s="2" t="str">
        <f t="shared" si="4"/>
        <v>LA -1.1</v>
      </c>
      <c r="U61" s="2" t="str">
        <f t="array" ref="U61">IF($B61="","",IFERROR(INDEX(MktHomeSpread,MATCH($B61,MktGameID,0)),""))</f>
        <v/>
      </c>
      <c r="V61" s="2" t="str">
        <f t="shared" si="5"/>
        <v/>
      </c>
      <c r="W61" s="2" t="str">
        <f t="shared" si="6"/>
        <v/>
      </c>
      <c r="X61" s="2" t="str">
        <f t="shared" si="7"/>
        <v/>
      </c>
      <c r="Y61" s="2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2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2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2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2">
        <f t="array" ref="AC61">IF($B61="","",IFERROR(INDEX(QBTotEff,MATCH($F61,QBTeams,0)),0)+IFERROR(INDEX(QBTotEff,MATCH($E61,QBTeams,0)),0))</f>
        <v>0</v>
      </c>
      <c r="AD61" s="2">
        <f>IF($B61="","",SUMIFS(AdjTot,AdjGameID,$B61,AdjActive,1))</f>
        <v>0</v>
      </c>
      <c r="AE61" s="2">
        <f t="shared" si="8"/>
        <v>0</v>
      </c>
      <c r="AF61" s="11"/>
      <c r="AG61" s="2">
        <f t="shared" si="9"/>
        <v>0</v>
      </c>
      <c r="AH61" s="2" t="str">
        <f t="array" ref="AH61">IF($B61="","",IFERROR(INDEX(MktTotal,MATCH($B61,MktGameID,0)),""))</f>
        <v/>
      </c>
      <c r="AI61" s="2" t="str">
        <f t="shared" si="10"/>
        <v/>
      </c>
      <c r="AJ61" s="2" t="str">
        <f t="shared" si="11"/>
        <v/>
      </c>
      <c r="AK61" s="2" t="str">
        <f t="shared" si="12"/>
        <v/>
      </c>
      <c r="AL61" s="2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2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2" t="str">
        <f>IF($AG61="","","BET OVER at ≤ "&amp;TEXT($AG61-BetTot,"0.0")&amp;"  |  BET UNDER at ≥ "&amp;TEXT($AG61+BetTot,"0.0"))</f>
        <v>BET OVER at ≤ -3.0  |  BET UNDER at ≥ 3.0</v>
      </c>
      <c r="AO61" s="2" t="str">
        <f t="array" ref="AO61">IF($B61="","",IF(OR(IFERROR(INDEX(QBFlag,MATCH($F61,QBTeams,0)),1)=1,IFERROR(INDEX(QBFlag,MATCH($E61,QBTeams,0)),1)=1),"QB UNCERTAIN",""))</f>
        <v/>
      </c>
      <c r="AP61" s="2" t="str">
        <f t="array" ref="AP61">IF($B61="","",IFERROR(INDEX(DQStatus,MATCH($B61,DQGameID,0)),"BLOCKED — DQ ROW NOT FOUND"))</f>
        <v>READY</v>
      </c>
      <c r="AQ61" s="2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2" t="str">
        <f t="shared" si="13"/>
        <v/>
      </c>
      <c r="AS61" s="2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2" t="str">
        <f t="shared" si="14"/>
        <v/>
      </c>
      <c r="AU61" s="11"/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9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2" t="str">
        <f t="array" ref="G62">IF($B62="","",IF(INDEX(SchedZone,MATCH($A62,SchedSeq,0),MAP!$B$14)="Neutral","Y",""))</f>
        <v/>
      </c>
      <c r="H62" s="2" t="str">
        <f t="array" ref="H62">IF($B62="","",INDEX(SchedZone,MATCH($A62,SchedSeq,0),MAP!$B$17))</f>
        <v>outdoors</v>
      </c>
      <c r="I62" s="2" t="str">
        <f>IF(OR($B62="",$C62&lt;&gt;CurrentWeek),"",COUNTIF($C$5:$C62,CurrentWeek))</f>
        <v/>
      </c>
      <c r="J62" s="2">
        <f t="array" ref="J62">IF($B62="","",IFERROR(INDEX(RatEff,MATCH($E62,RatTeams,0)),"⚠ TEAM NOT FOUND"))</f>
        <v>0.51</v>
      </c>
      <c r="K62" s="2">
        <f t="array" ref="K62">IF($B62="","",IFERROR(INDEX(RatEff,MATCH($F62,RatTeams,0)),"⚠ TEAM NOT FOUND"))</f>
        <v>-0.48</v>
      </c>
      <c r="L62" s="2">
        <f t="shared" si="1"/>
        <v>-0.99</v>
      </c>
      <c r="M62" s="2">
        <f t="array" ref="M62">IF($B62="","",IF($G62="Y",NeutralHFA,IFERROR(INDEX(HFAexcVal,MATCH($F62,HFAexcTeam,0)),HFA_Base)))</f>
        <v>1.6</v>
      </c>
      <c r="N62" s="2">
        <f t="array" ref="N62">IF($B62="","",IFERROR(INDEX(QBSpreadEff,MATCH($F62,QBTeams,0)),0)-IFERROR(INDEX(QBSpreadEff,MATCH($E62,QBTeams,0)),0))</f>
        <v>0</v>
      </c>
      <c r="O62" s="2">
        <f t="array" ref="O62">IF($B62="","",IFERROR(MEDIAN(-RestCapPts,RestCapPts,RestPerDay*(INDEX(SchedZone,MATCH($A62,SchedSeq,0),MAP!$B$16)-INDEX(SchedZone,MATCH($A62,SchedSeq,0),MAP!$B$15))),0))</f>
        <v>-0.3</v>
      </c>
      <c r="P62" s="2">
        <f>IF($B62="","",SUMIFS(AdjSpread,AdjGameID,$B62,AdjTeam,$F62,AdjActive,1)-SUMIFS(AdjSpread,AdjGameID,$B62,AdjTeam,$E62,AdjActive,1))</f>
        <v>0</v>
      </c>
      <c r="Q62" s="2">
        <f t="shared" si="2"/>
        <v>0.31</v>
      </c>
      <c r="R62" s="11"/>
      <c r="S62" s="2">
        <f t="shared" si="3"/>
        <v>0.31</v>
      </c>
      <c r="T62" s="2" t="str">
        <f t="shared" si="4"/>
        <v>TB -0.3</v>
      </c>
      <c r="U62" s="2" t="str">
        <f t="array" ref="U62">IF($B62="","",IFERROR(INDEX(MktHomeSpread,MATCH($B62,MktGameID,0)),""))</f>
        <v/>
      </c>
      <c r="V62" s="2" t="str">
        <f t="shared" si="5"/>
        <v/>
      </c>
      <c r="W62" s="2" t="str">
        <f t="shared" si="6"/>
        <v/>
      </c>
      <c r="X62" s="2" t="str">
        <f t="shared" si="7"/>
        <v/>
      </c>
      <c r="Y62" s="2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2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2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2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2">
        <f t="array" ref="AC62">IF($B62="","",IFERROR(INDEX(QBTotEff,MATCH($F62,QBTeams,0)),0)+IFERROR(INDEX(QBTotEff,MATCH($E62,QBTeams,0)),0))</f>
        <v>0</v>
      </c>
      <c r="AD62" s="2">
        <f>IF($B62="","",SUMIFS(AdjTot,AdjGameID,$B62,AdjActive,1))</f>
        <v>0</v>
      </c>
      <c r="AE62" s="2">
        <f t="shared" si="8"/>
        <v>0</v>
      </c>
      <c r="AF62" s="11"/>
      <c r="AG62" s="2">
        <f t="shared" si="9"/>
        <v>0</v>
      </c>
      <c r="AH62" s="2" t="str">
        <f t="array" ref="AH62">IF($B62="","",IFERROR(INDEX(MktTotal,MATCH($B62,MktGameID,0)),""))</f>
        <v/>
      </c>
      <c r="AI62" s="2" t="str">
        <f t="shared" si="10"/>
        <v/>
      </c>
      <c r="AJ62" s="2" t="str">
        <f t="shared" si="11"/>
        <v/>
      </c>
      <c r="AK62" s="2" t="str">
        <f t="shared" si="12"/>
        <v/>
      </c>
      <c r="AL62" s="2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2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2" t="str">
        <f>IF($AG62="","","BET OVER at ≤ "&amp;TEXT($AG62-BetTot,"0.0")&amp;"  |  BET UNDER at ≥ "&amp;TEXT($AG62+BetTot,"0.0"))</f>
        <v>BET OVER at ≤ -3.0  |  BET UNDER at ≥ 3.0</v>
      </c>
      <c r="AO62" s="2" t="str">
        <f t="array" ref="AO62">IF($B62="","",IF(OR(IFERROR(INDEX(QBFlag,MATCH($F62,QBTeams,0)),1)=1,IFERROR(INDEX(QBFlag,MATCH($E62,QBTeams,0)),1)=1),"QB UNCERTAIN",""))</f>
        <v/>
      </c>
      <c r="AP62" s="2" t="str">
        <f t="array" ref="AP62">IF($B62="","",IFERROR(INDEX(DQStatus,MATCH($B62,DQGameID,0)),"BLOCKED — DQ ROW NOT FOUND"))</f>
        <v>READY</v>
      </c>
      <c r="AQ62" s="2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2" t="str">
        <f t="shared" si="13"/>
        <v/>
      </c>
      <c r="AS62" s="2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2" t="str">
        <f t="shared" si="14"/>
        <v/>
      </c>
      <c r="AU62" s="11"/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9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2" t="str">
        <f t="array" ref="G63">IF($B63="","",IF(INDEX(SchedZone,MATCH($A63,SchedSeq,0),MAP!$B$14)="Neutral","Y",""))</f>
        <v/>
      </c>
      <c r="H63" s="2" t="str">
        <f t="array" ref="H63">IF($B63="","",INDEX(SchedZone,MATCH($A63,SchedSeq,0),MAP!$B$17))</f>
        <v>dome</v>
      </c>
      <c r="I63" s="2" t="str">
        <f>IF(OR($B63="",$C63&lt;&gt;CurrentWeek),"",COUNTIF($C$5:$C63,CurrentWeek))</f>
        <v/>
      </c>
      <c r="J63" s="2">
        <f t="array" ref="J63">IF($B63="","",IFERROR(INDEX(RatEff,MATCH($E63,RatTeams,0)),"⚠ TEAM NOT FOUND"))</f>
        <v>-2.64</v>
      </c>
      <c r="K63" s="2">
        <f t="array" ref="K63">IF($B63="","",IFERROR(INDEX(RatEff,MATCH($F63,RatTeams,0)),"⚠ TEAM NOT FOUND"))</f>
        <v>0.5</v>
      </c>
      <c r="L63" s="2">
        <f t="shared" si="1"/>
        <v>3.14</v>
      </c>
      <c r="M63" s="2">
        <f t="array" ref="M63">IF($B63="","",IF($G63="Y",NeutralHFA,IFERROR(INDEX(HFAexcVal,MATCH($F63,HFAexcTeam,0)),HFA_Base)))</f>
        <v>1.6</v>
      </c>
      <c r="N63" s="2">
        <f t="array" ref="N63">IF($B63="","",IFERROR(INDEX(QBSpreadEff,MATCH($F63,QBTeams,0)),0)-IFERROR(INDEX(QBSpreadEff,MATCH($E63,QBTeams,0)),0))</f>
        <v>0</v>
      </c>
      <c r="O63" s="2">
        <f t="array" ref="O63">IF($B63="","",IFERROR(MEDIAN(-RestCapPts,RestCapPts,RestPerDay*(INDEX(SchedZone,MATCH($A63,SchedSeq,0),MAP!$B$16)-INDEX(SchedZone,MATCH($A63,SchedSeq,0),MAP!$B$15))),0))</f>
        <v>0</v>
      </c>
      <c r="P63" s="2">
        <f>IF($B63="","",SUMIFS(AdjSpread,AdjGameID,$B63,AdjTeam,$F63,AdjActive,1)-SUMIFS(AdjSpread,AdjGameID,$B63,AdjTeam,$E63,AdjActive,1))</f>
        <v>0</v>
      </c>
      <c r="Q63" s="2">
        <f t="shared" si="2"/>
        <v>4.74</v>
      </c>
      <c r="R63" s="11"/>
      <c r="S63" s="2">
        <f t="shared" si="3"/>
        <v>4.74</v>
      </c>
      <c r="T63" s="2" t="str">
        <f t="shared" si="4"/>
        <v>MIN -4.7</v>
      </c>
      <c r="U63" s="2" t="str">
        <f t="array" ref="U63">IF($B63="","",IFERROR(INDEX(MktHomeSpread,MATCH($B63,MktGameID,0)),""))</f>
        <v/>
      </c>
      <c r="V63" s="2" t="str">
        <f t="shared" si="5"/>
        <v/>
      </c>
      <c r="W63" s="2" t="str">
        <f t="shared" si="6"/>
        <v/>
      </c>
      <c r="X63" s="2" t="str">
        <f t="shared" si="7"/>
        <v/>
      </c>
      <c r="Y63" s="2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2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2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2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2">
        <f t="array" ref="AC63">IF($B63="","",IFERROR(INDEX(QBTotEff,MATCH($F63,QBTeams,0)),0)+IFERROR(INDEX(QBTotEff,MATCH($E63,QBTeams,0)),0))</f>
        <v>0</v>
      </c>
      <c r="AD63" s="2">
        <f>IF($B63="","",SUMIFS(AdjTot,AdjGameID,$B63,AdjActive,1))</f>
        <v>0</v>
      </c>
      <c r="AE63" s="2">
        <f t="shared" si="8"/>
        <v>0</v>
      </c>
      <c r="AF63" s="11"/>
      <c r="AG63" s="2">
        <f t="shared" si="9"/>
        <v>0</v>
      </c>
      <c r="AH63" s="2" t="str">
        <f t="array" ref="AH63">IF($B63="","",IFERROR(INDEX(MktTotal,MATCH($B63,MktGameID,0)),""))</f>
        <v/>
      </c>
      <c r="AI63" s="2" t="str">
        <f t="shared" si="10"/>
        <v/>
      </c>
      <c r="AJ63" s="2" t="str">
        <f t="shared" si="11"/>
        <v/>
      </c>
      <c r="AK63" s="2" t="str">
        <f t="shared" si="12"/>
        <v/>
      </c>
      <c r="AL63" s="2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Low</v>
      </c>
      <c r="AM63" s="2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2" t="str">
        <f>IF($AG63="","","BET OVER at ≤ "&amp;TEXT($AG63-BetTot,"0.0")&amp;"  |  BET UNDER at ≥ "&amp;TEXT($AG63+BetTot,"0.0"))</f>
        <v>BET OVER at ≤ -3.0  |  BET UNDER at ≥ 3.0</v>
      </c>
      <c r="AO63" s="2" t="str">
        <f t="array" ref="AO63">IF($B63="","",IF(OR(IFERROR(INDEX(QBFlag,MATCH($F63,QBTeams,0)),1)=1,IFERROR(INDEX(QBFlag,MATCH($E63,QBTeams,0)),1)=1),"QB UNCERTAIN",""))</f>
        <v>QB UNCERTAIN</v>
      </c>
      <c r="AP63" s="2" t="str">
        <f t="array" ref="AP63">IF($B63="","",IFERROR(INDEX(DQStatus,MATCH($B63,DQGameID,0)),"BLOCKED — DQ ROW NOT FOUND"))</f>
        <v>READY</v>
      </c>
      <c r="AQ63" s="2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2" t="str">
        <f t="shared" si="13"/>
        <v/>
      </c>
      <c r="AS63" s="2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2" t="str">
        <f t="shared" si="14"/>
        <v/>
      </c>
      <c r="AU63" s="11"/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9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2" t="str">
        <f t="array" ref="G64">IF($B64="","",IF(INDEX(SchedZone,MATCH($A64,SchedSeq,0),MAP!$B$14)="Neutral","Y",""))</f>
        <v/>
      </c>
      <c r="H64" s="2" t="str">
        <f t="array" ref="H64">IF($B64="","",INDEX(SchedZone,MATCH($A64,SchedSeq,0),MAP!$B$17))</f>
        <v>dome</v>
      </c>
      <c r="I64" s="2" t="str">
        <f>IF(OR($B64="",$C64&lt;&gt;CurrentWeek),"",COUNTIF($C$5:$C64,CurrentWeek))</f>
        <v/>
      </c>
      <c r="J64" s="2">
        <f t="array" ref="J64">IF($B64="","",IFERROR(INDEX(RatEff,MATCH($E64,RatTeams,0)),"⚠ TEAM NOT FOUND"))</f>
        <v>-0.04</v>
      </c>
      <c r="K64" s="2">
        <f t="array" ref="K64">IF($B64="","",IFERROR(INDEX(RatEff,MATCH($F64,RatTeams,0)),"⚠ TEAM NOT FOUND"))</f>
        <v>-3.52</v>
      </c>
      <c r="L64" s="2">
        <f t="shared" si="1"/>
        <v>-3.48</v>
      </c>
      <c r="M64" s="2">
        <f t="array" ref="M64">IF($B64="","",IF($G64="Y",NeutralHFA,IFERROR(INDEX(HFAexcVal,MATCH($F64,HFAexcTeam,0)),HFA_Base)))</f>
        <v>1.6</v>
      </c>
      <c r="N64" s="2">
        <f t="array" ref="N64">IF($B64="","",IFERROR(INDEX(QBSpreadEff,MATCH($F64,QBTeams,0)),0)-IFERROR(INDEX(QBSpreadEff,MATCH($E64,QBTeams,0)),0))</f>
        <v>0</v>
      </c>
      <c r="O64" s="2">
        <f t="array" ref="O64">IF($B64="","",IFERROR(MEDIAN(-RestCapPts,RestCapPts,RestPerDay*(INDEX(SchedZone,MATCH($A64,SchedSeq,0),MAP!$B$16)-INDEX(SchedZone,MATCH($A64,SchedSeq,0),MAP!$B$15))),0))</f>
        <v>0</v>
      </c>
      <c r="P64" s="2">
        <f>IF($B64="","",SUMIFS(AdjSpread,AdjGameID,$B64,AdjTeam,$F64,AdjActive,1)-SUMIFS(AdjSpread,AdjGameID,$B64,AdjTeam,$E64,AdjActive,1))</f>
        <v>0</v>
      </c>
      <c r="Q64" s="2">
        <f t="shared" si="2"/>
        <v>-1.88</v>
      </c>
      <c r="R64" s="11"/>
      <c r="S64" s="2">
        <f t="shared" si="3"/>
        <v>-1.88</v>
      </c>
      <c r="T64" s="2" t="str">
        <f t="shared" si="4"/>
        <v>KC -1.9</v>
      </c>
      <c r="U64" s="2" t="str">
        <f t="array" ref="U64">IF($B64="","",IFERROR(INDEX(MktHomeSpread,MATCH($B64,MktGameID,0)),""))</f>
        <v/>
      </c>
      <c r="V64" s="2" t="str">
        <f t="shared" si="5"/>
        <v/>
      </c>
      <c r="W64" s="2" t="str">
        <f t="shared" si="6"/>
        <v/>
      </c>
      <c r="X64" s="2" t="str">
        <f t="shared" si="7"/>
        <v/>
      </c>
      <c r="Y64" s="2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2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2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2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2">
        <f t="array" ref="AC64">IF($B64="","",IFERROR(INDEX(QBTotEff,MATCH($F64,QBTeams,0)),0)+IFERROR(INDEX(QBTotEff,MATCH($E64,QBTeams,0)),0))</f>
        <v>0</v>
      </c>
      <c r="AD64" s="2">
        <f>IF($B64="","",SUMIFS(AdjTot,AdjGameID,$B64,AdjActive,1))</f>
        <v>0</v>
      </c>
      <c r="AE64" s="2">
        <f t="shared" si="8"/>
        <v>0</v>
      </c>
      <c r="AF64" s="11"/>
      <c r="AG64" s="2">
        <f t="shared" si="9"/>
        <v>0</v>
      </c>
      <c r="AH64" s="2" t="str">
        <f t="array" ref="AH64">IF($B64="","",IFERROR(INDEX(MktTotal,MATCH($B64,MktGameID,0)),""))</f>
        <v/>
      </c>
      <c r="AI64" s="2" t="str">
        <f t="shared" si="10"/>
        <v/>
      </c>
      <c r="AJ64" s="2" t="str">
        <f t="shared" si="11"/>
        <v/>
      </c>
      <c r="AK64" s="2" t="str">
        <f t="shared" si="12"/>
        <v/>
      </c>
      <c r="AL64" s="2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Medium</v>
      </c>
      <c r="AM64" s="2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2" t="str">
        <f>IF($AG64="","","BET OVER at ≤ "&amp;TEXT($AG64-BetTot,"0.0")&amp;"  |  BET UNDER at ≥ "&amp;TEXT($AG64+BetTot,"0.0"))</f>
        <v>BET OVER at ≤ -3.0  |  BET UNDER at ≥ 3.0</v>
      </c>
      <c r="AO64" s="2" t="str">
        <f t="array" ref="AO64">IF($B64="","",IF(OR(IFERROR(INDEX(QBFlag,MATCH($F64,QBTeams,0)),1)=1,IFERROR(INDEX(QBFlag,MATCH($E64,QBTeams,0)),1)=1),"QB UNCERTAIN",""))</f>
        <v/>
      </c>
      <c r="AP64" s="2" t="str">
        <f t="array" ref="AP64">IF($B64="","",IFERROR(INDEX(DQStatus,MATCH($B64,DQGameID,0)),"BLOCKED — DQ ROW NOT FOUND"))</f>
        <v>READY</v>
      </c>
      <c r="AQ64" s="2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2" t="str">
        <f t="shared" si="13"/>
        <v/>
      </c>
      <c r="AS64" s="2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2" t="str">
        <f t="shared" si="14"/>
        <v/>
      </c>
      <c r="AU64" s="11"/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9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2" t="str">
        <f t="array" ref="G65">IF($B65="","",IF(INDEX(SchedZone,MATCH($A65,SchedSeq,0),MAP!$B$14)="Neutral","Y",""))</f>
        <v/>
      </c>
      <c r="H65" s="2" t="str">
        <f t="array" ref="H65">IF($B65="","",INDEX(SchedZone,MATCH($A65,SchedSeq,0),MAP!$B$17))</f>
        <v>outdoors</v>
      </c>
      <c r="I65" s="2" t="str">
        <f>IF(OR($B65="",$C65&lt;&gt;CurrentWeek),"",COUNTIF($C$5:$C65,CurrentWeek))</f>
        <v/>
      </c>
      <c r="J65" s="2">
        <f t="array" ref="J65">IF($B65="","",IFERROR(INDEX(RatEff,MATCH($E65,RatTeams,0)),"⚠ TEAM NOT FOUND"))</f>
        <v>0.56</v>
      </c>
      <c r="K65" s="2">
        <f t="array" ref="K65">IF($B65="","",IFERROR(INDEX(RatEff,MATCH($F65,RatTeams,0)),"⚠ TEAM NOT FOUND"))</f>
        <v>4.1</v>
      </c>
      <c r="L65" s="2">
        <f t="shared" si="1"/>
        <v>3.54</v>
      </c>
      <c r="M65" s="2">
        <f t="array" ref="M65">IF($B65="","",IF($G65="Y",NeutralHFA,IFERROR(INDEX(HFAexcVal,MATCH($F65,HFAexcTeam,0)),HFA_Base)))</f>
        <v>1.6</v>
      </c>
      <c r="N65" s="2">
        <f t="array" ref="N65">IF($B65="","",IFERROR(INDEX(QBSpreadEff,MATCH($F65,QBTeams,0)),0)-IFERROR(INDEX(QBSpreadEff,MATCH($E65,QBTeams,0)),0))</f>
        <v>0</v>
      </c>
      <c r="O65" s="2">
        <f t="array" ref="O65">IF($B65="","",IFERROR(MEDIAN(-RestCapPts,RestCapPts,RestPerDay*(INDEX(SchedZone,MATCH($A65,SchedSeq,0),MAP!$B$16)-INDEX(SchedZone,MATCH($A65,SchedSeq,0),MAP!$B$15))),0))</f>
        <v>0</v>
      </c>
      <c r="P65" s="2">
        <f>IF($B65="","",SUMIFS(AdjSpread,AdjGameID,$B65,AdjTeam,$F65,AdjActive,1)-SUMIFS(AdjSpread,AdjGameID,$B65,AdjTeam,$E65,AdjActive,1))</f>
        <v>0</v>
      </c>
      <c r="Q65" s="2">
        <f t="shared" si="2"/>
        <v>5.14</v>
      </c>
      <c r="R65" s="11"/>
      <c r="S65" s="2">
        <f t="shared" si="3"/>
        <v>5.14</v>
      </c>
      <c r="T65" s="2" t="str">
        <f t="shared" si="4"/>
        <v>SEA -5.1</v>
      </c>
      <c r="U65" s="2" t="str">
        <f t="array" ref="U65">IF($B65="","",IFERROR(INDEX(MktHomeSpread,MATCH($B65,MktGameID,0)),""))</f>
        <v/>
      </c>
      <c r="V65" s="2" t="str">
        <f t="shared" si="5"/>
        <v/>
      </c>
      <c r="W65" s="2" t="str">
        <f t="shared" si="6"/>
        <v/>
      </c>
      <c r="X65" s="2" t="str">
        <f t="shared" si="7"/>
        <v/>
      </c>
      <c r="Y65" s="2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2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2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2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2">
        <f t="array" ref="AC65">IF($B65="","",IFERROR(INDEX(QBTotEff,MATCH($F65,QBTeams,0)),0)+IFERROR(INDEX(QBTotEff,MATCH($E65,QBTeams,0)),0))</f>
        <v>0</v>
      </c>
      <c r="AD65" s="2">
        <f>IF($B65="","",SUMIFS(AdjTot,AdjGameID,$B65,AdjActive,1))</f>
        <v>0</v>
      </c>
      <c r="AE65" s="2">
        <f t="shared" si="8"/>
        <v>0</v>
      </c>
      <c r="AF65" s="11"/>
      <c r="AG65" s="2">
        <f t="shared" si="9"/>
        <v>0</v>
      </c>
      <c r="AH65" s="2" t="str">
        <f t="array" ref="AH65">IF($B65="","",IFERROR(INDEX(MktTotal,MATCH($B65,MktGameID,0)),""))</f>
        <v/>
      </c>
      <c r="AI65" s="2" t="str">
        <f t="shared" si="10"/>
        <v/>
      </c>
      <c r="AJ65" s="2" t="str">
        <f t="shared" si="11"/>
        <v/>
      </c>
      <c r="AK65" s="2" t="str">
        <f t="shared" si="12"/>
        <v/>
      </c>
      <c r="AL65" s="2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2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2" t="str">
        <f>IF($AG65="","","BET OVER at ≤ "&amp;TEXT($AG65-BetTot,"0.0")&amp;"  |  BET UNDER at ≥ "&amp;TEXT($AG65+BetTot,"0.0"))</f>
        <v>BET OVER at ≤ -3.0  |  BET UNDER at ≥ 3.0</v>
      </c>
      <c r="AO65" s="2" t="str">
        <f t="array" ref="AO65">IF($B65="","",IF(OR(IFERROR(INDEX(QBFlag,MATCH($F65,QBTeams,0)),1)=1,IFERROR(INDEX(QBFlag,MATCH($E65,QBTeams,0)),1)=1),"QB UNCERTAIN",""))</f>
        <v/>
      </c>
      <c r="AP65" s="2" t="str">
        <f t="array" ref="AP65">IF($B65="","",IFERROR(INDEX(DQStatus,MATCH($B65,DQGameID,0)),"BLOCKED — DQ ROW NOT FOUND"))</f>
        <v>READY</v>
      </c>
      <c r="AQ65" s="2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2" t="str">
        <f t="shared" si="13"/>
        <v/>
      </c>
      <c r="AS65" s="2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2" t="str">
        <f t="shared" si="14"/>
        <v/>
      </c>
      <c r="AU65" s="11"/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9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2" t="str">
        <f t="array" ref="G66">IF($B66="","",IF(INDEX(SchedZone,MATCH($A66,SchedSeq,0),MAP!$B$14)="Neutral","Y",""))</f>
        <v/>
      </c>
      <c r="H66" s="2" t="str">
        <f t="array" ref="H66">IF($B66="","",INDEX(SchedZone,MATCH($A66,SchedSeq,0),MAP!$B$17))</f>
        <v>outdoors</v>
      </c>
      <c r="I66" s="2" t="str">
        <f>IF(OR($B66="",$C66&lt;&gt;CurrentWeek),"",COUNTIF($C$5:$C66,CurrentWeek))</f>
        <v/>
      </c>
      <c r="J66" s="2">
        <f t="array" ref="J66">IF($B66="","",IFERROR(INDEX(RatEff,MATCH($E66,RatTeams,0)),"⚠ TEAM NOT FOUND"))</f>
        <v>1.93</v>
      </c>
      <c r="K66" s="2">
        <f t="array" ref="K66">IF($B66="","",IFERROR(INDEX(RatEff,MATCH($F66,RatTeams,0)),"⚠ TEAM NOT FOUND"))</f>
        <v>1.78</v>
      </c>
      <c r="L66" s="2">
        <f t="shared" si="1"/>
        <v>-0.15</v>
      </c>
      <c r="M66" s="2">
        <f t="array" ref="M66">IF($B66="","",IF($G66="Y",NeutralHFA,IFERROR(INDEX(HFAexcVal,MATCH($F66,HFAexcTeam,0)),HFA_Base)))</f>
        <v>1.6</v>
      </c>
      <c r="N66" s="2">
        <f t="array" ref="N66">IF($B66="","",IFERROR(INDEX(QBSpreadEff,MATCH($F66,QBTeams,0)),0)-IFERROR(INDEX(QBSpreadEff,MATCH($E66,QBTeams,0)),0))</f>
        <v>0</v>
      </c>
      <c r="O66" s="2">
        <f t="array" ref="O66">IF($B66="","",IFERROR(MEDIAN(-RestCapPts,RestCapPts,RestPerDay*(INDEX(SchedZone,MATCH($A66,SchedSeq,0),MAP!$B$16)-INDEX(SchedZone,MATCH($A66,SchedSeq,0),MAP!$B$15))),0))</f>
        <v>0</v>
      </c>
      <c r="P66" s="2">
        <f>IF($B66="","",SUMIFS(AdjSpread,AdjGameID,$B66,AdjTeam,$F66,AdjActive,1)-SUMIFS(AdjSpread,AdjGameID,$B66,AdjTeam,$E66,AdjActive,1))</f>
        <v>0</v>
      </c>
      <c r="Q66" s="2">
        <f t="shared" si="2"/>
        <v>1.45</v>
      </c>
      <c r="R66" s="11"/>
      <c r="S66" s="2">
        <f t="shared" si="3"/>
        <v>1.45</v>
      </c>
      <c r="T66" s="2" t="str">
        <f t="shared" si="4"/>
        <v>SF -1.5</v>
      </c>
      <c r="U66" s="2" t="str">
        <f t="array" ref="U66">IF($B66="","",IFERROR(INDEX(MktHomeSpread,MATCH($B66,MktGameID,0)),""))</f>
        <v/>
      </c>
      <c r="V66" s="2" t="str">
        <f t="shared" si="5"/>
        <v/>
      </c>
      <c r="W66" s="2" t="str">
        <f t="shared" si="6"/>
        <v/>
      </c>
      <c r="X66" s="2" t="str">
        <f t="shared" si="7"/>
        <v/>
      </c>
      <c r="Y66" s="2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2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2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2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2">
        <f t="array" ref="AC66">IF($B66="","",IFERROR(INDEX(QBTotEff,MATCH($F66,QBTeams,0)),0)+IFERROR(INDEX(QBTotEff,MATCH($E66,QBTeams,0)),0))</f>
        <v>0</v>
      </c>
      <c r="AD66" s="2">
        <f>IF($B66="","",SUMIFS(AdjTot,AdjGameID,$B66,AdjActive,1))</f>
        <v>0</v>
      </c>
      <c r="AE66" s="2">
        <f t="shared" si="8"/>
        <v>0</v>
      </c>
      <c r="AF66" s="11"/>
      <c r="AG66" s="2">
        <f t="shared" si="9"/>
        <v>0</v>
      </c>
      <c r="AH66" s="2" t="str">
        <f t="array" ref="AH66">IF($B66="","",IFERROR(INDEX(MktTotal,MATCH($B66,MktGameID,0)),""))</f>
        <v/>
      </c>
      <c r="AI66" s="2" t="str">
        <f t="shared" si="10"/>
        <v/>
      </c>
      <c r="AJ66" s="2" t="str">
        <f t="shared" si="11"/>
        <v/>
      </c>
      <c r="AK66" s="2" t="str">
        <f t="shared" si="12"/>
        <v/>
      </c>
      <c r="AL66" s="2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2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2" t="str">
        <f>IF($AG66="","","BET OVER at ≤ "&amp;TEXT($AG66-BetTot,"0.0")&amp;"  |  BET UNDER at ≥ "&amp;TEXT($AG66+BetTot,"0.0"))</f>
        <v>BET OVER at ≤ -3.0  |  BET UNDER at ≥ 3.0</v>
      </c>
      <c r="AO66" s="2" t="str">
        <f t="array" ref="AO66">IF($B66="","",IF(OR(IFERROR(INDEX(QBFlag,MATCH($F66,QBTeams,0)),1)=1,IFERROR(INDEX(QBFlag,MATCH($E66,QBTeams,0)),1)=1),"QB UNCERTAIN",""))</f>
        <v/>
      </c>
      <c r="AP66" s="2" t="str">
        <f t="array" ref="AP66">IF($B66="","",IFERROR(INDEX(DQStatus,MATCH($B66,DQGameID,0)),"BLOCKED — DQ ROW NOT FOUND"))</f>
        <v>READY</v>
      </c>
      <c r="AQ66" s="2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2" t="str">
        <f t="shared" si="13"/>
        <v/>
      </c>
      <c r="AS66" s="2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2" t="str">
        <f t="shared" si="14"/>
        <v/>
      </c>
      <c r="AU66" s="11"/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9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2" t="str">
        <f t="array" ref="G67">IF($B67="","",IF(INDEX(SchedZone,MATCH($A67,SchedSeq,0),MAP!$B$14)="Neutral","Y",""))</f>
        <v/>
      </c>
      <c r="H67" s="2" t="str">
        <f t="array" ref="H67">IF($B67="","",INDEX(SchedZone,MATCH($A67,SchedSeq,0),MAP!$B$17))</f>
        <v>outdoors</v>
      </c>
      <c r="I67" s="2" t="str">
        <f>IF(OR($B67="",$C67&lt;&gt;CurrentWeek),"",COUNTIF($C$5:$C67,CurrentWeek))</f>
        <v/>
      </c>
      <c r="J67" s="2">
        <f t="array" ref="J67">IF($B67="","",IFERROR(INDEX(RatEff,MATCH($E67,RatTeams,0)),"⚠ TEAM NOT FOUND"))</f>
        <v>0.86</v>
      </c>
      <c r="K67" s="2">
        <f t="array" ref="K67">IF($B67="","",IFERROR(INDEX(RatEff,MATCH($F67,RatTeams,0)),"⚠ TEAM NOT FOUND"))</f>
        <v>-1.3</v>
      </c>
      <c r="L67" s="2">
        <f t="shared" si="1"/>
        <v>-2.16</v>
      </c>
      <c r="M67" s="2">
        <f t="array" ref="M67">IF($B67="","",IF($G67="Y",NeutralHFA,IFERROR(INDEX(HFAexcVal,MATCH($F67,HFAexcTeam,0)),HFA_Base)))</f>
        <v>1.6</v>
      </c>
      <c r="N67" s="2">
        <f t="array" ref="N67">IF($B67="","",IFERROR(INDEX(QBSpreadEff,MATCH($F67,QBTeams,0)),0)-IFERROR(INDEX(QBSpreadEff,MATCH($E67,QBTeams,0)),0))</f>
        <v>0</v>
      </c>
      <c r="O67" s="2">
        <f t="array" ref="O67">IF($B67="","",IFERROR(MEDIAN(-RestCapPts,RestCapPts,RestPerDay*(INDEX(SchedZone,MATCH($A67,SchedSeq,0),MAP!$B$16)-INDEX(SchedZone,MATCH($A67,SchedSeq,0),MAP!$B$15))),0))</f>
        <v>0</v>
      </c>
      <c r="P67" s="2">
        <f>IF($B67="","",SUMIFS(AdjSpread,AdjGameID,$B67,AdjTeam,$F67,AdjActive,1)-SUMIFS(AdjSpread,AdjGameID,$B67,AdjTeam,$E67,AdjActive,1))</f>
        <v>0</v>
      </c>
      <c r="Q67" s="2">
        <f t="shared" si="2"/>
        <v>-0.56</v>
      </c>
      <c r="R67" s="11"/>
      <c r="S67" s="2">
        <f t="shared" si="3"/>
        <v>-0.56</v>
      </c>
      <c r="T67" s="2" t="str">
        <f t="shared" si="4"/>
        <v>DET -0.6</v>
      </c>
      <c r="U67" s="2" t="str">
        <f t="array" ref="U67">IF($B67="","",IFERROR(INDEX(MktHomeSpread,MATCH($B67,MktGameID,0)),""))</f>
        <v/>
      </c>
      <c r="V67" s="2" t="str">
        <f t="shared" si="5"/>
        <v/>
      </c>
      <c r="W67" s="2" t="str">
        <f t="shared" si="6"/>
        <v/>
      </c>
      <c r="X67" s="2" t="str">
        <f t="shared" si="7"/>
        <v/>
      </c>
      <c r="Y67" s="2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2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2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2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2">
        <f t="array" ref="AC67">IF($B67="","",IFERROR(INDEX(QBTotEff,MATCH($F67,QBTeams,0)),0)+IFERROR(INDEX(QBTotEff,MATCH($E67,QBTeams,0)),0))</f>
        <v>0</v>
      </c>
      <c r="AD67" s="2">
        <f>IF($B67="","",SUMIFS(AdjTot,AdjGameID,$B67,AdjActive,1))</f>
        <v>0</v>
      </c>
      <c r="AE67" s="2">
        <f t="shared" si="8"/>
        <v>0</v>
      </c>
      <c r="AF67" s="11"/>
      <c r="AG67" s="2">
        <f t="shared" si="9"/>
        <v>0</v>
      </c>
      <c r="AH67" s="2" t="str">
        <f t="array" ref="AH67">IF($B67="","",IFERROR(INDEX(MktTotal,MATCH($B67,MktGameID,0)),""))</f>
        <v/>
      </c>
      <c r="AI67" s="2" t="str">
        <f t="shared" si="10"/>
        <v/>
      </c>
      <c r="AJ67" s="2" t="str">
        <f t="shared" si="11"/>
        <v/>
      </c>
      <c r="AK67" s="2" t="str">
        <f t="shared" si="12"/>
        <v/>
      </c>
      <c r="AL67" s="2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2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2" t="str">
        <f>IF($AG67="","","BET OVER at ≤ "&amp;TEXT($AG67-BetTot,"0.0")&amp;"  |  BET UNDER at ≥ "&amp;TEXT($AG67+BetTot,"0.0"))</f>
        <v>BET OVER at ≤ -3.0  |  BET UNDER at ≥ 3.0</v>
      </c>
      <c r="AO67" s="2" t="str">
        <f t="array" ref="AO67">IF($B67="","",IF(OR(IFERROR(INDEX(QBFlag,MATCH($F67,QBTeams,0)),1)=1,IFERROR(INDEX(QBFlag,MATCH($E67,QBTeams,0)),1)=1),"QB UNCERTAIN",""))</f>
        <v/>
      </c>
      <c r="AP67" s="2" t="str">
        <f t="array" ref="AP67">IF($B67="","",IFERROR(INDEX(DQStatus,MATCH($B67,DQGameID,0)),"BLOCKED — DQ ROW NOT FOUND"))</f>
        <v>READY</v>
      </c>
      <c r="AQ67" s="2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2" t="str">
        <f t="shared" si="13"/>
        <v/>
      </c>
      <c r="AS67" s="2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2" t="str">
        <f t="shared" si="14"/>
        <v/>
      </c>
      <c r="AU67" s="11"/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9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2" t="str">
        <f t="array" ref="G68">IF($B68="","",IF(INDEX(SchedZone,MATCH($A68,SchedSeq,0),MAP!$B$14)="Neutral","Y",""))</f>
        <v/>
      </c>
      <c r="H68" s="2" t="str">
        <f t="array" ref="H68">IF($B68="","",INDEX(SchedZone,MATCH($A68,SchedSeq,0),MAP!$B$17))</f>
        <v>dome</v>
      </c>
      <c r="I68" s="2" t="str">
        <f>IF(OR($B68="",$C68&lt;&gt;CurrentWeek),"",COUNTIF($C$5:$C68,CurrentWeek))</f>
        <v/>
      </c>
      <c r="J68" s="2">
        <f t="array" ref="J68">IF($B68="","",IFERROR(INDEX(RatEff,MATCH($E68,RatTeams,0)),"⚠ TEAM NOT FOUND"))</f>
        <v>-0.06</v>
      </c>
      <c r="K68" s="2">
        <f t="array" ref="K68">IF($B68="","",IFERROR(INDEX(RatEff,MATCH($F68,RatTeams,0)),"⚠ TEAM NOT FOUND"))</f>
        <v>-0.94</v>
      </c>
      <c r="L68" s="2">
        <f t="shared" si="1"/>
        <v>-0.88</v>
      </c>
      <c r="M68" s="2">
        <f t="array" ref="M68">IF($B68="","",IF($G68="Y",NeutralHFA,IFERROR(INDEX(HFAexcVal,MATCH($F68,HFAexcTeam,0)),HFA_Base)))</f>
        <v>1.6</v>
      </c>
      <c r="N68" s="2">
        <f t="array" ref="N68">IF($B68="","",IFERROR(INDEX(QBSpreadEff,MATCH($F68,QBTeams,0)),0)-IFERROR(INDEX(QBSpreadEff,MATCH($E68,QBTeams,0)),0))</f>
        <v>0</v>
      </c>
      <c r="O68" s="2">
        <f t="array" ref="O68">IF($B68="","",IFERROR(MEDIAN(-RestCapPts,RestCapPts,RestPerDay*(INDEX(SchedZone,MATCH($A68,SchedSeq,0),MAP!$B$16)-INDEX(SchedZone,MATCH($A68,SchedSeq,0),MAP!$B$15))),0))</f>
        <v>-0.3</v>
      </c>
      <c r="P68" s="2">
        <f>IF($B68="","",SUMIFS(AdjSpread,AdjGameID,$B68,AdjTeam,$F68,AdjActive,1)-SUMIFS(AdjSpread,AdjGameID,$B68,AdjTeam,$E68,AdjActive,1))</f>
        <v>0</v>
      </c>
      <c r="Q68" s="2">
        <f t="shared" si="2"/>
        <v>0.42</v>
      </c>
      <c r="R68" s="11"/>
      <c r="S68" s="2">
        <f t="shared" si="3"/>
        <v>0.42</v>
      </c>
      <c r="T68" s="2" t="str">
        <f t="shared" si="4"/>
        <v>NO -0.4</v>
      </c>
      <c r="U68" s="2" t="str">
        <f t="array" ref="U68">IF($B68="","",IFERROR(INDEX(MktHomeSpread,MATCH($B68,MktGameID,0)),""))</f>
        <v/>
      </c>
      <c r="V68" s="2" t="str">
        <f t="shared" si="5"/>
        <v/>
      </c>
      <c r="W68" s="2" t="str">
        <f t="shared" si="6"/>
        <v/>
      </c>
      <c r="X68" s="2" t="str">
        <f t="shared" si="7"/>
        <v/>
      </c>
      <c r="Y68" s="2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2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2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2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2">
        <f t="array" ref="AC68">IF($B68="","",IFERROR(INDEX(QBTotEff,MATCH($F68,QBTeams,0)),0)+IFERROR(INDEX(QBTotEff,MATCH($E68,QBTeams,0)),0))</f>
        <v>0</v>
      </c>
      <c r="AD68" s="2">
        <f>IF($B68="","",SUMIFS(AdjTot,AdjGameID,$B68,AdjActive,1))</f>
        <v>0</v>
      </c>
      <c r="AE68" s="2">
        <f t="shared" si="8"/>
        <v>0</v>
      </c>
      <c r="AF68" s="11"/>
      <c r="AG68" s="2">
        <f t="shared" si="9"/>
        <v>0</v>
      </c>
      <c r="AH68" s="2" t="str">
        <f t="array" ref="AH68">IF($B68="","",IFERROR(INDEX(MktTotal,MATCH($B68,MktGameID,0)),""))</f>
        <v/>
      </c>
      <c r="AI68" s="2" t="str">
        <f t="shared" si="10"/>
        <v/>
      </c>
      <c r="AJ68" s="2" t="str">
        <f t="shared" si="11"/>
        <v/>
      </c>
      <c r="AK68" s="2" t="str">
        <f t="shared" si="12"/>
        <v/>
      </c>
      <c r="AL68" s="2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2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2" t="str">
        <f>IF($AG68="","","BET OVER at ≤ "&amp;TEXT($AG68-BetTot,"0.0")&amp;"  |  BET UNDER at ≥ "&amp;TEXT($AG68+BetTot,"0.0"))</f>
        <v>BET OVER at ≤ -3.0  |  BET UNDER at ≥ 3.0</v>
      </c>
      <c r="AO68" s="2" t="str">
        <f t="array" ref="AO68">IF($B68="","",IF(OR(IFERROR(INDEX(QBFlag,MATCH($F68,QBTeams,0)),1)=1,IFERROR(INDEX(QBFlag,MATCH($E68,QBTeams,0)),1)=1),"QB UNCERTAIN",""))</f>
        <v>QB UNCERTAIN</v>
      </c>
      <c r="AP68" s="2" t="str">
        <f t="array" ref="AP68">IF($B68="","",IFERROR(INDEX(DQStatus,MATCH($B68,DQGameID,0)),"BLOCKED — DQ ROW NOT FOUND"))</f>
        <v>READY</v>
      </c>
      <c r="AQ68" s="2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2" t="str">
        <f t="shared" si="13"/>
        <v/>
      </c>
      <c r="AS68" s="2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2" t="str">
        <f t="shared" si="14"/>
        <v/>
      </c>
      <c r="AU68" s="11"/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9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2" t="str">
        <f t="array" ref="G69">IF($B69="","",IF(INDEX(SchedZone,MATCH($A69,SchedSeq,0),MAP!$B$14)="Neutral","Y",""))</f>
        <v/>
      </c>
      <c r="H69" s="2" t="str">
        <f t="array" ref="H69">IF($B69="","",INDEX(SchedZone,MATCH($A69,SchedSeq,0),MAP!$B$17))</f>
        <v/>
      </c>
      <c r="I69" s="2" t="str">
        <f>IF(OR($B69="",$C69&lt;&gt;CurrentWeek),"",COUNTIF($C$5:$C69,CurrentWeek))</f>
        <v/>
      </c>
      <c r="J69" s="2">
        <f t="array" ref="J69">IF($B69="","",IFERROR(INDEX(RatEff,MATCH($E69,RatTeams,0)),"⚠ TEAM NOT FOUND"))</f>
        <v>-0.48</v>
      </c>
      <c r="K69" s="2">
        <f t="array" ref="K69">IF($B69="","",IFERROR(INDEX(RatEff,MATCH($F69,RatTeams,0)),"⚠ TEAM NOT FOUND"))</f>
        <v>-2.26</v>
      </c>
      <c r="L69" s="2">
        <f t="shared" si="1"/>
        <v>-1.78</v>
      </c>
      <c r="M69" s="2">
        <f t="array" ref="M69">IF($B69="","",IF($G69="Y",NeutralHFA,IFERROR(INDEX(HFAexcVal,MATCH($F69,HFAexcTeam,0)),HFA_Base)))</f>
        <v>1.6</v>
      </c>
      <c r="N69" s="2">
        <f t="array" ref="N69">IF($B69="","",IFERROR(INDEX(QBSpreadEff,MATCH($F69,QBTeams,0)),0)-IFERROR(INDEX(QBSpreadEff,MATCH($E69,QBTeams,0)),0))</f>
        <v>0</v>
      </c>
      <c r="O69" s="2">
        <f t="array" ref="O69">IF($B69="","",IFERROR(MEDIAN(-RestCapPts,RestCapPts,RestPerDay*(INDEX(SchedZone,MATCH($A69,SchedSeq,0),MAP!$B$16)-INDEX(SchedZone,MATCH($A69,SchedSeq,0),MAP!$B$15))),0))</f>
        <v>0</v>
      </c>
      <c r="P69" s="2">
        <f>IF($B69="","",SUMIFS(AdjSpread,AdjGameID,$B69,AdjTeam,$F69,AdjActive,1)-SUMIFS(AdjSpread,AdjGameID,$B69,AdjTeam,$E69,AdjActive,1))</f>
        <v>0</v>
      </c>
      <c r="Q69" s="2">
        <f t="shared" si="2"/>
        <v>-0.18</v>
      </c>
      <c r="R69" s="11"/>
      <c r="S69" s="2">
        <f t="shared" si="3"/>
        <v>-0.18</v>
      </c>
      <c r="T69" s="2" t="str">
        <f t="shared" si="4"/>
        <v>TB -0.2</v>
      </c>
      <c r="U69" s="2" t="str">
        <f t="array" ref="U69">IF($B69="","",IFERROR(INDEX(MktHomeSpread,MATCH($B69,MktGameID,0)),""))</f>
        <v/>
      </c>
      <c r="V69" s="2" t="str">
        <f t="shared" si="5"/>
        <v/>
      </c>
      <c r="W69" s="2" t="str">
        <f t="shared" si="6"/>
        <v/>
      </c>
      <c r="X69" s="2" t="str">
        <f t="shared" si="7"/>
        <v/>
      </c>
      <c r="Y69" s="2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2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2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2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2">
        <f t="array" ref="AC69">IF($B69="","",IFERROR(INDEX(QBTotEff,MATCH($F69,QBTeams,0)),0)+IFERROR(INDEX(QBTotEff,MATCH($E69,QBTeams,0)),0))</f>
        <v>0</v>
      </c>
      <c r="AD69" s="2">
        <f>IF($B69="","",SUMIFS(AdjTot,AdjGameID,$B69,AdjActive,1))</f>
        <v>0</v>
      </c>
      <c r="AE69" s="2">
        <f t="shared" si="8"/>
        <v>0</v>
      </c>
      <c r="AF69" s="11"/>
      <c r="AG69" s="2">
        <f t="shared" si="9"/>
        <v>0</v>
      </c>
      <c r="AH69" s="2" t="str">
        <f t="array" ref="AH69">IF($B69="","",IFERROR(INDEX(MktTotal,MATCH($B69,MktGameID,0)),""))</f>
        <v/>
      </c>
      <c r="AI69" s="2" t="str">
        <f t="shared" si="10"/>
        <v/>
      </c>
      <c r="AJ69" s="2" t="str">
        <f t="shared" si="11"/>
        <v/>
      </c>
      <c r="AK69" s="2" t="str">
        <f t="shared" si="12"/>
        <v/>
      </c>
      <c r="AL69" s="2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2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2" t="str">
        <f>IF($AG69="","","BET OVER at ≤ "&amp;TEXT($AG69-BetTot,"0.0")&amp;"  |  BET UNDER at ≥ "&amp;TEXT($AG69+BetTot,"0.0"))</f>
        <v>BET OVER at ≤ -3.0  |  BET UNDER at ≥ 3.0</v>
      </c>
      <c r="AO69" s="2" t="str">
        <f t="array" ref="AO69">IF($B69="","",IF(OR(IFERROR(INDEX(QBFlag,MATCH($F69,QBTeams,0)),1)=1,IFERROR(INDEX(QBFlag,MATCH($E69,QBTeams,0)),1)=1),"QB UNCERTAIN",""))</f>
        <v/>
      </c>
      <c r="AP69" s="2" t="str">
        <f t="array" ref="AP69">IF($B69="","",IFERROR(INDEX(DQStatus,MATCH($B69,DQGameID,0)),"BLOCKED — DQ ROW NOT FOUND"))</f>
        <v>READY</v>
      </c>
      <c r="AQ69" s="2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2" t="str">
        <f t="shared" si="13"/>
        <v/>
      </c>
      <c r="AS69" s="2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2" t="str">
        <f t="shared" si="14"/>
        <v/>
      </c>
      <c r="AU69" s="11"/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9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2" t="str">
        <f t="array" ref="G70">IF($B70="","",IF(INDEX(SchedZone,MATCH($A70,SchedSeq,0),MAP!$B$14)="Neutral","Y",""))</f>
        <v/>
      </c>
      <c r="H70" s="2" t="str">
        <f t="array" ref="H70">IF($B70="","",INDEX(SchedZone,MATCH($A70,SchedSeq,0),MAP!$B$17))</f>
        <v>outdoors</v>
      </c>
      <c r="I70" s="2" t="str">
        <f>IF(OR($B70="",$C70&lt;&gt;CurrentWeek),"",COUNTIF($C$5:$C70,CurrentWeek))</f>
        <v/>
      </c>
      <c r="J70" s="2">
        <f t="array" ref="J70">IF($B70="","",IFERROR(INDEX(RatEff,MATCH($E70,RatTeams,0)),"⚠ TEAM NOT FOUND"))</f>
        <v>1.5</v>
      </c>
      <c r="K70" s="2">
        <f t="array" ref="K70">IF($B70="","",IFERROR(INDEX(RatEff,MATCH($F70,RatTeams,0)),"⚠ TEAM NOT FOUND"))</f>
        <v>3.22</v>
      </c>
      <c r="L70" s="2">
        <f t="shared" si="1"/>
        <v>1.72</v>
      </c>
      <c r="M70" s="2">
        <f t="array" ref="M70">IF($B70="","",IF($G70="Y",NeutralHFA,IFERROR(INDEX(HFAexcVal,MATCH($F70,HFAexcTeam,0)),HFA_Base)))</f>
        <v>1.6</v>
      </c>
      <c r="N70" s="2">
        <f t="array" ref="N70">IF($B70="","",IFERROR(INDEX(QBSpreadEff,MATCH($F70,QBTeams,0)),0)-IFERROR(INDEX(QBSpreadEff,MATCH($E70,QBTeams,0)),0))</f>
        <v>0</v>
      </c>
      <c r="O70" s="2">
        <f t="array" ref="O70">IF($B70="","",IFERROR(MEDIAN(-RestCapPts,RestCapPts,RestPerDay*(INDEX(SchedZone,MATCH($A70,SchedSeq,0),MAP!$B$16)-INDEX(SchedZone,MATCH($A70,SchedSeq,0),MAP!$B$15))),0))</f>
        <v>0</v>
      </c>
      <c r="P70" s="2">
        <f>IF($B70="","",SUMIFS(AdjSpread,AdjGameID,$B70,AdjTeam,$F70,AdjActive,1)-SUMIFS(AdjSpread,AdjGameID,$B70,AdjTeam,$E70,AdjActive,1))</f>
        <v>0</v>
      </c>
      <c r="Q70" s="2">
        <f t="shared" si="2"/>
        <v>3.32</v>
      </c>
      <c r="R70" s="11"/>
      <c r="S70" s="2">
        <f t="shared" si="3"/>
        <v>3.32</v>
      </c>
      <c r="T70" s="2" t="str">
        <f t="shared" si="4"/>
        <v>JAX -3.3</v>
      </c>
      <c r="U70" s="2" t="str">
        <f t="array" ref="U70">IF($B70="","",IFERROR(INDEX(MktHomeSpread,MATCH($B70,MktGameID,0)),""))</f>
        <v/>
      </c>
      <c r="V70" s="2" t="str">
        <f t="shared" si="5"/>
        <v/>
      </c>
      <c r="W70" s="2" t="str">
        <f t="shared" si="6"/>
        <v/>
      </c>
      <c r="X70" s="2" t="str">
        <f t="shared" si="7"/>
        <v/>
      </c>
      <c r="Y70" s="2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2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2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2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2">
        <f t="array" ref="AC70">IF($B70="","",IFERROR(INDEX(QBTotEff,MATCH($F70,QBTeams,0)),0)+IFERROR(INDEX(QBTotEff,MATCH($E70,QBTeams,0)),0))</f>
        <v>0</v>
      </c>
      <c r="AD70" s="2">
        <f>IF($B70="","",SUMIFS(AdjTot,AdjGameID,$B70,AdjActive,1))</f>
        <v>0</v>
      </c>
      <c r="AE70" s="2">
        <f t="shared" si="8"/>
        <v>0</v>
      </c>
      <c r="AF70" s="11"/>
      <c r="AG70" s="2">
        <f t="shared" si="9"/>
        <v>0</v>
      </c>
      <c r="AH70" s="2" t="str">
        <f t="array" ref="AH70">IF($B70="","",IFERROR(INDEX(MktTotal,MATCH($B70,MktGameID,0)),""))</f>
        <v/>
      </c>
      <c r="AI70" s="2" t="str">
        <f t="shared" si="10"/>
        <v/>
      </c>
      <c r="AJ70" s="2" t="str">
        <f t="shared" si="11"/>
        <v/>
      </c>
      <c r="AK70" s="2" t="str">
        <f t="shared" si="12"/>
        <v/>
      </c>
      <c r="AL70" s="2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2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2" t="str">
        <f>IF($AG70="","","BET OVER at ≤ "&amp;TEXT($AG70-BetTot,"0.0")&amp;"  |  BET UNDER at ≥ "&amp;TEXT($AG70+BetTot,"0.0"))</f>
        <v>BET OVER at ≤ -3.0  |  BET UNDER at ≥ 3.0</v>
      </c>
      <c r="AO70" s="2" t="str">
        <f t="array" ref="AO70">IF($B70="","",IF(OR(IFERROR(INDEX(QBFlag,MATCH($F70,QBTeams,0)),1)=1,IFERROR(INDEX(QBFlag,MATCH($E70,QBTeams,0)),1)=1),"QB UNCERTAIN",""))</f>
        <v/>
      </c>
      <c r="AP70" s="2" t="str">
        <f t="array" ref="AP70">IF($B70="","",IFERROR(INDEX(DQStatus,MATCH($B70,DQGameID,0)),"BLOCKED — DQ ROW NOT FOUND"))</f>
        <v>READY</v>
      </c>
      <c r="AQ70" s="2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2" t="str">
        <f t="shared" si="13"/>
        <v/>
      </c>
      <c r="AS70" s="2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2" t="str">
        <f t="shared" si="14"/>
        <v/>
      </c>
      <c r="AU70" s="11"/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9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2" t="str">
        <f t="array" ref="G71">IF($B71="","",IF(INDEX(SchedZone,MATCH($A71,SchedSeq,0),MAP!$B$14)="Neutral","Y",""))</f>
        <v/>
      </c>
      <c r="H71" s="2" t="str">
        <f t="array" ref="H71">IF($B71="","",INDEX(SchedZone,MATCH($A71,SchedSeq,0),MAP!$B$17))</f>
        <v>outdoors</v>
      </c>
      <c r="I71" s="2" t="str">
        <f>IF(OR($B71="",$C71&lt;&gt;CurrentWeek),"",COUNTIF($C$5:$C71,CurrentWeek))</f>
        <v/>
      </c>
      <c r="J71" s="2">
        <f t="array" ref="J71">IF($B71="","",IFERROR(INDEX(RatEff,MATCH($E71,RatTeams,0)),"⚠ TEAM NOT FOUND"))</f>
        <v>-1.53</v>
      </c>
      <c r="K71" s="2">
        <f t="array" ref="K71">IF($B71="","",IFERROR(INDEX(RatEff,MATCH($F71,RatTeams,0)),"⚠ TEAM NOT FOUND"))</f>
        <v>-2.64</v>
      </c>
      <c r="L71" s="2">
        <f t="shared" si="1"/>
        <v>-1.11</v>
      </c>
      <c r="M71" s="2">
        <f t="array" ref="M71">IF($B71="","",IF($G71="Y",NeutralHFA,IFERROR(INDEX(HFAexcVal,MATCH($F71,HFAexcTeam,0)),HFA_Base)))</f>
        <v>1.6</v>
      </c>
      <c r="N71" s="2">
        <f t="array" ref="N71">IF($B71="","",IFERROR(INDEX(QBSpreadEff,MATCH($F71,QBTeams,0)),0)-IFERROR(INDEX(QBSpreadEff,MATCH($E71,QBTeams,0)),0))</f>
        <v>0</v>
      </c>
      <c r="O71" s="2">
        <f t="array" ref="O71">IF($B71="","",IFERROR(MEDIAN(-RestCapPts,RestCapPts,RestPerDay*(INDEX(SchedZone,MATCH($A71,SchedSeq,0),MAP!$B$16)-INDEX(SchedZone,MATCH($A71,SchedSeq,0),MAP!$B$15))),0))</f>
        <v>0</v>
      </c>
      <c r="P71" s="2">
        <f>IF($B71="","",SUMIFS(AdjSpread,AdjGameID,$B71,AdjTeam,$F71,AdjActive,1)-SUMIFS(AdjSpread,AdjGameID,$B71,AdjTeam,$E71,AdjActive,1))</f>
        <v>0</v>
      </c>
      <c r="Q71" s="2">
        <f t="shared" si="2"/>
        <v>0.49</v>
      </c>
      <c r="R71" s="11"/>
      <c r="S71" s="2">
        <f t="shared" si="3"/>
        <v>0.49</v>
      </c>
      <c r="T71" s="2" t="str">
        <f t="shared" si="4"/>
        <v>MIA -0.5</v>
      </c>
      <c r="U71" s="2" t="str">
        <f t="array" ref="U71">IF($B71="","",IFERROR(INDEX(MktHomeSpread,MATCH($B71,MktGameID,0)),""))</f>
        <v/>
      </c>
      <c r="V71" s="2" t="str">
        <f t="shared" si="5"/>
        <v/>
      </c>
      <c r="W71" s="2" t="str">
        <f t="shared" si="6"/>
        <v/>
      </c>
      <c r="X71" s="2" t="str">
        <f t="shared" si="7"/>
        <v/>
      </c>
      <c r="Y71" s="2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2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2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2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2">
        <f t="array" ref="AC71">IF($B71="","",IFERROR(INDEX(QBTotEff,MATCH($F71,QBTeams,0)),0)+IFERROR(INDEX(QBTotEff,MATCH($E71,QBTeams,0)),0))</f>
        <v>0</v>
      </c>
      <c r="AD71" s="2">
        <f>IF($B71="","",SUMIFS(AdjTot,AdjGameID,$B71,AdjActive,1))</f>
        <v>0</v>
      </c>
      <c r="AE71" s="2">
        <f t="shared" si="8"/>
        <v>0</v>
      </c>
      <c r="AF71" s="11"/>
      <c r="AG71" s="2">
        <f t="shared" si="9"/>
        <v>0</v>
      </c>
      <c r="AH71" s="2" t="str">
        <f t="array" ref="AH71">IF($B71="","",IFERROR(INDEX(MktTotal,MATCH($B71,MktGameID,0)),""))</f>
        <v/>
      </c>
      <c r="AI71" s="2" t="str">
        <f t="shared" si="10"/>
        <v/>
      </c>
      <c r="AJ71" s="2" t="str">
        <f t="shared" si="11"/>
        <v/>
      </c>
      <c r="AK71" s="2" t="str">
        <f t="shared" si="12"/>
        <v/>
      </c>
      <c r="AL71" s="2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2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2" t="str">
        <f>IF($AG71="","","BET OVER at ≤ "&amp;TEXT($AG71-BetTot,"0.0")&amp;"  |  BET UNDER at ≥ "&amp;TEXT($AG71+BetTot,"0.0"))</f>
        <v>BET OVER at ≤ -3.0  |  BET UNDER at ≥ 3.0</v>
      </c>
      <c r="AO71" s="2" t="str">
        <f t="array" ref="AO71">IF($B71="","",IF(OR(IFERROR(INDEX(QBFlag,MATCH($F71,QBTeams,0)),1)=1,IFERROR(INDEX(QBFlag,MATCH($E71,QBTeams,0)),1)=1),"QB UNCERTAIN",""))</f>
        <v/>
      </c>
      <c r="AP71" s="2" t="str">
        <f t="array" ref="AP71">IF($B71="","",IFERROR(INDEX(DQStatus,MATCH($B71,DQGameID,0)),"BLOCKED — DQ ROW NOT FOUND"))</f>
        <v>READY</v>
      </c>
      <c r="AQ71" s="2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2" t="str">
        <f t="shared" si="13"/>
        <v/>
      </c>
      <c r="AS71" s="2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2" t="str">
        <f t="shared" si="14"/>
        <v/>
      </c>
      <c r="AU71" s="11"/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9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2" t="str">
        <f t="array" ref="G72">IF($B72="","",IF(INDEX(SchedZone,MATCH($A72,SchedSeq,0),MAP!$B$14)="Neutral","Y",""))</f>
        <v/>
      </c>
      <c r="H72" s="2" t="str">
        <f t="array" ref="H72">IF($B72="","",INDEX(SchedZone,MATCH($A72,SchedSeq,0),MAP!$B$17))</f>
        <v>outdoors</v>
      </c>
      <c r="I72" s="2" t="str">
        <f>IF(OR($B72="",$C72&lt;&gt;CurrentWeek),"",COUNTIF($C$5:$C72,CurrentWeek))</f>
        <v/>
      </c>
      <c r="J72" s="2">
        <f t="array" ref="J72">IF($B72="","",IFERROR(INDEX(RatEff,MATCH($E72,RatTeams,0)),"⚠ TEAM NOT FOUND"))</f>
        <v>-3.52</v>
      </c>
      <c r="K72" s="2">
        <f t="array" ref="K72">IF($B72="","",IFERROR(INDEX(RatEff,MATCH($F72,RatTeams,0)),"⚠ TEAM NOT FOUND"))</f>
        <v>2.09</v>
      </c>
      <c r="L72" s="2">
        <f t="shared" si="1"/>
        <v>5.61</v>
      </c>
      <c r="M72" s="2">
        <f t="array" ref="M72">IF($B72="","",IF($G72="Y",NeutralHFA,IFERROR(INDEX(HFAexcVal,MATCH($F72,HFAexcTeam,0)),HFA_Base)))</f>
        <v>1.6</v>
      </c>
      <c r="N72" s="2">
        <f t="array" ref="N72">IF($B72="","",IFERROR(INDEX(QBSpreadEff,MATCH($F72,QBTeams,0)),0)-IFERROR(INDEX(QBSpreadEff,MATCH($E72,QBTeams,0)),0))</f>
        <v>0</v>
      </c>
      <c r="O72" s="2">
        <f t="array" ref="O72">IF($B72="","",IFERROR(MEDIAN(-RestCapPts,RestCapPts,RestPerDay*(INDEX(SchedZone,MATCH($A72,SchedSeq,0),MAP!$B$16)-INDEX(SchedZone,MATCH($A72,SchedSeq,0),MAP!$B$15))),0))</f>
        <v>0</v>
      </c>
      <c r="P72" s="2">
        <f>IF($B72="","",SUMIFS(AdjSpread,AdjGameID,$B72,AdjTeam,$F72,AdjActive,1)-SUMIFS(AdjSpread,AdjGameID,$B72,AdjTeam,$E72,AdjActive,1))</f>
        <v>0</v>
      </c>
      <c r="Q72" s="2">
        <f t="shared" si="2"/>
        <v>7.21</v>
      </c>
      <c r="R72" s="11"/>
      <c r="S72" s="2">
        <f t="shared" si="3"/>
        <v>7.21</v>
      </c>
      <c r="T72" s="2" t="str">
        <f t="shared" si="4"/>
        <v>NE -7.2</v>
      </c>
      <c r="U72" s="2" t="str">
        <f t="array" ref="U72">IF($B72="","",IFERROR(INDEX(MktHomeSpread,MATCH($B72,MktGameID,0)),""))</f>
        <v/>
      </c>
      <c r="V72" s="2" t="str">
        <f t="shared" si="5"/>
        <v/>
      </c>
      <c r="W72" s="2" t="str">
        <f t="shared" si="6"/>
        <v/>
      </c>
      <c r="X72" s="2" t="str">
        <f t="shared" si="7"/>
        <v/>
      </c>
      <c r="Y72" s="2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2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2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2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2">
        <f t="array" ref="AC72">IF($B72="","",IFERROR(INDEX(QBTotEff,MATCH($F72,QBTeams,0)),0)+IFERROR(INDEX(QBTotEff,MATCH($E72,QBTeams,0)),0))</f>
        <v>0</v>
      </c>
      <c r="AD72" s="2">
        <f>IF($B72="","",SUMIFS(AdjTot,AdjGameID,$B72,AdjActive,1))</f>
        <v>0</v>
      </c>
      <c r="AE72" s="2">
        <f t="shared" si="8"/>
        <v>0</v>
      </c>
      <c r="AF72" s="11"/>
      <c r="AG72" s="2">
        <f t="shared" si="9"/>
        <v>0</v>
      </c>
      <c r="AH72" s="2" t="str">
        <f t="array" ref="AH72">IF($B72="","",IFERROR(INDEX(MktTotal,MATCH($B72,MktGameID,0)),""))</f>
        <v/>
      </c>
      <c r="AI72" s="2" t="str">
        <f t="shared" si="10"/>
        <v/>
      </c>
      <c r="AJ72" s="2" t="str">
        <f t="shared" si="11"/>
        <v/>
      </c>
      <c r="AK72" s="2" t="str">
        <f t="shared" si="12"/>
        <v/>
      </c>
      <c r="AL72" s="2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2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2" t="str">
        <f>IF($AG72="","","BET OVER at ≤ "&amp;TEXT($AG72-BetTot,"0.0")&amp;"  |  BET UNDER at ≥ "&amp;TEXT($AG72+BetTot,"0.0"))</f>
        <v>BET OVER at ≤ -3.0  |  BET UNDER at ≥ 3.0</v>
      </c>
      <c r="AO72" s="2" t="str">
        <f t="array" ref="AO72">IF($B72="","",IF(OR(IFERROR(INDEX(QBFlag,MATCH($F72,QBTeams,0)),1)=1,IFERROR(INDEX(QBFlag,MATCH($E72,QBTeams,0)),1)=1),"QB UNCERTAIN",""))</f>
        <v/>
      </c>
      <c r="AP72" s="2" t="str">
        <f t="array" ref="AP72">IF($B72="","",IFERROR(INDEX(DQStatus,MATCH($B72,DQGameID,0)),"BLOCKED — DQ ROW NOT FOUND"))</f>
        <v>READY</v>
      </c>
      <c r="AQ72" s="2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2" t="str">
        <f t="shared" si="13"/>
        <v/>
      </c>
      <c r="AS72" s="2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2" t="str">
        <f t="shared" si="14"/>
        <v/>
      </c>
      <c r="AU72" s="11"/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9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2" t="str">
        <f t="array" ref="G73">IF($B73="","",IF(INDEX(SchedZone,MATCH($A73,SchedSeq,0),MAP!$B$14)="Neutral","Y",""))</f>
        <v/>
      </c>
      <c r="H73" s="2" t="str">
        <f t="array" ref="H73">IF($B73="","",INDEX(SchedZone,MATCH($A73,SchedSeq,0),MAP!$B$17))</f>
        <v>dome</v>
      </c>
      <c r="I73" s="2" t="str">
        <f>IF(OR($B73="",$C73&lt;&gt;CurrentWeek),"",COUNTIF($C$5:$C73,CurrentWeek))</f>
        <v/>
      </c>
      <c r="J73" s="2">
        <f t="array" ref="J73">IF($B73="","",IFERROR(INDEX(RatEff,MATCH($E73,RatTeams,0)),"⚠ TEAM NOT FOUND"))</f>
        <v>0.5</v>
      </c>
      <c r="K73" s="2">
        <f t="array" ref="K73">IF($B73="","",IFERROR(INDEX(RatEff,MATCH($F73,RatTeams,0)),"⚠ TEAM NOT FOUND"))</f>
        <v>-0.94</v>
      </c>
      <c r="L73" s="2">
        <f t="shared" si="1"/>
        <v>-1.44</v>
      </c>
      <c r="M73" s="2">
        <f t="array" ref="M73">IF($B73="","",IF($G73="Y",NeutralHFA,IFERROR(INDEX(HFAexcVal,MATCH($F73,HFAexcTeam,0)),HFA_Base)))</f>
        <v>1.6</v>
      </c>
      <c r="N73" s="2">
        <f t="array" ref="N73">IF($B73="","",IFERROR(INDEX(QBSpreadEff,MATCH($F73,QBTeams,0)),0)-IFERROR(INDEX(QBSpreadEff,MATCH($E73,QBTeams,0)),0))</f>
        <v>0</v>
      </c>
      <c r="O73" s="2">
        <f t="array" ref="O73">IF($B73="","",IFERROR(MEDIAN(-RestCapPts,RestCapPts,RestPerDay*(INDEX(SchedZone,MATCH($A73,SchedSeq,0),MAP!$B$16)-INDEX(SchedZone,MATCH($A73,SchedSeq,0),MAP!$B$15))),0))</f>
        <v>-0.1</v>
      </c>
      <c r="P73" s="2">
        <f>IF($B73="","",SUMIFS(AdjSpread,AdjGameID,$B73,AdjTeam,$F73,AdjActive,1)-SUMIFS(AdjSpread,AdjGameID,$B73,AdjTeam,$E73,AdjActive,1))</f>
        <v>0</v>
      </c>
      <c r="Q73" s="2">
        <f t="shared" si="2"/>
        <v>0.06</v>
      </c>
      <c r="R73" s="11"/>
      <c r="S73" s="2">
        <f t="shared" si="3"/>
        <v>0.06</v>
      </c>
      <c r="T73" s="2" t="str">
        <f t="shared" si="4"/>
        <v>NO -0.1</v>
      </c>
      <c r="U73" s="2" t="str">
        <f t="array" ref="U73">IF($B73="","",IFERROR(INDEX(MktHomeSpread,MATCH($B73,MktGameID,0)),""))</f>
        <v/>
      </c>
      <c r="V73" s="2" t="str">
        <f t="shared" si="5"/>
        <v/>
      </c>
      <c r="W73" s="2" t="str">
        <f t="shared" si="6"/>
        <v/>
      </c>
      <c r="X73" s="2" t="str">
        <f t="shared" si="7"/>
        <v/>
      </c>
      <c r="Y73" s="2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2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2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2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2">
        <f t="array" ref="AC73">IF($B73="","",IFERROR(INDEX(QBTotEff,MATCH($F73,QBTeams,0)),0)+IFERROR(INDEX(QBTotEff,MATCH($E73,QBTeams,0)),0))</f>
        <v>0</v>
      </c>
      <c r="AD73" s="2">
        <f>IF($B73="","",SUMIFS(AdjTot,AdjGameID,$B73,AdjActive,1))</f>
        <v>0</v>
      </c>
      <c r="AE73" s="2">
        <f t="shared" si="8"/>
        <v>0</v>
      </c>
      <c r="AF73" s="11"/>
      <c r="AG73" s="2">
        <f t="shared" si="9"/>
        <v>0</v>
      </c>
      <c r="AH73" s="2" t="str">
        <f t="array" ref="AH73">IF($B73="","",IFERROR(INDEX(MktTotal,MATCH($B73,MktGameID,0)),""))</f>
        <v/>
      </c>
      <c r="AI73" s="2" t="str">
        <f t="shared" si="10"/>
        <v/>
      </c>
      <c r="AJ73" s="2" t="str">
        <f t="shared" si="11"/>
        <v/>
      </c>
      <c r="AK73" s="2" t="str">
        <f t="shared" si="12"/>
        <v/>
      </c>
      <c r="AL73" s="2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Low</v>
      </c>
      <c r="AM73" s="2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2" t="str">
        <f>IF($AG73="","","BET OVER at ≤ "&amp;TEXT($AG73-BetTot,"0.0")&amp;"  |  BET UNDER at ≥ "&amp;TEXT($AG73+BetTot,"0.0"))</f>
        <v>BET OVER at ≤ -3.0  |  BET UNDER at ≥ 3.0</v>
      </c>
      <c r="AO73" s="2" t="str">
        <f t="array" ref="AO73">IF($B73="","",IF(OR(IFERROR(INDEX(QBFlag,MATCH($F73,QBTeams,0)),1)=1,IFERROR(INDEX(QBFlag,MATCH($E73,QBTeams,0)),1)=1),"QB UNCERTAIN",""))</f>
        <v>QB UNCERTAIN</v>
      </c>
      <c r="AP73" s="2" t="str">
        <f t="array" ref="AP73">IF($B73="","",IFERROR(INDEX(DQStatus,MATCH($B73,DQGameID,0)),"BLOCKED — DQ ROW NOT FOUND"))</f>
        <v>READY</v>
      </c>
      <c r="AQ73" s="2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2" t="str">
        <f t="shared" si="13"/>
        <v/>
      </c>
      <c r="AS73" s="2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2" t="str">
        <f t="shared" si="14"/>
        <v/>
      </c>
      <c r="AU73" s="11"/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9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2" t="str">
        <f t="array" ref="G74">IF($B74="","",IF(INDEX(SchedZone,MATCH($A74,SchedSeq,0),MAP!$B$14)="Neutral","Y",""))</f>
        <v/>
      </c>
      <c r="H74" s="2" t="str">
        <f t="array" ref="H74">IF($B74="","",INDEX(SchedZone,MATCH($A74,SchedSeq,0),MAP!$B$17))</f>
        <v>outdoors</v>
      </c>
      <c r="I74" s="2" t="str">
        <f>IF(OR($B74="",$C74&lt;&gt;CurrentWeek),"",COUNTIF($C$5:$C74,CurrentWeek))</f>
        <v/>
      </c>
      <c r="J74" s="2">
        <f t="array" ref="J74">IF($B74="","",IFERROR(INDEX(RatEff,MATCH($E74,RatTeams,0)),"⚠ TEAM NOT FOUND"))</f>
        <v>-2.6</v>
      </c>
      <c r="K74" s="2">
        <f t="array" ref="K74">IF($B74="","",IFERROR(INDEX(RatEff,MATCH($F74,RatTeams,0)),"⚠ TEAM NOT FOUND"))</f>
        <v>-4.67</v>
      </c>
      <c r="L74" s="2">
        <f t="shared" si="1"/>
        <v>-2.07</v>
      </c>
      <c r="M74" s="2">
        <f t="array" ref="M74">IF($B74="","",IF($G74="Y",NeutralHFA,IFERROR(INDEX(HFAexcVal,MATCH($F74,HFAexcTeam,0)),HFA_Base)))</f>
        <v>1.6</v>
      </c>
      <c r="N74" s="2">
        <f t="array" ref="N74">IF($B74="","",IFERROR(INDEX(QBSpreadEff,MATCH($F74,QBTeams,0)),0)-IFERROR(INDEX(QBSpreadEff,MATCH($E74,QBTeams,0)),0))</f>
        <v>0</v>
      </c>
      <c r="O74" s="2">
        <f t="array" ref="O74">IF($B74="","",IFERROR(MEDIAN(-RestCapPts,RestCapPts,RestPerDay*(INDEX(SchedZone,MATCH($A74,SchedSeq,0),MAP!$B$16)-INDEX(SchedZone,MATCH($A74,SchedSeq,0),MAP!$B$15))),0))</f>
        <v>-0.3</v>
      </c>
      <c r="P74" s="2">
        <f>IF($B74="","",SUMIFS(AdjSpread,AdjGameID,$B74,AdjTeam,$F74,AdjActive,1)-SUMIFS(AdjSpread,AdjGameID,$B74,AdjTeam,$E74,AdjActive,1))</f>
        <v>0</v>
      </c>
      <c r="Q74" s="2">
        <f t="shared" si="2"/>
        <v>-0.77</v>
      </c>
      <c r="R74" s="11"/>
      <c r="S74" s="2">
        <f t="shared" si="3"/>
        <v>-0.77</v>
      </c>
      <c r="T74" s="2" t="str">
        <f t="shared" si="4"/>
        <v>CLE -0.8</v>
      </c>
      <c r="U74" s="2" t="str">
        <f t="array" ref="U74">IF($B74="","",IFERROR(INDEX(MktHomeSpread,MATCH($B74,MktGameID,0)),""))</f>
        <v/>
      </c>
      <c r="V74" s="2" t="str">
        <f t="shared" si="5"/>
        <v/>
      </c>
      <c r="W74" s="2" t="str">
        <f t="shared" si="6"/>
        <v/>
      </c>
      <c r="X74" s="2" t="str">
        <f t="shared" si="7"/>
        <v/>
      </c>
      <c r="Y74" s="2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2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2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2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2">
        <f t="array" ref="AC74">IF($B74="","",IFERROR(INDEX(QBTotEff,MATCH($F74,QBTeams,0)),0)+IFERROR(INDEX(QBTotEff,MATCH($E74,QBTeams,0)),0))</f>
        <v>0</v>
      </c>
      <c r="AD74" s="2">
        <f>IF($B74="","",SUMIFS(AdjTot,AdjGameID,$B74,AdjActive,1))</f>
        <v>0</v>
      </c>
      <c r="AE74" s="2">
        <f t="shared" si="8"/>
        <v>0</v>
      </c>
      <c r="AF74" s="11"/>
      <c r="AG74" s="2">
        <f t="shared" si="9"/>
        <v>0</v>
      </c>
      <c r="AH74" s="2" t="str">
        <f t="array" ref="AH74">IF($B74="","",IFERROR(INDEX(MktTotal,MATCH($B74,MktGameID,0)),""))</f>
        <v/>
      </c>
      <c r="AI74" s="2" t="str">
        <f t="shared" si="10"/>
        <v/>
      </c>
      <c r="AJ74" s="2" t="str">
        <f t="shared" si="11"/>
        <v/>
      </c>
      <c r="AK74" s="2" t="str">
        <f t="shared" si="12"/>
        <v/>
      </c>
      <c r="AL74" s="2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Low</v>
      </c>
      <c r="AM74" s="2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2" t="str">
        <f>IF($AG74="","","BET OVER at ≤ "&amp;TEXT($AG74-BetTot,"0.0")&amp;"  |  BET UNDER at ≥ "&amp;TEXT($AG74+BetTot,"0.0"))</f>
        <v>BET OVER at ≤ -3.0  |  BET UNDER at ≥ 3.0</v>
      </c>
      <c r="AO74" s="2" t="str">
        <f t="array" ref="AO74">IF($B74="","",IF(OR(IFERROR(INDEX(QBFlag,MATCH($F74,QBTeams,0)),1)=1,IFERROR(INDEX(QBFlag,MATCH($E74,QBTeams,0)),1)=1),"QB UNCERTAIN",""))</f>
        <v>QB UNCERTAIN</v>
      </c>
      <c r="AP74" s="2" t="str">
        <f t="array" ref="AP74">IF($B74="","",IFERROR(INDEX(DQStatus,MATCH($B74,DQGameID,0)),"BLOCKED — DQ ROW NOT FOUND"))</f>
        <v>READY</v>
      </c>
      <c r="AQ74" s="2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2" t="str">
        <f t="shared" si="13"/>
        <v/>
      </c>
      <c r="AS74" s="2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2" t="str">
        <f t="shared" si="14"/>
        <v/>
      </c>
      <c r="AU74" s="11"/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9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2" t="str">
        <f t="array" ref="G75">IF($B75="","",IF(INDEX(SchedZone,MATCH($A75,SchedSeq,0),MAP!$B$14)="Neutral","Y",""))</f>
        <v/>
      </c>
      <c r="H75" s="2" t="str">
        <f t="array" ref="H75">IF($B75="","",INDEX(SchedZone,MATCH($A75,SchedSeq,0),MAP!$B$17))</f>
        <v>outdoors</v>
      </c>
      <c r="I75" s="2" t="str">
        <f>IF(OR($B75="",$C75&lt;&gt;CurrentWeek),"",COUNTIF($C$5:$C75,CurrentWeek))</f>
        <v/>
      </c>
      <c r="J75" s="2">
        <f t="array" ref="J75">IF($B75="","",IFERROR(INDEX(RatEff,MATCH($E75,RatTeams,0)),"⚠ TEAM NOT FOUND"))</f>
        <v>0.82</v>
      </c>
      <c r="K75" s="2">
        <f t="array" ref="K75">IF($B75="","",IFERROR(INDEX(RatEff,MATCH($F75,RatTeams,0)),"⚠ TEAM NOT FOUND"))</f>
        <v>0.66</v>
      </c>
      <c r="L75" s="2">
        <f t="shared" si="1"/>
        <v>-0.16</v>
      </c>
      <c r="M75" s="2">
        <f t="array" ref="M75">IF($B75="","",IF($G75="Y",NeutralHFA,IFERROR(INDEX(HFAexcVal,MATCH($F75,HFAexcTeam,0)),HFA_Base)))</f>
        <v>1.6</v>
      </c>
      <c r="N75" s="2">
        <f t="array" ref="N75">IF($B75="","",IFERROR(INDEX(QBSpreadEff,MATCH($F75,QBTeams,0)),0)-IFERROR(INDEX(QBSpreadEff,MATCH($E75,QBTeams,0)),0))</f>
        <v>0</v>
      </c>
      <c r="O75" s="2">
        <f t="array" ref="O75">IF($B75="","",IFERROR(MEDIAN(-RestCapPts,RestCapPts,RestPerDay*(INDEX(SchedZone,MATCH($A75,SchedSeq,0),MAP!$B$16)-INDEX(SchedZone,MATCH($A75,SchedSeq,0),MAP!$B$15))),0))</f>
        <v>0.3</v>
      </c>
      <c r="P75" s="2">
        <f>IF($B75="","",SUMIFS(AdjSpread,AdjGameID,$B75,AdjTeam,$F75,AdjActive,1)-SUMIFS(AdjSpread,AdjGameID,$B75,AdjTeam,$E75,AdjActive,1))</f>
        <v>0</v>
      </c>
      <c r="Q75" s="2">
        <f t="shared" si="2"/>
        <v>1.74</v>
      </c>
      <c r="R75" s="11"/>
      <c r="S75" s="2">
        <f t="shared" si="3"/>
        <v>1.74</v>
      </c>
      <c r="T75" s="2" t="str">
        <f t="shared" si="4"/>
        <v>PIT -1.7</v>
      </c>
      <c r="U75" s="2" t="str">
        <f t="array" ref="U75">IF($B75="","",IFERROR(INDEX(MktHomeSpread,MATCH($B75,MktGameID,0)),""))</f>
        <v/>
      </c>
      <c r="V75" s="2" t="str">
        <f t="shared" si="5"/>
        <v/>
      </c>
      <c r="W75" s="2" t="str">
        <f t="shared" si="6"/>
        <v/>
      </c>
      <c r="X75" s="2" t="str">
        <f t="shared" si="7"/>
        <v/>
      </c>
      <c r="Y75" s="2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2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2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2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2">
        <f t="array" ref="AC75">IF($B75="","",IFERROR(INDEX(QBTotEff,MATCH($F75,QBTeams,0)),0)+IFERROR(INDEX(QBTotEff,MATCH($E75,QBTeams,0)),0))</f>
        <v>0</v>
      </c>
      <c r="AD75" s="2">
        <f>IF($B75="","",SUMIFS(AdjTot,AdjGameID,$B75,AdjActive,1))</f>
        <v>0</v>
      </c>
      <c r="AE75" s="2">
        <f t="shared" si="8"/>
        <v>0</v>
      </c>
      <c r="AF75" s="11"/>
      <c r="AG75" s="2">
        <f t="shared" si="9"/>
        <v>0</v>
      </c>
      <c r="AH75" s="2" t="str">
        <f t="array" ref="AH75">IF($B75="","",IFERROR(INDEX(MktTotal,MATCH($B75,MktGameID,0)),""))</f>
        <v/>
      </c>
      <c r="AI75" s="2" t="str">
        <f t="shared" si="10"/>
        <v/>
      </c>
      <c r="AJ75" s="2" t="str">
        <f t="shared" si="11"/>
        <v/>
      </c>
      <c r="AK75" s="2" t="str">
        <f t="shared" si="12"/>
        <v/>
      </c>
      <c r="AL75" s="2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2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2" t="str">
        <f>IF($AG75="","","BET OVER at ≤ "&amp;TEXT($AG75-BetTot,"0.0")&amp;"  |  BET UNDER at ≥ "&amp;TEXT($AG75+BetTot,"0.0"))</f>
        <v>BET OVER at ≤ -3.0  |  BET UNDER at ≥ 3.0</v>
      </c>
      <c r="AO75" s="2" t="str">
        <f t="array" ref="AO75">IF($B75="","",IF(OR(IFERROR(INDEX(QBFlag,MATCH($F75,QBTeams,0)),1)=1,IFERROR(INDEX(QBFlag,MATCH($E75,QBTeams,0)),1)=1),"QB UNCERTAIN",""))</f>
        <v/>
      </c>
      <c r="AP75" s="2" t="str">
        <f t="array" ref="AP75">IF($B75="","",IFERROR(INDEX(DQStatus,MATCH($B75,DQGameID,0)),"BLOCKED — DQ ROW NOT FOUND"))</f>
        <v>READY</v>
      </c>
      <c r="AQ75" s="2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2" t="str">
        <f t="shared" si="13"/>
        <v/>
      </c>
      <c r="AS75" s="2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2" t="str">
        <f t="shared" si="14"/>
        <v/>
      </c>
      <c r="AU75" s="11"/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9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2" t="str">
        <f t="array" ref="G76">IF($B76="","",IF(INDEX(SchedZone,MATCH($A76,SchedSeq,0),MAP!$B$14)="Neutral","Y",""))</f>
        <v/>
      </c>
      <c r="H76" s="2" t="str">
        <f t="array" ref="H76">IF($B76="","",INDEX(SchedZone,MATCH($A76,SchedSeq,0),MAP!$B$17))</f>
        <v>outdoors</v>
      </c>
      <c r="I76" s="2" t="str">
        <f>IF(OR($B76="",$C76&lt;&gt;CurrentWeek),"",COUNTIF($C$5:$C76,CurrentWeek))</f>
        <v/>
      </c>
      <c r="J76" s="2">
        <f t="array" ref="J76">IF($B76="","",IFERROR(INDEX(RatEff,MATCH($E76,RatTeams,0)),"⚠ TEAM NOT FOUND"))</f>
        <v>2.71</v>
      </c>
      <c r="K76" s="2">
        <f t="array" ref="K76">IF($B76="","",IFERROR(INDEX(RatEff,MATCH($F76,RatTeams,0)),"⚠ TEAM NOT FOUND"))</f>
        <v>-3.14</v>
      </c>
      <c r="L76" s="2">
        <f t="shared" si="1"/>
        <v>-5.85</v>
      </c>
      <c r="M76" s="2">
        <f t="array" ref="M76">IF($B76="","",IF($G76="Y",NeutralHFA,IFERROR(INDEX(HFAexcVal,MATCH($F76,HFAexcTeam,0)),HFA_Base)))</f>
        <v>1.6</v>
      </c>
      <c r="N76" s="2">
        <f t="array" ref="N76">IF($B76="","",IFERROR(INDEX(QBSpreadEff,MATCH($F76,QBTeams,0)),0)-IFERROR(INDEX(QBSpreadEff,MATCH($E76,QBTeams,0)),0))</f>
        <v>0</v>
      </c>
      <c r="O76" s="2">
        <f t="array" ref="O76">IF($B76="","",IFERROR(MEDIAN(-RestCapPts,RestCapPts,RestPerDay*(INDEX(SchedZone,MATCH($A76,SchedSeq,0),MAP!$B$16)-INDEX(SchedZone,MATCH($A76,SchedSeq,0),MAP!$B$15))),0))</f>
        <v>0</v>
      </c>
      <c r="P76" s="2">
        <f>IF($B76="","",SUMIFS(AdjSpread,AdjGameID,$B76,AdjTeam,$F76,AdjActive,1)-SUMIFS(AdjSpread,AdjGameID,$B76,AdjTeam,$E76,AdjActive,1))</f>
        <v>0</v>
      </c>
      <c r="Q76" s="2">
        <f t="shared" si="2"/>
        <v>-4.25</v>
      </c>
      <c r="R76" s="11"/>
      <c r="S76" s="2">
        <f t="shared" si="3"/>
        <v>-4.25</v>
      </c>
      <c r="T76" s="2" t="str">
        <f t="shared" si="4"/>
        <v>HOU -4.3</v>
      </c>
      <c r="U76" s="2" t="str">
        <f t="array" ref="U76">IF($B76="","",IFERROR(INDEX(MktHomeSpread,MATCH($B76,MktGameID,0)),""))</f>
        <v/>
      </c>
      <c r="V76" s="2" t="str">
        <f t="shared" si="5"/>
        <v/>
      </c>
      <c r="W76" s="2" t="str">
        <f t="shared" si="6"/>
        <v/>
      </c>
      <c r="X76" s="2" t="str">
        <f t="shared" si="7"/>
        <v/>
      </c>
      <c r="Y76" s="2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2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2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2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2">
        <f t="array" ref="AC76">IF($B76="","",IFERROR(INDEX(QBTotEff,MATCH($F76,QBTeams,0)),0)+IFERROR(INDEX(QBTotEff,MATCH($E76,QBTeams,0)),0))</f>
        <v>0</v>
      </c>
      <c r="AD76" s="2">
        <f>IF($B76="","",SUMIFS(AdjTot,AdjGameID,$B76,AdjActive,1))</f>
        <v>0</v>
      </c>
      <c r="AE76" s="2">
        <f t="shared" si="8"/>
        <v>0</v>
      </c>
      <c r="AF76" s="11"/>
      <c r="AG76" s="2">
        <f t="shared" si="9"/>
        <v>0</v>
      </c>
      <c r="AH76" s="2" t="str">
        <f t="array" ref="AH76">IF($B76="","",IFERROR(INDEX(MktTotal,MATCH($B76,MktGameID,0)),""))</f>
        <v/>
      </c>
      <c r="AI76" s="2" t="str">
        <f t="shared" si="10"/>
        <v/>
      </c>
      <c r="AJ76" s="2" t="str">
        <f t="shared" si="11"/>
        <v/>
      </c>
      <c r="AK76" s="2" t="str">
        <f t="shared" si="12"/>
        <v/>
      </c>
      <c r="AL76" s="2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2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2" t="str">
        <f>IF($AG76="","","BET OVER at ≤ "&amp;TEXT($AG76-BetTot,"0.0")&amp;"  |  BET UNDER at ≥ "&amp;TEXT($AG76+BetTot,"0.0"))</f>
        <v>BET OVER at ≤ -3.0  |  BET UNDER at ≥ 3.0</v>
      </c>
      <c r="AO76" s="2" t="str">
        <f t="array" ref="AO76">IF($B76="","",IF(OR(IFERROR(INDEX(QBFlag,MATCH($F76,QBTeams,0)),1)=1,IFERROR(INDEX(QBFlag,MATCH($E76,QBTeams,0)),1)=1),"QB UNCERTAIN",""))</f>
        <v/>
      </c>
      <c r="AP76" s="2" t="str">
        <f t="array" ref="AP76">IF($B76="","",IFERROR(INDEX(DQStatus,MATCH($B76,DQGameID,0)),"BLOCKED — DQ ROW NOT FOUND"))</f>
        <v>READY</v>
      </c>
      <c r="AQ76" s="2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2" t="str">
        <f t="shared" si="13"/>
        <v/>
      </c>
      <c r="AS76" s="2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2" t="str">
        <f t="shared" si="14"/>
        <v/>
      </c>
      <c r="AU76" s="11"/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9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2" t="str">
        <f t="array" ref="G77">IF($B77="","",IF(INDEX(SchedZone,MATCH($A77,SchedSeq,0),MAP!$B$14)="Neutral","Y",""))</f>
        <v/>
      </c>
      <c r="H77" s="2" t="str">
        <f t="array" ref="H77">IF($B77="","",INDEX(SchedZone,MATCH($A77,SchedSeq,0),MAP!$B$17))</f>
        <v>outdoors</v>
      </c>
      <c r="I77" s="2" t="str">
        <f>IF(OR($B77="",$C77&lt;&gt;CurrentWeek),"",COUNTIF($C$5:$C77,CurrentWeek))</f>
        <v/>
      </c>
      <c r="J77" s="2">
        <f t="array" ref="J77">IF($B77="","",IFERROR(INDEX(RatEff,MATCH($E77,RatTeams,0)),"⚠ TEAM NOT FOUND"))</f>
        <v>-1.59</v>
      </c>
      <c r="K77" s="2">
        <f t="array" ref="K77">IF($B77="","",IFERROR(INDEX(RatEff,MATCH($F77,RatTeams,0)),"⚠ TEAM NOT FOUND"))</f>
        <v>-2.02</v>
      </c>
      <c r="L77" s="2">
        <f t="shared" si="1"/>
        <v>-0.43</v>
      </c>
      <c r="M77" s="2">
        <f t="array" ref="M77">IF($B77="","",IF($G77="Y",NeutralHFA,IFERROR(INDEX(HFAexcVal,MATCH($F77,HFAexcTeam,0)),HFA_Base)))</f>
        <v>1.6</v>
      </c>
      <c r="N77" s="2">
        <f t="array" ref="N77">IF($B77="","",IFERROR(INDEX(QBSpreadEff,MATCH($F77,QBTeams,0)),0)-IFERROR(INDEX(QBSpreadEff,MATCH($E77,QBTeams,0)),0))</f>
        <v>0</v>
      </c>
      <c r="O77" s="2">
        <f t="array" ref="O77">IF($B77="","",IFERROR(MEDIAN(-RestCapPts,RestCapPts,RestPerDay*(INDEX(SchedZone,MATCH($A77,SchedSeq,0),MAP!$B$16)-INDEX(SchedZone,MATCH($A77,SchedSeq,0),MAP!$B$15))),0))</f>
        <v>0</v>
      </c>
      <c r="P77" s="2">
        <f>IF($B77="","",SUMIFS(AdjSpread,AdjGameID,$B77,AdjTeam,$F77,AdjActive,1)-SUMIFS(AdjSpread,AdjGameID,$B77,AdjTeam,$E77,AdjActive,1))</f>
        <v>0</v>
      </c>
      <c r="Q77" s="2">
        <f t="shared" si="2"/>
        <v>1.17</v>
      </c>
      <c r="R77" s="11"/>
      <c r="S77" s="2">
        <f t="shared" si="3"/>
        <v>1.17</v>
      </c>
      <c r="T77" s="2" t="str">
        <f t="shared" si="4"/>
        <v>WAS -1.2</v>
      </c>
      <c r="U77" s="2" t="str">
        <f t="array" ref="U77">IF($B77="","",IFERROR(INDEX(MktHomeSpread,MATCH($B77,MktGameID,0)),""))</f>
        <v/>
      </c>
      <c r="V77" s="2" t="str">
        <f t="shared" si="5"/>
        <v/>
      </c>
      <c r="W77" s="2" t="str">
        <f t="shared" si="6"/>
        <v/>
      </c>
      <c r="X77" s="2" t="str">
        <f t="shared" si="7"/>
        <v/>
      </c>
      <c r="Y77" s="2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2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2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2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2">
        <f t="array" ref="AC77">IF($B77="","",IFERROR(INDEX(QBTotEff,MATCH($F77,QBTeams,0)),0)+IFERROR(INDEX(QBTotEff,MATCH($E77,QBTeams,0)),0))</f>
        <v>0</v>
      </c>
      <c r="AD77" s="2">
        <f>IF($B77="","",SUMIFS(AdjTot,AdjGameID,$B77,AdjActive,1))</f>
        <v>0</v>
      </c>
      <c r="AE77" s="2">
        <f t="shared" si="8"/>
        <v>0</v>
      </c>
      <c r="AF77" s="11"/>
      <c r="AG77" s="2">
        <f t="shared" si="9"/>
        <v>0</v>
      </c>
      <c r="AH77" s="2" t="str">
        <f t="array" ref="AH77">IF($B77="","",IFERROR(INDEX(MktTotal,MATCH($B77,MktGameID,0)),""))</f>
        <v/>
      </c>
      <c r="AI77" s="2" t="str">
        <f t="shared" si="10"/>
        <v/>
      </c>
      <c r="AJ77" s="2" t="str">
        <f t="shared" si="11"/>
        <v/>
      </c>
      <c r="AK77" s="2" t="str">
        <f t="shared" si="12"/>
        <v/>
      </c>
      <c r="AL77" s="2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2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2" t="str">
        <f>IF($AG77="","","BET OVER at ≤ "&amp;TEXT($AG77-BetTot,"0.0")&amp;"  |  BET UNDER at ≥ "&amp;TEXT($AG77+BetTot,"0.0"))</f>
        <v>BET OVER at ≤ -3.0  |  BET UNDER at ≥ 3.0</v>
      </c>
      <c r="AO77" s="2" t="str">
        <f t="array" ref="AO77">IF($B77="","",IF(OR(IFERROR(INDEX(QBFlag,MATCH($F77,QBTeams,0)),1)=1,IFERROR(INDEX(QBFlag,MATCH($E77,QBTeams,0)),1)=1),"QB UNCERTAIN",""))</f>
        <v/>
      </c>
      <c r="AP77" s="2" t="str">
        <f t="array" ref="AP77">IF($B77="","",IFERROR(INDEX(DQStatus,MATCH($B77,DQGameID,0)),"BLOCKED — DQ ROW NOT FOUND"))</f>
        <v>READY</v>
      </c>
      <c r="AQ77" s="2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2" t="str">
        <f t="shared" si="13"/>
        <v/>
      </c>
      <c r="AS77" s="2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2" t="str">
        <f t="shared" si="14"/>
        <v/>
      </c>
      <c r="AU77" s="11"/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9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2" t="str">
        <f t="array" ref="G78">IF($B78="","",IF(INDEX(SchedZone,MATCH($A78,SchedSeq,0),MAP!$B$14)="Neutral","Y",""))</f>
        <v/>
      </c>
      <c r="H78" s="2" t="str">
        <f t="array" ref="H78">IF($B78="","",INDEX(SchedZone,MATCH($A78,SchedSeq,0),MAP!$B$17))</f>
        <v>dome</v>
      </c>
      <c r="I78" s="2" t="str">
        <f>IF(OR($B78="",$C78&lt;&gt;CurrentWeek),"",COUNTIF($C$5:$C78,CurrentWeek))</f>
        <v/>
      </c>
      <c r="J78" s="2">
        <f t="array" ref="J78">IF($B78="","",IFERROR(INDEX(RatEff,MATCH($E78,RatTeams,0)),"⚠ TEAM NOT FOUND"))</f>
        <v>1.93</v>
      </c>
      <c r="K78" s="2">
        <f t="array" ref="K78">IF($B78="","",IFERROR(INDEX(RatEff,MATCH($F78,RatTeams,0)),"⚠ TEAM NOT FOUND"))</f>
        <v>0.56</v>
      </c>
      <c r="L78" s="2">
        <f t="shared" si="1"/>
        <v>-1.37</v>
      </c>
      <c r="M78" s="2">
        <f t="array" ref="M78">IF($B78="","",IF($G78="Y",NeutralHFA,IFERROR(INDEX(HFAexcVal,MATCH($F78,HFAexcTeam,0)),HFA_Base)))</f>
        <v>1.6</v>
      </c>
      <c r="N78" s="2">
        <f t="array" ref="N78">IF($B78="","",IFERROR(INDEX(QBSpreadEff,MATCH($F78,QBTeams,0)),0)-IFERROR(INDEX(QBSpreadEff,MATCH($E78,QBTeams,0)),0))</f>
        <v>0</v>
      </c>
      <c r="O78" s="2">
        <f t="array" ref="O78">IF($B78="","",IFERROR(MEDIAN(-RestCapPts,RestCapPts,RestPerDay*(INDEX(SchedZone,MATCH($A78,SchedSeq,0),MAP!$B$16)-INDEX(SchedZone,MATCH($A78,SchedSeq,0),MAP!$B$15))),0))</f>
        <v>0</v>
      </c>
      <c r="P78" s="2">
        <f>IF($B78="","",SUMIFS(AdjSpread,AdjGameID,$B78,AdjTeam,$F78,AdjActive,1)-SUMIFS(AdjSpread,AdjGameID,$B78,AdjTeam,$E78,AdjActive,1))</f>
        <v>0</v>
      </c>
      <c r="Q78" s="2">
        <f t="shared" si="2"/>
        <v>0.23</v>
      </c>
      <c r="R78" s="11"/>
      <c r="S78" s="2">
        <f t="shared" si="3"/>
        <v>0.23</v>
      </c>
      <c r="T78" s="2" t="str">
        <f t="shared" si="4"/>
        <v>LAC -0.2</v>
      </c>
      <c r="U78" s="2" t="str">
        <f t="array" ref="U78">IF($B78="","",IFERROR(INDEX(MktHomeSpread,MATCH($B78,MktGameID,0)),""))</f>
        <v/>
      </c>
      <c r="V78" s="2" t="str">
        <f t="shared" si="5"/>
        <v/>
      </c>
      <c r="W78" s="2" t="str">
        <f t="shared" si="6"/>
        <v/>
      </c>
      <c r="X78" s="2" t="str">
        <f t="shared" si="7"/>
        <v/>
      </c>
      <c r="Y78" s="2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2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2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2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2">
        <f t="array" ref="AC78">IF($B78="","",IFERROR(INDEX(QBTotEff,MATCH($F78,QBTeams,0)),0)+IFERROR(INDEX(QBTotEff,MATCH($E78,QBTeams,0)),0))</f>
        <v>0</v>
      </c>
      <c r="AD78" s="2">
        <f>IF($B78="","",SUMIFS(AdjTot,AdjGameID,$B78,AdjActive,1))</f>
        <v>0</v>
      </c>
      <c r="AE78" s="2">
        <f t="shared" si="8"/>
        <v>0</v>
      </c>
      <c r="AF78" s="11"/>
      <c r="AG78" s="2">
        <f t="shared" si="9"/>
        <v>0</v>
      </c>
      <c r="AH78" s="2" t="str">
        <f t="array" ref="AH78">IF($B78="","",IFERROR(INDEX(MktTotal,MATCH($B78,MktGameID,0)),""))</f>
        <v/>
      </c>
      <c r="AI78" s="2" t="str">
        <f t="shared" si="10"/>
        <v/>
      </c>
      <c r="AJ78" s="2" t="str">
        <f t="shared" si="11"/>
        <v/>
      </c>
      <c r="AK78" s="2" t="str">
        <f t="shared" si="12"/>
        <v/>
      </c>
      <c r="AL78" s="2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2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2" t="str">
        <f>IF($AG78="","","BET OVER at ≤ "&amp;TEXT($AG78-BetTot,"0.0")&amp;"  |  BET UNDER at ≥ "&amp;TEXT($AG78+BetTot,"0.0"))</f>
        <v>BET OVER at ≤ -3.0  |  BET UNDER at ≥ 3.0</v>
      </c>
      <c r="AO78" s="2" t="str">
        <f t="array" ref="AO78">IF($B78="","",IF(OR(IFERROR(INDEX(QBFlag,MATCH($F78,QBTeams,0)),1)=1,IFERROR(INDEX(QBFlag,MATCH($E78,QBTeams,0)),1)=1),"QB UNCERTAIN",""))</f>
        <v/>
      </c>
      <c r="AP78" s="2" t="str">
        <f t="array" ref="AP78">IF($B78="","",IFERROR(INDEX(DQStatus,MATCH($B78,DQGameID,0)),"BLOCKED — DQ ROW NOT FOUND"))</f>
        <v>READY</v>
      </c>
      <c r="AQ78" s="2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2" t="str">
        <f t="shared" si="13"/>
        <v/>
      </c>
      <c r="AS78" s="2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2" t="str">
        <f t="shared" si="14"/>
        <v/>
      </c>
      <c r="AU78" s="11"/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9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2" t="str">
        <f t="array" ref="G79">IF($B79="","",IF(INDEX(SchedZone,MATCH($A79,SchedSeq,0),MAP!$B$14)="Neutral","Y",""))</f>
        <v/>
      </c>
      <c r="H79" s="2" t="str">
        <f t="array" ref="H79">IF($B79="","",INDEX(SchedZone,MATCH($A79,SchedSeq,0),MAP!$B$17))</f>
        <v/>
      </c>
      <c r="I79" s="2" t="str">
        <f>IF(OR($B79="",$C79&lt;&gt;CurrentWeek),"",COUNTIF($C$5:$C79,CurrentWeek))</f>
        <v/>
      </c>
      <c r="J79" s="2">
        <f t="array" ref="J79">IF($B79="","",IFERROR(INDEX(RatEff,MATCH($E79,RatTeams,0)),"⚠ TEAM NOT FOUND"))</f>
        <v>0.86</v>
      </c>
      <c r="K79" s="2">
        <f t="array" ref="K79">IF($B79="","",IFERROR(INDEX(RatEff,MATCH($F79,RatTeams,0)),"⚠ TEAM NOT FOUND"))</f>
        <v>-2.07</v>
      </c>
      <c r="L79" s="2">
        <f t="shared" si="1"/>
        <v>-2.93</v>
      </c>
      <c r="M79" s="2">
        <f t="array" ref="M79">IF($B79="","",IF($G79="Y",NeutralHFA,IFERROR(INDEX(HFAexcVal,MATCH($F79,HFAexcTeam,0)),HFA_Base)))</f>
        <v>1.6</v>
      </c>
      <c r="N79" s="2">
        <f t="array" ref="N79">IF($B79="","",IFERROR(INDEX(QBSpreadEff,MATCH($F79,QBTeams,0)),0)-IFERROR(INDEX(QBSpreadEff,MATCH($E79,QBTeams,0)),0))</f>
        <v>0</v>
      </c>
      <c r="O79" s="2">
        <f t="array" ref="O79">IF($B79="","",IFERROR(MEDIAN(-RestCapPts,RestCapPts,RestPerDay*(INDEX(SchedZone,MATCH($A79,SchedSeq,0),MAP!$B$16)-INDEX(SchedZone,MATCH($A79,SchedSeq,0),MAP!$B$15))),0))</f>
        <v>0</v>
      </c>
      <c r="P79" s="2">
        <f>IF($B79="","",SUMIFS(AdjSpread,AdjGameID,$B79,AdjTeam,$F79,AdjActive,1)-SUMIFS(AdjSpread,AdjGameID,$B79,AdjTeam,$E79,AdjActive,1))</f>
        <v>0</v>
      </c>
      <c r="Q79" s="2">
        <f t="shared" si="2"/>
        <v>-1.33</v>
      </c>
      <c r="R79" s="11"/>
      <c r="S79" s="2">
        <f t="shared" si="3"/>
        <v>-1.33</v>
      </c>
      <c r="T79" s="2" t="str">
        <f t="shared" si="4"/>
        <v>DET -1.3</v>
      </c>
      <c r="U79" s="2" t="str">
        <f t="array" ref="U79">IF($B79="","",IFERROR(INDEX(MktHomeSpread,MATCH($B79,MktGameID,0)),""))</f>
        <v/>
      </c>
      <c r="V79" s="2" t="str">
        <f t="shared" si="5"/>
        <v/>
      </c>
      <c r="W79" s="2" t="str">
        <f t="shared" si="6"/>
        <v/>
      </c>
      <c r="X79" s="2" t="str">
        <f t="shared" si="7"/>
        <v/>
      </c>
      <c r="Y79" s="2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2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2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2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2">
        <f t="array" ref="AC79">IF($B79="","",IFERROR(INDEX(QBTotEff,MATCH($F79,QBTeams,0)),0)+IFERROR(INDEX(QBTotEff,MATCH($E79,QBTeams,0)),0))</f>
        <v>0</v>
      </c>
      <c r="AD79" s="2">
        <f>IF($B79="","",SUMIFS(AdjTot,AdjGameID,$B79,AdjActive,1))</f>
        <v>0</v>
      </c>
      <c r="AE79" s="2">
        <f t="shared" si="8"/>
        <v>0</v>
      </c>
      <c r="AF79" s="11"/>
      <c r="AG79" s="2">
        <f t="shared" si="9"/>
        <v>0</v>
      </c>
      <c r="AH79" s="2" t="str">
        <f t="array" ref="AH79">IF($B79="","",IFERROR(INDEX(MktTotal,MATCH($B79,MktGameID,0)),""))</f>
        <v/>
      </c>
      <c r="AI79" s="2" t="str">
        <f t="shared" si="10"/>
        <v/>
      </c>
      <c r="AJ79" s="2" t="str">
        <f t="shared" si="11"/>
        <v/>
      </c>
      <c r="AK79" s="2" t="str">
        <f t="shared" si="12"/>
        <v/>
      </c>
      <c r="AL79" s="2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Low</v>
      </c>
      <c r="AM79" s="2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2" t="str">
        <f>IF($AG79="","","BET OVER at ≤ "&amp;TEXT($AG79-BetTot,"0.0")&amp;"  |  BET UNDER at ≥ "&amp;TEXT($AG79+BetTot,"0.0"))</f>
        <v>BET OVER at ≤ -3.0  |  BET UNDER at ≥ 3.0</v>
      </c>
      <c r="AO79" s="2" t="str">
        <f t="array" ref="AO79">IF($B79="","",IF(OR(IFERROR(INDEX(QBFlag,MATCH($F79,QBTeams,0)),1)=1,IFERROR(INDEX(QBFlag,MATCH($E79,QBTeams,0)),1)=1),"QB UNCERTAIN",""))</f>
        <v>QB UNCERTAIN</v>
      </c>
      <c r="AP79" s="2" t="str">
        <f t="array" ref="AP79">IF($B79="","",IFERROR(INDEX(DQStatus,MATCH($B79,DQGameID,0)),"BLOCKED — DQ ROW NOT FOUND"))</f>
        <v>READY</v>
      </c>
      <c r="AQ79" s="2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2" t="str">
        <f t="shared" si="13"/>
        <v/>
      </c>
      <c r="AS79" s="2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2" t="str">
        <f t="shared" si="14"/>
        <v/>
      </c>
      <c r="AU79" s="11"/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9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2" t="str">
        <f t="array" ref="G80">IF($B80="","",IF(INDEX(SchedZone,MATCH($A80,SchedSeq,0),MAP!$B$14)="Neutral","Y",""))</f>
        <v/>
      </c>
      <c r="H80" s="2" t="str">
        <f t="array" ref="H80">IF($B80="","",INDEX(SchedZone,MATCH($A80,SchedSeq,0),MAP!$B$17))</f>
        <v>outdoors</v>
      </c>
      <c r="I80" s="2" t="str">
        <f>IF(OR($B80="",$C80&lt;&gt;CurrentWeek),"",COUNTIF($C$5:$C80,CurrentWeek))</f>
        <v/>
      </c>
      <c r="J80" s="2">
        <f t="array" ref="J80">IF($B80="","",IFERROR(INDEX(RatEff,MATCH($E80,RatTeams,0)),"⚠ TEAM NOT FOUND"))</f>
        <v>0.86</v>
      </c>
      <c r="K80" s="2">
        <f t="array" ref="K80">IF($B80="","",IFERROR(INDEX(RatEff,MATCH($F80,RatTeams,0)),"⚠ TEAM NOT FOUND"))</f>
        <v>0.51</v>
      </c>
      <c r="L80" s="2">
        <f t="shared" si="1"/>
        <v>-0.35</v>
      </c>
      <c r="M80" s="2">
        <f t="array" ref="M80">IF($B80="","",IF($G80="Y",NeutralHFA,IFERROR(INDEX(HFAexcVal,MATCH($F80,HFAexcTeam,0)),HFA_Base)))</f>
        <v>1.6</v>
      </c>
      <c r="N80" s="2">
        <f t="array" ref="N80">IF($B80="","",IFERROR(INDEX(QBSpreadEff,MATCH($F80,QBTeams,0)),0)-IFERROR(INDEX(QBSpreadEff,MATCH($E80,QBTeams,0)),0))</f>
        <v>0</v>
      </c>
      <c r="O80" s="2">
        <f t="array" ref="O80">IF($B80="","",IFERROR(MEDIAN(-RestCapPts,RestCapPts,RestPerDay*(INDEX(SchedZone,MATCH($A80,SchedSeq,0),MAP!$B$16)-INDEX(SchedZone,MATCH($A80,SchedSeq,0),MAP!$B$15))),0))</f>
        <v>0</v>
      </c>
      <c r="P80" s="2">
        <f>IF($B80="","",SUMIFS(AdjSpread,AdjGameID,$B80,AdjTeam,$F80,AdjActive,1)-SUMIFS(AdjSpread,AdjGameID,$B80,AdjTeam,$E80,AdjActive,1))</f>
        <v>0</v>
      </c>
      <c r="Q80" s="2">
        <f t="shared" si="2"/>
        <v>1.25</v>
      </c>
      <c r="R80" s="11"/>
      <c r="S80" s="2">
        <f t="shared" si="3"/>
        <v>1.25</v>
      </c>
      <c r="T80" s="2" t="str">
        <f t="shared" si="4"/>
        <v>GB -1.3</v>
      </c>
      <c r="U80" s="2" t="str">
        <f t="array" ref="U80">IF($B80="","",IFERROR(INDEX(MktHomeSpread,MATCH($B80,MktGameID,0)),""))</f>
        <v/>
      </c>
      <c r="V80" s="2" t="str">
        <f t="shared" si="5"/>
        <v/>
      </c>
      <c r="W80" s="2" t="str">
        <f t="shared" si="6"/>
        <v/>
      </c>
      <c r="X80" s="2" t="str">
        <f t="shared" si="7"/>
        <v/>
      </c>
      <c r="Y80" s="2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2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2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2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2">
        <f t="array" ref="AC80">IF($B80="","",IFERROR(INDEX(QBTotEff,MATCH($F80,QBTeams,0)),0)+IFERROR(INDEX(QBTotEff,MATCH($E80,QBTeams,0)),0))</f>
        <v>0</v>
      </c>
      <c r="AD80" s="2">
        <f>IF($B80="","",SUMIFS(AdjTot,AdjGameID,$B80,AdjActive,1))</f>
        <v>0</v>
      </c>
      <c r="AE80" s="2">
        <f t="shared" si="8"/>
        <v>0</v>
      </c>
      <c r="AF80" s="11"/>
      <c r="AG80" s="2">
        <f t="shared" si="9"/>
        <v>0</v>
      </c>
      <c r="AH80" s="2" t="str">
        <f t="array" ref="AH80">IF($B80="","",IFERROR(INDEX(MktTotal,MATCH($B80,MktGameID,0)),""))</f>
        <v/>
      </c>
      <c r="AI80" s="2" t="str">
        <f t="shared" si="10"/>
        <v/>
      </c>
      <c r="AJ80" s="2" t="str">
        <f t="shared" si="11"/>
        <v/>
      </c>
      <c r="AK80" s="2" t="str">
        <f t="shared" si="12"/>
        <v/>
      </c>
      <c r="AL80" s="2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2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2" t="str">
        <f>IF($AG80="","","BET OVER at ≤ "&amp;TEXT($AG80-BetTot,"0.0")&amp;"  |  BET UNDER at ≥ "&amp;TEXT($AG80+BetTot,"0.0"))</f>
        <v>BET OVER at ≤ -3.0  |  BET UNDER at ≥ 3.0</v>
      </c>
      <c r="AO80" s="2" t="str">
        <f t="array" ref="AO80">IF($B80="","",IF(OR(IFERROR(INDEX(QBFlag,MATCH($F80,QBTeams,0)),1)=1,IFERROR(INDEX(QBFlag,MATCH($E80,QBTeams,0)),1)=1),"QB UNCERTAIN",""))</f>
        <v/>
      </c>
      <c r="AP80" s="2" t="str">
        <f t="array" ref="AP80">IF($B80="","",IFERROR(INDEX(DQStatus,MATCH($B80,DQGameID,0)),"BLOCKED — DQ ROW NOT FOUND"))</f>
        <v>READY</v>
      </c>
      <c r="AQ80" s="2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2" t="str">
        <f t="shared" si="13"/>
        <v/>
      </c>
      <c r="AS80" s="2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2" t="str">
        <f t="shared" si="14"/>
        <v/>
      </c>
      <c r="AU80" s="11"/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9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2" t="str">
        <f t="array" ref="G81">IF($B81="","",IF(INDEX(SchedZone,MATCH($A81,SchedSeq,0),MAP!$B$14)="Neutral","Y",""))</f>
        <v/>
      </c>
      <c r="H81" s="2" t="str">
        <f t="array" ref="H81">IF($B81="","",INDEX(SchedZone,MATCH($A81,SchedSeq,0),MAP!$B$17))</f>
        <v>outdoors</v>
      </c>
      <c r="I81" s="2" t="str">
        <f>IF(OR($B81="",$C81&lt;&gt;CurrentWeek),"",COUNTIF($C$5:$C81,CurrentWeek))</f>
        <v/>
      </c>
      <c r="J81" s="2">
        <f t="array" ref="J81">IF($B81="","",IFERROR(INDEX(RatEff,MATCH($E81,RatTeams,0)),"⚠ TEAM NOT FOUND"))</f>
        <v>1.78</v>
      </c>
      <c r="K81" s="2">
        <f t="array" ref="K81">IF($B81="","",IFERROR(INDEX(RatEff,MATCH($F81,RatTeams,0)),"⚠ TEAM NOT FOUND"))</f>
        <v>4.1</v>
      </c>
      <c r="L81" s="2">
        <f t="shared" si="1"/>
        <v>2.32</v>
      </c>
      <c r="M81" s="2">
        <f t="array" ref="M81">IF($B81="","",IF($G81="Y",NeutralHFA,IFERROR(INDEX(HFAexcVal,MATCH($F81,HFAexcTeam,0)),HFA_Base)))</f>
        <v>1.6</v>
      </c>
      <c r="N81" s="2">
        <f t="array" ref="N81">IF($B81="","",IFERROR(INDEX(QBSpreadEff,MATCH($F81,QBTeams,0)),0)-IFERROR(INDEX(QBSpreadEff,MATCH($E81,QBTeams,0)),0))</f>
        <v>0</v>
      </c>
      <c r="O81" s="2">
        <f t="array" ref="O81">IF($B81="","",IFERROR(MEDIAN(-RestCapPts,RestCapPts,RestPerDay*(INDEX(SchedZone,MATCH($A81,SchedSeq,0),MAP!$B$16)-INDEX(SchedZone,MATCH($A81,SchedSeq,0),MAP!$B$15))),0))</f>
        <v>0</v>
      </c>
      <c r="P81" s="2">
        <f>IF($B81="","",SUMIFS(AdjSpread,AdjGameID,$B81,AdjTeam,$F81,AdjActive,1)-SUMIFS(AdjSpread,AdjGameID,$B81,AdjTeam,$E81,AdjActive,1))</f>
        <v>0</v>
      </c>
      <c r="Q81" s="2">
        <f t="shared" si="2"/>
        <v>3.92</v>
      </c>
      <c r="R81" s="11"/>
      <c r="S81" s="2">
        <f t="shared" si="3"/>
        <v>3.92</v>
      </c>
      <c r="T81" s="2" t="str">
        <f t="shared" si="4"/>
        <v>SEA -3.9</v>
      </c>
      <c r="U81" s="2" t="str">
        <f t="array" ref="U81">IF($B81="","",IFERROR(INDEX(MktHomeSpread,MATCH($B81,MktGameID,0)),""))</f>
        <v/>
      </c>
      <c r="V81" s="2" t="str">
        <f t="shared" si="5"/>
        <v/>
      </c>
      <c r="W81" s="2" t="str">
        <f t="shared" si="6"/>
        <v/>
      </c>
      <c r="X81" s="2" t="str">
        <f t="shared" si="7"/>
        <v/>
      </c>
      <c r="Y81" s="2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2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2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2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2">
        <f t="array" ref="AC81">IF($B81="","",IFERROR(INDEX(QBTotEff,MATCH($F81,QBTeams,0)),0)+IFERROR(INDEX(QBTotEff,MATCH($E81,QBTeams,0)),0))</f>
        <v>0</v>
      </c>
      <c r="AD81" s="2">
        <f>IF($B81="","",SUMIFS(AdjTot,AdjGameID,$B81,AdjActive,1))</f>
        <v>0</v>
      </c>
      <c r="AE81" s="2">
        <f t="shared" si="8"/>
        <v>0</v>
      </c>
      <c r="AF81" s="11"/>
      <c r="AG81" s="2">
        <f t="shared" si="9"/>
        <v>0</v>
      </c>
      <c r="AH81" s="2" t="str">
        <f t="array" ref="AH81">IF($B81="","",IFERROR(INDEX(MktTotal,MATCH($B81,MktGameID,0)),""))</f>
        <v/>
      </c>
      <c r="AI81" s="2" t="str">
        <f t="shared" si="10"/>
        <v/>
      </c>
      <c r="AJ81" s="2" t="str">
        <f t="shared" si="11"/>
        <v/>
      </c>
      <c r="AK81" s="2" t="str">
        <f t="shared" si="12"/>
        <v/>
      </c>
      <c r="AL81" s="2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2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2" t="str">
        <f>IF($AG81="","","BET OVER at ≤ "&amp;TEXT($AG81-BetTot,"0.0")&amp;"  |  BET UNDER at ≥ "&amp;TEXT($AG81+BetTot,"0.0"))</f>
        <v>BET OVER at ≤ -3.0  |  BET UNDER at ≥ 3.0</v>
      </c>
      <c r="AO81" s="2" t="str">
        <f t="array" ref="AO81">IF($B81="","",IF(OR(IFERROR(INDEX(QBFlag,MATCH($F81,QBTeams,0)),1)=1,IFERROR(INDEX(QBFlag,MATCH($E81,QBTeams,0)),1)=1),"QB UNCERTAIN",""))</f>
        <v/>
      </c>
      <c r="AP81" s="2" t="str">
        <f t="array" ref="AP81">IF($B81="","",IFERROR(INDEX(DQStatus,MATCH($B81,DQGameID,0)),"BLOCKED — DQ ROW NOT FOUND"))</f>
        <v>READY</v>
      </c>
      <c r="AQ81" s="2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2" t="str">
        <f t="shared" si="13"/>
        <v/>
      </c>
      <c r="AS81" s="2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2" t="str">
        <f t="shared" si="14"/>
        <v/>
      </c>
      <c r="AU81" s="11"/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9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2" t="str">
        <f t="array" ref="G82">IF($B82="","",IF(INDEX(SchedZone,MATCH($A82,SchedSeq,0),MAP!$B$14)="Neutral","Y",""))</f>
        <v/>
      </c>
      <c r="H82" s="2" t="str">
        <f t="array" ref="H82">IF($B82="","",INDEX(SchedZone,MATCH($A82,SchedSeq,0),MAP!$B$17))</f>
        <v/>
      </c>
      <c r="I82" s="2" t="str">
        <f>IF(OR($B82="",$C82&lt;&gt;CurrentWeek),"",COUNTIF($C$5:$C82,CurrentWeek))</f>
        <v/>
      </c>
      <c r="J82" s="2">
        <f t="array" ref="J82">IF($B82="","",IFERROR(INDEX(RatEff,MATCH($E82,RatTeams,0)),"⚠ TEAM NOT FOUND"))</f>
        <v>0.92</v>
      </c>
      <c r="K82" s="2">
        <f t="array" ref="K82">IF($B82="","",IFERROR(INDEX(RatEff,MATCH($F82,RatTeams,0)),"⚠ TEAM NOT FOUND"))</f>
        <v>-0.06</v>
      </c>
      <c r="L82" s="2">
        <f t="shared" si="1"/>
        <v>-0.98</v>
      </c>
      <c r="M82" s="2">
        <f t="array" ref="M82">IF($B82="","",IF($G82="Y",NeutralHFA,IFERROR(INDEX(HFAexcVal,MATCH($F82,HFAexcTeam,0)),HFA_Base)))</f>
        <v>1.6</v>
      </c>
      <c r="N82" s="2">
        <f t="array" ref="N82">IF($B82="","",IFERROR(INDEX(QBSpreadEff,MATCH($F82,QBTeams,0)),0)-IFERROR(INDEX(QBSpreadEff,MATCH($E82,QBTeams,0)),0))</f>
        <v>0</v>
      </c>
      <c r="O82" s="2">
        <f t="array" ref="O82">IF($B82="","",IFERROR(MEDIAN(-RestCapPts,RestCapPts,RestPerDay*(INDEX(SchedZone,MATCH($A82,SchedSeq,0),MAP!$B$16)-INDEX(SchedZone,MATCH($A82,SchedSeq,0),MAP!$B$15))),0))</f>
        <v>-0.1</v>
      </c>
      <c r="P82" s="2">
        <f>IF($B82="","",SUMIFS(AdjSpread,AdjGameID,$B82,AdjTeam,$F82,AdjActive,1)-SUMIFS(AdjSpread,AdjGameID,$B82,AdjTeam,$E82,AdjActive,1))</f>
        <v>0</v>
      </c>
      <c r="Q82" s="2">
        <f t="shared" si="2"/>
        <v>0.52</v>
      </c>
      <c r="R82" s="11"/>
      <c r="S82" s="2">
        <f t="shared" si="3"/>
        <v>0.52</v>
      </c>
      <c r="T82" s="2" t="str">
        <f t="shared" si="4"/>
        <v>ATL -0.5</v>
      </c>
      <c r="U82" s="2" t="str">
        <f t="array" ref="U82">IF($B82="","",IFERROR(INDEX(MktHomeSpread,MATCH($B82,MktGameID,0)),""))</f>
        <v/>
      </c>
      <c r="V82" s="2" t="str">
        <f t="shared" si="5"/>
        <v/>
      </c>
      <c r="W82" s="2" t="str">
        <f t="shared" si="6"/>
        <v/>
      </c>
      <c r="X82" s="2" t="str">
        <f t="shared" si="7"/>
        <v/>
      </c>
      <c r="Y82" s="2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2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2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2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2">
        <f t="array" ref="AC82">IF($B82="","",IFERROR(INDEX(QBTotEff,MATCH($F82,QBTeams,0)),0)+IFERROR(INDEX(QBTotEff,MATCH($E82,QBTeams,0)),0))</f>
        <v>0</v>
      </c>
      <c r="AD82" s="2">
        <f>IF($B82="","",SUMIFS(AdjTot,AdjGameID,$B82,AdjActive,1))</f>
        <v>0</v>
      </c>
      <c r="AE82" s="2">
        <f t="shared" si="8"/>
        <v>0</v>
      </c>
      <c r="AF82" s="11"/>
      <c r="AG82" s="2">
        <f t="shared" si="9"/>
        <v>0</v>
      </c>
      <c r="AH82" s="2" t="str">
        <f t="array" ref="AH82">IF($B82="","",IFERROR(INDEX(MktTotal,MATCH($B82,MktGameID,0)),""))</f>
        <v/>
      </c>
      <c r="AI82" s="2" t="str">
        <f t="shared" si="10"/>
        <v/>
      </c>
      <c r="AJ82" s="2" t="str">
        <f t="shared" si="11"/>
        <v/>
      </c>
      <c r="AK82" s="2" t="str">
        <f t="shared" si="12"/>
        <v/>
      </c>
      <c r="AL82" s="2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2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2" t="str">
        <f>IF($AG82="","","BET OVER at ≤ "&amp;TEXT($AG82-BetTot,"0.0")&amp;"  |  BET UNDER at ≥ "&amp;TEXT($AG82+BetTot,"0.0"))</f>
        <v>BET OVER at ≤ -3.0  |  BET UNDER at ≥ 3.0</v>
      </c>
      <c r="AO82" s="2" t="str">
        <f t="array" ref="AO82">IF($B82="","",IF(OR(IFERROR(INDEX(QBFlag,MATCH($F82,QBTeams,0)),1)=1,IFERROR(INDEX(QBFlag,MATCH($E82,QBTeams,0)),1)=1),"QB UNCERTAIN",""))</f>
        <v>QB UNCERTAIN</v>
      </c>
      <c r="AP82" s="2" t="str">
        <f t="array" ref="AP82">IF($B82="","",IFERROR(INDEX(DQStatus,MATCH($B82,DQGameID,0)),"BLOCKED — DQ ROW NOT FOUND"))</f>
        <v>READY</v>
      </c>
      <c r="AQ82" s="2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2" t="str">
        <f t="shared" si="13"/>
        <v/>
      </c>
      <c r="AS82" s="2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2" t="str">
        <f t="shared" si="14"/>
        <v/>
      </c>
      <c r="AU82" s="11"/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9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2" t="str">
        <f t="array" ref="G83">IF($B83="","",IF(INDEX(SchedZone,MATCH($A83,SchedSeq,0),MAP!$B$14)="Neutral","Y",""))</f>
        <v/>
      </c>
      <c r="H83" s="2" t="str">
        <f t="array" ref="H83">IF($B83="","",INDEX(SchedZone,MATCH($A83,SchedSeq,0),MAP!$B$17))</f>
        <v>dome</v>
      </c>
      <c r="I83" s="2" t="str">
        <f>IF(OR($B83="",$C83&lt;&gt;CurrentWeek),"",COUNTIF($C$5:$C83,CurrentWeek))</f>
        <v/>
      </c>
      <c r="J83" s="2">
        <f t="array" ref="J83">IF($B83="","",IFERROR(INDEX(RatEff,MATCH($E83,RatTeams,0)),"⚠ TEAM NOT FOUND"))</f>
        <v>1.75</v>
      </c>
      <c r="K83" s="2">
        <f t="array" ref="K83">IF($B83="","",IFERROR(INDEX(RatEff,MATCH($F83,RatTeams,0)),"⚠ TEAM NOT FOUND"))</f>
        <v>4.09</v>
      </c>
      <c r="L83" s="2">
        <f t="shared" si="1"/>
        <v>2.34</v>
      </c>
      <c r="M83" s="2">
        <f t="array" ref="M83">IF($B83="","",IF($G83="Y",NeutralHFA,IFERROR(INDEX(HFAexcVal,MATCH($F83,HFAexcTeam,0)),HFA_Base)))</f>
        <v>1.6</v>
      </c>
      <c r="N83" s="2">
        <f t="array" ref="N83">IF($B83="","",IFERROR(INDEX(QBSpreadEff,MATCH($F83,QBTeams,0)),0)-IFERROR(INDEX(QBSpreadEff,MATCH($E83,QBTeams,0)),0))</f>
        <v>0</v>
      </c>
      <c r="O83" s="2">
        <f t="array" ref="O83">IF($B83="","",IFERROR(MEDIAN(-RestCapPts,RestCapPts,RestPerDay*(INDEX(SchedZone,MATCH($A83,SchedSeq,0),MAP!$B$16)-INDEX(SchedZone,MATCH($A83,SchedSeq,0),MAP!$B$15))),0))</f>
        <v>0</v>
      </c>
      <c r="P83" s="2">
        <f>IF($B83="","",SUMIFS(AdjSpread,AdjGameID,$B83,AdjTeam,$F83,AdjActive,1)-SUMIFS(AdjSpread,AdjGameID,$B83,AdjTeam,$E83,AdjActive,1))</f>
        <v>0</v>
      </c>
      <c r="Q83" s="2">
        <f t="shared" si="2"/>
        <v>3.94</v>
      </c>
      <c r="R83" s="11"/>
      <c r="S83" s="2">
        <f t="shared" si="3"/>
        <v>3.94</v>
      </c>
      <c r="T83" s="2" t="str">
        <f t="shared" si="4"/>
        <v>LA -3.9</v>
      </c>
      <c r="U83" s="2" t="str">
        <f t="array" ref="U83">IF($B83="","",IFERROR(INDEX(MktHomeSpread,MATCH($B83,MktGameID,0)),""))</f>
        <v/>
      </c>
      <c r="V83" s="2" t="str">
        <f t="shared" si="5"/>
        <v/>
      </c>
      <c r="W83" s="2" t="str">
        <f t="shared" si="6"/>
        <v/>
      </c>
      <c r="X83" s="2" t="str">
        <f t="shared" si="7"/>
        <v/>
      </c>
      <c r="Y83" s="2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2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2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2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2">
        <f t="array" ref="AC83">IF($B83="","",IFERROR(INDEX(QBTotEff,MATCH($F83,QBTeams,0)),0)+IFERROR(INDEX(QBTotEff,MATCH($E83,QBTeams,0)),0))</f>
        <v>0</v>
      </c>
      <c r="AD83" s="2">
        <f>IF($B83="","",SUMIFS(AdjTot,AdjGameID,$B83,AdjActive,1))</f>
        <v>0</v>
      </c>
      <c r="AE83" s="2">
        <f t="shared" si="8"/>
        <v>0</v>
      </c>
      <c r="AF83" s="11"/>
      <c r="AG83" s="2">
        <f t="shared" si="9"/>
        <v>0</v>
      </c>
      <c r="AH83" s="2" t="str">
        <f t="array" ref="AH83">IF($B83="","",IFERROR(INDEX(MktTotal,MATCH($B83,MktGameID,0)),""))</f>
        <v/>
      </c>
      <c r="AI83" s="2" t="str">
        <f t="shared" si="10"/>
        <v/>
      </c>
      <c r="AJ83" s="2" t="str">
        <f t="shared" si="11"/>
        <v/>
      </c>
      <c r="AK83" s="2" t="str">
        <f t="shared" si="12"/>
        <v/>
      </c>
      <c r="AL83" s="2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2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2" t="str">
        <f>IF($AG83="","","BET OVER at ≤ "&amp;TEXT($AG83-BetTot,"0.0")&amp;"  |  BET UNDER at ≥ "&amp;TEXT($AG83+BetTot,"0.0"))</f>
        <v>BET OVER at ≤ -3.0  |  BET UNDER at ≥ 3.0</v>
      </c>
      <c r="AO83" s="2" t="str">
        <f t="array" ref="AO83">IF($B83="","",IF(OR(IFERROR(INDEX(QBFlag,MATCH($F83,QBTeams,0)),1)=1,IFERROR(INDEX(QBFlag,MATCH($E83,QBTeams,0)),1)=1),"QB UNCERTAIN",""))</f>
        <v/>
      </c>
      <c r="AP83" s="2" t="str">
        <f t="array" ref="AP83">IF($B83="","",IFERROR(INDEX(DQStatus,MATCH($B83,DQGameID,0)),"BLOCKED — DQ ROW NOT FOUND"))</f>
        <v>READY</v>
      </c>
      <c r="AQ83" s="2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2" t="str">
        <f t="shared" si="13"/>
        <v/>
      </c>
      <c r="AS83" s="2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2" t="str">
        <f t="shared" si="14"/>
        <v/>
      </c>
      <c r="AU83" s="11"/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9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2" t="str">
        <f t="array" ref="G84">IF($B84="","",IF(INDEX(SchedZone,MATCH($A84,SchedSeq,0),MAP!$B$14)="Neutral","Y",""))</f>
        <v/>
      </c>
      <c r="H84" s="2" t="str">
        <f t="array" ref="H84">IF($B84="","",INDEX(SchedZone,MATCH($A84,SchedSeq,0),MAP!$B$17))</f>
        <v>outdoors</v>
      </c>
      <c r="I84" s="2" t="str">
        <f>IF(OR($B84="",$C84&lt;&gt;CurrentWeek),"",COUNTIF($C$5:$C84,CurrentWeek))</f>
        <v/>
      </c>
      <c r="J84" s="2">
        <f t="array" ref="J84">IF($B84="","",IFERROR(INDEX(RatEff,MATCH($E84,RatTeams,0)),"⚠ TEAM NOT FOUND"))</f>
        <v>4.1</v>
      </c>
      <c r="K84" s="2">
        <f t="array" ref="K84">IF($B84="","",IFERROR(INDEX(RatEff,MATCH($F84,RatTeams,0)),"⚠ TEAM NOT FOUND"))</f>
        <v>1.93</v>
      </c>
      <c r="L84" s="2">
        <f t="shared" si="1"/>
        <v>-2.17</v>
      </c>
      <c r="M84" s="2">
        <f t="array" ref="M84">IF($B84="","",IF($G84="Y",NeutralHFA,IFERROR(INDEX(HFAexcVal,MATCH($F84,HFAexcTeam,0)),HFA_Base)))</f>
        <v>1.6</v>
      </c>
      <c r="N84" s="2">
        <f t="array" ref="N84">IF($B84="","",IFERROR(INDEX(QBSpreadEff,MATCH($F84,QBTeams,0)),0)-IFERROR(INDEX(QBSpreadEff,MATCH($E84,QBTeams,0)),0))</f>
        <v>0</v>
      </c>
      <c r="O84" s="2">
        <f t="array" ref="O84">IF($B84="","",IFERROR(MEDIAN(-RestCapPts,RestCapPts,RestPerDay*(INDEX(SchedZone,MATCH($A84,SchedSeq,0),MAP!$B$16)-INDEX(SchedZone,MATCH($A84,SchedSeq,0),MAP!$B$15))),0))</f>
        <v>0</v>
      </c>
      <c r="P84" s="2">
        <f>IF($B84="","",SUMIFS(AdjSpread,AdjGameID,$B84,AdjTeam,$F84,AdjActive,1)-SUMIFS(AdjSpread,AdjGameID,$B84,AdjTeam,$E84,AdjActive,1))</f>
        <v>0</v>
      </c>
      <c r="Q84" s="2">
        <f t="shared" si="2"/>
        <v>-0.57</v>
      </c>
      <c r="R84" s="11"/>
      <c r="S84" s="2">
        <f t="shared" si="3"/>
        <v>-0.57</v>
      </c>
      <c r="T84" s="2" t="str">
        <f t="shared" si="4"/>
        <v>SEA -0.6</v>
      </c>
      <c r="U84" s="2" t="str">
        <f t="array" ref="U84">IF($B84="","",IFERROR(INDEX(MktHomeSpread,MATCH($B84,MktGameID,0)),""))</f>
        <v/>
      </c>
      <c r="V84" s="2" t="str">
        <f t="shared" si="5"/>
        <v/>
      </c>
      <c r="W84" s="2" t="str">
        <f t="shared" si="6"/>
        <v/>
      </c>
      <c r="X84" s="2" t="str">
        <f t="shared" si="7"/>
        <v/>
      </c>
      <c r="Y84" s="2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2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2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2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2">
        <f t="array" ref="AC84">IF($B84="","",IFERROR(INDEX(QBTotEff,MATCH($F84,QBTeams,0)),0)+IFERROR(INDEX(QBTotEff,MATCH($E84,QBTeams,0)),0))</f>
        <v>0</v>
      </c>
      <c r="AD84" s="2">
        <f>IF($B84="","",SUMIFS(AdjTot,AdjGameID,$B84,AdjActive,1))</f>
        <v>0</v>
      </c>
      <c r="AE84" s="2">
        <f t="shared" si="8"/>
        <v>0</v>
      </c>
      <c r="AF84" s="11"/>
      <c r="AG84" s="2">
        <f t="shared" si="9"/>
        <v>0</v>
      </c>
      <c r="AH84" s="2" t="str">
        <f t="array" ref="AH84">IF($B84="","",IFERROR(INDEX(MktTotal,MATCH($B84,MktGameID,0)),""))</f>
        <v/>
      </c>
      <c r="AI84" s="2" t="str">
        <f t="shared" si="10"/>
        <v/>
      </c>
      <c r="AJ84" s="2" t="str">
        <f t="shared" si="11"/>
        <v/>
      </c>
      <c r="AK84" s="2" t="str">
        <f t="shared" si="12"/>
        <v/>
      </c>
      <c r="AL84" s="2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2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2" t="str">
        <f>IF($AG84="","","BET OVER at ≤ "&amp;TEXT($AG84-BetTot,"0.0")&amp;"  |  BET UNDER at ≥ "&amp;TEXT($AG84+BetTot,"0.0"))</f>
        <v>BET OVER at ≤ -3.0  |  BET UNDER at ≥ 3.0</v>
      </c>
      <c r="AO84" s="2" t="str">
        <f t="array" ref="AO84">IF($B84="","",IF(OR(IFERROR(INDEX(QBFlag,MATCH($F84,QBTeams,0)),1)=1,IFERROR(INDEX(QBFlag,MATCH($E84,QBTeams,0)),1)=1),"QB UNCERTAIN",""))</f>
        <v/>
      </c>
      <c r="AP84" s="2" t="str">
        <f t="array" ref="AP84">IF($B84="","",IFERROR(INDEX(DQStatus,MATCH($B84,DQGameID,0)),"BLOCKED — DQ ROW NOT FOUND"))</f>
        <v>READY</v>
      </c>
      <c r="AQ84" s="2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2" t="str">
        <f t="shared" si="13"/>
        <v/>
      </c>
      <c r="AS84" s="2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2" t="str">
        <f t="shared" si="14"/>
        <v/>
      </c>
      <c r="AU84" s="11"/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9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2" t="str">
        <f t="array" ref="G85">IF($B85="","",IF(INDEX(SchedZone,MATCH($A85,SchedSeq,0),MAP!$B$14)="Neutral","Y",""))</f>
        <v>Y</v>
      </c>
      <c r="H85" s="2" t="str">
        <f t="array" ref="H85">IF($B85="","",INDEX(SchedZone,MATCH($A85,SchedSeq,0),MAP!$B$17))</f>
        <v>outdoors</v>
      </c>
      <c r="I85" s="2" t="str">
        <f>IF(OR($B85="",$C85&lt;&gt;CurrentWeek),"",COUNTIF($C$5:$C85,CurrentWeek))</f>
        <v/>
      </c>
      <c r="J85" s="2">
        <f t="array" ref="J85">IF($B85="","",IFERROR(INDEX(RatEff,MATCH($E85,RatTeams,0)),"⚠ TEAM NOT FOUND"))</f>
        <v>2.71</v>
      </c>
      <c r="K85" s="2">
        <f t="array" ref="K85">IF($B85="","",IFERROR(INDEX(RatEff,MATCH($F85,RatTeams,0)),"⚠ TEAM NOT FOUND"))</f>
        <v>3.22</v>
      </c>
      <c r="L85" s="2">
        <f t="shared" si="1"/>
        <v>0.51</v>
      </c>
      <c r="M85" s="2">
        <f t="array" ref="M85">IF($B85="","",IF($G85="Y",NeutralHFA,IFERROR(INDEX(HFAexcVal,MATCH($F85,HFAexcTeam,0)),HFA_Base)))</f>
        <v>0</v>
      </c>
      <c r="N85" s="2">
        <f t="array" ref="N85">IF($B85="","",IFERROR(INDEX(QBSpreadEff,MATCH($F85,QBTeams,0)),0)-IFERROR(INDEX(QBSpreadEff,MATCH($E85,QBTeams,0)),0))</f>
        <v>0</v>
      </c>
      <c r="O85" s="2">
        <f t="array" ref="O85">IF($B85="","",IFERROR(MEDIAN(-RestCapPts,RestCapPts,RestPerDay*(INDEX(SchedZone,MATCH($A85,SchedSeq,0),MAP!$B$16)-INDEX(SchedZone,MATCH($A85,SchedSeq,0),MAP!$B$15))),0))</f>
        <v>0</v>
      </c>
      <c r="P85" s="2">
        <f>IF($B85="","",SUMIFS(AdjSpread,AdjGameID,$B85,AdjTeam,$F85,AdjActive,1)-SUMIFS(AdjSpread,AdjGameID,$B85,AdjTeam,$E85,AdjActive,1))</f>
        <v>0</v>
      </c>
      <c r="Q85" s="2">
        <f t="shared" si="2"/>
        <v>0.51</v>
      </c>
      <c r="R85" s="11"/>
      <c r="S85" s="2">
        <f t="shared" si="3"/>
        <v>0.51</v>
      </c>
      <c r="T85" s="2" t="str">
        <f t="shared" si="4"/>
        <v>JAX -0.5</v>
      </c>
      <c r="U85" s="2" t="str">
        <f t="array" ref="U85">IF($B85="","",IFERROR(INDEX(MktHomeSpread,MATCH($B85,MktGameID,0)),""))</f>
        <v/>
      </c>
      <c r="V85" s="2" t="str">
        <f t="shared" si="5"/>
        <v/>
      </c>
      <c r="W85" s="2" t="str">
        <f t="shared" si="6"/>
        <v/>
      </c>
      <c r="X85" s="2" t="str">
        <f t="shared" si="7"/>
        <v/>
      </c>
      <c r="Y85" s="2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2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2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2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2">
        <f t="array" ref="AC85">IF($B85="","",IFERROR(INDEX(QBTotEff,MATCH($F85,QBTeams,0)),0)+IFERROR(INDEX(QBTotEff,MATCH($E85,QBTeams,0)),0))</f>
        <v>0</v>
      </c>
      <c r="AD85" s="2">
        <f>IF($B85="","",SUMIFS(AdjTot,AdjGameID,$B85,AdjActive,1))</f>
        <v>0</v>
      </c>
      <c r="AE85" s="2">
        <f t="shared" si="8"/>
        <v>0</v>
      </c>
      <c r="AF85" s="11"/>
      <c r="AG85" s="2">
        <f t="shared" si="9"/>
        <v>0</v>
      </c>
      <c r="AH85" s="2" t="str">
        <f t="array" ref="AH85">IF($B85="","",IFERROR(INDEX(MktTotal,MATCH($B85,MktGameID,0)),""))</f>
        <v/>
      </c>
      <c r="AI85" s="2" t="str">
        <f t="shared" si="10"/>
        <v/>
      </c>
      <c r="AJ85" s="2" t="str">
        <f t="shared" si="11"/>
        <v/>
      </c>
      <c r="AK85" s="2" t="str">
        <f t="shared" si="12"/>
        <v/>
      </c>
      <c r="AL85" s="2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2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2" t="str">
        <f>IF($AG85="","","BET OVER at ≤ "&amp;TEXT($AG85-BetTot,"0.0")&amp;"  |  BET UNDER at ≥ "&amp;TEXT($AG85+BetTot,"0.0"))</f>
        <v>BET OVER at ≤ -3.0  |  BET UNDER at ≥ 3.0</v>
      </c>
      <c r="AO85" s="2" t="str">
        <f t="array" ref="AO85">IF($B85="","",IF(OR(IFERROR(INDEX(QBFlag,MATCH($F85,QBTeams,0)),1)=1,IFERROR(INDEX(QBFlag,MATCH($E85,QBTeams,0)),1)=1),"QB UNCERTAIN",""))</f>
        <v/>
      </c>
      <c r="AP85" s="2" t="str">
        <f t="array" ref="AP85">IF($B85="","",IFERROR(INDEX(DQStatus,MATCH($B85,DQGameID,0)),"BLOCKED — DQ ROW NOT FOUND"))</f>
        <v>READY</v>
      </c>
      <c r="AQ85" s="2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2" t="str">
        <f t="shared" si="13"/>
        <v/>
      </c>
      <c r="AS85" s="2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2" t="str">
        <f t="shared" si="14"/>
        <v/>
      </c>
      <c r="AU85" s="11"/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9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2" t="str">
        <f t="array" ref="G86">IF($B86="","",IF(INDEX(SchedZone,MATCH($A86,SchedSeq,0),MAP!$B$14)="Neutral","Y",""))</f>
        <v/>
      </c>
      <c r="H86" s="2" t="str">
        <f t="array" ref="H86">IF($B86="","",INDEX(SchedZone,MATCH($A86,SchedSeq,0),MAP!$B$17))</f>
        <v/>
      </c>
      <c r="I86" s="2" t="str">
        <f>IF(OR($B86="",$C86&lt;&gt;CurrentWeek),"",COUNTIF($C$5:$C86,CurrentWeek))</f>
        <v/>
      </c>
      <c r="J86" s="2">
        <f t="array" ref="J86">IF($B86="","",IFERROR(INDEX(RatEff,MATCH($E86,RatTeams,0)),"⚠ TEAM NOT FOUND"))</f>
        <v>0.86</v>
      </c>
      <c r="K86" s="2">
        <f t="array" ref="K86">IF($B86="","",IFERROR(INDEX(RatEff,MATCH($F86,RatTeams,0)),"⚠ TEAM NOT FOUND"))</f>
        <v>-0.06</v>
      </c>
      <c r="L86" s="2">
        <f t="shared" si="1"/>
        <v>-0.92</v>
      </c>
      <c r="M86" s="2">
        <f t="array" ref="M86">IF($B86="","",IF($G86="Y",NeutralHFA,IFERROR(INDEX(HFAexcVal,MATCH($F86,HFAexcTeam,0)),HFA_Base)))</f>
        <v>1.6</v>
      </c>
      <c r="N86" s="2">
        <f t="array" ref="N86">IF($B86="","",IFERROR(INDEX(QBSpreadEff,MATCH($F86,QBTeams,0)),0)-IFERROR(INDEX(QBSpreadEff,MATCH($E86,QBTeams,0)),0))</f>
        <v>0</v>
      </c>
      <c r="O86" s="2">
        <f t="array" ref="O86">IF($B86="","",IFERROR(MEDIAN(-RestCapPts,RestCapPts,RestPerDay*(INDEX(SchedZone,MATCH($A86,SchedSeq,0),MAP!$B$16)-INDEX(SchedZone,MATCH($A86,SchedSeq,0),MAP!$B$15))),0))</f>
        <v>0</v>
      </c>
      <c r="P86" s="2">
        <f>IF($B86="","",SUMIFS(AdjSpread,AdjGameID,$B86,AdjTeam,$F86,AdjActive,1)-SUMIFS(AdjSpread,AdjGameID,$B86,AdjTeam,$E86,AdjActive,1))</f>
        <v>0</v>
      </c>
      <c r="Q86" s="2">
        <f t="shared" si="2"/>
        <v>0.68</v>
      </c>
      <c r="R86" s="11"/>
      <c r="S86" s="2">
        <f t="shared" si="3"/>
        <v>0.68</v>
      </c>
      <c r="T86" s="2" t="str">
        <f t="shared" si="4"/>
        <v>ATL -0.7</v>
      </c>
      <c r="U86" s="2" t="str">
        <f t="array" ref="U86">IF($B86="","",IFERROR(INDEX(MktHomeSpread,MATCH($B86,MktGameID,0)),""))</f>
        <v/>
      </c>
      <c r="V86" s="2" t="str">
        <f t="shared" si="5"/>
        <v/>
      </c>
      <c r="W86" s="2" t="str">
        <f t="shared" si="6"/>
        <v/>
      </c>
      <c r="X86" s="2" t="str">
        <f t="shared" si="7"/>
        <v/>
      </c>
      <c r="Y86" s="2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2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2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2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2">
        <f t="array" ref="AC86">IF($B86="","",IFERROR(INDEX(QBTotEff,MATCH($F86,QBTeams,0)),0)+IFERROR(INDEX(QBTotEff,MATCH($E86,QBTeams,0)),0))</f>
        <v>0</v>
      </c>
      <c r="AD86" s="2">
        <f>IF($B86="","",SUMIFS(AdjTot,AdjGameID,$B86,AdjActive,1))</f>
        <v>0</v>
      </c>
      <c r="AE86" s="2">
        <f t="shared" si="8"/>
        <v>0</v>
      </c>
      <c r="AF86" s="11"/>
      <c r="AG86" s="2">
        <f t="shared" si="9"/>
        <v>0</v>
      </c>
      <c r="AH86" s="2" t="str">
        <f t="array" ref="AH86">IF($B86="","",IFERROR(INDEX(MktTotal,MATCH($B86,MktGameID,0)),""))</f>
        <v/>
      </c>
      <c r="AI86" s="2" t="str">
        <f t="shared" si="10"/>
        <v/>
      </c>
      <c r="AJ86" s="2" t="str">
        <f t="shared" si="11"/>
        <v/>
      </c>
      <c r="AK86" s="2" t="str">
        <f t="shared" si="12"/>
        <v/>
      </c>
      <c r="AL86" s="2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2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2" t="str">
        <f>IF($AG86="","","BET OVER at ≤ "&amp;TEXT($AG86-BetTot,"0.0")&amp;"  |  BET UNDER at ≥ "&amp;TEXT($AG86+BetTot,"0.0"))</f>
        <v>BET OVER at ≤ -3.0  |  BET UNDER at ≥ 3.0</v>
      </c>
      <c r="AO86" s="2" t="str">
        <f t="array" ref="AO86">IF($B86="","",IF(OR(IFERROR(INDEX(QBFlag,MATCH($F86,QBTeams,0)),1)=1,IFERROR(INDEX(QBFlag,MATCH($E86,QBTeams,0)),1)=1),"QB UNCERTAIN",""))</f>
        <v>QB UNCERTAIN</v>
      </c>
      <c r="AP86" s="2" t="str">
        <f t="array" ref="AP86">IF($B86="","",IFERROR(INDEX(DQStatus,MATCH($B86,DQGameID,0)),"BLOCKED — DQ ROW NOT FOUND"))</f>
        <v>READY</v>
      </c>
      <c r="AQ86" s="2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2" t="str">
        <f t="shared" si="13"/>
        <v/>
      </c>
      <c r="AS86" s="2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2" t="str">
        <f t="shared" si="14"/>
        <v/>
      </c>
      <c r="AU86" s="11"/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9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2" t="str">
        <f t="array" ref="G87">IF($B87="","",IF(INDEX(SchedZone,MATCH($A87,SchedSeq,0),MAP!$B$14)="Neutral","Y",""))</f>
        <v/>
      </c>
      <c r="H87" s="2" t="str">
        <f t="array" ref="H87">IF($B87="","",INDEX(SchedZone,MATCH($A87,SchedSeq,0),MAP!$B$17))</f>
        <v>outdoors</v>
      </c>
      <c r="I87" s="2" t="str">
        <f>IF(OR($B87="",$C87&lt;&gt;CurrentWeek),"",COUNTIF($C$5:$C87,CurrentWeek))</f>
        <v/>
      </c>
      <c r="J87" s="2">
        <f t="array" ref="J87">IF($B87="","",IFERROR(INDEX(RatEff,MATCH($E87,RatTeams,0)),"⚠ TEAM NOT FOUND"))</f>
        <v>0.92</v>
      </c>
      <c r="K87" s="2">
        <f t="array" ref="K87">IF($B87="","",IFERROR(INDEX(RatEff,MATCH($F87,RatTeams,0)),"⚠ TEAM NOT FOUND"))</f>
        <v>-2.6</v>
      </c>
      <c r="L87" s="2">
        <f t="shared" si="1"/>
        <v>-3.52</v>
      </c>
      <c r="M87" s="2">
        <f t="array" ref="M87">IF($B87="","",IF($G87="Y",NeutralHFA,IFERROR(INDEX(HFAexcVal,MATCH($F87,HFAexcTeam,0)),HFA_Base)))</f>
        <v>1.6</v>
      </c>
      <c r="N87" s="2">
        <f t="array" ref="N87">IF($B87="","",IFERROR(INDEX(QBSpreadEff,MATCH($F87,QBTeams,0)),0)-IFERROR(INDEX(QBSpreadEff,MATCH($E87,QBTeams,0)),0))</f>
        <v>0</v>
      </c>
      <c r="O87" s="2">
        <f t="array" ref="O87">IF($B87="","",IFERROR(MEDIAN(-RestCapPts,RestCapPts,RestPerDay*(INDEX(SchedZone,MATCH($A87,SchedSeq,0),MAP!$B$16)-INDEX(SchedZone,MATCH($A87,SchedSeq,0),MAP!$B$15))),0))</f>
        <v>0</v>
      </c>
      <c r="P87" s="2">
        <f>IF($B87="","",SUMIFS(AdjSpread,AdjGameID,$B87,AdjTeam,$F87,AdjActive,1)-SUMIFS(AdjSpread,AdjGameID,$B87,AdjTeam,$E87,AdjActive,1))</f>
        <v>0</v>
      </c>
      <c r="Q87" s="2">
        <f t="shared" si="2"/>
        <v>-1.92</v>
      </c>
      <c r="R87" s="11"/>
      <c r="S87" s="2">
        <f t="shared" si="3"/>
        <v>-1.92</v>
      </c>
      <c r="T87" s="2" t="str">
        <f t="shared" si="4"/>
        <v>BAL -1.9</v>
      </c>
      <c r="U87" s="2" t="str">
        <f t="array" ref="U87">IF($B87="","",IFERROR(INDEX(MktHomeSpread,MATCH($B87,MktGameID,0)),""))</f>
        <v/>
      </c>
      <c r="V87" s="2" t="str">
        <f t="shared" si="5"/>
        <v/>
      </c>
      <c r="W87" s="2" t="str">
        <f t="shared" si="6"/>
        <v/>
      </c>
      <c r="X87" s="2" t="str">
        <f t="shared" si="7"/>
        <v/>
      </c>
      <c r="Y87" s="2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2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2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2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2">
        <f t="array" ref="AC87">IF($B87="","",IFERROR(INDEX(QBTotEff,MATCH($F87,QBTeams,0)),0)+IFERROR(INDEX(QBTotEff,MATCH($E87,QBTeams,0)),0))</f>
        <v>0</v>
      </c>
      <c r="AD87" s="2">
        <f>IF($B87="","",SUMIFS(AdjTot,AdjGameID,$B87,AdjActive,1))</f>
        <v>0</v>
      </c>
      <c r="AE87" s="2">
        <f t="shared" si="8"/>
        <v>0</v>
      </c>
      <c r="AF87" s="11"/>
      <c r="AG87" s="2">
        <f t="shared" si="9"/>
        <v>0</v>
      </c>
      <c r="AH87" s="2" t="str">
        <f t="array" ref="AH87">IF($B87="","",IFERROR(INDEX(MktTotal,MATCH($B87,MktGameID,0)),""))</f>
        <v/>
      </c>
      <c r="AI87" s="2" t="str">
        <f t="shared" si="10"/>
        <v/>
      </c>
      <c r="AJ87" s="2" t="str">
        <f t="shared" si="11"/>
        <v/>
      </c>
      <c r="AK87" s="2" t="str">
        <f t="shared" si="12"/>
        <v/>
      </c>
      <c r="AL87" s="2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Low</v>
      </c>
      <c r="AM87" s="2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2" t="str">
        <f>IF($AG87="","","BET OVER at ≤ "&amp;TEXT($AG87-BetTot,"0.0")&amp;"  |  BET UNDER at ≥ "&amp;TEXT($AG87+BetTot,"0.0"))</f>
        <v>BET OVER at ≤ -3.0  |  BET UNDER at ≥ 3.0</v>
      </c>
      <c r="AO87" s="2" t="str">
        <f t="array" ref="AO87">IF($B87="","",IF(OR(IFERROR(INDEX(QBFlag,MATCH($F87,QBTeams,0)),1)=1,IFERROR(INDEX(QBFlag,MATCH($E87,QBTeams,0)),1)=1),"QB UNCERTAIN",""))</f>
        <v>QB UNCERTAIN</v>
      </c>
      <c r="AP87" s="2" t="str">
        <f t="array" ref="AP87">IF($B87="","",IFERROR(INDEX(DQStatus,MATCH($B87,DQGameID,0)),"BLOCKED — DQ ROW NOT FOUND"))</f>
        <v>READY</v>
      </c>
      <c r="AQ87" s="2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2" t="str">
        <f t="shared" si="13"/>
        <v/>
      </c>
      <c r="AS87" s="2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2" t="str">
        <f t="shared" si="14"/>
        <v/>
      </c>
      <c r="AU87" s="11"/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9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2" t="str">
        <f t="array" ref="G88">IF($B88="","",IF(INDEX(SchedZone,MATCH($A88,SchedSeq,0),MAP!$B$14)="Neutral","Y",""))</f>
        <v/>
      </c>
      <c r="H88" s="2" t="str">
        <f t="array" ref="H88">IF($B88="","",INDEX(SchedZone,MATCH($A88,SchedSeq,0),MAP!$B$17))</f>
        <v/>
      </c>
      <c r="I88" s="2" t="str">
        <f>IF(OR($B88="",$C88&lt;&gt;CurrentWeek),"",COUNTIF($C$5:$C88,CurrentWeek))</f>
        <v/>
      </c>
      <c r="J88" s="2">
        <f t="array" ref="J88">IF($B88="","",IFERROR(INDEX(RatEff,MATCH($E88,RatTeams,0)),"⚠ TEAM NOT FOUND"))</f>
        <v>-3.14</v>
      </c>
      <c r="K88" s="2">
        <f t="array" ref="K88">IF($B88="","",IFERROR(INDEX(RatEff,MATCH($F88,RatTeams,0)),"⚠ TEAM NOT FOUND"))</f>
        <v>0.82</v>
      </c>
      <c r="L88" s="2">
        <f t="shared" si="1"/>
        <v>3.96</v>
      </c>
      <c r="M88" s="2">
        <f t="array" ref="M88">IF($B88="","",IF($G88="Y",NeutralHFA,IFERROR(INDEX(HFAexcVal,MATCH($F88,HFAexcTeam,0)),HFA_Base)))</f>
        <v>1.6</v>
      </c>
      <c r="N88" s="2">
        <f t="array" ref="N88">IF($B88="","",IFERROR(INDEX(QBSpreadEff,MATCH($F88,QBTeams,0)),0)-IFERROR(INDEX(QBSpreadEff,MATCH($E88,QBTeams,0)),0))</f>
        <v>0</v>
      </c>
      <c r="O88" s="2">
        <f t="array" ref="O88">IF($B88="","",IFERROR(MEDIAN(-RestCapPts,RestCapPts,RestPerDay*(INDEX(SchedZone,MATCH($A88,SchedSeq,0),MAP!$B$16)-INDEX(SchedZone,MATCH($A88,SchedSeq,0),MAP!$B$15))),0))</f>
        <v>0</v>
      </c>
      <c r="P88" s="2">
        <f>IF($B88="","",SUMIFS(AdjSpread,AdjGameID,$B88,AdjTeam,$F88,AdjActive,1)-SUMIFS(AdjSpread,AdjGameID,$B88,AdjTeam,$E88,AdjActive,1))</f>
        <v>0</v>
      </c>
      <c r="Q88" s="2">
        <f t="shared" si="2"/>
        <v>5.56</v>
      </c>
      <c r="R88" s="11"/>
      <c r="S88" s="2">
        <f t="shared" si="3"/>
        <v>5.56</v>
      </c>
      <c r="T88" s="2" t="str">
        <f t="shared" si="4"/>
        <v>IND -5.6</v>
      </c>
      <c r="U88" s="2" t="str">
        <f t="array" ref="U88">IF($B88="","",IFERROR(INDEX(MktHomeSpread,MATCH($B88,MktGameID,0)),""))</f>
        <v/>
      </c>
      <c r="V88" s="2" t="str">
        <f t="shared" si="5"/>
        <v/>
      </c>
      <c r="W88" s="2" t="str">
        <f t="shared" si="6"/>
        <v/>
      </c>
      <c r="X88" s="2" t="str">
        <f t="shared" si="7"/>
        <v/>
      </c>
      <c r="Y88" s="2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2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2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2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2">
        <f t="array" ref="AC88">IF($B88="","",IFERROR(INDEX(QBTotEff,MATCH($F88,QBTeams,0)),0)+IFERROR(INDEX(QBTotEff,MATCH($E88,QBTeams,0)),0))</f>
        <v>0</v>
      </c>
      <c r="AD88" s="2">
        <f>IF($B88="","",SUMIFS(AdjTot,AdjGameID,$B88,AdjActive,1))</f>
        <v>0</v>
      </c>
      <c r="AE88" s="2">
        <f t="shared" si="8"/>
        <v>0</v>
      </c>
      <c r="AF88" s="11"/>
      <c r="AG88" s="2">
        <f t="shared" si="9"/>
        <v>0</v>
      </c>
      <c r="AH88" s="2" t="str">
        <f t="array" ref="AH88">IF($B88="","",IFERROR(INDEX(MktTotal,MATCH($B88,MktGameID,0)),""))</f>
        <v/>
      </c>
      <c r="AI88" s="2" t="str">
        <f t="shared" si="10"/>
        <v/>
      </c>
      <c r="AJ88" s="2" t="str">
        <f t="shared" si="11"/>
        <v/>
      </c>
      <c r="AK88" s="2" t="str">
        <f t="shared" si="12"/>
        <v/>
      </c>
      <c r="AL88" s="2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2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2" t="str">
        <f>IF($AG88="","","BET OVER at ≤ "&amp;TEXT($AG88-BetTot,"0.0")&amp;"  |  BET UNDER at ≥ "&amp;TEXT($AG88+BetTot,"0.0"))</f>
        <v>BET OVER at ≤ -3.0  |  BET UNDER at ≥ 3.0</v>
      </c>
      <c r="AO88" s="2" t="str">
        <f t="array" ref="AO88">IF($B88="","",IF(OR(IFERROR(INDEX(QBFlag,MATCH($F88,QBTeams,0)),1)=1,IFERROR(INDEX(QBFlag,MATCH($E88,QBTeams,0)),1)=1),"QB UNCERTAIN",""))</f>
        <v/>
      </c>
      <c r="AP88" s="2" t="str">
        <f t="array" ref="AP88">IF($B88="","",IFERROR(INDEX(DQStatus,MATCH($B88,DQGameID,0)),"BLOCKED — DQ ROW NOT FOUND"))</f>
        <v>READY</v>
      </c>
      <c r="AQ88" s="2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2" t="str">
        <f t="shared" si="13"/>
        <v/>
      </c>
      <c r="AS88" s="2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2" t="str">
        <f t="shared" si="14"/>
        <v/>
      </c>
      <c r="AU88" s="11"/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9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2" t="str">
        <f t="array" ref="G89">IF($B89="","",IF(INDEX(SchedZone,MATCH($A89,SchedSeq,0),MAP!$B$14)="Neutral","Y",""))</f>
        <v/>
      </c>
      <c r="H89" s="2" t="str">
        <f t="array" ref="H89">IF($B89="","",INDEX(SchedZone,MATCH($A89,SchedSeq,0),MAP!$B$17))</f>
        <v>outdoors</v>
      </c>
      <c r="I89" s="2" t="str">
        <f>IF(OR($B89="",$C89&lt;&gt;CurrentWeek),"",COUNTIF($C$5:$C89,CurrentWeek))</f>
        <v/>
      </c>
      <c r="J89" s="2">
        <f t="array" ref="J89">IF($B89="","",IFERROR(INDEX(RatEff,MATCH($E89,RatTeams,0)),"⚠ TEAM NOT FOUND"))</f>
        <v>-4.67</v>
      </c>
      <c r="K89" s="2">
        <f t="array" ref="K89">IF($B89="","",IFERROR(INDEX(RatEff,MATCH($F89,RatTeams,0)),"⚠ TEAM NOT FOUND"))</f>
        <v>2.09</v>
      </c>
      <c r="L89" s="2">
        <f t="shared" si="1"/>
        <v>6.76</v>
      </c>
      <c r="M89" s="2">
        <f t="array" ref="M89">IF($B89="","",IF($G89="Y",NeutralHFA,IFERROR(INDEX(HFAexcVal,MATCH($F89,HFAexcTeam,0)),HFA_Base)))</f>
        <v>1.6</v>
      </c>
      <c r="N89" s="2">
        <f t="array" ref="N89">IF($B89="","",IFERROR(INDEX(QBSpreadEff,MATCH($F89,QBTeams,0)),0)-IFERROR(INDEX(QBSpreadEff,MATCH($E89,QBTeams,0)),0))</f>
        <v>0</v>
      </c>
      <c r="O89" s="2">
        <f t="array" ref="O89">IF($B89="","",IFERROR(MEDIAN(-RestCapPts,RestCapPts,RestPerDay*(INDEX(SchedZone,MATCH($A89,SchedSeq,0),MAP!$B$16)-INDEX(SchedZone,MATCH($A89,SchedSeq,0),MAP!$B$15))),0))</f>
        <v>0</v>
      </c>
      <c r="P89" s="2">
        <f>IF($B89="","",SUMIFS(AdjSpread,AdjGameID,$B89,AdjTeam,$F89,AdjActive,1)-SUMIFS(AdjSpread,AdjGameID,$B89,AdjTeam,$E89,AdjActive,1))</f>
        <v>0</v>
      </c>
      <c r="Q89" s="2">
        <f t="shared" si="2"/>
        <v>8.36</v>
      </c>
      <c r="R89" s="11"/>
      <c r="S89" s="2">
        <f t="shared" si="3"/>
        <v>8.36</v>
      </c>
      <c r="T89" s="2" t="str">
        <f t="shared" si="4"/>
        <v>NE -8.4</v>
      </c>
      <c r="U89" s="2" t="str">
        <f t="array" ref="U89">IF($B89="","",IFERROR(INDEX(MktHomeSpread,MATCH($B89,MktGameID,0)),""))</f>
        <v/>
      </c>
      <c r="V89" s="2" t="str">
        <f t="shared" si="5"/>
        <v/>
      </c>
      <c r="W89" s="2" t="str">
        <f t="shared" si="6"/>
        <v/>
      </c>
      <c r="X89" s="2" t="str">
        <f t="shared" si="7"/>
        <v/>
      </c>
      <c r="Y89" s="2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2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2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2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2">
        <f t="array" ref="AC89">IF($B89="","",IFERROR(INDEX(QBTotEff,MATCH($F89,QBTeams,0)),0)+IFERROR(INDEX(QBTotEff,MATCH($E89,QBTeams,0)),0))</f>
        <v>0</v>
      </c>
      <c r="AD89" s="2">
        <f>IF($B89="","",SUMIFS(AdjTot,AdjGameID,$B89,AdjActive,1))</f>
        <v>0</v>
      </c>
      <c r="AE89" s="2">
        <f t="shared" si="8"/>
        <v>0</v>
      </c>
      <c r="AF89" s="11"/>
      <c r="AG89" s="2">
        <f t="shared" si="9"/>
        <v>0</v>
      </c>
      <c r="AH89" s="2" t="str">
        <f t="array" ref="AH89">IF($B89="","",IFERROR(INDEX(MktTotal,MATCH($B89,MktGameID,0)),""))</f>
        <v/>
      </c>
      <c r="AI89" s="2" t="str">
        <f t="shared" si="10"/>
        <v/>
      </c>
      <c r="AJ89" s="2" t="str">
        <f t="shared" si="11"/>
        <v/>
      </c>
      <c r="AK89" s="2" t="str">
        <f t="shared" si="12"/>
        <v/>
      </c>
      <c r="AL89" s="2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2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2" t="str">
        <f>IF($AG89="","","BET OVER at ≤ "&amp;TEXT($AG89-BetTot,"0.0")&amp;"  |  BET UNDER at ≥ "&amp;TEXT($AG89+BetTot,"0.0"))</f>
        <v>BET OVER at ≤ -3.0  |  BET UNDER at ≥ 3.0</v>
      </c>
      <c r="AO89" s="2" t="str">
        <f t="array" ref="AO89">IF($B89="","",IF(OR(IFERROR(INDEX(QBFlag,MATCH($F89,QBTeams,0)),1)=1,IFERROR(INDEX(QBFlag,MATCH($E89,QBTeams,0)),1)=1),"QB UNCERTAIN",""))</f>
        <v/>
      </c>
      <c r="AP89" s="2" t="str">
        <f t="array" ref="AP89">IF($B89="","",IFERROR(INDEX(DQStatus,MATCH($B89,DQGameID,0)),"BLOCKED — DQ ROW NOT FOUND"))</f>
        <v>READY</v>
      </c>
      <c r="AQ89" s="2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2" t="str">
        <f t="shared" si="13"/>
        <v/>
      </c>
      <c r="AS89" s="2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2" t="str">
        <f t="shared" si="14"/>
        <v/>
      </c>
      <c r="AU89" s="11"/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9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2" t="str">
        <f t="array" ref="G90">IF($B90="","",IF(INDEX(SchedZone,MATCH($A90,SchedSeq,0),MAP!$B$14)="Neutral","Y",""))</f>
        <v/>
      </c>
      <c r="H90" s="2" t="str">
        <f t="array" ref="H90">IF($B90="","",INDEX(SchedZone,MATCH($A90,SchedSeq,0),MAP!$B$17))</f>
        <v>outdoors</v>
      </c>
      <c r="I90" s="2" t="str">
        <f>IF(OR($B90="",$C90&lt;&gt;CurrentWeek),"",COUNTIF($C$5:$C90,CurrentWeek))</f>
        <v/>
      </c>
      <c r="J90" s="2">
        <f t="array" ref="J90">IF($B90="","",IFERROR(INDEX(RatEff,MATCH($E90,RatTeams,0)),"⚠ TEAM NOT FOUND"))</f>
        <v>-0.94</v>
      </c>
      <c r="K90" s="2">
        <f t="array" ref="K90">IF($B90="","",IFERROR(INDEX(RatEff,MATCH($F90,RatTeams,0)),"⚠ TEAM NOT FOUND"))</f>
        <v>-1.59</v>
      </c>
      <c r="L90" s="2">
        <f t="shared" si="1"/>
        <v>-0.65</v>
      </c>
      <c r="M90" s="2">
        <f t="array" ref="M90">IF($B90="","",IF($G90="Y",NeutralHFA,IFERROR(INDEX(HFAexcVal,MATCH($F90,HFAexcTeam,0)),HFA_Base)))</f>
        <v>1.6</v>
      </c>
      <c r="N90" s="2">
        <f t="array" ref="N90">IF($B90="","",IFERROR(INDEX(QBSpreadEff,MATCH($F90,QBTeams,0)),0)-IFERROR(INDEX(QBSpreadEff,MATCH($E90,QBTeams,0)),0))</f>
        <v>0</v>
      </c>
      <c r="O90" s="2">
        <f t="array" ref="O90">IF($B90="","",IFERROR(MEDIAN(-RestCapPts,RestCapPts,RestPerDay*(INDEX(SchedZone,MATCH($A90,SchedSeq,0),MAP!$B$16)-INDEX(SchedZone,MATCH($A90,SchedSeq,0),MAP!$B$15))),0))</f>
        <v>0</v>
      </c>
      <c r="P90" s="2">
        <f>IF($B90="","",SUMIFS(AdjSpread,AdjGameID,$B90,AdjTeam,$F90,AdjActive,1)-SUMIFS(AdjSpread,AdjGameID,$B90,AdjTeam,$E90,AdjActive,1))</f>
        <v>0</v>
      </c>
      <c r="Q90" s="2">
        <f t="shared" si="2"/>
        <v>0.95</v>
      </c>
      <c r="R90" s="11"/>
      <c r="S90" s="2">
        <f t="shared" si="3"/>
        <v>0.95</v>
      </c>
      <c r="T90" s="2" t="str">
        <f t="shared" si="4"/>
        <v>NYG -1.0</v>
      </c>
      <c r="U90" s="2" t="str">
        <f t="array" ref="U90">IF($B90="","",IFERROR(INDEX(MktHomeSpread,MATCH($B90,MktGameID,0)),""))</f>
        <v/>
      </c>
      <c r="V90" s="2" t="str">
        <f t="shared" si="5"/>
        <v/>
      </c>
      <c r="W90" s="2" t="str">
        <f t="shared" si="6"/>
        <v/>
      </c>
      <c r="X90" s="2" t="str">
        <f t="shared" si="7"/>
        <v/>
      </c>
      <c r="Y90" s="2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2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2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2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2">
        <f t="array" ref="AC90">IF($B90="","",IFERROR(INDEX(QBTotEff,MATCH($F90,QBTeams,0)),0)+IFERROR(INDEX(QBTotEff,MATCH($E90,QBTeams,0)),0))</f>
        <v>0</v>
      </c>
      <c r="AD90" s="2">
        <f>IF($B90="","",SUMIFS(AdjTot,AdjGameID,$B90,AdjActive,1))</f>
        <v>0</v>
      </c>
      <c r="AE90" s="2">
        <f t="shared" si="8"/>
        <v>0</v>
      </c>
      <c r="AF90" s="11"/>
      <c r="AG90" s="2">
        <f t="shared" si="9"/>
        <v>0</v>
      </c>
      <c r="AH90" s="2" t="str">
        <f t="array" ref="AH90">IF($B90="","",IFERROR(INDEX(MktTotal,MATCH($B90,MktGameID,0)),""))</f>
        <v/>
      </c>
      <c r="AI90" s="2" t="str">
        <f t="shared" si="10"/>
        <v/>
      </c>
      <c r="AJ90" s="2" t="str">
        <f t="shared" si="11"/>
        <v/>
      </c>
      <c r="AK90" s="2" t="str">
        <f t="shared" si="12"/>
        <v/>
      </c>
      <c r="AL90" s="2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2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2" t="str">
        <f>IF($AG90="","","BET OVER at ≤ "&amp;TEXT($AG90-BetTot,"0.0")&amp;"  |  BET UNDER at ≥ "&amp;TEXT($AG90+BetTot,"0.0"))</f>
        <v>BET OVER at ≤ -3.0  |  BET UNDER at ≥ 3.0</v>
      </c>
      <c r="AO90" s="2" t="str">
        <f t="array" ref="AO90">IF($B90="","",IF(OR(IFERROR(INDEX(QBFlag,MATCH($F90,QBTeams,0)),1)=1,IFERROR(INDEX(QBFlag,MATCH($E90,QBTeams,0)),1)=1),"QB UNCERTAIN",""))</f>
        <v/>
      </c>
      <c r="AP90" s="2" t="str">
        <f t="array" ref="AP90">IF($B90="","",IFERROR(INDEX(DQStatus,MATCH($B90,DQGameID,0)),"BLOCKED — DQ ROW NOT FOUND"))</f>
        <v>READY</v>
      </c>
      <c r="AQ90" s="2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2" t="str">
        <f t="shared" si="13"/>
        <v/>
      </c>
      <c r="AS90" s="2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2" t="str">
        <f t="shared" si="14"/>
        <v/>
      </c>
      <c r="AU90" s="11"/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9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2" t="str">
        <f t="array" ref="G91">IF($B91="","",IF(INDEX(SchedZone,MATCH($A91,SchedSeq,0),MAP!$B$14)="Neutral","Y",""))</f>
        <v/>
      </c>
      <c r="H91" s="2" t="str">
        <f t="array" ref="H91">IF($B91="","",INDEX(SchedZone,MATCH($A91,SchedSeq,0),MAP!$B$17))</f>
        <v>outdoors</v>
      </c>
      <c r="I91" s="2" t="str">
        <f>IF(OR($B91="",$C91&lt;&gt;CurrentWeek),"",COUNTIF($C$5:$C91,CurrentWeek))</f>
        <v/>
      </c>
      <c r="J91" s="2">
        <f t="array" ref="J91">IF($B91="","",IFERROR(INDEX(RatEff,MATCH($E91,RatTeams,0)),"⚠ TEAM NOT FOUND"))</f>
        <v>-1.3</v>
      </c>
      <c r="K91" s="2">
        <f t="array" ref="K91">IF($B91="","",IFERROR(INDEX(RatEff,MATCH($F91,RatTeams,0)),"⚠ TEAM NOT FOUND"))</f>
        <v>1.5</v>
      </c>
      <c r="L91" s="2">
        <f t="shared" si="1"/>
        <v>2.8</v>
      </c>
      <c r="M91" s="2">
        <f t="array" ref="M91">IF($B91="","",IF($G91="Y",NeutralHFA,IFERROR(INDEX(HFAexcVal,MATCH($F91,HFAexcTeam,0)),HFA_Base)))</f>
        <v>1.6</v>
      </c>
      <c r="N91" s="2">
        <f t="array" ref="N91">IF($B91="","",IFERROR(INDEX(QBSpreadEff,MATCH($F91,QBTeams,0)),0)-IFERROR(INDEX(QBSpreadEff,MATCH($E91,QBTeams,0)),0))</f>
        <v>0</v>
      </c>
      <c r="O91" s="2">
        <f t="array" ref="O91">IF($B91="","",IFERROR(MEDIAN(-RestCapPts,RestCapPts,RestPerDay*(INDEX(SchedZone,MATCH($A91,SchedSeq,0),MAP!$B$16)-INDEX(SchedZone,MATCH($A91,SchedSeq,0),MAP!$B$15))),0))</f>
        <v>-0.7</v>
      </c>
      <c r="P91" s="2">
        <f>IF($B91="","",SUMIFS(AdjSpread,AdjGameID,$B91,AdjTeam,$F91,AdjActive,1)-SUMIFS(AdjSpread,AdjGameID,$B91,AdjTeam,$E91,AdjActive,1))</f>
        <v>0</v>
      </c>
      <c r="Q91" s="2">
        <f t="shared" si="2"/>
        <v>3.7</v>
      </c>
      <c r="R91" s="11"/>
      <c r="S91" s="2">
        <f t="shared" si="3"/>
        <v>3.7</v>
      </c>
      <c r="T91" s="2" t="str">
        <f t="shared" si="4"/>
        <v>PHI -3.7</v>
      </c>
      <c r="U91" s="2" t="str">
        <f t="array" ref="U91">IF($B91="","",IFERROR(INDEX(MktHomeSpread,MATCH($B91,MktGameID,0)),""))</f>
        <v/>
      </c>
      <c r="V91" s="2" t="str">
        <f t="shared" si="5"/>
        <v/>
      </c>
      <c r="W91" s="2" t="str">
        <f t="shared" si="6"/>
        <v/>
      </c>
      <c r="X91" s="2" t="str">
        <f t="shared" si="7"/>
        <v/>
      </c>
      <c r="Y91" s="2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2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2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2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2">
        <f t="array" ref="AC91">IF($B91="","",IFERROR(INDEX(QBTotEff,MATCH($F91,QBTeams,0)),0)+IFERROR(INDEX(QBTotEff,MATCH($E91,QBTeams,0)),0))</f>
        <v>0</v>
      </c>
      <c r="AD91" s="2">
        <f>IF($B91="","",SUMIFS(AdjTot,AdjGameID,$B91,AdjActive,1))</f>
        <v>0</v>
      </c>
      <c r="AE91" s="2">
        <f t="shared" si="8"/>
        <v>0</v>
      </c>
      <c r="AF91" s="11"/>
      <c r="AG91" s="2">
        <f t="shared" si="9"/>
        <v>0</v>
      </c>
      <c r="AH91" s="2" t="str">
        <f t="array" ref="AH91">IF($B91="","",IFERROR(INDEX(MktTotal,MATCH($B91,MktGameID,0)),""))</f>
        <v/>
      </c>
      <c r="AI91" s="2" t="str">
        <f t="shared" si="10"/>
        <v/>
      </c>
      <c r="AJ91" s="2" t="str">
        <f t="shared" si="11"/>
        <v/>
      </c>
      <c r="AK91" s="2" t="str">
        <f t="shared" si="12"/>
        <v/>
      </c>
      <c r="AL91" s="2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2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2" t="str">
        <f>IF($AG91="","","BET OVER at ≤ "&amp;TEXT($AG91-BetTot,"0.0")&amp;"  |  BET UNDER at ≥ "&amp;TEXT($AG91+BetTot,"0.0"))</f>
        <v>BET OVER at ≤ -3.0  |  BET UNDER at ≥ 3.0</v>
      </c>
      <c r="AO91" s="2" t="str">
        <f t="array" ref="AO91">IF($B91="","",IF(OR(IFERROR(INDEX(QBFlag,MATCH($F91,QBTeams,0)),1)=1,IFERROR(INDEX(QBFlag,MATCH($E91,QBTeams,0)),1)=1),"QB UNCERTAIN",""))</f>
        <v/>
      </c>
      <c r="AP91" s="2" t="str">
        <f t="array" ref="AP91">IF($B91="","",IFERROR(INDEX(DQStatus,MATCH($B91,DQGameID,0)),"BLOCKED — DQ ROW NOT FOUND"))</f>
        <v>READY</v>
      </c>
      <c r="AQ91" s="2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2" t="str">
        <f t="shared" si="13"/>
        <v/>
      </c>
      <c r="AS91" s="2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2" t="str">
        <f t="shared" si="14"/>
        <v/>
      </c>
      <c r="AU91" s="11"/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9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2" t="str">
        <f t="array" ref="G92">IF($B92="","",IF(INDEX(SchedZone,MATCH($A92,SchedSeq,0),MAP!$B$14)="Neutral","Y",""))</f>
        <v/>
      </c>
      <c r="H92" s="2" t="str">
        <f t="array" ref="H92">IF($B92="","",INDEX(SchedZone,MATCH($A92,SchedSeq,0),MAP!$B$17))</f>
        <v>outdoors</v>
      </c>
      <c r="I92" s="2" t="str">
        <f>IF(OR($B92="",$C92&lt;&gt;CurrentWeek),"",COUNTIF($C$5:$C92,CurrentWeek))</f>
        <v/>
      </c>
      <c r="J92" s="2">
        <f t="array" ref="J92">IF($B92="","",IFERROR(INDEX(RatEff,MATCH($E92,RatTeams,0)),"⚠ TEAM NOT FOUND"))</f>
        <v>0.66</v>
      </c>
      <c r="K92" s="2">
        <f t="array" ref="K92">IF($B92="","",IFERROR(INDEX(RatEff,MATCH($F92,RatTeams,0)),"⚠ TEAM NOT FOUND"))</f>
        <v>-0.48</v>
      </c>
      <c r="L92" s="2">
        <f t="shared" si="1"/>
        <v>-1.14</v>
      </c>
      <c r="M92" s="2">
        <f t="array" ref="M92">IF($B92="","",IF($G92="Y",NeutralHFA,IFERROR(INDEX(HFAexcVal,MATCH($F92,HFAexcTeam,0)),HFA_Base)))</f>
        <v>1.6</v>
      </c>
      <c r="N92" s="2">
        <f t="array" ref="N92">IF($B92="","",IFERROR(INDEX(QBSpreadEff,MATCH($F92,QBTeams,0)),0)-IFERROR(INDEX(QBSpreadEff,MATCH($E92,QBTeams,0)),0))</f>
        <v>0</v>
      </c>
      <c r="O92" s="2">
        <f t="array" ref="O92">IF($B92="","",IFERROR(MEDIAN(-RestCapPts,RestCapPts,RestPerDay*(INDEX(SchedZone,MATCH($A92,SchedSeq,0),MAP!$B$16)-INDEX(SchedZone,MATCH($A92,SchedSeq,0),MAP!$B$15))),0))</f>
        <v>0.3</v>
      </c>
      <c r="P92" s="2">
        <f>IF($B92="","",SUMIFS(AdjSpread,AdjGameID,$B92,AdjTeam,$F92,AdjActive,1)-SUMIFS(AdjSpread,AdjGameID,$B92,AdjTeam,$E92,AdjActive,1))</f>
        <v>0</v>
      </c>
      <c r="Q92" s="2">
        <f t="shared" si="2"/>
        <v>0.76</v>
      </c>
      <c r="R92" s="11"/>
      <c r="S92" s="2">
        <f t="shared" si="3"/>
        <v>0.76</v>
      </c>
      <c r="T92" s="2" t="str">
        <f t="shared" si="4"/>
        <v>TB -0.8</v>
      </c>
      <c r="U92" s="2" t="str">
        <f t="array" ref="U92">IF($B92="","",IFERROR(INDEX(MktHomeSpread,MATCH($B92,MktGameID,0)),""))</f>
        <v/>
      </c>
      <c r="V92" s="2" t="str">
        <f t="shared" si="5"/>
        <v/>
      </c>
      <c r="W92" s="2" t="str">
        <f t="shared" si="6"/>
        <v/>
      </c>
      <c r="X92" s="2" t="str">
        <f t="shared" si="7"/>
        <v/>
      </c>
      <c r="Y92" s="2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2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2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2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2">
        <f t="array" ref="AC92">IF($B92="","",IFERROR(INDEX(QBTotEff,MATCH($F92,QBTeams,0)),0)+IFERROR(INDEX(QBTotEff,MATCH($E92,QBTeams,0)),0))</f>
        <v>0</v>
      </c>
      <c r="AD92" s="2">
        <f>IF($B92="","",SUMIFS(AdjTot,AdjGameID,$B92,AdjActive,1))</f>
        <v>0</v>
      </c>
      <c r="AE92" s="2">
        <f t="shared" si="8"/>
        <v>0</v>
      </c>
      <c r="AF92" s="11"/>
      <c r="AG92" s="2">
        <f t="shared" si="9"/>
        <v>0</v>
      </c>
      <c r="AH92" s="2" t="str">
        <f t="array" ref="AH92">IF($B92="","",IFERROR(INDEX(MktTotal,MATCH($B92,MktGameID,0)),""))</f>
        <v/>
      </c>
      <c r="AI92" s="2" t="str">
        <f t="shared" si="10"/>
        <v/>
      </c>
      <c r="AJ92" s="2" t="str">
        <f t="shared" si="11"/>
        <v/>
      </c>
      <c r="AK92" s="2" t="str">
        <f t="shared" si="12"/>
        <v/>
      </c>
      <c r="AL92" s="2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2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2" t="str">
        <f>IF($AG92="","","BET OVER at ≤ "&amp;TEXT($AG92-BetTot,"0.0")&amp;"  |  BET UNDER at ≥ "&amp;TEXT($AG92+BetTot,"0.0"))</f>
        <v>BET OVER at ≤ -3.0  |  BET UNDER at ≥ 3.0</v>
      </c>
      <c r="AO92" s="2" t="str">
        <f t="array" ref="AO92">IF($B92="","",IF(OR(IFERROR(INDEX(QBFlag,MATCH($F92,QBTeams,0)),1)=1,IFERROR(INDEX(QBFlag,MATCH($E92,QBTeams,0)),1)=1),"QB UNCERTAIN",""))</f>
        <v/>
      </c>
      <c r="AP92" s="2" t="str">
        <f t="array" ref="AP92">IF($B92="","",IFERROR(INDEX(DQStatus,MATCH($B92,DQGameID,0)),"BLOCKED — DQ ROW NOT FOUND"))</f>
        <v>READY</v>
      </c>
      <c r="AQ92" s="2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2" t="str">
        <f t="shared" si="13"/>
        <v/>
      </c>
      <c r="AS92" s="2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2" t="str">
        <f t="shared" si="14"/>
        <v/>
      </c>
      <c r="AU92" s="11"/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9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2" t="str">
        <f t="array" ref="G93">IF($B93="","",IF(INDEX(SchedZone,MATCH($A93,SchedSeq,0),MAP!$B$14)="Neutral","Y",""))</f>
        <v/>
      </c>
      <c r="H93" s="2" t="str">
        <f t="array" ref="H93">IF($B93="","",INDEX(SchedZone,MATCH($A93,SchedSeq,0),MAP!$B$17))</f>
        <v>dome</v>
      </c>
      <c r="I93" s="2" t="str">
        <f>IF(OR($B93="",$C93&lt;&gt;CurrentWeek),"",COUNTIF($C$5:$C93,CurrentWeek))</f>
        <v/>
      </c>
      <c r="J93" s="2">
        <f t="array" ref="J93">IF($B93="","",IFERROR(INDEX(RatEff,MATCH($E93,RatTeams,0)),"⚠ TEAM NOT FOUND"))</f>
        <v>-2.07</v>
      </c>
      <c r="K93" s="2">
        <f t="array" ref="K93">IF($B93="","",IFERROR(INDEX(RatEff,MATCH($F93,RatTeams,0)),"⚠ TEAM NOT FOUND"))</f>
        <v>4.09</v>
      </c>
      <c r="L93" s="2">
        <f t="shared" si="1"/>
        <v>6.16</v>
      </c>
      <c r="M93" s="2">
        <f t="array" ref="M93">IF($B93="","",IF($G93="Y",NeutralHFA,IFERROR(INDEX(HFAexcVal,MATCH($F93,HFAexcTeam,0)),HFA_Base)))</f>
        <v>1.6</v>
      </c>
      <c r="N93" s="2">
        <f t="array" ref="N93">IF($B93="","",IFERROR(INDEX(QBSpreadEff,MATCH($F93,QBTeams,0)),0)-IFERROR(INDEX(QBSpreadEff,MATCH($E93,QBTeams,0)),0))</f>
        <v>0</v>
      </c>
      <c r="O93" s="2">
        <f t="array" ref="O93">IF($B93="","",IFERROR(MEDIAN(-RestCapPts,RestCapPts,RestPerDay*(INDEX(SchedZone,MATCH($A93,SchedSeq,0),MAP!$B$16)-INDEX(SchedZone,MATCH($A93,SchedSeq,0),MAP!$B$15))),0))</f>
        <v>-0.1</v>
      </c>
      <c r="P93" s="2">
        <f>IF($B93="","",SUMIFS(AdjSpread,AdjGameID,$B93,AdjTeam,$F93,AdjActive,1)-SUMIFS(AdjSpread,AdjGameID,$B93,AdjTeam,$E93,AdjActive,1))</f>
        <v>0</v>
      </c>
      <c r="Q93" s="2">
        <f t="shared" si="2"/>
        <v>7.66</v>
      </c>
      <c r="R93" s="11"/>
      <c r="S93" s="2">
        <f t="shared" si="3"/>
        <v>7.66</v>
      </c>
      <c r="T93" s="2" t="str">
        <f t="shared" si="4"/>
        <v>LA -7.7</v>
      </c>
      <c r="U93" s="2" t="str">
        <f t="array" ref="U93">IF($B93="","",IFERROR(INDEX(MktHomeSpread,MATCH($B93,MktGameID,0)),""))</f>
        <v/>
      </c>
      <c r="V93" s="2" t="str">
        <f t="shared" si="5"/>
        <v/>
      </c>
      <c r="W93" s="2" t="str">
        <f t="shared" si="6"/>
        <v/>
      </c>
      <c r="X93" s="2" t="str">
        <f t="shared" si="7"/>
        <v/>
      </c>
      <c r="Y93" s="2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2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2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2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2">
        <f t="array" ref="AC93">IF($B93="","",IFERROR(INDEX(QBTotEff,MATCH($F93,QBTeams,0)),0)+IFERROR(INDEX(QBTotEff,MATCH($E93,QBTeams,0)),0))</f>
        <v>0</v>
      </c>
      <c r="AD93" s="2">
        <f>IF($B93="","",SUMIFS(AdjTot,AdjGameID,$B93,AdjActive,1))</f>
        <v>0</v>
      </c>
      <c r="AE93" s="2">
        <f t="shared" si="8"/>
        <v>0</v>
      </c>
      <c r="AF93" s="11"/>
      <c r="AG93" s="2">
        <f t="shared" si="9"/>
        <v>0</v>
      </c>
      <c r="AH93" s="2" t="str">
        <f t="array" ref="AH93">IF($B93="","",IFERROR(INDEX(MktTotal,MATCH($B93,MktGameID,0)),""))</f>
        <v/>
      </c>
      <c r="AI93" s="2" t="str">
        <f t="shared" si="10"/>
        <v/>
      </c>
      <c r="AJ93" s="2" t="str">
        <f t="shared" si="11"/>
        <v/>
      </c>
      <c r="AK93" s="2" t="str">
        <f t="shared" si="12"/>
        <v/>
      </c>
      <c r="AL93" s="2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Low</v>
      </c>
      <c r="AM93" s="2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2" t="str">
        <f>IF($AG93="","","BET OVER at ≤ "&amp;TEXT($AG93-BetTot,"0.0")&amp;"  |  BET UNDER at ≥ "&amp;TEXT($AG93+BetTot,"0.0"))</f>
        <v>BET OVER at ≤ -3.0  |  BET UNDER at ≥ 3.0</v>
      </c>
      <c r="AO93" s="2" t="str">
        <f t="array" ref="AO93">IF($B93="","",IF(OR(IFERROR(INDEX(QBFlag,MATCH($F93,QBTeams,0)),1)=1,IFERROR(INDEX(QBFlag,MATCH($E93,QBTeams,0)),1)=1),"QB UNCERTAIN",""))</f>
        <v>QB UNCERTAIN</v>
      </c>
      <c r="AP93" s="2" t="str">
        <f t="array" ref="AP93">IF($B93="","",IFERROR(INDEX(DQStatus,MATCH($B93,DQGameID,0)),"BLOCKED — DQ ROW NOT FOUND"))</f>
        <v>READY</v>
      </c>
      <c r="AQ93" s="2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2" t="str">
        <f t="shared" si="13"/>
        <v/>
      </c>
      <c r="AS93" s="2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2" t="str">
        <f t="shared" si="14"/>
        <v/>
      </c>
      <c r="AU93" s="11"/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9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2" t="str">
        <f t="array" ref="G94">IF($B94="","",IF(INDEX(SchedZone,MATCH($A94,SchedSeq,0),MAP!$B$14)="Neutral","Y",""))</f>
        <v/>
      </c>
      <c r="H94" s="2" t="str">
        <f t="array" ref="H94">IF($B94="","",INDEX(SchedZone,MATCH($A94,SchedSeq,0),MAP!$B$17))</f>
        <v>outdoors</v>
      </c>
      <c r="I94" s="2" t="str">
        <f>IF(OR($B94="",$C94&lt;&gt;CurrentWeek),"",COUNTIF($C$5:$C94,CurrentWeek))</f>
        <v/>
      </c>
      <c r="J94" s="2">
        <f t="array" ref="J94">IF($B94="","",IFERROR(INDEX(RatEff,MATCH($E94,RatTeams,0)),"⚠ TEAM NOT FOUND"))</f>
        <v>0.56</v>
      </c>
      <c r="K94" s="2">
        <f t="array" ref="K94">IF($B94="","",IFERROR(INDEX(RatEff,MATCH($F94,RatTeams,0)),"⚠ TEAM NOT FOUND"))</f>
        <v>-0.04</v>
      </c>
      <c r="L94" s="2">
        <f t="shared" si="1"/>
        <v>-0.6</v>
      </c>
      <c r="M94" s="2">
        <f t="array" ref="M94">IF($B94="","",IF($G94="Y",NeutralHFA,IFERROR(INDEX(HFAexcVal,MATCH($F94,HFAexcTeam,0)),HFA_Base)))</f>
        <v>1.6</v>
      </c>
      <c r="N94" s="2">
        <f t="array" ref="N94">IF($B94="","",IFERROR(INDEX(QBSpreadEff,MATCH($F94,QBTeams,0)),0)-IFERROR(INDEX(QBSpreadEff,MATCH($E94,QBTeams,0)),0))</f>
        <v>0</v>
      </c>
      <c r="O94" s="2">
        <f t="array" ref="O94">IF($B94="","",IFERROR(MEDIAN(-RestCapPts,RestCapPts,RestPerDay*(INDEX(SchedZone,MATCH($A94,SchedSeq,0),MAP!$B$16)-INDEX(SchedZone,MATCH($A94,SchedSeq,0),MAP!$B$15))),0))</f>
        <v>0.7</v>
      </c>
      <c r="P94" s="2">
        <f>IF($B94="","",SUMIFS(AdjSpread,AdjGameID,$B94,AdjTeam,$F94,AdjActive,1)-SUMIFS(AdjSpread,AdjGameID,$B94,AdjTeam,$E94,AdjActive,1))</f>
        <v>0</v>
      </c>
      <c r="Q94" s="2">
        <f t="shared" si="2"/>
        <v>1.7</v>
      </c>
      <c r="R94" s="11"/>
      <c r="S94" s="2">
        <f t="shared" si="3"/>
        <v>1.7</v>
      </c>
      <c r="T94" s="2" t="str">
        <f t="shared" si="4"/>
        <v>KC -1.7</v>
      </c>
      <c r="U94" s="2" t="str">
        <f t="array" ref="U94">IF($B94="","",IFERROR(INDEX(MktHomeSpread,MATCH($B94,MktGameID,0)),""))</f>
        <v/>
      </c>
      <c r="V94" s="2" t="str">
        <f t="shared" si="5"/>
        <v/>
      </c>
      <c r="W94" s="2" t="str">
        <f t="shared" si="6"/>
        <v/>
      </c>
      <c r="X94" s="2" t="str">
        <f t="shared" si="7"/>
        <v/>
      </c>
      <c r="Y94" s="2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2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2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2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2">
        <f t="array" ref="AC94">IF($B94="","",IFERROR(INDEX(QBTotEff,MATCH($F94,QBTeams,0)),0)+IFERROR(INDEX(QBTotEff,MATCH($E94,QBTeams,0)),0))</f>
        <v>0</v>
      </c>
      <c r="AD94" s="2">
        <f>IF($B94="","",SUMIFS(AdjTot,AdjGameID,$B94,AdjActive,1))</f>
        <v>0</v>
      </c>
      <c r="AE94" s="2">
        <f t="shared" si="8"/>
        <v>0</v>
      </c>
      <c r="AF94" s="11"/>
      <c r="AG94" s="2">
        <f t="shared" si="9"/>
        <v>0</v>
      </c>
      <c r="AH94" s="2" t="str">
        <f t="array" ref="AH94">IF($B94="","",IFERROR(INDEX(MktTotal,MATCH($B94,MktGameID,0)),""))</f>
        <v/>
      </c>
      <c r="AI94" s="2" t="str">
        <f t="shared" si="10"/>
        <v/>
      </c>
      <c r="AJ94" s="2" t="str">
        <f t="shared" si="11"/>
        <v/>
      </c>
      <c r="AK94" s="2" t="str">
        <f t="shared" si="12"/>
        <v/>
      </c>
      <c r="AL94" s="2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Medium</v>
      </c>
      <c r="AM94" s="2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2" t="str">
        <f>IF($AG94="","","BET OVER at ≤ "&amp;TEXT($AG94-BetTot,"0.0")&amp;"  |  BET UNDER at ≥ "&amp;TEXT($AG94+BetTot,"0.0"))</f>
        <v>BET OVER at ≤ -3.0  |  BET UNDER at ≥ 3.0</v>
      </c>
      <c r="AO94" s="2" t="str">
        <f t="array" ref="AO94">IF($B94="","",IF(OR(IFERROR(INDEX(QBFlag,MATCH($F94,QBTeams,0)),1)=1,IFERROR(INDEX(QBFlag,MATCH($E94,QBTeams,0)),1)=1),"QB UNCERTAIN",""))</f>
        <v/>
      </c>
      <c r="AP94" s="2" t="str">
        <f t="array" ref="AP94">IF($B94="","",IFERROR(INDEX(DQStatus,MATCH($B94,DQGameID,0)),"BLOCKED — DQ ROW NOT FOUND"))</f>
        <v>READY</v>
      </c>
      <c r="AQ94" s="2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2" t="str">
        <f t="shared" si="13"/>
        <v/>
      </c>
      <c r="AS94" s="2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2" t="str">
        <f t="shared" si="14"/>
        <v/>
      </c>
      <c r="AU94" s="11"/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9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2" t="str">
        <f t="array" ref="G95">IF($B95="","",IF(INDEX(SchedZone,MATCH($A95,SchedSeq,0),MAP!$B$14)="Neutral","Y",""))</f>
        <v/>
      </c>
      <c r="H95" s="2" t="str">
        <f t="array" ref="H95">IF($B95="","",INDEX(SchedZone,MATCH($A95,SchedSeq,0),MAP!$B$17))</f>
        <v>dome</v>
      </c>
      <c r="I95" s="2" t="str">
        <f>IF(OR($B95="",$C95&lt;&gt;CurrentWeek),"",COUNTIF($C$5:$C95,CurrentWeek))</f>
        <v/>
      </c>
      <c r="J95" s="2">
        <f t="array" ref="J95">IF($B95="","",IFERROR(INDEX(RatEff,MATCH($E95,RatTeams,0)),"⚠ TEAM NOT FOUND"))</f>
        <v>1.75</v>
      </c>
      <c r="K95" s="2">
        <f t="array" ref="K95">IF($B95="","",IFERROR(INDEX(RatEff,MATCH($F95,RatTeams,0)),"⚠ TEAM NOT FOUND"))</f>
        <v>-3.52</v>
      </c>
      <c r="L95" s="2">
        <f t="shared" si="1"/>
        <v>-5.27</v>
      </c>
      <c r="M95" s="2">
        <f t="array" ref="M95">IF($B95="","",IF($G95="Y",NeutralHFA,IFERROR(INDEX(HFAexcVal,MATCH($F95,HFAexcTeam,0)),HFA_Base)))</f>
        <v>1.6</v>
      </c>
      <c r="N95" s="2">
        <f t="array" ref="N95">IF($B95="","",IFERROR(INDEX(QBSpreadEff,MATCH($F95,QBTeams,0)),0)-IFERROR(INDEX(QBSpreadEff,MATCH($E95,QBTeams,0)),0))</f>
        <v>0</v>
      </c>
      <c r="O95" s="2">
        <f t="array" ref="O95">IF($B95="","",IFERROR(MEDIAN(-RestCapPts,RestCapPts,RestPerDay*(INDEX(SchedZone,MATCH($A95,SchedSeq,0),MAP!$B$16)-INDEX(SchedZone,MATCH($A95,SchedSeq,0),MAP!$B$15))),0))</f>
        <v>0.1</v>
      </c>
      <c r="P95" s="2">
        <f>IF($B95="","",SUMIFS(AdjSpread,AdjGameID,$B95,AdjTeam,$F95,AdjActive,1)-SUMIFS(AdjSpread,AdjGameID,$B95,AdjTeam,$E95,AdjActive,1))</f>
        <v>0</v>
      </c>
      <c r="Q95" s="2">
        <f t="shared" si="2"/>
        <v>-3.57</v>
      </c>
      <c r="R95" s="11"/>
      <c r="S95" s="2">
        <f t="shared" si="3"/>
        <v>-3.57</v>
      </c>
      <c r="T95" s="2" t="str">
        <f t="shared" si="4"/>
        <v>BUF -3.6</v>
      </c>
      <c r="U95" s="2" t="str">
        <f t="array" ref="U95">IF($B95="","",IFERROR(INDEX(MktHomeSpread,MATCH($B95,MktGameID,0)),""))</f>
        <v/>
      </c>
      <c r="V95" s="2" t="str">
        <f t="shared" si="5"/>
        <v/>
      </c>
      <c r="W95" s="2" t="str">
        <f t="shared" si="6"/>
        <v/>
      </c>
      <c r="X95" s="2" t="str">
        <f t="shared" si="7"/>
        <v/>
      </c>
      <c r="Y95" s="2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2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2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2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2">
        <f t="array" ref="AC95">IF($B95="","",IFERROR(INDEX(QBTotEff,MATCH($F95,QBTeams,0)),0)+IFERROR(INDEX(QBTotEff,MATCH($E95,QBTeams,0)),0))</f>
        <v>0</v>
      </c>
      <c r="AD95" s="2">
        <f>IF($B95="","",SUMIFS(AdjTot,AdjGameID,$B95,AdjActive,1))</f>
        <v>0</v>
      </c>
      <c r="AE95" s="2">
        <f t="shared" si="8"/>
        <v>0</v>
      </c>
      <c r="AF95" s="11"/>
      <c r="AG95" s="2">
        <f t="shared" si="9"/>
        <v>0</v>
      </c>
      <c r="AH95" s="2" t="str">
        <f t="array" ref="AH95">IF($B95="","",IFERROR(INDEX(MktTotal,MATCH($B95,MktGameID,0)),""))</f>
        <v/>
      </c>
      <c r="AI95" s="2" t="str">
        <f t="shared" si="10"/>
        <v/>
      </c>
      <c r="AJ95" s="2" t="str">
        <f t="shared" si="11"/>
        <v/>
      </c>
      <c r="AK95" s="2" t="str">
        <f t="shared" si="12"/>
        <v/>
      </c>
      <c r="AL95" s="2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2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2" t="str">
        <f>IF($AG95="","","BET OVER at ≤ "&amp;TEXT($AG95-BetTot,"0.0")&amp;"  |  BET UNDER at ≥ "&amp;TEXT($AG95+BetTot,"0.0"))</f>
        <v>BET OVER at ≤ -3.0  |  BET UNDER at ≥ 3.0</v>
      </c>
      <c r="AO95" s="2" t="str">
        <f t="array" ref="AO95">IF($B95="","",IF(OR(IFERROR(INDEX(QBFlag,MATCH($F95,QBTeams,0)),1)=1,IFERROR(INDEX(QBFlag,MATCH($E95,QBTeams,0)),1)=1),"QB UNCERTAIN",""))</f>
        <v/>
      </c>
      <c r="AP95" s="2" t="str">
        <f t="array" ref="AP95">IF($B95="","",IFERROR(INDEX(DQStatus,MATCH($B95,DQGameID,0)),"BLOCKED — DQ ROW NOT FOUND"))</f>
        <v>READY</v>
      </c>
      <c r="AQ95" s="2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2" t="str">
        <f t="shared" si="13"/>
        <v/>
      </c>
      <c r="AS95" s="2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2" t="str">
        <f t="shared" si="14"/>
        <v/>
      </c>
      <c r="AU95" s="11"/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9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2" t="str">
        <f t="array" ref="G96">IF($B96="","",IF(INDEX(SchedZone,MATCH($A96,SchedSeq,0),MAP!$B$14)="Neutral","Y",""))</f>
        <v/>
      </c>
      <c r="H96" s="2" t="str">
        <f t="array" ref="H96">IF($B96="","",INDEX(SchedZone,MATCH($A96,SchedSeq,0),MAP!$B$17))</f>
        <v>outdoors</v>
      </c>
      <c r="I96" s="2" t="str">
        <f>IF(OR($B96="",$C96&lt;&gt;CurrentWeek),"",COUNTIF($C$5:$C96,CurrentWeek))</f>
        <v/>
      </c>
      <c r="J96" s="2">
        <f t="array" ref="J96">IF($B96="","",IFERROR(INDEX(RatEff,MATCH($E96,RatTeams,0)),"⚠ TEAM NOT FOUND"))</f>
        <v>-2.26</v>
      </c>
      <c r="K96" s="2">
        <f t="array" ref="K96">IF($B96="","",IFERROR(INDEX(RatEff,MATCH($F96,RatTeams,0)),"⚠ TEAM NOT FOUND"))</f>
        <v>0.51</v>
      </c>
      <c r="L96" s="2">
        <f t="shared" si="1"/>
        <v>2.77</v>
      </c>
      <c r="M96" s="2">
        <f t="array" ref="M96">IF($B96="","",IF($G96="Y",NeutralHFA,IFERROR(INDEX(HFAexcVal,MATCH($F96,HFAexcTeam,0)),HFA_Base)))</f>
        <v>1.6</v>
      </c>
      <c r="N96" s="2">
        <f t="array" ref="N96">IF($B96="","",IFERROR(INDEX(QBSpreadEff,MATCH($F96,QBTeams,0)),0)-IFERROR(INDEX(QBSpreadEff,MATCH($E96,QBTeams,0)),0))</f>
        <v>0</v>
      </c>
      <c r="O96" s="2">
        <f t="array" ref="O96">IF($B96="","",IFERROR(MEDIAN(-RestCapPts,RestCapPts,RestPerDay*(INDEX(SchedZone,MATCH($A96,SchedSeq,0),MAP!$B$16)-INDEX(SchedZone,MATCH($A96,SchedSeq,0),MAP!$B$15))),0))</f>
        <v>-0.3</v>
      </c>
      <c r="P96" s="2">
        <f>IF($B96="","",SUMIFS(AdjSpread,AdjGameID,$B96,AdjTeam,$F96,AdjActive,1)-SUMIFS(AdjSpread,AdjGameID,$B96,AdjTeam,$E96,AdjActive,1))</f>
        <v>0</v>
      </c>
      <c r="Q96" s="2">
        <f t="shared" si="2"/>
        <v>4.07</v>
      </c>
      <c r="R96" s="11"/>
      <c r="S96" s="2">
        <f t="shared" si="3"/>
        <v>4.07</v>
      </c>
      <c r="T96" s="2" t="str">
        <f t="shared" si="4"/>
        <v>GB -4.1</v>
      </c>
      <c r="U96" s="2" t="str">
        <f t="array" ref="U96">IF($B96="","",IFERROR(INDEX(MktHomeSpread,MATCH($B96,MktGameID,0)),""))</f>
        <v/>
      </c>
      <c r="V96" s="2" t="str">
        <f t="shared" si="5"/>
        <v/>
      </c>
      <c r="W96" s="2" t="str">
        <f t="shared" si="6"/>
        <v/>
      </c>
      <c r="X96" s="2" t="str">
        <f t="shared" si="7"/>
        <v/>
      </c>
      <c r="Y96" s="2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2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2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2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2">
        <f t="array" ref="AC96">IF($B96="","",IFERROR(INDEX(QBTotEff,MATCH($F96,QBTeams,0)),0)+IFERROR(INDEX(QBTotEff,MATCH($E96,QBTeams,0)),0))</f>
        <v>0</v>
      </c>
      <c r="AD96" s="2">
        <f>IF($B96="","",SUMIFS(AdjTot,AdjGameID,$B96,AdjActive,1))</f>
        <v>0</v>
      </c>
      <c r="AE96" s="2">
        <f t="shared" si="8"/>
        <v>0</v>
      </c>
      <c r="AF96" s="11"/>
      <c r="AG96" s="2">
        <f t="shared" si="9"/>
        <v>0</v>
      </c>
      <c r="AH96" s="2" t="str">
        <f t="array" ref="AH96">IF($B96="","",IFERROR(INDEX(MktTotal,MATCH($B96,MktGameID,0)),""))</f>
        <v/>
      </c>
      <c r="AI96" s="2" t="str">
        <f t="shared" si="10"/>
        <v/>
      </c>
      <c r="AJ96" s="2" t="str">
        <f t="shared" si="11"/>
        <v/>
      </c>
      <c r="AK96" s="2" t="str">
        <f t="shared" si="12"/>
        <v/>
      </c>
      <c r="AL96" s="2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2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2" t="str">
        <f>IF($AG96="","","BET OVER at ≤ "&amp;TEXT($AG96-BetTot,"0.0")&amp;"  |  BET UNDER at ≥ "&amp;TEXT($AG96+BetTot,"0.0"))</f>
        <v>BET OVER at ≤ -3.0  |  BET UNDER at ≥ 3.0</v>
      </c>
      <c r="AO96" s="2" t="str">
        <f t="array" ref="AO96">IF($B96="","",IF(OR(IFERROR(INDEX(QBFlag,MATCH($F96,QBTeams,0)),1)=1,IFERROR(INDEX(QBFlag,MATCH($E96,QBTeams,0)),1)=1),"QB UNCERTAIN",""))</f>
        <v/>
      </c>
      <c r="AP96" s="2" t="str">
        <f t="array" ref="AP96">IF($B96="","",IFERROR(INDEX(DQStatus,MATCH($B96,DQGameID,0)),"BLOCKED — DQ ROW NOT FOUND"))</f>
        <v>READY</v>
      </c>
      <c r="AQ96" s="2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2" t="str">
        <f t="shared" si="13"/>
        <v/>
      </c>
      <c r="AS96" s="2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2" t="str">
        <f t="shared" si="14"/>
        <v/>
      </c>
      <c r="AU96" s="11"/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9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2" t="str">
        <f t="array" ref="G97">IF($B97="","",IF(INDEX(SchedZone,MATCH($A97,SchedSeq,0),MAP!$B$14)="Neutral","Y",""))</f>
        <v/>
      </c>
      <c r="H97" s="2" t="str">
        <f t="array" ref="H97">IF($B97="","",INDEX(SchedZone,MATCH($A97,SchedSeq,0),MAP!$B$17))</f>
        <v>outdoors</v>
      </c>
      <c r="I97" s="2" t="str">
        <f>IF(OR($B97="",$C97&lt;&gt;CurrentWeek),"",COUNTIF($C$5:$C97,CurrentWeek))</f>
        <v/>
      </c>
      <c r="J97" s="2">
        <f t="array" ref="J97">IF($B97="","",IFERROR(INDEX(RatEff,MATCH($E97,RatTeams,0)),"⚠ TEAM NOT FOUND"))</f>
        <v>-2.02</v>
      </c>
      <c r="K97" s="2">
        <f t="array" ref="K97">IF($B97="","",IFERROR(INDEX(RatEff,MATCH($F97,RatTeams,0)),"⚠ TEAM NOT FOUND"))</f>
        <v>1.78</v>
      </c>
      <c r="L97" s="2">
        <f t="shared" si="1"/>
        <v>3.8</v>
      </c>
      <c r="M97" s="2">
        <f t="array" ref="M97">IF($B97="","",IF($G97="Y",NeutralHFA,IFERROR(INDEX(HFAexcVal,MATCH($F97,HFAexcTeam,0)),HFA_Base)))</f>
        <v>1.6</v>
      </c>
      <c r="N97" s="2">
        <f t="array" ref="N97">IF($B97="","",IFERROR(INDEX(QBSpreadEff,MATCH($F97,QBTeams,0)),0)-IFERROR(INDEX(QBSpreadEff,MATCH($E97,QBTeams,0)),0))</f>
        <v>0</v>
      </c>
      <c r="O97" s="2">
        <f t="array" ref="O97">IF($B97="","",IFERROR(MEDIAN(-RestCapPts,RestCapPts,RestPerDay*(INDEX(SchedZone,MATCH($A97,SchedSeq,0),MAP!$B$16)-INDEX(SchedZone,MATCH($A97,SchedSeq,0),MAP!$B$15))),0))</f>
        <v>0</v>
      </c>
      <c r="P97" s="2">
        <f>IF($B97="","",SUMIFS(AdjSpread,AdjGameID,$B97,AdjTeam,$F97,AdjActive,1)-SUMIFS(AdjSpread,AdjGameID,$B97,AdjTeam,$E97,AdjActive,1))</f>
        <v>0</v>
      </c>
      <c r="Q97" s="2">
        <f t="shared" si="2"/>
        <v>5.4</v>
      </c>
      <c r="R97" s="11"/>
      <c r="S97" s="2">
        <f t="shared" si="3"/>
        <v>5.4</v>
      </c>
      <c r="T97" s="2" t="str">
        <f t="shared" si="4"/>
        <v>SF -5.4</v>
      </c>
      <c r="U97" s="2" t="str">
        <f t="array" ref="U97">IF($B97="","",IFERROR(INDEX(MktHomeSpread,MATCH($B97,MktGameID,0)),""))</f>
        <v/>
      </c>
      <c r="V97" s="2" t="str">
        <f t="shared" si="5"/>
        <v/>
      </c>
      <c r="W97" s="2" t="str">
        <f t="shared" si="6"/>
        <v/>
      </c>
      <c r="X97" s="2" t="str">
        <f t="shared" si="7"/>
        <v/>
      </c>
      <c r="Y97" s="2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2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2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2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2">
        <f t="array" ref="AC97">IF($B97="","",IFERROR(INDEX(QBTotEff,MATCH($F97,QBTeams,0)),0)+IFERROR(INDEX(QBTotEff,MATCH($E97,QBTeams,0)),0))</f>
        <v>0</v>
      </c>
      <c r="AD97" s="2">
        <f>IF($B97="","",SUMIFS(AdjTot,AdjGameID,$B97,AdjActive,1))</f>
        <v>0</v>
      </c>
      <c r="AE97" s="2">
        <f t="shared" si="8"/>
        <v>0</v>
      </c>
      <c r="AF97" s="11"/>
      <c r="AG97" s="2">
        <f t="shared" si="9"/>
        <v>0</v>
      </c>
      <c r="AH97" s="2" t="str">
        <f t="array" ref="AH97">IF($B97="","",IFERROR(INDEX(MktTotal,MATCH($B97,MktGameID,0)),""))</f>
        <v/>
      </c>
      <c r="AI97" s="2" t="str">
        <f t="shared" si="10"/>
        <v/>
      </c>
      <c r="AJ97" s="2" t="str">
        <f t="shared" si="11"/>
        <v/>
      </c>
      <c r="AK97" s="2" t="str">
        <f t="shared" si="12"/>
        <v/>
      </c>
      <c r="AL97" s="2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2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2" t="str">
        <f>IF($AG97="","","BET OVER at ≤ "&amp;TEXT($AG97-BetTot,"0.0")&amp;"  |  BET UNDER at ≥ "&amp;TEXT($AG97+BetTot,"0.0"))</f>
        <v>BET OVER at ≤ -3.0  |  BET UNDER at ≥ 3.0</v>
      </c>
      <c r="AO97" s="2" t="str">
        <f t="array" ref="AO97">IF($B97="","",IF(OR(IFERROR(INDEX(QBFlag,MATCH($F97,QBTeams,0)),1)=1,IFERROR(INDEX(QBFlag,MATCH($E97,QBTeams,0)),1)=1),"QB UNCERTAIN",""))</f>
        <v/>
      </c>
      <c r="AP97" s="2" t="str">
        <f t="array" ref="AP97">IF($B97="","",IFERROR(INDEX(DQStatus,MATCH($B97,DQGameID,0)),"BLOCKED — DQ ROW NOT FOUND"))</f>
        <v>READY</v>
      </c>
      <c r="AQ97" s="2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2" t="str">
        <f t="shared" si="13"/>
        <v/>
      </c>
      <c r="AS97" s="2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2" t="str">
        <f t="shared" si="14"/>
        <v/>
      </c>
      <c r="AU97" s="11"/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9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2" t="str">
        <f t="array" ref="G98">IF($B98="","",IF(INDEX(SchedZone,MATCH($A98,SchedSeq,0),MAP!$B$14)="Neutral","Y",""))</f>
        <v/>
      </c>
      <c r="H98" s="2" t="str">
        <f t="array" ref="H98">IF($B98="","",INDEX(SchedZone,MATCH($A98,SchedSeq,0),MAP!$B$17))</f>
        <v>outdoors</v>
      </c>
      <c r="I98" s="2" t="str">
        <f>IF(OR($B98="",$C98&lt;&gt;CurrentWeek),"",COUNTIF($C$5:$C98,CurrentWeek))</f>
        <v/>
      </c>
      <c r="J98" s="2">
        <f t="array" ref="J98">IF($B98="","",IFERROR(INDEX(RatEff,MATCH($E98,RatTeams,0)),"⚠ TEAM NOT FOUND"))</f>
        <v>2.09</v>
      </c>
      <c r="K98" s="2">
        <f t="array" ref="K98">IF($B98="","",IFERROR(INDEX(RatEff,MATCH($F98,RatTeams,0)),"⚠ TEAM NOT FOUND"))</f>
        <v>0.86</v>
      </c>
      <c r="L98" s="2">
        <f t="shared" si="1"/>
        <v>-1.23</v>
      </c>
      <c r="M98" s="2">
        <f t="array" ref="M98">IF($B98="","",IF($G98="Y",NeutralHFA,IFERROR(INDEX(HFAexcVal,MATCH($F98,HFAexcTeam,0)),HFA_Base)))</f>
        <v>1.6</v>
      </c>
      <c r="N98" s="2">
        <f t="array" ref="N98">IF($B98="","",IFERROR(INDEX(QBSpreadEff,MATCH($F98,QBTeams,0)),0)-IFERROR(INDEX(QBSpreadEff,MATCH($E98,QBTeams,0)),0))</f>
        <v>0</v>
      </c>
      <c r="O98" s="2">
        <f t="array" ref="O98">IF($B98="","",IFERROR(MEDIAN(-RestCapPts,RestCapPts,RestPerDay*(INDEX(SchedZone,MATCH($A98,SchedSeq,0),MAP!$B$16)-INDEX(SchedZone,MATCH($A98,SchedSeq,0),MAP!$B$15))),0))</f>
        <v>0</v>
      </c>
      <c r="P98" s="2">
        <f>IF($B98="","",SUMIFS(AdjSpread,AdjGameID,$B98,AdjTeam,$F98,AdjActive,1)-SUMIFS(AdjSpread,AdjGameID,$B98,AdjTeam,$E98,AdjActive,1))</f>
        <v>0</v>
      </c>
      <c r="Q98" s="2">
        <f t="shared" si="2"/>
        <v>0.37</v>
      </c>
      <c r="R98" s="11"/>
      <c r="S98" s="2">
        <f t="shared" si="3"/>
        <v>0.37</v>
      </c>
      <c r="T98" s="2" t="str">
        <f t="shared" si="4"/>
        <v>CHI -0.4</v>
      </c>
      <c r="U98" s="2" t="str">
        <f t="array" ref="U98">IF($B98="","",IFERROR(INDEX(MktHomeSpread,MATCH($B98,MktGameID,0)),""))</f>
        <v/>
      </c>
      <c r="V98" s="2" t="str">
        <f t="shared" si="5"/>
        <v/>
      </c>
      <c r="W98" s="2" t="str">
        <f t="shared" si="6"/>
        <v/>
      </c>
      <c r="X98" s="2" t="str">
        <f t="shared" si="7"/>
        <v/>
      </c>
      <c r="Y98" s="2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2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2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2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2">
        <f t="array" ref="AC98">IF($B98="","",IFERROR(INDEX(QBTotEff,MATCH($F98,QBTeams,0)),0)+IFERROR(INDEX(QBTotEff,MATCH($E98,QBTeams,0)),0))</f>
        <v>0</v>
      </c>
      <c r="AD98" s="2">
        <f>IF($B98="","",SUMIFS(AdjTot,AdjGameID,$B98,AdjActive,1))</f>
        <v>0</v>
      </c>
      <c r="AE98" s="2">
        <f t="shared" si="8"/>
        <v>0</v>
      </c>
      <c r="AF98" s="11"/>
      <c r="AG98" s="2">
        <f t="shared" si="9"/>
        <v>0</v>
      </c>
      <c r="AH98" s="2" t="str">
        <f t="array" ref="AH98">IF($B98="","",IFERROR(INDEX(MktTotal,MATCH($B98,MktGameID,0)),""))</f>
        <v/>
      </c>
      <c r="AI98" s="2" t="str">
        <f t="shared" si="10"/>
        <v/>
      </c>
      <c r="AJ98" s="2" t="str">
        <f t="shared" si="11"/>
        <v/>
      </c>
      <c r="AK98" s="2" t="str">
        <f t="shared" si="12"/>
        <v/>
      </c>
      <c r="AL98" s="2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2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2" t="str">
        <f>IF($AG98="","","BET OVER at ≤ "&amp;TEXT($AG98-BetTot,"0.0")&amp;"  |  BET UNDER at ≥ "&amp;TEXT($AG98+BetTot,"0.0"))</f>
        <v>BET OVER at ≤ -3.0  |  BET UNDER at ≥ 3.0</v>
      </c>
      <c r="AO98" s="2" t="str">
        <f t="array" ref="AO98">IF($B98="","",IF(OR(IFERROR(INDEX(QBFlag,MATCH($F98,QBTeams,0)),1)=1,IFERROR(INDEX(QBFlag,MATCH($E98,QBTeams,0)),1)=1),"QB UNCERTAIN",""))</f>
        <v/>
      </c>
      <c r="AP98" s="2" t="str">
        <f t="array" ref="AP98">IF($B98="","",IFERROR(INDEX(DQStatus,MATCH($B98,DQGameID,0)),"BLOCKED — DQ ROW NOT FOUND"))</f>
        <v>READY</v>
      </c>
      <c r="AQ98" s="2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2" t="str">
        <f t="shared" si="13"/>
        <v/>
      </c>
      <c r="AS98" s="2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2" t="str">
        <f t="shared" si="14"/>
        <v/>
      </c>
      <c r="AU98" s="11"/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9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2" t="str">
        <f t="array" ref="G99">IF($B99="","",IF(INDEX(SchedZone,MATCH($A99,SchedSeq,0),MAP!$B$14)="Neutral","Y",""))</f>
        <v>Y</v>
      </c>
      <c r="H99" s="2" t="str">
        <f t="array" ref="H99">IF($B99="","",INDEX(SchedZone,MATCH($A99,SchedSeq,0),MAP!$B$17))</f>
        <v>dome</v>
      </c>
      <c r="I99" s="2" t="str">
        <f>IF(OR($B99="",$C99&lt;&gt;CurrentWeek),"",COUNTIF($C$5:$C99,CurrentWeek))</f>
        <v/>
      </c>
      <c r="J99" s="2">
        <f t="array" ref="J99">IF($B99="","",IFERROR(INDEX(RatEff,MATCH($E99,RatTeams,0)),"⚠ TEAM NOT FOUND"))</f>
        <v>0.66</v>
      </c>
      <c r="K99" s="2">
        <f t="array" ref="K99">IF($B99="","",IFERROR(INDEX(RatEff,MATCH($F99,RatTeams,0)),"⚠ TEAM NOT FOUND"))</f>
        <v>-0.94</v>
      </c>
      <c r="L99" s="2">
        <f t="shared" si="1"/>
        <v>-1.6</v>
      </c>
      <c r="M99" s="2">
        <f t="array" ref="M99">IF($B99="","",IF($G99="Y",NeutralHFA,IFERROR(INDEX(HFAexcVal,MATCH($F99,HFAexcTeam,0)),HFA_Base)))</f>
        <v>0</v>
      </c>
      <c r="N99" s="2">
        <f t="array" ref="N99">IF($B99="","",IFERROR(INDEX(QBSpreadEff,MATCH($F99,QBTeams,0)),0)-IFERROR(INDEX(QBSpreadEff,MATCH($E99,QBTeams,0)),0))</f>
        <v>0</v>
      </c>
      <c r="O99" s="2">
        <f t="array" ref="O99">IF($B99="","",IFERROR(MEDIAN(-RestCapPts,RestCapPts,RestPerDay*(INDEX(SchedZone,MATCH($A99,SchedSeq,0),MAP!$B$16)-INDEX(SchedZone,MATCH($A99,SchedSeq,0),MAP!$B$15))),0))</f>
        <v>0</v>
      </c>
      <c r="P99" s="2">
        <f>IF($B99="","",SUMIFS(AdjSpread,AdjGameID,$B99,AdjTeam,$F99,AdjActive,1)-SUMIFS(AdjSpread,AdjGameID,$B99,AdjTeam,$E99,AdjActive,1))</f>
        <v>0</v>
      </c>
      <c r="Q99" s="2">
        <f t="shared" si="2"/>
        <v>-1.6</v>
      </c>
      <c r="R99" s="11"/>
      <c r="S99" s="2">
        <f t="shared" si="3"/>
        <v>-1.6</v>
      </c>
      <c r="T99" s="2" t="str">
        <f t="shared" si="4"/>
        <v>PIT -1.6</v>
      </c>
      <c r="U99" s="2" t="str">
        <f t="array" ref="U99">IF($B99="","",IFERROR(INDEX(MktHomeSpread,MATCH($B99,MktGameID,0)),""))</f>
        <v/>
      </c>
      <c r="V99" s="2" t="str">
        <f t="shared" si="5"/>
        <v/>
      </c>
      <c r="W99" s="2" t="str">
        <f t="shared" si="6"/>
        <v/>
      </c>
      <c r="X99" s="2" t="str">
        <f t="shared" si="7"/>
        <v/>
      </c>
      <c r="Y99" s="2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2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2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2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2">
        <f t="array" ref="AC99">IF($B99="","",IFERROR(INDEX(QBTotEff,MATCH($F99,QBTeams,0)),0)+IFERROR(INDEX(QBTotEff,MATCH($E99,QBTeams,0)),0))</f>
        <v>0</v>
      </c>
      <c r="AD99" s="2">
        <f>IF($B99="","",SUMIFS(AdjTot,AdjGameID,$B99,AdjActive,1))</f>
        <v>0</v>
      </c>
      <c r="AE99" s="2">
        <f t="shared" si="8"/>
        <v>0</v>
      </c>
      <c r="AF99" s="11"/>
      <c r="AG99" s="2">
        <f t="shared" si="9"/>
        <v>0</v>
      </c>
      <c r="AH99" s="2" t="str">
        <f t="array" ref="AH99">IF($B99="","",IFERROR(INDEX(MktTotal,MATCH($B99,MktGameID,0)),""))</f>
        <v/>
      </c>
      <c r="AI99" s="2" t="str">
        <f t="shared" si="10"/>
        <v/>
      </c>
      <c r="AJ99" s="2" t="str">
        <f t="shared" si="11"/>
        <v/>
      </c>
      <c r="AK99" s="2" t="str">
        <f t="shared" si="12"/>
        <v/>
      </c>
      <c r="AL99" s="2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2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2" t="str">
        <f>IF($AG99="","","BET OVER at ≤ "&amp;TEXT($AG99-BetTot,"0.0")&amp;"  |  BET UNDER at ≥ "&amp;TEXT($AG99+BetTot,"0.0"))</f>
        <v>BET OVER at ≤ -3.0  |  BET UNDER at ≥ 3.0</v>
      </c>
      <c r="AO99" s="2" t="str">
        <f t="array" ref="AO99">IF($B99="","",IF(OR(IFERROR(INDEX(QBFlag,MATCH($F99,QBTeams,0)),1)=1,IFERROR(INDEX(QBFlag,MATCH($E99,QBTeams,0)),1)=1),"QB UNCERTAIN",""))</f>
        <v/>
      </c>
      <c r="AP99" s="2" t="str">
        <f t="array" ref="AP99">IF($B99="","",IFERROR(INDEX(DQStatus,MATCH($B99,DQGameID,0)),"BLOCKED — DQ ROW NOT FOUND"))</f>
        <v>READY</v>
      </c>
      <c r="AQ99" s="2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2" t="str">
        <f t="shared" si="13"/>
        <v/>
      </c>
      <c r="AS99" s="2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2" t="str">
        <f t="shared" si="14"/>
        <v/>
      </c>
      <c r="AU99" s="11"/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9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2" t="str">
        <f t="array" ref="G100">IF($B100="","",IF(INDEX(SchedZone,MATCH($A100,SchedSeq,0),MAP!$B$14)="Neutral","Y",""))</f>
        <v/>
      </c>
      <c r="H100" s="2" t="str">
        <f t="array" ref="H100">IF($B100="","",INDEX(SchedZone,MATCH($A100,SchedSeq,0),MAP!$B$17))</f>
        <v/>
      </c>
      <c r="I100" s="2" t="str">
        <f>IF(OR($B100="",$C100&lt;&gt;CurrentWeek),"",COUNTIF($C$5:$C100,CurrentWeek))</f>
        <v/>
      </c>
      <c r="J100" s="2">
        <f t="array" ref="J100">IF($B100="","",IFERROR(INDEX(RatEff,MATCH($E100,RatTeams,0)),"⚠ TEAM NOT FOUND"))</f>
        <v>1.78</v>
      </c>
      <c r="K100" s="2">
        <f t="array" ref="K100">IF($B100="","",IFERROR(INDEX(RatEff,MATCH($F100,RatTeams,0)),"⚠ TEAM NOT FOUND"))</f>
        <v>-0.06</v>
      </c>
      <c r="L100" s="2">
        <f t="shared" si="1"/>
        <v>-1.84</v>
      </c>
      <c r="M100" s="2">
        <f t="array" ref="M100">IF($B100="","",IF($G100="Y",NeutralHFA,IFERROR(INDEX(HFAexcVal,MATCH($F100,HFAexcTeam,0)),HFA_Base)))</f>
        <v>1.6</v>
      </c>
      <c r="N100" s="2">
        <f t="array" ref="N100">IF($B100="","",IFERROR(INDEX(QBSpreadEff,MATCH($F100,QBTeams,0)),0)-IFERROR(INDEX(QBSpreadEff,MATCH($E100,QBTeams,0)),0))</f>
        <v>0</v>
      </c>
      <c r="O100" s="2">
        <f t="array" ref="O100">IF($B100="","",IFERROR(MEDIAN(-RestCapPts,RestCapPts,RestPerDay*(INDEX(SchedZone,MATCH($A100,SchedSeq,0),MAP!$B$16)-INDEX(SchedZone,MATCH($A100,SchedSeq,0),MAP!$B$15))),0))</f>
        <v>0.1</v>
      </c>
      <c r="P100" s="2">
        <f>IF($B100="","",SUMIFS(AdjSpread,AdjGameID,$B100,AdjTeam,$F100,AdjActive,1)-SUMIFS(AdjSpread,AdjGameID,$B100,AdjTeam,$E100,AdjActive,1))</f>
        <v>0</v>
      </c>
      <c r="Q100" s="2">
        <f t="shared" si="2"/>
        <v>-0.14</v>
      </c>
      <c r="R100" s="11"/>
      <c r="S100" s="2">
        <f t="shared" si="3"/>
        <v>-0.14</v>
      </c>
      <c r="T100" s="2" t="str">
        <f t="shared" si="4"/>
        <v>SF -0.1</v>
      </c>
      <c r="U100" s="2" t="str">
        <f t="array" ref="U100">IF($B100="","",IFERROR(INDEX(MktHomeSpread,MATCH($B100,MktGameID,0)),""))</f>
        <v/>
      </c>
      <c r="V100" s="2" t="str">
        <f t="shared" si="5"/>
        <v/>
      </c>
      <c r="W100" s="2" t="str">
        <f t="shared" si="6"/>
        <v/>
      </c>
      <c r="X100" s="2" t="str">
        <f t="shared" si="7"/>
        <v/>
      </c>
      <c r="Y100" s="2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2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2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2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2">
        <f t="array" ref="AC100">IF($B100="","",IFERROR(INDEX(QBTotEff,MATCH($F100,QBTeams,0)),0)+IFERROR(INDEX(QBTotEff,MATCH($E100,QBTeams,0)),0))</f>
        <v>0</v>
      </c>
      <c r="AD100" s="2">
        <f>IF($B100="","",SUMIFS(AdjTot,AdjGameID,$B100,AdjActive,1))</f>
        <v>0</v>
      </c>
      <c r="AE100" s="2">
        <f t="shared" si="8"/>
        <v>0</v>
      </c>
      <c r="AF100" s="11"/>
      <c r="AG100" s="2">
        <f t="shared" si="9"/>
        <v>0</v>
      </c>
      <c r="AH100" s="2" t="str">
        <f t="array" ref="AH100">IF($B100="","",IFERROR(INDEX(MktTotal,MATCH($B100,MktGameID,0)),""))</f>
        <v/>
      </c>
      <c r="AI100" s="2" t="str">
        <f t="shared" si="10"/>
        <v/>
      </c>
      <c r="AJ100" s="2" t="str">
        <f t="shared" si="11"/>
        <v/>
      </c>
      <c r="AK100" s="2" t="str">
        <f t="shared" si="12"/>
        <v/>
      </c>
      <c r="AL100" s="2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2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2" t="str">
        <f>IF($AG100="","","BET OVER at ≤ "&amp;TEXT($AG100-BetTot,"0.0")&amp;"  |  BET UNDER at ≥ "&amp;TEXT($AG100+BetTot,"0.0"))</f>
        <v>BET OVER at ≤ -3.0  |  BET UNDER at ≥ 3.0</v>
      </c>
      <c r="AO100" s="2" t="str">
        <f t="array" ref="AO100">IF($B100="","",IF(OR(IFERROR(INDEX(QBFlag,MATCH($F100,QBTeams,0)),1)=1,IFERROR(INDEX(QBFlag,MATCH($E100,QBTeams,0)),1)=1),"QB UNCERTAIN",""))</f>
        <v>QB UNCERTAIN</v>
      </c>
      <c r="AP100" s="2" t="str">
        <f t="array" ref="AP100">IF($B100="","",IFERROR(INDEX(DQStatus,MATCH($B100,DQGameID,0)),"BLOCKED — DQ ROW NOT FOUND"))</f>
        <v>READY</v>
      </c>
      <c r="AQ100" s="2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2" t="str">
        <f t="shared" si="13"/>
        <v/>
      </c>
      <c r="AS100" s="2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2" t="str">
        <f t="shared" si="14"/>
        <v/>
      </c>
      <c r="AU100" s="11"/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9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2" t="str">
        <f t="array" ref="G101">IF($B101="","",IF(INDEX(SchedZone,MATCH($A101,SchedSeq,0),MAP!$B$14)="Neutral","Y",""))</f>
        <v/>
      </c>
      <c r="H101" s="2" t="str">
        <f t="array" ref="H101">IF($B101="","",INDEX(SchedZone,MATCH($A101,SchedSeq,0),MAP!$B$17))</f>
        <v>outdoors</v>
      </c>
      <c r="I101" s="2" t="str">
        <f>IF(OR($B101="",$C101&lt;&gt;CurrentWeek),"",COUNTIF($C$5:$C101,CurrentWeek))</f>
        <v/>
      </c>
      <c r="J101" s="2">
        <f t="array" ref="J101">IF($B101="","",IFERROR(INDEX(RatEff,MATCH($E101,RatTeams,0)),"⚠ TEAM NOT FOUND"))</f>
        <v>-1.53</v>
      </c>
      <c r="K101" s="2">
        <f t="array" ref="K101">IF($B101="","",IFERROR(INDEX(RatEff,MATCH($F101,RatTeams,0)),"⚠ TEAM NOT FOUND"))</f>
        <v>0.92</v>
      </c>
      <c r="L101" s="2">
        <f t="shared" si="1"/>
        <v>2.45</v>
      </c>
      <c r="M101" s="2">
        <f t="array" ref="M101">IF($B101="","",IF($G101="Y",NeutralHFA,IFERROR(INDEX(HFAexcVal,MATCH($F101,HFAexcTeam,0)),HFA_Base)))</f>
        <v>1.6</v>
      </c>
      <c r="N101" s="2">
        <f t="array" ref="N101">IF($B101="","",IFERROR(INDEX(QBSpreadEff,MATCH($F101,QBTeams,0)),0)-IFERROR(INDEX(QBSpreadEff,MATCH($E101,QBTeams,0)),0))</f>
        <v>0</v>
      </c>
      <c r="O101" s="2">
        <f t="array" ref="O101">IF($B101="","",IFERROR(MEDIAN(-RestCapPts,RestCapPts,RestPerDay*(INDEX(SchedZone,MATCH($A101,SchedSeq,0),MAP!$B$16)-INDEX(SchedZone,MATCH($A101,SchedSeq,0),MAP!$B$15))),0))</f>
        <v>-0.7</v>
      </c>
      <c r="P101" s="2">
        <f>IF($B101="","",SUMIFS(AdjSpread,AdjGameID,$B101,AdjTeam,$F101,AdjActive,1)-SUMIFS(AdjSpread,AdjGameID,$B101,AdjTeam,$E101,AdjActive,1))</f>
        <v>0</v>
      </c>
      <c r="Q101" s="2">
        <f t="shared" si="2"/>
        <v>3.35</v>
      </c>
      <c r="R101" s="11"/>
      <c r="S101" s="2">
        <f t="shared" si="3"/>
        <v>3.35</v>
      </c>
      <c r="T101" s="2" t="str">
        <f t="shared" si="4"/>
        <v>BAL -3.4</v>
      </c>
      <c r="U101" s="2" t="str">
        <f t="array" ref="U101">IF($B101="","",IFERROR(INDEX(MktHomeSpread,MATCH($B101,MktGameID,0)),""))</f>
        <v/>
      </c>
      <c r="V101" s="2" t="str">
        <f t="shared" si="5"/>
        <v/>
      </c>
      <c r="W101" s="2" t="str">
        <f t="shared" si="6"/>
        <v/>
      </c>
      <c r="X101" s="2" t="str">
        <f t="shared" si="7"/>
        <v/>
      </c>
      <c r="Y101" s="2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2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2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2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2">
        <f t="array" ref="AC101">IF($B101="","",IFERROR(INDEX(QBTotEff,MATCH($F101,QBTeams,0)),0)+IFERROR(INDEX(QBTotEff,MATCH($E101,QBTeams,0)),0))</f>
        <v>0</v>
      </c>
      <c r="AD101" s="2">
        <f>IF($B101="","",SUMIFS(AdjTot,AdjGameID,$B101,AdjActive,1))</f>
        <v>0</v>
      </c>
      <c r="AE101" s="2">
        <f t="shared" si="8"/>
        <v>0</v>
      </c>
      <c r="AF101" s="11"/>
      <c r="AG101" s="2">
        <f t="shared" si="9"/>
        <v>0</v>
      </c>
      <c r="AH101" s="2" t="str">
        <f t="array" ref="AH101">IF($B101="","",IFERROR(INDEX(MktTotal,MATCH($B101,MktGameID,0)),""))</f>
        <v/>
      </c>
      <c r="AI101" s="2" t="str">
        <f t="shared" si="10"/>
        <v/>
      </c>
      <c r="AJ101" s="2" t="str">
        <f t="shared" si="11"/>
        <v/>
      </c>
      <c r="AK101" s="2" t="str">
        <f t="shared" si="12"/>
        <v/>
      </c>
      <c r="AL101" s="2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2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2" t="str">
        <f>IF($AG101="","","BET OVER at ≤ "&amp;TEXT($AG101-BetTot,"0.0")&amp;"  |  BET UNDER at ≥ "&amp;TEXT($AG101+BetTot,"0.0"))</f>
        <v>BET OVER at ≤ -3.0  |  BET UNDER at ≥ 3.0</v>
      </c>
      <c r="AO101" s="2" t="str">
        <f t="array" ref="AO101">IF($B101="","",IF(OR(IFERROR(INDEX(QBFlag,MATCH($F101,QBTeams,0)),1)=1,IFERROR(INDEX(QBFlag,MATCH($E101,QBTeams,0)),1)=1),"QB UNCERTAIN",""))</f>
        <v/>
      </c>
      <c r="AP101" s="2" t="str">
        <f t="array" ref="AP101">IF($B101="","",IFERROR(INDEX(DQStatus,MATCH($B101,DQGameID,0)),"BLOCKED — DQ ROW NOT FOUND"))</f>
        <v>READY</v>
      </c>
      <c r="AQ101" s="2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2" t="str">
        <f t="shared" si="13"/>
        <v/>
      </c>
      <c r="AS101" s="2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2" t="str">
        <f t="shared" si="14"/>
        <v/>
      </c>
      <c r="AU101" s="11"/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9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2" t="str">
        <f t="array" ref="G102">IF($B102="","",IF(INDEX(SchedZone,MATCH($A102,SchedSeq,0),MAP!$B$14)="Neutral","Y",""))</f>
        <v/>
      </c>
      <c r="H102" s="2" t="str">
        <f t="array" ref="H102">IF($B102="","",INDEX(SchedZone,MATCH($A102,SchedSeq,0),MAP!$B$17))</f>
        <v>outdoors</v>
      </c>
      <c r="I102" s="2" t="str">
        <f>IF(OR($B102="",$C102&lt;&gt;CurrentWeek),"",COUNTIF($C$5:$C102,CurrentWeek))</f>
        <v/>
      </c>
      <c r="J102" s="2">
        <f t="array" ref="J102">IF($B102="","",IFERROR(INDEX(RatEff,MATCH($E102,RatTeams,0)),"⚠ TEAM NOT FOUND"))</f>
        <v>-0.48</v>
      </c>
      <c r="K102" s="2">
        <f t="array" ref="K102">IF($B102="","",IFERROR(INDEX(RatEff,MATCH($F102,RatTeams,0)),"⚠ TEAM NOT FOUND"))</f>
        <v>-1.3</v>
      </c>
      <c r="L102" s="2">
        <f t="shared" si="1"/>
        <v>-0.82</v>
      </c>
      <c r="M102" s="2">
        <f t="array" ref="M102">IF($B102="","",IF($G102="Y",NeutralHFA,IFERROR(INDEX(HFAexcVal,MATCH($F102,HFAexcTeam,0)),HFA_Base)))</f>
        <v>1.6</v>
      </c>
      <c r="N102" s="2">
        <f t="array" ref="N102">IF($B102="","",IFERROR(INDEX(QBSpreadEff,MATCH($F102,QBTeams,0)),0)-IFERROR(INDEX(QBSpreadEff,MATCH($E102,QBTeams,0)),0))</f>
        <v>0</v>
      </c>
      <c r="O102" s="2">
        <f t="array" ref="O102">IF($B102="","",IFERROR(MEDIAN(-RestCapPts,RestCapPts,RestPerDay*(INDEX(SchedZone,MATCH($A102,SchedSeq,0),MAP!$B$16)-INDEX(SchedZone,MATCH($A102,SchedSeq,0),MAP!$B$15))),0))</f>
        <v>0</v>
      </c>
      <c r="P102" s="2">
        <f>IF($B102="","",SUMIFS(AdjSpread,AdjGameID,$B102,AdjTeam,$F102,AdjActive,1)-SUMIFS(AdjSpread,AdjGameID,$B102,AdjTeam,$E102,AdjActive,1))</f>
        <v>0</v>
      </c>
      <c r="Q102" s="2">
        <f t="shared" si="2"/>
        <v>0.78</v>
      </c>
      <c r="R102" s="11"/>
      <c r="S102" s="2">
        <f t="shared" si="3"/>
        <v>0.78</v>
      </c>
      <c r="T102" s="2" t="str">
        <f t="shared" si="4"/>
        <v>CAR -0.8</v>
      </c>
      <c r="U102" s="2" t="str">
        <f t="array" ref="U102">IF($B102="","",IFERROR(INDEX(MktHomeSpread,MATCH($B102,MktGameID,0)),""))</f>
        <v/>
      </c>
      <c r="V102" s="2" t="str">
        <f t="shared" si="5"/>
        <v/>
      </c>
      <c r="W102" s="2" t="str">
        <f t="shared" si="6"/>
        <v/>
      </c>
      <c r="X102" s="2" t="str">
        <f t="shared" si="7"/>
        <v/>
      </c>
      <c r="Y102" s="2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2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2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2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2">
        <f t="array" ref="AC102">IF($B102="","",IFERROR(INDEX(QBTotEff,MATCH($F102,QBTeams,0)),0)+IFERROR(INDEX(QBTotEff,MATCH($E102,QBTeams,0)),0))</f>
        <v>0</v>
      </c>
      <c r="AD102" s="2">
        <f>IF($B102="","",SUMIFS(AdjTot,AdjGameID,$B102,AdjActive,1))</f>
        <v>0</v>
      </c>
      <c r="AE102" s="2">
        <f t="shared" si="8"/>
        <v>0</v>
      </c>
      <c r="AF102" s="11"/>
      <c r="AG102" s="2">
        <f t="shared" si="9"/>
        <v>0</v>
      </c>
      <c r="AH102" s="2" t="str">
        <f t="array" ref="AH102">IF($B102="","",IFERROR(INDEX(MktTotal,MATCH($B102,MktGameID,0)),""))</f>
        <v/>
      </c>
      <c r="AI102" s="2" t="str">
        <f t="shared" si="10"/>
        <v/>
      </c>
      <c r="AJ102" s="2" t="str">
        <f t="shared" si="11"/>
        <v/>
      </c>
      <c r="AK102" s="2" t="str">
        <f t="shared" si="12"/>
        <v/>
      </c>
      <c r="AL102" s="2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2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2" t="str">
        <f>IF($AG102="","","BET OVER at ≤ "&amp;TEXT($AG102-BetTot,"0.0")&amp;"  |  BET UNDER at ≥ "&amp;TEXT($AG102+BetTot,"0.0"))</f>
        <v>BET OVER at ≤ -3.0  |  BET UNDER at ≥ 3.0</v>
      </c>
      <c r="AO102" s="2" t="str">
        <f t="array" ref="AO102">IF($B102="","",IF(OR(IFERROR(INDEX(QBFlag,MATCH($F102,QBTeams,0)),1)=1,IFERROR(INDEX(QBFlag,MATCH($E102,QBTeams,0)),1)=1),"QB UNCERTAIN",""))</f>
        <v/>
      </c>
      <c r="AP102" s="2" t="str">
        <f t="array" ref="AP102">IF($B102="","",IFERROR(INDEX(DQStatus,MATCH($B102,DQGameID,0)),"BLOCKED — DQ ROW NOT FOUND"))</f>
        <v>READY</v>
      </c>
      <c r="AQ102" s="2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2" t="str">
        <f t="shared" si="13"/>
        <v/>
      </c>
      <c r="AS102" s="2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2" t="str">
        <f t="shared" si="14"/>
        <v/>
      </c>
      <c r="AU102" s="11"/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9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2" t="str">
        <f t="array" ref="G103">IF($B103="","",IF(INDEX(SchedZone,MATCH($A103,SchedSeq,0),MAP!$B$14)="Neutral","Y",""))</f>
        <v/>
      </c>
      <c r="H103" s="2" t="str">
        <f t="array" ref="H103">IF($B103="","",INDEX(SchedZone,MATCH($A103,SchedSeq,0),MAP!$B$17))</f>
        <v/>
      </c>
      <c r="I103" s="2" t="str">
        <f>IF(OR($B103="",$C103&lt;&gt;CurrentWeek),"",COUNTIF($C$5:$C103,CurrentWeek))</f>
        <v/>
      </c>
      <c r="J103" s="2">
        <f t="array" ref="J103">IF($B103="","",IFERROR(INDEX(RatEff,MATCH($E103,RatTeams,0)),"⚠ TEAM NOT FOUND"))</f>
        <v>-1.59</v>
      </c>
      <c r="K103" s="2">
        <f t="array" ref="K103">IF($B103="","",IFERROR(INDEX(RatEff,MATCH($F103,RatTeams,0)),"⚠ TEAM NOT FOUND"))</f>
        <v>2.71</v>
      </c>
      <c r="L103" s="2">
        <f t="shared" si="1"/>
        <v>4.3</v>
      </c>
      <c r="M103" s="2">
        <f t="array" ref="M103">IF($B103="","",IF($G103="Y",NeutralHFA,IFERROR(INDEX(HFAexcVal,MATCH($F103,HFAexcTeam,0)),HFA_Base)))</f>
        <v>1.6</v>
      </c>
      <c r="N103" s="2">
        <f t="array" ref="N103">IF($B103="","",IFERROR(INDEX(QBSpreadEff,MATCH($F103,QBTeams,0)),0)-IFERROR(INDEX(QBSpreadEff,MATCH($E103,QBTeams,0)),0))</f>
        <v>0</v>
      </c>
      <c r="O103" s="2">
        <f t="array" ref="O103">IF($B103="","",IFERROR(MEDIAN(-RestCapPts,RestCapPts,RestPerDay*(INDEX(SchedZone,MATCH($A103,SchedSeq,0),MAP!$B$16)-INDEX(SchedZone,MATCH($A103,SchedSeq,0),MAP!$B$15))),0))</f>
        <v>0</v>
      </c>
      <c r="P103" s="2">
        <f>IF($B103="","",SUMIFS(AdjSpread,AdjGameID,$B103,AdjTeam,$F103,AdjActive,1)-SUMIFS(AdjSpread,AdjGameID,$B103,AdjTeam,$E103,AdjActive,1))</f>
        <v>0</v>
      </c>
      <c r="Q103" s="2">
        <f t="shared" si="2"/>
        <v>5.9</v>
      </c>
      <c r="R103" s="11"/>
      <c r="S103" s="2">
        <f t="shared" si="3"/>
        <v>5.9</v>
      </c>
      <c r="T103" s="2" t="str">
        <f t="shared" si="4"/>
        <v>HOU -5.9</v>
      </c>
      <c r="U103" s="2" t="str">
        <f t="array" ref="U103">IF($B103="","",IFERROR(INDEX(MktHomeSpread,MATCH($B103,MktGameID,0)),""))</f>
        <v/>
      </c>
      <c r="V103" s="2" t="str">
        <f t="shared" si="5"/>
        <v/>
      </c>
      <c r="W103" s="2" t="str">
        <f t="shared" si="6"/>
        <v/>
      </c>
      <c r="X103" s="2" t="str">
        <f t="shared" si="7"/>
        <v/>
      </c>
      <c r="Y103" s="2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2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2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2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2">
        <f t="array" ref="AC103">IF($B103="","",IFERROR(INDEX(QBTotEff,MATCH($F103,QBTeams,0)),0)+IFERROR(INDEX(QBTotEff,MATCH($E103,QBTeams,0)),0))</f>
        <v>0</v>
      </c>
      <c r="AD103" s="2">
        <f>IF($B103="","",SUMIFS(AdjTot,AdjGameID,$B103,AdjActive,1))</f>
        <v>0</v>
      </c>
      <c r="AE103" s="2">
        <f t="shared" si="8"/>
        <v>0</v>
      </c>
      <c r="AF103" s="11"/>
      <c r="AG103" s="2">
        <f t="shared" si="9"/>
        <v>0</v>
      </c>
      <c r="AH103" s="2" t="str">
        <f t="array" ref="AH103">IF($B103="","",IFERROR(INDEX(MktTotal,MATCH($B103,MktGameID,0)),""))</f>
        <v/>
      </c>
      <c r="AI103" s="2" t="str">
        <f t="shared" si="10"/>
        <v/>
      </c>
      <c r="AJ103" s="2" t="str">
        <f t="shared" si="11"/>
        <v/>
      </c>
      <c r="AK103" s="2" t="str">
        <f t="shared" si="12"/>
        <v/>
      </c>
      <c r="AL103" s="2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2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2" t="str">
        <f>IF($AG103="","","BET OVER at ≤ "&amp;TEXT($AG103-BetTot,"0.0")&amp;"  |  BET UNDER at ≥ "&amp;TEXT($AG103+BetTot,"0.0"))</f>
        <v>BET OVER at ≤ -3.0  |  BET UNDER at ≥ 3.0</v>
      </c>
      <c r="AO103" s="2" t="str">
        <f t="array" ref="AO103">IF($B103="","",IF(OR(IFERROR(INDEX(QBFlag,MATCH($F103,QBTeams,0)),1)=1,IFERROR(INDEX(QBFlag,MATCH($E103,QBTeams,0)),1)=1),"QB UNCERTAIN",""))</f>
        <v/>
      </c>
      <c r="AP103" s="2" t="str">
        <f t="array" ref="AP103">IF($B103="","",IFERROR(INDEX(DQStatus,MATCH($B103,DQGameID,0)),"BLOCKED — DQ ROW NOT FOUND"))</f>
        <v>READY</v>
      </c>
      <c r="AQ103" s="2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2" t="str">
        <f t="shared" si="13"/>
        <v/>
      </c>
      <c r="AS103" s="2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2" t="str">
        <f t="shared" si="14"/>
        <v/>
      </c>
      <c r="AU103" s="11"/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9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2" t="str">
        <f t="array" ref="G104">IF($B104="","",IF(INDEX(SchedZone,MATCH($A104,SchedSeq,0),MAP!$B$14)="Neutral","Y",""))</f>
        <v/>
      </c>
      <c r="H104" s="2" t="str">
        <f t="array" ref="H104">IF($B104="","",INDEX(SchedZone,MATCH($A104,SchedSeq,0),MAP!$B$17))</f>
        <v>dome</v>
      </c>
      <c r="I104" s="2" t="str">
        <f>IF(OR($B104="",$C104&lt;&gt;CurrentWeek),"",COUNTIF($C$5:$C104,CurrentWeek))</f>
        <v/>
      </c>
      <c r="J104" s="2">
        <f t="array" ref="J104">IF($B104="","",IFERROR(INDEX(RatEff,MATCH($E104,RatTeams,0)),"⚠ TEAM NOT FOUND"))</f>
        <v>0.82</v>
      </c>
      <c r="K104" s="2">
        <f t="array" ref="K104">IF($B104="","",IFERROR(INDEX(RatEff,MATCH($F104,RatTeams,0)),"⚠ TEAM NOT FOUND"))</f>
        <v>0.5</v>
      </c>
      <c r="L104" s="2">
        <f t="shared" si="1"/>
        <v>-0.32</v>
      </c>
      <c r="M104" s="2">
        <f t="array" ref="M104">IF($B104="","",IF($G104="Y",NeutralHFA,IFERROR(INDEX(HFAexcVal,MATCH($F104,HFAexcTeam,0)),HFA_Base)))</f>
        <v>1.6</v>
      </c>
      <c r="N104" s="2">
        <f t="array" ref="N104">IF($B104="","",IFERROR(INDEX(QBSpreadEff,MATCH($F104,QBTeams,0)),0)-IFERROR(INDEX(QBSpreadEff,MATCH($E104,QBTeams,0)),0))</f>
        <v>0</v>
      </c>
      <c r="O104" s="2">
        <f t="array" ref="O104">IF($B104="","",IFERROR(MEDIAN(-RestCapPts,RestCapPts,RestPerDay*(INDEX(SchedZone,MATCH($A104,SchedSeq,0),MAP!$B$16)-INDEX(SchedZone,MATCH($A104,SchedSeq,0),MAP!$B$15))),0))</f>
        <v>0.7</v>
      </c>
      <c r="P104" s="2">
        <f>IF($B104="","",SUMIFS(AdjSpread,AdjGameID,$B104,AdjTeam,$F104,AdjActive,1)-SUMIFS(AdjSpread,AdjGameID,$B104,AdjTeam,$E104,AdjActive,1))</f>
        <v>0</v>
      </c>
      <c r="Q104" s="2">
        <f t="shared" si="2"/>
        <v>1.98</v>
      </c>
      <c r="R104" s="11"/>
      <c r="S104" s="2">
        <f t="shared" si="3"/>
        <v>1.98</v>
      </c>
      <c r="T104" s="2" t="str">
        <f t="shared" si="4"/>
        <v>MIN -2.0</v>
      </c>
      <c r="U104" s="2" t="str">
        <f t="array" ref="U104">IF($B104="","",IFERROR(INDEX(MktHomeSpread,MATCH($B104,MktGameID,0)),""))</f>
        <v/>
      </c>
      <c r="V104" s="2" t="str">
        <f t="shared" si="5"/>
        <v/>
      </c>
      <c r="W104" s="2" t="str">
        <f t="shared" si="6"/>
        <v/>
      </c>
      <c r="X104" s="2" t="str">
        <f t="shared" si="7"/>
        <v/>
      </c>
      <c r="Y104" s="2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2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2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2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2">
        <f t="array" ref="AC104">IF($B104="","",IFERROR(INDEX(QBTotEff,MATCH($F104,QBTeams,0)),0)+IFERROR(INDEX(QBTotEff,MATCH($E104,QBTeams,0)),0))</f>
        <v>0</v>
      </c>
      <c r="AD104" s="2">
        <f>IF($B104="","",SUMIFS(AdjTot,AdjGameID,$B104,AdjActive,1))</f>
        <v>0</v>
      </c>
      <c r="AE104" s="2">
        <f t="shared" si="8"/>
        <v>0</v>
      </c>
      <c r="AF104" s="11"/>
      <c r="AG104" s="2">
        <f t="shared" si="9"/>
        <v>0</v>
      </c>
      <c r="AH104" s="2" t="str">
        <f t="array" ref="AH104">IF($B104="","",IFERROR(INDEX(MktTotal,MATCH($B104,MktGameID,0)),""))</f>
        <v/>
      </c>
      <c r="AI104" s="2" t="str">
        <f t="shared" si="10"/>
        <v/>
      </c>
      <c r="AJ104" s="2" t="str">
        <f t="shared" si="11"/>
        <v/>
      </c>
      <c r="AK104" s="2" t="str">
        <f t="shared" si="12"/>
        <v/>
      </c>
      <c r="AL104" s="2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Low</v>
      </c>
      <c r="AM104" s="2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2" t="str">
        <f>IF($AG104="","","BET OVER at ≤ "&amp;TEXT($AG104-BetTot,"0.0")&amp;"  |  BET UNDER at ≥ "&amp;TEXT($AG104+BetTot,"0.0"))</f>
        <v>BET OVER at ≤ -3.0  |  BET UNDER at ≥ 3.0</v>
      </c>
      <c r="AO104" s="2" t="str">
        <f t="array" ref="AO104">IF($B104="","",IF(OR(IFERROR(INDEX(QBFlag,MATCH($F104,QBTeams,0)),1)=1,IFERROR(INDEX(QBFlag,MATCH($E104,QBTeams,0)),1)=1),"QB UNCERTAIN",""))</f>
        <v>QB UNCERTAIN</v>
      </c>
      <c r="AP104" s="2" t="str">
        <f t="array" ref="AP104">IF($B104="","",IFERROR(INDEX(DQStatus,MATCH($B104,DQGameID,0)),"BLOCKED — DQ ROW NOT FOUND"))</f>
        <v>READY</v>
      </c>
      <c r="AQ104" s="2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2" t="str">
        <f t="shared" si="13"/>
        <v/>
      </c>
      <c r="AS104" s="2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2" t="str">
        <f t="shared" si="14"/>
        <v/>
      </c>
      <c r="AU104" s="11"/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9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2" t="str">
        <f t="array" ref="G105">IF($B105="","",IF(INDEX(SchedZone,MATCH($A105,SchedSeq,0),MAP!$B$14)="Neutral","Y",""))</f>
        <v/>
      </c>
      <c r="H105" s="2" t="str">
        <f t="array" ref="H105">IF($B105="","",INDEX(SchedZone,MATCH($A105,SchedSeq,0),MAP!$B$17))</f>
        <v>outdoors</v>
      </c>
      <c r="I105" s="2" t="str">
        <f>IF(OR($B105="",$C105&lt;&gt;CurrentWeek),"",COUNTIF($C$5:$C105,CurrentWeek))</f>
        <v/>
      </c>
      <c r="J105" s="2">
        <f t="array" ref="J105">IF($B105="","",IFERROR(INDEX(RatEff,MATCH($E105,RatTeams,0)),"⚠ TEAM NOT FOUND"))</f>
        <v>-2.64</v>
      </c>
      <c r="K105" s="2">
        <f t="array" ref="K105">IF($B105="","",IFERROR(INDEX(RatEff,MATCH($F105,RatTeams,0)),"⚠ TEAM NOT FOUND"))</f>
        <v>-4.67</v>
      </c>
      <c r="L105" s="2">
        <f t="shared" si="1"/>
        <v>-2.03</v>
      </c>
      <c r="M105" s="2">
        <f t="array" ref="M105">IF($B105="","",IF($G105="Y",NeutralHFA,IFERROR(INDEX(HFAexcVal,MATCH($F105,HFAexcTeam,0)),HFA_Base)))</f>
        <v>1.6</v>
      </c>
      <c r="N105" s="2">
        <f t="array" ref="N105">IF($B105="","",IFERROR(INDEX(QBSpreadEff,MATCH($F105,QBTeams,0)),0)-IFERROR(INDEX(QBSpreadEff,MATCH($E105,QBTeams,0)),0))</f>
        <v>0</v>
      </c>
      <c r="O105" s="2">
        <f t="array" ref="O105">IF($B105="","",IFERROR(MEDIAN(-RestCapPts,RestCapPts,RestPerDay*(INDEX(SchedZone,MATCH($A105,SchedSeq,0),MAP!$B$16)-INDEX(SchedZone,MATCH($A105,SchedSeq,0),MAP!$B$15))),0))</f>
        <v>-0.7</v>
      </c>
      <c r="P105" s="2">
        <f>IF($B105="","",SUMIFS(AdjSpread,AdjGameID,$B105,AdjTeam,$F105,AdjActive,1)-SUMIFS(AdjSpread,AdjGameID,$B105,AdjTeam,$E105,AdjActive,1))</f>
        <v>0</v>
      </c>
      <c r="Q105" s="2">
        <f t="shared" si="2"/>
        <v>-1.13</v>
      </c>
      <c r="R105" s="11"/>
      <c r="S105" s="2">
        <f t="shared" si="3"/>
        <v>-1.13</v>
      </c>
      <c r="T105" s="2" t="str">
        <f t="shared" si="4"/>
        <v>MIA -1.1</v>
      </c>
      <c r="U105" s="2" t="str">
        <f t="array" ref="U105">IF($B105="","",IFERROR(INDEX(MktHomeSpread,MATCH($B105,MktGameID,0)),""))</f>
        <v/>
      </c>
      <c r="V105" s="2" t="str">
        <f t="shared" si="5"/>
        <v/>
      </c>
      <c r="W105" s="2" t="str">
        <f t="shared" si="6"/>
        <v/>
      </c>
      <c r="X105" s="2" t="str">
        <f t="shared" si="7"/>
        <v/>
      </c>
      <c r="Y105" s="2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2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2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2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2">
        <f t="array" ref="AC105">IF($B105="","",IFERROR(INDEX(QBTotEff,MATCH($F105,QBTeams,0)),0)+IFERROR(INDEX(QBTotEff,MATCH($E105,QBTeams,0)),0))</f>
        <v>0</v>
      </c>
      <c r="AD105" s="2">
        <f>IF($B105="","",SUMIFS(AdjTot,AdjGameID,$B105,AdjActive,1))</f>
        <v>0</v>
      </c>
      <c r="AE105" s="2">
        <f t="shared" si="8"/>
        <v>0</v>
      </c>
      <c r="AF105" s="11"/>
      <c r="AG105" s="2">
        <f t="shared" si="9"/>
        <v>0</v>
      </c>
      <c r="AH105" s="2" t="str">
        <f t="array" ref="AH105">IF($B105="","",IFERROR(INDEX(MktTotal,MATCH($B105,MktGameID,0)),""))</f>
        <v/>
      </c>
      <c r="AI105" s="2" t="str">
        <f t="shared" si="10"/>
        <v/>
      </c>
      <c r="AJ105" s="2" t="str">
        <f t="shared" si="11"/>
        <v/>
      </c>
      <c r="AK105" s="2" t="str">
        <f t="shared" si="12"/>
        <v/>
      </c>
      <c r="AL105" s="2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2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2" t="str">
        <f>IF($AG105="","","BET OVER at ≤ "&amp;TEXT($AG105-BetTot,"0.0")&amp;"  |  BET UNDER at ≥ "&amp;TEXT($AG105+BetTot,"0.0"))</f>
        <v>BET OVER at ≤ -3.0  |  BET UNDER at ≥ 3.0</v>
      </c>
      <c r="AO105" s="2" t="str">
        <f t="array" ref="AO105">IF($B105="","",IF(OR(IFERROR(INDEX(QBFlag,MATCH($F105,QBTeams,0)),1)=1,IFERROR(INDEX(QBFlag,MATCH($E105,QBTeams,0)),1)=1),"QB UNCERTAIN",""))</f>
        <v/>
      </c>
      <c r="AP105" s="2" t="str">
        <f t="array" ref="AP105">IF($B105="","",IFERROR(INDEX(DQStatus,MATCH($B105,DQGameID,0)),"BLOCKED — DQ ROW NOT FOUND"))</f>
        <v>READY</v>
      </c>
      <c r="AQ105" s="2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2" t="str">
        <f t="shared" si="13"/>
        <v/>
      </c>
      <c r="AS105" s="2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2" t="str">
        <f t="shared" si="14"/>
        <v/>
      </c>
      <c r="AU105" s="11"/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9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2" t="str">
        <f t="array" ref="G106">IF($B106="","",IF(INDEX(SchedZone,MATCH($A106,SchedSeq,0),MAP!$B$14)="Neutral","Y",""))</f>
        <v/>
      </c>
      <c r="H106" s="2" t="str">
        <f t="array" ref="H106">IF($B106="","",INDEX(SchedZone,MATCH($A106,SchedSeq,0),MAP!$B$17))</f>
        <v>outdoors</v>
      </c>
      <c r="I106" s="2" t="str">
        <f>IF(OR($B106="",$C106&lt;&gt;CurrentWeek),"",COUNTIF($C$5:$C106,CurrentWeek))</f>
        <v/>
      </c>
      <c r="J106" s="2">
        <f t="array" ref="J106">IF($B106="","",IFERROR(INDEX(RatEff,MATCH($E106,RatTeams,0)),"⚠ TEAM NOT FOUND"))</f>
        <v>-2.6</v>
      </c>
      <c r="K106" s="2">
        <f t="array" ref="K106">IF($B106="","",IFERROR(INDEX(RatEff,MATCH($F106,RatTeams,0)),"⚠ TEAM NOT FOUND"))</f>
        <v>-3.14</v>
      </c>
      <c r="L106" s="2">
        <f t="shared" si="1"/>
        <v>-0.54</v>
      </c>
      <c r="M106" s="2">
        <f t="array" ref="M106">IF($B106="","",IF($G106="Y",NeutralHFA,IFERROR(INDEX(HFAexcVal,MATCH($F106,HFAexcTeam,0)),HFA_Base)))</f>
        <v>1.6</v>
      </c>
      <c r="N106" s="2">
        <f t="array" ref="N106">IF($B106="","",IFERROR(INDEX(QBSpreadEff,MATCH($F106,QBTeams,0)),0)-IFERROR(INDEX(QBSpreadEff,MATCH($E106,QBTeams,0)),0))</f>
        <v>0</v>
      </c>
      <c r="O106" s="2">
        <f t="array" ref="O106">IF($B106="","",IFERROR(MEDIAN(-RestCapPts,RestCapPts,RestPerDay*(INDEX(SchedZone,MATCH($A106,SchedSeq,0),MAP!$B$16)-INDEX(SchedZone,MATCH($A106,SchedSeq,0),MAP!$B$15))),0))</f>
        <v>0</v>
      </c>
      <c r="P106" s="2">
        <f>IF($B106="","",SUMIFS(AdjSpread,AdjGameID,$B106,AdjTeam,$F106,AdjActive,1)-SUMIFS(AdjSpread,AdjGameID,$B106,AdjTeam,$E106,AdjActive,1))</f>
        <v>0</v>
      </c>
      <c r="Q106" s="2">
        <f t="shared" si="2"/>
        <v>1.06</v>
      </c>
      <c r="R106" s="11"/>
      <c r="S106" s="2">
        <f t="shared" si="3"/>
        <v>1.06</v>
      </c>
      <c r="T106" s="2" t="str">
        <f t="shared" si="4"/>
        <v>TEN -1.1</v>
      </c>
      <c r="U106" s="2" t="str">
        <f t="array" ref="U106">IF($B106="","",IFERROR(INDEX(MktHomeSpread,MATCH($B106,MktGameID,0)),""))</f>
        <v/>
      </c>
      <c r="V106" s="2" t="str">
        <f t="shared" si="5"/>
        <v/>
      </c>
      <c r="W106" s="2" t="str">
        <f t="shared" si="6"/>
        <v/>
      </c>
      <c r="X106" s="2" t="str">
        <f t="shared" si="7"/>
        <v/>
      </c>
      <c r="Y106" s="2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2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2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2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2">
        <f t="array" ref="AC106">IF($B106="","",IFERROR(INDEX(QBTotEff,MATCH($F106,QBTeams,0)),0)+IFERROR(INDEX(QBTotEff,MATCH($E106,QBTeams,0)),0))</f>
        <v>0</v>
      </c>
      <c r="AD106" s="2">
        <f>IF($B106="","",SUMIFS(AdjTot,AdjGameID,$B106,AdjActive,1))</f>
        <v>0</v>
      </c>
      <c r="AE106" s="2">
        <f t="shared" si="8"/>
        <v>0</v>
      </c>
      <c r="AF106" s="11"/>
      <c r="AG106" s="2">
        <f t="shared" si="9"/>
        <v>0</v>
      </c>
      <c r="AH106" s="2" t="str">
        <f t="array" ref="AH106">IF($B106="","",IFERROR(INDEX(MktTotal,MATCH($B106,MktGameID,0)),""))</f>
        <v/>
      </c>
      <c r="AI106" s="2" t="str">
        <f t="shared" si="10"/>
        <v/>
      </c>
      <c r="AJ106" s="2" t="str">
        <f t="shared" si="11"/>
        <v/>
      </c>
      <c r="AK106" s="2" t="str">
        <f t="shared" si="12"/>
        <v/>
      </c>
      <c r="AL106" s="2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Low</v>
      </c>
      <c r="AM106" s="2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2" t="str">
        <f>IF($AG106="","","BET OVER at ≤ "&amp;TEXT($AG106-BetTot,"0.0")&amp;"  |  BET UNDER at ≥ "&amp;TEXT($AG106+BetTot,"0.0"))</f>
        <v>BET OVER at ≤ -3.0  |  BET UNDER at ≥ 3.0</v>
      </c>
      <c r="AO106" s="2" t="str">
        <f t="array" ref="AO106">IF($B106="","",IF(OR(IFERROR(INDEX(QBFlag,MATCH($F106,QBTeams,0)),1)=1,IFERROR(INDEX(QBFlag,MATCH($E106,QBTeams,0)),1)=1),"QB UNCERTAIN",""))</f>
        <v>QB UNCERTAIN</v>
      </c>
      <c r="AP106" s="2" t="str">
        <f t="array" ref="AP106">IF($B106="","",IFERROR(INDEX(DQStatus,MATCH($B106,DQGameID,0)),"BLOCKED — DQ ROW NOT FOUND"))</f>
        <v>READY</v>
      </c>
      <c r="AQ106" s="2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2" t="str">
        <f t="shared" si="13"/>
        <v/>
      </c>
      <c r="AS106" s="2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2" t="str">
        <f t="shared" si="14"/>
        <v/>
      </c>
      <c r="AU106" s="11"/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9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2" t="str">
        <f t="array" ref="G107">IF($B107="","",IF(INDEX(SchedZone,MATCH($A107,SchedSeq,0),MAP!$B$14)="Neutral","Y",""))</f>
        <v/>
      </c>
      <c r="H107" s="2" t="str">
        <f t="array" ref="H107">IF($B107="","",INDEX(SchedZone,MATCH($A107,SchedSeq,0),MAP!$B$17))</f>
        <v/>
      </c>
      <c r="I107" s="2" t="str">
        <f>IF(OR($B107="",$C107&lt;&gt;CurrentWeek),"",COUNTIF($C$5:$C107,CurrentWeek))</f>
        <v/>
      </c>
      <c r="J107" s="2">
        <f t="array" ref="J107">IF($B107="","",IFERROR(INDEX(RatEff,MATCH($E107,RatTeams,0)),"⚠ TEAM NOT FOUND"))</f>
        <v>1.93</v>
      </c>
      <c r="K107" s="2">
        <f t="array" ref="K107">IF($B107="","",IFERROR(INDEX(RatEff,MATCH($F107,RatTeams,0)),"⚠ TEAM NOT FOUND"))</f>
        <v>-2.07</v>
      </c>
      <c r="L107" s="2">
        <f t="shared" si="1"/>
        <v>-4</v>
      </c>
      <c r="M107" s="2">
        <f t="array" ref="M107">IF($B107="","",IF($G107="Y",NeutralHFA,IFERROR(INDEX(HFAexcVal,MATCH($F107,HFAexcTeam,0)),HFA_Base)))</f>
        <v>1.6</v>
      </c>
      <c r="N107" s="2">
        <f t="array" ref="N107">IF($B107="","",IFERROR(INDEX(QBSpreadEff,MATCH($F107,QBTeams,0)),0)-IFERROR(INDEX(QBSpreadEff,MATCH($E107,QBTeams,0)),0))</f>
        <v>0</v>
      </c>
      <c r="O107" s="2">
        <f t="array" ref="O107">IF($B107="","",IFERROR(MEDIAN(-RestCapPts,RestCapPts,RestPerDay*(INDEX(SchedZone,MATCH($A107,SchedSeq,0),MAP!$B$16)-INDEX(SchedZone,MATCH($A107,SchedSeq,0),MAP!$B$15))),0))</f>
        <v>-0.3</v>
      </c>
      <c r="P107" s="2">
        <f>IF($B107="","",SUMIFS(AdjSpread,AdjGameID,$B107,AdjTeam,$F107,AdjActive,1)-SUMIFS(AdjSpread,AdjGameID,$B107,AdjTeam,$E107,AdjActive,1))</f>
        <v>0</v>
      </c>
      <c r="Q107" s="2">
        <f t="shared" si="2"/>
        <v>-2.7</v>
      </c>
      <c r="R107" s="11"/>
      <c r="S107" s="2">
        <f t="shared" si="3"/>
        <v>-2.7</v>
      </c>
      <c r="T107" s="2" t="str">
        <f t="shared" si="4"/>
        <v>DEN -2.7</v>
      </c>
      <c r="U107" s="2" t="str">
        <f t="array" ref="U107">IF($B107="","",IFERROR(INDEX(MktHomeSpread,MATCH($B107,MktGameID,0)),""))</f>
        <v/>
      </c>
      <c r="V107" s="2" t="str">
        <f t="shared" si="5"/>
        <v/>
      </c>
      <c r="W107" s="2" t="str">
        <f t="shared" si="6"/>
        <v/>
      </c>
      <c r="X107" s="2" t="str">
        <f t="shared" si="7"/>
        <v/>
      </c>
      <c r="Y107" s="2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2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2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2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2">
        <f t="array" ref="AC107">IF($B107="","",IFERROR(INDEX(QBTotEff,MATCH($F107,QBTeams,0)),0)+IFERROR(INDEX(QBTotEff,MATCH($E107,QBTeams,0)),0))</f>
        <v>0</v>
      </c>
      <c r="AD107" s="2">
        <f>IF($B107="","",SUMIFS(AdjTot,AdjGameID,$B107,AdjActive,1))</f>
        <v>0</v>
      </c>
      <c r="AE107" s="2">
        <f t="shared" si="8"/>
        <v>0</v>
      </c>
      <c r="AF107" s="11"/>
      <c r="AG107" s="2">
        <f t="shared" si="9"/>
        <v>0</v>
      </c>
      <c r="AH107" s="2" t="str">
        <f t="array" ref="AH107">IF($B107="","",IFERROR(INDEX(MktTotal,MATCH($B107,MktGameID,0)),""))</f>
        <v/>
      </c>
      <c r="AI107" s="2" t="str">
        <f t="shared" si="10"/>
        <v/>
      </c>
      <c r="AJ107" s="2" t="str">
        <f t="shared" si="11"/>
        <v/>
      </c>
      <c r="AK107" s="2" t="str">
        <f t="shared" si="12"/>
        <v/>
      </c>
      <c r="AL107" s="2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Low</v>
      </c>
      <c r="AM107" s="2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2" t="str">
        <f>IF($AG107="","","BET OVER at ≤ "&amp;TEXT($AG107-BetTot,"0.0")&amp;"  |  BET UNDER at ≥ "&amp;TEXT($AG107+BetTot,"0.0"))</f>
        <v>BET OVER at ≤ -3.0  |  BET UNDER at ≥ 3.0</v>
      </c>
      <c r="AO107" s="2" t="str">
        <f t="array" ref="AO107">IF($B107="","",IF(OR(IFERROR(INDEX(QBFlag,MATCH($F107,QBTeams,0)),1)=1,IFERROR(INDEX(QBFlag,MATCH($E107,QBTeams,0)),1)=1),"QB UNCERTAIN",""))</f>
        <v>QB UNCERTAIN</v>
      </c>
      <c r="AP107" s="2" t="str">
        <f t="array" ref="AP107">IF($B107="","",IFERROR(INDEX(DQStatus,MATCH($B107,DQGameID,0)),"BLOCKED — DQ ROW NOT FOUND"))</f>
        <v>READY</v>
      </c>
      <c r="AQ107" s="2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2" t="str">
        <f t="shared" si="13"/>
        <v/>
      </c>
      <c r="AS107" s="2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2" t="str">
        <f t="shared" si="14"/>
        <v/>
      </c>
      <c r="AU107" s="11"/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9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2" t="str">
        <f t="array" ref="G108">IF($B108="","",IF(INDEX(SchedZone,MATCH($A108,SchedSeq,0),MAP!$B$14)="Neutral","Y",""))</f>
        <v/>
      </c>
      <c r="H108" s="2" t="str">
        <f t="array" ref="H108">IF($B108="","",INDEX(SchedZone,MATCH($A108,SchedSeq,0),MAP!$B$17))</f>
        <v>dome</v>
      </c>
      <c r="I108" s="2" t="str">
        <f>IF(OR($B108="",$C108&lt;&gt;CurrentWeek),"",COUNTIF($C$5:$C108,CurrentWeek))</f>
        <v/>
      </c>
      <c r="J108" s="2">
        <f t="array" ref="J108">IF($B108="","",IFERROR(INDEX(RatEff,MATCH($E108,RatTeams,0)),"⚠ TEAM NOT FOUND"))</f>
        <v>0.51</v>
      </c>
      <c r="K108" s="2">
        <f t="array" ref="K108">IF($B108="","",IFERROR(INDEX(RatEff,MATCH($F108,RatTeams,0)),"⚠ TEAM NOT FOUND"))</f>
        <v>0.86</v>
      </c>
      <c r="L108" s="2">
        <f t="shared" si="1"/>
        <v>0.35</v>
      </c>
      <c r="M108" s="2">
        <f t="array" ref="M108">IF($B108="","",IF($G108="Y",NeutralHFA,IFERROR(INDEX(HFAexcVal,MATCH($F108,HFAexcTeam,0)),HFA_Base)))</f>
        <v>1.6</v>
      </c>
      <c r="N108" s="2">
        <f t="array" ref="N108">IF($B108="","",IFERROR(INDEX(QBSpreadEff,MATCH($F108,QBTeams,0)),0)-IFERROR(INDEX(QBSpreadEff,MATCH($E108,QBTeams,0)),0))</f>
        <v>0</v>
      </c>
      <c r="O108" s="2">
        <f t="array" ref="O108">IF($B108="","",IFERROR(MEDIAN(-RestCapPts,RestCapPts,RestPerDay*(INDEX(SchedZone,MATCH($A108,SchedSeq,0),MAP!$B$16)-INDEX(SchedZone,MATCH($A108,SchedSeq,0),MAP!$B$15))),0))</f>
        <v>0.7</v>
      </c>
      <c r="P108" s="2">
        <f>IF($B108="","",SUMIFS(AdjSpread,AdjGameID,$B108,AdjTeam,$F108,AdjActive,1)-SUMIFS(AdjSpread,AdjGameID,$B108,AdjTeam,$E108,AdjActive,1))</f>
        <v>0</v>
      </c>
      <c r="Q108" s="2">
        <f t="shared" si="2"/>
        <v>2.65</v>
      </c>
      <c r="R108" s="11"/>
      <c r="S108" s="2">
        <f t="shared" si="3"/>
        <v>2.65</v>
      </c>
      <c r="T108" s="2" t="str">
        <f t="shared" si="4"/>
        <v>DET -2.7</v>
      </c>
      <c r="U108" s="2" t="str">
        <f t="array" ref="U108">IF($B108="","",IFERROR(INDEX(MktHomeSpread,MATCH($B108,MktGameID,0)),""))</f>
        <v/>
      </c>
      <c r="V108" s="2" t="str">
        <f t="shared" si="5"/>
        <v/>
      </c>
      <c r="W108" s="2" t="str">
        <f t="shared" si="6"/>
        <v/>
      </c>
      <c r="X108" s="2" t="str">
        <f t="shared" si="7"/>
        <v/>
      </c>
      <c r="Y108" s="2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2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2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2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2">
        <f t="array" ref="AC108">IF($B108="","",IFERROR(INDEX(QBTotEff,MATCH($F108,QBTeams,0)),0)+IFERROR(INDEX(QBTotEff,MATCH($E108,QBTeams,0)),0))</f>
        <v>0</v>
      </c>
      <c r="AD108" s="2">
        <f>IF($B108="","",SUMIFS(AdjTot,AdjGameID,$B108,AdjActive,1))</f>
        <v>0</v>
      </c>
      <c r="AE108" s="2">
        <f t="shared" si="8"/>
        <v>0</v>
      </c>
      <c r="AF108" s="11"/>
      <c r="AG108" s="2">
        <f t="shared" si="9"/>
        <v>0</v>
      </c>
      <c r="AH108" s="2" t="str">
        <f t="array" ref="AH108">IF($B108="","",IFERROR(INDEX(MktTotal,MATCH($B108,MktGameID,0)),""))</f>
        <v/>
      </c>
      <c r="AI108" s="2" t="str">
        <f t="shared" si="10"/>
        <v/>
      </c>
      <c r="AJ108" s="2" t="str">
        <f t="shared" si="11"/>
        <v/>
      </c>
      <c r="AK108" s="2" t="str">
        <f t="shared" si="12"/>
        <v/>
      </c>
      <c r="AL108" s="2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2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2" t="str">
        <f>IF($AG108="","","BET OVER at ≤ "&amp;TEXT($AG108-BetTot,"0.0")&amp;"  |  BET UNDER at ≥ "&amp;TEXT($AG108+BetTot,"0.0"))</f>
        <v>BET OVER at ≤ -3.0  |  BET UNDER at ≥ 3.0</v>
      </c>
      <c r="AO108" s="2" t="str">
        <f t="array" ref="AO108">IF($B108="","",IF(OR(IFERROR(INDEX(QBFlag,MATCH($F108,QBTeams,0)),1)=1,IFERROR(INDEX(QBFlag,MATCH($E108,QBTeams,0)),1)=1),"QB UNCERTAIN",""))</f>
        <v/>
      </c>
      <c r="AP108" s="2" t="str">
        <f t="array" ref="AP108">IF($B108="","",IFERROR(INDEX(DQStatus,MATCH($B108,DQGameID,0)),"BLOCKED — DQ ROW NOT FOUND"))</f>
        <v>READY</v>
      </c>
      <c r="AQ108" s="2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2" t="str">
        <f t="shared" si="13"/>
        <v/>
      </c>
      <c r="AS108" s="2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2" t="str">
        <f t="shared" si="14"/>
        <v/>
      </c>
      <c r="AU108" s="11"/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9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2" t="str">
        <f t="array" ref="G109">IF($B109="","",IF(INDEX(SchedZone,MATCH($A109,SchedSeq,0),MAP!$B$14)="Neutral","Y",""))</f>
        <v/>
      </c>
      <c r="H109" s="2" t="str">
        <f t="array" ref="H109">IF($B109="","",INDEX(SchedZone,MATCH($A109,SchedSeq,0),MAP!$B$17))</f>
        <v>dome</v>
      </c>
      <c r="I109" s="2" t="str">
        <f>IF(OR($B109="",$C109&lt;&gt;CurrentWeek),"",COUNTIF($C$5:$C109,CurrentWeek))</f>
        <v/>
      </c>
      <c r="J109" s="2">
        <f t="array" ref="J109">IF($B109="","",IFERROR(INDEX(RatEff,MATCH($E109,RatTeams,0)),"⚠ TEAM NOT FOUND"))</f>
        <v>4.09</v>
      </c>
      <c r="K109" s="2">
        <f t="array" ref="K109">IF($B109="","",IFERROR(INDEX(RatEff,MATCH($F109,RatTeams,0)),"⚠ TEAM NOT FOUND"))</f>
        <v>-3.52</v>
      </c>
      <c r="L109" s="2">
        <f t="shared" si="1"/>
        <v>-7.61</v>
      </c>
      <c r="M109" s="2">
        <f t="array" ref="M109">IF($B109="","",IF($G109="Y",NeutralHFA,IFERROR(INDEX(HFAexcVal,MATCH($F109,HFAexcTeam,0)),HFA_Base)))</f>
        <v>1.6</v>
      </c>
      <c r="N109" s="2">
        <f t="array" ref="N109">IF($B109="","",IFERROR(INDEX(QBSpreadEff,MATCH($F109,QBTeams,0)),0)-IFERROR(INDEX(QBSpreadEff,MATCH($E109,QBTeams,0)),0))</f>
        <v>0</v>
      </c>
      <c r="O109" s="2">
        <f t="array" ref="O109">IF($B109="","",IFERROR(MEDIAN(-RestCapPts,RestCapPts,RestPerDay*(INDEX(SchedZone,MATCH($A109,SchedSeq,0),MAP!$B$16)-INDEX(SchedZone,MATCH($A109,SchedSeq,0),MAP!$B$15))),0))</f>
        <v>0</v>
      </c>
      <c r="P109" s="2">
        <f>IF($B109="","",SUMIFS(AdjSpread,AdjGameID,$B109,AdjTeam,$F109,AdjActive,1)-SUMIFS(AdjSpread,AdjGameID,$B109,AdjTeam,$E109,AdjActive,1))</f>
        <v>0</v>
      </c>
      <c r="Q109" s="2">
        <f t="shared" si="2"/>
        <v>-6.01</v>
      </c>
      <c r="R109" s="11"/>
      <c r="S109" s="2">
        <f t="shared" si="3"/>
        <v>-6.01</v>
      </c>
      <c r="T109" s="2" t="str">
        <f t="shared" si="4"/>
        <v>LA -6.0</v>
      </c>
      <c r="U109" s="2" t="str">
        <f t="array" ref="U109">IF($B109="","",IFERROR(INDEX(MktHomeSpread,MATCH($B109,MktGameID,0)),""))</f>
        <v/>
      </c>
      <c r="V109" s="2" t="str">
        <f t="shared" si="5"/>
        <v/>
      </c>
      <c r="W109" s="2" t="str">
        <f t="shared" si="6"/>
        <v/>
      </c>
      <c r="X109" s="2" t="str">
        <f t="shared" si="7"/>
        <v/>
      </c>
      <c r="Y109" s="2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2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2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2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2">
        <f t="array" ref="AC109">IF($B109="","",IFERROR(INDEX(QBTotEff,MATCH($F109,QBTeams,0)),0)+IFERROR(INDEX(QBTotEff,MATCH($E109,QBTeams,0)),0))</f>
        <v>0</v>
      </c>
      <c r="AD109" s="2">
        <f>IF($B109="","",SUMIFS(AdjTot,AdjGameID,$B109,AdjActive,1))</f>
        <v>0</v>
      </c>
      <c r="AE109" s="2">
        <f t="shared" si="8"/>
        <v>0</v>
      </c>
      <c r="AF109" s="11"/>
      <c r="AG109" s="2">
        <f t="shared" si="9"/>
        <v>0</v>
      </c>
      <c r="AH109" s="2" t="str">
        <f t="array" ref="AH109">IF($B109="","",IFERROR(INDEX(MktTotal,MATCH($B109,MktGameID,0)),""))</f>
        <v/>
      </c>
      <c r="AI109" s="2" t="str">
        <f t="shared" si="10"/>
        <v/>
      </c>
      <c r="AJ109" s="2" t="str">
        <f t="shared" si="11"/>
        <v/>
      </c>
      <c r="AK109" s="2" t="str">
        <f t="shared" si="12"/>
        <v/>
      </c>
      <c r="AL109" s="2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2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2" t="str">
        <f>IF($AG109="","","BET OVER at ≤ "&amp;TEXT($AG109-BetTot,"0.0")&amp;"  |  BET UNDER at ≥ "&amp;TEXT($AG109+BetTot,"0.0"))</f>
        <v>BET OVER at ≤ -3.0  |  BET UNDER at ≥ 3.0</v>
      </c>
      <c r="AO109" s="2" t="str">
        <f t="array" ref="AO109">IF($B109="","",IF(OR(IFERROR(INDEX(QBFlag,MATCH($F109,QBTeams,0)),1)=1,IFERROR(INDEX(QBFlag,MATCH($E109,QBTeams,0)),1)=1),"QB UNCERTAIN",""))</f>
        <v/>
      </c>
      <c r="AP109" s="2" t="str">
        <f t="array" ref="AP109">IF($B109="","",IFERROR(INDEX(DQStatus,MATCH($B109,DQGameID,0)),"BLOCKED — DQ ROW NOT FOUND"))</f>
        <v>READY</v>
      </c>
      <c r="AQ109" s="2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2" t="str">
        <f t="shared" si="13"/>
        <v/>
      </c>
      <c r="AS109" s="2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2" t="str">
        <f t="shared" si="14"/>
        <v/>
      </c>
      <c r="AU109" s="11"/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9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2" t="str">
        <f t="array" ref="G110">IF($B110="","",IF(INDEX(SchedZone,MATCH($A110,SchedSeq,0),MAP!$B$14)="Neutral","Y",""))</f>
        <v/>
      </c>
      <c r="H110" s="2" t="str">
        <f t="array" ref="H110">IF($B110="","",INDEX(SchedZone,MATCH($A110,SchedSeq,0),MAP!$B$17))</f>
        <v>outdoors</v>
      </c>
      <c r="I110" s="2" t="str">
        <f>IF(OR($B110="",$C110&lt;&gt;CurrentWeek),"",COUNTIF($C$5:$C110,CurrentWeek))</f>
        <v/>
      </c>
      <c r="J110" s="2">
        <f t="array" ref="J110">IF($B110="","",IFERROR(INDEX(RatEff,MATCH($E110,RatTeams,0)),"⚠ TEAM NOT FOUND"))</f>
        <v>-0.04</v>
      </c>
      <c r="K110" s="2">
        <f t="array" ref="K110">IF($B110="","",IFERROR(INDEX(RatEff,MATCH($F110,RatTeams,0)),"⚠ TEAM NOT FOUND"))</f>
        <v>4.1</v>
      </c>
      <c r="L110" s="2">
        <f t="shared" si="1"/>
        <v>4.14</v>
      </c>
      <c r="M110" s="2">
        <f t="array" ref="M110">IF($B110="","",IF($G110="Y",NeutralHFA,IFERROR(INDEX(HFAexcVal,MATCH($F110,HFAexcTeam,0)),HFA_Base)))</f>
        <v>1.6</v>
      </c>
      <c r="N110" s="2">
        <f t="array" ref="N110">IF($B110="","",IFERROR(INDEX(QBSpreadEff,MATCH($F110,QBTeams,0)),0)-IFERROR(INDEX(QBSpreadEff,MATCH($E110,QBTeams,0)),0))</f>
        <v>0</v>
      </c>
      <c r="O110" s="2">
        <f t="array" ref="O110">IF($B110="","",IFERROR(MEDIAN(-RestCapPts,RestCapPts,RestPerDay*(INDEX(SchedZone,MATCH($A110,SchedSeq,0),MAP!$B$16)-INDEX(SchedZone,MATCH($A110,SchedSeq,0),MAP!$B$15))),0))</f>
        <v>0.3</v>
      </c>
      <c r="P110" s="2">
        <f>IF($B110="","",SUMIFS(AdjSpread,AdjGameID,$B110,AdjTeam,$F110,AdjActive,1)-SUMIFS(AdjSpread,AdjGameID,$B110,AdjTeam,$E110,AdjActive,1))</f>
        <v>0</v>
      </c>
      <c r="Q110" s="2">
        <f t="shared" si="2"/>
        <v>6.04</v>
      </c>
      <c r="R110" s="11"/>
      <c r="S110" s="2">
        <f t="shared" si="3"/>
        <v>6.04</v>
      </c>
      <c r="T110" s="2" t="str">
        <f t="shared" si="4"/>
        <v>SEA -6.0</v>
      </c>
      <c r="U110" s="2" t="str">
        <f t="array" ref="U110">IF($B110="","",IFERROR(INDEX(MktHomeSpread,MATCH($B110,MktGameID,0)),""))</f>
        <v/>
      </c>
      <c r="V110" s="2" t="str">
        <f t="shared" si="5"/>
        <v/>
      </c>
      <c r="W110" s="2" t="str">
        <f t="shared" si="6"/>
        <v/>
      </c>
      <c r="X110" s="2" t="str">
        <f t="shared" si="7"/>
        <v/>
      </c>
      <c r="Y110" s="2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2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2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2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2">
        <f t="array" ref="AC110">IF($B110="","",IFERROR(INDEX(QBTotEff,MATCH($F110,QBTeams,0)),0)+IFERROR(INDEX(QBTotEff,MATCH($E110,QBTeams,0)),0))</f>
        <v>0</v>
      </c>
      <c r="AD110" s="2">
        <f>IF($B110="","",SUMIFS(AdjTot,AdjGameID,$B110,AdjActive,1))</f>
        <v>0</v>
      </c>
      <c r="AE110" s="2">
        <f t="shared" si="8"/>
        <v>0</v>
      </c>
      <c r="AF110" s="11"/>
      <c r="AG110" s="2">
        <f t="shared" si="9"/>
        <v>0</v>
      </c>
      <c r="AH110" s="2" t="str">
        <f t="array" ref="AH110">IF($B110="","",IFERROR(INDEX(MktTotal,MATCH($B110,MktGameID,0)),""))</f>
        <v/>
      </c>
      <c r="AI110" s="2" t="str">
        <f t="shared" si="10"/>
        <v/>
      </c>
      <c r="AJ110" s="2" t="str">
        <f t="shared" si="11"/>
        <v/>
      </c>
      <c r="AK110" s="2" t="str">
        <f t="shared" si="12"/>
        <v/>
      </c>
      <c r="AL110" s="2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Medium</v>
      </c>
      <c r="AM110" s="2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2" t="str">
        <f>IF($AG110="","","BET OVER at ≤ "&amp;TEXT($AG110-BetTot,"0.0")&amp;"  |  BET UNDER at ≥ "&amp;TEXT($AG110+BetTot,"0.0"))</f>
        <v>BET OVER at ≤ -3.0  |  BET UNDER at ≥ 3.0</v>
      </c>
      <c r="AO110" s="2" t="str">
        <f t="array" ref="AO110">IF($B110="","",IF(OR(IFERROR(INDEX(QBFlag,MATCH($F110,QBTeams,0)),1)=1,IFERROR(INDEX(QBFlag,MATCH($E110,QBTeams,0)),1)=1),"QB UNCERTAIN",""))</f>
        <v/>
      </c>
      <c r="AP110" s="2" t="str">
        <f t="array" ref="AP110">IF($B110="","",IFERROR(INDEX(DQStatus,MATCH($B110,DQGameID,0)),"BLOCKED — DQ ROW NOT FOUND"))</f>
        <v>READY</v>
      </c>
      <c r="AQ110" s="2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2" t="str">
        <f t="shared" si="13"/>
        <v/>
      </c>
      <c r="AS110" s="2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2" t="str">
        <f t="shared" si="14"/>
        <v/>
      </c>
      <c r="AU110" s="11"/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9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2" t="str">
        <f t="array" ref="G111">IF($B111="","",IF(INDEX(SchedZone,MATCH($A111,SchedSeq,0),MAP!$B$14)="Neutral","Y",""))</f>
        <v/>
      </c>
      <c r="H111" s="2" t="str">
        <f t="array" ref="H111">IF($B111="","",INDEX(SchedZone,MATCH($A111,SchedSeq,0),MAP!$B$17))</f>
        <v>outdoors</v>
      </c>
      <c r="I111" s="2" t="str">
        <f>IF(OR($B111="",$C111&lt;&gt;CurrentWeek),"",COUNTIF($C$5:$C111,CurrentWeek))</f>
        <v/>
      </c>
      <c r="J111" s="2">
        <f t="array" ref="J111">IF($B111="","",IFERROR(INDEX(RatEff,MATCH($E111,RatTeams,0)),"⚠ TEAM NOT FOUND"))</f>
        <v>-2.26</v>
      </c>
      <c r="K111" s="2">
        <f t="array" ref="K111">IF($B111="","",IFERROR(INDEX(RatEff,MATCH($F111,RatTeams,0)),"⚠ TEAM NOT FOUND"))</f>
        <v>1.5</v>
      </c>
      <c r="L111" s="2">
        <f t="shared" si="1"/>
        <v>3.76</v>
      </c>
      <c r="M111" s="2">
        <f t="array" ref="M111">IF($B111="","",IF($G111="Y",NeutralHFA,IFERROR(INDEX(HFAexcVal,MATCH($F111,HFAexcTeam,0)),HFA_Base)))</f>
        <v>1.6</v>
      </c>
      <c r="N111" s="2">
        <f t="array" ref="N111">IF($B111="","",IFERROR(INDEX(QBSpreadEff,MATCH($F111,QBTeams,0)),0)-IFERROR(INDEX(QBSpreadEff,MATCH($E111,QBTeams,0)),0))</f>
        <v>0</v>
      </c>
      <c r="O111" s="2">
        <f t="array" ref="O111">IF($B111="","",IFERROR(MEDIAN(-RestCapPts,RestCapPts,RestPerDay*(INDEX(SchedZone,MATCH($A111,SchedSeq,0),MAP!$B$16)-INDEX(SchedZone,MATCH($A111,SchedSeq,0),MAP!$B$15))),0))</f>
        <v>0</v>
      </c>
      <c r="P111" s="2">
        <f>IF($B111="","",SUMIFS(AdjSpread,AdjGameID,$B111,AdjTeam,$F111,AdjActive,1)-SUMIFS(AdjSpread,AdjGameID,$B111,AdjTeam,$E111,AdjActive,1))</f>
        <v>0</v>
      </c>
      <c r="Q111" s="2">
        <f t="shared" si="2"/>
        <v>5.36</v>
      </c>
      <c r="R111" s="11"/>
      <c r="S111" s="2">
        <f t="shared" si="3"/>
        <v>5.36</v>
      </c>
      <c r="T111" s="2" t="str">
        <f t="shared" si="4"/>
        <v>PHI -5.4</v>
      </c>
      <c r="U111" s="2" t="str">
        <f t="array" ref="U111">IF($B111="","",IFERROR(INDEX(MktHomeSpread,MATCH($B111,MktGameID,0)),""))</f>
        <v/>
      </c>
      <c r="V111" s="2" t="str">
        <f t="shared" si="5"/>
        <v/>
      </c>
      <c r="W111" s="2" t="str">
        <f t="shared" si="6"/>
        <v/>
      </c>
      <c r="X111" s="2" t="str">
        <f t="shared" si="7"/>
        <v/>
      </c>
      <c r="Y111" s="2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2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2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2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2">
        <f t="array" ref="AC111">IF($B111="","",IFERROR(INDEX(QBTotEff,MATCH($F111,QBTeams,0)),0)+IFERROR(INDEX(QBTotEff,MATCH($E111,QBTeams,0)),0))</f>
        <v>0</v>
      </c>
      <c r="AD111" s="2">
        <f>IF($B111="","",SUMIFS(AdjTot,AdjGameID,$B111,AdjActive,1))</f>
        <v>0</v>
      </c>
      <c r="AE111" s="2">
        <f t="shared" si="8"/>
        <v>0</v>
      </c>
      <c r="AF111" s="11"/>
      <c r="AG111" s="2">
        <f t="shared" si="9"/>
        <v>0</v>
      </c>
      <c r="AH111" s="2" t="str">
        <f t="array" ref="AH111">IF($B111="","",IFERROR(INDEX(MktTotal,MATCH($B111,MktGameID,0)),""))</f>
        <v/>
      </c>
      <c r="AI111" s="2" t="str">
        <f t="shared" si="10"/>
        <v/>
      </c>
      <c r="AJ111" s="2" t="str">
        <f t="shared" si="11"/>
        <v/>
      </c>
      <c r="AK111" s="2" t="str">
        <f t="shared" si="12"/>
        <v/>
      </c>
      <c r="AL111" s="2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2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2" t="str">
        <f>IF($AG111="","","BET OVER at ≤ "&amp;TEXT($AG111-BetTot,"0.0")&amp;"  |  BET UNDER at ≥ "&amp;TEXT($AG111+BetTot,"0.0"))</f>
        <v>BET OVER at ≤ -3.0  |  BET UNDER at ≥ 3.0</v>
      </c>
      <c r="AO111" s="2" t="str">
        <f t="array" ref="AO111">IF($B111="","",IF(OR(IFERROR(INDEX(QBFlag,MATCH($F111,QBTeams,0)),1)=1,IFERROR(INDEX(QBFlag,MATCH($E111,QBTeams,0)),1)=1),"QB UNCERTAIN",""))</f>
        <v/>
      </c>
      <c r="AP111" s="2" t="str">
        <f t="array" ref="AP111">IF($B111="","",IFERROR(INDEX(DQStatus,MATCH($B111,DQGameID,0)),"BLOCKED — DQ ROW NOT FOUND"))</f>
        <v>READY</v>
      </c>
      <c r="AQ111" s="2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2" t="str">
        <f t="shared" si="13"/>
        <v/>
      </c>
      <c r="AS111" s="2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2" t="str">
        <f t="shared" si="14"/>
        <v/>
      </c>
      <c r="AU111" s="11"/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9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2" t="str">
        <f t="array" ref="G112">IF($B112="","",IF(INDEX(SchedZone,MATCH($A112,SchedSeq,0),MAP!$B$14)="Neutral","Y",""))</f>
        <v/>
      </c>
      <c r="H112" s="2" t="str">
        <f t="array" ref="H112">IF($B112="","",INDEX(SchedZone,MATCH($A112,SchedSeq,0),MAP!$B$17))</f>
        <v>outdoors</v>
      </c>
      <c r="I112" s="2" t="str">
        <f>IF(OR($B112="",$C112&lt;&gt;CurrentWeek),"",COUNTIF($C$5:$C112,CurrentWeek))</f>
        <v/>
      </c>
      <c r="J112" s="2">
        <f t="array" ref="J112">IF($B112="","",IFERROR(INDEX(RatEff,MATCH($E112,RatTeams,0)),"⚠ TEAM NOT FOUND"))</f>
        <v>-1.3</v>
      </c>
      <c r="K112" s="2">
        <f t="array" ref="K112">IF($B112="","",IFERROR(INDEX(RatEff,MATCH($F112,RatTeams,0)),"⚠ TEAM NOT FOUND"))</f>
        <v>0.51</v>
      </c>
      <c r="L112" s="2">
        <f t="shared" si="1"/>
        <v>1.81</v>
      </c>
      <c r="M112" s="2">
        <f t="array" ref="M112">IF($B112="","",IF($G112="Y",NeutralHFA,IFERROR(INDEX(HFAexcVal,MATCH($F112,HFAexcTeam,0)),HFA_Base)))</f>
        <v>1.6</v>
      </c>
      <c r="N112" s="2">
        <f t="array" ref="N112">IF($B112="","",IFERROR(INDEX(QBSpreadEff,MATCH($F112,QBTeams,0)),0)-IFERROR(INDEX(QBSpreadEff,MATCH($E112,QBTeams,0)),0))</f>
        <v>0</v>
      </c>
      <c r="O112" s="2">
        <f t="array" ref="O112">IF($B112="","",IFERROR(MEDIAN(-RestCapPts,RestCapPts,RestPerDay*(INDEX(SchedZone,MATCH($A112,SchedSeq,0),MAP!$B$16)-INDEX(SchedZone,MATCH($A112,SchedSeq,0),MAP!$B$15))),0))</f>
        <v>0</v>
      </c>
      <c r="P112" s="2">
        <f>IF($B112="","",SUMIFS(AdjSpread,AdjGameID,$B112,AdjTeam,$F112,AdjActive,1)-SUMIFS(AdjSpread,AdjGameID,$B112,AdjTeam,$E112,AdjActive,1))</f>
        <v>0</v>
      </c>
      <c r="Q112" s="2">
        <f t="shared" si="2"/>
        <v>3.41</v>
      </c>
      <c r="R112" s="11"/>
      <c r="S112" s="2">
        <f t="shared" si="3"/>
        <v>3.41</v>
      </c>
      <c r="T112" s="2" t="str">
        <f t="shared" si="4"/>
        <v>GB -3.4</v>
      </c>
      <c r="U112" s="2" t="str">
        <f t="array" ref="U112">IF($B112="","",IFERROR(INDEX(MktHomeSpread,MATCH($B112,MktGameID,0)),""))</f>
        <v/>
      </c>
      <c r="V112" s="2" t="str">
        <f t="shared" si="5"/>
        <v/>
      </c>
      <c r="W112" s="2" t="str">
        <f t="shared" si="6"/>
        <v/>
      </c>
      <c r="X112" s="2" t="str">
        <f t="shared" si="7"/>
        <v/>
      </c>
      <c r="Y112" s="2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2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2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2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2">
        <f t="array" ref="AC112">IF($B112="","",IFERROR(INDEX(QBTotEff,MATCH($F112,QBTeams,0)),0)+IFERROR(INDEX(QBTotEff,MATCH($E112,QBTeams,0)),0))</f>
        <v>0</v>
      </c>
      <c r="AD112" s="2">
        <f>IF($B112="","",SUMIFS(AdjTot,AdjGameID,$B112,AdjActive,1))</f>
        <v>0</v>
      </c>
      <c r="AE112" s="2">
        <f t="shared" si="8"/>
        <v>0</v>
      </c>
      <c r="AF112" s="11"/>
      <c r="AG112" s="2">
        <f t="shared" si="9"/>
        <v>0</v>
      </c>
      <c r="AH112" s="2" t="str">
        <f t="array" ref="AH112">IF($B112="","",IFERROR(INDEX(MktTotal,MATCH($B112,MktGameID,0)),""))</f>
        <v/>
      </c>
      <c r="AI112" s="2" t="str">
        <f t="shared" si="10"/>
        <v/>
      </c>
      <c r="AJ112" s="2" t="str">
        <f t="shared" si="11"/>
        <v/>
      </c>
      <c r="AK112" s="2" t="str">
        <f t="shared" si="12"/>
        <v/>
      </c>
      <c r="AL112" s="2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2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2" t="str">
        <f>IF($AG112="","","BET OVER at ≤ "&amp;TEXT($AG112-BetTot,"0.0")&amp;"  |  BET UNDER at ≥ "&amp;TEXT($AG112+BetTot,"0.0"))</f>
        <v>BET OVER at ≤ -3.0  |  BET UNDER at ≥ 3.0</v>
      </c>
      <c r="AO112" s="2" t="str">
        <f t="array" ref="AO112">IF($B112="","",IF(OR(IFERROR(INDEX(QBFlag,MATCH($F112,QBTeams,0)),1)=1,IFERROR(INDEX(QBFlag,MATCH($E112,QBTeams,0)),1)=1),"QB UNCERTAIN",""))</f>
        <v/>
      </c>
      <c r="AP112" s="2" t="str">
        <f t="array" ref="AP112">IF($B112="","",IFERROR(INDEX(DQStatus,MATCH($B112,DQGameID,0)),"BLOCKED — DQ ROW NOT FOUND"))</f>
        <v>READY</v>
      </c>
      <c r="AQ112" s="2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2" t="str">
        <f t="shared" si="13"/>
        <v/>
      </c>
      <c r="AS112" s="2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2" t="str">
        <f t="shared" si="14"/>
        <v/>
      </c>
      <c r="AU112" s="11"/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9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2" t="str">
        <f t="array" ref="G113">IF($B113="","",IF(INDEX(SchedZone,MATCH($A113,SchedSeq,0),MAP!$B$14)="Neutral","Y",""))</f>
        <v/>
      </c>
      <c r="H113" s="2" t="str">
        <f t="array" ref="H113">IF($B113="","",INDEX(SchedZone,MATCH($A113,SchedSeq,0),MAP!$B$17))</f>
        <v>outdoors</v>
      </c>
      <c r="I113" s="2" t="str">
        <f>IF(OR($B113="",$C113&lt;&gt;CurrentWeek),"",COUNTIF($C$5:$C113,CurrentWeek))</f>
        <v/>
      </c>
      <c r="J113" s="2">
        <f t="array" ref="J113">IF($B113="","",IFERROR(INDEX(RatEff,MATCH($E113,RatTeams,0)),"⚠ TEAM NOT FOUND"))</f>
        <v>0.92</v>
      </c>
      <c r="K113" s="2">
        <f t="array" ref="K113">IF($B113="","",IFERROR(INDEX(RatEff,MATCH($F113,RatTeams,0)),"⚠ TEAM NOT FOUND"))</f>
        <v>1.75</v>
      </c>
      <c r="L113" s="2">
        <f t="shared" si="1"/>
        <v>0.83</v>
      </c>
      <c r="M113" s="2">
        <f t="array" ref="M113">IF($B113="","",IF($G113="Y",NeutralHFA,IFERROR(INDEX(HFAexcVal,MATCH($F113,HFAexcTeam,0)),HFA_Base)))</f>
        <v>1.6</v>
      </c>
      <c r="N113" s="2">
        <f t="array" ref="N113">IF($B113="","",IFERROR(INDEX(QBSpreadEff,MATCH($F113,QBTeams,0)),0)-IFERROR(INDEX(QBSpreadEff,MATCH($E113,QBTeams,0)),0))</f>
        <v>0</v>
      </c>
      <c r="O113" s="2">
        <f t="array" ref="O113">IF($B113="","",IFERROR(MEDIAN(-RestCapPts,RestCapPts,RestPerDay*(INDEX(SchedZone,MATCH($A113,SchedSeq,0),MAP!$B$16)-INDEX(SchedZone,MATCH($A113,SchedSeq,0),MAP!$B$15))),0))</f>
        <v>0.7</v>
      </c>
      <c r="P113" s="2">
        <f>IF($B113="","",SUMIFS(AdjSpread,AdjGameID,$B113,AdjTeam,$F113,AdjActive,1)-SUMIFS(AdjSpread,AdjGameID,$B113,AdjTeam,$E113,AdjActive,1))</f>
        <v>0</v>
      </c>
      <c r="Q113" s="2">
        <f t="shared" si="2"/>
        <v>3.13</v>
      </c>
      <c r="R113" s="11"/>
      <c r="S113" s="2">
        <f t="shared" si="3"/>
        <v>3.13</v>
      </c>
      <c r="T113" s="2" t="str">
        <f t="shared" si="4"/>
        <v>BUF -3.1</v>
      </c>
      <c r="U113" s="2" t="str">
        <f t="array" ref="U113">IF($B113="","",IFERROR(INDEX(MktHomeSpread,MATCH($B113,MktGameID,0)),""))</f>
        <v/>
      </c>
      <c r="V113" s="2" t="str">
        <f t="shared" si="5"/>
        <v/>
      </c>
      <c r="W113" s="2" t="str">
        <f t="shared" si="6"/>
        <v/>
      </c>
      <c r="X113" s="2" t="str">
        <f t="shared" si="7"/>
        <v/>
      </c>
      <c r="Y113" s="2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2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2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2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2">
        <f t="array" ref="AC113">IF($B113="","",IFERROR(INDEX(QBTotEff,MATCH($F113,QBTeams,0)),0)+IFERROR(INDEX(QBTotEff,MATCH($E113,QBTeams,0)),0))</f>
        <v>0</v>
      </c>
      <c r="AD113" s="2">
        <f>IF($B113="","",SUMIFS(AdjTot,AdjGameID,$B113,AdjActive,1))</f>
        <v>0</v>
      </c>
      <c r="AE113" s="2">
        <f t="shared" si="8"/>
        <v>0</v>
      </c>
      <c r="AF113" s="11"/>
      <c r="AG113" s="2">
        <f t="shared" si="9"/>
        <v>0</v>
      </c>
      <c r="AH113" s="2" t="str">
        <f t="array" ref="AH113">IF($B113="","",IFERROR(INDEX(MktTotal,MATCH($B113,MktGameID,0)),""))</f>
        <v/>
      </c>
      <c r="AI113" s="2" t="str">
        <f t="shared" si="10"/>
        <v/>
      </c>
      <c r="AJ113" s="2" t="str">
        <f t="shared" si="11"/>
        <v/>
      </c>
      <c r="AK113" s="2" t="str">
        <f t="shared" si="12"/>
        <v/>
      </c>
      <c r="AL113" s="2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2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2" t="str">
        <f>IF($AG113="","","BET OVER at ≤ "&amp;TEXT($AG113-BetTot,"0.0")&amp;"  |  BET UNDER at ≥ "&amp;TEXT($AG113+BetTot,"0.0"))</f>
        <v>BET OVER at ≤ -3.0  |  BET UNDER at ≥ 3.0</v>
      </c>
      <c r="AO113" s="2" t="str">
        <f t="array" ref="AO113">IF($B113="","",IF(OR(IFERROR(INDEX(QBFlag,MATCH($F113,QBTeams,0)),1)=1,IFERROR(INDEX(QBFlag,MATCH($E113,QBTeams,0)),1)=1),"QB UNCERTAIN",""))</f>
        <v/>
      </c>
      <c r="AP113" s="2" t="str">
        <f t="array" ref="AP113">IF($B113="","",IFERROR(INDEX(DQStatus,MATCH($B113,DQGameID,0)),"BLOCKED — DQ ROW NOT FOUND"))</f>
        <v>READY</v>
      </c>
      <c r="AQ113" s="2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2" t="str">
        <f t="shared" si="13"/>
        <v/>
      </c>
      <c r="AS113" s="2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2" t="str">
        <f t="shared" si="14"/>
        <v/>
      </c>
      <c r="AU113" s="11"/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9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2" t="str">
        <f t="array" ref="G114">IF($B114="","",IF(INDEX(SchedZone,MATCH($A114,SchedSeq,0),MAP!$B$14)="Neutral","Y",""))</f>
        <v/>
      </c>
      <c r="H114" s="2" t="str">
        <f t="array" ref="H114">IF($B114="","",INDEX(SchedZone,MATCH($A114,SchedSeq,0),MAP!$B$17))</f>
        <v>outdoors</v>
      </c>
      <c r="I114" s="2" t="str">
        <f>IF(OR($B114="",$C114&lt;&gt;CurrentWeek),"",COUNTIF($C$5:$C114,CurrentWeek))</f>
        <v/>
      </c>
      <c r="J114" s="2">
        <f t="array" ref="J114">IF($B114="","",IFERROR(INDEX(RatEff,MATCH($E114,RatTeams,0)),"⚠ TEAM NOT FOUND"))</f>
        <v>-3.14</v>
      </c>
      <c r="K114" s="2">
        <f t="array" ref="K114">IF($B114="","",IFERROR(INDEX(RatEff,MATCH($F114,RatTeams,0)),"⚠ TEAM NOT FOUND"))</f>
        <v>-1.53</v>
      </c>
      <c r="L114" s="2">
        <f t="shared" si="1"/>
        <v>1.61</v>
      </c>
      <c r="M114" s="2">
        <f t="array" ref="M114">IF($B114="","",IF($G114="Y",NeutralHFA,IFERROR(INDEX(HFAexcVal,MATCH($F114,HFAexcTeam,0)),HFA_Base)))</f>
        <v>1.6</v>
      </c>
      <c r="N114" s="2">
        <f t="array" ref="N114">IF($B114="","",IFERROR(INDEX(QBSpreadEff,MATCH($F114,QBTeams,0)),0)-IFERROR(INDEX(QBSpreadEff,MATCH($E114,QBTeams,0)),0))</f>
        <v>0</v>
      </c>
      <c r="O114" s="2">
        <f t="array" ref="O114">IF($B114="","",IFERROR(MEDIAN(-RestCapPts,RestCapPts,RestPerDay*(INDEX(SchedZone,MATCH($A114,SchedSeq,0),MAP!$B$16)-INDEX(SchedZone,MATCH($A114,SchedSeq,0),MAP!$B$15))),0))</f>
        <v>0</v>
      </c>
      <c r="P114" s="2">
        <f>IF($B114="","",SUMIFS(AdjSpread,AdjGameID,$B114,AdjTeam,$F114,AdjActive,1)-SUMIFS(AdjSpread,AdjGameID,$B114,AdjTeam,$E114,AdjActive,1))</f>
        <v>0</v>
      </c>
      <c r="Q114" s="2">
        <f t="shared" si="2"/>
        <v>3.21</v>
      </c>
      <c r="R114" s="11"/>
      <c r="S114" s="2">
        <f t="shared" si="3"/>
        <v>3.21</v>
      </c>
      <c r="T114" s="2" t="str">
        <f t="shared" si="4"/>
        <v>CIN -3.2</v>
      </c>
      <c r="U114" s="2" t="str">
        <f t="array" ref="U114">IF($B114="","",IFERROR(INDEX(MktHomeSpread,MATCH($B114,MktGameID,0)),""))</f>
        <v/>
      </c>
      <c r="V114" s="2" t="str">
        <f t="shared" si="5"/>
        <v/>
      </c>
      <c r="W114" s="2" t="str">
        <f t="shared" si="6"/>
        <v/>
      </c>
      <c r="X114" s="2" t="str">
        <f t="shared" si="7"/>
        <v/>
      </c>
      <c r="Y114" s="2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2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2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2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2">
        <f t="array" ref="AC114">IF($B114="","",IFERROR(INDEX(QBTotEff,MATCH($F114,QBTeams,0)),0)+IFERROR(INDEX(QBTotEff,MATCH($E114,QBTeams,0)),0))</f>
        <v>0</v>
      </c>
      <c r="AD114" s="2">
        <f>IF($B114="","",SUMIFS(AdjTot,AdjGameID,$B114,AdjActive,1))</f>
        <v>0</v>
      </c>
      <c r="AE114" s="2">
        <f t="shared" si="8"/>
        <v>0</v>
      </c>
      <c r="AF114" s="11"/>
      <c r="AG114" s="2">
        <f t="shared" si="9"/>
        <v>0</v>
      </c>
      <c r="AH114" s="2" t="str">
        <f t="array" ref="AH114">IF($B114="","",IFERROR(INDEX(MktTotal,MATCH($B114,MktGameID,0)),""))</f>
        <v/>
      </c>
      <c r="AI114" s="2" t="str">
        <f t="shared" si="10"/>
        <v/>
      </c>
      <c r="AJ114" s="2" t="str">
        <f t="shared" si="11"/>
        <v/>
      </c>
      <c r="AK114" s="2" t="str">
        <f t="shared" si="12"/>
        <v/>
      </c>
      <c r="AL114" s="2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2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2" t="str">
        <f>IF($AG114="","","BET OVER at ≤ "&amp;TEXT($AG114-BetTot,"0.0")&amp;"  |  BET UNDER at ≥ "&amp;TEXT($AG114+BetTot,"0.0"))</f>
        <v>BET OVER at ≤ -3.0  |  BET UNDER at ≥ 3.0</v>
      </c>
      <c r="AO114" s="2" t="str">
        <f t="array" ref="AO114">IF($B114="","",IF(OR(IFERROR(INDEX(QBFlag,MATCH($F114,QBTeams,0)),1)=1,IFERROR(INDEX(QBFlag,MATCH($E114,QBTeams,0)),1)=1),"QB UNCERTAIN",""))</f>
        <v/>
      </c>
      <c r="AP114" s="2" t="str">
        <f t="array" ref="AP114">IF($B114="","",IFERROR(INDEX(DQStatus,MATCH($B114,DQGameID,0)),"BLOCKED — DQ ROW NOT FOUND"))</f>
        <v>READY</v>
      </c>
      <c r="AQ114" s="2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2" t="str">
        <f t="shared" si="13"/>
        <v/>
      </c>
      <c r="AS114" s="2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2" t="str">
        <f t="shared" si="14"/>
        <v/>
      </c>
      <c r="AU114" s="11"/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9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2" t="str">
        <f t="array" ref="G115">IF($B115="","",IF(INDEX(SchedZone,MATCH($A115,SchedSeq,0),MAP!$B$14)="Neutral","Y",""))</f>
        <v/>
      </c>
      <c r="H115" s="2" t="str">
        <f t="array" ref="H115">IF($B115="","",INDEX(SchedZone,MATCH($A115,SchedSeq,0),MAP!$B$17))</f>
        <v/>
      </c>
      <c r="I115" s="2" t="str">
        <f>IF(OR($B115="",$C115&lt;&gt;CurrentWeek),"",COUNTIF($C$5:$C115,CurrentWeek))</f>
        <v/>
      </c>
      <c r="J115" s="2">
        <f t="array" ref="J115">IF($B115="","",IFERROR(INDEX(RatEff,MATCH($E115,RatTeams,0)),"⚠ TEAM NOT FOUND"))</f>
        <v>-2.07</v>
      </c>
      <c r="K115" s="2">
        <f t="array" ref="K115">IF($B115="","",IFERROR(INDEX(RatEff,MATCH($F115,RatTeams,0)),"⚠ TEAM NOT FOUND"))</f>
        <v>-2.26</v>
      </c>
      <c r="L115" s="2">
        <f t="shared" si="1"/>
        <v>-0.19</v>
      </c>
      <c r="M115" s="2">
        <f t="array" ref="M115">IF($B115="","",IF($G115="Y",NeutralHFA,IFERROR(INDEX(HFAexcVal,MATCH($F115,HFAexcTeam,0)),HFA_Base)))</f>
        <v>1.6</v>
      </c>
      <c r="N115" s="2">
        <f t="array" ref="N115">IF($B115="","",IFERROR(INDEX(QBSpreadEff,MATCH($F115,QBTeams,0)),0)-IFERROR(INDEX(QBSpreadEff,MATCH($E115,QBTeams,0)),0))</f>
        <v>0</v>
      </c>
      <c r="O115" s="2">
        <f t="array" ref="O115">IF($B115="","",IFERROR(MEDIAN(-RestCapPts,RestCapPts,RestPerDay*(INDEX(SchedZone,MATCH($A115,SchedSeq,0),MAP!$B$16)-INDEX(SchedZone,MATCH($A115,SchedSeq,0),MAP!$B$15))),0))</f>
        <v>-0.1</v>
      </c>
      <c r="P115" s="2">
        <f>IF($B115="","",SUMIFS(AdjSpread,AdjGameID,$B115,AdjTeam,$F115,AdjActive,1)-SUMIFS(AdjSpread,AdjGameID,$B115,AdjTeam,$E115,AdjActive,1))</f>
        <v>0</v>
      </c>
      <c r="Q115" s="2">
        <f t="shared" si="2"/>
        <v>1.31</v>
      </c>
      <c r="R115" s="11"/>
      <c r="S115" s="2">
        <f t="shared" si="3"/>
        <v>1.31</v>
      </c>
      <c r="T115" s="2" t="str">
        <f t="shared" si="4"/>
        <v>DAL -1.3</v>
      </c>
      <c r="U115" s="2" t="str">
        <f t="array" ref="U115">IF($B115="","",IFERROR(INDEX(MktHomeSpread,MATCH($B115,MktGameID,0)),""))</f>
        <v/>
      </c>
      <c r="V115" s="2" t="str">
        <f t="shared" si="5"/>
        <v/>
      </c>
      <c r="W115" s="2" t="str">
        <f t="shared" si="6"/>
        <v/>
      </c>
      <c r="X115" s="2" t="str">
        <f t="shared" si="7"/>
        <v/>
      </c>
      <c r="Y115" s="2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2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2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2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2">
        <f t="array" ref="AC115">IF($B115="","",IFERROR(INDEX(QBTotEff,MATCH($F115,QBTeams,0)),0)+IFERROR(INDEX(QBTotEff,MATCH($E115,QBTeams,0)),0))</f>
        <v>0</v>
      </c>
      <c r="AD115" s="2">
        <f>IF($B115="","",SUMIFS(AdjTot,AdjGameID,$B115,AdjActive,1))</f>
        <v>0</v>
      </c>
      <c r="AE115" s="2">
        <f t="shared" si="8"/>
        <v>0</v>
      </c>
      <c r="AF115" s="11"/>
      <c r="AG115" s="2">
        <f t="shared" si="9"/>
        <v>0</v>
      </c>
      <c r="AH115" s="2" t="str">
        <f t="array" ref="AH115">IF($B115="","",IFERROR(INDEX(MktTotal,MATCH($B115,MktGameID,0)),""))</f>
        <v/>
      </c>
      <c r="AI115" s="2" t="str">
        <f t="shared" si="10"/>
        <v/>
      </c>
      <c r="AJ115" s="2" t="str">
        <f t="shared" si="11"/>
        <v/>
      </c>
      <c r="AK115" s="2" t="str">
        <f t="shared" si="12"/>
        <v/>
      </c>
      <c r="AL115" s="2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Low</v>
      </c>
      <c r="AM115" s="2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2" t="str">
        <f>IF($AG115="","","BET OVER at ≤ "&amp;TEXT($AG115-BetTot,"0.0")&amp;"  |  BET UNDER at ≥ "&amp;TEXT($AG115+BetTot,"0.0"))</f>
        <v>BET OVER at ≤ -3.0  |  BET UNDER at ≥ 3.0</v>
      </c>
      <c r="AO115" s="2" t="str">
        <f t="array" ref="AO115">IF($B115="","",IF(OR(IFERROR(INDEX(QBFlag,MATCH($F115,QBTeams,0)),1)=1,IFERROR(INDEX(QBFlag,MATCH($E115,QBTeams,0)),1)=1),"QB UNCERTAIN",""))</f>
        <v>QB UNCERTAIN</v>
      </c>
      <c r="AP115" s="2" t="str">
        <f t="array" ref="AP115">IF($B115="","",IFERROR(INDEX(DQStatus,MATCH($B115,DQGameID,0)),"BLOCKED — DQ ROW NOT FOUND"))</f>
        <v>READY</v>
      </c>
      <c r="AQ115" s="2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2" t="str">
        <f t="shared" si="13"/>
        <v/>
      </c>
      <c r="AS115" s="2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2" t="str">
        <f t="shared" si="14"/>
        <v/>
      </c>
      <c r="AU115" s="11"/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9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2" t="str">
        <f t="array" ref="G116">IF($B116="","",IF(INDEX(SchedZone,MATCH($A116,SchedSeq,0),MAP!$B$14)="Neutral","Y",""))</f>
        <v/>
      </c>
      <c r="H116" s="2" t="str">
        <f t="array" ref="H116">IF($B116="","",INDEX(SchedZone,MATCH($A116,SchedSeq,0),MAP!$B$17))</f>
        <v>dome</v>
      </c>
      <c r="I116" s="2" t="str">
        <f>IF(OR($B116="",$C116&lt;&gt;CurrentWeek),"",COUNTIF($C$5:$C116,CurrentWeek))</f>
        <v/>
      </c>
      <c r="J116" s="2">
        <f t="array" ref="J116">IF($B116="","",IFERROR(INDEX(RatEff,MATCH($E116,RatTeams,0)),"⚠ TEAM NOT FOUND"))</f>
        <v>0.5</v>
      </c>
      <c r="K116" s="2">
        <f t="array" ref="K116">IF($B116="","",IFERROR(INDEX(RatEff,MATCH($F116,RatTeams,0)),"⚠ TEAM NOT FOUND"))</f>
        <v>0.86</v>
      </c>
      <c r="L116" s="2">
        <f t="shared" si="1"/>
        <v>0.36</v>
      </c>
      <c r="M116" s="2">
        <f t="array" ref="M116">IF($B116="","",IF($G116="Y",NeutralHFA,IFERROR(INDEX(HFAexcVal,MATCH($F116,HFAexcTeam,0)),HFA_Base)))</f>
        <v>1.6</v>
      </c>
      <c r="N116" s="2">
        <f t="array" ref="N116">IF($B116="","",IFERROR(INDEX(QBSpreadEff,MATCH($F116,QBTeams,0)),0)-IFERROR(INDEX(QBSpreadEff,MATCH($E116,QBTeams,0)),0))</f>
        <v>0</v>
      </c>
      <c r="O116" s="2">
        <f t="array" ref="O116">IF($B116="","",IFERROR(MEDIAN(-RestCapPts,RestCapPts,RestPerDay*(INDEX(SchedZone,MATCH($A116,SchedSeq,0),MAP!$B$16)-INDEX(SchedZone,MATCH($A116,SchedSeq,0),MAP!$B$15))),0))</f>
        <v>0</v>
      </c>
      <c r="P116" s="2">
        <f>IF($B116="","",SUMIFS(AdjSpread,AdjGameID,$B116,AdjTeam,$F116,AdjActive,1)-SUMIFS(AdjSpread,AdjGameID,$B116,AdjTeam,$E116,AdjActive,1))</f>
        <v>0</v>
      </c>
      <c r="Q116" s="2">
        <f t="shared" si="2"/>
        <v>1.96</v>
      </c>
      <c r="R116" s="11"/>
      <c r="S116" s="2">
        <f t="shared" si="3"/>
        <v>1.96</v>
      </c>
      <c r="T116" s="2" t="str">
        <f t="shared" si="4"/>
        <v>DET -2.0</v>
      </c>
      <c r="U116" s="2" t="str">
        <f t="array" ref="U116">IF($B116="","",IFERROR(INDEX(MktHomeSpread,MATCH($B116,MktGameID,0)),""))</f>
        <v/>
      </c>
      <c r="V116" s="2" t="str">
        <f t="shared" si="5"/>
        <v/>
      </c>
      <c r="W116" s="2" t="str">
        <f t="shared" si="6"/>
        <v/>
      </c>
      <c r="X116" s="2" t="str">
        <f t="shared" si="7"/>
        <v/>
      </c>
      <c r="Y116" s="2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2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2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2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2">
        <f t="array" ref="AC116">IF($B116="","",IFERROR(INDEX(QBTotEff,MATCH($F116,QBTeams,0)),0)+IFERROR(INDEX(QBTotEff,MATCH($E116,QBTeams,0)),0))</f>
        <v>0</v>
      </c>
      <c r="AD116" s="2">
        <f>IF($B116="","",SUMIFS(AdjTot,AdjGameID,$B116,AdjActive,1))</f>
        <v>0</v>
      </c>
      <c r="AE116" s="2">
        <f t="shared" si="8"/>
        <v>0</v>
      </c>
      <c r="AF116" s="11"/>
      <c r="AG116" s="2">
        <f t="shared" si="9"/>
        <v>0</v>
      </c>
      <c r="AH116" s="2" t="str">
        <f t="array" ref="AH116">IF($B116="","",IFERROR(INDEX(MktTotal,MATCH($B116,MktGameID,0)),""))</f>
        <v/>
      </c>
      <c r="AI116" s="2" t="str">
        <f t="shared" si="10"/>
        <v/>
      </c>
      <c r="AJ116" s="2" t="str">
        <f t="shared" si="11"/>
        <v/>
      </c>
      <c r="AK116" s="2" t="str">
        <f t="shared" si="12"/>
        <v/>
      </c>
      <c r="AL116" s="2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Low</v>
      </c>
      <c r="AM116" s="2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2" t="str">
        <f>IF($AG116="","","BET OVER at ≤ "&amp;TEXT($AG116-BetTot,"0.0")&amp;"  |  BET UNDER at ≥ "&amp;TEXT($AG116+BetTot,"0.0"))</f>
        <v>BET OVER at ≤ -3.0  |  BET UNDER at ≥ 3.0</v>
      </c>
      <c r="AO116" s="2" t="str">
        <f t="array" ref="AO116">IF($B116="","",IF(OR(IFERROR(INDEX(QBFlag,MATCH($F116,QBTeams,0)),1)=1,IFERROR(INDEX(QBFlag,MATCH($E116,QBTeams,0)),1)=1),"QB UNCERTAIN",""))</f>
        <v>QB UNCERTAIN</v>
      </c>
      <c r="AP116" s="2" t="str">
        <f t="array" ref="AP116">IF($B116="","",IFERROR(INDEX(DQStatus,MATCH($B116,DQGameID,0)),"BLOCKED — DQ ROW NOT FOUND"))</f>
        <v>READY</v>
      </c>
      <c r="AQ116" s="2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2" t="str">
        <f t="shared" si="13"/>
        <v/>
      </c>
      <c r="AS116" s="2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2" t="str">
        <f t="shared" si="14"/>
        <v/>
      </c>
      <c r="AU116" s="11"/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9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2" t="str">
        <f t="array" ref="G117">IF($B117="","",IF(INDEX(SchedZone,MATCH($A117,SchedSeq,0),MAP!$B$14)="Neutral","Y",""))</f>
        <v/>
      </c>
      <c r="H117" s="2" t="str">
        <f t="array" ref="H117">IF($B117="","",INDEX(SchedZone,MATCH($A117,SchedSeq,0),MAP!$B$17))</f>
        <v>outdoors</v>
      </c>
      <c r="I117" s="2" t="str">
        <f>IF(OR($B117="",$C117&lt;&gt;CurrentWeek),"",COUNTIF($C$5:$C117,CurrentWeek))</f>
        <v/>
      </c>
      <c r="J117" s="2">
        <f t="array" ref="J117">IF($B117="","",IFERROR(INDEX(RatEff,MATCH($E117,RatTeams,0)),"⚠ TEAM NOT FOUND"))</f>
        <v>0.82</v>
      </c>
      <c r="K117" s="2">
        <f t="array" ref="K117">IF($B117="","",IFERROR(INDEX(RatEff,MATCH($F117,RatTeams,0)),"⚠ TEAM NOT FOUND"))</f>
        <v>3.22</v>
      </c>
      <c r="L117" s="2">
        <f t="shared" si="1"/>
        <v>2.4</v>
      </c>
      <c r="M117" s="2">
        <f t="array" ref="M117">IF($B117="","",IF($G117="Y",NeutralHFA,IFERROR(INDEX(HFAexcVal,MATCH($F117,HFAexcTeam,0)),HFA_Base)))</f>
        <v>1.6</v>
      </c>
      <c r="N117" s="2">
        <f t="array" ref="N117">IF($B117="","",IFERROR(INDEX(QBSpreadEff,MATCH($F117,QBTeams,0)),0)-IFERROR(INDEX(QBSpreadEff,MATCH($E117,QBTeams,0)),0))</f>
        <v>0</v>
      </c>
      <c r="O117" s="2">
        <f t="array" ref="O117">IF($B117="","",IFERROR(MEDIAN(-RestCapPts,RestCapPts,RestPerDay*(INDEX(SchedZone,MATCH($A117,SchedSeq,0),MAP!$B$16)-INDEX(SchedZone,MATCH($A117,SchedSeq,0),MAP!$B$15))),0))</f>
        <v>0.7</v>
      </c>
      <c r="P117" s="2">
        <f>IF($B117="","",SUMIFS(AdjSpread,AdjGameID,$B117,AdjTeam,$F117,AdjActive,1)-SUMIFS(AdjSpread,AdjGameID,$B117,AdjTeam,$E117,AdjActive,1))</f>
        <v>0</v>
      </c>
      <c r="Q117" s="2">
        <f t="shared" si="2"/>
        <v>4.7</v>
      </c>
      <c r="R117" s="11"/>
      <c r="S117" s="2">
        <f t="shared" si="3"/>
        <v>4.7</v>
      </c>
      <c r="T117" s="2" t="str">
        <f t="shared" si="4"/>
        <v>JAX -4.7</v>
      </c>
      <c r="U117" s="2" t="str">
        <f t="array" ref="U117">IF($B117="","",IFERROR(INDEX(MktHomeSpread,MATCH($B117,MktGameID,0)),""))</f>
        <v/>
      </c>
      <c r="V117" s="2" t="str">
        <f t="shared" si="5"/>
        <v/>
      </c>
      <c r="W117" s="2" t="str">
        <f t="shared" si="6"/>
        <v/>
      </c>
      <c r="X117" s="2" t="str">
        <f t="shared" si="7"/>
        <v/>
      </c>
      <c r="Y117" s="2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2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2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2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2">
        <f t="array" ref="AC117">IF($B117="","",IFERROR(INDEX(QBTotEff,MATCH($F117,QBTeams,0)),0)+IFERROR(INDEX(QBTotEff,MATCH($E117,QBTeams,0)),0))</f>
        <v>0</v>
      </c>
      <c r="AD117" s="2">
        <f>IF($B117="","",SUMIFS(AdjTot,AdjGameID,$B117,AdjActive,1))</f>
        <v>0</v>
      </c>
      <c r="AE117" s="2">
        <f t="shared" si="8"/>
        <v>0</v>
      </c>
      <c r="AF117" s="11"/>
      <c r="AG117" s="2">
        <f t="shared" si="9"/>
        <v>0</v>
      </c>
      <c r="AH117" s="2" t="str">
        <f t="array" ref="AH117">IF($B117="","",IFERROR(INDEX(MktTotal,MATCH($B117,MktGameID,0)),""))</f>
        <v/>
      </c>
      <c r="AI117" s="2" t="str">
        <f t="shared" si="10"/>
        <v/>
      </c>
      <c r="AJ117" s="2" t="str">
        <f t="shared" si="11"/>
        <v/>
      </c>
      <c r="AK117" s="2" t="str">
        <f t="shared" si="12"/>
        <v/>
      </c>
      <c r="AL117" s="2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2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2" t="str">
        <f>IF($AG117="","","BET OVER at ≤ "&amp;TEXT($AG117-BetTot,"0.0")&amp;"  |  BET UNDER at ≥ "&amp;TEXT($AG117+BetTot,"0.0"))</f>
        <v>BET OVER at ≤ -3.0  |  BET UNDER at ≥ 3.0</v>
      </c>
      <c r="AO117" s="2" t="str">
        <f t="array" ref="AO117">IF($B117="","",IF(OR(IFERROR(INDEX(QBFlag,MATCH($F117,QBTeams,0)),1)=1,IFERROR(INDEX(QBFlag,MATCH($E117,QBTeams,0)),1)=1),"QB UNCERTAIN",""))</f>
        <v/>
      </c>
      <c r="AP117" s="2" t="str">
        <f t="array" ref="AP117">IF($B117="","",IFERROR(INDEX(DQStatus,MATCH($B117,DQGameID,0)),"BLOCKED — DQ ROW NOT FOUND"))</f>
        <v>READY</v>
      </c>
      <c r="AQ117" s="2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2" t="str">
        <f t="shared" si="13"/>
        <v/>
      </c>
      <c r="AS117" s="2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2" t="str">
        <f t="shared" si="14"/>
        <v/>
      </c>
      <c r="AU117" s="11"/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9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2" t="str">
        <f t="array" ref="G118">IF($B118="","",IF(INDEX(SchedZone,MATCH($A118,SchedSeq,0),MAP!$B$14)="Neutral","Y",""))</f>
        <v/>
      </c>
      <c r="H118" s="2" t="str">
        <f t="array" ref="H118">IF($B118="","",INDEX(SchedZone,MATCH($A118,SchedSeq,0),MAP!$B$17))</f>
        <v>outdoors</v>
      </c>
      <c r="I118" s="2" t="str">
        <f>IF(OR($B118="",$C118&lt;&gt;CurrentWeek),"",COUNTIF($C$5:$C118,CurrentWeek))</f>
        <v/>
      </c>
      <c r="J118" s="2">
        <f t="array" ref="J118">IF($B118="","",IFERROR(INDEX(RatEff,MATCH($E118,RatTeams,0)),"⚠ TEAM NOT FOUND"))</f>
        <v>-3.52</v>
      </c>
      <c r="K118" s="2">
        <f t="array" ref="K118">IF($B118="","",IFERROR(INDEX(RatEff,MATCH($F118,RatTeams,0)),"⚠ TEAM NOT FOUND"))</f>
        <v>-4.67</v>
      </c>
      <c r="L118" s="2">
        <f t="shared" si="1"/>
        <v>-1.15</v>
      </c>
      <c r="M118" s="2">
        <f t="array" ref="M118">IF($B118="","",IF($G118="Y",NeutralHFA,IFERROR(INDEX(HFAexcVal,MATCH($F118,HFAexcTeam,0)),HFA_Base)))</f>
        <v>1.6</v>
      </c>
      <c r="N118" s="2">
        <f t="array" ref="N118">IF($B118="","",IFERROR(INDEX(QBSpreadEff,MATCH($F118,QBTeams,0)),0)-IFERROR(INDEX(QBSpreadEff,MATCH($E118,QBTeams,0)),0))</f>
        <v>0</v>
      </c>
      <c r="O118" s="2">
        <f t="array" ref="O118">IF($B118="","",IFERROR(MEDIAN(-RestCapPts,RestCapPts,RestPerDay*(INDEX(SchedZone,MATCH($A118,SchedSeq,0),MAP!$B$16)-INDEX(SchedZone,MATCH($A118,SchedSeq,0),MAP!$B$15))),0))</f>
        <v>0</v>
      </c>
      <c r="P118" s="2">
        <f>IF($B118="","",SUMIFS(AdjSpread,AdjGameID,$B118,AdjTeam,$F118,AdjActive,1)-SUMIFS(AdjSpread,AdjGameID,$B118,AdjTeam,$E118,AdjActive,1))</f>
        <v>0</v>
      </c>
      <c r="Q118" s="2">
        <f t="shared" si="2"/>
        <v>0.45</v>
      </c>
      <c r="R118" s="11"/>
      <c r="S118" s="2">
        <f t="shared" si="3"/>
        <v>0.45</v>
      </c>
      <c r="T118" s="2" t="str">
        <f t="shared" si="4"/>
        <v>NYJ -0.5</v>
      </c>
      <c r="U118" s="2" t="str">
        <f t="array" ref="U118">IF($B118="","",IFERROR(INDEX(MktHomeSpread,MATCH($B118,MktGameID,0)),""))</f>
        <v/>
      </c>
      <c r="V118" s="2" t="str">
        <f t="shared" si="5"/>
        <v/>
      </c>
      <c r="W118" s="2" t="str">
        <f t="shared" si="6"/>
        <v/>
      </c>
      <c r="X118" s="2" t="str">
        <f t="shared" si="7"/>
        <v/>
      </c>
      <c r="Y118" s="2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2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2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2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2">
        <f t="array" ref="AC118">IF($B118="","",IFERROR(INDEX(QBTotEff,MATCH($F118,QBTeams,0)),0)+IFERROR(INDEX(QBTotEff,MATCH($E118,QBTeams,0)),0))</f>
        <v>0</v>
      </c>
      <c r="AD118" s="2">
        <f>IF($B118="","",SUMIFS(AdjTot,AdjGameID,$B118,AdjActive,1))</f>
        <v>0</v>
      </c>
      <c r="AE118" s="2">
        <f t="shared" si="8"/>
        <v>0</v>
      </c>
      <c r="AF118" s="11"/>
      <c r="AG118" s="2">
        <f t="shared" si="9"/>
        <v>0</v>
      </c>
      <c r="AH118" s="2" t="str">
        <f t="array" ref="AH118">IF($B118="","",IFERROR(INDEX(MktTotal,MATCH($B118,MktGameID,0)),""))</f>
        <v/>
      </c>
      <c r="AI118" s="2" t="str">
        <f t="shared" si="10"/>
        <v/>
      </c>
      <c r="AJ118" s="2" t="str">
        <f t="shared" si="11"/>
        <v/>
      </c>
      <c r="AK118" s="2" t="str">
        <f t="shared" si="12"/>
        <v/>
      </c>
      <c r="AL118" s="2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2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2" t="str">
        <f>IF($AG118="","","BET OVER at ≤ "&amp;TEXT($AG118-BetTot,"0.0")&amp;"  |  BET UNDER at ≥ "&amp;TEXT($AG118+BetTot,"0.0"))</f>
        <v>BET OVER at ≤ -3.0  |  BET UNDER at ≥ 3.0</v>
      </c>
      <c r="AO118" s="2" t="str">
        <f t="array" ref="AO118">IF($B118="","",IF(OR(IFERROR(INDEX(QBFlag,MATCH($F118,QBTeams,0)),1)=1,IFERROR(INDEX(QBFlag,MATCH($E118,QBTeams,0)),1)=1),"QB UNCERTAIN",""))</f>
        <v/>
      </c>
      <c r="AP118" s="2" t="str">
        <f t="array" ref="AP118">IF($B118="","",IFERROR(INDEX(DQStatus,MATCH($B118,DQGameID,0)),"BLOCKED — DQ ROW NOT FOUND"))</f>
        <v>READY</v>
      </c>
      <c r="AQ118" s="2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2" t="str">
        <f t="shared" si="13"/>
        <v/>
      </c>
      <c r="AS118" s="2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2" t="str">
        <f t="shared" si="14"/>
        <v/>
      </c>
      <c r="AU118" s="11"/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9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2" t="str">
        <f t="array" ref="G119">IF($B119="","",IF(INDEX(SchedZone,MATCH($A119,SchedSeq,0),MAP!$B$14)="Neutral","Y",""))</f>
        <v/>
      </c>
      <c r="H119" s="2" t="str">
        <f t="array" ref="H119">IF($B119="","",INDEX(SchedZone,MATCH($A119,SchedSeq,0),MAP!$B$17))</f>
        <v>outdoors</v>
      </c>
      <c r="I119" s="2" t="str">
        <f>IF(OR($B119="",$C119&lt;&gt;CurrentWeek),"",COUNTIF($C$5:$C119,CurrentWeek))</f>
        <v/>
      </c>
      <c r="J119" s="2">
        <f t="array" ref="J119">IF($B119="","",IFERROR(INDEX(RatEff,MATCH($E119,RatTeams,0)),"⚠ TEAM NOT FOUND"))</f>
        <v>-2.6</v>
      </c>
      <c r="K119" s="2">
        <f t="array" ref="K119">IF($B119="","",IFERROR(INDEX(RatEff,MATCH($F119,RatTeams,0)),"⚠ TEAM NOT FOUND"))</f>
        <v>0.66</v>
      </c>
      <c r="L119" s="2">
        <f t="shared" si="1"/>
        <v>3.26</v>
      </c>
      <c r="M119" s="2">
        <f t="array" ref="M119">IF($B119="","",IF($G119="Y",NeutralHFA,IFERROR(INDEX(HFAexcVal,MATCH($F119,HFAexcTeam,0)),HFA_Base)))</f>
        <v>1.6</v>
      </c>
      <c r="N119" s="2">
        <f t="array" ref="N119">IF($B119="","",IFERROR(INDEX(QBSpreadEff,MATCH($F119,QBTeams,0)),0)-IFERROR(INDEX(QBSpreadEff,MATCH($E119,QBTeams,0)),0))</f>
        <v>0</v>
      </c>
      <c r="O119" s="2">
        <f t="array" ref="O119">IF($B119="","",IFERROR(MEDIAN(-RestCapPts,RestCapPts,RestPerDay*(INDEX(SchedZone,MATCH($A119,SchedSeq,0),MAP!$B$16)-INDEX(SchedZone,MATCH($A119,SchedSeq,0),MAP!$B$15))),0))</f>
        <v>0</v>
      </c>
      <c r="P119" s="2">
        <f>IF($B119="","",SUMIFS(AdjSpread,AdjGameID,$B119,AdjTeam,$F119,AdjActive,1)-SUMIFS(AdjSpread,AdjGameID,$B119,AdjTeam,$E119,AdjActive,1))</f>
        <v>0</v>
      </c>
      <c r="Q119" s="2">
        <f t="shared" si="2"/>
        <v>4.86</v>
      </c>
      <c r="R119" s="11"/>
      <c r="S119" s="2">
        <f t="shared" si="3"/>
        <v>4.86</v>
      </c>
      <c r="T119" s="2" t="str">
        <f t="shared" si="4"/>
        <v>PIT -4.9</v>
      </c>
      <c r="U119" s="2" t="str">
        <f t="array" ref="U119">IF($B119="","",IFERROR(INDEX(MktHomeSpread,MATCH($B119,MktGameID,0)),""))</f>
        <v/>
      </c>
      <c r="V119" s="2" t="str">
        <f t="shared" si="5"/>
        <v/>
      </c>
      <c r="W119" s="2" t="str">
        <f t="shared" si="6"/>
        <v/>
      </c>
      <c r="X119" s="2" t="str">
        <f t="shared" si="7"/>
        <v/>
      </c>
      <c r="Y119" s="2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2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2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2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2">
        <f t="array" ref="AC119">IF($B119="","",IFERROR(INDEX(QBTotEff,MATCH($F119,QBTeams,0)),0)+IFERROR(INDEX(QBTotEff,MATCH($E119,QBTeams,0)),0))</f>
        <v>0</v>
      </c>
      <c r="AD119" s="2">
        <f>IF($B119="","",SUMIFS(AdjTot,AdjGameID,$B119,AdjActive,1))</f>
        <v>0</v>
      </c>
      <c r="AE119" s="2">
        <f t="shared" si="8"/>
        <v>0</v>
      </c>
      <c r="AF119" s="11"/>
      <c r="AG119" s="2">
        <f t="shared" si="9"/>
        <v>0</v>
      </c>
      <c r="AH119" s="2" t="str">
        <f t="array" ref="AH119">IF($B119="","",IFERROR(INDEX(MktTotal,MATCH($B119,MktGameID,0)),""))</f>
        <v/>
      </c>
      <c r="AI119" s="2" t="str">
        <f t="shared" si="10"/>
        <v/>
      </c>
      <c r="AJ119" s="2" t="str">
        <f t="shared" si="11"/>
        <v/>
      </c>
      <c r="AK119" s="2" t="str">
        <f t="shared" si="12"/>
        <v/>
      </c>
      <c r="AL119" s="2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Low</v>
      </c>
      <c r="AM119" s="2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2" t="str">
        <f>IF($AG119="","","BET OVER at ≤ "&amp;TEXT($AG119-BetTot,"0.0")&amp;"  |  BET UNDER at ≥ "&amp;TEXT($AG119+BetTot,"0.0"))</f>
        <v>BET OVER at ≤ -3.0  |  BET UNDER at ≥ 3.0</v>
      </c>
      <c r="AO119" s="2" t="str">
        <f t="array" ref="AO119">IF($B119="","",IF(OR(IFERROR(INDEX(QBFlag,MATCH($F119,QBTeams,0)),1)=1,IFERROR(INDEX(QBFlag,MATCH($E119,QBTeams,0)),1)=1),"QB UNCERTAIN",""))</f>
        <v>QB UNCERTAIN</v>
      </c>
      <c r="AP119" s="2" t="str">
        <f t="array" ref="AP119">IF($B119="","",IFERROR(INDEX(DQStatus,MATCH($B119,DQGameID,0)),"BLOCKED — DQ ROW NOT FOUND"))</f>
        <v>READY</v>
      </c>
      <c r="AQ119" s="2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2" t="str">
        <f t="shared" si="13"/>
        <v/>
      </c>
      <c r="AS119" s="2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2" t="str">
        <f t="shared" si="14"/>
        <v/>
      </c>
      <c r="AU119" s="11"/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9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2" t="str">
        <f t="array" ref="G120">IF($B120="","",IF(INDEX(SchedZone,MATCH($A120,SchedSeq,0),MAP!$B$14)="Neutral","Y",""))</f>
        <v/>
      </c>
      <c r="H120" s="2" t="str">
        <f t="array" ref="H120">IF($B120="","",INDEX(SchedZone,MATCH($A120,SchedSeq,0),MAP!$B$17))</f>
        <v>outdoors</v>
      </c>
      <c r="I120" s="2" t="str">
        <f>IF(OR($B120="",$C120&lt;&gt;CurrentWeek),"",COUNTIF($C$5:$C120,CurrentWeek))</f>
        <v/>
      </c>
      <c r="J120" s="2">
        <f t="array" ref="J120">IF($B120="","",IFERROR(INDEX(RatEff,MATCH($E120,RatTeams,0)),"⚠ TEAM NOT FOUND"))</f>
        <v>-0.06</v>
      </c>
      <c r="K120" s="2">
        <f t="array" ref="K120">IF($B120="","",IFERROR(INDEX(RatEff,MATCH($F120,RatTeams,0)),"⚠ TEAM NOT FOUND"))</f>
        <v>-0.48</v>
      </c>
      <c r="L120" s="2">
        <f t="shared" si="1"/>
        <v>-0.42</v>
      </c>
      <c r="M120" s="2">
        <f t="array" ref="M120">IF($B120="","",IF($G120="Y",NeutralHFA,IFERROR(INDEX(HFAexcVal,MATCH($F120,HFAexcTeam,0)),HFA_Base)))</f>
        <v>1.6</v>
      </c>
      <c r="N120" s="2">
        <f t="array" ref="N120">IF($B120="","",IFERROR(INDEX(QBSpreadEff,MATCH($F120,QBTeams,0)),0)-IFERROR(INDEX(QBSpreadEff,MATCH($E120,QBTeams,0)),0))</f>
        <v>0</v>
      </c>
      <c r="O120" s="2">
        <f t="array" ref="O120">IF($B120="","",IFERROR(MEDIAN(-RestCapPts,RestCapPts,RestPerDay*(INDEX(SchedZone,MATCH($A120,SchedSeq,0),MAP!$B$16)-INDEX(SchedZone,MATCH($A120,SchedSeq,0),MAP!$B$15))),0))</f>
        <v>0</v>
      </c>
      <c r="P120" s="2">
        <f>IF($B120="","",SUMIFS(AdjSpread,AdjGameID,$B120,AdjTeam,$F120,AdjActive,1)-SUMIFS(AdjSpread,AdjGameID,$B120,AdjTeam,$E120,AdjActive,1))</f>
        <v>0</v>
      </c>
      <c r="Q120" s="2">
        <f t="shared" si="2"/>
        <v>1.18</v>
      </c>
      <c r="R120" s="11"/>
      <c r="S120" s="2">
        <f t="shared" si="3"/>
        <v>1.18</v>
      </c>
      <c r="T120" s="2" t="str">
        <f t="shared" si="4"/>
        <v>TB -1.2</v>
      </c>
      <c r="U120" s="2" t="str">
        <f t="array" ref="U120">IF($B120="","",IFERROR(INDEX(MktHomeSpread,MATCH($B120,MktGameID,0)),""))</f>
        <v/>
      </c>
      <c r="V120" s="2" t="str">
        <f t="shared" si="5"/>
        <v/>
      </c>
      <c r="W120" s="2" t="str">
        <f t="shared" si="6"/>
        <v/>
      </c>
      <c r="X120" s="2" t="str">
        <f t="shared" si="7"/>
        <v/>
      </c>
      <c r="Y120" s="2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2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2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2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2">
        <f t="array" ref="AC120">IF($B120="","",IFERROR(INDEX(QBTotEff,MATCH($F120,QBTeams,0)),0)+IFERROR(INDEX(QBTotEff,MATCH($E120,QBTeams,0)),0))</f>
        <v>0</v>
      </c>
      <c r="AD120" s="2">
        <f>IF($B120="","",SUMIFS(AdjTot,AdjGameID,$B120,AdjActive,1))</f>
        <v>0</v>
      </c>
      <c r="AE120" s="2">
        <f t="shared" si="8"/>
        <v>0</v>
      </c>
      <c r="AF120" s="11"/>
      <c r="AG120" s="2">
        <f t="shared" si="9"/>
        <v>0</v>
      </c>
      <c r="AH120" s="2" t="str">
        <f t="array" ref="AH120">IF($B120="","",IFERROR(INDEX(MktTotal,MATCH($B120,MktGameID,0)),""))</f>
        <v/>
      </c>
      <c r="AI120" s="2" t="str">
        <f t="shared" si="10"/>
        <v/>
      </c>
      <c r="AJ120" s="2" t="str">
        <f t="shared" si="11"/>
        <v/>
      </c>
      <c r="AK120" s="2" t="str">
        <f t="shared" si="12"/>
        <v/>
      </c>
      <c r="AL120" s="2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2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2" t="str">
        <f>IF($AG120="","","BET OVER at ≤ "&amp;TEXT($AG120-BetTot,"0.0")&amp;"  |  BET UNDER at ≥ "&amp;TEXT($AG120+BetTot,"0.0"))</f>
        <v>BET OVER at ≤ -3.0  |  BET UNDER at ≥ 3.0</v>
      </c>
      <c r="AO120" s="2" t="str">
        <f t="array" ref="AO120">IF($B120="","",IF(OR(IFERROR(INDEX(QBFlag,MATCH($F120,QBTeams,0)),1)=1,IFERROR(INDEX(QBFlag,MATCH($E120,QBTeams,0)),1)=1),"QB UNCERTAIN",""))</f>
        <v>QB UNCERTAIN</v>
      </c>
      <c r="AP120" s="2" t="str">
        <f t="array" ref="AP120">IF($B120="","",IFERROR(INDEX(DQStatus,MATCH($B120,DQGameID,0)),"BLOCKED — DQ ROW NOT FOUND"))</f>
        <v>READY</v>
      </c>
      <c r="AQ120" s="2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2" t="str">
        <f t="shared" si="13"/>
        <v/>
      </c>
      <c r="AS120" s="2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2" t="str">
        <f t="shared" si="14"/>
        <v/>
      </c>
      <c r="AU120" s="11"/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9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2" t="str">
        <f t="array" ref="G121">IF($B121="","",IF(INDEX(SchedZone,MATCH($A121,SchedSeq,0),MAP!$B$14)="Neutral","Y",""))</f>
        <v/>
      </c>
      <c r="H121" s="2" t="str">
        <f t="array" ref="H121">IF($B121="","",INDEX(SchedZone,MATCH($A121,SchedSeq,0),MAP!$B$17))</f>
        <v>dome</v>
      </c>
      <c r="I121" s="2" t="str">
        <f>IF(OR($B121="",$C121&lt;&gt;CurrentWeek),"",COUNTIF($C$5:$C121,CurrentWeek))</f>
        <v/>
      </c>
      <c r="J121" s="2">
        <f t="array" ref="J121">IF($B121="","",IFERROR(INDEX(RatEff,MATCH($E121,RatTeams,0)),"⚠ TEAM NOT FOUND"))</f>
        <v>0.56</v>
      </c>
      <c r="K121" s="2">
        <f t="array" ref="K121">IF($B121="","",IFERROR(INDEX(RatEff,MATCH($F121,RatTeams,0)),"⚠ TEAM NOT FOUND"))</f>
        <v>4.09</v>
      </c>
      <c r="L121" s="2">
        <f t="shared" si="1"/>
        <v>3.53</v>
      </c>
      <c r="M121" s="2">
        <f t="array" ref="M121">IF($B121="","",IF($G121="Y",NeutralHFA,IFERROR(INDEX(HFAexcVal,MATCH($F121,HFAexcTeam,0)),HFA_Base)))</f>
        <v>1.6</v>
      </c>
      <c r="N121" s="2">
        <f t="array" ref="N121">IF($B121="","",IFERROR(INDEX(QBSpreadEff,MATCH($F121,QBTeams,0)),0)-IFERROR(INDEX(QBSpreadEff,MATCH($E121,QBTeams,0)),0))</f>
        <v>0</v>
      </c>
      <c r="O121" s="2">
        <f t="array" ref="O121">IF($B121="","",IFERROR(MEDIAN(-RestCapPts,RestCapPts,RestPerDay*(INDEX(SchedZone,MATCH($A121,SchedSeq,0),MAP!$B$16)-INDEX(SchedZone,MATCH($A121,SchedSeq,0),MAP!$B$15))),0))</f>
        <v>-0.7</v>
      </c>
      <c r="P121" s="2">
        <f>IF($B121="","",SUMIFS(AdjSpread,AdjGameID,$B121,AdjTeam,$F121,AdjActive,1)-SUMIFS(AdjSpread,AdjGameID,$B121,AdjTeam,$E121,AdjActive,1))</f>
        <v>0</v>
      </c>
      <c r="Q121" s="2">
        <f t="shared" si="2"/>
        <v>4.43</v>
      </c>
      <c r="R121" s="11"/>
      <c r="S121" s="2">
        <f t="shared" si="3"/>
        <v>4.43</v>
      </c>
      <c r="T121" s="2" t="str">
        <f t="shared" si="4"/>
        <v>LA -4.4</v>
      </c>
      <c r="U121" s="2" t="str">
        <f t="array" ref="U121">IF($B121="","",IFERROR(INDEX(MktHomeSpread,MATCH($B121,MktGameID,0)),""))</f>
        <v/>
      </c>
      <c r="V121" s="2" t="str">
        <f t="shared" si="5"/>
        <v/>
      </c>
      <c r="W121" s="2" t="str">
        <f t="shared" si="6"/>
        <v/>
      </c>
      <c r="X121" s="2" t="str">
        <f t="shared" si="7"/>
        <v/>
      </c>
      <c r="Y121" s="2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2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2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2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2">
        <f t="array" ref="AC121">IF($B121="","",IFERROR(INDEX(QBTotEff,MATCH($F121,QBTeams,0)),0)+IFERROR(INDEX(QBTotEff,MATCH($E121,QBTeams,0)),0))</f>
        <v>0</v>
      </c>
      <c r="AD121" s="2">
        <f>IF($B121="","",SUMIFS(AdjTot,AdjGameID,$B121,AdjActive,1))</f>
        <v>0</v>
      </c>
      <c r="AE121" s="2">
        <f t="shared" si="8"/>
        <v>0</v>
      </c>
      <c r="AF121" s="11"/>
      <c r="AG121" s="2">
        <f t="shared" si="9"/>
        <v>0</v>
      </c>
      <c r="AH121" s="2" t="str">
        <f t="array" ref="AH121">IF($B121="","",IFERROR(INDEX(MktTotal,MATCH($B121,MktGameID,0)),""))</f>
        <v/>
      </c>
      <c r="AI121" s="2" t="str">
        <f t="shared" si="10"/>
        <v/>
      </c>
      <c r="AJ121" s="2" t="str">
        <f t="shared" si="11"/>
        <v/>
      </c>
      <c r="AK121" s="2" t="str">
        <f t="shared" si="12"/>
        <v/>
      </c>
      <c r="AL121" s="2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2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2" t="str">
        <f>IF($AG121="","","BET OVER at ≤ "&amp;TEXT($AG121-BetTot,"0.0")&amp;"  |  BET UNDER at ≥ "&amp;TEXT($AG121+BetTot,"0.0"))</f>
        <v>BET OVER at ≤ -3.0  |  BET UNDER at ≥ 3.0</v>
      </c>
      <c r="AO121" s="2" t="str">
        <f t="array" ref="AO121">IF($B121="","",IF(OR(IFERROR(INDEX(QBFlag,MATCH($F121,QBTeams,0)),1)=1,IFERROR(INDEX(QBFlag,MATCH($E121,QBTeams,0)),1)=1),"QB UNCERTAIN",""))</f>
        <v/>
      </c>
      <c r="AP121" s="2" t="str">
        <f t="array" ref="AP121">IF($B121="","",IFERROR(INDEX(DQStatus,MATCH($B121,DQGameID,0)),"BLOCKED — DQ ROW NOT FOUND"))</f>
        <v>READY</v>
      </c>
      <c r="AQ121" s="2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2" t="str">
        <f t="shared" si="13"/>
        <v/>
      </c>
      <c r="AS121" s="2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2" t="str">
        <f t="shared" si="14"/>
        <v/>
      </c>
      <c r="AU121" s="11"/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9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2" t="str">
        <f t="array" ref="G122">IF($B122="","",IF(INDEX(SchedZone,MATCH($A122,SchedSeq,0),MAP!$B$14)="Neutral","Y",""))</f>
        <v/>
      </c>
      <c r="H122" s="2" t="str">
        <f t="array" ref="H122">IF($B122="","",INDEX(SchedZone,MATCH($A122,SchedSeq,0),MAP!$B$17))</f>
        <v>outdoors</v>
      </c>
      <c r="I122" s="2" t="str">
        <f>IF(OR($B122="",$C122&lt;&gt;CurrentWeek),"",COUNTIF($C$5:$C122,CurrentWeek))</f>
        <v/>
      </c>
      <c r="J122" s="2">
        <f t="array" ref="J122">IF($B122="","",IFERROR(INDEX(RatEff,MATCH($E122,RatTeams,0)),"⚠ TEAM NOT FOUND"))</f>
        <v>-0.04</v>
      </c>
      <c r="K122" s="2">
        <f t="array" ref="K122">IF($B122="","",IFERROR(INDEX(RatEff,MATCH($F122,RatTeams,0)),"⚠ TEAM NOT FOUND"))</f>
        <v>1.93</v>
      </c>
      <c r="L122" s="2">
        <f t="shared" si="1"/>
        <v>1.97</v>
      </c>
      <c r="M122" s="2">
        <f t="array" ref="M122">IF($B122="","",IF($G122="Y",NeutralHFA,IFERROR(INDEX(HFAexcVal,MATCH($F122,HFAexcTeam,0)),HFA_Base)))</f>
        <v>1.6</v>
      </c>
      <c r="N122" s="2">
        <f t="array" ref="N122">IF($B122="","",IFERROR(INDEX(QBSpreadEff,MATCH($F122,QBTeams,0)),0)-IFERROR(INDEX(QBSpreadEff,MATCH($E122,QBTeams,0)),0))</f>
        <v>0</v>
      </c>
      <c r="O122" s="2">
        <f t="array" ref="O122">IF($B122="","",IFERROR(MEDIAN(-RestCapPts,RestCapPts,RestPerDay*(INDEX(SchedZone,MATCH($A122,SchedSeq,0),MAP!$B$16)-INDEX(SchedZone,MATCH($A122,SchedSeq,0),MAP!$B$15))),0))</f>
        <v>0</v>
      </c>
      <c r="P122" s="2">
        <f>IF($B122="","",SUMIFS(AdjSpread,AdjGameID,$B122,AdjTeam,$F122,AdjActive,1)-SUMIFS(AdjSpread,AdjGameID,$B122,AdjTeam,$E122,AdjActive,1))</f>
        <v>0</v>
      </c>
      <c r="Q122" s="2">
        <f t="shared" si="2"/>
        <v>3.57</v>
      </c>
      <c r="R122" s="11"/>
      <c r="S122" s="2">
        <f t="shared" si="3"/>
        <v>3.57</v>
      </c>
      <c r="T122" s="2" t="str">
        <f t="shared" si="4"/>
        <v>DEN -3.6</v>
      </c>
      <c r="U122" s="2" t="str">
        <f t="array" ref="U122">IF($B122="","",IFERROR(INDEX(MktHomeSpread,MATCH($B122,MktGameID,0)),""))</f>
        <v/>
      </c>
      <c r="V122" s="2" t="str">
        <f t="shared" si="5"/>
        <v/>
      </c>
      <c r="W122" s="2" t="str">
        <f t="shared" si="6"/>
        <v/>
      </c>
      <c r="X122" s="2" t="str">
        <f t="shared" si="7"/>
        <v/>
      </c>
      <c r="Y122" s="2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2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2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2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2">
        <f t="array" ref="AC122">IF($B122="","",IFERROR(INDEX(QBTotEff,MATCH($F122,QBTeams,0)),0)+IFERROR(INDEX(QBTotEff,MATCH($E122,QBTeams,0)),0))</f>
        <v>0</v>
      </c>
      <c r="AD122" s="2">
        <f>IF($B122="","",SUMIFS(AdjTot,AdjGameID,$B122,AdjActive,1))</f>
        <v>0</v>
      </c>
      <c r="AE122" s="2">
        <f t="shared" si="8"/>
        <v>0</v>
      </c>
      <c r="AF122" s="11"/>
      <c r="AG122" s="2">
        <f t="shared" si="9"/>
        <v>0</v>
      </c>
      <c r="AH122" s="2" t="str">
        <f t="array" ref="AH122">IF($B122="","",IFERROR(INDEX(MktTotal,MATCH($B122,MktGameID,0)),""))</f>
        <v/>
      </c>
      <c r="AI122" s="2" t="str">
        <f t="shared" si="10"/>
        <v/>
      </c>
      <c r="AJ122" s="2" t="str">
        <f t="shared" si="11"/>
        <v/>
      </c>
      <c r="AK122" s="2" t="str">
        <f t="shared" si="12"/>
        <v/>
      </c>
      <c r="AL122" s="2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Medium</v>
      </c>
      <c r="AM122" s="2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2" t="str">
        <f>IF($AG122="","","BET OVER at ≤ "&amp;TEXT($AG122-BetTot,"0.0")&amp;"  |  BET UNDER at ≥ "&amp;TEXT($AG122+BetTot,"0.0"))</f>
        <v>BET OVER at ≤ -3.0  |  BET UNDER at ≥ 3.0</v>
      </c>
      <c r="AO122" s="2" t="str">
        <f t="array" ref="AO122">IF($B122="","",IF(OR(IFERROR(INDEX(QBFlag,MATCH($F122,QBTeams,0)),1)=1,IFERROR(INDEX(QBFlag,MATCH($E122,QBTeams,0)),1)=1),"QB UNCERTAIN",""))</f>
        <v/>
      </c>
      <c r="AP122" s="2" t="str">
        <f t="array" ref="AP122">IF($B122="","",IFERROR(INDEX(DQStatus,MATCH($B122,DQGameID,0)),"BLOCKED — DQ ROW NOT FOUND"))</f>
        <v>READY</v>
      </c>
      <c r="AQ122" s="2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2" t="str">
        <f t="shared" si="13"/>
        <v/>
      </c>
      <c r="AS122" s="2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2" t="str">
        <f t="shared" si="14"/>
        <v/>
      </c>
      <c r="AU122" s="11"/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9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2" t="str">
        <f t="array" ref="G123">IF($B123="","",IF(INDEX(SchedZone,MATCH($A123,SchedSeq,0),MAP!$B$14)="Neutral","Y",""))</f>
        <v/>
      </c>
      <c r="H123" s="2" t="str">
        <f t="array" ref="H123">IF($B123="","",INDEX(SchedZone,MATCH($A123,SchedSeq,0),MAP!$B$17))</f>
        <v>outdoors</v>
      </c>
      <c r="I123" s="2" t="str">
        <f>IF(OR($B123="",$C123&lt;&gt;CurrentWeek),"",COUNTIF($C$5:$C123,CurrentWeek))</f>
        <v/>
      </c>
      <c r="J123" s="2">
        <f t="array" ref="J123">IF($B123="","",IFERROR(INDEX(RatEff,MATCH($E123,RatTeams,0)),"⚠ TEAM NOT FOUND"))</f>
        <v>2.09</v>
      </c>
      <c r="K123" s="2">
        <f t="array" ref="K123">IF($B123="","",IFERROR(INDEX(RatEff,MATCH($F123,RatTeams,0)),"⚠ TEAM NOT FOUND"))</f>
        <v>-2.64</v>
      </c>
      <c r="L123" s="2">
        <f t="shared" si="1"/>
        <v>-4.73</v>
      </c>
      <c r="M123" s="2">
        <f t="array" ref="M123">IF($B123="","",IF($G123="Y",NeutralHFA,IFERROR(INDEX(HFAexcVal,MATCH($F123,HFAexcTeam,0)),HFA_Base)))</f>
        <v>1.6</v>
      </c>
      <c r="N123" s="2">
        <f t="array" ref="N123">IF($B123="","",IFERROR(INDEX(QBSpreadEff,MATCH($F123,QBTeams,0)),0)-IFERROR(INDEX(QBSpreadEff,MATCH($E123,QBTeams,0)),0))</f>
        <v>0</v>
      </c>
      <c r="O123" s="2">
        <f t="array" ref="O123">IF($B123="","",IFERROR(MEDIAN(-RestCapPts,RestCapPts,RestPerDay*(INDEX(SchedZone,MATCH($A123,SchedSeq,0),MAP!$B$16)-INDEX(SchedZone,MATCH($A123,SchedSeq,0),MAP!$B$15))),0))</f>
        <v>-0.3</v>
      </c>
      <c r="P123" s="2">
        <f>IF($B123="","",SUMIFS(AdjSpread,AdjGameID,$B123,AdjTeam,$F123,AdjActive,1)-SUMIFS(AdjSpread,AdjGameID,$B123,AdjTeam,$E123,AdjActive,1))</f>
        <v>0</v>
      </c>
      <c r="Q123" s="2">
        <f t="shared" si="2"/>
        <v>-3.43</v>
      </c>
      <c r="R123" s="11"/>
      <c r="S123" s="2">
        <f t="shared" si="3"/>
        <v>-3.43</v>
      </c>
      <c r="T123" s="2" t="str">
        <f t="shared" si="4"/>
        <v>NE -3.4</v>
      </c>
      <c r="U123" s="2" t="str">
        <f t="array" ref="U123">IF($B123="","",IFERROR(INDEX(MktHomeSpread,MATCH($B123,MktGameID,0)),""))</f>
        <v/>
      </c>
      <c r="V123" s="2" t="str">
        <f t="shared" si="5"/>
        <v/>
      </c>
      <c r="W123" s="2" t="str">
        <f t="shared" si="6"/>
        <v/>
      </c>
      <c r="X123" s="2" t="str">
        <f t="shared" si="7"/>
        <v/>
      </c>
      <c r="Y123" s="2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2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2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2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2">
        <f t="array" ref="AC123">IF($B123="","",IFERROR(INDEX(QBTotEff,MATCH($F123,QBTeams,0)),0)+IFERROR(INDEX(QBTotEff,MATCH($E123,QBTeams,0)),0))</f>
        <v>0</v>
      </c>
      <c r="AD123" s="2">
        <f>IF($B123="","",SUMIFS(AdjTot,AdjGameID,$B123,AdjActive,1))</f>
        <v>0</v>
      </c>
      <c r="AE123" s="2">
        <f t="shared" si="8"/>
        <v>0</v>
      </c>
      <c r="AF123" s="11"/>
      <c r="AG123" s="2">
        <f t="shared" si="9"/>
        <v>0</v>
      </c>
      <c r="AH123" s="2" t="str">
        <f t="array" ref="AH123">IF($B123="","",IFERROR(INDEX(MktTotal,MATCH($B123,MktGameID,0)),""))</f>
        <v/>
      </c>
      <c r="AI123" s="2" t="str">
        <f t="shared" si="10"/>
        <v/>
      </c>
      <c r="AJ123" s="2" t="str">
        <f t="shared" si="11"/>
        <v/>
      </c>
      <c r="AK123" s="2" t="str">
        <f t="shared" si="12"/>
        <v/>
      </c>
      <c r="AL123" s="2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2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2" t="str">
        <f>IF($AG123="","","BET OVER at ≤ "&amp;TEXT($AG123-BetTot,"0.0")&amp;"  |  BET UNDER at ≥ "&amp;TEXT($AG123+BetTot,"0.0"))</f>
        <v>BET OVER at ≤ -3.0  |  BET UNDER at ≥ 3.0</v>
      </c>
      <c r="AO123" s="2" t="str">
        <f t="array" ref="AO123">IF($B123="","",IF(OR(IFERROR(INDEX(QBFlag,MATCH($F123,QBTeams,0)),1)=1,IFERROR(INDEX(QBFlag,MATCH($E123,QBTeams,0)),1)=1),"QB UNCERTAIN",""))</f>
        <v/>
      </c>
      <c r="AP123" s="2" t="str">
        <f t="array" ref="AP123">IF($B123="","",IFERROR(INDEX(DQStatus,MATCH($B123,DQGameID,0)),"BLOCKED — DQ ROW NOT FOUND"))</f>
        <v>READY</v>
      </c>
      <c r="AQ123" s="2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2" t="str">
        <f t="shared" si="13"/>
        <v/>
      </c>
      <c r="AS123" s="2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2" t="str">
        <f t="shared" si="14"/>
        <v/>
      </c>
      <c r="AU123" s="11"/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9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2" t="str">
        <f t="array" ref="G124">IF($B124="","",IF(INDEX(SchedZone,MATCH($A124,SchedSeq,0),MAP!$B$14)="Neutral","Y",""))</f>
        <v/>
      </c>
      <c r="H124" s="2" t="str">
        <f t="array" ref="H124">IF($B124="","",INDEX(SchedZone,MATCH($A124,SchedSeq,0),MAP!$B$17))</f>
        <v>outdoors</v>
      </c>
      <c r="I124" s="2" t="str">
        <f>IF(OR($B124="",$C124&lt;&gt;CurrentWeek),"",COUNTIF($C$5:$C124,CurrentWeek))</f>
        <v/>
      </c>
      <c r="J124" s="2">
        <f t="array" ref="J124">IF($B124="","",IFERROR(INDEX(RatEff,MATCH($E124,RatTeams,0)),"⚠ TEAM NOT FOUND"))</f>
        <v>1.5</v>
      </c>
      <c r="K124" s="2">
        <f t="array" ref="K124">IF($B124="","",IFERROR(INDEX(RatEff,MATCH($F124,RatTeams,0)),"⚠ TEAM NOT FOUND"))</f>
        <v>-2.02</v>
      </c>
      <c r="L124" s="2">
        <f t="shared" si="1"/>
        <v>-3.52</v>
      </c>
      <c r="M124" s="2">
        <f t="array" ref="M124">IF($B124="","",IF($G124="Y",NeutralHFA,IFERROR(INDEX(HFAexcVal,MATCH($F124,HFAexcTeam,0)),HFA_Base)))</f>
        <v>1.6</v>
      </c>
      <c r="N124" s="2">
        <f t="array" ref="N124">IF($B124="","",IFERROR(INDEX(QBSpreadEff,MATCH($F124,QBTeams,0)),0)-IFERROR(INDEX(QBSpreadEff,MATCH($E124,QBTeams,0)),0))</f>
        <v>0</v>
      </c>
      <c r="O124" s="2">
        <f t="array" ref="O124">IF($B124="","",IFERROR(MEDIAN(-RestCapPts,RestCapPts,RestPerDay*(INDEX(SchedZone,MATCH($A124,SchedSeq,0),MAP!$B$16)-INDEX(SchedZone,MATCH($A124,SchedSeq,0),MAP!$B$15))),0))</f>
        <v>0.7</v>
      </c>
      <c r="P124" s="2">
        <f>IF($B124="","",SUMIFS(AdjSpread,AdjGameID,$B124,AdjTeam,$F124,AdjActive,1)-SUMIFS(AdjSpread,AdjGameID,$B124,AdjTeam,$E124,AdjActive,1))</f>
        <v>0</v>
      </c>
      <c r="Q124" s="2">
        <f t="shared" si="2"/>
        <v>-1.22</v>
      </c>
      <c r="R124" s="11"/>
      <c r="S124" s="2">
        <f t="shared" si="3"/>
        <v>-1.22</v>
      </c>
      <c r="T124" s="2" t="str">
        <f t="shared" si="4"/>
        <v>PHI -1.2</v>
      </c>
      <c r="U124" s="2" t="str">
        <f t="array" ref="U124">IF($B124="","",IFERROR(INDEX(MktHomeSpread,MATCH($B124,MktGameID,0)),""))</f>
        <v/>
      </c>
      <c r="V124" s="2" t="str">
        <f t="shared" si="5"/>
        <v/>
      </c>
      <c r="W124" s="2" t="str">
        <f t="shared" si="6"/>
        <v/>
      </c>
      <c r="X124" s="2" t="str">
        <f t="shared" si="7"/>
        <v/>
      </c>
      <c r="Y124" s="2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2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2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2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2">
        <f t="array" ref="AC124">IF($B124="","",IFERROR(INDEX(QBTotEff,MATCH($F124,QBTeams,0)),0)+IFERROR(INDEX(QBTotEff,MATCH($E124,QBTeams,0)),0))</f>
        <v>0</v>
      </c>
      <c r="AD124" s="2">
        <f>IF($B124="","",SUMIFS(AdjTot,AdjGameID,$B124,AdjActive,1))</f>
        <v>0</v>
      </c>
      <c r="AE124" s="2">
        <f t="shared" si="8"/>
        <v>0</v>
      </c>
      <c r="AF124" s="11"/>
      <c r="AG124" s="2">
        <f t="shared" si="9"/>
        <v>0</v>
      </c>
      <c r="AH124" s="2" t="str">
        <f t="array" ref="AH124">IF($B124="","",IFERROR(INDEX(MktTotal,MATCH($B124,MktGameID,0)),""))</f>
        <v/>
      </c>
      <c r="AI124" s="2" t="str">
        <f t="shared" si="10"/>
        <v/>
      </c>
      <c r="AJ124" s="2" t="str">
        <f t="shared" si="11"/>
        <v/>
      </c>
      <c r="AK124" s="2" t="str">
        <f t="shared" si="12"/>
        <v/>
      </c>
      <c r="AL124" s="2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2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2" t="str">
        <f>IF($AG124="","","BET OVER at ≤ "&amp;TEXT($AG124-BetTot,"0.0")&amp;"  |  BET UNDER at ≥ "&amp;TEXT($AG124+BetTot,"0.0"))</f>
        <v>BET OVER at ≤ -3.0  |  BET UNDER at ≥ 3.0</v>
      </c>
      <c r="AO124" s="2" t="str">
        <f t="array" ref="AO124">IF($B124="","",IF(OR(IFERROR(INDEX(QBFlag,MATCH($F124,QBTeams,0)),1)=1,IFERROR(INDEX(QBFlag,MATCH($E124,QBTeams,0)),1)=1),"QB UNCERTAIN",""))</f>
        <v/>
      </c>
      <c r="AP124" s="2" t="str">
        <f t="array" ref="AP124">IF($B124="","",IFERROR(INDEX(DQStatus,MATCH($B124,DQGameID,0)),"BLOCKED — DQ ROW NOT FOUND"))</f>
        <v>READY</v>
      </c>
      <c r="AQ124" s="2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2" t="str">
        <f t="shared" si="13"/>
        <v/>
      </c>
      <c r="AS124" s="2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2" t="str">
        <f t="shared" si="14"/>
        <v/>
      </c>
      <c r="AU124" s="11"/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9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2" t="str">
        <f t="array" ref="G125">IF($B125="","",IF(INDEX(SchedZone,MATCH($A125,SchedSeq,0),MAP!$B$14)="Neutral","Y",""))</f>
        <v/>
      </c>
      <c r="H125" s="2" t="str">
        <f t="array" ref="H125">IF($B125="","",INDEX(SchedZone,MATCH($A125,SchedSeq,0),MAP!$B$17))</f>
        <v>outdoors</v>
      </c>
      <c r="I125" s="2" t="str">
        <f>IF(OR($B125="",$C125&lt;&gt;CurrentWeek),"",COUNTIF($C$5:$C125,CurrentWeek))</f>
        <v/>
      </c>
      <c r="J125" s="2">
        <f t="array" ref="J125">IF($B125="","",IFERROR(INDEX(RatEff,MATCH($E125,RatTeams,0)),"⚠ TEAM NOT FOUND"))</f>
        <v>0.86</v>
      </c>
      <c r="K125" s="2">
        <f t="array" ref="K125">IF($B125="","",IFERROR(INDEX(RatEff,MATCH($F125,RatTeams,0)),"⚠ TEAM NOT FOUND"))</f>
        <v>4.1</v>
      </c>
      <c r="L125" s="2">
        <f t="shared" si="1"/>
        <v>3.24</v>
      </c>
      <c r="M125" s="2">
        <f t="array" ref="M125">IF($B125="","",IF($G125="Y",NeutralHFA,IFERROR(INDEX(HFAexcVal,MATCH($F125,HFAexcTeam,0)),HFA_Base)))</f>
        <v>1.6</v>
      </c>
      <c r="N125" s="2">
        <f t="array" ref="N125">IF($B125="","",IFERROR(INDEX(QBSpreadEff,MATCH($F125,QBTeams,0)),0)-IFERROR(INDEX(QBSpreadEff,MATCH($E125,QBTeams,0)),0))</f>
        <v>0</v>
      </c>
      <c r="O125" s="2">
        <f t="array" ref="O125">IF($B125="","",IFERROR(MEDIAN(-RestCapPts,RestCapPts,RestPerDay*(INDEX(SchedZone,MATCH($A125,SchedSeq,0),MAP!$B$16)-INDEX(SchedZone,MATCH($A125,SchedSeq,0),MAP!$B$15))),0))</f>
        <v>-0.3</v>
      </c>
      <c r="P125" s="2">
        <f>IF($B125="","",SUMIFS(AdjSpread,AdjGameID,$B125,AdjTeam,$F125,AdjActive,1)-SUMIFS(AdjSpread,AdjGameID,$B125,AdjTeam,$E125,AdjActive,1))</f>
        <v>0</v>
      </c>
      <c r="Q125" s="2">
        <f t="shared" si="2"/>
        <v>4.54</v>
      </c>
      <c r="R125" s="11"/>
      <c r="S125" s="2">
        <f t="shared" si="3"/>
        <v>4.54</v>
      </c>
      <c r="T125" s="2" t="str">
        <f t="shared" si="4"/>
        <v>SEA -4.5</v>
      </c>
      <c r="U125" s="2" t="str">
        <f t="array" ref="U125">IF($B125="","",IFERROR(INDEX(MktHomeSpread,MATCH($B125,MktGameID,0)),""))</f>
        <v/>
      </c>
      <c r="V125" s="2" t="str">
        <f t="shared" si="5"/>
        <v/>
      </c>
      <c r="W125" s="2" t="str">
        <f t="shared" si="6"/>
        <v/>
      </c>
      <c r="X125" s="2" t="str">
        <f t="shared" si="7"/>
        <v/>
      </c>
      <c r="Y125" s="2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2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2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2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2">
        <f t="array" ref="AC125">IF($B125="","",IFERROR(INDEX(QBTotEff,MATCH($F125,QBTeams,0)),0)+IFERROR(INDEX(QBTotEff,MATCH($E125,QBTeams,0)),0))</f>
        <v>0</v>
      </c>
      <c r="AD125" s="2">
        <f>IF($B125="","",SUMIFS(AdjTot,AdjGameID,$B125,AdjActive,1))</f>
        <v>0</v>
      </c>
      <c r="AE125" s="2">
        <f t="shared" si="8"/>
        <v>0</v>
      </c>
      <c r="AF125" s="11"/>
      <c r="AG125" s="2">
        <f t="shared" si="9"/>
        <v>0</v>
      </c>
      <c r="AH125" s="2" t="str">
        <f t="array" ref="AH125">IF($B125="","",IFERROR(INDEX(MktTotal,MATCH($B125,MktGameID,0)),""))</f>
        <v/>
      </c>
      <c r="AI125" s="2" t="str">
        <f t="shared" si="10"/>
        <v/>
      </c>
      <c r="AJ125" s="2" t="str">
        <f t="shared" si="11"/>
        <v/>
      </c>
      <c r="AK125" s="2" t="str">
        <f t="shared" si="12"/>
        <v/>
      </c>
      <c r="AL125" s="2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2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2" t="str">
        <f>IF($AG125="","","BET OVER at ≤ "&amp;TEXT($AG125-BetTot,"0.0")&amp;"  |  BET UNDER at ≥ "&amp;TEXT($AG125+BetTot,"0.0"))</f>
        <v>BET OVER at ≤ -3.0  |  BET UNDER at ≥ 3.0</v>
      </c>
      <c r="AO125" s="2" t="str">
        <f t="array" ref="AO125">IF($B125="","",IF(OR(IFERROR(INDEX(QBFlag,MATCH($F125,QBTeams,0)),1)=1,IFERROR(INDEX(QBFlag,MATCH($E125,QBTeams,0)),1)=1),"QB UNCERTAIN",""))</f>
        <v/>
      </c>
      <c r="AP125" s="2" t="str">
        <f t="array" ref="AP125">IF($B125="","",IFERROR(INDEX(DQStatus,MATCH($B125,DQGameID,0)),"BLOCKED — DQ ROW NOT FOUND"))</f>
        <v>READY</v>
      </c>
      <c r="AQ125" s="2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2" t="str">
        <f t="shared" si="13"/>
        <v/>
      </c>
      <c r="AS125" s="2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2" t="str">
        <f t="shared" si="14"/>
        <v/>
      </c>
      <c r="AU125" s="11"/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9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2" t="str">
        <f t="array" ref="G126">IF($B126="","",IF(INDEX(SchedZone,MATCH($A126,SchedSeq,0),MAP!$B$14)="Neutral","Y",""))</f>
        <v/>
      </c>
      <c r="H126" s="2" t="str">
        <f t="array" ref="H126">IF($B126="","",INDEX(SchedZone,MATCH($A126,SchedSeq,0),MAP!$B$17))</f>
        <v>outdoors</v>
      </c>
      <c r="I126" s="2" t="str">
        <f>IF(OR($B126="",$C126&lt;&gt;CurrentWeek),"",COUNTIF($C$5:$C126,CurrentWeek))</f>
        <v/>
      </c>
      <c r="J126" s="2">
        <f t="array" ref="J126">IF($B126="","",IFERROR(INDEX(RatEff,MATCH($E126,RatTeams,0)),"⚠ TEAM NOT FOUND"))</f>
        <v>3.22</v>
      </c>
      <c r="K126" s="2">
        <f t="array" ref="K126">IF($B126="","",IFERROR(INDEX(RatEff,MATCH($F126,RatTeams,0)),"⚠ TEAM NOT FOUND"))</f>
        <v>0.92</v>
      </c>
      <c r="L126" s="2">
        <f t="shared" si="1"/>
        <v>-2.3</v>
      </c>
      <c r="M126" s="2">
        <f t="array" ref="M126">IF($B126="","",IF($G126="Y",NeutralHFA,IFERROR(INDEX(HFAexcVal,MATCH($F126,HFAexcTeam,0)),HFA_Base)))</f>
        <v>1.6</v>
      </c>
      <c r="N126" s="2">
        <f t="array" ref="N126">IF($B126="","",IFERROR(INDEX(QBSpreadEff,MATCH($F126,QBTeams,0)),0)-IFERROR(INDEX(QBSpreadEff,MATCH($E126,QBTeams,0)),0))</f>
        <v>0</v>
      </c>
      <c r="O126" s="2">
        <f t="array" ref="O126">IF($B126="","",IFERROR(MEDIAN(-RestCapPts,RestCapPts,RestPerDay*(INDEX(SchedZone,MATCH($A126,SchedSeq,0),MAP!$B$16)-INDEX(SchedZone,MATCH($A126,SchedSeq,0),MAP!$B$15))),0))</f>
        <v>0</v>
      </c>
      <c r="P126" s="2">
        <f>IF($B126="","",SUMIFS(AdjSpread,AdjGameID,$B126,AdjTeam,$F126,AdjActive,1)-SUMIFS(AdjSpread,AdjGameID,$B126,AdjTeam,$E126,AdjActive,1))</f>
        <v>0</v>
      </c>
      <c r="Q126" s="2">
        <f t="shared" si="2"/>
        <v>-0.7</v>
      </c>
      <c r="R126" s="11"/>
      <c r="S126" s="2">
        <f t="shared" si="3"/>
        <v>-0.7</v>
      </c>
      <c r="T126" s="2" t="str">
        <f t="shared" si="4"/>
        <v>JAX -0.7</v>
      </c>
      <c r="U126" s="2" t="str">
        <f t="array" ref="U126">IF($B126="","",IFERROR(INDEX(MktHomeSpread,MATCH($B126,MktGameID,0)),""))</f>
        <v/>
      </c>
      <c r="V126" s="2" t="str">
        <f t="shared" si="5"/>
        <v/>
      </c>
      <c r="W126" s="2" t="str">
        <f t="shared" si="6"/>
        <v/>
      </c>
      <c r="X126" s="2" t="str">
        <f t="shared" si="7"/>
        <v/>
      </c>
      <c r="Y126" s="2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2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2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2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2">
        <f t="array" ref="AC126">IF($B126="","",IFERROR(INDEX(QBTotEff,MATCH($F126,QBTeams,0)),0)+IFERROR(INDEX(QBTotEff,MATCH($E126,QBTeams,0)),0))</f>
        <v>0</v>
      </c>
      <c r="AD126" s="2">
        <f>IF($B126="","",SUMIFS(AdjTot,AdjGameID,$B126,AdjActive,1))</f>
        <v>0</v>
      </c>
      <c r="AE126" s="2">
        <f t="shared" si="8"/>
        <v>0</v>
      </c>
      <c r="AF126" s="11"/>
      <c r="AG126" s="2">
        <f t="shared" si="9"/>
        <v>0</v>
      </c>
      <c r="AH126" s="2" t="str">
        <f t="array" ref="AH126">IF($B126="","",IFERROR(INDEX(MktTotal,MATCH($B126,MktGameID,0)),""))</f>
        <v/>
      </c>
      <c r="AI126" s="2" t="str">
        <f t="shared" si="10"/>
        <v/>
      </c>
      <c r="AJ126" s="2" t="str">
        <f t="shared" si="11"/>
        <v/>
      </c>
      <c r="AK126" s="2" t="str">
        <f t="shared" si="12"/>
        <v/>
      </c>
      <c r="AL126" s="2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2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2" t="str">
        <f>IF($AG126="","","BET OVER at ≤ "&amp;TEXT($AG126-BetTot,"0.0")&amp;"  |  BET UNDER at ≥ "&amp;TEXT($AG126+BetTot,"0.0"))</f>
        <v>BET OVER at ≤ -3.0  |  BET UNDER at ≥ 3.0</v>
      </c>
      <c r="AO126" s="2" t="str">
        <f t="array" ref="AO126">IF($B126="","",IF(OR(IFERROR(INDEX(QBFlag,MATCH($F126,QBTeams,0)),1)=1,IFERROR(INDEX(QBFlag,MATCH($E126,QBTeams,0)),1)=1),"QB UNCERTAIN",""))</f>
        <v/>
      </c>
      <c r="AP126" s="2" t="str">
        <f t="array" ref="AP126">IF($B126="","",IFERROR(INDEX(DQStatus,MATCH($B126,DQGameID,0)),"BLOCKED — DQ ROW NOT FOUND"))</f>
        <v>READY</v>
      </c>
      <c r="AQ126" s="2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2" t="str">
        <f t="shared" si="13"/>
        <v/>
      </c>
      <c r="AS126" s="2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2" t="str">
        <f t="shared" si="14"/>
        <v/>
      </c>
      <c r="AU126" s="11"/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9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2" t="str">
        <f t="array" ref="G127">IF($B127="","",IF(INDEX(SchedZone,MATCH($A127,SchedSeq,0),MAP!$B$14)="Neutral","Y",""))</f>
        <v>Y</v>
      </c>
      <c r="H127" s="2" t="str">
        <f t="array" ref="H127">IF($B127="","",INDEX(SchedZone,MATCH($A127,SchedSeq,0),MAP!$B$17))</f>
        <v/>
      </c>
      <c r="I127" s="2" t="str">
        <f>IF(OR($B127="",$C127&lt;&gt;CurrentWeek),"",COUNTIF($C$5:$C127,CurrentWeek))</f>
        <v/>
      </c>
      <c r="J127" s="2">
        <f t="array" ref="J127">IF($B127="","",IFERROR(INDEX(RatEff,MATCH($E127,RatTeams,0)),"⚠ TEAM NOT FOUND"))</f>
        <v>-1.53</v>
      </c>
      <c r="K127" s="2">
        <f t="array" ref="K127">IF($B127="","",IFERROR(INDEX(RatEff,MATCH($F127,RatTeams,0)),"⚠ TEAM NOT FOUND"))</f>
        <v>-0.06</v>
      </c>
      <c r="L127" s="2">
        <f t="shared" si="1"/>
        <v>1.47</v>
      </c>
      <c r="M127" s="2">
        <f t="array" ref="M127">IF($B127="","",IF($G127="Y",NeutralHFA,IFERROR(INDEX(HFAexcVal,MATCH($F127,HFAexcTeam,0)),HFA_Base)))</f>
        <v>0</v>
      </c>
      <c r="N127" s="2">
        <f t="array" ref="N127">IF($B127="","",IFERROR(INDEX(QBSpreadEff,MATCH($F127,QBTeams,0)),0)-IFERROR(INDEX(QBSpreadEff,MATCH($E127,QBTeams,0)),0))</f>
        <v>0</v>
      </c>
      <c r="O127" s="2">
        <f t="array" ref="O127">IF($B127="","",IFERROR(MEDIAN(-RestCapPts,RestCapPts,RestPerDay*(INDEX(SchedZone,MATCH($A127,SchedSeq,0),MAP!$B$16)-INDEX(SchedZone,MATCH($A127,SchedSeq,0),MAP!$B$15))),0))</f>
        <v>0</v>
      </c>
      <c r="P127" s="2">
        <f>IF($B127="","",SUMIFS(AdjSpread,AdjGameID,$B127,AdjTeam,$F127,AdjActive,1)-SUMIFS(AdjSpread,AdjGameID,$B127,AdjTeam,$E127,AdjActive,1))</f>
        <v>0</v>
      </c>
      <c r="Q127" s="2">
        <f t="shared" si="2"/>
        <v>1.47</v>
      </c>
      <c r="R127" s="11"/>
      <c r="S127" s="2">
        <f t="shared" si="3"/>
        <v>1.47</v>
      </c>
      <c r="T127" s="2" t="str">
        <f t="shared" si="4"/>
        <v>ATL -1.5</v>
      </c>
      <c r="U127" s="2" t="str">
        <f t="array" ref="U127">IF($B127="","",IFERROR(INDEX(MktHomeSpread,MATCH($B127,MktGameID,0)),""))</f>
        <v/>
      </c>
      <c r="V127" s="2" t="str">
        <f t="shared" si="5"/>
        <v/>
      </c>
      <c r="W127" s="2" t="str">
        <f t="shared" si="6"/>
        <v/>
      </c>
      <c r="X127" s="2" t="str">
        <f t="shared" si="7"/>
        <v/>
      </c>
      <c r="Y127" s="2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2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2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2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2">
        <f t="array" ref="AC127">IF($B127="","",IFERROR(INDEX(QBTotEff,MATCH($F127,QBTeams,0)),0)+IFERROR(INDEX(QBTotEff,MATCH($E127,QBTeams,0)),0))</f>
        <v>0</v>
      </c>
      <c r="AD127" s="2">
        <f>IF($B127="","",SUMIFS(AdjTot,AdjGameID,$B127,AdjActive,1))</f>
        <v>0</v>
      </c>
      <c r="AE127" s="2">
        <f t="shared" si="8"/>
        <v>0</v>
      </c>
      <c r="AF127" s="11"/>
      <c r="AG127" s="2">
        <f t="shared" si="9"/>
        <v>0</v>
      </c>
      <c r="AH127" s="2" t="str">
        <f t="array" ref="AH127">IF($B127="","",IFERROR(INDEX(MktTotal,MATCH($B127,MktGameID,0)),""))</f>
        <v/>
      </c>
      <c r="AI127" s="2" t="str">
        <f t="shared" si="10"/>
        <v/>
      </c>
      <c r="AJ127" s="2" t="str">
        <f t="shared" si="11"/>
        <v/>
      </c>
      <c r="AK127" s="2" t="str">
        <f t="shared" si="12"/>
        <v/>
      </c>
      <c r="AL127" s="2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2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2" t="str">
        <f>IF($AG127="","","BET OVER at ≤ "&amp;TEXT($AG127-BetTot,"0.0")&amp;"  |  BET UNDER at ≥ "&amp;TEXT($AG127+BetTot,"0.0"))</f>
        <v>BET OVER at ≤ -3.0  |  BET UNDER at ≥ 3.0</v>
      </c>
      <c r="AO127" s="2" t="str">
        <f t="array" ref="AO127">IF($B127="","",IF(OR(IFERROR(INDEX(QBFlag,MATCH($F127,QBTeams,0)),1)=1,IFERROR(INDEX(QBFlag,MATCH($E127,QBTeams,0)),1)=1),"QB UNCERTAIN",""))</f>
        <v>QB UNCERTAIN</v>
      </c>
      <c r="AP127" s="2" t="str">
        <f t="array" ref="AP127">IF($B127="","",IFERROR(INDEX(DQStatus,MATCH($B127,DQGameID,0)),"BLOCKED — DQ ROW NOT FOUND"))</f>
        <v>READY</v>
      </c>
      <c r="AQ127" s="2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2" t="str">
        <f t="shared" si="13"/>
        <v/>
      </c>
      <c r="AS127" s="2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2" t="str">
        <f t="shared" si="14"/>
        <v/>
      </c>
      <c r="AU127" s="11"/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9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2" t="str">
        <f t="array" ref="G128">IF($B128="","",IF(INDEX(SchedZone,MATCH($A128,SchedSeq,0),MAP!$B$14)="Neutral","Y",""))</f>
        <v/>
      </c>
      <c r="H128" s="2" t="str">
        <f t="array" ref="H128">IF($B128="","",INDEX(SchedZone,MATCH($A128,SchedSeq,0),MAP!$B$17))</f>
        <v>outdoors</v>
      </c>
      <c r="I128" s="2" t="str">
        <f>IF(OR($B128="",$C128&lt;&gt;CurrentWeek),"",COUNTIF($C$5:$C128,CurrentWeek))</f>
        <v/>
      </c>
      <c r="J128" s="2">
        <f t="array" ref="J128">IF($B128="","",IFERROR(INDEX(RatEff,MATCH($E128,RatTeams,0)),"⚠ TEAM NOT FOUND"))</f>
        <v>1.93</v>
      </c>
      <c r="K128" s="2">
        <f t="array" ref="K128">IF($B128="","",IFERROR(INDEX(RatEff,MATCH($F128,RatTeams,0)),"⚠ TEAM NOT FOUND"))</f>
        <v>-1.3</v>
      </c>
      <c r="L128" s="2">
        <f t="shared" si="1"/>
        <v>-3.23</v>
      </c>
      <c r="M128" s="2">
        <f t="array" ref="M128">IF($B128="","",IF($G128="Y",NeutralHFA,IFERROR(INDEX(HFAexcVal,MATCH($F128,HFAexcTeam,0)),HFA_Base)))</f>
        <v>1.6</v>
      </c>
      <c r="N128" s="2">
        <f t="array" ref="N128">IF($B128="","",IFERROR(INDEX(QBSpreadEff,MATCH($F128,QBTeams,0)),0)-IFERROR(INDEX(QBSpreadEff,MATCH($E128,QBTeams,0)),0))</f>
        <v>0</v>
      </c>
      <c r="O128" s="2">
        <f t="array" ref="O128">IF($B128="","",IFERROR(MEDIAN(-RestCapPts,RestCapPts,RestPerDay*(INDEX(SchedZone,MATCH($A128,SchedSeq,0),MAP!$B$16)-INDEX(SchedZone,MATCH($A128,SchedSeq,0),MAP!$B$15))),0))</f>
        <v>0.3</v>
      </c>
      <c r="P128" s="2">
        <f>IF($B128="","",SUMIFS(AdjSpread,AdjGameID,$B128,AdjTeam,$F128,AdjActive,1)-SUMIFS(AdjSpread,AdjGameID,$B128,AdjTeam,$E128,AdjActive,1))</f>
        <v>0</v>
      </c>
      <c r="Q128" s="2">
        <f t="shared" si="2"/>
        <v>-1.33</v>
      </c>
      <c r="R128" s="11"/>
      <c r="S128" s="2">
        <f t="shared" si="3"/>
        <v>-1.33</v>
      </c>
      <c r="T128" s="2" t="str">
        <f t="shared" si="4"/>
        <v>DEN -1.3</v>
      </c>
      <c r="U128" s="2" t="str">
        <f t="array" ref="U128">IF($B128="","",IFERROR(INDEX(MktHomeSpread,MATCH($B128,MktGameID,0)),""))</f>
        <v/>
      </c>
      <c r="V128" s="2" t="str">
        <f t="shared" si="5"/>
        <v/>
      </c>
      <c r="W128" s="2" t="str">
        <f t="shared" si="6"/>
        <v/>
      </c>
      <c r="X128" s="2" t="str">
        <f t="shared" si="7"/>
        <v/>
      </c>
      <c r="Y128" s="2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2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2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2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2">
        <f t="array" ref="AC128">IF($B128="","",IFERROR(INDEX(QBTotEff,MATCH($F128,QBTeams,0)),0)+IFERROR(INDEX(QBTotEff,MATCH($E128,QBTeams,0)),0))</f>
        <v>0</v>
      </c>
      <c r="AD128" s="2">
        <f>IF($B128="","",SUMIFS(AdjTot,AdjGameID,$B128,AdjActive,1))</f>
        <v>0</v>
      </c>
      <c r="AE128" s="2">
        <f t="shared" si="8"/>
        <v>0</v>
      </c>
      <c r="AF128" s="11"/>
      <c r="AG128" s="2">
        <f t="shared" si="9"/>
        <v>0</v>
      </c>
      <c r="AH128" s="2" t="str">
        <f t="array" ref="AH128">IF($B128="","",IFERROR(INDEX(MktTotal,MATCH($B128,MktGameID,0)),""))</f>
        <v/>
      </c>
      <c r="AI128" s="2" t="str">
        <f t="shared" si="10"/>
        <v/>
      </c>
      <c r="AJ128" s="2" t="str">
        <f t="shared" si="11"/>
        <v/>
      </c>
      <c r="AK128" s="2" t="str">
        <f t="shared" si="12"/>
        <v/>
      </c>
      <c r="AL128" s="2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2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2" t="str">
        <f>IF($AG128="","","BET OVER at ≤ "&amp;TEXT($AG128-BetTot,"0.0")&amp;"  |  BET UNDER at ≥ "&amp;TEXT($AG128+BetTot,"0.0"))</f>
        <v>BET OVER at ≤ -3.0  |  BET UNDER at ≥ 3.0</v>
      </c>
      <c r="AO128" s="2" t="str">
        <f t="array" ref="AO128">IF($B128="","",IF(OR(IFERROR(INDEX(QBFlag,MATCH($F128,QBTeams,0)),1)=1,IFERROR(INDEX(QBFlag,MATCH($E128,QBTeams,0)),1)=1),"QB UNCERTAIN",""))</f>
        <v/>
      </c>
      <c r="AP128" s="2" t="str">
        <f t="array" ref="AP128">IF($B128="","",IFERROR(INDEX(DQStatus,MATCH($B128,DQGameID,0)),"BLOCKED — DQ ROW NOT FOUND"))</f>
        <v>READY</v>
      </c>
      <c r="AQ128" s="2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2" t="str">
        <f t="shared" si="13"/>
        <v/>
      </c>
      <c r="AS128" s="2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2" t="str">
        <f t="shared" si="14"/>
        <v/>
      </c>
      <c r="AU128" s="11"/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9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2" t="str">
        <f t="array" ref="G129">IF($B129="","",IF(INDEX(SchedZone,MATCH($A129,SchedSeq,0),MAP!$B$14)="Neutral","Y",""))</f>
        <v/>
      </c>
      <c r="H129" s="2" t="str">
        <f t="array" ref="H129">IF($B129="","",INDEX(SchedZone,MATCH($A129,SchedSeq,0),MAP!$B$17))</f>
        <v/>
      </c>
      <c r="I129" s="2" t="str">
        <f>IF(OR($B129="",$C129&lt;&gt;CurrentWeek),"",COUNTIF($C$5:$C129,CurrentWeek))</f>
        <v/>
      </c>
      <c r="J129" s="2">
        <f t="array" ref="J129">IF($B129="","",IFERROR(INDEX(RatEff,MATCH($E129,RatTeams,0)),"⚠ TEAM NOT FOUND"))</f>
        <v>-2.26</v>
      </c>
      <c r="K129" s="2">
        <f t="array" ref="K129">IF($B129="","",IFERROR(INDEX(RatEff,MATCH($F129,RatTeams,0)),"⚠ TEAM NOT FOUND"))</f>
        <v>0.82</v>
      </c>
      <c r="L129" s="2">
        <f t="shared" si="1"/>
        <v>3.08</v>
      </c>
      <c r="M129" s="2">
        <f t="array" ref="M129">IF($B129="","",IF($G129="Y",NeutralHFA,IFERROR(INDEX(HFAexcVal,MATCH($F129,HFAexcTeam,0)),HFA_Base)))</f>
        <v>1.6</v>
      </c>
      <c r="N129" s="2">
        <f t="array" ref="N129">IF($B129="","",IFERROR(INDEX(QBSpreadEff,MATCH($F129,QBTeams,0)),0)-IFERROR(INDEX(QBSpreadEff,MATCH($E129,QBTeams,0)),0))</f>
        <v>0</v>
      </c>
      <c r="O129" s="2">
        <f t="array" ref="O129">IF($B129="","",IFERROR(MEDIAN(-RestCapPts,RestCapPts,RestPerDay*(INDEX(SchedZone,MATCH($A129,SchedSeq,0),MAP!$B$16)-INDEX(SchedZone,MATCH($A129,SchedSeq,0),MAP!$B$15))),0))</f>
        <v>0</v>
      </c>
      <c r="P129" s="2">
        <f>IF($B129="","",SUMIFS(AdjSpread,AdjGameID,$B129,AdjTeam,$F129,AdjActive,1)-SUMIFS(AdjSpread,AdjGameID,$B129,AdjTeam,$E129,AdjActive,1))</f>
        <v>0</v>
      </c>
      <c r="Q129" s="2">
        <f t="shared" si="2"/>
        <v>4.68</v>
      </c>
      <c r="R129" s="11"/>
      <c r="S129" s="2">
        <f t="shared" si="3"/>
        <v>4.68</v>
      </c>
      <c r="T129" s="2" t="str">
        <f t="shared" si="4"/>
        <v>IND -4.7</v>
      </c>
      <c r="U129" s="2" t="str">
        <f t="array" ref="U129">IF($B129="","",IFERROR(INDEX(MktHomeSpread,MATCH($B129,MktGameID,0)),""))</f>
        <v/>
      </c>
      <c r="V129" s="2" t="str">
        <f t="shared" si="5"/>
        <v/>
      </c>
      <c r="W129" s="2" t="str">
        <f t="shared" si="6"/>
        <v/>
      </c>
      <c r="X129" s="2" t="str">
        <f t="shared" si="7"/>
        <v/>
      </c>
      <c r="Y129" s="2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2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2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2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2">
        <f t="array" ref="AC129">IF($B129="","",IFERROR(INDEX(QBTotEff,MATCH($F129,QBTeams,0)),0)+IFERROR(INDEX(QBTotEff,MATCH($E129,QBTeams,0)),0))</f>
        <v>0</v>
      </c>
      <c r="AD129" s="2">
        <f>IF($B129="","",SUMIFS(AdjTot,AdjGameID,$B129,AdjActive,1))</f>
        <v>0</v>
      </c>
      <c r="AE129" s="2">
        <f t="shared" si="8"/>
        <v>0</v>
      </c>
      <c r="AF129" s="11"/>
      <c r="AG129" s="2">
        <f t="shared" si="9"/>
        <v>0</v>
      </c>
      <c r="AH129" s="2" t="str">
        <f t="array" ref="AH129">IF($B129="","",IFERROR(INDEX(MktTotal,MATCH($B129,MktGameID,0)),""))</f>
        <v/>
      </c>
      <c r="AI129" s="2" t="str">
        <f t="shared" si="10"/>
        <v/>
      </c>
      <c r="AJ129" s="2" t="str">
        <f t="shared" si="11"/>
        <v/>
      </c>
      <c r="AK129" s="2" t="str">
        <f t="shared" si="12"/>
        <v/>
      </c>
      <c r="AL129" s="2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2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2" t="str">
        <f>IF($AG129="","","BET OVER at ≤ "&amp;TEXT($AG129-BetTot,"0.0")&amp;"  |  BET UNDER at ≥ "&amp;TEXT($AG129+BetTot,"0.0"))</f>
        <v>BET OVER at ≤ -3.0  |  BET UNDER at ≥ 3.0</v>
      </c>
      <c r="AO129" s="2" t="str">
        <f t="array" ref="AO129">IF($B129="","",IF(OR(IFERROR(INDEX(QBFlag,MATCH($F129,QBTeams,0)),1)=1,IFERROR(INDEX(QBFlag,MATCH($E129,QBTeams,0)),1)=1),"QB UNCERTAIN",""))</f>
        <v/>
      </c>
      <c r="AP129" s="2" t="str">
        <f t="array" ref="AP129">IF($B129="","",IFERROR(INDEX(DQStatus,MATCH($B129,DQGameID,0)),"BLOCKED — DQ ROW NOT FOUND"))</f>
        <v>READY</v>
      </c>
      <c r="AQ129" s="2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2" t="str">
        <f t="shared" si="13"/>
        <v/>
      </c>
      <c r="AS129" s="2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2" t="str">
        <f t="shared" si="14"/>
        <v/>
      </c>
      <c r="AU129" s="11"/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9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2" t="str">
        <f t="array" ref="G130">IF($B130="","",IF(INDEX(SchedZone,MATCH($A130,SchedSeq,0),MAP!$B$14)="Neutral","Y",""))</f>
        <v/>
      </c>
      <c r="H130" s="2" t="str">
        <f t="array" ref="H130">IF($B130="","",INDEX(SchedZone,MATCH($A130,SchedSeq,0),MAP!$B$17))</f>
        <v>outdoors</v>
      </c>
      <c r="I130" s="2" t="str">
        <f>IF(OR($B130="",$C130&lt;&gt;CurrentWeek),"",COUNTIF($C$5:$C130,CurrentWeek))</f>
        <v/>
      </c>
      <c r="J130" s="2">
        <f t="array" ref="J130">IF($B130="","",IFERROR(INDEX(RatEff,MATCH($E130,RatTeams,0)),"⚠ TEAM NOT FOUND"))</f>
        <v>-4.67</v>
      </c>
      <c r="K130" s="2">
        <f t="array" ref="K130">IF($B130="","",IFERROR(INDEX(RatEff,MATCH($F130,RatTeams,0)),"⚠ TEAM NOT FOUND"))</f>
        <v>-0.04</v>
      </c>
      <c r="L130" s="2">
        <f t="shared" si="1"/>
        <v>4.63</v>
      </c>
      <c r="M130" s="2">
        <f t="array" ref="M130">IF($B130="","",IF($G130="Y",NeutralHFA,IFERROR(INDEX(HFAexcVal,MATCH($F130,HFAexcTeam,0)),HFA_Base)))</f>
        <v>1.6</v>
      </c>
      <c r="N130" s="2">
        <f t="array" ref="N130">IF($B130="","",IFERROR(INDEX(QBSpreadEff,MATCH($F130,QBTeams,0)),0)-IFERROR(INDEX(QBSpreadEff,MATCH($E130,QBTeams,0)),0))</f>
        <v>0</v>
      </c>
      <c r="O130" s="2">
        <f t="array" ref="O130">IF($B130="","",IFERROR(MEDIAN(-RestCapPts,RestCapPts,RestPerDay*(INDEX(SchedZone,MATCH($A130,SchedSeq,0),MAP!$B$16)-INDEX(SchedZone,MATCH($A130,SchedSeq,0),MAP!$B$15))),0))</f>
        <v>0</v>
      </c>
      <c r="P130" s="2">
        <f>IF($B130="","",SUMIFS(AdjSpread,AdjGameID,$B130,AdjTeam,$F130,AdjActive,1)-SUMIFS(AdjSpread,AdjGameID,$B130,AdjTeam,$E130,AdjActive,1))</f>
        <v>0</v>
      </c>
      <c r="Q130" s="2">
        <f t="shared" si="2"/>
        <v>6.23</v>
      </c>
      <c r="R130" s="11"/>
      <c r="S130" s="2">
        <f t="shared" si="3"/>
        <v>6.23</v>
      </c>
      <c r="T130" s="2" t="str">
        <f t="shared" si="4"/>
        <v>KC -6.2</v>
      </c>
      <c r="U130" s="2" t="str">
        <f t="array" ref="U130">IF($B130="","",IFERROR(INDEX(MktHomeSpread,MATCH($B130,MktGameID,0)),""))</f>
        <v/>
      </c>
      <c r="V130" s="2" t="str">
        <f t="shared" si="5"/>
        <v/>
      </c>
      <c r="W130" s="2" t="str">
        <f t="shared" si="6"/>
        <v/>
      </c>
      <c r="X130" s="2" t="str">
        <f t="shared" si="7"/>
        <v/>
      </c>
      <c r="Y130" s="2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2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2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2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2">
        <f t="array" ref="AC130">IF($B130="","",IFERROR(INDEX(QBTotEff,MATCH($F130,QBTeams,0)),0)+IFERROR(INDEX(QBTotEff,MATCH($E130,QBTeams,0)),0))</f>
        <v>0</v>
      </c>
      <c r="AD130" s="2">
        <f>IF($B130="","",SUMIFS(AdjTot,AdjGameID,$B130,AdjActive,1))</f>
        <v>0</v>
      </c>
      <c r="AE130" s="2">
        <f t="shared" si="8"/>
        <v>0</v>
      </c>
      <c r="AF130" s="11"/>
      <c r="AG130" s="2">
        <f t="shared" si="9"/>
        <v>0</v>
      </c>
      <c r="AH130" s="2" t="str">
        <f t="array" ref="AH130">IF($B130="","",IFERROR(INDEX(MktTotal,MATCH($B130,MktGameID,0)),""))</f>
        <v/>
      </c>
      <c r="AI130" s="2" t="str">
        <f t="shared" si="10"/>
        <v/>
      </c>
      <c r="AJ130" s="2" t="str">
        <f t="shared" si="11"/>
        <v/>
      </c>
      <c r="AK130" s="2" t="str">
        <f t="shared" si="12"/>
        <v/>
      </c>
      <c r="AL130" s="2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Medium</v>
      </c>
      <c r="AM130" s="2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2" t="str">
        <f>IF($AG130="","","BET OVER at ≤ "&amp;TEXT($AG130-BetTot,"0.0")&amp;"  |  BET UNDER at ≥ "&amp;TEXT($AG130+BetTot,"0.0"))</f>
        <v>BET OVER at ≤ -3.0  |  BET UNDER at ≥ 3.0</v>
      </c>
      <c r="AO130" s="2" t="str">
        <f t="array" ref="AO130">IF($B130="","",IF(OR(IFERROR(INDEX(QBFlag,MATCH($F130,QBTeams,0)),1)=1,IFERROR(INDEX(QBFlag,MATCH($E130,QBTeams,0)),1)=1),"QB UNCERTAIN",""))</f>
        <v/>
      </c>
      <c r="AP130" s="2" t="str">
        <f t="array" ref="AP130">IF($B130="","",IFERROR(INDEX(DQStatus,MATCH($B130,DQGameID,0)),"BLOCKED — DQ ROW NOT FOUND"))</f>
        <v>READY</v>
      </c>
      <c r="AQ130" s="2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2" t="str">
        <f t="shared" si="13"/>
        <v/>
      </c>
      <c r="AS130" s="2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2" t="str">
        <f t="shared" si="14"/>
        <v/>
      </c>
      <c r="AU130" s="11"/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9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2" t="str">
        <f t="array" ref="G131">IF($B131="","",IF(INDEX(SchedZone,MATCH($A131,SchedSeq,0),MAP!$B$14)="Neutral","Y",""))</f>
        <v/>
      </c>
      <c r="H131" s="2" t="str">
        <f t="array" ref="H131">IF($B131="","",INDEX(SchedZone,MATCH($A131,SchedSeq,0),MAP!$B$17))</f>
        <v>outdoors</v>
      </c>
      <c r="I131" s="2" t="str">
        <f>IF(OR($B131="",$C131&lt;&gt;CurrentWeek),"",COUNTIF($C$5:$C131,CurrentWeek))</f>
        <v/>
      </c>
      <c r="J131" s="2">
        <f t="array" ref="J131">IF($B131="","",IFERROR(INDEX(RatEff,MATCH($E131,RatTeams,0)),"⚠ TEAM NOT FOUND"))</f>
        <v>0.86</v>
      </c>
      <c r="K131" s="2">
        <f t="array" ref="K131">IF($B131="","",IFERROR(INDEX(RatEff,MATCH($F131,RatTeams,0)),"⚠ TEAM NOT FOUND"))</f>
        <v>-2.64</v>
      </c>
      <c r="L131" s="2">
        <f t="shared" si="1"/>
        <v>-3.5</v>
      </c>
      <c r="M131" s="2">
        <f t="array" ref="M131">IF($B131="","",IF($G131="Y",NeutralHFA,IFERROR(INDEX(HFAexcVal,MATCH($F131,HFAexcTeam,0)),HFA_Base)))</f>
        <v>1.6</v>
      </c>
      <c r="N131" s="2">
        <f t="array" ref="N131">IF($B131="","",IFERROR(INDEX(QBSpreadEff,MATCH($F131,QBTeams,0)),0)-IFERROR(INDEX(QBSpreadEff,MATCH($E131,QBTeams,0)),0))</f>
        <v>0</v>
      </c>
      <c r="O131" s="2">
        <f t="array" ref="O131">IF($B131="","",IFERROR(MEDIAN(-RestCapPts,RestCapPts,RestPerDay*(INDEX(SchedZone,MATCH($A131,SchedSeq,0),MAP!$B$16)-INDEX(SchedZone,MATCH($A131,SchedSeq,0),MAP!$B$15))),0))</f>
        <v>0</v>
      </c>
      <c r="P131" s="2">
        <f>IF($B131="","",SUMIFS(AdjSpread,AdjGameID,$B131,AdjTeam,$F131,AdjActive,1)-SUMIFS(AdjSpread,AdjGameID,$B131,AdjTeam,$E131,AdjActive,1))</f>
        <v>0</v>
      </c>
      <c r="Q131" s="2">
        <f t="shared" si="2"/>
        <v>-1.9</v>
      </c>
      <c r="R131" s="11"/>
      <c r="S131" s="2">
        <f t="shared" si="3"/>
        <v>-1.9</v>
      </c>
      <c r="T131" s="2" t="str">
        <f t="shared" si="4"/>
        <v>DET -1.9</v>
      </c>
      <c r="U131" s="2" t="str">
        <f t="array" ref="U131">IF($B131="","",IFERROR(INDEX(MktHomeSpread,MATCH($B131,MktGameID,0)),""))</f>
        <v/>
      </c>
      <c r="V131" s="2" t="str">
        <f t="shared" si="5"/>
        <v/>
      </c>
      <c r="W131" s="2" t="str">
        <f t="shared" si="6"/>
        <v/>
      </c>
      <c r="X131" s="2" t="str">
        <f t="shared" si="7"/>
        <v/>
      </c>
      <c r="Y131" s="2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2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2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2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2">
        <f t="array" ref="AC131">IF($B131="","",IFERROR(INDEX(QBTotEff,MATCH($F131,QBTeams,0)),0)+IFERROR(INDEX(QBTotEff,MATCH($E131,QBTeams,0)),0))</f>
        <v>0</v>
      </c>
      <c r="AD131" s="2">
        <f>IF($B131="","",SUMIFS(AdjTot,AdjGameID,$B131,AdjActive,1))</f>
        <v>0</v>
      </c>
      <c r="AE131" s="2">
        <f t="shared" si="8"/>
        <v>0</v>
      </c>
      <c r="AF131" s="11"/>
      <c r="AG131" s="2">
        <f t="shared" si="9"/>
        <v>0</v>
      </c>
      <c r="AH131" s="2" t="str">
        <f t="array" ref="AH131">IF($B131="","",IFERROR(INDEX(MktTotal,MATCH($B131,MktGameID,0)),""))</f>
        <v/>
      </c>
      <c r="AI131" s="2" t="str">
        <f t="shared" si="10"/>
        <v/>
      </c>
      <c r="AJ131" s="2" t="str">
        <f t="shared" si="11"/>
        <v/>
      </c>
      <c r="AK131" s="2" t="str">
        <f t="shared" si="12"/>
        <v/>
      </c>
      <c r="AL131" s="2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2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2" t="str">
        <f>IF($AG131="","","BET OVER at ≤ "&amp;TEXT($AG131-BetTot,"0.0")&amp;"  |  BET UNDER at ≥ "&amp;TEXT($AG131+BetTot,"0.0"))</f>
        <v>BET OVER at ≤ -3.0  |  BET UNDER at ≥ 3.0</v>
      </c>
      <c r="AO131" s="2" t="str">
        <f t="array" ref="AO131">IF($B131="","",IF(OR(IFERROR(INDEX(QBFlag,MATCH($F131,QBTeams,0)),1)=1,IFERROR(INDEX(QBFlag,MATCH($E131,QBTeams,0)),1)=1),"QB UNCERTAIN",""))</f>
        <v/>
      </c>
      <c r="AP131" s="2" t="str">
        <f t="array" ref="AP131">IF($B131="","",IFERROR(INDEX(DQStatus,MATCH($B131,DQGameID,0)),"BLOCKED — DQ ROW NOT FOUND"))</f>
        <v>READY</v>
      </c>
      <c r="AQ131" s="2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2" t="str">
        <f t="shared" si="13"/>
        <v/>
      </c>
      <c r="AS131" s="2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2" t="str">
        <f t="shared" si="14"/>
        <v/>
      </c>
      <c r="AU131" s="11"/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9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2" t="str">
        <f t="array" ref="G132">IF($B132="","",IF(INDEX(SchedZone,MATCH($A132,SchedSeq,0),MAP!$B$14)="Neutral","Y",""))</f>
        <v/>
      </c>
      <c r="H132" s="2" t="str">
        <f t="array" ref="H132">IF($B132="","",INDEX(SchedZone,MATCH($A132,SchedSeq,0),MAP!$B$17))</f>
        <v>dome</v>
      </c>
      <c r="I132" s="2" t="str">
        <f>IF(OR($B132="",$C132&lt;&gt;CurrentWeek),"",COUNTIF($C$5:$C132,CurrentWeek))</f>
        <v/>
      </c>
      <c r="J132" s="2">
        <f t="array" ref="J132">IF($B132="","",IFERROR(INDEX(RatEff,MATCH($E132,RatTeams,0)),"⚠ TEAM NOT FOUND"))</f>
        <v>-2.6</v>
      </c>
      <c r="K132" s="2">
        <f t="array" ref="K132">IF($B132="","",IFERROR(INDEX(RatEff,MATCH($F132,RatTeams,0)),"⚠ TEAM NOT FOUND"))</f>
        <v>-0.94</v>
      </c>
      <c r="L132" s="2">
        <f t="shared" si="1"/>
        <v>1.66</v>
      </c>
      <c r="M132" s="2">
        <f t="array" ref="M132">IF($B132="","",IF($G132="Y",NeutralHFA,IFERROR(INDEX(HFAexcVal,MATCH($F132,HFAexcTeam,0)),HFA_Base)))</f>
        <v>1.6</v>
      </c>
      <c r="N132" s="2">
        <f t="array" ref="N132">IF($B132="","",IFERROR(INDEX(QBSpreadEff,MATCH($F132,QBTeams,0)),0)-IFERROR(INDEX(QBSpreadEff,MATCH($E132,QBTeams,0)),0))</f>
        <v>0</v>
      </c>
      <c r="O132" s="2">
        <f t="array" ref="O132">IF($B132="","",IFERROR(MEDIAN(-RestCapPts,RestCapPts,RestPerDay*(INDEX(SchedZone,MATCH($A132,SchedSeq,0),MAP!$B$16)-INDEX(SchedZone,MATCH($A132,SchedSeq,0),MAP!$B$15))),0))</f>
        <v>0.7</v>
      </c>
      <c r="P132" s="2">
        <f>IF($B132="","",SUMIFS(AdjSpread,AdjGameID,$B132,AdjTeam,$F132,AdjActive,1)-SUMIFS(AdjSpread,AdjGameID,$B132,AdjTeam,$E132,AdjActive,1))</f>
        <v>0</v>
      </c>
      <c r="Q132" s="2">
        <f t="shared" si="2"/>
        <v>3.96</v>
      </c>
      <c r="R132" s="11"/>
      <c r="S132" s="2">
        <f t="shared" si="3"/>
        <v>3.96</v>
      </c>
      <c r="T132" s="2" t="str">
        <f t="shared" si="4"/>
        <v>NO -4.0</v>
      </c>
      <c r="U132" s="2" t="str">
        <f t="array" ref="U132">IF($B132="","",IFERROR(INDEX(MktHomeSpread,MATCH($B132,MktGameID,0)),""))</f>
        <v/>
      </c>
      <c r="V132" s="2" t="str">
        <f t="shared" si="5"/>
        <v/>
      </c>
      <c r="W132" s="2" t="str">
        <f t="shared" si="6"/>
        <v/>
      </c>
      <c r="X132" s="2" t="str">
        <f t="shared" si="7"/>
        <v/>
      </c>
      <c r="Y132" s="2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2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2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2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2">
        <f t="array" ref="AC132">IF($B132="","",IFERROR(INDEX(QBTotEff,MATCH($F132,QBTeams,0)),0)+IFERROR(INDEX(QBTotEff,MATCH($E132,QBTeams,0)),0))</f>
        <v>0</v>
      </c>
      <c r="AD132" s="2">
        <f>IF($B132="","",SUMIFS(AdjTot,AdjGameID,$B132,AdjActive,1))</f>
        <v>0</v>
      </c>
      <c r="AE132" s="2">
        <f t="shared" si="8"/>
        <v>0</v>
      </c>
      <c r="AF132" s="11"/>
      <c r="AG132" s="2">
        <f t="shared" si="9"/>
        <v>0</v>
      </c>
      <c r="AH132" s="2" t="str">
        <f t="array" ref="AH132">IF($B132="","",IFERROR(INDEX(MktTotal,MATCH($B132,MktGameID,0)),""))</f>
        <v/>
      </c>
      <c r="AI132" s="2" t="str">
        <f t="shared" si="10"/>
        <v/>
      </c>
      <c r="AJ132" s="2" t="str">
        <f t="shared" si="11"/>
        <v/>
      </c>
      <c r="AK132" s="2" t="str">
        <f t="shared" si="12"/>
        <v/>
      </c>
      <c r="AL132" s="2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Low</v>
      </c>
      <c r="AM132" s="2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2" t="str">
        <f>IF($AG132="","","BET OVER at ≤ "&amp;TEXT($AG132-BetTot,"0.0")&amp;"  |  BET UNDER at ≥ "&amp;TEXT($AG132+BetTot,"0.0"))</f>
        <v>BET OVER at ≤ -3.0  |  BET UNDER at ≥ 3.0</v>
      </c>
      <c r="AO132" s="2" t="str">
        <f t="array" ref="AO132">IF($B132="","",IF(OR(IFERROR(INDEX(QBFlag,MATCH($F132,QBTeams,0)),1)=1,IFERROR(INDEX(QBFlag,MATCH($E132,QBTeams,0)),1)=1),"QB UNCERTAIN",""))</f>
        <v>QB UNCERTAIN</v>
      </c>
      <c r="AP132" s="2" t="str">
        <f t="array" ref="AP132">IF($B132="","",IFERROR(INDEX(DQStatus,MATCH($B132,DQGameID,0)),"BLOCKED — DQ ROW NOT FOUND"))</f>
        <v>READY</v>
      </c>
      <c r="AQ132" s="2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2" t="str">
        <f t="shared" si="13"/>
        <v/>
      </c>
      <c r="AS132" s="2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2" t="str">
        <f t="shared" si="14"/>
        <v/>
      </c>
      <c r="AU132" s="11"/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9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2" t="str">
        <f t="array" ref="G133">IF($B133="","",IF(INDEX(SchedZone,MATCH($A133,SchedSeq,0),MAP!$B$14)="Neutral","Y",""))</f>
        <v/>
      </c>
      <c r="H133" s="2" t="str">
        <f t="array" ref="H133">IF($B133="","",INDEX(SchedZone,MATCH($A133,SchedSeq,0),MAP!$B$17))</f>
        <v>outdoors</v>
      </c>
      <c r="I133" s="2" t="str">
        <f>IF(OR($B133="",$C133&lt;&gt;CurrentWeek),"",COUNTIF($C$5:$C133,CurrentWeek))</f>
        <v/>
      </c>
      <c r="J133" s="2">
        <f t="array" ref="J133">IF($B133="","",IFERROR(INDEX(RatEff,MATCH($E133,RatTeams,0)),"⚠ TEAM NOT FOUND"))</f>
        <v>-1.59</v>
      </c>
      <c r="K133" s="2">
        <f t="array" ref="K133">IF($B133="","",IFERROR(INDEX(RatEff,MATCH($F133,RatTeams,0)),"⚠ TEAM NOT FOUND"))</f>
        <v>1.5</v>
      </c>
      <c r="L133" s="2">
        <f t="shared" si="1"/>
        <v>3.09</v>
      </c>
      <c r="M133" s="2">
        <f t="array" ref="M133">IF($B133="","",IF($G133="Y",NeutralHFA,IFERROR(INDEX(HFAexcVal,MATCH($F133,HFAexcTeam,0)),HFA_Base)))</f>
        <v>1.6</v>
      </c>
      <c r="N133" s="2">
        <f t="array" ref="N133">IF($B133="","",IFERROR(INDEX(QBSpreadEff,MATCH($F133,QBTeams,0)),0)-IFERROR(INDEX(QBSpreadEff,MATCH($E133,QBTeams,0)),0))</f>
        <v>0</v>
      </c>
      <c r="O133" s="2">
        <f t="array" ref="O133">IF($B133="","",IFERROR(MEDIAN(-RestCapPts,RestCapPts,RestPerDay*(INDEX(SchedZone,MATCH($A133,SchedSeq,0),MAP!$B$16)-INDEX(SchedZone,MATCH($A133,SchedSeq,0),MAP!$B$15))),0))</f>
        <v>-0.7</v>
      </c>
      <c r="P133" s="2">
        <f>IF($B133="","",SUMIFS(AdjSpread,AdjGameID,$B133,AdjTeam,$F133,AdjActive,1)-SUMIFS(AdjSpread,AdjGameID,$B133,AdjTeam,$E133,AdjActive,1))</f>
        <v>0</v>
      </c>
      <c r="Q133" s="2">
        <f t="shared" si="2"/>
        <v>3.99</v>
      </c>
      <c r="R133" s="11"/>
      <c r="S133" s="2">
        <f t="shared" si="3"/>
        <v>3.99</v>
      </c>
      <c r="T133" s="2" t="str">
        <f t="shared" si="4"/>
        <v>PHI -4.0</v>
      </c>
      <c r="U133" s="2" t="str">
        <f t="array" ref="U133">IF($B133="","",IFERROR(INDEX(MktHomeSpread,MATCH($B133,MktGameID,0)),""))</f>
        <v/>
      </c>
      <c r="V133" s="2" t="str">
        <f t="shared" si="5"/>
        <v/>
      </c>
      <c r="W133" s="2" t="str">
        <f t="shared" si="6"/>
        <v/>
      </c>
      <c r="X133" s="2" t="str">
        <f t="shared" si="7"/>
        <v/>
      </c>
      <c r="Y133" s="2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2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2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2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2">
        <f t="array" ref="AC133">IF($B133="","",IFERROR(INDEX(QBTotEff,MATCH($F133,QBTeams,0)),0)+IFERROR(INDEX(QBTotEff,MATCH($E133,QBTeams,0)),0))</f>
        <v>0</v>
      </c>
      <c r="AD133" s="2">
        <f>IF($B133="","",SUMIFS(AdjTot,AdjGameID,$B133,AdjActive,1))</f>
        <v>0</v>
      </c>
      <c r="AE133" s="2">
        <f t="shared" si="8"/>
        <v>0</v>
      </c>
      <c r="AF133" s="11"/>
      <c r="AG133" s="2">
        <f t="shared" si="9"/>
        <v>0</v>
      </c>
      <c r="AH133" s="2" t="str">
        <f t="array" ref="AH133">IF($B133="","",IFERROR(INDEX(MktTotal,MATCH($B133,MktGameID,0)),""))</f>
        <v/>
      </c>
      <c r="AI133" s="2" t="str">
        <f t="shared" si="10"/>
        <v/>
      </c>
      <c r="AJ133" s="2" t="str">
        <f t="shared" si="11"/>
        <v/>
      </c>
      <c r="AK133" s="2" t="str">
        <f t="shared" si="12"/>
        <v/>
      </c>
      <c r="AL133" s="2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2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2" t="str">
        <f>IF($AG133="","","BET OVER at ≤ "&amp;TEXT($AG133-BetTot,"0.0")&amp;"  |  BET UNDER at ≥ "&amp;TEXT($AG133+BetTot,"0.0"))</f>
        <v>BET OVER at ≤ -3.0  |  BET UNDER at ≥ 3.0</v>
      </c>
      <c r="AO133" s="2" t="str">
        <f t="array" ref="AO133">IF($B133="","",IF(OR(IFERROR(INDEX(QBFlag,MATCH($F133,QBTeams,0)),1)=1,IFERROR(INDEX(QBFlag,MATCH($E133,QBTeams,0)),1)=1),"QB UNCERTAIN",""))</f>
        <v/>
      </c>
      <c r="AP133" s="2" t="str">
        <f t="array" ref="AP133">IF($B133="","",IFERROR(INDEX(DQStatus,MATCH($B133,DQGameID,0)),"BLOCKED — DQ ROW NOT FOUND"))</f>
        <v>READY</v>
      </c>
      <c r="AQ133" s="2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2" t="str">
        <f t="shared" si="13"/>
        <v/>
      </c>
      <c r="AS133" s="2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2" t="str">
        <f t="shared" si="14"/>
        <v/>
      </c>
      <c r="AU133" s="11"/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9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2" t="str">
        <f t="array" ref="G134">IF($B134="","",IF(INDEX(SchedZone,MATCH($A134,SchedSeq,0),MAP!$B$14)="Neutral","Y",""))</f>
        <v/>
      </c>
      <c r="H134" s="2" t="str">
        <f t="array" ref="H134">IF($B134="","",INDEX(SchedZone,MATCH($A134,SchedSeq,0),MAP!$B$17))</f>
        <v>outdoors</v>
      </c>
      <c r="I134" s="2" t="str">
        <f>IF(OR($B134="",$C134&lt;&gt;CurrentWeek),"",COUNTIF($C$5:$C134,CurrentWeek))</f>
        <v/>
      </c>
      <c r="J134" s="2">
        <f t="array" ref="J134">IF($B134="","",IFERROR(INDEX(RatEff,MATCH($E134,RatTeams,0)),"⚠ TEAM NOT FOUND"))</f>
        <v>4.09</v>
      </c>
      <c r="K134" s="2">
        <f t="array" ref="K134">IF($B134="","",IFERROR(INDEX(RatEff,MATCH($F134,RatTeams,0)),"⚠ TEAM NOT FOUND"))</f>
        <v>-2.02</v>
      </c>
      <c r="L134" s="2">
        <f t="shared" si="1"/>
        <v>-6.11</v>
      </c>
      <c r="M134" s="2">
        <f t="array" ref="M134">IF($B134="","",IF($G134="Y",NeutralHFA,IFERROR(INDEX(HFAexcVal,MATCH($F134,HFAexcTeam,0)),HFA_Base)))</f>
        <v>1.6</v>
      </c>
      <c r="N134" s="2">
        <f t="array" ref="N134">IF($B134="","",IFERROR(INDEX(QBSpreadEff,MATCH($F134,QBTeams,0)),0)-IFERROR(INDEX(QBSpreadEff,MATCH($E134,QBTeams,0)),0))</f>
        <v>0</v>
      </c>
      <c r="O134" s="2">
        <f t="array" ref="O134">IF($B134="","",IFERROR(MEDIAN(-RestCapPts,RestCapPts,RestPerDay*(INDEX(SchedZone,MATCH($A134,SchedSeq,0),MAP!$B$16)-INDEX(SchedZone,MATCH($A134,SchedSeq,0),MAP!$B$15))),0))</f>
        <v>0</v>
      </c>
      <c r="P134" s="2">
        <f>IF($B134="","",SUMIFS(AdjSpread,AdjGameID,$B134,AdjTeam,$F134,AdjActive,1)-SUMIFS(AdjSpread,AdjGameID,$B134,AdjTeam,$E134,AdjActive,1))</f>
        <v>0</v>
      </c>
      <c r="Q134" s="2">
        <f t="shared" si="2"/>
        <v>-4.51</v>
      </c>
      <c r="R134" s="11"/>
      <c r="S134" s="2">
        <f t="shared" si="3"/>
        <v>-4.51</v>
      </c>
      <c r="T134" s="2" t="str">
        <f t="shared" si="4"/>
        <v>LA -4.5</v>
      </c>
      <c r="U134" s="2" t="str">
        <f t="array" ref="U134">IF($B134="","",IFERROR(INDEX(MktHomeSpread,MATCH($B134,MktGameID,0)),""))</f>
        <v/>
      </c>
      <c r="V134" s="2" t="str">
        <f t="shared" si="5"/>
        <v/>
      </c>
      <c r="W134" s="2" t="str">
        <f t="shared" si="6"/>
        <v/>
      </c>
      <c r="X134" s="2" t="str">
        <f t="shared" si="7"/>
        <v/>
      </c>
      <c r="Y134" s="2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2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2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2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2">
        <f t="array" ref="AC134">IF($B134="","",IFERROR(INDEX(QBTotEff,MATCH($F134,QBTeams,0)),0)+IFERROR(INDEX(QBTotEff,MATCH($E134,QBTeams,0)),0))</f>
        <v>0</v>
      </c>
      <c r="AD134" s="2">
        <f>IF($B134="","",SUMIFS(AdjTot,AdjGameID,$B134,AdjActive,1))</f>
        <v>0</v>
      </c>
      <c r="AE134" s="2">
        <f t="shared" si="8"/>
        <v>0</v>
      </c>
      <c r="AF134" s="11"/>
      <c r="AG134" s="2">
        <f t="shared" si="9"/>
        <v>0</v>
      </c>
      <c r="AH134" s="2" t="str">
        <f t="array" ref="AH134">IF($B134="","",IFERROR(INDEX(MktTotal,MATCH($B134,MktGameID,0)),""))</f>
        <v/>
      </c>
      <c r="AI134" s="2" t="str">
        <f t="shared" si="10"/>
        <v/>
      </c>
      <c r="AJ134" s="2" t="str">
        <f t="shared" si="11"/>
        <v/>
      </c>
      <c r="AK134" s="2" t="str">
        <f t="shared" si="12"/>
        <v/>
      </c>
      <c r="AL134" s="2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2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2" t="str">
        <f>IF($AG134="","","BET OVER at ≤ "&amp;TEXT($AG134-BetTot,"0.0")&amp;"  |  BET UNDER at ≥ "&amp;TEXT($AG134+BetTot,"0.0"))</f>
        <v>BET OVER at ≤ -3.0  |  BET UNDER at ≥ 3.0</v>
      </c>
      <c r="AO134" s="2" t="str">
        <f t="array" ref="AO134">IF($B134="","",IF(OR(IFERROR(INDEX(QBFlag,MATCH($F134,QBTeams,0)),1)=1,IFERROR(INDEX(QBFlag,MATCH($E134,QBTeams,0)),1)=1),"QB UNCERTAIN",""))</f>
        <v/>
      </c>
      <c r="AP134" s="2" t="str">
        <f t="array" ref="AP134">IF($B134="","",IFERROR(INDEX(DQStatus,MATCH($B134,DQGameID,0)),"BLOCKED — DQ ROW NOT FOUND"))</f>
        <v>READY</v>
      </c>
      <c r="AQ134" s="2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2" t="str">
        <f t="shared" si="13"/>
        <v/>
      </c>
      <c r="AS134" s="2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2" t="str">
        <f t="shared" si="14"/>
        <v/>
      </c>
      <c r="AU134" s="11"/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9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2" t="str">
        <f t="array" ref="G135">IF($B135="","",IF(INDEX(SchedZone,MATCH($A135,SchedSeq,0),MAP!$B$14)="Neutral","Y",""))</f>
        <v/>
      </c>
      <c r="H135" s="2" t="str">
        <f t="array" ref="H135">IF($B135="","",INDEX(SchedZone,MATCH($A135,SchedSeq,0),MAP!$B$17))</f>
        <v>dome</v>
      </c>
      <c r="I135" s="2" t="str">
        <f>IF(OR($B135="",$C135&lt;&gt;CurrentWeek),"",COUNTIF($C$5:$C135,CurrentWeek))</f>
        <v/>
      </c>
      <c r="J135" s="2">
        <f t="array" ref="J135">IF($B135="","",IFERROR(INDEX(RatEff,MATCH($E135,RatTeams,0)),"⚠ TEAM NOT FOUND"))</f>
        <v>2.71</v>
      </c>
      <c r="K135" s="2">
        <f t="array" ref="K135">IF($B135="","",IFERROR(INDEX(RatEff,MATCH($F135,RatTeams,0)),"⚠ TEAM NOT FOUND"))</f>
        <v>0.56</v>
      </c>
      <c r="L135" s="2">
        <f t="shared" si="1"/>
        <v>-2.15</v>
      </c>
      <c r="M135" s="2">
        <f t="array" ref="M135">IF($B135="","",IF($G135="Y",NeutralHFA,IFERROR(INDEX(HFAexcVal,MATCH($F135,HFAexcTeam,0)),HFA_Base)))</f>
        <v>1.6</v>
      </c>
      <c r="N135" s="2">
        <f t="array" ref="N135">IF($B135="","",IFERROR(INDEX(QBSpreadEff,MATCH($F135,QBTeams,0)),0)-IFERROR(INDEX(QBSpreadEff,MATCH($E135,QBTeams,0)),0))</f>
        <v>0</v>
      </c>
      <c r="O135" s="2">
        <f t="array" ref="O135">IF($B135="","",IFERROR(MEDIAN(-RestCapPts,RestCapPts,RestPerDay*(INDEX(SchedZone,MATCH($A135,SchedSeq,0),MAP!$B$16)-INDEX(SchedZone,MATCH($A135,SchedSeq,0),MAP!$B$15))),0))</f>
        <v>-0.7</v>
      </c>
      <c r="P135" s="2">
        <f>IF($B135="","",SUMIFS(AdjSpread,AdjGameID,$B135,AdjTeam,$F135,AdjActive,1)-SUMIFS(AdjSpread,AdjGameID,$B135,AdjTeam,$E135,AdjActive,1))</f>
        <v>0</v>
      </c>
      <c r="Q135" s="2">
        <f t="shared" si="2"/>
        <v>-1.25</v>
      </c>
      <c r="R135" s="11"/>
      <c r="S135" s="2">
        <f t="shared" si="3"/>
        <v>-1.25</v>
      </c>
      <c r="T135" s="2" t="str">
        <f t="shared" si="4"/>
        <v>HOU -1.3</v>
      </c>
      <c r="U135" s="2" t="str">
        <f t="array" ref="U135">IF($B135="","",IFERROR(INDEX(MktHomeSpread,MATCH($B135,MktGameID,0)),""))</f>
        <v/>
      </c>
      <c r="V135" s="2" t="str">
        <f t="shared" si="5"/>
        <v/>
      </c>
      <c r="W135" s="2" t="str">
        <f t="shared" si="6"/>
        <v/>
      </c>
      <c r="X135" s="2" t="str">
        <f t="shared" si="7"/>
        <v/>
      </c>
      <c r="Y135" s="2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2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2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2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2">
        <f t="array" ref="AC135">IF($B135="","",IFERROR(INDEX(QBTotEff,MATCH($F135,QBTeams,0)),0)+IFERROR(INDEX(QBTotEff,MATCH($E135,QBTeams,0)),0))</f>
        <v>0</v>
      </c>
      <c r="AD135" s="2">
        <f>IF($B135="","",SUMIFS(AdjTot,AdjGameID,$B135,AdjActive,1))</f>
        <v>0</v>
      </c>
      <c r="AE135" s="2">
        <f t="shared" si="8"/>
        <v>0</v>
      </c>
      <c r="AF135" s="11"/>
      <c r="AG135" s="2">
        <f t="shared" si="9"/>
        <v>0</v>
      </c>
      <c r="AH135" s="2" t="str">
        <f t="array" ref="AH135">IF($B135="","",IFERROR(INDEX(MktTotal,MATCH($B135,MktGameID,0)),""))</f>
        <v/>
      </c>
      <c r="AI135" s="2" t="str">
        <f t="shared" si="10"/>
        <v/>
      </c>
      <c r="AJ135" s="2" t="str">
        <f t="shared" si="11"/>
        <v/>
      </c>
      <c r="AK135" s="2" t="str">
        <f t="shared" si="12"/>
        <v/>
      </c>
      <c r="AL135" s="2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2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2" t="str">
        <f>IF($AG135="","","BET OVER at ≤ "&amp;TEXT($AG135-BetTot,"0.0")&amp;"  |  BET UNDER at ≥ "&amp;TEXT($AG135+BetTot,"0.0"))</f>
        <v>BET OVER at ≤ -3.0  |  BET UNDER at ≥ 3.0</v>
      </c>
      <c r="AO135" s="2" t="str">
        <f t="array" ref="AO135">IF($B135="","",IF(OR(IFERROR(INDEX(QBFlag,MATCH($F135,QBTeams,0)),1)=1,IFERROR(INDEX(QBFlag,MATCH($E135,QBTeams,0)),1)=1),"QB UNCERTAIN",""))</f>
        <v/>
      </c>
      <c r="AP135" s="2" t="str">
        <f t="array" ref="AP135">IF($B135="","",IFERROR(INDEX(DQStatus,MATCH($B135,DQGameID,0)),"BLOCKED — DQ ROW NOT FOUND"))</f>
        <v>READY</v>
      </c>
      <c r="AQ135" s="2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2" t="str">
        <f t="shared" si="13"/>
        <v/>
      </c>
      <c r="AS135" s="2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2" t="str">
        <f t="shared" si="14"/>
        <v/>
      </c>
      <c r="AU135" s="11"/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9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2" t="str">
        <f t="array" ref="G136">IF($B136="","",IF(INDEX(SchedZone,MATCH($A136,SchedSeq,0),MAP!$B$14)="Neutral","Y",""))</f>
        <v/>
      </c>
      <c r="H136" s="2" t="str">
        <f t="array" ref="H136">IF($B136="","",INDEX(SchedZone,MATCH($A136,SchedSeq,0),MAP!$B$17))</f>
        <v>outdoors</v>
      </c>
      <c r="I136" s="2" t="str">
        <f>IF(OR($B136="",$C136&lt;&gt;CurrentWeek),"",COUNTIF($C$5:$C136,CurrentWeek))</f>
        <v/>
      </c>
      <c r="J136" s="2">
        <f t="array" ref="J136">IF($B136="","",IFERROR(INDEX(RatEff,MATCH($E136,RatTeams,0)),"⚠ TEAM NOT FOUND"))</f>
        <v>-3.52</v>
      </c>
      <c r="K136" s="2">
        <f t="array" ref="K136">IF($B136="","",IFERROR(INDEX(RatEff,MATCH($F136,RatTeams,0)),"⚠ TEAM NOT FOUND"))</f>
        <v>1.78</v>
      </c>
      <c r="L136" s="2">
        <f t="shared" si="1"/>
        <v>5.3</v>
      </c>
      <c r="M136" s="2">
        <f t="array" ref="M136">IF($B136="","",IF($G136="Y",NeutralHFA,IFERROR(INDEX(HFAexcVal,MATCH($F136,HFAexcTeam,0)),HFA_Base)))</f>
        <v>1.6</v>
      </c>
      <c r="N136" s="2">
        <f t="array" ref="N136">IF($B136="","",IFERROR(INDEX(QBSpreadEff,MATCH($F136,QBTeams,0)),0)-IFERROR(INDEX(QBSpreadEff,MATCH($E136,QBTeams,0)),0))</f>
        <v>0</v>
      </c>
      <c r="O136" s="2">
        <f t="array" ref="O136">IF($B136="","",IFERROR(MEDIAN(-RestCapPts,RestCapPts,RestPerDay*(INDEX(SchedZone,MATCH($A136,SchedSeq,0),MAP!$B$16)-INDEX(SchedZone,MATCH($A136,SchedSeq,0),MAP!$B$15))),0))</f>
        <v>0.7</v>
      </c>
      <c r="P136" s="2">
        <f>IF($B136="","",SUMIFS(AdjSpread,AdjGameID,$B136,AdjTeam,$F136,AdjActive,1)-SUMIFS(AdjSpread,AdjGameID,$B136,AdjTeam,$E136,AdjActive,1))</f>
        <v>0</v>
      </c>
      <c r="Q136" s="2">
        <f t="shared" si="2"/>
        <v>7.6</v>
      </c>
      <c r="R136" s="11"/>
      <c r="S136" s="2">
        <f t="shared" si="3"/>
        <v>7.6</v>
      </c>
      <c r="T136" s="2" t="str">
        <f t="shared" si="4"/>
        <v>SF -7.6</v>
      </c>
      <c r="U136" s="2" t="str">
        <f t="array" ref="U136">IF($B136="","",IFERROR(INDEX(MktHomeSpread,MATCH($B136,MktGameID,0)),""))</f>
        <v/>
      </c>
      <c r="V136" s="2" t="str">
        <f t="shared" si="5"/>
        <v/>
      </c>
      <c r="W136" s="2" t="str">
        <f t="shared" si="6"/>
        <v/>
      </c>
      <c r="X136" s="2" t="str">
        <f t="shared" si="7"/>
        <v/>
      </c>
      <c r="Y136" s="2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2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2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2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2">
        <f t="array" ref="AC136">IF($B136="","",IFERROR(INDEX(QBTotEff,MATCH($F136,QBTeams,0)),0)+IFERROR(INDEX(QBTotEff,MATCH($E136,QBTeams,0)),0))</f>
        <v>0</v>
      </c>
      <c r="AD136" s="2">
        <f>IF($B136="","",SUMIFS(AdjTot,AdjGameID,$B136,AdjActive,1))</f>
        <v>0</v>
      </c>
      <c r="AE136" s="2">
        <f t="shared" si="8"/>
        <v>0</v>
      </c>
      <c r="AF136" s="11"/>
      <c r="AG136" s="2">
        <f t="shared" si="9"/>
        <v>0</v>
      </c>
      <c r="AH136" s="2" t="str">
        <f t="array" ref="AH136">IF($B136="","",IFERROR(INDEX(MktTotal,MATCH($B136,MktGameID,0)),""))</f>
        <v/>
      </c>
      <c r="AI136" s="2" t="str">
        <f t="shared" si="10"/>
        <v/>
      </c>
      <c r="AJ136" s="2" t="str">
        <f t="shared" si="11"/>
        <v/>
      </c>
      <c r="AK136" s="2" t="str">
        <f t="shared" si="12"/>
        <v/>
      </c>
      <c r="AL136" s="2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2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2" t="str">
        <f>IF($AG136="","","BET OVER at ≤ "&amp;TEXT($AG136-BetTot,"0.0")&amp;"  |  BET UNDER at ≥ "&amp;TEXT($AG136+BetTot,"0.0"))</f>
        <v>BET OVER at ≤ -3.0  |  BET UNDER at ≥ 3.0</v>
      </c>
      <c r="AO136" s="2" t="str">
        <f t="array" ref="AO136">IF($B136="","",IF(OR(IFERROR(INDEX(QBFlag,MATCH($F136,QBTeams,0)),1)=1,IFERROR(INDEX(QBFlag,MATCH($E136,QBTeams,0)),1)=1),"QB UNCERTAIN",""))</f>
        <v/>
      </c>
      <c r="AP136" s="2" t="str">
        <f t="array" ref="AP136">IF($B136="","",IFERROR(INDEX(DQStatus,MATCH($B136,DQGameID,0)),"BLOCKED — DQ ROW NOT FOUND"))</f>
        <v>READY</v>
      </c>
      <c r="AQ136" s="2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2" t="str">
        <f t="shared" si="13"/>
        <v/>
      </c>
      <c r="AS136" s="2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2" t="str">
        <f t="shared" si="14"/>
        <v/>
      </c>
      <c r="AU136" s="11"/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9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2" t="str">
        <f t="array" ref="G137">IF($B137="","",IF(INDEX(SchedZone,MATCH($A137,SchedSeq,0),MAP!$B$14)="Neutral","Y",""))</f>
        <v/>
      </c>
      <c r="H137" s="2" t="str">
        <f t="array" ref="H137">IF($B137="","",INDEX(SchedZone,MATCH($A137,SchedSeq,0),MAP!$B$17))</f>
        <v>outdoors</v>
      </c>
      <c r="I137" s="2" t="str">
        <f>IF(OR($B137="",$C137&lt;&gt;CurrentWeek),"",COUNTIF($C$5:$C137,CurrentWeek))</f>
        <v/>
      </c>
      <c r="J137" s="2">
        <f t="array" ref="J137">IF($B137="","",IFERROR(INDEX(RatEff,MATCH($E137,RatTeams,0)),"⚠ TEAM NOT FOUND"))</f>
        <v>0.51</v>
      </c>
      <c r="K137" s="2">
        <f t="array" ref="K137">IF($B137="","",IFERROR(INDEX(RatEff,MATCH($F137,RatTeams,0)),"⚠ TEAM NOT FOUND"))</f>
        <v>2.09</v>
      </c>
      <c r="L137" s="2">
        <f t="shared" si="1"/>
        <v>1.58</v>
      </c>
      <c r="M137" s="2">
        <f t="array" ref="M137">IF($B137="","",IF($G137="Y",NeutralHFA,IFERROR(INDEX(HFAexcVal,MATCH($F137,HFAexcTeam,0)),HFA_Base)))</f>
        <v>1.6</v>
      </c>
      <c r="N137" s="2">
        <f t="array" ref="N137">IF($B137="","",IFERROR(INDEX(QBSpreadEff,MATCH($F137,QBTeams,0)),0)-IFERROR(INDEX(QBSpreadEff,MATCH($E137,QBTeams,0)),0))</f>
        <v>0</v>
      </c>
      <c r="O137" s="2">
        <f t="array" ref="O137">IF($B137="","",IFERROR(MEDIAN(-RestCapPts,RestCapPts,RestPerDay*(INDEX(SchedZone,MATCH($A137,SchedSeq,0),MAP!$B$16)-INDEX(SchedZone,MATCH($A137,SchedSeq,0),MAP!$B$15))),0))</f>
        <v>-0.3</v>
      </c>
      <c r="P137" s="2">
        <f>IF($B137="","",SUMIFS(AdjSpread,AdjGameID,$B137,AdjTeam,$F137,AdjActive,1)-SUMIFS(AdjSpread,AdjGameID,$B137,AdjTeam,$E137,AdjActive,1))</f>
        <v>0</v>
      </c>
      <c r="Q137" s="2">
        <f t="shared" si="2"/>
        <v>2.88</v>
      </c>
      <c r="R137" s="11"/>
      <c r="S137" s="2">
        <f t="shared" si="3"/>
        <v>2.88</v>
      </c>
      <c r="T137" s="2" t="str">
        <f t="shared" si="4"/>
        <v>NE -2.9</v>
      </c>
      <c r="U137" s="2" t="str">
        <f t="array" ref="U137">IF($B137="","",IFERROR(INDEX(MktHomeSpread,MATCH($B137,MktGameID,0)),""))</f>
        <v/>
      </c>
      <c r="V137" s="2" t="str">
        <f t="shared" si="5"/>
        <v/>
      </c>
      <c r="W137" s="2" t="str">
        <f t="shared" si="6"/>
        <v/>
      </c>
      <c r="X137" s="2" t="str">
        <f t="shared" si="7"/>
        <v/>
      </c>
      <c r="Y137" s="2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2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2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2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2">
        <f t="array" ref="AC137">IF($B137="","",IFERROR(INDEX(QBTotEff,MATCH($F137,QBTeams,0)),0)+IFERROR(INDEX(QBTotEff,MATCH($E137,QBTeams,0)),0))</f>
        <v>0</v>
      </c>
      <c r="AD137" s="2">
        <f>IF($B137="","",SUMIFS(AdjTot,AdjGameID,$B137,AdjActive,1))</f>
        <v>0</v>
      </c>
      <c r="AE137" s="2">
        <f t="shared" si="8"/>
        <v>0</v>
      </c>
      <c r="AF137" s="11"/>
      <c r="AG137" s="2">
        <f t="shared" si="9"/>
        <v>0</v>
      </c>
      <c r="AH137" s="2" t="str">
        <f t="array" ref="AH137">IF($B137="","",IFERROR(INDEX(MktTotal,MATCH($B137,MktGameID,0)),""))</f>
        <v/>
      </c>
      <c r="AI137" s="2" t="str">
        <f t="shared" si="10"/>
        <v/>
      </c>
      <c r="AJ137" s="2" t="str">
        <f t="shared" si="11"/>
        <v/>
      </c>
      <c r="AK137" s="2" t="str">
        <f t="shared" si="12"/>
        <v/>
      </c>
      <c r="AL137" s="2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2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2" t="str">
        <f>IF($AG137="","","BET OVER at ≤ "&amp;TEXT($AG137-BetTot,"0.0")&amp;"  |  BET UNDER at ≥ "&amp;TEXT($AG137+BetTot,"0.0"))</f>
        <v>BET OVER at ≤ -3.0  |  BET UNDER at ≥ 3.0</v>
      </c>
      <c r="AO137" s="2" t="str">
        <f t="array" ref="AO137">IF($B137="","",IF(OR(IFERROR(INDEX(QBFlag,MATCH($F137,QBTeams,0)),1)=1,IFERROR(INDEX(QBFlag,MATCH($E137,QBTeams,0)),1)=1),"QB UNCERTAIN",""))</f>
        <v/>
      </c>
      <c r="AP137" s="2" t="str">
        <f t="array" ref="AP137">IF($B137="","",IFERROR(INDEX(DQStatus,MATCH($B137,DQGameID,0)),"BLOCKED — DQ ROW NOT FOUND"))</f>
        <v>READY</v>
      </c>
      <c r="AQ137" s="2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2" t="str">
        <f t="shared" si="13"/>
        <v/>
      </c>
      <c r="AS137" s="2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2" t="str">
        <f t="shared" si="14"/>
        <v/>
      </c>
      <c r="AU137" s="11"/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9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2" t="str">
        <f t="array" ref="G138">IF($B138="","",IF(INDEX(SchedZone,MATCH($A138,SchedSeq,0),MAP!$B$14)="Neutral","Y",""))</f>
        <v/>
      </c>
      <c r="H138" s="2" t="str">
        <f t="array" ref="H138">IF($B138="","",INDEX(SchedZone,MATCH($A138,SchedSeq,0),MAP!$B$17))</f>
        <v>outdoors</v>
      </c>
      <c r="I138" s="2" t="str">
        <f>IF(OR($B138="",$C138&lt;&gt;CurrentWeek),"",COUNTIF($C$5:$C138,CurrentWeek))</f>
        <v/>
      </c>
      <c r="J138" s="2">
        <f t="array" ref="J138">IF($B138="","",IFERROR(INDEX(RatEff,MATCH($E138,RatTeams,0)),"⚠ TEAM NOT FOUND"))</f>
        <v>-2.07</v>
      </c>
      <c r="K138" s="2">
        <f t="array" ref="K138">IF($B138="","",IFERROR(INDEX(RatEff,MATCH($F138,RatTeams,0)),"⚠ TEAM NOT FOUND"))</f>
        <v>4.1</v>
      </c>
      <c r="L138" s="2">
        <f t="shared" si="1"/>
        <v>6.17</v>
      </c>
      <c r="M138" s="2">
        <f t="array" ref="M138">IF($B138="","",IF($G138="Y",NeutralHFA,IFERROR(INDEX(HFAexcVal,MATCH($F138,HFAexcTeam,0)),HFA_Base)))</f>
        <v>1.6</v>
      </c>
      <c r="N138" s="2">
        <f t="array" ref="N138">IF($B138="","",IFERROR(INDEX(QBSpreadEff,MATCH($F138,QBTeams,0)),0)-IFERROR(INDEX(QBSpreadEff,MATCH($E138,QBTeams,0)),0))</f>
        <v>0</v>
      </c>
      <c r="O138" s="2">
        <f t="array" ref="O138">IF($B138="","",IFERROR(MEDIAN(-RestCapPts,RestCapPts,RestPerDay*(INDEX(SchedZone,MATCH($A138,SchedSeq,0),MAP!$B$16)-INDEX(SchedZone,MATCH($A138,SchedSeq,0),MAP!$B$15))),0))</f>
        <v>-0.1</v>
      </c>
      <c r="P138" s="2">
        <f>IF($B138="","",SUMIFS(AdjSpread,AdjGameID,$B138,AdjTeam,$F138,AdjActive,1)-SUMIFS(AdjSpread,AdjGameID,$B138,AdjTeam,$E138,AdjActive,1))</f>
        <v>0</v>
      </c>
      <c r="Q138" s="2">
        <f t="shared" si="2"/>
        <v>7.67</v>
      </c>
      <c r="R138" s="11"/>
      <c r="S138" s="2">
        <f t="shared" si="3"/>
        <v>7.67</v>
      </c>
      <c r="T138" s="2" t="str">
        <f t="shared" si="4"/>
        <v>SEA -7.7</v>
      </c>
      <c r="U138" s="2" t="str">
        <f t="array" ref="U138">IF($B138="","",IFERROR(INDEX(MktHomeSpread,MATCH($B138,MktGameID,0)),""))</f>
        <v/>
      </c>
      <c r="V138" s="2" t="str">
        <f t="shared" si="5"/>
        <v/>
      </c>
      <c r="W138" s="2" t="str">
        <f t="shared" si="6"/>
        <v/>
      </c>
      <c r="X138" s="2" t="str">
        <f t="shared" si="7"/>
        <v/>
      </c>
      <c r="Y138" s="2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2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2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2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2">
        <f t="array" ref="AC138">IF($B138="","",IFERROR(INDEX(QBTotEff,MATCH($F138,QBTeams,0)),0)+IFERROR(INDEX(QBTotEff,MATCH($E138,QBTeams,0)),0))</f>
        <v>0</v>
      </c>
      <c r="AD138" s="2">
        <f>IF($B138="","",SUMIFS(AdjTot,AdjGameID,$B138,AdjActive,1))</f>
        <v>0</v>
      </c>
      <c r="AE138" s="2">
        <f t="shared" si="8"/>
        <v>0</v>
      </c>
      <c r="AF138" s="11"/>
      <c r="AG138" s="2">
        <f t="shared" si="9"/>
        <v>0</v>
      </c>
      <c r="AH138" s="2" t="str">
        <f t="array" ref="AH138">IF($B138="","",IFERROR(INDEX(MktTotal,MATCH($B138,MktGameID,0)),""))</f>
        <v/>
      </c>
      <c r="AI138" s="2" t="str">
        <f t="shared" si="10"/>
        <v/>
      </c>
      <c r="AJ138" s="2" t="str">
        <f t="shared" si="11"/>
        <v/>
      </c>
      <c r="AK138" s="2" t="str">
        <f t="shared" si="12"/>
        <v/>
      </c>
      <c r="AL138" s="2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Low</v>
      </c>
      <c r="AM138" s="2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2" t="str">
        <f>IF($AG138="","","BET OVER at ≤ "&amp;TEXT($AG138-BetTot,"0.0")&amp;"  |  BET UNDER at ≥ "&amp;TEXT($AG138+BetTot,"0.0"))</f>
        <v>BET OVER at ≤ -3.0  |  BET UNDER at ≥ 3.0</v>
      </c>
      <c r="AO138" s="2" t="str">
        <f t="array" ref="AO138">IF($B138="","",IF(OR(IFERROR(INDEX(QBFlag,MATCH($F138,QBTeams,0)),1)=1,IFERROR(INDEX(QBFlag,MATCH($E138,QBTeams,0)),1)=1),"QB UNCERTAIN",""))</f>
        <v>QB UNCERTAIN</v>
      </c>
      <c r="AP138" s="2" t="str">
        <f t="array" ref="AP138">IF($B138="","",IFERROR(INDEX(DQStatus,MATCH($B138,DQGameID,0)),"BLOCKED — DQ ROW NOT FOUND"))</f>
        <v>READY</v>
      </c>
      <c r="AQ138" s="2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2" t="str">
        <f t="shared" si="13"/>
        <v/>
      </c>
      <c r="AS138" s="2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2" t="str">
        <f t="shared" si="14"/>
        <v/>
      </c>
      <c r="AU138" s="11"/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9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2" t="str">
        <f t="array" ref="G139">IF($B139="","",IF(INDEX(SchedZone,MATCH($A139,SchedSeq,0),MAP!$B$14)="Neutral","Y",""))</f>
        <v/>
      </c>
      <c r="H139" s="2" t="str">
        <f t="array" ref="H139">IF($B139="","",INDEX(SchedZone,MATCH($A139,SchedSeq,0),MAP!$B$17))</f>
        <v>outdoors</v>
      </c>
      <c r="I139" s="2" t="str">
        <f>IF(OR($B139="",$C139&lt;&gt;CurrentWeek),"",COUNTIF($C$5:$C139,CurrentWeek))</f>
        <v/>
      </c>
      <c r="J139" s="2">
        <f t="array" ref="J139">IF($B139="","",IFERROR(INDEX(RatEff,MATCH($E139,RatTeams,0)),"⚠ TEAM NOT FOUND"))</f>
        <v>-0.48</v>
      </c>
      <c r="K139" s="2">
        <f t="array" ref="K139">IF($B139="","",IFERROR(INDEX(RatEff,MATCH($F139,RatTeams,0)),"⚠ TEAM NOT FOUND"))</f>
        <v>0.86</v>
      </c>
      <c r="L139" s="2">
        <f t="shared" si="1"/>
        <v>1.34</v>
      </c>
      <c r="M139" s="2">
        <f t="array" ref="M139">IF($B139="","",IF($G139="Y",NeutralHFA,IFERROR(INDEX(HFAexcVal,MATCH($F139,HFAexcTeam,0)),HFA_Base)))</f>
        <v>1.6</v>
      </c>
      <c r="N139" s="2">
        <f t="array" ref="N139">IF($B139="","",IFERROR(INDEX(QBSpreadEff,MATCH($F139,QBTeams,0)),0)-IFERROR(INDEX(QBSpreadEff,MATCH($E139,QBTeams,0)),0))</f>
        <v>0</v>
      </c>
      <c r="O139" s="2">
        <f t="array" ref="O139">IF($B139="","",IFERROR(MEDIAN(-RestCapPts,RestCapPts,RestPerDay*(INDEX(SchedZone,MATCH($A139,SchedSeq,0),MAP!$B$16)-INDEX(SchedZone,MATCH($A139,SchedSeq,0),MAP!$B$15))),0))</f>
        <v>-0.1</v>
      </c>
      <c r="P139" s="2">
        <f>IF($B139="","",SUMIFS(AdjSpread,AdjGameID,$B139,AdjTeam,$F139,AdjActive,1)-SUMIFS(AdjSpread,AdjGameID,$B139,AdjTeam,$E139,AdjActive,1))</f>
        <v>0</v>
      </c>
      <c r="Q139" s="2">
        <f t="shared" si="2"/>
        <v>2.84</v>
      </c>
      <c r="R139" s="11"/>
      <c r="S139" s="2">
        <f t="shared" si="3"/>
        <v>2.84</v>
      </c>
      <c r="T139" s="2" t="str">
        <f t="shared" si="4"/>
        <v>CHI -2.8</v>
      </c>
      <c r="U139" s="2" t="str">
        <f t="array" ref="U139">IF($B139="","",IFERROR(INDEX(MktHomeSpread,MATCH($B139,MktGameID,0)),""))</f>
        <v/>
      </c>
      <c r="V139" s="2" t="str">
        <f t="shared" si="5"/>
        <v/>
      </c>
      <c r="W139" s="2" t="str">
        <f t="shared" si="6"/>
        <v/>
      </c>
      <c r="X139" s="2" t="str">
        <f t="shared" si="7"/>
        <v/>
      </c>
      <c r="Y139" s="2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2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2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2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2">
        <f t="array" ref="AC139">IF($B139="","",IFERROR(INDEX(QBTotEff,MATCH($F139,QBTeams,0)),0)+IFERROR(INDEX(QBTotEff,MATCH($E139,QBTeams,0)),0))</f>
        <v>0</v>
      </c>
      <c r="AD139" s="2">
        <f>IF($B139="","",SUMIFS(AdjTot,AdjGameID,$B139,AdjActive,1))</f>
        <v>0</v>
      </c>
      <c r="AE139" s="2">
        <f t="shared" si="8"/>
        <v>0</v>
      </c>
      <c r="AF139" s="11"/>
      <c r="AG139" s="2">
        <f t="shared" si="9"/>
        <v>0</v>
      </c>
      <c r="AH139" s="2" t="str">
        <f t="array" ref="AH139">IF($B139="","",IFERROR(INDEX(MktTotal,MATCH($B139,MktGameID,0)),""))</f>
        <v/>
      </c>
      <c r="AI139" s="2" t="str">
        <f t="shared" si="10"/>
        <v/>
      </c>
      <c r="AJ139" s="2" t="str">
        <f t="shared" si="11"/>
        <v/>
      </c>
      <c r="AK139" s="2" t="str">
        <f t="shared" si="12"/>
        <v/>
      </c>
      <c r="AL139" s="2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2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2" t="str">
        <f>IF($AG139="","","BET OVER at ≤ "&amp;TEXT($AG139-BetTot,"0.0")&amp;"  |  BET UNDER at ≥ "&amp;TEXT($AG139+BetTot,"0.0"))</f>
        <v>BET OVER at ≤ -3.0  |  BET UNDER at ≥ 3.0</v>
      </c>
      <c r="AO139" s="2" t="str">
        <f t="array" ref="AO139">IF($B139="","",IF(OR(IFERROR(INDEX(QBFlag,MATCH($F139,QBTeams,0)),1)=1,IFERROR(INDEX(QBFlag,MATCH($E139,QBTeams,0)),1)=1),"QB UNCERTAIN",""))</f>
        <v/>
      </c>
      <c r="AP139" s="2" t="str">
        <f t="array" ref="AP139">IF($B139="","",IFERROR(INDEX(DQStatus,MATCH($B139,DQGameID,0)),"BLOCKED — DQ ROW NOT FOUND"))</f>
        <v>READY</v>
      </c>
      <c r="AQ139" s="2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2" t="str">
        <f t="shared" si="13"/>
        <v/>
      </c>
      <c r="AS139" s="2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2" t="str">
        <f t="shared" si="14"/>
        <v/>
      </c>
      <c r="AU139" s="11"/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9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2" t="str">
        <f t="array" ref="G140">IF($B140="","",IF(INDEX(SchedZone,MATCH($A140,SchedSeq,0),MAP!$B$14)="Neutral","Y",""))</f>
        <v/>
      </c>
      <c r="H140" s="2" t="str">
        <f t="array" ref="H140">IF($B140="","",INDEX(SchedZone,MATCH($A140,SchedSeq,0),MAP!$B$17))</f>
        <v>dome</v>
      </c>
      <c r="I140" s="2" t="str">
        <f>IF(OR($B140="",$C140&lt;&gt;CurrentWeek),"",COUNTIF($C$5:$C140,CurrentWeek))</f>
        <v/>
      </c>
      <c r="J140" s="2">
        <f t="array" ref="J140">IF($B140="","",IFERROR(INDEX(RatEff,MATCH($E140,RatTeams,0)),"⚠ TEAM NOT FOUND"))</f>
        <v>1.75</v>
      </c>
      <c r="K140" s="2">
        <f t="array" ref="K140">IF($B140="","",IFERROR(INDEX(RatEff,MATCH($F140,RatTeams,0)),"⚠ TEAM NOT FOUND"))</f>
        <v>0.5</v>
      </c>
      <c r="L140" s="2">
        <f t="shared" si="1"/>
        <v>-1.25</v>
      </c>
      <c r="M140" s="2">
        <f t="array" ref="M140">IF($B140="","",IF($G140="Y",NeutralHFA,IFERROR(INDEX(HFAexcVal,MATCH($F140,HFAexcTeam,0)),HFA_Base)))</f>
        <v>1.6</v>
      </c>
      <c r="N140" s="2">
        <f t="array" ref="N140">IF($B140="","",IFERROR(INDEX(QBSpreadEff,MATCH($F140,QBTeams,0)),0)-IFERROR(INDEX(QBSpreadEff,MATCH($E140,QBTeams,0)),0))</f>
        <v>0</v>
      </c>
      <c r="O140" s="2">
        <f t="array" ref="O140">IF($B140="","",IFERROR(MEDIAN(-RestCapPts,RestCapPts,RestPerDay*(INDEX(SchedZone,MATCH($A140,SchedSeq,0),MAP!$B$16)-INDEX(SchedZone,MATCH($A140,SchedSeq,0),MAP!$B$15))),0))</f>
        <v>0</v>
      </c>
      <c r="P140" s="2">
        <f>IF($B140="","",SUMIFS(AdjSpread,AdjGameID,$B140,AdjTeam,$F140,AdjActive,1)-SUMIFS(AdjSpread,AdjGameID,$B140,AdjTeam,$E140,AdjActive,1))</f>
        <v>0</v>
      </c>
      <c r="Q140" s="2">
        <f t="shared" si="2"/>
        <v>0.35</v>
      </c>
      <c r="R140" s="11"/>
      <c r="S140" s="2">
        <f t="shared" si="3"/>
        <v>0.35</v>
      </c>
      <c r="T140" s="2" t="str">
        <f t="shared" si="4"/>
        <v>MIN -0.4</v>
      </c>
      <c r="U140" s="2" t="str">
        <f t="array" ref="U140">IF($B140="","",IFERROR(INDEX(MktHomeSpread,MATCH($B140,MktGameID,0)),""))</f>
        <v/>
      </c>
      <c r="V140" s="2" t="str">
        <f t="shared" si="5"/>
        <v/>
      </c>
      <c r="W140" s="2" t="str">
        <f t="shared" si="6"/>
        <v/>
      </c>
      <c r="X140" s="2" t="str">
        <f t="shared" si="7"/>
        <v/>
      </c>
      <c r="Y140" s="2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2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2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2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2">
        <f t="array" ref="AC140">IF($B140="","",IFERROR(INDEX(QBTotEff,MATCH($F140,QBTeams,0)),0)+IFERROR(INDEX(QBTotEff,MATCH($E140,QBTeams,0)),0))</f>
        <v>0</v>
      </c>
      <c r="AD140" s="2">
        <f>IF($B140="","",SUMIFS(AdjTot,AdjGameID,$B140,AdjActive,1))</f>
        <v>0</v>
      </c>
      <c r="AE140" s="2">
        <f t="shared" si="8"/>
        <v>0</v>
      </c>
      <c r="AF140" s="11"/>
      <c r="AG140" s="2">
        <f t="shared" si="9"/>
        <v>0</v>
      </c>
      <c r="AH140" s="2" t="str">
        <f t="array" ref="AH140">IF($B140="","",IFERROR(INDEX(MktTotal,MATCH($B140,MktGameID,0)),""))</f>
        <v/>
      </c>
      <c r="AI140" s="2" t="str">
        <f t="shared" si="10"/>
        <v/>
      </c>
      <c r="AJ140" s="2" t="str">
        <f t="shared" si="11"/>
        <v/>
      </c>
      <c r="AK140" s="2" t="str">
        <f t="shared" si="12"/>
        <v/>
      </c>
      <c r="AL140" s="2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Low</v>
      </c>
      <c r="AM140" s="2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2" t="str">
        <f>IF($AG140="","","BET OVER at ≤ "&amp;TEXT($AG140-BetTot,"0.0")&amp;"  |  BET UNDER at ≥ "&amp;TEXT($AG140+BetTot,"0.0"))</f>
        <v>BET OVER at ≤ -3.0  |  BET UNDER at ≥ 3.0</v>
      </c>
      <c r="AO140" s="2" t="str">
        <f t="array" ref="AO140">IF($B140="","",IF(OR(IFERROR(INDEX(QBFlag,MATCH($F140,QBTeams,0)),1)=1,IFERROR(INDEX(QBFlag,MATCH($E140,QBTeams,0)),1)=1),"QB UNCERTAIN",""))</f>
        <v>QB UNCERTAIN</v>
      </c>
      <c r="AP140" s="2" t="str">
        <f t="array" ref="AP140">IF($B140="","",IFERROR(INDEX(DQStatus,MATCH($B140,DQGameID,0)),"BLOCKED — DQ ROW NOT FOUND"))</f>
        <v>READY</v>
      </c>
      <c r="AQ140" s="2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2" t="str">
        <f t="shared" si="13"/>
        <v/>
      </c>
      <c r="AS140" s="2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2" t="str">
        <f t="shared" si="14"/>
        <v/>
      </c>
      <c r="AU140" s="11"/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9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2" t="str">
        <f t="array" ref="G141">IF($B141="","",IF(INDEX(SchedZone,MATCH($A141,SchedSeq,0),MAP!$B$14)="Neutral","Y",""))</f>
        <v/>
      </c>
      <c r="H141" s="2" t="str">
        <f t="array" ref="H141">IF($B141="","",INDEX(SchedZone,MATCH($A141,SchedSeq,0),MAP!$B$17))</f>
        <v>outdoors</v>
      </c>
      <c r="I141" s="2" t="str">
        <f>IF(OR($B141="",$C141&lt;&gt;CurrentWeek),"",COUNTIF($C$5:$C141,CurrentWeek))</f>
        <v/>
      </c>
      <c r="J141" s="2">
        <f t="array" ref="J141">IF($B141="","",IFERROR(INDEX(RatEff,MATCH($E141,RatTeams,0)),"⚠ TEAM NOT FOUND"))</f>
        <v>-2.02</v>
      </c>
      <c r="K141" s="2">
        <f t="array" ref="K141">IF($B141="","",IFERROR(INDEX(RatEff,MATCH($F141,RatTeams,0)),"⚠ TEAM NOT FOUND"))</f>
        <v>-1.59</v>
      </c>
      <c r="L141" s="2">
        <f t="shared" si="1"/>
        <v>0.43</v>
      </c>
      <c r="M141" s="2">
        <f t="array" ref="M141">IF($B141="","",IF($G141="Y",NeutralHFA,IFERROR(INDEX(HFAexcVal,MATCH($F141,HFAexcTeam,0)),HFA_Base)))</f>
        <v>1.6</v>
      </c>
      <c r="N141" s="2">
        <f t="array" ref="N141">IF($B141="","",IFERROR(INDEX(QBSpreadEff,MATCH($F141,QBTeams,0)),0)-IFERROR(INDEX(QBSpreadEff,MATCH($E141,QBTeams,0)),0))</f>
        <v>0</v>
      </c>
      <c r="O141" s="2">
        <f t="array" ref="O141">IF($B141="","",IFERROR(MEDIAN(-RestCapPts,RestCapPts,RestPerDay*(INDEX(SchedZone,MATCH($A141,SchedSeq,0),MAP!$B$16)-INDEX(SchedZone,MATCH($A141,SchedSeq,0),MAP!$B$15))),0))</f>
        <v>0</v>
      </c>
      <c r="P141" s="2">
        <f>IF($B141="","",SUMIFS(AdjSpread,AdjGameID,$B141,AdjTeam,$F141,AdjActive,1)-SUMIFS(AdjSpread,AdjGameID,$B141,AdjTeam,$E141,AdjActive,1))</f>
        <v>0</v>
      </c>
      <c r="Q141" s="2">
        <f t="shared" si="2"/>
        <v>2.03</v>
      </c>
      <c r="R141" s="11"/>
      <c r="S141" s="2">
        <f t="shared" si="3"/>
        <v>2.03</v>
      </c>
      <c r="T141" s="2" t="str">
        <f t="shared" si="4"/>
        <v>NYG -2.0</v>
      </c>
      <c r="U141" s="2" t="str">
        <f t="array" ref="U141">IF($B141="","",IFERROR(INDEX(MktHomeSpread,MATCH($B141,MktGameID,0)),""))</f>
        <v/>
      </c>
      <c r="V141" s="2" t="str">
        <f t="shared" si="5"/>
        <v/>
      </c>
      <c r="W141" s="2" t="str">
        <f t="shared" si="6"/>
        <v/>
      </c>
      <c r="X141" s="2" t="str">
        <f t="shared" si="7"/>
        <v/>
      </c>
      <c r="Y141" s="2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2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2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2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2">
        <f t="array" ref="AC141">IF($B141="","",IFERROR(INDEX(QBTotEff,MATCH($F141,QBTeams,0)),0)+IFERROR(INDEX(QBTotEff,MATCH($E141,QBTeams,0)),0))</f>
        <v>0</v>
      </c>
      <c r="AD141" s="2">
        <f>IF($B141="","",SUMIFS(AdjTot,AdjGameID,$B141,AdjActive,1))</f>
        <v>0</v>
      </c>
      <c r="AE141" s="2">
        <f t="shared" si="8"/>
        <v>0</v>
      </c>
      <c r="AF141" s="11"/>
      <c r="AG141" s="2">
        <f t="shared" si="9"/>
        <v>0</v>
      </c>
      <c r="AH141" s="2" t="str">
        <f t="array" ref="AH141">IF($B141="","",IFERROR(INDEX(MktTotal,MATCH($B141,MktGameID,0)),""))</f>
        <v/>
      </c>
      <c r="AI141" s="2" t="str">
        <f t="shared" si="10"/>
        <v/>
      </c>
      <c r="AJ141" s="2" t="str">
        <f t="shared" si="11"/>
        <v/>
      </c>
      <c r="AK141" s="2" t="str">
        <f t="shared" si="12"/>
        <v/>
      </c>
      <c r="AL141" s="2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2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2" t="str">
        <f>IF($AG141="","","BET OVER at ≤ "&amp;TEXT($AG141-BetTot,"0.0")&amp;"  |  BET UNDER at ≥ "&amp;TEXT($AG141+BetTot,"0.0"))</f>
        <v>BET OVER at ≤ -3.0  |  BET UNDER at ≥ 3.0</v>
      </c>
      <c r="AO141" s="2" t="str">
        <f t="array" ref="AO141">IF($B141="","",IF(OR(IFERROR(INDEX(QBFlag,MATCH($F141,QBTeams,0)),1)=1,IFERROR(INDEX(QBFlag,MATCH($E141,QBTeams,0)),1)=1),"QB UNCERTAIN",""))</f>
        <v/>
      </c>
      <c r="AP141" s="2" t="str">
        <f t="array" ref="AP141">IF($B141="","",IFERROR(INDEX(DQStatus,MATCH($B141,DQGameID,0)),"BLOCKED — DQ ROW NOT FOUND"))</f>
        <v>READY</v>
      </c>
      <c r="AQ141" s="2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2" t="str">
        <f t="shared" si="13"/>
        <v/>
      </c>
      <c r="AS141" s="2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2" t="str">
        <f t="shared" si="14"/>
        <v/>
      </c>
      <c r="AU141" s="11"/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9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2" t="str">
        <f t="array" ref="G142">IF($B142="","",IF(INDEX(SchedZone,MATCH($A142,SchedSeq,0),MAP!$B$14)="Neutral","Y",""))</f>
        <v>Y</v>
      </c>
      <c r="H142" s="2" t="str">
        <f t="array" ref="H142">IF($B142="","",INDEX(SchedZone,MATCH($A142,SchedSeq,0),MAP!$B$17))</f>
        <v>dome</v>
      </c>
      <c r="I142" s="2" t="str">
        <f>IF(OR($B142="",$C142&lt;&gt;CurrentWeek),"",COUNTIF($C$5:$C142,CurrentWeek))</f>
        <v/>
      </c>
      <c r="J142" s="2">
        <f t="array" ref="J142">IF($B142="","",IFERROR(INDEX(RatEff,MATCH($E142,RatTeams,0)),"⚠ TEAM NOT FOUND"))</f>
        <v>2.09</v>
      </c>
      <c r="K142" s="2">
        <f t="array" ref="K142">IF($B142="","",IFERROR(INDEX(RatEff,MATCH($F142,RatTeams,0)),"⚠ TEAM NOT FOUND"))</f>
        <v>0.86</v>
      </c>
      <c r="L142" s="2">
        <f t="shared" si="1"/>
        <v>-1.23</v>
      </c>
      <c r="M142" s="2">
        <f t="array" ref="M142">IF($B142="","",IF($G142="Y",NeutralHFA,IFERROR(INDEX(HFAexcVal,MATCH($F142,HFAexcTeam,0)),HFA_Base)))</f>
        <v>0</v>
      </c>
      <c r="N142" s="2">
        <f t="array" ref="N142">IF($B142="","",IFERROR(INDEX(QBSpreadEff,MATCH($F142,QBTeams,0)),0)-IFERROR(INDEX(QBSpreadEff,MATCH($E142,QBTeams,0)),0))</f>
        <v>0</v>
      </c>
      <c r="O142" s="2">
        <f t="array" ref="O142">IF($B142="","",IFERROR(MEDIAN(-RestCapPts,RestCapPts,RestPerDay*(INDEX(SchedZone,MATCH($A142,SchedSeq,0),MAP!$B$16)-INDEX(SchedZone,MATCH($A142,SchedSeq,0),MAP!$B$15))),0))</f>
        <v>0</v>
      </c>
      <c r="P142" s="2">
        <f>IF($B142="","",SUMIFS(AdjSpread,AdjGameID,$B142,AdjTeam,$F142,AdjActive,1)-SUMIFS(AdjSpread,AdjGameID,$B142,AdjTeam,$E142,AdjActive,1))</f>
        <v>0</v>
      </c>
      <c r="Q142" s="2">
        <f t="shared" si="2"/>
        <v>-1.23</v>
      </c>
      <c r="R142" s="11"/>
      <c r="S142" s="2">
        <f t="shared" si="3"/>
        <v>-1.23</v>
      </c>
      <c r="T142" s="2" t="str">
        <f t="shared" si="4"/>
        <v>NE -1.2</v>
      </c>
      <c r="U142" s="2" t="str">
        <f t="array" ref="U142">IF($B142="","",IFERROR(INDEX(MktHomeSpread,MATCH($B142,MktGameID,0)),""))</f>
        <v/>
      </c>
      <c r="V142" s="2" t="str">
        <f t="shared" si="5"/>
        <v/>
      </c>
      <c r="W142" s="2" t="str">
        <f t="shared" si="6"/>
        <v/>
      </c>
      <c r="X142" s="2" t="str">
        <f t="shared" si="7"/>
        <v/>
      </c>
      <c r="Y142" s="2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2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2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2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2">
        <f t="array" ref="AC142">IF($B142="","",IFERROR(INDEX(QBTotEff,MATCH($F142,QBTeams,0)),0)+IFERROR(INDEX(QBTotEff,MATCH($E142,QBTeams,0)),0))</f>
        <v>0</v>
      </c>
      <c r="AD142" s="2">
        <f>IF($B142="","",SUMIFS(AdjTot,AdjGameID,$B142,AdjActive,1))</f>
        <v>0</v>
      </c>
      <c r="AE142" s="2">
        <f t="shared" si="8"/>
        <v>0</v>
      </c>
      <c r="AF142" s="11"/>
      <c r="AG142" s="2">
        <f t="shared" si="9"/>
        <v>0</v>
      </c>
      <c r="AH142" s="2" t="str">
        <f t="array" ref="AH142">IF($B142="","",IFERROR(INDEX(MktTotal,MATCH($B142,MktGameID,0)),""))</f>
        <v/>
      </c>
      <c r="AI142" s="2" t="str">
        <f t="shared" si="10"/>
        <v/>
      </c>
      <c r="AJ142" s="2" t="str">
        <f t="shared" si="11"/>
        <v/>
      </c>
      <c r="AK142" s="2" t="str">
        <f t="shared" si="12"/>
        <v/>
      </c>
      <c r="AL142" s="2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2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2" t="str">
        <f>IF($AG142="","","BET OVER at ≤ "&amp;TEXT($AG142-BetTot,"0.0")&amp;"  |  BET UNDER at ≥ "&amp;TEXT($AG142+BetTot,"0.0"))</f>
        <v>BET OVER at ≤ -3.0  |  BET UNDER at ≥ 3.0</v>
      </c>
      <c r="AO142" s="2" t="str">
        <f t="array" ref="AO142">IF($B142="","",IF(OR(IFERROR(INDEX(QBFlag,MATCH($F142,QBTeams,0)),1)=1,IFERROR(INDEX(QBFlag,MATCH($E142,QBTeams,0)),1)=1),"QB UNCERTAIN",""))</f>
        <v/>
      </c>
      <c r="AP142" s="2" t="str">
        <f t="array" ref="AP142">IF($B142="","",IFERROR(INDEX(DQStatus,MATCH($B142,DQGameID,0)),"BLOCKED — DQ ROW NOT FOUND"))</f>
        <v>READY</v>
      </c>
      <c r="AQ142" s="2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2" t="str">
        <f t="shared" si="13"/>
        <v/>
      </c>
      <c r="AS142" s="2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2" t="str">
        <f t="shared" si="14"/>
        <v/>
      </c>
      <c r="AU142" s="11"/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9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2" t="str">
        <f t="array" ref="G143">IF($B143="","",IF(INDEX(SchedZone,MATCH($A143,SchedSeq,0),MAP!$B$14)="Neutral","Y",""))</f>
        <v/>
      </c>
      <c r="H143" s="2" t="str">
        <f t="array" ref="H143">IF($B143="","",INDEX(SchedZone,MATCH($A143,SchedSeq,0),MAP!$B$17))</f>
        <v/>
      </c>
      <c r="I143" s="2" t="str">
        <f>IF(OR($B143="",$C143&lt;&gt;CurrentWeek),"",COUNTIF($C$5:$C143,CurrentWeek))</f>
        <v/>
      </c>
      <c r="J143" s="2">
        <f t="array" ref="J143">IF($B143="","",IFERROR(INDEX(RatEff,MATCH($E143,RatTeams,0)),"⚠ TEAM NOT FOUND"))</f>
        <v>-0.04</v>
      </c>
      <c r="K143" s="2">
        <f t="array" ref="K143">IF($B143="","",IFERROR(INDEX(RatEff,MATCH($F143,RatTeams,0)),"⚠ TEAM NOT FOUND"))</f>
        <v>-0.06</v>
      </c>
      <c r="L143" s="2">
        <f t="shared" si="1"/>
        <v>-0.02</v>
      </c>
      <c r="M143" s="2">
        <f t="array" ref="M143">IF($B143="","",IF($G143="Y",NeutralHFA,IFERROR(INDEX(HFAexcVal,MATCH($F143,HFAexcTeam,0)),HFA_Base)))</f>
        <v>1.6</v>
      </c>
      <c r="N143" s="2">
        <f t="array" ref="N143">IF($B143="","",IFERROR(INDEX(QBSpreadEff,MATCH($F143,QBTeams,0)),0)-IFERROR(INDEX(QBSpreadEff,MATCH($E143,QBTeams,0)),0))</f>
        <v>0</v>
      </c>
      <c r="O143" s="2">
        <f t="array" ref="O143">IF($B143="","",IFERROR(MEDIAN(-RestCapPts,RestCapPts,RestPerDay*(INDEX(SchedZone,MATCH($A143,SchedSeq,0),MAP!$B$16)-INDEX(SchedZone,MATCH($A143,SchedSeq,0),MAP!$B$15))),0))</f>
        <v>0</v>
      </c>
      <c r="P143" s="2">
        <f>IF($B143="","",SUMIFS(AdjSpread,AdjGameID,$B143,AdjTeam,$F143,AdjActive,1)-SUMIFS(AdjSpread,AdjGameID,$B143,AdjTeam,$E143,AdjActive,1))</f>
        <v>0</v>
      </c>
      <c r="Q143" s="2">
        <f t="shared" si="2"/>
        <v>1.58</v>
      </c>
      <c r="R143" s="11"/>
      <c r="S143" s="2">
        <f t="shared" si="3"/>
        <v>1.58</v>
      </c>
      <c r="T143" s="2" t="str">
        <f t="shared" si="4"/>
        <v>ATL -1.6</v>
      </c>
      <c r="U143" s="2" t="str">
        <f t="array" ref="U143">IF($B143="","",IFERROR(INDEX(MktHomeSpread,MATCH($B143,MktGameID,0)),""))</f>
        <v/>
      </c>
      <c r="V143" s="2" t="str">
        <f t="shared" si="5"/>
        <v/>
      </c>
      <c r="W143" s="2" t="str">
        <f t="shared" si="6"/>
        <v/>
      </c>
      <c r="X143" s="2" t="str">
        <f t="shared" si="7"/>
        <v/>
      </c>
      <c r="Y143" s="2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2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2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2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2">
        <f t="array" ref="AC143">IF($B143="","",IFERROR(INDEX(QBTotEff,MATCH($F143,QBTeams,0)),0)+IFERROR(INDEX(QBTotEff,MATCH($E143,QBTeams,0)),0))</f>
        <v>0</v>
      </c>
      <c r="AD143" s="2">
        <f>IF($B143="","",SUMIFS(AdjTot,AdjGameID,$B143,AdjActive,1))</f>
        <v>0</v>
      </c>
      <c r="AE143" s="2">
        <f t="shared" si="8"/>
        <v>0</v>
      </c>
      <c r="AF143" s="11"/>
      <c r="AG143" s="2">
        <f t="shared" si="9"/>
        <v>0</v>
      </c>
      <c r="AH143" s="2" t="str">
        <f t="array" ref="AH143">IF($B143="","",IFERROR(INDEX(MktTotal,MATCH($B143,MktGameID,0)),""))</f>
        <v/>
      </c>
      <c r="AI143" s="2" t="str">
        <f t="shared" si="10"/>
        <v/>
      </c>
      <c r="AJ143" s="2" t="str">
        <f t="shared" si="11"/>
        <v/>
      </c>
      <c r="AK143" s="2" t="str">
        <f t="shared" si="12"/>
        <v/>
      </c>
      <c r="AL143" s="2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2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2" t="str">
        <f>IF($AG143="","","BET OVER at ≤ "&amp;TEXT($AG143-BetTot,"0.0")&amp;"  |  BET UNDER at ≥ "&amp;TEXT($AG143+BetTot,"0.0"))</f>
        <v>BET OVER at ≤ -3.0  |  BET UNDER at ≥ 3.0</v>
      </c>
      <c r="AO143" s="2" t="str">
        <f t="array" ref="AO143">IF($B143="","",IF(OR(IFERROR(INDEX(QBFlag,MATCH($F143,QBTeams,0)),1)=1,IFERROR(INDEX(QBFlag,MATCH($E143,QBTeams,0)),1)=1),"QB UNCERTAIN",""))</f>
        <v>QB UNCERTAIN</v>
      </c>
      <c r="AP143" s="2" t="str">
        <f t="array" ref="AP143">IF($B143="","",IFERROR(INDEX(DQStatus,MATCH($B143,DQGameID,0)),"BLOCKED — DQ ROW NOT FOUND"))</f>
        <v>READY</v>
      </c>
      <c r="AQ143" s="2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2" t="str">
        <f t="shared" si="13"/>
        <v/>
      </c>
      <c r="AS143" s="2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2" t="str">
        <f t="shared" si="14"/>
        <v/>
      </c>
      <c r="AU143" s="11"/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9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2" t="str">
        <f t="array" ref="G144">IF($B144="","",IF(INDEX(SchedZone,MATCH($A144,SchedSeq,0),MAP!$B$14)="Neutral","Y",""))</f>
        <v/>
      </c>
      <c r="H144" s="2" t="str">
        <f t="array" ref="H144">IF($B144="","",INDEX(SchedZone,MATCH($A144,SchedSeq,0),MAP!$B$17))</f>
        <v>outdoors</v>
      </c>
      <c r="I144" s="2" t="str">
        <f>IF(OR($B144="",$C144&lt;&gt;CurrentWeek),"",COUNTIF($C$5:$C144,CurrentWeek))</f>
        <v/>
      </c>
      <c r="J144" s="2">
        <f t="array" ref="J144">IF($B144="","",IFERROR(INDEX(RatEff,MATCH($E144,RatTeams,0)),"⚠ TEAM NOT FOUND"))</f>
        <v>2.71</v>
      </c>
      <c r="K144" s="2">
        <f t="array" ref="K144">IF($B144="","",IFERROR(INDEX(RatEff,MATCH($F144,RatTeams,0)),"⚠ TEAM NOT FOUND"))</f>
        <v>-2.6</v>
      </c>
      <c r="L144" s="2">
        <f t="shared" si="1"/>
        <v>-5.31</v>
      </c>
      <c r="M144" s="2">
        <f t="array" ref="M144">IF($B144="","",IF($G144="Y",NeutralHFA,IFERROR(INDEX(HFAexcVal,MATCH($F144,HFAexcTeam,0)),HFA_Base)))</f>
        <v>1.6</v>
      </c>
      <c r="N144" s="2">
        <f t="array" ref="N144">IF($B144="","",IFERROR(INDEX(QBSpreadEff,MATCH($F144,QBTeams,0)),0)-IFERROR(INDEX(QBSpreadEff,MATCH($E144,QBTeams,0)),0))</f>
        <v>0</v>
      </c>
      <c r="O144" s="2">
        <f t="array" ref="O144">IF($B144="","",IFERROR(MEDIAN(-RestCapPts,RestCapPts,RestPerDay*(INDEX(SchedZone,MATCH($A144,SchedSeq,0),MAP!$B$16)-INDEX(SchedZone,MATCH($A144,SchedSeq,0),MAP!$B$15))),0))</f>
        <v>0</v>
      </c>
      <c r="P144" s="2">
        <f>IF($B144="","",SUMIFS(AdjSpread,AdjGameID,$B144,AdjTeam,$F144,AdjActive,1)-SUMIFS(AdjSpread,AdjGameID,$B144,AdjTeam,$E144,AdjActive,1))</f>
        <v>0</v>
      </c>
      <c r="Q144" s="2">
        <f t="shared" si="2"/>
        <v>-3.71</v>
      </c>
      <c r="R144" s="11"/>
      <c r="S144" s="2">
        <f t="shared" si="3"/>
        <v>-3.71</v>
      </c>
      <c r="T144" s="2" t="str">
        <f t="shared" si="4"/>
        <v>HOU -3.7</v>
      </c>
      <c r="U144" s="2" t="str">
        <f t="array" ref="U144">IF($B144="","",IFERROR(INDEX(MktHomeSpread,MATCH($B144,MktGameID,0)),""))</f>
        <v/>
      </c>
      <c r="V144" s="2" t="str">
        <f t="shared" si="5"/>
        <v/>
      </c>
      <c r="W144" s="2" t="str">
        <f t="shared" si="6"/>
        <v/>
      </c>
      <c r="X144" s="2" t="str">
        <f t="shared" si="7"/>
        <v/>
      </c>
      <c r="Y144" s="2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2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2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2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2">
        <f t="array" ref="AC144">IF($B144="","",IFERROR(INDEX(QBTotEff,MATCH($F144,QBTeams,0)),0)+IFERROR(INDEX(QBTotEff,MATCH($E144,QBTeams,0)),0))</f>
        <v>0</v>
      </c>
      <c r="AD144" s="2">
        <f>IF($B144="","",SUMIFS(AdjTot,AdjGameID,$B144,AdjActive,1))</f>
        <v>0</v>
      </c>
      <c r="AE144" s="2">
        <f t="shared" si="8"/>
        <v>0</v>
      </c>
      <c r="AF144" s="11"/>
      <c r="AG144" s="2">
        <f t="shared" si="9"/>
        <v>0</v>
      </c>
      <c r="AH144" s="2" t="str">
        <f t="array" ref="AH144">IF($B144="","",IFERROR(INDEX(MktTotal,MATCH($B144,MktGameID,0)),""))</f>
        <v/>
      </c>
      <c r="AI144" s="2" t="str">
        <f t="shared" si="10"/>
        <v/>
      </c>
      <c r="AJ144" s="2" t="str">
        <f t="shared" si="11"/>
        <v/>
      </c>
      <c r="AK144" s="2" t="str">
        <f t="shared" si="12"/>
        <v/>
      </c>
      <c r="AL144" s="2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Low</v>
      </c>
      <c r="AM144" s="2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2" t="str">
        <f>IF($AG144="","","BET OVER at ≤ "&amp;TEXT($AG144-BetTot,"0.0")&amp;"  |  BET UNDER at ≥ "&amp;TEXT($AG144+BetTot,"0.0"))</f>
        <v>BET OVER at ≤ -3.0  |  BET UNDER at ≥ 3.0</v>
      </c>
      <c r="AO144" s="2" t="str">
        <f t="array" ref="AO144">IF($B144="","",IF(OR(IFERROR(INDEX(QBFlag,MATCH($F144,QBTeams,0)),1)=1,IFERROR(INDEX(QBFlag,MATCH($E144,QBTeams,0)),1)=1),"QB UNCERTAIN",""))</f>
        <v>QB UNCERTAIN</v>
      </c>
      <c r="AP144" s="2" t="str">
        <f t="array" ref="AP144">IF($B144="","",IFERROR(INDEX(DQStatus,MATCH($B144,DQGameID,0)),"BLOCKED — DQ ROW NOT FOUND"))</f>
        <v>READY</v>
      </c>
      <c r="AQ144" s="2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2" t="str">
        <f t="shared" si="13"/>
        <v/>
      </c>
      <c r="AS144" s="2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2" t="str">
        <f t="shared" si="14"/>
        <v/>
      </c>
      <c r="AU144" s="11"/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9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2" t="str">
        <f t="array" ref="G145">IF($B145="","",IF(INDEX(SchedZone,MATCH($A145,SchedSeq,0),MAP!$B$14)="Neutral","Y",""))</f>
        <v/>
      </c>
      <c r="H145" s="2" t="str">
        <f t="array" ref="H145">IF($B145="","",INDEX(SchedZone,MATCH($A145,SchedSeq,0),MAP!$B$17))</f>
        <v>outdoors</v>
      </c>
      <c r="I145" s="2" t="str">
        <f>IF(OR($B145="",$C145&lt;&gt;CurrentWeek),"",COUNTIF($C$5:$C145,CurrentWeek))</f>
        <v/>
      </c>
      <c r="J145" s="2">
        <f t="array" ref="J145">IF($B145="","",IFERROR(INDEX(RatEff,MATCH($E145,RatTeams,0)),"⚠ TEAM NOT FOUND"))</f>
        <v>0.5</v>
      </c>
      <c r="K145" s="2">
        <f t="array" ref="K145">IF($B145="","",IFERROR(INDEX(RatEff,MATCH($F145,RatTeams,0)),"⚠ TEAM NOT FOUND"))</f>
        <v>0.51</v>
      </c>
      <c r="L145" s="2">
        <f t="shared" si="1"/>
        <v>0.01</v>
      </c>
      <c r="M145" s="2">
        <f t="array" ref="M145">IF($B145="","",IF($G145="Y",NeutralHFA,IFERROR(INDEX(HFAexcVal,MATCH($F145,HFAexcTeam,0)),HFA_Base)))</f>
        <v>1.6</v>
      </c>
      <c r="N145" s="2">
        <f t="array" ref="N145">IF($B145="","",IFERROR(INDEX(QBSpreadEff,MATCH($F145,QBTeams,0)),0)-IFERROR(INDEX(QBSpreadEff,MATCH($E145,QBTeams,0)),0))</f>
        <v>0</v>
      </c>
      <c r="O145" s="2">
        <f t="array" ref="O145">IF($B145="","",IFERROR(MEDIAN(-RestCapPts,RestCapPts,RestPerDay*(INDEX(SchedZone,MATCH($A145,SchedSeq,0),MAP!$B$16)-INDEX(SchedZone,MATCH($A145,SchedSeq,0),MAP!$B$15))),0))</f>
        <v>0.1</v>
      </c>
      <c r="P145" s="2">
        <f>IF($B145="","",SUMIFS(AdjSpread,AdjGameID,$B145,AdjTeam,$F145,AdjActive,1)-SUMIFS(AdjSpread,AdjGameID,$B145,AdjTeam,$E145,AdjActive,1))</f>
        <v>0</v>
      </c>
      <c r="Q145" s="2">
        <f t="shared" si="2"/>
        <v>1.71</v>
      </c>
      <c r="R145" s="11"/>
      <c r="S145" s="2">
        <f t="shared" si="3"/>
        <v>1.71</v>
      </c>
      <c r="T145" s="2" t="str">
        <f t="shared" si="4"/>
        <v>GB -1.7</v>
      </c>
      <c r="U145" s="2" t="str">
        <f t="array" ref="U145">IF($B145="","",IFERROR(INDEX(MktHomeSpread,MATCH($B145,MktGameID,0)),""))</f>
        <v/>
      </c>
      <c r="V145" s="2" t="str">
        <f t="shared" si="5"/>
        <v/>
      </c>
      <c r="W145" s="2" t="str">
        <f t="shared" si="6"/>
        <v/>
      </c>
      <c r="X145" s="2" t="str">
        <f t="shared" si="7"/>
        <v/>
      </c>
      <c r="Y145" s="2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2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2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2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2">
        <f t="array" ref="AC145">IF($B145="","",IFERROR(INDEX(QBTotEff,MATCH($F145,QBTeams,0)),0)+IFERROR(INDEX(QBTotEff,MATCH($E145,QBTeams,0)),0))</f>
        <v>0</v>
      </c>
      <c r="AD145" s="2">
        <f>IF($B145="","",SUMIFS(AdjTot,AdjGameID,$B145,AdjActive,1))</f>
        <v>0</v>
      </c>
      <c r="AE145" s="2">
        <f t="shared" si="8"/>
        <v>0</v>
      </c>
      <c r="AF145" s="11"/>
      <c r="AG145" s="2">
        <f t="shared" si="9"/>
        <v>0</v>
      </c>
      <c r="AH145" s="2" t="str">
        <f t="array" ref="AH145">IF($B145="","",IFERROR(INDEX(MktTotal,MATCH($B145,MktGameID,0)),""))</f>
        <v/>
      </c>
      <c r="AI145" s="2" t="str">
        <f t="shared" si="10"/>
        <v/>
      </c>
      <c r="AJ145" s="2" t="str">
        <f t="shared" si="11"/>
        <v/>
      </c>
      <c r="AK145" s="2" t="str">
        <f t="shared" si="12"/>
        <v/>
      </c>
      <c r="AL145" s="2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Low</v>
      </c>
      <c r="AM145" s="2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2" t="str">
        <f>IF($AG145="","","BET OVER at ≤ "&amp;TEXT($AG145-BetTot,"0.0")&amp;"  |  BET UNDER at ≥ "&amp;TEXT($AG145+BetTot,"0.0"))</f>
        <v>BET OVER at ≤ -3.0  |  BET UNDER at ≥ 3.0</v>
      </c>
      <c r="AO145" s="2" t="str">
        <f t="array" ref="AO145">IF($B145="","",IF(OR(IFERROR(INDEX(QBFlag,MATCH($F145,QBTeams,0)),1)=1,IFERROR(INDEX(QBFlag,MATCH($E145,QBTeams,0)),1)=1),"QB UNCERTAIN",""))</f>
        <v>QB UNCERTAIN</v>
      </c>
      <c r="AP145" s="2" t="str">
        <f t="array" ref="AP145">IF($B145="","",IFERROR(INDEX(DQStatus,MATCH($B145,DQGameID,0)),"BLOCKED — DQ ROW NOT FOUND"))</f>
        <v>READY</v>
      </c>
      <c r="AQ145" s="2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2" t="str">
        <f t="shared" si="13"/>
        <v/>
      </c>
      <c r="AS145" s="2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2" t="str">
        <f t="shared" si="14"/>
        <v/>
      </c>
      <c r="AU145" s="11"/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9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2" t="str">
        <f t="array" ref="G146">IF($B146="","",IF(INDEX(SchedZone,MATCH($A146,SchedSeq,0),MAP!$B$14)="Neutral","Y",""))</f>
        <v/>
      </c>
      <c r="H146" s="2" t="str">
        <f t="array" ref="H146">IF($B146="","",INDEX(SchedZone,MATCH($A146,SchedSeq,0),MAP!$B$17))</f>
        <v/>
      </c>
      <c r="I146" s="2" t="str">
        <f>IF(OR($B146="",$C146&lt;&gt;CurrentWeek),"",COUNTIF($C$5:$C146,CurrentWeek))</f>
        <v/>
      </c>
      <c r="J146" s="2">
        <f t="array" ref="J146">IF($B146="","",IFERROR(INDEX(RatEff,MATCH($E146,RatTeams,0)),"⚠ TEAM NOT FOUND"))</f>
        <v>-2.64</v>
      </c>
      <c r="K146" s="2">
        <f t="array" ref="K146">IF($B146="","",IFERROR(INDEX(RatEff,MATCH($F146,RatTeams,0)),"⚠ TEAM NOT FOUND"))</f>
        <v>0.82</v>
      </c>
      <c r="L146" s="2">
        <f t="shared" si="1"/>
        <v>3.46</v>
      </c>
      <c r="M146" s="2">
        <f t="array" ref="M146">IF($B146="","",IF($G146="Y",NeutralHFA,IFERROR(INDEX(HFAexcVal,MATCH($F146,HFAexcTeam,0)),HFA_Base)))</f>
        <v>1.6</v>
      </c>
      <c r="N146" s="2">
        <f t="array" ref="N146">IF($B146="","",IFERROR(INDEX(QBSpreadEff,MATCH($F146,QBTeams,0)),0)-IFERROR(INDEX(QBSpreadEff,MATCH($E146,QBTeams,0)),0))</f>
        <v>0</v>
      </c>
      <c r="O146" s="2">
        <f t="array" ref="O146">IF($B146="","",IFERROR(MEDIAN(-RestCapPts,RestCapPts,RestPerDay*(INDEX(SchedZone,MATCH($A146,SchedSeq,0),MAP!$B$16)-INDEX(SchedZone,MATCH($A146,SchedSeq,0),MAP!$B$15))),0))</f>
        <v>0</v>
      </c>
      <c r="P146" s="2">
        <f>IF($B146="","",SUMIFS(AdjSpread,AdjGameID,$B146,AdjTeam,$F146,AdjActive,1)-SUMIFS(AdjSpread,AdjGameID,$B146,AdjTeam,$E146,AdjActive,1))</f>
        <v>0</v>
      </c>
      <c r="Q146" s="2">
        <f t="shared" si="2"/>
        <v>5.06</v>
      </c>
      <c r="R146" s="11"/>
      <c r="S146" s="2">
        <f t="shared" si="3"/>
        <v>5.06</v>
      </c>
      <c r="T146" s="2" t="str">
        <f t="shared" si="4"/>
        <v>IND -5.1</v>
      </c>
      <c r="U146" s="2" t="str">
        <f t="array" ref="U146">IF($B146="","",IFERROR(INDEX(MktHomeSpread,MATCH($B146,MktGameID,0)),""))</f>
        <v/>
      </c>
      <c r="V146" s="2" t="str">
        <f t="shared" si="5"/>
        <v/>
      </c>
      <c r="W146" s="2" t="str">
        <f t="shared" si="6"/>
        <v/>
      </c>
      <c r="X146" s="2" t="str">
        <f t="shared" si="7"/>
        <v/>
      </c>
      <c r="Y146" s="2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2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2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2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2">
        <f t="array" ref="AC146">IF($B146="","",IFERROR(INDEX(QBTotEff,MATCH($F146,QBTeams,0)),0)+IFERROR(INDEX(QBTotEff,MATCH($E146,QBTeams,0)),0))</f>
        <v>0</v>
      </c>
      <c r="AD146" s="2">
        <f>IF($B146="","",SUMIFS(AdjTot,AdjGameID,$B146,AdjActive,1))</f>
        <v>0</v>
      </c>
      <c r="AE146" s="2">
        <f t="shared" si="8"/>
        <v>0</v>
      </c>
      <c r="AF146" s="11"/>
      <c r="AG146" s="2">
        <f t="shared" si="9"/>
        <v>0</v>
      </c>
      <c r="AH146" s="2" t="str">
        <f t="array" ref="AH146">IF($B146="","",IFERROR(INDEX(MktTotal,MATCH($B146,MktGameID,0)),""))</f>
        <v/>
      </c>
      <c r="AI146" s="2" t="str">
        <f t="shared" si="10"/>
        <v/>
      </c>
      <c r="AJ146" s="2" t="str">
        <f t="shared" si="11"/>
        <v/>
      </c>
      <c r="AK146" s="2" t="str">
        <f t="shared" si="12"/>
        <v/>
      </c>
      <c r="AL146" s="2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2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2" t="str">
        <f>IF($AG146="","","BET OVER at ≤ "&amp;TEXT($AG146-BetTot,"0.0")&amp;"  |  BET UNDER at ≥ "&amp;TEXT($AG146+BetTot,"0.0"))</f>
        <v>BET OVER at ≤ -3.0  |  BET UNDER at ≥ 3.0</v>
      </c>
      <c r="AO146" s="2" t="str">
        <f t="array" ref="AO146">IF($B146="","",IF(OR(IFERROR(INDEX(QBFlag,MATCH($F146,QBTeams,0)),1)=1,IFERROR(INDEX(QBFlag,MATCH($E146,QBTeams,0)),1)=1),"QB UNCERTAIN",""))</f>
        <v/>
      </c>
      <c r="AP146" s="2" t="str">
        <f t="array" ref="AP146">IF($B146="","",IFERROR(INDEX(DQStatus,MATCH($B146,DQGameID,0)),"BLOCKED — DQ ROW NOT FOUND"))</f>
        <v>READY</v>
      </c>
      <c r="AQ146" s="2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2" t="str">
        <f t="shared" si="13"/>
        <v/>
      </c>
      <c r="AS146" s="2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2" t="str">
        <f t="shared" si="14"/>
        <v/>
      </c>
      <c r="AU146" s="11"/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9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2" t="str">
        <f t="array" ref="G147">IF($B147="","",IF(INDEX(SchedZone,MATCH($A147,SchedSeq,0),MAP!$B$14)="Neutral","Y",""))</f>
        <v/>
      </c>
      <c r="H147" s="2" t="str">
        <f t="array" ref="H147">IF($B147="","",INDEX(SchedZone,MATCH($A147,SchedSeq,0),MAP!$B$17))</f>
        <v>dome</v>
      </c>
      <c r="I147" s="2" t="str">
        <f>IF(OR($B147="",$C147&lt;&gt;CurrentWeek),"",COUNTIF($C$5:$C147,CurrentWeek))</f>
        <v/>
      </c>
      <c r="J147" s="2">
        <f t="array" ref="J147">IF($B147="","",IFERROR(INDEX(RatEff,MATCH($E147,RatTeams,0)),"⚠ TEAM NOT FOUND"))</f>
        <v>-1.3</v>
      </c>
      <c r="K147" s="2">
        <f t="array" ref="K147">IF($B147="","",IFERROR(INDEX(RatEff,MATCH($F147,RatTeams,0)),"⚠ TEAM NOT FOUND"))</f>
        <v>-0.94</v>
      </c>
      <c r="L147" s="2">
        <f t="shared" si="1"/>
        <v>0.36</v>
      </c>
      <c r="M147" s="2">
        <f t="array" ref="M147">IF($B147="","",IF($G147="Y",NeutralHFA,IFERROR(INDEX(HFAexcVal,MATCH($F147,HFAexcTeam,0)),HFA_Base)))</f>
        <v>1.6</v>
      </c>
      <c r="N147" s="2">
        <f t="array" ref="N147">IF($B147="","",IFERROR(INDEX(QBSpreadEff,MATCH($F147,QBTeams,0)),0)-IFERROR(INDEX(QBSpreadEff,MATCH($E147,QBTeams,0)),0))</f>
        <v>0</v>
      </c>
      <c r="O147" s="2">
        <f t="array" ref="O147">IF($B147="","",IFERROR(MEDIAN(-RestCapPts,RestCapPts,RestPerDay*(INDEX(SchedZone,MATCH($A147,SchedSeq,0),MAP!$B$16)-INDEX(SchedZone,MATCH($A147,SchedSeq,0),MAP!$B$15))),0))</f>
        <v>0</v>
      </c>
      <c r="P147" s="2">
        <f>IF($B147="","",SUMIFS(AdjSpread,AdjGameID,$B147,AdjTeam,$F147,AdjActive,1)-SUMIFS(AdjSpread,AdjGameID,$B147,AdjTeam,$E147,AdjActive,1))</f>
        <v>0</v>
      </c>
      <c r="Q147" s="2">
        <f t="shared" si="2"/>
        <v>1.96</v>
      </c>
      <c r="R147" s="11"/>
      <c r="S147" s="2">
        <f t="shared" si="3"/>
        <v>1.96</v>
      </c>
      <c r="T147" s="2" t="str">
        <f t="shared" si="4"/>
        <v>NO -2.0</v>
      </c>
      <c r="U147" s="2" t="str">
        <f t="array" ref="U147">IF($B147="","",IFERROR(INDEX(MktHomeSpread,MATCH($B147,MktGameID,0)),""))</f>
        <v/>
      </c>
      <c r="V147" s="2" t="str">
        <f t="shared" si="5"/>
        <v/>
      </c>
      <c r="W147" s="2" t="str">
        <f t="shared" si="6"/>
        <v/>
      </c>
      <c r="X147" s="2" t="str">
        <f t="shared" si="7"/>
        <v/>
      </c>
      <c r="Y147" s="2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2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2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2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2">
        <f t="array" ref="AC147">IF($B147="","",IFERROR(INDEX(QBTotEff,MATCH($F147,QBTeams,0)),0)+IFERROR(INDEX(QBTotEff,MATCH($E147,QBTeams,0)),0))</f>
        <v>0</v>
      </c>
      <c r="AD147" s="2">
        <f>IF($B147="","",SUMIFS(AdjTot,AdjGameID,$B147,AdjActive,1))</f>
        <v>0</v>
      </c>
      <c r="AE147" s="2">
        <f t="shared" si="8"/>
        <v>0</v>
      </c>
      <c r="AF147" s="11"/>
      <c r="AG147" s="2">
        <f t="shared" si="9"/>
        <v>0</v>
      </c>
      <c r="AH147" s="2" t="str">
        <f t="array" ref="AH147">IF($B147="","",IFERROR(INDEX(MktTotal,MATCH($B147,MktGameID,0)),""))</f>
        <v/>
      </c>
      <c r="AI147" s="2" t="str">
        <f t="shared" si="10"/>
        <v/>
      </c>
      <c r="AJ147" s="2" t="str">
        <f t="shared" si="11"/>
        <v/>
      </c>
      <c r="AK147" s="2" t="str">
        <f t="shared" si="12"/>
        <v/>
      </c>
      <c r="AL147" s="2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2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2" t="str">
        <f>IF($AG147="","","BET OVER at ≤ "&amp;TEXT($AG147-BetTot,"0.0")&amp;"  |  BET UNDER at ≥ "&amp;TEXT($AG147+BetTot,"0.0"))</f>
        <v>BET OVER at ≤ -3.0  |  BET UNDER at ≥ 3.0</v>
      </c>
      <c r="AO147" s="2" t="str">
        <f t="array" ref="AO147">IF($B147="","",IF(OR(IFERROR(INDEX(QBFlag,MATCH($F147,QBTeams,0)),1)=1,IFERROR(INDEX(QBFlag,MATCH($E147,QBTeams,0)),1)=1),"QB UNCERTAIN",""))</f>
        <v/>
      </c>
      <c r="AP147" s="2" t="str">
        <f t="array" ref="AP147">IF($B147="","",IFERROR(INDEX(DQStatus,MATCH($B147,DQGameID,0)),"BLOCKED — DQ ROW NOT FOUND"))</f>
        <v>READY</v>
      </c>
      <c r="AQ147" s="2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2" t="str">
        <f t="shared" si="13"/>
        <v/>
      </c>
      <c r="AS147" s="2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2" t="str">
        <f t="shared" si="14"/>
        <v/>
      </c>
      <c r="AU147" s="11"/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9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2" t="str">
        <f t="array" ref="G148">IF($B148="","",IF(INDEX(SchedZone,MATCH($A148,SchedSeq,0),MAP!$B$14)="Neutral","Y",""))</f>
        <v/>
      </c>
      <c r="H148" s="2" t="str">
        <f t="array" ref="H148">IF($B148="","",INDEX(SchedZone,MATCH($A148,SchedSeq,0),MAP!$B$17))</f>
        <v>outdoors</v>
      </c>
      <c r="I148" s="2" t="str">
        <f>IF(OR($B148="",$C148&lt;&gt;CurrentWeek),"",COUNTIF($C$5:$C148,CurrentWeek))</f>
        <v/>
      </c>
      <c r="J148" s="2">
        <f t="array" ref="J148">IF($B148="","",IFERROR(INDEX(RatEff,MATCH($E148,RatTeams,0)),"⚠ TEAM NOT FOUND"))</f>
        <v>1.75</v>
      </c>
      <c r="K148" s="2">
        <f t="array" ref="K148">IF($B148="","",IFERROR(INDEX(RatEff,MATCH($F148,RatTeams,0)),"⚠ TEAM NOT FOUND"))</f>
        <v>-4.67</v>
      </c>
      <c r="L148" s="2">
        <f t="shared" si="1"/>
        <v>-6.42</v>
      </c>
      <c r="M148" s="2">
        <f t="array" ref="M148">IF($B148="","",IF($G148="Y",NeutralHFA,IFERROR(INDEX(HFAexcVal,MATCH($F148,HFAexcTeam,0)),HFA_Base)))</f>
        <v>1.6</v>
      </c>
      <c r="N148" s="2">
        <f t="array" ref="N148">IF($B148="","",IFERROR(INDEX(QBSpreadEff,MATCH($F148,QBTeams,0)),0)-IFERROR(INDEX(QBSpreadEff,MATCH($E148,QBTeams,0)),0))</f>
        <v>0</v>
      </c>
      <c r="O148" s="2">
        <f t="array" ref="O148">IF($B148="","",IFERROR(MEDIAN(-RestCapPts,RestCapPts,RestPerDay*(INDEX(SchedZone,MATCH($A148,SchedSeq,0),MAP!$B$16)-INDEX(SchedZone,MATCH($A148,SchedSeq,0),MAP!$B$15))),0))</f>
        <v>0.1</v>
      </c>
      <c r="P148" s="2">
        <f>IF($B148="","",SUMIFS(AdjSpread,AdjGameID,$B148,AdjTeam,$F148,AdjActive,1)-SUMIFS(AdjSpread,AdjGameID,$B148,AdjTeam,$E148,AdjActive,1))</f>
        <v>0</v>
      </c>
      <c r="Q148" s="2">
        <f t="shared" si="2"/>
        <v>-4.72</v>
      </c>
      <c r="R148" s="11"/>
      <c r="S148" s="2">
        <f t="shared" si="3"/>
        <v>-4.72</v>
      </c>
      <c r="T148" s="2" t="str">
        <f t="shared" si="4"/>
        <v>BUF -4.7</v>
      </c>
      <c r="U148" s="2" t="str">
        <f t="array" ref="U148">IF($B148="","",IFERROR(INDEX(MktHomeSpread,MATCH($B148,MktGameID,0)),""))</f>
        <v/>
      </c>
      <c r="V148" s="2" t="str">
        <f t="shared" si="5"/>
        <v/>
      </c>
      <c r="W148" s="2" t="str">
        <f t="shared" si="6"/>
        <v/>
      </c>
      <c r="X148" s="2" t="str">
        <f t="shared" si="7"/>
        <v/>
      </c>
      <c r="Y148" s="2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2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2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2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2">
        <f t="array" ref="AC148">IF($B148="","",IFERROR(INDEX(QBTotEff,MATCH($F148,QBTeams,0)),0)+IFERROR(INDEX(QBTotEff,MATCH($E148,QBTeams,0)),0))</f>
        <v>0</v>
      </c>
      <c r="AD148" s="2">
        <f>IF($B148="","",SUMIFS(AdjTot,AdjGameID,$B148,AdjActive,1))</f>
        <v>0</v>
      </c>
      <c r="AE148" s="2">
        <f t="shared" si="8"/>
        <v>0</v>
      </c>
      <c r="AF148" s="11"/>
      <c r="AG148" s="2">
        <f t="shared" si="9"/>
        <v>0</v>
      </c>
      <c r="AH148" s="2" t="str">
        <f t="array" ref="AH148">IF($B148="","",IFERROR(INDEX(MktTotal,MATCH($B148,MktGameID,0)),""))</f>
        <v/>
      </c>
      <c r="AI148" s="2" t="str">
        <f t="shared" si="10"/>
        <v/>
      </c>
      <c r="AJ148" s="2" t="str">
        <f t="shared" si="11"/>
        <v/>
      </c>
      <c r="AK148" s="2" t="str">
        <f t="shared" si="12"/>
        <v/>
      </c>
      <c r="AL148" s="2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2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2" t="str">
        <f>IF($AG148="","","BET OVER at ≤ "&amp;TEXT($AG148-BetTot,"0.0")&amp;"  |  BET UNDER at ≥ "&amp;TEXT($AG148+BetTot,"0.0"))</f>
        <v>BET OVER at ≤ -3.0  |  BET UNDER at ≥ 3.0</v>
      </c>
      <c r="AO148" s="2" t="str">
        <f t="array" ref="AO148">IF($B148="","",IF(OR(IFERROR(INDEX(QBFlag,MATCH($F148,QBTeams,0)),1)=1,IFERROR(INDEX(QBFlag,MATCH($E148,QBTeams,0)),1)=1),"QB UNCERTAIN",""))</f>
        <v/>
      </c>
      <c r="AP148" s="2" t="str">
        <f t="array" ref="AP148">IF($B148="","",IFERROR(INDEX(DQStatus,MATCH($B148,DQGameID,0)),"BLOCKED — DQ ROW NOT FOUND"))</f>
        <v>READY</v>
      </c>
      <c r="AQ148" s="2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2" t="str">
        <f t="shared" si="13"/>
        <v/>
      </c>
      <c r="AS148" s="2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2" t="str">
        <f t="shared" si="14"/>
        <v/>
      </c>
      <c r="AU148" s="11"/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9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2" t="str">
        <f t="array" ref="G149">IF($B149="","",IF(INDEX(SchedZone,MATCH($A149,SchedSeq,0),MAP!$B$14)="Neutral","Y",""))</f>
        <v/>
      </c>
      <c r="H149" s="2" t="str">
        <f t="array" ref="H149">IF($B149="","",INDEX(SchedZone,MATCH($A149,SchedSeq,0),MAP!$B$17))</f>
        <v>outdoors</v>
      </c>
      <c r="I149" s="2" t="str">
        <f>IF(OR($B149="",$C149&lt;&gt;CurrentWeek),"",COUNTIF($C$5:$C149,CurrentWeek))</f>
        <v/>
      </c>
      <c r="J149" s="2">
        <f t="array" ref="J149">IF($B149="","",IFERROR(INDEX(RatEff,MATCH($E149,RatTeams,0)),"⚠ TEAM NOT FOUND"))</f>
        <v>3.22</v>
      </c>
      <c r="K149" s="2">
        <f t="array" ref="K149">IF($B149="","",IFERROR(INDEX(RatEff,MATCH($F149,RatTeams,0)),"⚠ TEAM NOT FOUND"))</f>
        <v>-3.14</v>
      </c>
      <c r="L149" s="2">
        <f t="shared" si="1"/>
        <v>-6.36</v>
      </c>
      <c r="M149" s="2">
        <f t="array" ref="M149">IF($B149="","",IF($G149="Y",NeutralHFA,IFERROR(INDEX(HFAexcVal,MATCH($F149,HFAexcTeam,0)),HFA_Base)))</f>
        <v>1.6</v>
      </c>
      <c r="N149" s="2">
        <f t="array" ref="N149">IF($B149="","",IFERROR(INDEX(QBSpreadEff,MATCH($F149,QBTeams,0)),0)-IFERROR(INDEX(QBSpreadEff,MATCH($E149,QBTeams,0)),0))</f>
        <v>0</v>
      </c>
      <c r="O149" s="2">
        <f t="array" ref="O149">IF($B149="","",IFERROR(MEDIAN(-RestCapPts,RestCapPts,RestPerDay*(INDEX(SchedZone,MATCH($A149,SchedSeq,0),MAP!$B$16)-INDEX(SchedZone,MATCH($A149,SchedSeq,0),MAP!$B$15))),0))</f>
        <v>0.4</v>
      </c>
      <c r="P149" s="2">
        <f>IF($B149="","",SUMIFS(AdjSpread,AdjGameID,$B149,AdjTeam,$F149,AdjActive,1)-SUMIFS(AdjSpread,AdjGameID,$B149,AdjTeam,$E149,AdjActive,1))</f>
        <v>0</v>
      </c>
      <c r="Q149" s="2">
        <f t="shared" si="2"/>
        <v>-4.36</v>
      </c>
      <c r="R149" s="11"/>
      <c r="S149" s="2">
        <f t="shared" si="3"/>
        <v>-4.36</v>
      </c>
      <c r="T149" s="2" t="str">
        <f t="shared" si="4"/>
        <v>JAX -4.4</v>
      </c>
      <c r="U149" s="2" t="str">
        <f t="array" ref="U149">IF($B149="","",IFERROR(INDEX(MktHomeSpread,MATCH($B149,MktGameID,0)),""))</f>
        <v/>
      </c>
      <c r="V149" s="2" t="str">
        <f t="shared" si="5"/>
        <v/>
      </c>
      <c r="W149" s="2" t="str">
        <f t="shared" si="6"/>
        <v/>
      </c>
      <c r="X149" s="2" t="str">
        <f t="shared" si="7"/>
        <v/>
      </c>
      <c r="Y149" s="2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2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2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2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2">
        <f t="array" ref="AC149">IF($B149="","",IFERROR(INDEX(QBTotEff,MATCH($F149,QBTeams,0)),0)+IFERROR(INDEX(QBTotEff,MATCH($E149,QBTeams,0)),0))</f>
        <v>0</v>
      </c>
      <c r="AD149" s="2">
        <f>IF($B149="","",SUMIFS(AdjTot,AdjGameID,$B149,AdjActive,1))</f>
        <v>0</v>
      </c>
      <c r="AE149" s="2">
        <f t="shared" si="8"/>
        <v>0</v>
      </c>
      <c r="AF149" s="11"/>
      <c r="AG149" s="2">
        <f t="shared" si="9"/>
        <v>0</v>
      </c>
      <c r="AH149" s="2" t="str">
        <f t="array" ref="AH149">IF($B149="","",IFERROR(INDEX(MktTotal,MATCH($B149,MktGameID,0)),""))</f>
        <v/>
      </c>
      <c r="AI149" s="2" t="str">
        <f t="shared" si="10"/>
        <v/>
      </c>
      <c r="AJ149" s="2" t="str">
        <f t="shared" si="11"/>
        <v/>
      </c>
      <c r="AK149" s="2" t="str">
        <f t="shared" si="12"/>
        <v/>
      </c>
      <c r="AL149" s="2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2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2" t="str">
        <f>IF($AG149="","","BET OVER at ≤ "&amp;TEXT($AG149-BetTot,"0.0")&amp;"  |  BET UNDER at ≥ "&amp;TEXT($AG149+BetTot,"0.0"))</f>
        <v>BET OVER at ≤ -3.0  |  BET UNDER at ≥ 3.0</v>
      </c>
      <c r="AO149" s="2" t="str">
        <f t="array" ref="AO149">IF($B149="","",IF(OR(IFERROR(INDEX(QBFlag,MATCH($F149,QBTeams,0)),1)=1,IFERROR(INDEX(QBFlag,MATCH($E149,QBTeams,0)),1)=1),"QB UNCERTAIN",""))</f>
        <v/>
      </c>
      <c r="AP149" s="2" t="str">
        <f t="array" ref="AP149">IF($B149="","",IFERROR(INDEX(DQStatus,MATCH($B149,DQGameID,0)),"BLOCKED — DQ ROW NOT FOUND"))</f>
        <v>READY</v>
      </c>
      <c r="AQ149" s="2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2" t="str">
        <f t="shared" si="13"/>
        <v/>
      </c>
      <c r="AS149" s="2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2" t="str">
        <f t="shared" si="14"/>
        <v/>
      </c>
      <c r="AU149" s="11"/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9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2" t="str">
        <f t="array" ref="G150">IF($B150="","",IF(INDEX(SchedZone,MATCH($A150,SchedSeq,0),MAP!$B$14)="Neutral","Y",""))</f>
        <v/>
      </c>
      <c r="H150" s="2" t="str">
        <f t="array" ref="H150">IF($B150="","",INDEX(SchedZone,MATCH($A150,SchedSeq,0),MAP!$B$17))</f>
        <v/>
      </c>
      <c r="I150" s="2" t="str">
        <f>IF(OR($B150="",$C150&lt;&gt;CurrentWeek),"",COUNTIF($C$5:$C150,CurrentWeek))</f>
        <v/>
      </c>
      <c r="J150" s="2">
        <f t="array" ref="J150">IF($B150="","",IFERROR(INDEX(RatEff,MATCH($E150,RatTeams,0)),"⚠ TEAM NOT FOUND"))</f>
        <v>4.09</v>
      </c>
      <c r="K150" s="2">
        <f t="array" ref="K150">IF($B150="","",IFERROR(INDEX(RatEff,MATCH($F150,RatTeams,0)),"⚠ TEAM NOT FOUND"))</f>
        <v>-2.07</v>
      </c>
      <c r="L150" s="2">
        <f t="shared" si="1"/>
        <v>-6.16</v>
      </c>
      <c r="M150" s="2">
        <f t="array" ref="M150">IF($B150="","",IF($G150="Y",NeutralHFA,IFERROR(INDEX(HFAexcVal,MATCH($F150,HFAexcTeam,0)),HFA_Base)))</f>
        <v>1.6</v>
      </c>
      <c r="N150" s="2">
        <f t="array" ref="N150">IF($B150="","",IFERROR(INDEX(QBSpreadEff,MATCH($F150,QBTeams,0)),0)-IFERROR(INDEX(QBSpreadEff,MATCH($E150,QBTeams,0)),0))</f>
        <v>0</v>
      </c>
      <c r="O150" s="2">
        <f t="array" ref="O150">IF($B150="","",IFERROR(MEDIAN(-RestCapPts,RestCapPts,RestPerDay*(INDEX(SchedZone,MATCH($A150,SchedSeq,0),MAP!$B$16)-INDEX(SchedZone,MATCH($A150,SchedSeq,0),MAP!$B$15))),0))</f>
        <v>0</v>
      </c>
      <c r="P150" s="2">
        <f>IF($B150="","",SUMIFS(AdjSpread,AdjGameID,$B150,AdjTeam,$F150,AdjActive,1)-SUMIFS(AdjSpread,AdjGameID,$B150,AdjTeam,$E150,AdjActive,1))</f>
        <v>0</v>
      </c>
      <c r="Q150" s="2">
        <f t="shared" si="2"/>
        <v>-4.56</v>
      </c>
      <c r="R150" s="11"/>
      <c r="S150" s="2">
        <f t="shared" si="3"/>
        <v>-4.56</v>
      </c>
      <c r="T150" s="2" t="str">
        <f t="shared" si="4"/>
        <v>LA -4.6</v>
      </c>
      <c r="U150" s="2" t="str">
        <f t="array" ref="U150">IF($B150="","",IFERROR(INDEX(MktHomeSpread,MATCH($B150,MktGameID,0)),""))</f>
        <v/>
      </c>
      <c r="V150" s="2" t="str">
        <f t="shared" si="5"/>
        <v/>
      </c>
      <c r="W150" s="2" t="str">
        <f t="shared" si="6"/>
        <v/>
      </c>
      <c r="X150" s="2" t="str">
        <f t="shared" si="7"/>
        <v/>
      </c>
      <c r="Y150" s="2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2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2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2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2">
        <f t="array" ref="AC150">IF($B150="","",IFERROR(INDEX(QBTotEff,MATCH($F150,QBTeams,0)),0)+IFERROR(INDEX(QBTotEff,MATCH($E150,QBTeams,0)),0))</f>
        <v>0</v>
      </c>
      <c r="AD150" s="2">
        <f>IF($B150="","",SUMIFS(AdjTot,AdjGameID,$B150,AdjActive,1))</f>
        <v>0</v>
      </c>
      <c r="AE150" s="2">
        <f t="shared" si="8"/>
        <v>0</v>
      </c>
      <c r="AF150" s="11"/>
      <c r="AG150" s="2">
        <f t="shared" si="9"/>
        <v>0</v>
      </c>
      <c r="AH150" s="2" t="str">
        <f t="array" ref="AH150">IF($B150="","",IFERROR(INDEX(MktTotal,MATCH($B150,MktGameID,0)),""))</f>
        <v/>
      </c>
      <c r="AI150" s="2" t="str">
        <f t="shared" si="10"/>
        <v/>
      </c>
      <c r="AJ150" s="2" t="str">
        <f t="shared" si="11"/>
        <v/>
      </c>
      <c r="AK150" s="2" t="str">
        <f t="shared" si="12"/>
        <v/>
      </c>
      <c r="AL150" s="2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Low</v>
      </c>
      <c r="AM150" s="2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2" t="str">
        <f>IF($AG150="","","BET OVER at ≤ "&amp;TEXT($AG150-BetTot,"0.0")&amp;"  |  BET UNDER at ≥ "&amp;TEXT($AG150+BetTot,"0.0"))</f>
        <v>BET OVER at ≤ -3.0  |  BET UNDER at ≥ 3.0</v>
      </c>
      <c r="AO150" s="2" t="str">
        <f t="array" ref="AO150">IF($B150="","",IF(OR(IFERROR(INDEX(QBFlag,MATCH($F150,QBTeams,0)),1)=1,IFERROR(INDEX(QBFlag,MATCH($E150,QBTeams,0)),1)=1),"QB UNCERTAIN",""))</f>
        <v>QB UNCERTAIN</v>
      </c>
      <c r="AP150" s="2" t="str">
        <f t="array" ref="AP150">IF($B150="","",IFERROR(INDEX(DQStatus,MATCH($B150,DQGameID,0)),"BLOCKED — DQ ROW NOT FOUND"))</f>
        <v>READY</v>
      </c>
      <c r="AQ150" s="2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2" t="str">
        <f t="shared" si="13"/>
        <v/>
      </c>
      <c r="AS150" s="2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2" t="str">
        <f t="shared" si="14"/>
        <v/>
      </c>
      <c r="AU150" s="11"/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9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2" t="str">
        <f t="array" ref="G151">IF($B151="","",IF(INDEX(SchedZone,MATCH($A151,SchedSeq,0),MAP!$B$14)="Neutral","Y",""))</f>
        <v/>
      </c>
      <c r="H151" s="2" t="str">
        <f t="array" ref="H151">IF($B151="","",INDEX(SchedZone,MATCH($A151,SchedSeq,0),MAP!$B$17))</f>
        <v>dome</v>
      </c>
      <c r="I151" s="2" t="str">
        <f>IF(OR($B151="",$C151&lt;&gt;CurrentWeek),"",COUNTIF($C$5:$C151,CurrentWeek))</f>
        <v/>
      </c>
      <c r="J151" s="2">
        <f t="array" ref="J151">IF($B151="","",IFERROR(INDEX(RatEff,MATCH($E151,RatTeams,0)),"⚠ TEAM NOT FOUND"))</f>
        <v>4.1</v>
      </c>
      <c r="K151" s="2">
        <f t="array" ref="K151">IF($B151="","",IFERROR(INDEX(RatEff,MATCH($F151,RatTeams,0)),"⚠ TEAM NOT FOUND"))</f>
        <v>-3.52</v>
      </c>
      <c r="L151" s="2">
        <f t="shared" si="1"/>
        <v>-7.62</v>
      </c>
      <c r="M151" s="2">
        <f t="array" ref="M151">IF($B151="","",IF($G151="Y",NeutralHFA,IFERROR(INDEX(HFAexcVal,MATCH($F151,HFAexcTeam,0)),HFA_Base)))</f>
        <v>1.6</v>
      </c>
      <c r="N151" s="2">
        <f t="array" ref="N151">IF($B151="","",IFERROR(INDEX(QBSpreadEff,MATCH($F151,QBTeams,0)),0)-IFERROR(INDEX(QBSpreadEff,MATCH($E151,QBTeams,0)),0))</f>
        <v>0</v>
      </c>
      <c r="O151" s="2">
        <f t="array" ref="O151">IF($B151="","",IFERROR(MEDIAN(-RestCapPts,RestCapPts,RestPerDay*(INDEX(SchedZone,MATCH($A151,SchedSeq,0),MAP!$B$16)-INDEX(SchedZone,MATCH($A151,SchedSeq,0),MAP!$B$15))),0))</f>
        <v>0</v>
      </c>
      <c r="P151" s="2">
        <f>IF($B151="","",SUMIFS(AdjSpread,AdjGameID,$B151,AdjTeam,$F151,AdjActive,1)-SUMIFS(AdjSpread,AdjGameID,$B151,AdjTeam,$E151,AdjActive,1))</f>
        <v>0</v>
      </c>
      <c r="Q151" s="2">
        <f t="shared" si="2"/>
        <v>-6.02</v>
      </c>
      <c r="R151" s="11"/>
      <c r="S151" s="2">
        <f t="shared" si="3"/>
        <v>-6.02</v>
      </c>
      <c r="T151" s="2" t="str">
        <f t="shared" si="4"/>
        <v>SEA -6.0</v>
      </c>
      <c r="U151" s="2" t="str">
        <f t="array" ref="U151">IF($B151="","",IFERROR(INDEX(MktHomeSpread,MATCH($B151,MktGameID,0)),""))</f>
        <v/>
      </c>
      <c r="V151" s="2" t="str">
        <f t="shared" si="5"/>
        <v/>
      </c>
      <c r="W151" s="2" t="str">
        <f t="shared" si="6"/>
        <v/>
      </c>
      <c r="X151" s="2" t="str">
        <f t="shared" si="7"/>
        <v/>
      </c>
      <c r="Y151" s="2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2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2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2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2">
        <f t="array" ref="AC151">IF($B151="","",IFERROR(INDEX(QBTotEff,MATCH($F151,QBTeams,0)),0)+IFERROR(INDEX(QBTotEff,MATCH($E151,QBTeams,0)),0))</f>
        <v>0</v>
      </c>
      <c r="AD151" s="2">
        <f>IF($B151="","",SUMIFS(AdjTot,AdjGameID,$B151,AdjActive,1))</f>
        <v>0</v>
      </c>
      <c r="AE151" s="2">
        <f t="shared" si="8"/>
        <v>0</v>
      </c>
      <c r="AF151" s="11"/>
      <c r="AG151" s="2">
        <f t="shared" si="9"/>
        <v>0</v>
      </c>
      <c r="AH151" s="2" t="str">
        <f t="array" ref="AH151">IF($B151="","",IFERROR(INDEX(MktTotal,MATCH($B151,MktGameID,0)),""))</f>
        <v/>
      </c>
      <c r="AI151" s="2" t="str">
        <f t="shared" si="10"/>
        <v/>
      </c>
      <c r="AJ151" s="2" t="str">
        <f t="shared" si="11"/>
        <v/>
      </c>
      <c r="AK151" s="2" t="str">
        <f t="shared" si="12"/>
        <v/>
      </c>
      <c r="AL151" s="2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2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2" t="str">
        <f>IF($AG151="","","BET OVER at ≤ "&amp;TEXT($AG151-BetTot,"0.0")&amp;"  |  BET UNDER at ≥ "&amp;TEXT($AG151+BetTot,"0.0"))</f>
        <v>BET OVER at ≤ -3.0  |  BET UNDER at ≥ 3.0</v>
      </c>
      <c r="AO151" s="2" t="str">
        <f t="array" ref="AO151">IF($B151="","",IF(OR(IFERROR(INDEX(QBFlag,MATCH($F151,QBTeams,0)),1)=1,IFERROR(INDEX(QBFlag,MATCH($E151,QBTeams,0)),1)=1),"QB UNCERTAIN",""))</f>
        <v/>
      </c>
      <c r="AP151" s="2" t="str">
        <f t="array" ref="AP151">IF($B151="","",IFERROR(INDEX(DQStatus,MATCH($B151,DQGameID,0)),"BLOCKED — DQ ROW NOT FOUND"))</f>
        <v>READY</v>
      </c>
      <c r="AQ151" s="2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2" t="str">
        <f t="shared" si="13"/>
        <v/>
      </c>
      <c r="AS151" s="2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2" t="str">
        <f t="shared" si="14"/>
        <v/>
      </c>
      <c r="AU151" s="11"/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9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2" t="str">
        <f t="array" ref="G152">IF($B152="","",IF(INDEX(SchedZone,MATCH($A152,SchedSeq,0),MAP!$B$14)="Neutral","Y",""))</f>
        <v/>
      </c>
      <c r="H152" s="2" t="str">
        <f t="array" ref="H152">IF($B152="","",INDEX(SchedZone,MATCH($A152,SchedSeq,0),MAP!$B$17))</f>
        <v/>
      </c>
      <c r="I152" s="2" t="str">
        <f>IF(OR($B152="",$C152&lt;&gt;CurrentWeek),"",COUNTIF($C$5:$C152,CurrentWeek))</f>
        <v/>
      </c>
      <c r="J152" s="2">
        <f t="array" ref="J152">IF($B152="","",IFERROR(INDEX(RatEff,MATCH($E152,RatTeams,0)),"⚠ TEAM NOT FOUND"))</f>
        <v>1.78</v>
      </c>
      <c r="K152" s="2">
        <f t="array" ref="K152">IF($B152="","",IFERROR(INDEX(RatEff,MATCH($F152,RatTeams,0)),"⚠ TEAM NOT FOUND"))</f>
        <v>-2.26</v>
      </c>
      <c r="L152" s="2">
        <f t="shared" si="1"/>
        <v>-4.04</v>
      </c>
      <c r="M152" s="2">
        <f t="array" ref="M152">IF($B152="","",IF($G152="Y",NeutralHFA,IFERROR(INDEX(HFAexcVal,MATCH($F152,HFAexcTeam,0)),HFA_Base)))</f>
        <v>1.6</v>
      </c>
      <c r="N152" s="2">
        <f t="array" ref="N152">IF($B152="","",IFERROR(INDEX(QBSpreadEff,MATCH($F152,QBTeams,0)),0)-IFERROR(INDEX(QBSpreadEff,MATCH($E152,QBTeams,0)),0))</f>
        <v>0</v>
      </c>
      <c r="O152" s="2">
        <f t="array" ref="O152">IF($B152="","",IFERROR(MEDIAN(-RestCapPts,RestCapPts,RestPerDay*(INDEX(SchedZone,MATCH($A152,SchedSeq,0),MAP!$B$16)-INDEX(SchedZone,MATCH($A152,SchedSeq,0),MAP!$B$15))),0))</f>
        <v>0</v>
      </c>
      <c r="P152" s="2">
        <f>IF($B152="","",SUMIFS(AdjSpread,AdjGameID,$B152,AdjTeam,$F152,AdjActive,1)-SUMIFS(AdjSpread,AdjGameID,$B152,AdjTeam,$E152,AdjActive,1))</f>
        <v>0</v>
      </c>
      <c r="Q152" s="2">
        <f t="shared" si="2"/>
        <v>-2.44</v>
      </c>
      <c r="R152" s="11"/>
      <c r="S152" s="2">
        <f t="shared" si="3"/>
        <v>-2.44</v>
      </c>
      <c r="T152" s="2" t="str">
        <f t="shared" si="4"/>
        <v>SF -2.4</v>
      </c>
      <c r="U152" s="2" t="str">
        <f t="array" ref="U152">IF($B152="","",IFERROR(INDEX(MktHomeSpread,MATCH($B152,MktGameID,0)),""))</f>
        <v/>
      </c>
      <c r="V152" s="2" t="str">
        <f t="shared" si="5"/>
        <v/>
      </c>
      <c r="W152" s="2" t="str">
        <f t="shared" si="6"/>
        <v/>
      </c>
      <c r="X152" s="2" t="str">
        <f t="shared" si="7"/>
        <v/>
      </c>
      <c r="Y152" s="2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2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2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2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2">
        <f t="array" ref="AC152">IF($B152="","",IFERROR(INDEX(QBTotEff,MATCH($F152,QBTeams,0)),0)+IFERROR(INDEX(QBTotEff,MATCH($E152,QBTeams,0)),0))</f>
        <v>0</v>
      </c>
      <c r="AD152" s="2">
        <f>IF($B152="","",SUMIFS(AdjTot,AdjGameID,$B152,AdjActive,1))</f>
        <v>0</v>
      </c>
      <c r="AE152" s="2">
        <f t="shared" si="8"/>
        <v>0</v>
      </c>
      <c r="AF152" s="11"/>
      <c r="AG152" s="2">
        <f t="shared" si="9"/>
        <v>0</v>
      </c>
      <c r="AH152" s="2" t="str">
        <f t="array" ref="AH152">IF($B152="","",IFERROR(INDEX(MktTotal,MATCH($B152,MktGameID,0)),""))</f>
        <v/>
      </c>
      <c r="AI152" s="2" t="str">
        <f t="shared" si="10"/>
        <v/>
      </c>
      <c r="AJ152" s="2" t="str">
        <f t="shared" si="11"/>
        <v/>
      </c>
      <c r="AK152" s="2" t="str">
        <f t="shared" si="12"/>
        <v/>
      </c>
      <c r="AL152" s="2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2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2" t="str">
        <f>IF($AG152="","","BET OVER at ≤ "&amp;TEXT($AG152-BetTot,"0.0")&amp;"  |  BET UNDER at ≥ "&amp;TEXT($AG152+BetTot,"0.0"))</f>
        <v>BET OVER at ≤ -3.0  |  BET UNDER at ≥ 3.0</v>
      </c>
      <c r="AO152" s="2" t="str">
        <f t="array" ref="AO152">IF($B152="","",IF(OR(IFERROR(INDEX(QBFlag,MATCH($F152,QBTeams,0)),1)=1,IFERROR(INDEX(QBFlag,MATCH($E152,QBTeams,0)),1)=1),"QB UNCERTAIN",""))</f>
        <v/>
      </c>
      <c r="AP152" s="2" t="str">
        <f t="array" ref="AP152">IF($B152="","",IFERROR(INDEX(DQStatus,MATCH($B152,DQGameID,0)),"BLOCKED — DQ ROW NOT FOUND"))</f>
        <v>READY</v>
      </c>
      <c r="AQ152" s="2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2" t="str">
        <f t="shared" si="13"/>
        <v/>
      </c>
      <c r="AS152" s="2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2" t="str">
        <f t="shared" si="14"/>
        <v/>
      </c>
      <c r="AU152" s="11"/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9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2" t="str">
        <f t="array" ref="G153">IF($B153="","",IF(INDEX(SchedZone,MATCH($A153,SchedSeq,0),MAP!$B$14)="Neutral","Y",""))</f>
        <v/>
      </c>
      <c r="H153" s="2" t="str">
        <f t="array" ref="H153">IF($B153="","",INDEX(SchedZone,MATCH($A153,SchedSeq,0),MAP!$B$17))</f>
        <v>outdoors</v>
      </c>
      <c r="I153" s="2" t="str">
        <f>IF(OR($B153="",$C153&lt;&gt;CurrentWeek),"",COUNTIF($C$5:$C153,CurrentWeek))</f>
        <v/>
      </c>
      <c r="J153" s="2">
        <f t="array" ref="J153">IF($B153="","",IFERROR(INDEX(RatEff,MATCH($E153,RatTeams,0)),"⚠ TEAM NOT FOUND"))</f>
        <v>0.66</v>
      </c>
      <c r="K153" s="2">
        <f t="array" ref="K153">IF($B153="","",IFERROR(INDEX(RatEff,MATCH($F153,RatTeams,0)),"⚠ TEAM NOT FOUND"))</f>
        <v>-1.53</v>
      </c>
      <c r="L153" s="2">
        <f t="shared" si="1"/>
        <v>-2.19</v>
      </c>
      <c r="M153" s="2">
        <f t="array" ref="M153">IF($B153="","",IF($G153="Y",NeutralHFA,IFERROR(INDEX(HFAexcVal,MATCH($F153,HFAexcTeam,0)),HFA_Base)))</f>
        <v>1.6</v>
      </c>
      <c r="N153" s="2">
        <f t="array" ref="N153">IF($B153="","",IFERROR(INDEX(QBSpreadEff,MATCH($F153,QBTeams,0)),0)-IFERROR(INDEX(QBSpreadEff,MATCH($E153,QBTeams,0)),0))</f>
        <v>0</v>
      </c>
      <c r="O153" s="2">
        <f t="array" ref="O153">IF($B153="","",IFERROR(MEDIAN(-RestCapPts,RestCapPts,RestPerDay*(INDEX(SchedZone,MATCH($A153,SchedSeq,0),MAP!$B$16)-INDEX(SchedZone,MATCH($A153,SchedSeq,0),MAP!$B$15))),0))</f>
        <v>-0.7</v>
      </c>
      <c r="P153" s="2">
        <f>IF($B153="","",SUMIFS(AdjSpread,AdjGameID,$B153,AdjTeam,$F153,AdjActive,1)-SUMIFS(AdjSpread,AdjGameID,$B153,AdjTeam,$E153,AdjActive,1))</f>
        <v>0</v>
      </c>
      <c r="Q153" s="2">
        <f t="shared" si="2"/>
        <v>-1.29</v>
      </c>
      <c r="R153" s="11"/>
      <c r="S153" s="2">
        <f t="shared" si="3"/>
        <v>-1.29</v>
      </c>
      <c r="T153" s="2" t="str">
        <f t="shared" si="4"/>
        <v>PIT -1.3</v>
      </c>
      <c r="U153" s="2" t="str">
        <f t="array" ref="U153">IF($B153="","",IFERROR(INDEX(MktHomeSpread,MATCH($B153,MktGameID,0)),""))</f>
        <v/>
      </c>
      <c r="V153" s="2" t="str">
        <f t="shared" si="5"/>
        <v/>
      </c>
      <c r="W153" s="2" t="str">
        <f t="shared" si="6"/>
        <v/>
      </c>
      <c r="X153" s="2" t="str">
        <f t="shared" si="7"/>
        <v/>
      </c>
      <c r="Y153" s="2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2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2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2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2">
        <f t="array" ref="AC153">IF($B153="","",IFERROR(INDEX(QBTotEff,MATCH($F153,QBTeams,0)),0)+IFERROR(INDEX(QBTotEff,MATCH($E153,QBTeams,0)),0))</f>
        <v>0</v>
      </c>
      <c r="AD153" s="2">
        <f>IF($B153="","",SUMIFS(AdjTot,AdjGameID,$B153,AdjActive,1))</f>
        <v>0</v>
      </c>
      <c r="AE153" s="2">
        <f t="shared" si="8"/>
        <v>0</v>
      </c>
      <c r="AF153" s="11"/>
      <c r="AG153" s="2">
        <f t="shared" si="9"/>
        <v>0</v>
      </c>
      <c r="AH153" s="2" t="str">
        <f t="array" ref="AH153">IF($B153="","",IFERROR(INDEX(MktTotal,MATCH($B153,MktGameID,0)),""))</f>
        <v/>
      </c>
      <c r="AI153" s="2" t="str">
        <f t="shared" si="10"/>
        <v/>
      </c>
      <c r="AJ153" s="2" t="str">
        <f t="shared" si="11"/>
        <v/>
      </c>
      <c r="AK153" s="2" t="str">
        <f t="shared" si="12"/>
        <v/>
      </c>
      <c r="AL153" s="2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2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2" t="str">
        <f>IF($AG153="","","BET OVER at ≤ "&amp;TEXT($AG153-BetTot,"0.0")&amp;"  |  BET UNDER at ≥ "&amp;TEXT($AG153+BetTot,"0.0"))</f>
        <v>BET OVER at ≤ -3.0  |  BET UNDER at ≥ 3.0</v>
      </c>
      <c r="AO153" s="2" t="str">
        <f t="array" ref="AO153">IF($B153="","",IF(OR(IFERROR(INDEX(QBFlag,MATCH($F153,QBTeams,0)),1)=1,IFERROR(INDEX(QBFlag,MATCH($E153,QBTeams,0)),1)=1),"QB UNCERTAIN",""))</f>
        <v/>
      </c>
      <c r="AP153" s="2" t="str">
        <f t="array" ref="AP153">IF($B153="","",IFERROR(INDEX(DQStatus,MATCH($B153,DQGameID,0)),"BLOCKED — DQ ROW NOT FOUND"))</f>
        <v>READY</v>
      </c>
      <c r="AQ153" s="2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2" t="str">
        <f t="shared" si="13"/>
        <v/>
      </c>
      <c r="AS153" s="2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2" t="str">
        <f t="shared" si="14"/>
        <v/>
      </c>
      <c r="AU153" s="11"/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9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2" t="str">
        <f t="array" ref="G154">IF($B154="","",IF(INDEX(SchedZone,MATCH($A154,SchedSeq,0),MAP!$B$14)="Neutral","Y",""))</f>
        <v/>
      </c>
      <c r="H154" s="2" t="str">
        <f t="array" ref="H154">IF($B154="","",INDEX(SchedZone,MATCH($A154,SchedSeq,0),MAP!$B$17))</f>
        <v>outdoors</v>
      </c>
      <c r="I154" s="2" t="str">
        <f>IF(OR($B154="",$C154&lt;&gt;CurrentWeek),"",COUNTIF($C$5:$C154,CurrentWeek))</f>
        <v/>
      </c>
      <c r="J154" s="2">
        <f t="array" ref="J154">IF($B154="","",IFERROR(INDEX(RatEff,MATCH($E154,RatTeams,0)),"⚠ TEAM NOT FOUND"))</f>
        <v>0.56</v>
      </c>
      <c r="K154" s="2">
        <f t="array" ref="K154">IF($B154="","",IFERROR(INDEX(RatEff,MATCH($F154,RatTeams,0)),"⚠ TEAM NOT FOUND"))</f>
        <v>0.92</v>
      </c>
      <c r="L154" s="2">
        <f t="shared" si="1"/>
        <v>0.36</v>
      </c>
      <c r="M154" s="2">
        <f t="array" ref="M154">IF($B154="","",IF($G154="Y",NeutralHFA,IFERROR(INDEX(HFAexcVal,MATCH($F154,HFAexcTeam,0)),HFA_Base)))</f>
        <v>1.6</v>
      </c>
      <c r="N154" s="2">
        <f t="array" ref="N154">IF($B154="","",IFERROR(INDEX(QBSpreadEff,MATCH($F154,QBTeams,0)),0)-IFERROR(INDEX(QBSpreadEff,MATCH($E154,QBTeams,0)),0))</f>
        <v>0</v>
      </c>
      <c r="O154" s="2">
        <f t="array" ref="O154">IF($B154="","",IFERROR(MEDIAN(-RestCapPts,RestCapPts,RestPerDay*(INDEX(SchedZone,MATCH($A154,SchedSeq,0),MAP!$B$16)-INDEX(SchedZone,MATCH($A154,SchedSeq,0),MAP!$B$15))),0))</f>
        <v>0.3</v>
      </c>
      <c r="P154" s="2">
        <f>IF($B154="","",SUMIFS(AdjSpread,AdjGameID,$B154,AdjTeam,$F154,AdjActive,1)-SUMIFS(AdjSpread,AdjGameID,$B154,AdjTeam,$E154,AdjActive,1))</f>
        <v>0</v>
      </c>
      <c r="Q154" s="2">
        <f t="shared" si="2"/>
        <v>2.26</v>
      </c>
      <c r="R154" s="11"/>
      <c r="S154" s="2">
        <f t="shared" si="3"/>
        <v>2.26</v>
      </c>
      <c r="T154" s="2" t="str">
        <f t="shared" si="4"/>
        <v>BAL -2.3</v>
      </c>
      <c r="U154" s="2" t="str">
        <f t="array" ref="U154">IF($B154="","",IFERROR(INDEX(MktHomeSpread,MATCH($B154,MktGameID,0)),""))</f>
        <v/>
      </c>
      <c r="V154" s="2" t="str">
        <f t="shared" si="5"/>
        <v/>
      </c>
      <c r="W154" s="2" t="str">
        <f t="shared" si="6"/>
        <v/>
      </c>
      <c r="X154" s="2" t="str">
        <f t="shared" si="7"/>
        <v/>
      </c>
      <c r="Y154" s="2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2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2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2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2">
        <f t="array" ref="AC154">IF($B154="","",IFERROR(INDEX(QBTotEff,MATCH($F154,QBTeams,0)),0)+IFERROR(INDEX(QBTotEff,MATCH($E154,QBTeams,0)),0))</f>
        <v>0</v>
      </c>
      <c r="AD154" s="2">
        <f>IF($B154="","",SUMIFS(AdjTot,AdjGameID,$B154,AdjActive,1))</f>
        <v>0</v>
      </c>
      <c r="AE154" s="2">
        <f t="shared" si="8"/>
        <v>0</v>
      </c>
      <c r="AF154" s="11"/>
      <c r="AG154" s="2">
        <f t="shared" si="9"/>
        <v>0</v>
      </c>
      <c r="AH154" s="2" t="str">
        <f t="array" ref="AH154">IF($B154="","",IFERROR(INDEX(MktTotal,MATCH($B154,MktGameID,0)),""))</f>
        <v/>
      </c>
      <c r="AI154" s="2" t="str">
        <f t="shared" si="10"/>
        <v/>
      </c>
      <c r="AJ154" s="2" t="str">
        <f t="shared" si="11"/>
        <v/>
      </c>
      <c r="AK154" s="2" t="str">
        <f t="shared" si="12"/>
        <v/>
      </c>
      <c r="AL154" s="2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2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2" t="str">
        <f>IF($AG154="","","BET OVER at ≤ "&amp;TEXT($AG154-BetTot,"0.0")&amp;"  |  BET UNDER at ≥ "&amp;TEXT($AG154+BetTot,"0.0"))</f>
        <v>BET OVER at ≤ -3.0  |  BET UNDER at ≥ 3.0</v>
      </c>
      <c r="AO154" s="2" t="str">
        <f t="array" ref="AO154">IF($B154="","",IF(OR(IFERROR(INDEX(QBFlag,MATCH($F154,QBTeams,0)),1)=1,IFERROR(INDEX(QBFlag,MATCH($E154,QBTeams,0)),1)=1),"QB UNCERTAIN",""))</f>
        <v/>
      </c>
      <c r="AP154" s="2" t="str">
        <f t="array" ref="AP154">IF($B154="","",IFERROR(INDEX(DQStatus,MATCH($B154,DQGameID,0)),"BLOCKED — DQ ROW NOT FOUND"))</f>
        <v>READY</v>
      </c>
      <c r="AQ154" s="2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2" t="str">
        <f t="shared" si="13"/>
        <v/>
      </c>
      <c r="AS154" s="2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2" t="str">
        <f t="shared" si="14"/>
        <v/>
      </c>
      <c r="AU154" s="11"/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9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2" t="str">
        <f t="array" ref="G155">IF($B155="","",IF(INDEX(SchedZone,MATCH($A155,SchedSeq,0),MAP!$B$14)="Neutral","Y",""))</f>
        <v/>
      </c>
      <c r="H155" s="2" t="str">
        <f t="array" ref="H155">IF($B155="","",INDEX(SchedZone,MATCH($A155,SchedSeq,0),MAP!$B$17))</f>
        <v/>
      </c>
      <c r="I155" s="2" t="str">
        <f>IF(OR($B155="",$C155&lt;&gt;CurrentWeek),"",COUNTIF($C$5:$C155,CurrentWeek))</f>
        <v/>
      </c>
      <c r="J155" s="2">
        <f t="array" ref="J155">IF($B155="","",IFERROR(INDEX(RatEff,MATCH($E155,RatTeams,0)),"⚠ TEAM NOT FOUND"))</f>
        <v>0.82</v>
      </c>
      <c r="K155" s="2">
        <f t="array" ref="K155">IF($B155="","",IFERROR(INDEX(RatEff,MATCH($F155,RatTeams,0)),"⚠ TEAM NOT FOUND"))</f>
        <v>2.71</v>
      </c>
      <c r="L155" s="2">
        <f t="shared" si="1"/>
        <v>1.89</v>
      </c>
      <c r="M155" s="2">
        <f t="array" ref="M155">IF($B155="","",IF($G155="Y",NeutralHFA,IFERROR(INDEX(HFAexcVal,MATCH($F155,HFAexcTeam,0)),HFA_Base)))</f>
        <v>1.6</v>
      </c>
      <c r="N155" s="2">
        <f t="array" ref="N155">IF($B155="","",IFERROR(INDEX(QBSpreadEff,MATCH($F155,QBTeams,0)),0)-IFERROR(INDEX(QBSpreadEff,MATCH($E155,QBTeams,0)),0))</f>
        <v>0</v>
      </c>
      <c r="O155" s="2">
        <f t="array" ref="O155">IF($B155="","",IFERROR(MEDIAN(-RestCapPts,RestCapPts,RestPerDay*(INDEX(SchedZone,MATCH($A155,SchedSeq,0),MAP!$B$16)-INDEX(SchedZone,MATCH($A155,SchedSeq,0),MAP!$B$15))),0))</f>
        <v>0</v>
      </c>
      <c r="P155" s="2">
        <f>IF($B155="","",SUMIFS(AdjSpread,AdjGameID,$B155,AdjTeam,$F155,AdjActive,1)-SUMIFS(AdjSpread,AdjGameID,$B155,AdjTeam,$E155,AdjActive,1))</f>
        <v>0</v>
      </c>
      <c r="Q155" s="2">
        <f t="shared" si="2"/>
        <v>3.49</v>
      </c>
      <c r="R155" s="11"/>
      <c r="S155" s="2">
        <f t="shared" si="3"/>
        <v>3.49</v>
      </c>
      <c r="T155" s="2" t="str">
        <f t="shared" si="4"/>
        <v>HOU -3.5</v>
      </c>
      <c r="U155" s="2" t="str">
        <f t="array" ref="U155">IF($B155="","",IFERROR(INDEX(MktHomeSpread,MATCH($B155,MktGameID,0)),""))</f>
        <v/>
      </c>
      <c r="V155" s="2" t="str">
        <f t="shared" si="5"/>
        <v/>
      </c>
      <c r="W155" s="2" t="str">
        <f t="shared" si="6"/>
        <v/>
      </c>
      <c r="X155" s="2" t="str">
        <f t="shared" si="7"/>
        <v/>
      </c>
      <c r="Y155" s="2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2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2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2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2">
        <f t="array" ref="AC155">IF($B155="","",IFERROR(INDEX(QBTotEff,MATCH($F155,QBTeams,0)),0)+IFERROR(INDEX(QBTotEff,MATCH($E155,QBTeams,0)),0))</f>
        <v>0</v>
      </c>
      <c r="AD155" s="2">
        <f>IF($B155="","",SUMIFS(AdjTot,AdjGameID,$B155,AdjActive,1))</f>
        <v>0</v>
      </c>
      <c r="AE155" s="2">
        <f t="shared" si="8"/>
        <v>0</v>
      </c>
      <c r="AF155" s="11"/>
      <c r="AG155" s="2">
        <f t="shared" si="9"/>
        <v>0</v>
      </c>
      <c r="AH155" s="2" t="str">
        <f t="array" ref="AH155">IF($B155="","",IFERROR(INDEX(MktTotal,MATCH($B155,MktGameID,0)),""))</f>
        <v/>
      </c>
      <c r="AI155" s="2" t="str">
        <f t="shared" si="10"/>
        <v/>
      </c>
      <c r="AJ155" s="2" t="str">
        <f t="shared" si="11"/>
        <v/>
      </c>
      <c r="AK155" s="2" t="str">
        <f t="shared" si="12"/>
        <v/>
      </c>
      <c r="AL155" s="2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2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2" t="str">
        <f>IF($AG155="","","BET OVER at ≤ "&amp;TEXT($AG155-BetTot,"0.0")&amp;"  |  BET UNDER at ≥ "&amp;TEXT($AG155+BetTot,"0.0"))</f>
        <v>BET OVER at ≤ -3.0  |  BET UNDER at ≥ 3.0</v>
      </c>
      <c r="AO155" s="2" t="str">
        <f t="array" ref="AO155">IF($B155="","",IF(OR(IFERROR(INDEX(QBFlag,MATCH($F155,QBTeams,0)),1)=1,IFERROR(INDEX(QBFlag,MATCH($E155,QBTeams,0)),1)=1),"QB UNCERTAIN",""))</f>
        <v/>
      </c>
      <c r="AP155" s="2" t="str">
        <f t="array" ref="AP155">IF($B155="","",IFERROR(INDEX(DQStatus,MATCH($B155,DQGameID,0)),"BLOCKED — DQ ROW NOT FOUND"))</f>
        <v>READY</v>
      </c>
      <c r="AQ155" s="2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2" t="str">
        <f t="shared" si="13"/>
        <v/>
      </c>
      <c r="AS155" s="2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2" t="str">
        <f t="shared" si="14"/>
        <v/>
      </c>
      <c r="AU155" s="11"/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9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2" t="str">
        <f t="array" ref="G156">IF($B156="","",IF(INDEX(SchedZone,MATCH($A156,SchedSeq,0),MAP!$B$14)="Neutral","Y",""))</f>
        <v/>
      </c>
      <c r="H156" s="2" t="str">
        <f t="array" ref="H156">IF($B156="","",INDEX(SchedZone,MATCH($A156,SchedSeq,0),MAP!$B$17))</f>
        <v>outdoors</v>
      </c>
      <c r="I156" s="2" t="str">
        <f>IF(OR($B156="",$C156&lt;&gt;CurrentWeek),"",COUNTIF($C$5:$C156,CurrentWeek))</f>
        <v/>
      </c>
      <c r="J156" s="2">
        <f t="array" ref="J156">IF($B156="","",IFERROR(INDEX(RatEff,MATCH($E156,RatTeams,0)),"⚠ TEAM NOT FOUND"))</f>
        <v>-2.64</v>
      </c>
      <c r="K156" s="2">
        <f t="array" ref="K156">IF($B156="","",IFERROR(INDEX(RatEff,MATCH($F156,RatTeams,0)),"⚠ TEAM NOT FOUND"))</f>
        <v>1.75</v>
      </c>
      <c r="L156" s="2">
        <f t="shared" si="1"/>
        <v>4.39</v>
      </c>
      <c r="M156" s="2">
        <f t="array" ref="M156">IF($B156="","",IF($G156="Y",NeutralHFA,IFERROR(INDEX(HFAexcVal,MATCH($F156,HFAexcTeam,0)),HFA_Base)))</f>
        <v>1.6</v>
      </c>
      <c r="N156" s="2">
        <f t="array" ref="N156">IF($B156="","",IFERROR(INDEX(QBSpreadEff,MATCH($F156,QBTeams,0)),0)-IFERROR(INDEX(QBSpreadEff,MATCH($E156,QBTeams,0)),0))</f>
        <v>0</v>
      </c>
      <c r="O156" s="2">
        <f t="array" ref="O156">IF($B156="","",IFERROR(MEDIAN(-RestCapPts,RestCapPts,RestPerDay*(INDEX(SchedZone,MATCH($A156,SchedSeq,0),MAP!$B$16)-INDEX(SchedZone,MATCH($A156,SchedSeq,0),MAP!$B$15))),0))</f>
        <v>0</v>
      </c>
      <c r="P156" s="2">
        <f>IF($B156="","",SUMIFS(AdjSpread,AdjGameID,$B156,AdjTeam,$F156,AdjActive,1)-SUMIFS(AdjSpread,AdjGameID,$B156,AdjTeam,$E156,AdjActive,1))</f>
        <v>0</v>
      </c>
      <c r="Q156" s="2">
        <f t="shared" si="2"/>
        <v>5.99</v>
      </c>
      <c r="R156" s="11"/>
      <c r="S156" s="2">
        <f t="shared" si="3"/>
        <v>5.99</v>
      </c>
      <c r="T156" s="2" t="str">
        <f t="shared" si="4"/>
        <v>BUF -6.0</v>
      </c>
      <c r="U156" s="2" t="str">
        <f t="array" ref="U156">IF($B156="","",IFERROR(INDEX(MktHomeSpread,MATCH($B156,MktGameID,0)),""))</f>
        <v/>
      </c>
      <c r="V156" s="2" t="str">
        <f t="shared" si="5"/>
        <v/>
      </c>
      <c r="W156" s="2" t="str">
        <f t="shared" si="6"/>
        <v/>
      </c>
      <c r="X156" s="2" t="str">
        <f t="shared" si="7"/>
        <v/>
      </c>
      <c r="Y156" s="2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2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2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2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2">
        <f t="array" ref="AC156">IF($B156="","",IFERROR(INDEX(QBTotEff,MATCH($F156,QBTeams,0)),0)+IFERROR(INDEX(QBTotEff,MATCH($E156,QBTeams,0)),0))</f>
        <v>0</v>
      </c>
      <c r="AD156" s="2">
        <f>IF($B156="","",SUMIFS(AdjTot,AdjGameID,$B156,AdjActive,1))</f>
        <v>0</v>
      </c>
      <c r="AE156" s="2">
        <f t="shared" si="8"/>
        <v>0</v>
      </c>
      <c r="AF156" s="11"/>
      <c r="AG156" s="2">
        <f t="shared" si="9"/>
        <v>0</v>
      </c>
      <c r="AH156" s="2" t="str">
        <f t="array" ref="AH156">IF($B156="","",IFERROR(INDEX(MktTotal,MATCH($B156,MktGameID,0)),""))</f>
        <v/>
      </c>
      <c r="AI156" s="2" t="str">
        <f t="shared" si="10"/>
        <v/>
      </c>
      <c r="AJ156" s="2" t="str">
        <f t="shared" si="11"/>
        <v/>
      </c>
      <c r="AK156" s="2" t="str">
        <f t="shared" si="12"/>
        <v/>
      </c>
      <c r="AL156" s="2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2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2" t="str">
        <f>IF($AG156="","","BET OVER at ≤ "&amp;TEXT($AG156-BetTot,"0.0")&amp;"  |  BET UNDER at ≥ "&amp;TEXT($AG156+BetTot,"0.0"))</f>
        <v>BET OVER at ≤ -3.0  |  BET UNDER at ≥ 3.0</v>
      </c>
      <c r="AO156" s="2" t="str">
        <f t="array" ref="AO156">IF($B156="","",IF(OR(IFERROR(INDEX(QBFlag,MATCH($F156,QBTeams,0)),1)=1,IFERROR(INDEX(QBFlag,MATCH($E156,QBTeams,0)),1)=1),"QB UNCERTAIN",""))</f>
        <v/>
      </c>
      <c r="AP156" s="2" t="str">
        <f t="array" ref="AP156">IF($B156="","",IFERROR(INDEX(DQStatus,MATCH($B156,DQGameID,0)),"BLOCKED — DQ ROW NOT FOUND"))</f>
        <v>READY</v>
      </c>
      <c r="AQ156" s="2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2" t="str">
        <f t="shared" si="13"/>
        <v/>
      </c>
      <c r="AS156" s="2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2" t="str">
        <f t="shared" si="14"/>
        <v/>
      </c>
      <c r="AU156" s="11"/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9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2" t="str">
        <f t="array" ref="G157">IF($B157="","",IF(INDEX(SchedZone,MATCH($A157,SchedSeq,0),MAP!$B$14)="Neutral","Y",""))</f>
        <v/>
      </c>
      <c r="H157" s="2" t="str">
        <f t="array" ref="H157">IF($B157="","",INDEX(SchedZone,MATCH($A157,SchedSeq,0),MAP!$B$17))</f>
        <v>outdoors</v>
      </c>
      <c r="I157" s="2" t="str">
        <f>IF(OR($B157="",$C157&lt;&gt;CurrentWeek),"",COUNTIF($C$5:$C157,CurrentWeek))</f>
        <v/>
      </c>
      <c r="J157" s="2">
        <f t="array" ref="J157">IF($B157="","",IFERROR(INDEX(RatEff,MATCH($E157,RatTeams,0)),"⚠ TEAM NOT FOUND"))</f>
        <v>0.92</v>
      </c>
      <c r="K157" s="2">
        <f t="array" ref="K157">IF($B157="","",IFERROR(INDEX(RatEff,MATCH($F157,RatTeams,0)),"⚠ TEAM NOT FOUND"))</f>
        <v>-1.3</v>
      </c>
      <c r="L157" s="2">
        <f t="shared" si="1"/>
        <v>-2.22</v>
      </c>
      <c r="M157" s="2">
        <f t="array" ref="M157">IF($B157="","",IF($G157="Y",NeutralHFA,IFERROR(INDEX(HFAexcVal,MATCH($F157,HFAexcTeam,0)),HFA_Base)))</f>
        <v>1.6</v>
      </c>
      <c r="N157" s="2">
        <f t="array" ref="N157">IF($B157="","",IFERROR(INDEX(QBSpreadEff,MATCH($F157,QBTeams,0)),0)-IFERROR(INDEX(QBSpreadEff,MATCH($E157,QBTeams,0)),0))</f>
        <v>0</v>
      </c>
      <c r="O157" s="2">
        <f t="array" ref="O157">IF($B157="","",IFERROR(MEDIAN(-RestCapPts,RestCapPts,RestPerDay*(INDEX(SchedZone,MATCH($A157,SchedSeq,0),MAP!$B$16)-INDEX(SchedZone,MATCH($A157,SchedSeq,0),MAP!$B$15))),0))</f>
        <v>0.1</v>
      </c>
      <c r="P157" s="2">
        <f>IF($B157="","",SUMIFS(AdjSpread,AdjGameID,$B157,AdjTeam,$F157,AdjActive,1)-SUMIFS(AdjSpread,AdjGameID,$B157,AdjTeam,$E157,AdjActive,1))</f>
        <v>0</v>
      </c>
      <c r="Q157" s="2">
        <f t="shared" si="2"/>
        <v>-0.52</v>
      </c>
      <c r="R157" s="11"/>
      <c r="S157" s="2">
        <f t="shared" si="3"/>
        <v>-0.52</v>
      </c>
      <c r="T157" s="2" t="str">
        <f t="shared" si="4"/>
        <v>BAL -0.5</v>
      </c>
      <c r="U157" s="2" t="str">
        <f t="array" ref="U157">IF($B157="","",IFERROR(INDEX(MktHomeSpread,MATCH($B157,MktGameID,0)),""))</f>
        <v/>
      </c>
      <c r="V157" s="2" t="str">
        <f t="shared" si="5"/>
        <v/>
      </c>
      <c r="W157" s="2" t="str">
        <f t="shared" si="6"/>
        <v/>
      </c>
      <c r="X157" s="2" t="str">
        <f t="shared" si="7"/>
        <v/>
      </c>
      <c r="Y157" s="2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2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2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2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2">
        <f t="array" ref="AC157">IF($B157="","",IFERROR(INDEX(QBTotEff,MATCH($F157,QBTeams,0)),0)+IFERROR(INDEX(QBTotEff,MATCH($E157,QBTeams,0)),0))</f>
        <v>0</v>
      </c>
      <c r="AD157" s="2">
        <f>IF($B157="","",SUMIFS(AdjTot,AdjGameID,$B157,AdjActive,1))</f>
        <v>0</v>
      </c>
      <c r="AE157" s="2">
        <f t="shared" si="8"/>
        <v>0</v>
      </c>
      <c r="AF157" s="11"/>
      <c r="AG157" s="2">
        <f t="shared" si="9"/>
        <v>0</v>
      </c>
      <c r="AH157" s="2" t="str">
        <f t="array" ref="AH157">IF($B157="","",IFERROR(INDEX(MktTotal,MATCH($B157,MktGameID,0)),""))</f>
        <v/>
      </c>
      <c r="AI157" s="2" t="str">
        <f t="shared" si="10"/>
        <v/>
      </c>
      <c r="AJ157" s="2" t="str">
        <f t="shared" si="11"/>
        <v/>
      </c>
      <c r="AK157" s="2" t="str">
        <f t="shared" si="12"/>
        <v/>
      </c>
      <c r="AL157" s="2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2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2" t="str">
        <f>IF($AG157="","","BET OVER at ≤ "&amp;TEXT($AG157-BetTot,"0.0")&amp;"  |  BET UNDER at ≥ "&amp;TEXT($AG157+BetTot,"0.0"))</f>
        <v>BET OVER at ≤ -3.0  |  BET UNDER at ≥ 3.0</v>
      </c>
      <c r="AO157" s="2" t="str">
        <f t="array" ref="AO157">IF($B157="","",IF(OR(IFERROR(INDEX(QBFlag,MATCH($F157,QBTeams,0)),1)=1,IFERROR(INDEX(QBFlag,MATCH($E157,QBTeams,0)),1)=1),"QB UNCERTAIN",""))</f>
        <v/>
      </c>
      <c r="AP157" s="2" t="str">
        <f t="array" ref="AP157">IF($B157="","",IFERROR(INDEX(DQStatus,MATCH($B157,DQGameID,0)),"BLOCKED — DQ ROW NOT FOUND"))</f>
        <v>READY</v>
      </c>
      <c r="AQ157" s="2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2" t="str">
        <f t="shared" si="13"/>
        <v/>
      </c>
      <c r="AS157" s="2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2" t="str">
        <f t="shared" si="14"/>
        <v/>
      </c>
      <c r="AU157" s="11"/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9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2" t="str">
        <f t="array" ref="G158">IF($B158="","",IF(INDEX(SchedZone,MATCH($A158,SchedSeq,0),MAP!$B$14)="Neutral","Y",""))</f>
        <v/>
      </c>
      <c r="H158" s="2" t="str">
        <f t="array" ref="H158">IF($B158="","",INDEX(SchedZone,MATCH($A158,SchedSeq,0),MAP!$B$17))</f>
        <v>outdoors</v>
      </c>
      <c r="I158" s="2" t="str">
        <f>IF(OR($B158="",$C158&lt;&gt;CurrentWeek),"",COUNTIF($C$5:$C158,CurrentWeek))</f>
        <v/>
      </c>
      <c r="J158" s="2">
        <f t="array" ref="J158">IF($B158="","",IFERROR(INDEX(RatEff,MATCH($E158,RatTeams,0)),"⚠ TEAM NOT FOUND"))</f>
        <v>-0.94</v>
      </c>
      <c r="K158" s="2">
        <f t="array" ref="K158">IF($B158="","",IFERROR(INDEX(RatEff,MATCH($F158,RatTeams,0)),"⚠ TEAM NOT FOUND"))</f>
        <v>0.86</v>
      </c>
      <c r="L158" s="2">
        <f t="shared" si="1"/>
        <v>1.8</v>
      </c>
      <c r="M158" s="2">
        <f t="array" ref="M158">IF($B158="","",IF($G158="Y",NeutralHFA,IFERROR(INDEX(HFAexcVal,MATCH($F158,HFAexcTeam,0)),HFA_Base)))</f>
        <v>1.6</v>
      </c>
      <c r="N158" s="2">
        <f t="array" ref="N158">IF($B158="","",IFERROR(INDEX(QBSpreadEff,MATCH($F158,QBTeams,0)),0)-IFERROR(INDEX(QBSpreadEff,MATCH($E158,QBTeams,0)),0))</f>
        <v>0</v>
      </c>
      <c r="O158" s="2">
        <f t="array" ref="O158">IF($B158="","",IFERROR(MEDIAN(-RestCapPts,RestCapPts,RestPerDay*(INDEX(SchedZone,MATCH($A158,SchedSeq,0),MAP!$B$16)-INDEX(SchedZone,MATCH($A158,SchedSeq,0),MAP!$B$15))),0))</f>
        <v>0.7</v>
      </c>
      <c r="P158" s="2">
        <f>IF($B158="","",SUMIFS(AdjSpread,AdjGameID,$B158,AdjTeam,$F158,AdjActive,1)-SUMIFS(AdjSpread,AdjGameID,$B158,AdjTeam,$E158,AdjActive,1))</f>
        <v>0</v>
      </c>
      <c r="Q158" s="2">
        <f t="shared" si="2"/>
        <v>4.1</v>
      </c>
      <c r="R158" s="11"/>
      <c r="S158" s="2">
        <f t="shared" si="3"/>
        <v>4.1</v>
      </c>
      <c r="T158" s="2" t="str">
        <f t="shared" si="4"/>
        <v>CHI -4.1</v>
      </c>
      <c r="U158" s="2" t="str">
        <f t="array" ref="U158">IF($B158="","",IFERROR(INDEX(MktHomeSpread,MATCH($B158,MktGameID,0)),""))</f>
        <v/>
      </c>
      <c r="V158" s="2" t="str">
        <f t="shared" si="5"/>
        <v/>
      </c>
      <c r="W158" s="2" t="str">
        <f t="shared" si="6"/>
        <v/>
      </c>
      <c r="X158" s="2" t="str">
        <f t="shared" si="7"/>
        <v/>
      </c>
      <c r="Y158" s="2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2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2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2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2">
        <f t="array" ref="AC158">IF($B158="","",IFERROR(INDEX(QBTotEff,MATCH($F158,QBTeams,0)),0)+IFERROR(INDEX(QBTotEff,MATCH($E158,QBTeams,0)),0))</f>
        <v>0</v>
      </c>
      <c r="AD158" s="2">
        <f>IF($B158="","",SUMIFS(AdjTot,AdjGameID,$B158,AdjActive,1))</f>
        <v>0</v>
      </c>
      <c r="AE158" s="2">
        <f t="shared" si="8"/>
        <v>0</v>
      </c>
      <c r="AF158" s="11"/>
      <c r="AG158" s="2">
        <f t="shared" si="9"/>
        <v>0</v>
      </c>
      <c r="AH158" s="2" t="str">
        <f t="array" ref="AH158">IF($B158="","",IFERROR(INDEX(MktTotal,MATCH($B158,MktGameID,0)),""))</f>
        <v/>
      </c>
      <c r="AI158" s="2" t="str">
        <f t="shared" si="10"/>
        <v/>
      </c>
      <c r="AJ158" s="2" t="str">
        <f t="shared" si="11"/>
        <v/>
      </c>
      <c r="AK158" s="2" t="str">
        <f t="shared" si="12"/>
        <v/>
      </c>
      <c r="AL158" s="2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2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2" t="str">
        <f>IF($AG158="","","BET OVER at ≤ "&amp;TEXT($AG158-BetTot,"0.0")&amp;"  |  BET UNDER at ≥ "&amp;TEXT($AG158+BetTot,"0.0"))</f>
        <v>BET OVER at ≤ -3.0  |  BET UNDER at ≥ 3.0</v>
      </c>
      <c r="AO158" s="2" t="str">
        <f t="array" ref="AO158">IF($B158="","",IF(OR(IFERROR(INDEX(QBFlag,MATCH($F158,QBTeams,0)),1)=1,IFERROR(INDEX(QBFlag,MATCH($E158,QBTeams,0)),1)=1),"QB UNCERTAIN",""))</f>
        <v/>
      </c>
      <c r="AP158" s="2" t="str">
        <f t="array" ref="AP158">IF($B158="","",IFERROR(INDEX(DQStatus,MATCH($B158,DQGameID,0)),"BLOCKED — DQ ROW NOT FOUND"))</f>
        <v>READY</v>
      </c>
      <c r="AQ158" s="2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2" t="str">
        <f t="shared" si="13"/>
        <v/>
      </c>
      <c r="AS158" s="2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2" t="str">
        <f t="shared" si="14"/>
        <v/>
      </c>
      <c r="AU158" s="11"/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9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2" t="str">
        <f t="array" ref="G159">IF($B159="","",IF(INDEX(SchedZone,MATCH($A159,SchedSeq,0),MAP!$B$14)="Neutral","Y",""))</f>
        <v/>
      </c>
      <c r="H159" s="2" t="str">
        <f t="array" ref="H159">IF($B159="","",INDEX(SchedZone,MATCH($A159,SchedSeq,0),MAP!$B$17))</f>
        <v/>
      </c>
      <c r="I159" s="2" t="str">
        <f>IF(OR($B159="",$C159&lt;&gt;CurrentWeek),"",COUNTIF($C$5:$C159,CurrentWeek))</f>
        <v/>
      </c>
      <c r="J159" s="2">
        <f t="array" ref="J159">IF($B159="","",IFERROR(INDEX(RatEff,MATCH($E159,RatTeams,0)),"⚠ TEAM NOT FOUND"))</f>
        <v>-3.14</v>
      </c>
      <c r="K159" s="2">
        <f t="array" ref="K159">IF($B159="","",IFERROR(INDEX(RatEff,MATCH($F159,RatTeams,0)),"⚠ TEAM NOT FOUND"))</f>
        <v>-2.26</v>
      </c>
      <c r="L159" s="2">
        <f t="shared" si="1"/>
        <v>0.88</v>
      </c>
      <c r="M159" s="2">
        <f t="array" ref="M159">IF($B159="","",IF($G159="Y",NeutralHFA,IFERROR(INDEX(HFAexcVal,MATCH($F159,HFAexcTeam,0)),HFA_Base)))</f>
        <v>1.6</v>
      </c>
      <c r="N159" s="2">
        <f t="array" ref="N159">IF($B159="","",IFERROR(INDEX(QBSpreadEff,MATCH($F159,QBTeams,0)),0)-IFERROR(INDEX(QBSpreadEff,MATCH($E159,QBTeams,0)),0))</f>
        <v>0</v>
      </c>
      <c r="O159" s="2">
        <f t="array" ref="O159">IF($B159="","",IFERROR(MEDIAN(-RestCapPts,RestCapPts,RestPerDay*(INDEX(SchedZone,MATCH($A159,SchedSeq,0),MAP!$B$16)-INDEX(SchedZone,MATCH($A159,SchedSeq,0),MAP!$B$15))),0))</f>
        <v>0</v>
      </c>
      <c r="P159" s="2">
        <f>IF($B159="","",SUMIFS(AdjSpread,AdjGameID,$B159,AdjTeam,$F159,AdjActive,1)-SUMIFS(AdjSpread,AdjGameID,$B159,AdjTeam,$E159,AdjActive,1))</f>
        <v>0</v>
      </c>
      <c r="Q159" s="2">
        <f t="shared" si="2"/>
        <v>2.48</v>
      </c>
      <c r="R159" s="11"/>
      <c r="S159" s="2">
        <f t="shared" si="3"/>
        <v>2.48</v>
      </c>
      <c r="T159" s="2" t="str">
        <f t="shared" si="4"/>
        <v>DAL -2.5</v>
      </c>
      <c r="U159" s="2" t="str">
        <f t="array" ref="U159">IF($B159="","",IFERROR(INDEX(MktHomeSpread,MATCH($B159,MktGameID,0)),""))</f>
        <v/>
      </c>
      <c r="V159" s="2" t="str">
        <f t="shared" si="5"/>
        <v/>
      </c>
      <c r="W159" s="2" t="str">
        <f t="shared" si="6"/>
        <v/>
      </c>
      <c r="X159" s="2" t="str">
        <f t="shared" si="7"/>
        <v/>
      </c>
      <c r="Y159" s="2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2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2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2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2">
        <f t="array" ref="AC159">IF($B159="","",IFERROR(INDEX(QBTotEff,MATCH($F159,QBTeams,0)),0)+IFERROR(INDEX(QBTotEff,MATCH($E159,QBTeams,0)),0))</f>
        <v>0</v>
      </c>
      <c r="AD159" s="2">
        <f>IF($B159="","",SUMIFS(AdjTot,AdjGameID,$B159,AdjActive,1))</f>
        <v>0</v>
      </c>
      <c r="AE159" s="2">
        <f t="shared" si="8"/>
        <v>0</v>
      </c>
      <c r="AF159" s="11"/>
      <c r="AG159" s="2">
        <f t="shared" si="9"/>
        <v>0</v>
      </c>
      <c r="AH159" s="2" t="str">
        <f t="array" ref="AH159">IF($B159="","",IFERROR(INDEX(MktTotal,MATCH($B159,MktGameID,0)),""))</f>
        <v/>
      </c>
      <c r="AI159" s="2" t="str">
        <f t="shared" si="10"/>
        <v/>
      </c>
      <c r="AJ159" s="2" t="str">
        <f t="shared" si="11"/>
        <v/>
      </c>
      <c r="AK159" s="2" t="str">
        <f t="shared" si="12"/>
        <v/>
      </c>
      <c r="AL159" s="2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2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2" t="str">
        <f>IF($AG159="","","BET OVER at ≤ "&amp;TEXT($AG159-BetTot,"0.0")&amp;"  |  BET UNDER at ≥ "&amp;TEXT($AG159+BetTot,"0.0"))</f>
        <v>BET OVER at ≤ -3.0  |  BET UNDER at ≥ 3.0</v>
      </c>
      <c r="AO159" s="2" t="str">
        <f t="array" ref="AO159">IF($B159="","",IF(OR(IFERROR(INDEX(QBFlag,MATCH($F159,QBTeams,0)),1)=1,IFERROR(INDEX(QBFlag,MATCH($E159,QBTeams,0)),1)=1),"QB UNCERTAIN",""))</f>
        <v/>
      </c>
      <c r="AP159" s="2" t="str">
        <f t="array" ref="AP159">IF($B159="","",IFERROR(INDEX(DQStatus,MATCH($B159,DQGameID,0)),"BLOCKED — DQ ROW NOT FOUND"))</f>
        <v>READY</v>
      </c>
      <c r="AQ159" s="2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2" t="str">
        <f t="shared" si="13"/>
        <v/>
      </c>
      <c r="AS159" s="2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2" t="str">
        <f t="shared" si="14"/>
        <v/>
      </c>
      <c r="AU159" s="11"/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9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2" t="str">
        <f t="array" ref="G160">IF($B160="","",IF(INDEX(SchedZone,MATCH($A160,SchedSeq,0),MAP!$B$14)="Neutral","Y",""))</f>
        <v/>
      </c>
      <c r="H160" s="2" t="str">
        <f t="array" ref="H160">IF($B160="","",INDEX(SchedZone,MATCH($A160,SchedSeq,0),MAP!$B$17))</f>
        <v>dome</v>
      </c>
      <c r="I160" s="2" t="str">
        <f>IF(OR($B160="",$C160&lt;&gt;CurrentWeek),"",COUNTIF($C$5:$C160,CurrentWeek))</f>
        <v/>
      </c>
      <c r="J160" s="2">
        <f t="array" ref="J160">IF($B160="","",IFERROR(INDEX(RatEff,MATCH($E160,RatTeams,0)),"⚠ TEAM NOT FOUND"))</f>
        <v>-0.48</v>
      </c>
      <c r="K160" s="2">
        <f t="array" ref="K160">IF($B160="","",IFERROR(INDEX(RatEff,MATCH($F160,RatTeams,0)),"⚠ TEAM NOT FOUND"))</f>
        <v>0.86</v>
      </c>
      <c r="L160" s="2">
        <f t="shared" si="1"/>
        <v>1.34</v>
      </c>
      <c r="M160" s="2">
        <f t="array" ref="M160">IF($B160="","",IF($G160="Y",NeutralHFA,IFERROR(INDEX(HFAexcVal,MATCH($F160,HFAexcTeam,0)),HFA_Base)))</f>
        <v>1.6</v>
      </c>
      <c r="N160" s="2">
        <f t="array" ref="N160">IF($B160="","",IFERROR(INDEX(QBSpreadEff,MATCH($F160,QBTeams,0)),0)-IFERROR(INDEX(QBSpreadEff,MATCH($E160,QBTeams,0)),0))</f>
        <v>0</v>
      </c>
      <c r="O160" s="2">
        <f t="array" ref="O160">IF($B160="","",IFERROR(MEDIAN(-RestCapPts,RestCapPts,RestPerDay*(INDEX(SchedZone,MATCH($A160,SchedSeq,0),MAP!$B$16)-INDEX(SchedZone,MATCH($A160,SchedSeq,0),MAP!$B$15))),0))</f>
        <v>-0.7</v>
      </c>
      <c r="P160" s="2">
        <f>IF($B160="","",SUMIFS(AdjSpread,AdjGameID,$B160,AdjTeam,$F160,AdjActive,1)-SUMIFS(AdjSpread,AdjGameID,$B160,AdjTeam,$E160,AdjActive,1))</f>
        <v>0</v>
      </c>
      <c r="Q160" s="2">
        <f t="shared" si="2"/>
        <v>2.24</v>
      </c>
      <c r="R160" s="11"/>
      <c r="S160" s="2">
        <f t="shared" si="3"/>
        <v>2.24</v>
      </c>
      <c r="T160" s="2" t="str">
        <f t="shared" si="4"/>
        <v>DET -2.2</v>
      </c>
      <c r="U160" s="2" t="str">
        <f t="array" ref="U160">IF($B160="","",IFERROR(INDEX(MktHomeSpread,MATCH($B160,MktGameID,0)),""))</f>
        <v/>
      </c>
      <c r="V160" s="2" t="str">
        <f t="shared" si="5"/>
        <v/>
      </c>
      <c r="W160" s="2" t="str">
        <f t="shared" si="6"/>
        <v/>
      </c>
      <c r="X160" s="2" t="str">
        <f t="shared" si="7"/>
        <v/>
      </c>
      <c r="Y160" s="2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2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2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2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2">
        <f t="array" ref="AC160">IF($B160="","",IFERROR(INDEX(QBTotEff,MATCH($F160,QBTeams,0)),0)+IFERROR(INDEX(QBTotEff,MATCH($E160,QBTeams,0)),0))</f>
        <v>0</v>
      </c>
      <c r="AD160" s="2">
        <f>IF($B160="","",SUMIFS(AdjTot,AdjGameID,$B160,AdjActive,1))</f>
        <v>0</v>
      </c>
      <c r="AE160" s="2">
        <f t="shared" si="8"/>
        <v>0</v>
      </c>
      <c r="AF160" s="11"/>
      <c r="AG160" s="2">
        <f t="shared" si="9"/>
        <v>0</v>
      </c>
      <c r="AH160" s="2" t="str">
        <f t="array" ref="AH160">IF($B160="","",IFERROR(INDEX(MktTotal,MATCH($B160,MktGameID,0)),""))</f>
        <v/>
      </c>
      <c r="AI160" s="2" t="str">
        <f t="shared" si="10"/>
        <v/>
      </c>
      <c r="AJ160" s="2" t="str">
        <f t="shared" si="11"/>
        <v/>
      </c>
      <c r="AK160" s="2" t="str">
        <f t="shared" si="12"/>
        <v/>
      </c>
      <c r="AL160" s="2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2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2" t="str">
        <f>IF($AG160="","","BET OVER at ≤ "&amp;TEXT($AG160-BetTot,"0.0")&amp;"  |  BET UNDER at ≥ "&amp;TEXT($AG160+BetTot,"0.0"))</f>
        <v>BET OVER at ≤ -3.0  |  BET UNDER at ≥ 3.0</v>
      </c>
      <c r="AO160" s="2" t="str">
        <f t="array" ref="AO160">IF($B160="","",IF(OR(IFERROR(INDEX(QBFlag,MATCH($F160,QBTeams,0)),1)=1,IFERROR(INDEX(QBFlag,MATCH($E160,QBTeams,0)),1)=1),"QB UNCERTAIN",""))</f>
        <v/>
      </c>
      <c r="AP160" s="2" t="str">
        <f t="array" ref="AP160">IF($B160="","",IFERROR(INDEX(DQStatus,MATCH($B160,DQGameID,0)),"BLOCKED — DQ ROW NOT FOUND"))</f>
        <v>READY</v>
      </c>
      <c r="AQ160" s="2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2" t="str">
        <f t="shared" si="13"/>
        <v/>
      </c>
      <c r="AS160" s="2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2" t="str">
        <f t="shared" si="14"/>
        <v/>
      </c>
      <c r="AU160" s="11"/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9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2" t="str">
        <f t="array" ref="G161">IF($B161="","",IF(INDEX(SchedZone,MATCH($A161,SchedSeq,0),MAP!$B$14)="Neutral","Y",""))</f>
        <v/>
      </c>
      <c r="H161" s="2" t="str">
        <f t="array" ref="H161">IF($B161="","",INDEX(SchedZone,MATCH($A161,SchedSeq,0),MAP!$B$17))</f>
        <v>outdoors</v>
      </c>
      <c r="I161" s="2" t="str">
        <f>IF(OR($B161="",$C161&lt;&gt;CurrentWeek),"",COUNTIF($C$5:$C161,CurrentWeek))</f>
        <v/>
      </c>
      <c r="J161" s="2">
        <f t="array" ref="J161">IF($B161="","",IFERROR(INDEX(RatEff,MATCH($E161,RatTeams,0)),"⚠ TEAM NOT FOUND"))</f>
        <v>-2.07</v>
      </c>
      <c r="K161" s="2">
        <f t="array" ref="K161">IF($B161="","",IFERROR(INDEX(RatEff,MATCH($F161,RatTeams,0)),"⚠ TEAM NOT FOUND"))</f>
        <v>-0.04</v>
      </c>
      <c r="L161" s="2">
        <f t="shared" si="1"/>
        <v>2.03</v>
      </c>
      <c r="M161" s="2">
        <f t="array" ref="M161">IF($B161="","",IF($G161="Y",NeutralHFA,IFERROR(INDEX(HFAexcVal,MATCH($F161,HFAexcTeam,0)),HFA_Base)))</f>
        <v>1.6</v>
      </c>
      <c r="N161" s="2">
        <f t="array" ref="N161">IF($B161="","",IFERROR(INDEX(QBSpreadEff,MATCH($F161,QBTeams,0)),0)-IFERROR(INDEX(QBSpreadEff,MATCH($E161,QBTeams,0)),0))</f>
        <v>0</v>
      </c>
      <c r="O161" s="2">
        <f t="array" ref="O161">IF($B161="","",IFERROR(MEDIAN(-RestCapPts,RestCapPts,RestPerDay*(INDEX(SchedZone,MATCH($A161,SchedSeq,0),MAP!$B$16)-INDEX(SchedZone,MATCH($A161,SchedSeq,0),MAP!$B$15))),0))</f>
        <v>0</v>
      </c>
      <c r="P161" s="2">
        <f>IF($B161="","",SUMIFS(AdjSpread,AdjGameID,$B161,AdjTeam,$F161,AdjActive,1)-SUMIFS(AdjSpread,AdjGameID,$B161,AdjTeam,$E161,AdjActive,1))</f>
        <v>0</v>
      </c>
      <c r="Q161" s="2">
        <f t="shared" si="2"/>
        <v>3.63</v>
      </c>
      <c r="R161" s="11"/>
      <c r="S161" s="2">
        <f t="shared" si="3"/>
        <v>3.63</v>
      </c>
      <c r="T161" s="2" t="str">
        <f t="shared" si="4"/>
        <v>KC -3.6</v>
      </c>
      <c r="U161" s="2" t="str">
        <f t="array" ref="U161">IF($B161="","",IFERROR(INDEX(MktHomeSpread,MATCH($B161,MktGameID,0)),""))</f>
        <v/>
      </c>
      <c r="V161" s="2" t="str">
        <f t="shared" si="5"/>
        <v/>
      </c>
      <c r="W161" s="2" t="str">
        <f t="shared" si="6"/>
        <v/>
      </c>
      <c r="X161" s="2" t="str">
        <f t="shared" si="7"/>
        <v/>
      </c>
      <c r="Y161" s="2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2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2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2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2">
        <f t="array" ref="AC161">IF($B161="","",IFERROR(INDEX(QBTotEff,MATCH($F161,QBTeams,0)),0)+IFERROR(INDEX(QBTotEff,MATCH($E161,QBTeams,0)),0))</f>
        <v>0</v>
      </c>
      <c r="AD161" s="2">
        <f>IF($B161="","",SUMIFS(AdjTot,AdjGameID,$B161,AdjActive,1))</f>
        <v>0</v>
      </c>
      <c r="AE161" s="2">
        <f t="shared" si="8"/>
        <v>0</v>
      </c>
      <c r="AF161" s="11"/>
      <c r="AG161" s="2">
        <f t="shared" si="9"/>
        <v>0</v>
      </c>
      <c r="AH161" s="2" t="str">
        <f t="array" ref="AH161">IF($B161="","",IFERROR(INDEX(MktTotal,MATCH($B161,MktGameID,0)),""))</f>
        <v/>
      </c>
      <c r="AI161" s="2" t="str">
        <f t="shared" si="10"/>
        <v/>
      </c>
      <c r="AJ161" s="2" t="str">
        <f t="shared" si="11"/>
        <v/>
      </c>
      <c r="AK161" s="2" t="str">
        <f t="shared" si="12"/>
        <v/>
      </c>
      <c r="AL161" s="2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2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2" t="str">
        <f>IF($AG161="","","BET OVER at ≤ "&amp;TEXT($AG161-BetTot,"0.0")&amp;"  |  BET UNDER at ≥ "&amp;TEXT($AG161+BetTot,"0.0"))</f>
        <v>BET OVER at ≤ -3.0  |  BET UNDER at ≥ 3.0</v>
      </c>
      <c r="AO161" s="2" t="str">
        <f t="array" ref="AO161">IF($B161="","",IF(OR(IFERROR(INDEX(QBFlag,MATCH($F161,QBTeams,0)),1)=1,IFERROR(INDEX(QBFlag,MATCH($E161,QBTeams,0)),1)=1),"QB UNCERTAIN",""))</f>
        <v>QB UNCERTAIN</v>
      </c>
      <c r="AP161" s="2" t="str">
        <f t="array" ref="AP161">IF($B161="","",IFERROR(INDEX(DQStatus,MATCH($B161,DQGameID,0)),"BLOCKED — DQ ROW NOT FOUND"))</f>
        <v>READY</v>
      </c>
      <c r="AQ161" s="2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2" t="str">
        <f t="shared" si="13"/>
        <v/>
      </c>
      <c r="AS161" s="2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2" t="str">
        <f t="shared" si="14"/>
        <v/>
      </c>
      <c r="AU161" s="11"/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9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2" t="str">
        <f t="array" ref="G162">IF($B162="","",IF(INDEX(SchedZone,MATCH($A162,SchedSeq,0),MAP!$B$14)="Neutral","Y",""))</f>
        <v/>
      </c>
      <c r="H162" s="2" t="str">
        <f t="array" ref="H162">IF($B162="","",INDEX(SchedZone,MATCH($A162,SchedSeq,0),MAP!$B$17))</f>
        <v>outdoors</v>
      </c>
      <c r="I162" s="2" t="str">
        <f>IF(OR($B162="",$C162&lt;&gt;CurrentWeek),"",COUNTIF($C$5:$C162,CurrentWeek))</f>
        <v/>
      </c>
      <c r="J162" s="2">
        <f t="array" ref="J162">IF($B162="","",IFERROR(INDEX(RatEff,MATCH($E162,RatTeams,0)),"⚠ TEAM NOT FOUND"))</f>
        <v>3.22</v>
      </c>
      <c r="K162" s="2">
        <f t="array" ref="K162">IF($B162="","",IFERROR(INDEX(RatEff,MATCH($F162,RatTeams,0)),"⚠ TEAM NOT FOUND"))</f>
        <v>-1.59</v>
      </c>
      <c r="L162" s="2">
        <f t="shared" si="1"/>
        <v>-4.81</v>
      </c>
      <c r="M162" s="2">
        <f t="array" ref="M162">IF($B162="","",IF($G162="Y",NeutralHFA,IFERROR(INDEX(HFAexcVal,MATCH($F162,HFAexcTeam,0)),HFA_Base)))</f>
        <v>1.6</v>
      </c>
      <c r="N162" s="2">
        <f t="array" ref="N162">IF($B162="","",IFERROR(INDEX(QBSpreadEff,MATCH($F162,QBTeams,0)),0)-IFERROR(INDEX(QBSpreadEff,MATCH($E162,QBTeams,0)),0))</f>
        <v>0</v>
      </c>
      <c r="O162" s="2">
        <f t="array" ref="O162">IF($B162="","",IFERROR(MEDIAN(-RestCapPts,RestCapPts,RestPerDay*(INDEX(SchedZone,MATCH($A162,SchedSeq,0),MAP!$B$16)-INDEX(SchedZone,MATCH($A162,SchedSeq,0),MAP!$B$15))),0))</f>
        <v>0.3</v>
      </c>
      <c r="P162" s="2">
        <f>IF($B162="","",SUMIFS(AdjSpread,AdjGameID,$B162,AdjTeam,$F162,AdjActive,1)-SUMIFS(AdjSpread,AdjGameID,$B162,AdjTeam,$E162,AdjActive,1))</f>
        <v>0</v>
      </c>
      <c r="Q162" s="2">
        <f t="shared" si="2"/>
        <v>-2.91</v>
      </c>
      <c r="R162" s="11"/>
      <c r="S162" s="2">
        <f t="shared" si="3"/>
        <v>-2.91</v>
      </c>
      <c r="T162" s="2" t="str">
        <f t="shared" si="4"/>
        <v>JAX -2.9</v>
      </c>
      <c r="U162" s="2" t="str">
        <f t="array" ref="U162">IF($B162="","",IFERROR(INDEX(MktHomeSpread,MATCH($B162,MktGameID,0)),""))</f>
        <v/>
      </c>
      <c r="V162" s="2" t="str">
        <f t="shared" si="5"/>
        <v/>
      </c>
      <c r="W162" s="2" t="str">
        <f t="shared" si="6"/>
        <v/>
      </c>
      <c r="X162" s="2" t="str">
        <f t="shared" si="7"/>
        <v/>
      </c>
      <c r="Y162" s="2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2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2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2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2">
        <f t="array" ref="AC162">IF($B162="","",IFERROR(INDEX(QBTotEff,MATCH($F162,QBTeams,0)),0)+IFERROR(INDEX(QBTotEff,MATCH($E162,QBTeams,0)),0))</f>
        <v>0</v>
      </c>
      <c r="AD162" s="2">
        <f>IF($B162="","",SUMIFS(AdjTot,AdjGameID,$B162,AdjActive,1))</f>
        <v>0</v>
      </c>
      <c r="AE162" s="2">
        <f t="shared" si="8"/>
        <v>0</v>
      </c>
      <c r="AF162" s="11"/>
      <c r="AG162" s="2">
        <f t="shared" si="9"/>
        <v>0</v>
      </c>
      <c r="AH162" s="2" t="str">
        <f t="array" ref="AH162">IF($B162="","",IFERROR(INDEX(MktTotal,MATCH($B162,MktGameID,0)),""))</f>
        <v/>
      </c>
      <c r="AI162" s="2" t="str">
        <f t="shared" si="10"/>
        <v/>
      </c>
      <c r="AJ162" s="2" t="str">
        <f t="shared" si="11"/>
        <v/>
      </c>
      <c r="AK162" s="2" t="str">
        <f t="shared" si="12"/>
        <v/>
      </c>
      <c r="AL162" s="2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2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2" t="str">
        <f>IF($AG162="","","BET OVER at ≤ "&amp;TEXT($AG162-BetTot,"0.0")&amp;"  |  BET UNDER at ≥ "&amp;TEXT($AG162+BetTot,"0.0"))</f>
        <v>BET OVER at ≤ -3.0  |  BET UNDER at ≥ 3.0</v>
      </c>
      <c r="AO162" s="2" t="str">
        <f t="array" ref="AO162">IF($B162="","",IF(OR(IFERROR(INDEX(QBFlag,MATCH($F162,QBTeams,0)),1)=1,IFERROR(INDEX(QBFlag,MATCH($E162,QBTeams,0)),1)=1),"QB UNCERTAIN",""))</f>
        <v/>
      </c>
      <c r="AP162" s="2" t="str">
        <f t="array" ref="AP162">IF($B162="","",IFERROR(INDEX(DQStatus,MATCH($B162,DQGameID,0)),"BLOCKED — DQ ROW NOT FOUND"))</f>
        <v>READY</v>
      </c>
      <c r="AQ162" s="2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2" t="str">
        <f t="shared" si="13"/>
        <v/>
      </c>
      <c r="AS162" s="2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2" t="str">
        <f t="shared" si="14"/>
        <v/>
      </c>
      <c r="AU162" s="11"/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9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2" t="str">
        <f t="array" ref="G163">IF($B163="","",IF(INDEX(SchedZone,MATCH($A163,SchedSeq,0),MAP!$B$14)="Neutral","Y",""))</f>
        <v/>
      </c>
      <c r="H163" s="2" t="str">
        <f t="array" ref="H163">IF($B163="","",INDEX(SchedZone,MATCH($A163,SchedSeq,0),MAP!$B$17))</f>
        <v>dome</v>
      </c>
      <c r="I163" s="2" t="str">
        <f>IF(OR($B163="",$C163&lt;&gt;CurrentWeek),"",COUNTIF($C$5:$C163,CurrentWeek))</f>
        <v/>
      </c>
      <c r="J163" s="2">
        <f t="array" ref="J163">IF($B163="","",IFERROR(INDEX(RatEff,MATCH($E163,RatTeams,0)),"⚠ TEAM NOT FOUND"))</f>
        <v>-4.67</v>
      </c>
      <c r="K163" s="2">
        <f t="array" ref="K163">IF($B163="","",IFERROR(INDEX(RatEff,MATCH($F163,RatTeams,0)),"⚠ TEAM NOT FOUND"))</f>
        <v>0.56</v>
      </c>
      <c r="L163" s="2">
        <f t="shared" si="1"/>
        <v>5.23</v>
      </c>
      <c r="M163" s="2">
        <f t="array" ref="M163">IF($B163="","",IF($G163="Y",NeutralHFA,IFERROR(INDEX(HFAexcVal,MATCH($F163,HFAexcTeam,0)),HFA_Base)))</f>
        <v>1.6</v>
      </c>
      <c r="N163" s="2">
        <f t="array" ref="N163">IF($B163="","",IFERROR(INDEX(QBSpreadEff,MATCH($F163,QBTeams,0)),0)-IFERROR(INDEX(QBSpreadEff,MATCH($E163,QBTeams,0)),0))</f>
        <v>0</v>
      </c>
      <c r="O163" s="2">
        <f t="array" ref="O163">IF($B163="","",IFERROR(MEDIAN(-RestCapPts,RestCapPts,RestPerDay*(INDEX(SchedZone,MATCH($A163,SchedSeq,0),MAP!$B$16)-INDEX(SchedZone,MATCH($A163,SchedSeq,0),MAP!$B$15))),0))</f>
        <v>-0.1</v>
      </c>
      <c r="P163" s="2">
        <f>IF($B163="","",SUMIFS(AdjSpread,AdjGameID,$B163,AdjTeam,$F163,AdjActive,1)-SUMIFS(AdjSpread,AdjGameID,$B163,AdjTeam,$E163,AdjActive,1))</f>
        <v>0</v>
      </c>
      <c r="Q163" s="2">
        <f t="shared" si="2"/>
        <v>6.73</v>
      </c>
      <c r="R163" s="11"/>
      <c r="S163" s="2">
        <f t="shared" si="3"/>
        <v>6.73</v>
      </c>
      <c r="T163" s="2" t="str">
        <f t="shared" si="4"/>
        <v>LAC -6.7</v>
      </c>
      <c r="U163" s="2" t="str">
        <f t="array" ref="U163">IF($B163="","",IFERROR(INDEX(MktHomeSpread,MATCH($B163,MktGameID,0)),""))</f>
        <v/>
      </c>
      <c r="V163" s="2" t="str">
        <f t="shared" si="5"/>
        <v/>
      </c>
      <c r="W163" s="2" t="str">
        <f t="shared" si="6"/>
        <v/>
      </c>
      <c r="X163" s="2" t="str">
        <f t="shared" si="7"/>
        <v/>
      </c>
      <c r="Y163" s="2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2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2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2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2">
        <f t="array" ref="AC163">IF($B163="","",IFERROR(INDEX(QBTotEff,MATCH($F163,QBTeams,0)),0)+IFERROR(INDEX(QBTotEff,MATCH($E163,QBTeams,0)),0))</f>
        <v>0</v>
      </c>
      <c r="AD163" s="2">
        <f>IF($B163="","",SUMIFS(AdjTot,AdjGameID,$B163,AdjActive,1))</f>
        <v>0</v>
      </c>
      <c r="AE163" s="2">
        <f t="shared" si="8"/>
        <v>0</v>
      </c>
      <c r="AF163" s="11"/>
      <c r="AG163" s="2">
        <f t="shared" si="9"/>
        <v>0</v>
      </c>
      <c r="AH163" s="2" t="str">
        <f t="array" ref="AH163">IF($B163="","",IFERROR(INDEX(MktTotal,MATCH($B163,MktGameID,0)),""))</f>
        <v/>
      </c>
      <c r="AI163" s="2" t="str">
        <f t="shared" si="10"/>
        <v/>
      </c>
      <c r="AJ163" s="2" t="str">
        <f t="shared" si="11"/>
        <v/>
      </c>
      <c r="AK163" s="2" t="str">
        <f t="shared" si="12"/>
        <v/>
      </c>
      <c r="AL163" s="2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2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2" t="str">
        <f>IF($AG163="","","BET OVER at ≤ "&amp;TEXT($AG163-BetTot,"0.0")&amp;"  |  BET UNDER at ≥ "&amp;TEXT($AG163+BetTot,"0.0"))</f>
        <v>BET OVER at ≤ -3.0  |  BET UNDER at ≥ 3.0</v>
      </c>
      <c r="AO163" s="2" t="str">
        <f t="array" ref="AO163">IF($B163="","",IF(OR(IFERROR(INDEX(QBFlag,MATCH($F163,QBTeams,0)),1)=1,IFERROR(INDEX(QBFlag,MATCH($E163,QBTeams,0)),1)=1),"QB UNCERTAIN",""))</f>
        <v/>
      </c>
      <c r="AP163" s="2" t="str">
        <f t="array" ref="AP163">IF($B163="","",IFERROR(INDEX(DQStatus,MATCH($B163,DQGameID,0)),"BLOCKED — DQ ROW NOT FOUND"))</f>
        <v>READY</v>
      </c>
      <c r="AQ163" s="2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2" t="str">
        <f t="shared" si="13"/>
        <v/>
      </c>
      <c r="AS163" s="2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2" t="str">
        <f t="shared" si="14"/>
        <v/>
      </c>
      <c r="AU163" s="11"/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9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2" t="str">
        <f t="array" ref="G164">IF($B164="","",IF(INDEX(SchedZone,MATCH($A164,SchedSeq,0),MAP!$B$14)="Neutral","Y",""))</f>
        <v/>
      </c>
      <c r="H164" s="2" t="str">
        <f t="array" ref="H164">IF($B164="","",INDEX(SchedZone,MATCH($A164,SchedSeq,0),MAP!$B$17))</f>
        <v>outdoors</v>
      </c>
      <c r="I164" s="2" t="str">
        <f>IF(OR($B164="",$C164&lt;&gt;CurrentWeek),"",COUNTIF($C$5:$C164,CurrentWeek))</f>
        <v/>
      </c>
      <c r="J164" s="2">
        <f t="array" ref="J164">IF($B164="","",IFERROR(INDEX(RatEff,MATCH($E164,RatTeams,0)),"⚠ TEAM NOT FOUND"))</f>
        <v>-3.52</v>
      </c>
      <c r="K164" s="2">
        <f t="array" ref="K164">IF($B164="","",IFERROR(INDEX(RatEff,MATCH($F164,RatTeams,0)),"⚠ TEAM NOT FOUND"))</f>
        <v>1.93</v>
      </c>
      <c r="L164" s="2">
        <f t="shared" si="1"/>
        <v>5.45</v>
      </c>
      <c r="M164" s="2">
        <f t="array" ref="M164">IF($B164="","",IF($G164="Y",NeutralHFA,IFERROR(INDEX(HFAexcVal,MATCH($F164,HFAexcTeam,0)),HFA_Base)))</f>
        <v>1.6</v>
      </c>
      <c r="N164" s="2">
        <f t="array" ref="N164">IF($B164="","",IFERROR(INDEX(QBSpreadEff,MATCH($F164,QBTeams,0)),0)-IFERROR(INDEX(QBSpreadEff,MATCH($E164,QBTeams,0)),0))</f>
        <v>0</v>
      </c>
      <c r="O164" s="2">
        <f t="array" ref="O164">IF($B164="","",IFERROR(MEDIAN(-RestCapPts,RestCapPts,RestPerDay*(INDEX(SchedZone,MATCH($A164,SchedSeq,0),MAP!$B$16)-INDEX(SchedZone,MATCH($A164,SchedSeq,0),MAP!$B$15))),0))</f>
        <v>0.7</v>
      </c>
      <c r="P164" s="2">
        <f>IF($B164="","",SUMIFS(AdjSpread,AdjGameID,$B164,AdjTeam,$F164,AdjActive,1)-SUMIFS(AdjSpread,AdjGameID,$B164,AdjTeam,$E164,AdjActive,1))</f>
        <v>0</v>
      </c>
      <c r="Q164" s="2">
        <f t="shared" si="2"/>
        <v>7.75</v>
      </c>
      <c r="R164" s="11"/>
      <c r="S164" s="2">
        <f t="shared" si="3"/>
        <v>7.75</v>
      </c>
      <c r="T164" s="2" t="str">
        <f t="shared" si="4"/>
        <v>DEN -7.8</v>
      </c>
      <c r="U164" s="2" t="str">
        <f t="array" ref="U164">IF($B164="","",IFERROR(INDEX(MktHomeSpread,MATCH($B164,MktGameID,0)),""))</f>
        <v/>
      </c>
      <c r="V164" s="2" t="str">
        <f t="shared" si="5"/>
        <v/>
      </c>
      <c r="W164" s="2" t="str">
        <f t="shared" si="6"/>
        <v/>
      </c>
      <c r="X164" s="2" t="str">
        <f t="shared" si="7"/>
        <v/>
      </c>
      <c r="Y164" s="2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2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2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2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2">
        <f t="array" ref="AC164">IF($B164="","",IFERROR(INDEX(QBTotEff,MATCH($F164,QBTeams,0)),0)+IFERROR(INDEX(QBTotEff,MATCH($E164,QBTeams,0)),0))</f>
        <v>0</v>
      </c>
      <c r="AD164" s="2">
        <f>IF($B164="","",SUMIFS(AdjTot,AdjGameID,$B164,AdjActive,1))</f>
        <v>0</v>
      </c>
      <c r="AE164" s="2">
        <f t="shared" si="8"/>
        <v>0</v>
      </c>
      <c r="AF164" s="11"/>
      <c r="AG164" s="2">
        <f t="shared" si="9"/>
        <v>0</v>
      </c>
      <c r="AH164" s="2" t="str">
        <f t="array" ref="AH164">IF($B164="","",IFERROR(INDEX(MktTotal,MATCH($B164,MktGameID,0)),""))</f>
        <v/>
      </c>
      <c r="AI164" s="2" t="str">
        <f t="shared" si="10"/>
        <v/>
      </c>
      <c r="AJ164" s="2" t="str">
        <f t="shared" si="11"/>
        <v/>
      </c>
      <c r="AK164" s="2" t="str">
        <f t="shared" si="12"/>
        <v/>
      </c>
      <c r="AL164" s="2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2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2" t="str">
        <f>IF($AG164="","","BET OVER at ≤ "&amp;TEXT($AG164-BetTot,"0.0")&amp;"  |  BET UNDER at ≥ "&amp;TEXT($AG164+BetTot,"0.0"))</f>
        <v>BET OVER at ≤ -3.0  |  BET UNDER at ≥ 3.0</v>
      </c>
      <c r="AO164" s="2" t="str">
        <f t="array" ref="AO164">IF($B164="","",IF(OR(IFERROR(INDEX(QBFlag,MATCH($F164,QBTeams,0)),1)=1,IFERROR(INDEX(QBFlag,MATCH($E164,QBTeams,0)),1)=1),"QB UNCERTAIN",""))</f>
        <v/>
      </c>
      <c r="AP164" s="2" t="str">
        <f t="array" ref="AP164">IF($B164="","",IFERROR(INDEX(DQStatus,MATCH($B164,DQGameID,0)),"BLOCKED — DQ ROW NOT FOUND"))</f>
        <v>READY</v>
      </c>
      <c r="AQ164" s="2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2" t="str">
        <f t="shared" si="13"/>
        <v/>
      </c>
      <c r="AS164" s="2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2" t="str">
        <f t="shared" si="14"/>
        <v/>
      </c>
      <c r="AU164" s="11"/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9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2" t="str">
        <f t="array" ref="G165">IF($B165="","",IF(INDEX(SchedZone,MATCH($A165,SchedSeq,0),MAP!$B$14)="Neutral","Y",""))</f>
        <v/>
      </c>
      <c r="H165" s="2" t="str">
        <f t="array" ref="H165">IF($B165="","",INDEX(SchedZone,MATCH($A165,SchedSeq,0),MAP!$B$17))</f>
        <v>outdoors</v>
      </c>
      <c r="I165" s="2" t="str">
        <f>IF(OR($B165="",$C165&lt;&gt;CurrentWeek),"",COUNTIF($C$5:$C165,CurrentWeek))</f>
        <v/>
      </c>
      <c r="J165" s="2">
        <f t="array" ref="J165">IF($B165="","",IFERROR(INDEX(RatEff,MATCH($E165,RatTeams,0)),"⚠ TEAM NOT FOUND"))</f>
        <v>0.66</v>
      </c>
      <c r="K165" s="2">
        <f t="array" ref="K165">IF($B165="","",IFERROR(INDEX(RatEff,MATCH($F165,RatTeams,0)),"⚠ TEAM NOT FOUND"))</f>
        <v>1.5</v>
      </c>
      <c r="L165" s="2">
        <f t="shared" si="1"/>
        <v>0.84</v>
      </c>
      <c r="M165" s="2">
        <f t="array" ref="M165">IF($B165="","",IF($G165="Y",NeutralHFA,IFERROR(INDEX(HFAexcVal,MATCH($F165,HFAexcTeam,0)),HFA_Base)))</f>
        <v>1.6</v>
      </c>
      <c r="N165" s="2">
        <f t="array" ref="N165">IF($B165="","",IFERROR(INDEX(QBSpreadEff,MATCH($F165,QBTeams,0)),0)-IFERROR(INDEX(QBSpreadEff,MATCH($E165,QBTeams,0)),0))</f>
        <v>0</v>
      </c>
      <c r="O165" s="2">
        <f t="array" ref="O165">IF($B165="","",IFERROR(MEDIAN(-RestCapPts,RestCapPts,RestPerDay*(INDEX(SchedZone,MATCH($A165,SchedSeq,0),MAP!$B$16)-INDEX(SchedZone,MATCH($A165,SchedSeq,0),MAP!$B$15))),0))</f>
        <v>0.7</v>
      </c>
      <c r="P165" s="2">
        <f>IF($B165="","",SUMIFS(AdjSpread,AdjGameID,$B165,AdjTeam,$F165,AdjActive,1)-SUMIFS(AdjSpread,AdjGameID,$B165,AdjTeam,$E165,AdjActive,1))</f>
        <v>0</v>
      </c>
      <c r="Q165" s="2">
        <f t="shared" si="2"/>
        <v>3.14</v>
      </c>
      <c r="R165" s="11"/>
      <c r="S165" s="2">
        <f t="shared" si="3"/>
        <v>3.14</v>
      </c>
      <c r="T165" s="2" t="str">
        <f t="shared" si="4"/>
        <v>PHI -3.1</v>
      </c>
      <c r="U165" s="2" t="str">
        <f t="array" ref="U165">IF($B165="","",IFERROR(INDEX(MktHomeSpread,MATCH($B165,MktGameID,0)),""))</f>
        <v/>
      </c>
      <c r="V165" s="2" t="str">
        <f t="shared" si="5"/>
        <v/>
      </c>
      <c r="W165" s="2" t="str">
        <f t="shared" si="6"/>
        <v/>
      </c>
      <c r="X165" s="2" t="str">
        <f t="shared" si="7"/>
        <v/>
      </c>
      <c r="Y165" s="2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2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2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2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2">
        <f t="array" ref="AC165">IF($B165="","",IFERROR(INDEX(QBTotEff,MATCH($F165,QBTeams,0)),0)+IFERROR(INDEX(QBTotEff,MATCH($E165,QBTeams,0)),0))</f>
        <v>0</v>
      </c>
      <c r="AD165" s="2">
        <f>IF($B165="","",SUMIFS(AdjTot,AdjGameID,$B165,AdjActive,1))</f>
        <v>0</v>
      </c>
      <c r="AE165" s="2">
        <f t="shared" si="8"/>
        <v>0</v>
      </c>
      <c r="AF165" s="11"/>
      <c r="AG165" s="2">
        <f t="shared" si="9"/>
        <v>0</v>
      </c>
      <c r="AH165" s="2" t="str">
        <f t="array" ref="AH165">IF($B165="","",IFERROR(INDEX(MktTotal,MATCH($B165,MktGameID,0)),""))</f>
        <v/>
      </c>
      <c r="AI165" s="2" t="str">
        <f t="shared" si="10"/>
        <v/>
      </c>
      <c r="AJ165" s="2" t="str">
        <f t="shared" si="11"/>
        <v/>
      </c>
      <c r="AK165" s="2" t="str">
        <f t="shared" si="12"/>
        <v/>
      </c>
      <c r="AL165" s="2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2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2" t="str">
        <f>IF($AG165="","","BET OVER at ≤ "&amp;TEXT($AG165-BetTot,"0.0")&amp;"  |  BET UNDER at ≥ "&amp;TEXT($AG165+BetTot,"0.0"))</f>
        <v>BET OVER at ≤ -3.0  |  BET UNDER at ≥ 3.0</v>
      </c>
      <c r="AO165" s="2" t="str">
        <f t="array" ref="AO165">IF($B165="","",IF(OR(IFERROR(INDEX(QBFlag,MATCH($F165,QBTeams,0)),1)=1,IFERROR(INDEX(QBFlag,MATCH($E165,QBTeams,0)),1)=1),"QB UNCERTAIN",""))</f>
        <v/>
      </c>
      <c r="AP165" s="2" t="str">
        <f t="array" ref="AP165">IF($B165="","",IFERROR(INDEX(DQStatus,MATCH($B165,DQGameID,0)),"BLOCKED — DQ ROW NOT FOUND"))</f>
        <v>READY</v>
      </c>
      <c r="AQ165" s="2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2" t="str">
        <f t="shared" si="13"/>
        <v/>
      </c>
      <c r="AS165" s="2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2" t="str">
        <f t="shared" si="14"/>
        <v/>
      </c>
      <c r="AU165" s="11"/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9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2" t="str">
        <f t="array" ref="G166">IF($B166="","",IF(INDEX(SchedZone,MATCH($A166,SchedSeq,0),MAP!$B$14)="Neutral","Y",""))</f>
        <v>Y</v>
      </c>
      <c r="H166" s="2" t="str">
        <f t="array" ref="H166">IF($B166="","",INDEX(SchedZone,MATCH($A166,SchedSeq,0),MAP!$B$17))</f>
        <v>outdoors</v>
      </c>
      <c r="I166" s="2" t="str">
        <f>IF(OR($B166="",$C166&lt;&gt;CurrentWeek),"",COUNTIF($C$5:$C166,CurrentWeek))</f>
        <v/>
      </c>
      <c r="J166" s="2">
        <f t="array" ref="J166">IF($B166="","",IFERROR(INDEX(RatEff,MATCH($E166,RatTeams,0)),"⚠ TEAM NOT FOUND"))</f>
        <v>0.5</v>
      </c>
      <c r="K166" s="2">
        <f t="array" ref="K166">IF($B166="","",IFERROR(INDEX(RatEff,MATCH($F166,RatTeams,0)),"⚠ TEAM NOT FOUND"))</f>
        <v>1.78</v>
      </c>
      <c r="L166" s="2">
        <f t="shared" si="1"/>
        <v>1.28</v>
      </c>
      <c r="M166" s="2">
        <f t="array" ref="M166">IF($B166="","",IF($G166="Y",NeutralHFA,IFERROR(INDEX(HFAexcVal,MATCH($F166,HFAexcTeam,0)),HFA_Base)))</f>
        <v>0</v>
      </c>
      <c r="N166" s="2">
        <f t="array" ref="N166">IF($B166="","",IFERROR(INDEX(QBSpreadEff,MATCH($F166,QBTeams,0)),0)-IFERROR(INDEX(QBSpreadEff,MATCH($E166,QBTeams,0)),0))</f>
        <v>0</v>
      </c>
      <c r="O166" s="2">
        <f t="array" ref="O166">IF($B166="","",IFERROR(MEDIAN(-RestCapPts,RestCapPts,RestPerDay*(INDEX(SchedZone,MATCH($A166,SchedSeq,0),MAP!$B$16)-INDEX(SchedZone,MATCH($A166,SchedSeq,0),MAP!$B$15))),0))</f>
        <v>0</v>
      </c>
      <c r="P166" s="2">
        <f>IF($B166="","",SUMIFS(AdjSpread,AdjGameID,$B166,AdjTeam,$F166,AdjActive,1)-SUMIFS(AdjSpread,AdjGameID,$B166,AdjTeam,$E166,AdjActive,1))</f>
        <v>0</v>
      </c>
      <c r="Q166" s="2">
        <f t="shared" si="2"/>
        <v>1.28</v>
      </c>
      <c r="R166" s="11"/>
      <c r="S166" s="2">
        <f t="shared" si="3"/>
        <v>1.28</v>
      </c>
      <c r="T166" s="2" t="str">
        <f t="shared" si="4"/>
        <v>SF -1.3</v>
      </c>
      <c r="U166" s="2" t="str">
        <f t="array" ref="U166">IF($B166="","",IFERROR(INDEX(MktHomeSpread,MATCH($B166,MktGameID,0)),""))</f>
        <v/>
      </c>
      <c r="V166" s="2" t="str">
        <f t="shared" si="5"/>
        <v/>
      </c>
      <c r="W166" s="2" t="str">
        <f t="shared" si="6"/>
        <v/>
      </c>
      <c r="X166" s="2" t="str">
        <f t="shared" si="7"/>
        <v/>
      </c>
      <c r="Y166" s="2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2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2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2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2">
        <f t="array" ref="AC166">IF($B166="","",IFERROR(INDEX(QBTotEff,MATCH($F166,QBTeams,0)),0)+IFERROR(INDEX(QBTotEff,MATCH($E166,QBTeams,0)),0))</f>
        <v>0</v>
      </c>
      <c r="AD166" s="2">
        <f>IF($B166="","",SUMIFS(AdjTot,AdjGameID,$B166,AdjActive,1))</f>
        <v>0</v>
      </c>
      <c r="AE166" s="2">
        <f t="shared" si="8"/>
        <v>0</v>
      </c>
      <c r="AF166" s="11"/>
      <c r="AG166" s="2">
        <f t="shared" si="9"/>
        <v>0</v>
      </c>
      <c r="AH166" s="2" t="str">
        <f t="array" ref="AH166">IF($B166="","",IFERROR(INDEX(MktTotal,MATCH($B166,MktGameID,0)),""))</f>
        <v/>
      </c>
      <c r="AI166" s="2" t="str">
        <f t="shared" si="10"/>
        <v/>
      </c>
      <c r="AJ166" s="2" t="str">
        <f t="shared" si="11"/>
        <v/>
      </c>
      <c r="AK166" s="2" t="str">
        <f t="shared" si="12"/>
        <v/>
      </c>
      <c r="AL166" s="2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Low</v>
      </c>
      <c r="AM166" s="2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2" t="str">
        <f>IF($AG166="","","BET OVER at ≤ "&amp;TEXT($AG166-BetTot,"0.0")&amp;"  |  BET UNDER at ≥ "&amp;TEXT($AG166+BetTot,"0.0"))</f>
        <v>BET OVER at ≤ -3.0  |  BET UNDER at ≥ 3.0</v>
      </c>
      <c r="AO166" s="2" t="str">
        <f t="array" ref="AO166">IF($B166="","",IF(OR(IFERROR(INDEX(QBFlag,MATCH($F166,QBTeams,0)),1)=1,IFERROR(INDEX(QBFlag,MATCH($E166,QBTeams,0)),1)=1),"QB UNCERTAIN",""))</f>
        <v>QB UNCERTAIN</v>
      </c>
      <c r="AP166" s="2" t="str">
        <f t="array" ref="AP166">IF($B166="","",IFERROR(INDEX(DQStatus,MATCH($B166,DQGameID,0)),"BLOCKED — DQ ROW NOT FOUND"))</f>
        <v>READY</v>
      </c>
      <c r="AQ166" s="2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2" t="str">
        <f t="shared" si="13"/>
        <v/>
      </c>
      <c r="AS166" s="2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2" t="str">
        <f t="shared" si="14"/>
        <v/>
      </c>
      <c r="AU166" s="11"/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9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2" t="str">
        <f t="array" ref="G167">IF($B167="","",IF(INDEX(SchedZone,MATCH($A167,SchedSeq,0),MAP!$B$14)="Neutral","Y",""))</f>
        <v/>
      </c>
      <c r="H167" s="2" t="str">
        <f t="array" ref="H167">IF($B167="","",INDEX(SchedZone,MATCH($A167,SchedSeq,0),MAP!$B$17))</f>
        <v>outdoors</v>
      </c>
      <c r="I167" s="2" t="str">
        <f>IF(OR($B167="",$C167&lt;&gt;CurrentWeek),"",COUNTIF($C$5:$C167,CurrentWeek))</f>
        <v/>
      </c>
      <c r="J167" s="2">
        <f t="array" ref="J167">IF($B167="","",IFERROR(INDEX(RatEff,MATCH($E167,RatTeams,0)),"⚠ TEAM NOT FOUND"))</f>
        <v>-1.53</v>
      </c>
      <c r="K167" s="2">
        <f t="array" ref="K167">IF($B167="","",IFERROR(INDEX(RatEff,MATCH($F167,RatTeams,0)),"⚠ TEAM NOT FOUND"))</f>
        <v>-2.02</v>
      </c>
      <c r="L167" s="2">
        <f t="shared" si="1"/>
        <v>-0.49</v>
      </c>
      <c r="M167" s="2">
        <f t="array" ref="M167">IF($B167="","",IF($G167="Y",NeutralHFA,IFERROR(INDEX(HFAexcVal,MATCH($F167,HFAexcTeam,0)),HFA_Base)))</f>
        <v>1.6</v>
      </c>
      <c r="N167" s="2">
        <f t="array" ref="N167">IF($B167="","",IFERROR(INDEX(QBSpreadEff,MATCH($F167,QBTeams,0)),0)-IFERROR(INDEX(QBSpreadEff,MATCH($E167,QBTeams,0)),0))</f>
        <v>0</v>
      </c>
      <c r="O167" s="2">
        <f t="array" ref="O167">IF($B167="","",IFERROR(MEDIAN(-RestCapPts,RestCapPts,RestPerDay*(INDEX(SchedZone,MATCH($A167,SchedSeq,0),MAP!$B$16)-INDEX(SchedZone,MATCH($A167,SchedSeq,0),MAP!$B$15))),0))</f>
        <v>0.3</v>
      </c>
      <c r="P167" s="2">
        <f>IF($B167="","",SUMIFS(AdjSpread,AdjGameID,$B167,AdjTeam,$F167,AdjActive,1)-SUMIFS(AdjSpread,AdjGameID,$B167,AdjTeam,$E167,AdjActive,1))</f>
        <v>0</v>
      </c>
      <c r="Q167" s="2">
        <f t="shared" si="2"/>
        <v>1.41</v>
      </c>
      <c r="R167" s="11"/>
      <c r="S167" s="2">
        <f t="shared" si="3"/>
        <v>1.41</v>
      </c>
      <c r="T167" s="2" t="str">
        <f t="shared" si="4"/>
        <v>WAS -1.4</v>
      </c>
      <c r="U167" s="2" t="str">
        <f t="array" ref="U167">IF($B167="","",IFERROR(INDEX(MktHomeSpread,MATCH($B167,MktGameID,0)),""))</f>
        <v/>
      </c>
      <c r="V167" s="2" t="str">
        <f t="shared" si="5"/>
        <v/>
      </c>
      <c r="W167" s="2" t="str">
        <f t="shared" si="6"/>
        <v/>
      </c>
      <c r="X167" s="2" t="str">
        <f t="shared" si="7"/>
        <v/>
      </c>
      <c r="Y167" s="2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2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2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2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2">
        <f t="array" ref="AC167">IF($B167="","",IFERROR(INDEX(QBTotEff,MATCH($F167,QBTeams,0)),0)+IFERROR(INDEX(QBTotEff,MATCH($E167,QBTeams,0)),0))</f>
        <v>0</v>
      </c>
      <c r="AD167" s="2">
        <f>IF($B167="","",SUMIFS(AdjTot,AdjGameID,$B167,AdjActive,1))</f>
        <v>0</v>
      </c>
      <c r="AE167" s="2">
        <f t="shared" si="8"/>
        <v>0</v>
      </c>
      <c r="AF167" s="11"/>
      <c r="AG167" s="2">
        <f t="shared" si="9"/>
        <v>0</v>
      </c>
      <c r="AH167" s="2" t="str">
        <f t="array" ref="AH167">IF($B167="","",IFERROR(INDEX(MktTotal,MATCH($B167,MktGameID,0)),""))</f>
        <v/>
      </c>
      <c r="AI167" s="2" t="str">
        <f t="shared" si="10"/>
        <v/>
      </c>
      <c r="AJ167" s="2" t="str">
        <f t="shared" si="11"/>
        <v/>
      </c>
      <c r="AK167" s="2" t="str">
        <f t="shared" si="12"/>
        <v/>
      </c>
      <c r="AL167" s="2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2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2" t="str">
        <f>IF($AG167="","","BET OVER at ≤ "&amp;TEXT($AG167-BetTot,"0.0")&amp;"  |  BET UNDER at ≥ "&amp;TEXT($AG167+BetTot,"0.0"))</f>
        <v>BET OVER at ≤ -3.0  |  BET UNDER at ≥ 3.0</v>
      </c>
      <c r="AO167" s="2" t="str">
        <f t="array" ref="AO167">IF($B167="","",IF(OR(IFERROR(INDEX(QBFlag,MATCH($F167,QBTeams,0)),1)=1,IFERROR(INDEX(QBFlag,MATCH($E167,QBTeams,0)),1)=1),"QB UNCERTAIN",""))</f>
        <v/>
      </c>
      <c r="AP167" s="2" t="str">
        <f t="array" ref="AP167">IF($B167="","",IFERROR(INDEX(DQStatus,MATCH($B167,DQGameID,0)),"BLOCKED — DQ ROW NOT FOUND"))</f>
        <v>READY</v>
      </c>
      <c r="AQ167" s="2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2" t="str">
        <f t="shared" si="13"/>
        <v/>
      </c>
      <c r="AS167" s="2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2" t="str">
        <f t="shared" si="14"/>
        <v/>
      </c>
      <c r="AU167" s="11"/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9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2" t="str">
        <f t="array" ref="G168">IF($B168="","",IF(INDEX(SchedZone,MATCH($A168,SchedSeq,0),MAP!$B$14)="Neutral","Y",""))</f>
        <v/>
      </c>
      <c r="H168" s="2" t="str">
        <f t="array" ref="H168">IF($B168="","",INDEX(SchedZone,MATCH($A168,SchedSeq,0),MAP!$B$17))</f>
        <v>dome</v>
      </c>
      <c r="I168" s="2" t="str">
        <f>IF(OR($B168="",$C168&lt;&gt;CurrentWeek),"",COUNTIF($C$5:$C168,CurrentWeek))</f>
        <v/>
      </c>
      <c r="J168" s="2">
        <f t="array" ref="J168">IF($B168="","",IFERROR(INDEX(RatEff,MATCH($E168,RatTeams,0)),"⚠ TEAM NOT FOUND"))</f>
        <v>0.51</v>
      </c>
      <c r="K168" s="2">
        <f t="array" ref="K168">IF($B168="","",IFERROR(INDEX(RatEff,MATCH($F168,RatTeams,0)),"⚠ TEAM NOT FOUND"))</f>
        <v>4.09</v>
      </c>
      <c r="L168" s="2">
        <f t="shared" si="1"/>
        <v>3.58</v>
      </c>
      <c r="M168" s="2">
        <f t="array" ref="M168">IF($B168="","",IF($G168="Y",NeutralHFA,IFERROR(INDEX(HFAexcVal,MATCH($F168,HFAexcTeam,0)),HFA_Base)))</f>
        <v>1.6</v>
      </c>
      <c r="N168" s="2">
        <f t="array" ref="N168">IF($B168="","",IFERROR(INDEX(QBSpreadEff,MATCH($F168,QBTeams,0)),0)-IFERROR(INDEX(QBSpreadEff,MATCH($E168,QBTeams,0)),0))</f>
        <v>0</v>
      </c>
      <c r="O168" s="2">
        <f t="array" ref="O168">IF($B168="","",IFERROR(MEDIAN(-RestCapPts,RestCapPts,RestPerDay*(INDEX(SchedZone,MATCH($A168,SchedSeq,0),MAP!$B$16)-INDEX(SchedZone,MATCH($A168,SchedSeq,0),MAP!$B$15))),0))</f>
        <v>0</v>
      </c>
      <c r="P168" s="2">
        <f>IF($B168="","",SUMIFS(AdjSpread,AdjGameID,$B168,AdjTeam,$F168,AdjActive,1)-SUMIFS(AdjSpread,AdjGameID,$B168,AdjTeam,$E168,AdjActive,1))</f>
        <v>0</v>
      </c>
      <c r="Q168" s="2">
        <f t="shared" si="2"/>
        <v>5.18</v>
      </c>
      <c r="R168" s="11"/>
      <c r="S168" s="2">
        <f t="shared" si="3"/>
        <v>5.18</v>
      </c>
      <c r="T168" s="2" t="str">
        <f t="shared" si="4"/>
        <v>LA -5.2</v>
      </c>
      <c r="U168" s="2" t="str">
        <f t="array" ref="U168">IF($B168="","",IFERROR(INDEX(MktHomeSpread,MATCH($B168,MktGameID,0)),""))</f>
        <v/>
      </c>
      <c r="V168" s="2" t="str">
        <f t="shared" si="5"/>
        <v/>
      </c>
      <c r="W168" s="2" t="str">
        <f t="shared" si="6"/>
        <v/>
      </c>
      <c r="X168" s="2" t="str">
        <f t="shared" si="7"/>
        <v/>
      </c>
      <c r="Y168" s="2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2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2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2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2">
        <f t="array" ref="AC168">IF($B168="","",IFERROR(INDEX(QBTotEff,MATCH($F168,QBTeams,0)),0)+IFERROR(INDEX(QBTotEff,MATCH($E168,QBTeams,0)),0))</f>
        <v>0</v>
      </c>
      <c r="AD168" s="2">
        <f>IF($B168="","",SUMIFS(AdjTot,AdjGameID,$B168,AdjActive,1))</f>
        <v>0</v>
      </c>
      <c r="AE168" s="2">
        <f t="shared" si="8"/>
        <v>0</v>
      </c>
      <c r="AF168" s="11"/>
      <c r="AG168" s="2">
        <f t="shared" si="9"/>
        <v>0</v>
      </c>
      <c r="AH168" s="2" t="str">
        <f t="array" ref="AH168">IF($B168="","",IFERROR(INDEX(MktTotal,MATCH($B168,MktGameID,0)),""))</f>
        <v/>
      </c>
      <c r="AI168" s="2" t="str">
        <f t="shared" si="10"/>
        <v/>
      </c>
      <c r="AJ168" s="2" t="str">
        <f t="shared" si="11"/>
        <v/>
      </c>
      <c r="AK168" s="2" t="str">
        <f t="shared" si="12"/>
        <v/>
      </c>
      <c r="AL168" s="2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2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2" t="str">
        <f>IF($AG168="","","BET OVER at ≤ "&amp;TEXT($AG168-BetTot,"0.0")&amp;"  |  BET UNDER at ≥ "&amp;TEXT($AG168+BetTot,"0.0"))</f>
        <v>BET OVER at ≤ -3.0  |  BET UNDER at ≥ 3.0</v>
      </c>
      <c r="AO168" s="2" t="str">
        <f t="array" ref="AO168">IF($B168="","",IF(OR(IFERROR(INDEX(QBFlag,MATCH($F168,QBTeams,0)),1)=1,IFERROR(INDEX(QBFlag,MATCH($E168,QBTeams,0)),1)=1),"QB UNCERTAIN",""))</f>
        <v/>
      </c>
      <c r="AP168" s="2" t="str">
        <f t="array" ref="AP168">IF($B168="","",IFERROR(INDEX(DQStatus,MATCH($B168,DQGameID,0)),"BLOCKED — DQ ROW NOT FOUND"))</f>
        <v>READY</v>
      </c>
      <c r="AQ168" s="2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2" t="str">
        <f t="shared" si="13"/>
        <v/>
      </c>
      <c r="AS168" s="2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2" t="str">
        <f t="shared" si="14"/>
        <v/>
      </c>
      <c r="AU168" s="11"/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9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2" t="str">
        <f t="array" ref="G169">IF($B169="","",IF(INDEX(SchedZone,MATCH($A169,SchedSeq,0),MAP!$B$14)="Neutral","Y",""))</f>
        <v/>
      </c>
      <c r="H169" s="2" t="str">
        <f t="array" ref="H169">IF($B169="","",INDEX(SchedZone,MATCH($A169,SchedSeq,0),MAP!$B$17))</f>
        <v>dome</v>
      </c>
      <c r="I169" s="2" t="str">
        <f>IF(OR($B169="",$C169&lt;&gt;CurrentWeek),"",COUNTIF($C$5:$C169,CurrentWeek))</f>
        <v/>
      </c>
      <c r="J169" s="2">
        <f t="array" ref="J169">IF($B169="","",IFERROR(INDEX(RatEff,MATCH($E169,RatTeams,0)),"⚠ TEAM NOT FOUND"))</f>
        <v>0.86</v>
      </c>
      <c r="K169" s="2">
        <f t="array" ref="K169">IF($B169="","",IFERROR(INDEX(RatEff,MATCH($F169,RatTeams,0)),"⚠ TEAM NOT FOUND"))</f>
        <v>0.86</v>
      </c>
      <c r="L169" s="2">
        <f t="shared" si="1"/>
        <v>0</v>
      </c>
      <c r="M169" s="2">
        <f t="array" ref="M169">IF($B169="","",IF($G169="Y",NeutralHFA,IFERROR(INDEX(HFAexcVal,MATCH($F169,HFAexcTeam,0)),HFA_Base)))</f>
        <v>1.6</v>
      </c>
      <c r="N169" s="2">
        <f t="array" ref="N169">IF($B169="","",IFERROR(INDEX(QBSpreadEff,MATCH($F169,QBTeams,0)),0)-IFERROR(INDEX(QBSpreadEff,MATCH($E169,QBTeams,0)),0))</f>
        <v>0</v>
      </c>
      <c r="O169" s="2">
        <f t="array" ref="O169">IF($B169="","",IFERROR(MEDIAN(-RestCapPts,RestCapPts,RestPerDay*(INDEX(SchedZone,MATCH($A169,SchedSeq,0),MAP!$B$16)-INDEX(SchedZone,MATCH($A169,SchedSeq,0),MAP!$B$15))),0))</f>
        <v>0</v>
      </c>
      <c r="P169" s="2">
        <f>IF($B169="","",SUMIFS(AdjSpread,AdjGameID,$B169,AdjTeam,$F169,AdjActive,1)-SUMIFS(AdjSpread,AdjGameID,$B169,AdjTeam,$E169,AdjActive,1))</f>
        <v>0</v>
      </c>
      <c r="Q169" s="2">
        <f t="shared" si="2"/>
        <v>1.6</v>
      </c>
      <c r="R169" s="11"/>
      <c r="S169" s="2">
        <f t="shared" si="3"/>
        <v>1.6</v>
      </c>
      <c r="T169" s="2" t="str">
        <f t="shared" si="4"/>
        <v>DET -1.6</v>
      </c>
      <c r="U169" s="2" t="str">
        <f t="array" ref="U169">IF($B169="","",IFERROR(INDEX(MktHomeSpread,MATCH($B169,MktGameID,0)),""))</f>
        <v/>
      </c>
      <c r="V169" s="2" t="str">
        <f t="shared" si="5"/>
        <v/>
      </c>
      <c r="W169" s="2" t="str">
        <f t="shared" si="6"/>
        <v/>
      </c>
      <c r="X169" s="2" t="str">
        <f t="shared" si="7"/>
        <v/>
      </c>
      <c r="Y169" s="2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2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2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2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2">
        <f t="array" ref="AC169">IF($B169="","",IFERROR(INDEX(QBTotEff,MATCH($F169,QBTeams,0)),0)+IFERROR(INDEX(QBTotEff,MATCH($E169,QBTeams,0)),0))</f>
        <v>0</v>
      </c>
      <c r="AD169" s="2">
        <f>IF($B169="","",SUMIFS(AdjTot,AdjGameID,$B169,AdjActive,1))</f>
        <v>0</v>
      </c>
      <c r="AE169" s="2">
        <f t="shared" si="8"/>
        <v>0</v>
      </c>
      <c r="AF169" s="11"/>
      <c r="AG169" s="2">
        <f t="shared" si="9"/>
        <v>0</v>
      </c>
      <c r="AH169" s="2" t="str">
        <f t="array" ref="AH169">IF($B169="","",IFERROR(INDEX(MktTotal,MATCH($B169,MktGameID,0)),""))</f>
        <v/>
      </c>
      <c r="AI169" s="2" t="str">
        <f t="shared" si="10"/>
        <v/>
      </c>
      <c r="AJ169" s="2" t="str">
        <f t="shared" si="11"/>
        <v/>
      </c>
      <c r="AK169" s="2" t="str">
        <f t="shared" si="12"/>
        <v/>
      </c>
      <c r="AL169" s="2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2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2" t="str">
        <f>IF($AG169="","","BET OVER at ≤ "&amp;TEXT($AG169-BetTot,"0.0")&amp;"  |  BET UNDER at ≥ "&amp;TEXT($AG169+BetTot,"0.0"))</f>
        <v>BET OVER at ≤ -3.0  |  BET UNDER at ≥ 3.0</v>
      </c>
      <c r="AO169" s="2" t="str">
        <f t="array" ref="AO169">IF($B169="","",IF(OR(IFERROR(INDEX(QBFlag,MATCH($F169,QBTeams,0)),1)=1,IFERROR(INDEX(QBFlag,MATCH($E169,QBTeams,0)),1)=1),"QB UNCERTAIN",""))</f>
        <v/>
      </c>
      <c r="AP169" s="2" t="str">
        <f t="array" ref="AP169">IF($B169="","",IFERROR(INDEX(DQStatus,MATCH($B169,DQGameID,0)),"BLOCKED — DQ ROW NOT FOUND"))</f>
        <v>READY</v>
      </c>
      <c r="AQ169" s="2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2" t="str">
        <f t="shared" si="13"/>
        <v/>
      </c>
      <c r="AS169" s="2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2" t="str">
        <f t="shared" si="14"/>
        <v/>
      </c>
      <c r="AU169" s="11"/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9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2" t="str">
        <f t="array" ref="G170">IF($B170="","",IF(INDEX(SchedZone,MATCH($A170,SchedSeq,0),MAP!$B$14)="Neutral","Y",""))</f>
        <v/>
      </c>
      <c r="H170" s="2" t="str">
        <f t="array" ref="H170">IF($B170="","",INDEX(SchedZone,MATCH($A170,SchedSeq,0),MAP!$B$17))</f>
        <v/>
      </c>
      <c r="I170" s="2" t="str">
        <f>IF(OR($B170="",$C170&lt;&gt;CurrentWeek),"",COUNTIF($C$5:$C170,CurrentWeek))</f>
        <v/>
      </c>
      <c r="J170" s="2">
        <f t="array" ref="J170">IF($B170="","",IFERROR(INDEX(RatEff,MATCH($E170,RatTeams,0)),"⚠ TEAM NOT FOUND"))</f>
        <v>1.5</v>
      </c>
      <c r="K170" s="2">
        <f t="array" ref="K170">IF($B170="","",IFERROR(INDEX(RatEff,MATCH($F170,RatTeams,0)),"⚠ TEAM NOT FOUND"))</f>
        <v>-2.26</v>
      </c>
      <c r="L170" s="2">
        <f t="shared" si="1"/>
        <v>-3.76</v>
      </c>
      <c r="M170" s="2">
        <f t="array" ref="M170">IF($B170="","",IF($G170="Y",NeutralHFA,IFERROR(INDEX(HFAexcVal,MATCH($F170,HFAexcTeam,0)),HFA_Base)))</f>
        <v>1.6</v>
      </c>
      <c r="N170" s="2">
        <f t="array" ref="N170">IF($B170="","",IFERROR(INDEX(QBSpreadEff,MATCH($F170,QBTeams,0)),0)-IFERROR(INDEX(QBSpreadEff,MATCH($E170,QBTeams,0)),0))</f>
        <v>0</v>
      </c>
      <c r="O170" s="2">
        <f t="array" ref="O170">IF($B170="","",IFERROR(MEDIAN(-RestCapPts,RestCapPts,RestPerDay*(INDEX(SchedZone,MATCH($A170,SchedSeq,0),MAP!$B$16)-INDEX(SchedZone,MATCH($A170,SchedSeq,0),MAP!$B$15))),0))</f>
        <v>0</v>
      </c>
      <c r="P170" s="2">
        <f>IF($B170="","",SUMIFS(AdjSpread,AdjGameID,$B170,AdjTeam,$F170,AdjActive,1)-SUMIFS(AdjSpread,AdjGameID,$B170,AdjTeam,$E170,AdjActive,1))</f>
        <v>0</v>
      </c>
      <c r="Q170" s="2">
        <f t="shared" si="2"/>
        <v>-2.16</v>
      </c>
      <c r="R170" s="11"/>
      <c r="S170" s="2">
        <f t="shared" si="3"/>
        <v>-2.16</v>
      </c>
      <c r="T170" s="2" t="str">
        <f t="shared" si="4"/>
        <v>PHI -2.2</v>
      </c>
      <c r="U170" s="2" t="str">
        <f t="array" ref="U170">IF($B170="","",IFERROR(INDEX(MktHomeSpread,MATCH($B170,MktGameID,0)),""))</f>
        <v/>
      </c>
      <c r="V170" s="2" t="str">
        <f t="shared" si="5"/>
        <v/>
      </c>
      <c r="W170" s="2" t="str">
        <f t="shared" si="6"/>
        <v/>
      </c>
      <c r="X170" s="2" t="str">
        <f t="shared" si="7"/>
        <v/>
      </c>
      <c r="Y170" s="2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2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2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2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2">
        <f t="array" ref="AC170">IF($B170="","",IFERROR(INDEX(QBTotEff,MATCH($F170,QBTeams,0)),0)+IFERROR(INDEX(QBTotEff,MATCH($E170,QBTeams,0)),0))</f>
        <v>0</v>
      </c>
      <c r="AD170" s="2">
        <f>IF($B170="","",SUMIFS(AdjTot,AdjGameID,$B170,AdjActive,1))</f>
        <v>0</v>
      </c>
      <c r="AE170" s="2">
        <f t="shared" si="8"/>
        <v>0</v>
      </c>
      <c r="AF170" s="11"/>
      <c r="AG170" s="2">
        <f t="shared" si="9"/>
        <v>0</v>
      </c>
      <c r="AH170" s="2" t="str">
        <f t="array" ref="AH170">IF($B170="","",IFERROR(INDEX(MktTotal,MATCH($B170,MktGameID,0)),""))</f>
        <v/>
      </c>
      <c r="AI170" s="2" t="str">
        <f t="shared" si="10"/>
        <v/>
      </c>
      <c r="AJ170" s="2" t="str">
        <f t="shared" si="11"/>
        <v/>
      </c>
      <c r="AK170" s="2" t="str">
        <f t="shared" si="12"/>
        <v/>
      </c>
      <c r="AL170" s="2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2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2" t="str">
        <f>IF($AG170="","","BET OVER at ≤ "&amp;TEXT($AG170-BetTot,"0.0")&amp;"  |  BET UNDER at ≥ "&amp;TEXT($AG170+BetTot,"0.0"))</f>
        <v>BET OVER at ≤ -3.0  |  BET UNDER at ≥ 3.0</v>
      </c>
      <c r="AO170" s="2" t="str">
        <f t="array" ref="AO170">IF($B170="","",IF(OR(IFERROR(INDEX(QBFlag,MATCH($F170,QBTeams,0)),1)=1,IFERROR(INDEX(QBFlag,MATCH($E170,QBTeams,0)),1)=1),"QB UNCERTAIN",""))</f>
        <v/>
      </c>
      <c r="AP170" s="2" t="str">
        <f t="array" ref="AP170">IF($B170="","",IFERROR(INDEX(DQStatus,MATCH($B170,DQGameID,0)),"BLOCKED — DQ ROW NOT FOUND"))</f>
        <v>READY</v>
      </c>
      <c r="AQ170" s="2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2" t="str">
        <f t="shared" si="13"/>
        <v/>
      </c>
      <c r="AS170" s="2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2" t="str">
        <f t="shared" si="14"/>
        <v/>
      </c>
      <c r="AU170" s="11"/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9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2" t="str">
        <f t="array" ref="G171">IF($B171="","",IF(INDEX(SchedZone,MATCH($A171,SchedSeq,0),MAP!$B$14)="Neutral","Y",""))</f>
        <v/>
      </c>
      <c r="H171" s="2" t="str">
        <f t="array" ref="H171">IF($B171="","",INDEX(SchedZone,MATCH($A171,SchedSeq,0),MAP!$B$17))</f>
        <v>outdoors</v>
      </c>
      <c r="I171" s="2" t="str">
        <f>IF(OR($B171="",$C171&lt;&gt;CurrentWeek),"",COUNTIF($C$5:$C171,CurrentWeek))</f>
        <v/>
      </c>
      <c r="J171" s="2">
        <f t="array" ref="J171">IF($B171="","",IFERROR(INDEX(RatEff,MATCH($E171,RatTeams,0)),"⚠ TEAM NOT FOUND"))</f>
        <v>-0.04</v>
      </c>
      <c r="K171" s="2">
        <f t="array" ref="K171">IF($B171="","",IFERROR(INDEX(RatEff,MATCH($F171,RatTeams,0)),"⚠ TEAM NOT FOUND"))</f>
        <v>1.75</v>
      </c>
      <c r="L171" s="2">
        <f t="shared" si="1"/>
        <v>1.79</v>
      </c>
      <c r="M171" s="2">
        <f t="array" ref="M171">IF($B171="","",IF($G171="Y",NeutralHFA,IFERROR(INDEX(HFAexcVal,MATCH($F171,HFAexcTeam,0)),HFA_Base)))</f>
        <v>1.6</v>
      </c>
      <c r="N171" s="2">
        <f t="array" ref="N171">IF($B171="","",IFERROR(INDEX(QBSpreadEff,MATCH($F171,QBTeams,0)),0)-IFERROR(INDEX(QBSpreadEff,MATCH($E171,QBTeams,0)),0))</f>
        <v>0</v>
      </c>
      <c r="O171" s="2">
        <f t="array" ref="O171">IF($B171="","",IFERROR(MEDIAN(-RestCapPts,RestCapPts,RestPerDay*(INDEX(SchedZone,MATCH($A171,SchedSeq,0),MAP!$B$16)-INDEX(SchedZone,MATCH($A171,SchedSeq,0),MAP!$B$15))),0))</f>
        <v>0</v>
      </c>
      <c r="P171" s="2">
        <f>IF($B171="","",SUMIFS(AdjSpread,AdjGameID,$B171,AdjTeam,$F171,AdjActive,1)-SUMIFS(AdjSpread,AdjGameID,$B171,AdjTeam,$E171,AdjActive,1))</f>
        <v>0</v>
      </c>
      <c r="Q171" s="2">
        <f t="shared" si="2"/>
        <v>3.39</v>
      </c>
      <c r="R171" s="11"/>
      <c r="S171" s="2">
        <f t="shared" si="3"/>
        <v>3.39</v>
      </c>
      <c r="T171" s="2" t="str">
        <f t="shared" si="4"/>
        <v>BUF -3.4</v>
      </c>
      <c r="U171" s="2" t="str">
        <f t="array" ref="U171">IF($B171="","",IFERROR(INDEX(MktHomeSpread,MATCH($B171,MktGameID,0)),""))</f>
        <v/>
      </c>
      <c r="V171" s="2" t="str">
        <f t="shared" si="5"/>
        <v/>
      </c>
      <c r="W171" s="2" t="str">
        <f t="shared" si="6"/>
        <v/>
      </c>
      <c r="X171" s="2" t="str">
        <f t="shared" si="7"/>
        <v/>
      </c>
      <c r="Y171" s="2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2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2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2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2">
        <f t="array" ref="AC171">IF($B171="","",IFERROR(INDEX(QBTotEff,MATCH($F171,QBTeams,0)),0)+IFERROR(INDEX(QBTotEff,MATCH($E171,QBTeams,0)),0))</f>
        <v>0</v>
      </c>
      <c r="AD171" s="2">
        <f>IF($B171="","",SUMIFS(AdjTot,AdjGameID,$B171,AdjActive,1))</f>
        <v>0</v>
      </c>
      <c r="AE171" s="2">
        <f t="shared" si="8"/>
        <v>0</v>
      </c>
      <c r="AF171" s="11"/>
      <c r="AG171" s="2">
        <f t="shared" si="9"/>
        <v>0</v>
      </c>
      <c r="AH171" s="2" t="str">
        <f t="array" ref="AH171">IF($B171="","",IFERROR(INDEX(MktTotal,MATCH($B171,MktGameID,0)),""))</f>
        <v/>
      </c>
      <c r="AI171" s="2" t="str">
        <f t="shared" si="10"/>
        <v/>
      </c>
      <c r="AJ171" s="2" t="str">
        <f t="shared" si="11"/>
        <v/>
      </c>
      <c r="AK171" s="2" t="str">
        <f t="shared" si="12"/>
        <v/>
      </c>
      <c r="AL171" s="2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Medium</v>
      </c>
      <c r="AM171" s="2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2" t="str">
        <f>IF($AG171="","","BET OVER at ≤ "&amp;TEXT($AG171-BetTot,"0.0")&amp;"  |  BET UNDER at ≥ "&amp;TEXT($AG171+BetTot,"0.0"))</f>
        <v>BET OVER at ≤ -3.0  |  BET UNDER at ≥ 3.0</v>
      </c>
      <c r="AO171" s="2" t="str">
        <f t="array" ref="AO171">IF($B171="","",IF(OR(IFERROR(INDEX(QBFlag,MATCH($F171,QBTeams,0)),1)=1,IFERROR(INDEX(QBFlag,MATCH($E171,QBTeams,0)),1)=1),"QB UNCERTAIN",""))</f>
        <v/>
      </c>
      <c r="AP171" s="2" t="str">
        <f t="array" ref="AP171">IF($B171="","",IFERROR(INDEX(DQStatus,MATCH($B171,DQGameID,0)),"BLOCKED — DQ ROW NOT FOUND"))</f>
        <v>READY</v>
      </c>
      <c r="AQ171" s="2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2" t="str">
        <f t="shared" si="13"/>
        <v/>
      </c>
      <c r="AS171" s="2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2" t="str">
        <f t="shared" si="14"/>
        <v/>
      </c>
      <c r="AU171" s="11"/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9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2" t="str">
        <f t="array" ref="G172">IF($B172="","",IF(INDEX(SchedZone,MATCH($A172,SchedSeq,0),MAP!$B$14)="Neutral","Y",""))</f>
        <v/>
      </c>
      <c r="H172" s="2" t="str">
        <f t="array" ref="H172">IF($B172="","",INDEX(SchedZone,MATCH($A172,SchedSeq,0),MAP!$B$17))</f>
        <v>outdoors</v>
      </c>
      <c r="I172" s="2" t="str">
        <f>IF(OR($B172="",$C172&lt;&gt;CurrentWeek),"",COUNTIF($C$5:$C172,CurrentWeek))</f>
        <v/>
      </c>
      <c r="J172" s="2">
        <f t="array" ref="J172">IF($B172="","",IFERROR(INDEX(RatEff,MATCH($E172,RatTeams,0)),"⚠ TEAM NOT FOUND"))</f>
        <v>1.93</v>
      </c>
      <c r="K172" s="2">
        <f t="array" ref="K172">IF($B172="","",IFERROR(INDEX(RatEff,MATCH($F172,RatTeams,0)),"⚠ TEAM NOT FOUND"))</f>
        <v>0.66</v>
      </c>
      <c r="L172" s="2">
        <f t="shared" si="1"/>
        <v>-1.27</v>
      </c>
      <c r="M172" s="2">
        <f t="array" ref="M172">IF($B172="","",IF($G172="Y",NeutralHFA,IFERROR(INDEX(HFAexcVal,MATCH($F172,HFAexcTeam,0)),HFA_Base)))</f>
        <v>1.6</v>
      </c>
      <c r="N172" s="2">
        <f t="array" ref="N172">IF($B172="","",IFERROR(INDEX(QBSpreadEff,MATCH($F172,QBTeams,0)),0)-IFERROR(INDEX(QBSpreadEff,MATCH($E172,QBTeams,0)),0))</f>
        <v>0</v>
      </c>
      <c r="O172" s="2">
        <f t="array" ref="O172">IF($B172="","",IFERROR(MEDIAN(-RestCapPts,RestCapPts,RestPerDay*(INDEX(SchedZone,MATCH($A172,SchedSeq,0),MAP!$B$16)-INDEX(SchedZone,MATCH($A172,SchedSeq,0),MAP!$B$15))),0))</f>
        <v>0</v>
      </c>
      <c r="P172" s="2">
        <f>IF($B172="","",SUMIFS(AdjSpread,AdjGameID,$B172,AdjTeam,$F172,AdjActive,1)-SUMIFS(AdjSpread,AdjGameID,$B172,AdjTeam,$E172,AdjActive,1))</f>
        <v>0</v>
      </c>
      <c r="Q172" s="2">
        <f t="shared" si="2"/>
        <v>0.33</v>
      </c>
      <c r="R172" s="11"/>
      <c r="S172" s="2">
        <f t="shared" si="3"/>
        <v>0.33</v>
      </c>
      <c r="T172" s="2" t="str">
        <f t="shared" si="4"/>
        <v>PIT -0.3</v>
      </c>
      <c r="U172" s="2" t="str">
        <f t="array" ref="U172">IF($B172="","",IFERROR(INDEX(MktHomeSpread,MATCH($B172,MktGameID,0)),""))</f>
        <v/>
      </c>
      <c r="V172" s="2" t="str">
        <f t="shared" si="5"/>
        <v/>
      </c>
      <c r="W172" s="2" t="str">
        <f t="shared" si="6"/>
        <v/>
      </c>
      <c r="X172" s="2" t="str">
        <f t="shared" si="7"/>
        <v/>
      </c>
      <c r="Y172" s="2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2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2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2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2">
        <f t="array" ref="AC172">IF($B172="","",IFERROR(INDEX(QBTotEff,MATCH($F172,QBTeams,0)),0)+IFERROR(INDEX(QBTotEff,MATCH($E172,QBTeams,0)),0))</f>
        <v>0</v>
      </c>
      <c r="AD172" s="2">
        <f>IF($B172="","",SUMIFS(AdjTot,AdjGameID,$B172,AdjActive,1))</f>
        <v>0</v>
      </c>
      <c r="AE172" s="2">
        <f t="shared" si="8"/>
        <v>0</v>
      </c>
      <c r="AF172" s="11"/>
      <c r="AG172" s="2">
        <f t="shared" si="9"/>
        <v>0</v>
      </c>
      <c r="AH172" s="2" t="str">
        <f t="array" ref="AH172">IF($B172="","",IFERROR(INDEX(MktTotal,MATCH($B172,MktGameID,0)),""))</f>
        <v/>
      </c>
      <c r="AI172" s="2" t="str">
        <f t="shared" si="10"/>
        <v/>
      </c>
      <c r="AJ172" s="2" t="str">
        <f t="shared" si="11"/>
        <v/>
      </c>
      <c r="AK172" s="2" t="str">
        <f t="shared" si="12"/>
        <v/>
      </c>
      <c r="AL172" s="2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2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2" t="str">
        <f>IF($AG172="","","BET OVER at ≤ "&amp;TEXT($AG172-BetTot,"0.0")&amp;"  |  BET UNDER at ≥ "&amp;TEXT($AG172+BetTot,"0.0"))</f>
        <v>BET OVER at ≤ -3.0  |  BET UNDER at ≥ 3.0</v>
      </c>
      <c r="AO172" s="2" t="str">
        <f t="array" ref="AO172">IF($B172="","",IF(OR(IFERROR(INDEX(QBFlag,MATCH($F172,QBTeams,0)),1)=1,IFERROR(INDEX(QBFlag,MATCH($E172,QBTeams,0)),1)=1),"QB UNCERTAIN",""))</f>
        <v/>
      </c>
      <c r="AP172" s="2" t="str">
        <f t="array" ref="AP172">IF($B172="","",IFERROR(INDEX(DQStatus,MATCH($B172,DQGameID,0)),"BLOCKED — DQ ROW NOT FOUND"))</f>
        <v>READY</v>
      </c>
      <c r="AQ172" s="2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2" t="str">
        <f t="shared" si="13"/>
        <v/>
      </c>
      <c r="AS172" s="2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2" t="str">
        <f t="shared" si="14"/>
        <v/>
      </c>
      <c r="AU172" s="11"/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9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2" t="str">
        <f t="array" ref="G173">IF($B173="","",IF(INDEX(SchedZone,MATCH($A173,SchedSeq,0),MAP!$B$14)="Neutral","Y",""))</f>
        <v/>
      </c>
      <c r="H173" s="2" t="str">
        <f t="array" ref="H173">IF($B173="","",INDEX(SchedZone,MATCH($A173,SchedSeq,0),MAP!$B$17))</f>
        <v>outdoors</v>
      </c>
      <c r="I173" s="2" t="str">
        <f>IF(OR($B173="",$C173&lt;&gt;CurrentWeek),"",COUNTIF($C$5:$C173,CurrentWeek))</f>
        <v/>
      </c>
      <c r="J173" s="2">
        <f t="array" ref="J173">IF($B173="","",IFERROR(INDEX(RatEff,MATCH($E173,RatTeams,0)),"⚠ TEAM NOT FOUND"))</f>
        <v>-0.94</v>
      </c>
      <c r="K173" s="2">
        <f t="array" ref="K173">IF($B173="","",IFERROR(INDEX(RatEff,MATCH($F173,RatTeams,0)),"⚠ TEAM NOT FOUND"))</f>
        <v>-1.53</v>
      </c>
      <c r="L173" s="2">
        <f t="shared" si="1"/>
        <v>-0.59</v>
      </c>
      <c r="M173" s="2">
        <f t="array" ref="M173">IF($B173="","",IF($G173="Y",NeutralHFA,IFERROR(INDEX(HFAexcVal,MATCH($F173,HFAexcTeam,0)),HFA_Base)))</f>
        <v>1.6</v>
      </c>
      <c r="N173" s="2">
        <f t="array" ref="N173">IF($B173="","",IFERROR(INDEX(QBSpreadEff,MATCH($F173,QBTeams,0)),0)-IFERROR(INDEX(QBSpreadEff,MATCH($E173,QBTeams,0)),0))</f>
        <v>0</v>
      </c>
      <c r="O173" s="2">
        <f t="array" ref="O173">IF($B173="","",IFERROR(MEDIAN(-RestCapPts,RestCapPts,RestPerDay*(INDEX(SchedZone,MATCH($A173,SchedSeq,0),MAP!$B$16)-INDEX(SchedZone,MATCH($A173,SchedSeq,0),MAP!$B$15))),0))</f>
        <v>-0.1</v>
      </c>
      <c r="P173" s="2">
        <f>IF($B173="","",SUMIFS(AdjSpread,AdjGameID,$B173,AdjTeam,$F173,AdjActive,1)-SUMIFS(AdjSpread,AdjGameID,$B173,AdjTeam,$E173,AdjActive,1))</f>
        <v>0</v>
      </c>
      <c r="Q173" s="2">
        <f t="shared" si="2"/>
        <v>0.91</v>
      </c>
      <c r="R173" s="11"/>
      <c r="S173" s="2">
        <f t="shared" si="3"/>
        <v>0.91</v>
      </c>
      <c r="T173" s="2" t="str">
        <f t="shared" si="4"/>
        <v>CIN -0.9</v>
      </c>
      <c r="U173" s="2" t="str">
        <f t="array" ref="U173">IF($B173="","",IFERROR(INDEX(MktHomeSpread,MATCH($B173,MktGameID,0)),""))</f>
        <v/>
      </c>
      <c r="V173" s="2" t="str">
        <f t="shared" si="5"/>
        <v/>
      </c>
      <c r="W173" s="2" t="str">
        <f t="shared" si="6"/>
        <v/>
      </c>
      <c r="X173" s="2" t="str">
        <f t="shared" si="7"/>
        <v/>
      </c>
      <c r="Y173" s="2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2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2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2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2">
        <f t="array" ref="AC173">IF($B173="","",IFERROR(INDEX(QBTotEff,MATCH($F173,QBTeams,0)),0)+IFERROR(INDEX(QBTotEff,MATCH($E173,QBTeams,0)),0))</f>
        <v>0</v>
      </c>
      <c r="AD173" s="2">
        <f>IF($B173="","",SUMIFS(AdjTot,AdjGameID,$B173,AdjActive,1))</f>
        <v>0</v>
      </c>
      <c r="AE173" s="2">
        <f t="shared" si="8"/>
        <v>0</v>
      </c>
      <c r="AF173" s="11"/>
      <c r="AG173" s="2">
        <f t="shared" si="9"/>
        <v>0</v>
      </c>
      <c r="AH173" s="2" t="str">
        <f t="array" ref="AH173">IF($B173="","",IFERROR(INDEX(MktTotal,MATCH($B173,MktGameID,0)),""))</f>
        <v/>
      </c>
      <c r="AI173" s="2" t="str">
        <f t="shared" si="10"/>
        <v/>
      </c>
      <c r="AJ173" s="2" t="str">
        <f t="shared" si="11"/>
        <v/>
      </c>
      <c r="AK173" s="2" t="str">
        <f t="shared" si="12"/>
        <v/>
      </c>
      <c r="AL173" s="2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2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2" t="str">
        <f>IF($AG173="","","BET OVER at ≤ "&amp;TEXT($AG173-BetTot,"0.0")&amp;"  |  BET UNDER at ≥ "&amp;TEXT($AG173+BetTot,"0.0"))</f>
        <v>BET OVER at ≤ -3.0  |  BET UNDER at ≥ 3.0</v>
      </c>
      <c r="AO173" s="2" t="str">
        <f t="array" ref="AO173">IF($B173="","",IF(OR(IFERROR(INDEX(QBFlag,MATCH($F173,QBTeams,0)),1)=1,IFERROR(INDEX(QBFlag,MATCH($E173,QBTeams,0)),1)=1),"QB UNCERTAIN",""))</f>
        <v/>
      </c>
      <c r="AP173" s="2" t="str">
        <f t="array" ref="AP173">IF($B173="","",IFERROR(INDEX(DQStatus,MATCH($B173,DQGameID,0)),"BLOCKED — DQ ROW NOT FOUND"))</f>
        <v>READY</v>
      </c>
      <c r="AQ173" s="2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2" t="str">
        <f t="shared" si="13"/>
        <v/>
      </c>
      <c r="AS173" s="2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2" t="str">
        <f t="shared" si="14"/>
        <v/>
      </c>
      <c r="AU173" s="11"/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9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2" t="str">
        <f t="array" ref="G174">IF($B174="","",IF(INDEX(SchedZone,MATCH($A174,SchedSeq,0),MAP!$B$14)="Neutral","Y",""))</f>
        <v/>
      </c>
      <c r="H174" s="2" t="str">
        <f t="array" ref="H174">IF($B174="","",INDEX(SchedZone,MATCH($A174,SchedSeq,0),MAP!$B$17))</f>
        <v>outdoors</v>
      </c>
      <c r="I174" s="2" t="str">
        <f>IF(OR($B174="",$C174&lt;&gt;CurrentWeek),"",COUNTIF($C$5:$C174,CurrentWeek))</f>
        <v/>
      </c>
      <c r="J174" s="2">
        <f t="array" ref="J174">IF($B174="","",IFERROR(INDEX(RatEff,MATCH($E174,RatTeams,0)),"⚠ TEAM NOT FOUND"))</f>
        <v>-3.52</v>
      </c>
      <c r="K174" s="2">
        <f t="array" ref="K174">IF($B174="","",IFERROR(INDEX(RatEff,MATCH($F174,RatTeams,0)),"⚠ TEAM NOT FOUND"))</f>
        <v>-2.6</v>
      </c>
      <c r="L174" s="2">
        <f t="shared" si="1"/>
        <v>0.92</v>
      </c>
      <c r="M174" s="2">
        <f t="array" ref="M174">IF($B174="","",IF($G174="Y",NeutralHFA,IFERROR(INDEX(HFAexcVal,MATCH($F174,HFAexcTeam,0)),HFA_Base)))</f>
        <v>1.6</v>
      </c>
      <c r="N174" s="2">
        <f t="array" ref="N174">IF($B174="","",IFERROR(INDEX(QBSpreadEff,MATCH($F174,QBTeams,0)),0)-IFERROR(INDEX(QBSpreadEff,MATCH($E174,QBTeams,0)),0))</f>
        <v>0</v>
      </c>
      <c r="O174" s="2">
        <f t="array" ref="O174">IF($B174="","",IFERROR(MEDIAN(-RestCapPts,RestCapPts,RestPerDay*(INDEX(SchedZone,MATCH($A174,SchedSeq,0),MAP!$B$16)-INDEX(SchedZone,MATCH($A174,SchedSeq,0),MAP!$B$15))),0))</f>
        <v>0.7</v>
      </c>
      <c r="P174" s="2">
        <f>IF($B174="","",SUMIFS(AdjSpread,AdjGameID,$B174,AdjTeam,$F174,AdjActive,1)-SUMIFS(AdjSpread,AdjGameID,$B174,AdjTeam,$E174,AdjActive,1))</f>
        <v>0</v>
      </c>
      <c r="Q174" s="2">
        <f t="shared" si="2"/>
        <v>3.22</v>
      </c>
      <c r="R174" s="11"/>
      <c r="S174" s="2">
        <f t="shared" si="3"/>
        <v>3.22</v>
      </c>
      <c r="T174" s="2" t="str">
        <f t="shared" si="4"/>
        <v>CLE -3.2</v>
      </c>
      <c r="U174" s="2" t="str">
        <f t="array" ref="U174">IF($B174="","",IFERROR(INDEX(MktHomeSpread,MATCH($B174,MktGameID,0)),""))</f>
        <v/>
      </c>
      <c r="V174" s="2" t="str">
        <f t="shared" si="5"/>
        <v/>
      </c>
      <c r="W174" s="2" t="str">
        <f t="shared" si="6"/>
        <v/>
      </c>
      <c r="X174" s="2" t="str">
        <f t="shared" si="7"/>
        <v/>
      </c>
      <c r="Y174" s="2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2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2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2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2">
        <f t="array" ref="AC174">IF($B174="","",IFERROR(INDEX(QBTotEff,MATCH($F174,QBTeams,0)),0)+IFERROR(INDEX(QBTotEff,MATCH($E174,QBTeams,0)),0))</f>
        <v>0</v>
      </c>
      <c r="AD174" s="2">
        <f>IF($B174="","",SUMIFS(AdjTot,AdjGameID,$B174,AdjActive,1))</f>
        <v>0</v>
      </c>
      <c r="AE174" s="2">
        <f t="shared" si="8"/>
        <v>0</v>
      </c>
      <c r="AF174" s="11"/>
      <c r="AG174" s="2">
        <f t="shared" si="9"/>
        <v>0</v>
      </c>
      <c r="AH174" s="2" t="str">
        <f t="array" ref="AH174">IF($B174="","",IFERROR(INDEX(MktTotal,MATCH($B174,MktGameID,0)),""))</f>
        <v/>
      </c>
      <c r="AI174" s="2" t="str">
        <f t="shared" si="10"/>
        <v/>
      </c>
      <c r="AJ174" s="2" t="str">
        <f t="shared" si="11"/>
        <v/>
      </c>
      <c r="AK174" s="2" t="str">
        <f t="shared" si="12"/>
        <v/>
      </c>
      <c r="AL174" s="2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Low</v>
      </c>
      <c r="AM174" s="2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2" t="str">
        <f>IF($AG174="","","BET OVER at ≤ "&amp;TEXT($AG174-BetTot,"0.0")&amp;"  |  BET UNDER at ≥ "&amp;TEXT($AG174+BetTot,"0.0"))</f>
        <v>BET OVER at ≤ -3.0  |  BET UNDER at ≥ 3.0</v>
      </c>
      <c r="AO174" s="2" t="str">
        <f t="array" ref="AO174">IF($B174="","",IF(OR(IFERROR(INDEX(QBFlag,MATCH($F174,QBTeams,0)),1)=1,IFERROR(INDEX(QBFlag,MATCH($E174,QBTeams,0)),1)=1),"QB UNCERTAIN",""))</f>
        <v>QB UNCERTAIN</v>
      </c>
      <c r="AP174" s="2" t="str">
        <f t="array" ref="AP174">IF($B174="","",IFERROR(INDEX(DQStatus,MATCH($B174,DQGameID,0)),"BLOCKED — DQ ROW NOT FOUND"))</f>
        <v>READY</v>
      </c>
      <c r="AQ174" s="2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2" t="str">
        <f t="shared" si="13"/>
        <v/>
      </c>
      <c r="AS174" s="2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2" t="str">
        <f t="shared" si="14"/>
        <v/>
      </c>
      <c r="AU174" s="11"/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9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2" t="str">
        <f t="array" ref="G175">IF($B175="","",IF(INDEX(SchedZone,MATCH($A175,SchedSeq,0),MAP!$B$14)="Neutral","Y",""))</f>
        <v/>
      </c>
      <c r="H175" s="2" t="str">
        <f t="array" ref="H175">IF($B175="","",INDEX(SchedZone,MATCH($A175,SchedSeq,0),MAP!$B$17))</f>
        <v/>
      </c>
      <c r="I175" s="2" t="str">
        <f>IF(OR($B175="",$C175&lt;&gt;CurrentWeek),"",COUNTIF($C$5:$C175,CurrentWeek))</f>
        <v/>
      </c>
      <c r="J175" s="2">
        <f t="array" ref="J175">IF($B175="","",IFERROR(INDEX(RatEff,MATCH($E175,RatTeams,0)),"⚠ TEAM NOT FOUND"))</f>
        <v>0.92</v>
      </c>
      <c r="K175" s="2">
        <f t="array" ref="K175">IF($B175="","",IFERROR(INDEX(RatEff,MATCH($F175,RatTeams,0)),"⚠ TEAM NOT FOUND"))</f>
        <v>2.71</v>
      </c>
      <c r="L175" s="2">
        <f t="shared" si="1"/>
        <v>1.79</v>
      </c>
      <c r="M175" s="2">
        <f t="array" ref="M175">IF($B175="","",IF($G175="Y",NeutralHFA,IFERROR(INDEX(HFAexcVal,MATCH($F175,HFAexcTeam,0)),HFA_Base)))</f>
        <v>1.6</v>
      </c>
      <c r="N175" s="2">
        <f t="array" ref="N175">IF($B175="","",IFERROR(INDEX(QBSpreadEff,MATCH($F175,QBTeams,0)),0)-IFERROR(INDEX(QBSpreadEff,MATCH($E175,QBTeams,0)),0))</f>
        <v>0</v>
      </c>
      <c r="O175" s="2">
        <f t="array" ref="O175">IF($B175="","",IFERROR(MEDIAN(-RestCapPts,RestCapPts,RestPerDay*(INDEX(SchedZone,MATCH($A175,SchedSeq,0),MAP!$B$16)-INDEX(SchedZone,MATCH($A175,SchedSeq,0),MAP!$B$15))),0))</f>
        <v>0.3</v>
      </c>
      <c r="P175" s="2">
        <f>IF($B175="","",SUMIFS(AdjSpread,AdjGameID,$B175,AdjTeam,$F175,AdjActive,1)-SUMIFS(AdjSpread,AdjGameID,$B175,AdjTeam,$E175,AdjActive,1))</f>
        <v>0</v>
      </c>
      <c r="Q175" s="2">
        <f t="shared" si="2"/>
        <v>3.69</v>
      </c>
      <c r="R175" s="11"/>
      <c r="S175" s="2">
        <f t="shared" si="3"/>
        <v>3.69</v>
      </c>
      <c r="T175" s="2" t="str">
        <f t="shared" si="4"/>
        <v>HOU -3.7</v>
      </c>
      <c r="U175" s="2" t="str">
        <f t="array" ref="U175">IF($B175="","",IFERROR(INDEX(MktHomeSpread,MATCH($B175,MktGameID,0)),""))</f>
        <v/>
      </c>
      <c r="V175" s="2" t="str">
        <f t="shared" si="5"/>
        <v/>
      </c>
      <c r="W175" s="2" t="str">
        <f t="shared" si="6"/>
        <v/>
      </c>
      <c r="X175" s="2" t="str">
        <f t="shared" si="7"/>
        <v/>
      </c>
      <c r="Y175" s="2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2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2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2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2">
        <f t="array" ref="AC175">IF($B175="","",IFERROR(INDEX(QBTotEff,MATCH($F175,QBTeams,0)),0)+IFERROR(INDEX(QBTotEff,MATCH($E175,QBTeams,0)),0))</f>
        <v>0</v>
      </c>
      <c r="AD175" s="2">
        <f>IF($B175="","",SUMIFS(AdjTot,AdjGameID,$B175,AdjActive,1))</f>
        <v>0</v>
      </c>
      <c r="AE175" s="2">
        <f t="shared" si="8"/>
        <v>0</v>
      </c>
      <c r="AF175" s="11"/>
      <c r="AG175" s="2">
        <f t="shared" si="9"/>
        <v>0</v>
      </c>
      <c r="AH175" s="2" t="str">
        <f t="array" ref="AH175">IF($B175="","",IFERROR(INDEX(MktTotal,MATCH($B175,MktGameID,0)),""))</f>
        <v/>
      </c>
      <c r="AI175" s="2" t="str">
        <f t="shared" si="10"/>
        <v/>
      </c>
      <c r="AJ175" s="2" t="str">
        <f t="shared" si="11"/>
        <v/>
      </c>
      <c r="AK175" s="2" t="str">
        <f t="shared" si="12"/>
        <v/>
      </c>
      <c r="AL175" s="2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2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2" t="str">
        <f>IF($AG175="","","BET OVER at ≤ "&amp;TEXT($AG175-BetTot,"0.0")&amp;"  |  BET UNDER at ≥ "&amp;TEXT($AG175+BetTot,"0.0"))</f>
        <v>BET OVER at ≤ -3.0  |  BET UNDER at ≥ 3.0</v>
      </c>
      <c r="AO175" s="2" t="str">
        <f t="array" ref="AO175">IF($B175="","",IF(OR(IFERROR(INDEX(QBFlag,MATCH($F175,QBTeams,0)),1)=1,IFERROR(INDEX(QBFlag,MATCH($E175,QBTeams,0)),1)=1),"QB UNCERTAIN",""))</f>
        <v/>
      </c>
      <c r="AP175" s="2" t="str">
        <f t="array" ref="AP175">IF($B175="","",IFERROR(INDEX(DQStatus,MATCH($B175,DQGameID,0)),"BLOCKED — DQ ROW NOT FOUND"))</f>
        <v>READY</v>
      </c>
      <c r="AQ175" s="2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2" t="str">
        <f t="shared" si="13"/>
        <v/>
      </c>
      <c r="AS175" s="2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2" t="str">
        <f t="shared" si="14"/>
        <v/>
      </c>
      <c r="AU175" s="11"/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9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2" t="str">
        <f t="array" ref="G176">IF($B176="","",IF(INDEX(SchedZone,MATCH($A176,SchedSeq,0),MAP!$B$14)="Neutral","Y",""))</f>
        <v/>
      </c>
      <c r="H176" s="2" t="str">
        <f t="array" ref="H176">IF($B176="","",INDEX(SchedZone,MATCH($A176,SchedSeq,0),MAP!$B$17))</f>
        <v/>
      </c>
      <c r="I176" s="2" t="str">
        <f>IF(OR($B176="",$C176&lt;&gt;CurrentWeek),"",COUNTIF($C$5:$C176,CurrentWeek))</f>
        <v/>
      </c>
      <c r="J176" s="2">
        <f t="array" ref="J176">IF($B176="","",IFERROR(INDEX(RatEff,MATCH($E176,RatTeams,0)),"⚠ TEAM NOT FOUND"))</f>
        <v>-1.59</v>
      </c>
      <c r="K176" s="2">
        <f t="array" ref="K176">IF($B176="","",IFERROR(INDEX(RatEff,MATCH($F176,RatTeams,0)),"⚠ TEAM NOT FOUND"))</f>
        <v>0.82</v>
      </c>
      <c r="L176" s="2">
        <f t="shared" si="1"/>
        <v>2.41</v>
      </c>
      <c r="M176" s="2">
        <f t="array" ref="M176">IF($B176="","",IF($G176="Y",NeutralHFA,IFERROR(INDEX(HFAexcVal,MATCH($F176,HFAexcTeam,0)),HFA_Base)))</f>
        <v>1.6</v>
      </c>
      <c r="N176" s="2">
        <f t="array" ref="N176">IF($B176="","",IFERROR(INDEX(QBSpreadEff,MATCH($F176,QBTeams,0)),0)-IFERROR(INDEX(QBSpreadEff,MATCH($E176,QBTeams,0)),0))</f>
        <v>0</v>
      </c>
      <c r="O176" s="2">
        <f t="array" ref="O176">IF($B176="","",IFERROR(MEDIAN(-RestCapPts,RestCapPts,RestPerDay*(INDEX(SchedZone,MATCH($A176,SchedSeq,0),MAP!$B$16)-INDEX(SchedZone,MATCH($A176,SchedSeq,0),MAP!$B$15))),0))</f>
        <v>0.3</v>
      </c>
      <c r="P176" s="2">
        <f>IF($B176="","",SUMIFS(AdjSpread,AdjGameID,$B176,AdjTeam,$F176,AdjActive,1)-SUMIFS(AdjSpread,AdjGameID,$B176,AdjTeam,$E176,AdjActive,1))</f>
        <v>0</v>
      </c>
      <c r="Q176" s="2">
        <f t="shared" si="2"/>
        <v>4.31</v>
      </c>
      <c r="R176" s="11"/>
      <c r="S176" s="2">
        <f t="shared" si="3"/>
        <v>4.31</v>
      </c>
      <c r="T176" s="2" t="str">
        <f t="shared" si="4"/>
        <v>IND -4.3</v>
      </c>
      <c r="U176" s="2" t="str">
        <f t="array" ref="U176">IF($B176="","",IFERROR(INDEX(MktHomeSpread,MATCH($B176,MktGameID,0)),""))</f>
        <v/>
      </c>
      <c r="V176" s="2" t="str">
        <f t="shared" si="5"/>
        <v/>
      </c>
      <c r="W176" s="2" t="str">
        <f t="shared" si="6"/>
        <v/>
      </c>
      <c r="X176" s="2" t="str">
        <f t="shared" si="7"/>
        <v/>
      </c>
      <c r="Y176" s="2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2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2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2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2">
        <f t="array" ref="AC176">IF($B176="","",IFERROR(INDEX(QBTotEff,MATCH($F176,QBTeams,0)),0)+IFERROR(INDEX(QBTotEff,MATCH($E176,QBTeams,0)),0))</f>
        <v>0</v>
      </c>
      <c r="AD176" s="2">
        <f>IF($B176="","",SUMIFS(AdjTot,AdjGameID,$B176,AdjActive,1))</f>
        <v>0</v>
      </c>
      <c r="AE176" s="2">
        <f t="shared" si="8"/>
        <v>0</v>
      </c>
      <c r="AF176" s="11"/>
      <c r="AG176" s="2">
        <f t="shared" si="9"/>
        <v>0</v>
      </c>
      <c r="AH176" s="2" t="str">
        <f t="array" ref="AH176">IF($B176="","",IFERROR(INDEX(MktTotal,MATCH($B176,MktGameID,0)),""))</f>
        <v/>
      </c>
      <c r="AI176" s="2" t="str">
        <f t="shared" si="10"/>
        <v/>
      </c>
      <c r="AJ176" s="2" t="str">
        <f t="shared" si="11"/>
        <v/>
      </c>
      <c r="AK176" s="2" t="str">
        <f t="shared" si="12"/>
        <v/>
      </c>
      <c r="AL176" s="2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2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2" t="str">
        <f>IF($AG176="","","BET OVER at ≤ "&amp;TEXT($AG176-BetTot,"0.0")&amp;"  |  BET UNDER at ≥ "&amp;TEXT($AG176+BetTot,"0.0"))</f>
        <v>BET OVER at ≤ -3.0  |  BET UNDER at ≥ 3.0</v>
      </c>
      <c r="AO176" s="2" t="str">
        <f t="array" ref="AO176">IF($B176="","",IF(OR(IFERROR(INDEX(QBFlag,MATCH($F176,QBTeams,0)),1)=1,IFERROR(INDEX(QBFlag,MATCH($E176,QBTeams,0)),1)=1),"QB UNCERTAIN",""))</f>
        <v/>
      </c>
      <c r="AP176" s="2" t="str">
        <f t="array" ref="AP176">IF($B176="","",IFERROR(INDEX(DQStatus,MATCH($B176,DQGameID,0)),"BLOCKED — DQ ROW NOT FOUND"))</f>
        <v>READY</v>
      </c>
      <c r="AQ176" s="2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2" t="str">
        <f t="shared" si="13"/>
        <v/>
      </c>
      <c r="AS176" s="2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2" t="str">
        <f t="shared" si="14"/>
        <v/>
      </c>
      <c r="AU176" s="11"/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9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2" t="str">
        <f t="array" ref="G177">IF($B177="","",IF(INDEX(SchedZone,MATCH($A177,SchedSeq,0),MAP!$B$14)="Neutral","Y",""))</f>
        <v/>
      </c>
      <c r="H177" s="2" t="str">
        <f t="array" ref="H177">IF($B177="","",INDEX(SchedZone,MATCH($A177,SchedSeq,0),MAP!$B$17))</f>
        <v>outdoors</v>
      </c>
      <c r="I177" s="2" t="str">
        <f>IF(OR($B177="",$C177&lt;&gt;CurrentWeek),"",COUNTIF($C$5:$C177,CurrentWeek))</f>
        <v/>
      </c>
      <c r="J177" s="2">
        <f t="array" ref="J177">IF($B177="","",IFERROR(INDEX(RatEff,MATCH($E177,RatTeams,0)),"⚠ TEAM NOT FOUND"))</f>
        <v>-4.67</v>
      </c>
      <c r="K177" s="2">
        <f t="array" ref="K177">IF($B177="","",IFERROR(INDEX(RatEff,MATCH($F177,RatTeams,0)),"⚠ TEAM NOT FOUND"))</f>
        <v>-2.64</v>
      </c>
      <c r="L177" s="2">
        <f t="shared" si="1"/>
        <v>2.03</v>
      </c>
      <c r="M177" s="2">
        <f t="array" ref="M177">IF($B177="","",IF($G177="Y",NeutralHFA,IFERROR(INDEX(HFAexcVal,MATCH($F177,HFAexcTeam,0)),HFA_Base)))</f>
        <v>1.6</v>
      </c>
      <c r="N177" s="2">
        <f t="array" ref="N177">IF($B177="","",IFERROR(INDEX(QBSpreadEff,MATCH($F177,QBTeams,0)),0)-IFERROR(INDEX(QBSpreadEff,MATCH($E177,QBTeams,0)),0))</f>
        <v>0</v>
      </c>
      <c r="O177" s="2">
        <f t="array" ref="O177">IF($B177="","",IFERROR(MEDIAN(-RestCapPts,RestCapPts,RestPerDay*(INDEX(SchedZone,MATCH($A177,SchedSeq,0),MAP!$B$16)-INDEX(SchedZone,MATCH($A177,SchedSeq,0),MAP!$B$15))),0))</f>
        <v>0</v>
      </c>
      <c r="P177" s="2">
        <f>IF($B177="","",SUMIFS(AdjSpread,AdjGameID,$B177,AdjTeam,$F177,AdjActive,1)-SUMIFS(AdjSpread,AdjGameID,$B177,AdjTeam,$E177,AdjActive,1))</f>
        <v>0</v>
      </c>
      <c r="Q177" s="2">
        <f t="shared" si="2"/>
        <v>3.63</v>
      </c>
      <c r="R177" s="11"/>
      <c r="S177" s="2">
        <f t="shared" si="3"/>
        <v>3.63</v>
      </c>
      <c r="T177" s="2" t="str">
        <f t="shared" si="4"/>
        <v>MIA -3.6</v>
      </c>
      <c r="U177" s="2" t="str">
        <f t="array" ref="U177">IF($B177="","",IFERROR(INDEX(MktHomeSpread,MATCH($B177,MktGameID,0)),""))</f>
        <v/>
      </c>
      <c r="V177" s="2" t="str">
        <f t="shared" si="5"/>
        <v/>
      </c>
      <c r="W177" s="2" t="str">
        <f t="shared" si="6"/>
        <v/>
      </c>
      <c r="X177" s="2" t="str">
        <f t="shared" si="7"/>
        <v/>
      </c>
      <c r="Y177" s="2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2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2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2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2">
        <f t="array" ref="AC177">IF($B177="","",IFERROR(INDEX(QBTotEff,MATCH($F177,QBTeams,0)),0)+IFERROR(INDEX(QBTotEff,MATCH($E177,QBTeams,0)),0))</f>
        <v>0</v>
      </c>
      <c r="AD177" s="2">
        <f>IF($B177="","",SUMIFS(AdjTot,AdjGameID,$B177,AdjActive,1))</f>
        <v>0</v>
      </c>
      <c r="AE177" s="2">
        <f t="shared" si="8"/>
        <v>0</v>
      </c>
      <c r="AF177" s="11"/>
      <c r="AG177" s="2">
        <f t="shared" si="9"/>
        <v>0</v>
      </c>
      <c r="AH177" s="2" t="str">
        <f t="array" ref="AH177">IF($B177="","",IFERROR(INDEX(MktTotal,MATCH($B177,MktGameID,0)),""))</f>
        <v/>
      </c>
      <c r="AI177" s="2" t="str">
        <f t="shared" si="10"/>
        <v/>
      </c>
      <c r="AJ177" s="2" t="str">
        <f t="shared" si="11"/>
        <v/>
      </c>
      <c r="AK177" s="2" t="str">
        <f t="shared" si="12"/>
        <v/>
      </c>
      <c r="AL177" s="2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2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2" t="str">
        <f>IF($AG177="","","BET OVER at ≤ "&amp;TEXT($AG177-BetTot,"0.0")&amp;"  |  BET UNDER at ≥ "&amp;TEXT($AG177+BetTot,"0.0"))</f>
        <v>BET OVER at ≤ -3.0  |  BET UNDER at ≥ 3.0</v>
      </c>
      <c r="AO177" s="2" t="str">
        <f t="array" ref="AO177">IF($B177="","",IF(OR(IFERROR(INDEX(QBFlag,MATCH($F177,QBTeams,0)),1)=1,IFERROR(INDEX(QBFlag,MATCH($E177,QBTeams,0)),1)=1),"QB UNCERTAIN",""))</f>
        <v/>
      </c>
      <c r="AP177" s="2" t="str">
        <f t="array" ref="AP177">IF($B177="","",IFERROR(INDEX(DQStatus,MATCH($B177,DQGameID,0)),"BLOCKED — DQ ROW NOT FOUND"))</f>
        <v>READY</v>
      </c>
      <c r="AQ177" s="2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2" t="str">
        <f t="shared" si="13"/>
        <v/>
      </c>
      <c r="AS177" s="2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2" t="str">
        <f t="shared" si="14"/>
        <v/>
      </c>
      <c r="AU177" s="11"/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9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2" t="str">
        <f t="array" ref="G178">IF($B178="","",IF(INDEX(SchedZone,MATCH($A178,SchedSeq,0),MAP!$B$14)="Neutral","Y",""))</f>
        <v/>
      </c>
      <c r="H178" s="2" t="str">
        <f t="array" ref="H178">IF($B178="","",INDEX(SchedZone,MATCH($A178,SchedSeq,0),MAP!$B$17))</f>
        <v>dome</v>
      </c>
      <c r="I178" s="2" t="str">
        <f>IF(OR($B178="",$C178&lt;&gt;CurrentWeek),"",COUNTIF($C$5:$C178,CurrentWeek))</f>
        <v/>
      </c>
      <c r="J178" s="2">
        <f t="array" ref="J178">IF($B178="","",IFERROR(INDEX(RatEff,MATCH($E178,RatTeams,0)),"⚠ TEAM NOT FOUND"))</f>
        <v>-0.06</v>
      </c>
      <c r="K178" s="2">
        <f t="array" ref="K178">IF($B178="","",IFERROR(INDEX(RatEff,MATCH($F178,RatTeams,0)),"⚠ TEAM NOT FOUND"))</f>
        <v>0.5</v>
      </c>
      <c r="L178" s="2">
        <f t="shared" si="1"/>
        <v>0.56</v>
      </c>
      <c r="M178" s="2">
        <f t="array" ref="M178">IF($B178="","",IF($G178="Y",NeutralHFA,IFERROR(INDEX(HFAexcVal,MATCH($F178,HFAexcTeam,0)),HFA_Base)))</f>
        <v>1.6</v>
      </c>
      <c r="N178" s="2">
        <f t="array" ref="N178">IF($B178="","",IFERROR(INDEX(QBSpreadEff,MATCH($F178,QBTeams,0)),0)-IFERROR(INDEX(QBSpreadEff,MATCH($E178,QBTeams,0)),0))</f>
        <v>0</v>
      </c>
      <c r="O178" s="2">
        <f t="array" ref="O178">IF($B178="","",IFERROR(MEDIAN(-RestCapPts,RestCapPts,RestPerDay*(INDEX(SchedZone,MATCH($A178,SchedSeq,0),MAP!$B$16)-INDEX(SchedZone,MATCH($A178,SchedSeq,0),MAP!$B$15))),0))</f>
        <v>-0.7</v>
      </c>
      <c r="P178" s="2">
        <f>IF($B178="","",SUMIFS(AdjSpread,AdjGameID,$B178,AdjTeam,$F178,AdjActive,1)-SUMIFS(AdjSpread,AdjGameID,$B178,AdjTeam,$E178,AdjActive,1))</f>
        <v>0</v>
      </c>
      <c r="Q178" s="2">
        <f t="shared" si="2"/>
        <v>1.46</v>
      </c>
      <c r="R178" s="11"/>
      <c r="S178" s="2">
        <f t="shared" si="3"/>
        <v>1.46</v>
      </c>
      <c r="T178" s="2" t="str">
        <f t="shared" si="4"/>
        <v>MIN -1.5</v>
      </c>
      <c r="U178" s="2" t="str">
        <f t="array" ref="U178">IF($B178="","",IFERROR(INDEX(MktHomeSpread,MATCH($B178,MktGameID,0)),""))</f>
        <v/>
      </c>
      <c r="V178" s="2" t="str">
        <f t="shared" si="5"/>
        <v/>
      </c>
      <c r="W178" s="2" t="str">
        <f t="shared" si="6"/>
        <v/>
      </c>
      <c r="X178" s="2" t="str">
        <f t="shared" si="7"/>
        <v/>
      </c>
      <c r="Y178" s="2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2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2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2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2">
        <f t="array" ref="AC178">IF($B178="","",IFERROR(INDEX(QBTotEff,MATCH($F178,QBTeams,0)),0)+IFERROR(INDEX(QBTotEff,MATCH($E178,QBTeams,0)),0))</f>
        <v>0</v>
      </c>
      <c r="AD178" s="2">
        <f>IF($B178="","",SUMIFS(AdjTot,AdjGameID,$B178,AdjActive,1))</f>
        <v>0</v>
      </c>
      <c r="AE178" s="2">
        <f t="shared" si="8"/>
        <v>0</v>
      </c>
      <c r="AF178" s="11"/>
      <c r="AG178" s="2">
        <f t="shared" si="9"/>
        <v>0</v>
      </c>
      <c r="AH178" s="2" t="str">
        <f t="array" ref="AH178">IF($B178="","",IFERROR(INDEX(MktTotal,MATCH($B178,MktGameID,0)),""))</f>
        <v/>
      </c>
      <c r="AI178" s="2" t="str">
        <f t="shared" si="10"/>
        <v/>
      </c>
      <c r="AJ178" s="2" t="str">
        <f t="shared" si="11"/>
        <v/>
      </c>
      <c r="AK178" s="2" t="str">
        <f t="shared" si="12"/>
        <v/>
      </c>
      <c r="AL178" s="2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2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2" t="str">
        <f>IF($AG178="","","BET OVER at ≤ "&amp;TEXT($AG178-BetTot,"0.0")&amp;"  |  BET UNDER at ≥ "&amp;TEXT($AG178+BetTot,"0.0"))</f>
        <v>BET OVER at ≤ -3.0  |  BET UNDER at ≥ 3.0</v>
      </c>
      <c r="AO178" s="2" t="str">
        <f t="array" ref="AO178">IF($B178="","",IF(OR(IFERROR(INDEX(QBFlag,MATCH($F178,QBTeams,0)),1)=1,IFERROR(INDEX(QBFlag,MATCH($E178,QBTeams,0)),1)=1),"QB UNCERTAIN",""))</f>
        <v>QB UNCERTAIN</v>
      </c>
      <c r="AP178" s="2" t="str">
        <f t="array" ref="AP178">IF($B178="","",IFERROR(INDEX(DQStatus,MATCH($B178,DQGameID,0)),"BLOCKED — DQ ROW NOT FOUND"))</f>
        <v>READY</v>
      </c>
      <c r="AQ178" s="2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2" t="str">
        <f t="shared" si="13"/>
        <v/>
      </c>
      <c r="AS178" s="2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2" t="str">
        <f t="shared" si="14"/>
        <v/>
      </c>
      <c r="AU178" s="11"/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9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2" t="str">
        <f t="array" ref="G179">IF($B179="","",IF(INDEX(SchedZone,MATCH($A179,SchedSeq,0),MAP!$B$14)="Neutral","Y",""))</f>
        <v/>
      </c>
      <c r="H179" s="2" t="str">
        <f t="array" ref="H179">IF($B179="","",INDEX(SchedZone,MATCH($A179,SchedSeq,0),MAP!$B$17))</f>
        <v>outdoors</v>
      </c>
      <c r="I179" s="2" t="str">
        <f>IF(OR($B179="",$C179&lt;&gt;CurrentWeek),"",COUNTIF($C$5:$C179,CurrentWeek))</f>
        <v/>
      </c>
      <c r="J179" s="2">
        <f t="array" ref="J179">IF($B179="","",IFERROR(INDEX(RatEff,MATCH($E179,RatTeams,0)),"⚠ TEAM NOT FOUND"))</f>
        <v>-3.14</v>
      </c>
      <c r="K179" s="2">
        <f t="array" ref="K179">IF($B179="","",IFERROR(INDEX(RatEff,MATCH($F179,RatTeams,0)),"⚠ TEAM NOT FOUND"))</f>
        <v>3.22</v>
      </c>
      <c r="L179" s="2">
        <f t="shared" si="1"/>
        <v>6.36</v>
      </c>
      <c r="M179" s="2">
        <f t="array" ref="M179">IF($B179="","",IF($G179="Y",NeutralHFA,IFERROR(INDEX(HFAexcVal,MATCH($F179,HFAexcTeam,0)),HFA_Base)))</f>
        <v>1.6</v>
      </c>
      <c r="N179" s="2">
        <f t="array" ref="N179">IF($B179="","",IFERROR(INDEX(QBSpreadEff,MATCH($F179,QBTeams,0)),0)-IFERROR(INDEX(QBSpreadEff,MATCH($E179,QBTeams,0)),0))</f>
        <v>0</v>
      </c>
      <c r="O179" s="2">
        <f t="array" ref="O179">IF($B179="","",IFERROR(MEDIAN(-RestCapPts,RestCapPts,RestPerDay*(INDEX(SchedZone,MATCH($A179,SchedSeq,0),MAP!$B$16)-INDEX(SchedZone,MATCH($A179,SchedSeq,0),MAP!$B$15))),0))</f>
        <v>0</v>
      </c>
      <c r="P179" s="2">
        <f>IF($B179="","",SUMIFS(AdjSpread,AdjGameID,$B179,AdjTeam,$F179,AdjActive,1)-SUMIFS(AdjSpread,AdjGameID,$B179,AdjTeam,$E179,AdjActive,1))</f>
        <v>0</v>
      </c>
      <c r="Q179" s="2">
        <f t="shared" si="2"/>
        <v>7.96</v>
      </c>
      <c r="R179" s="11"/>
      <c r="S179" s="2">
        <f t="shared" si="3"/>
        <v>7.96</v>
      </c>
      <c r="T179" s="2" t="str">
        <f t="shared" si="4"/>
        <v>JAX -8.0</v>
      </c>
      <c r="U179" s="2" t="str">
        <f t="array" ref="U179">IF($B179="","",IFERROR(INDEX(MktHomeSpread,MATCH($B179,MktGameID,0)),""))</f>
        <v/>
      </c>
      <c r="V179" s="2" t="str">
        <f t="shared" si="5"/>
        <v/>
      </c>
      <c r="W179" s="2" t="str">
        <f t="shared" si="6"/>
        <v/>
      </c>
      <c r="X179" s="2" t="str">
        <f t="shared" si="7"/>
        <v/>
      </c>
      <c r="Y179" s="2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2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2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2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2">
        <f t="array" ref="AC179">IF($B179="","",IFERROR(INDEX(QBTotEff,MATCH($F179,QBTeams,0)),0)+IFERROR(INDEX(QBTotEff,MATCH($E179,QBTeams,0)),0))</f>
        <v>0</v>
      </c>
      <c r="AD179" s="2">
        <f>IF($B179="","",SUMIFS(AdjTot,AdjGameID,$B179,AdjActive,1))</f>
        <v>0</v>
      </c>
      <c r="AE179" s="2">
        <f t="shared" si="8"/>
        <v>0</v>
      </c>
      <c r="AF179" s="11"/>
      <c r="AG179" s="2">
        <f t="shared" si="9"/>
        <v>0</v>
      </c>
      <c r="AH179" s="2" t="str">
        <f t="array" ref="AH179">IF($B179="","",IFERROR(INDEX(MktTotal,MATCH($B179,MktGameID,0)),""))</f>
        <v/>
      </c>
      <c r="AI179" s="2" t="str">
        <f t="shared" si="10"/>
        <v/>
      </c>
      <c r="AJ179" s="2" t="str">
        <f t="shared" si="11"/>
        <v/>
      </c>
      <c r="AK179" s="2" t="str">
        <f t="shared" si="12"/>
        <v/>
      </c>
      <c r="AL179" s="2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2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2" t="str">
        <f>IF($AG179="","","BET OVER at ≤ "&amp;TEXT($AG179-BetTot,"0.0")&amp;"  |  BET UNDER at ≥ "&amp;TEXT($AG179+BetTot,"0.0"))</f>
        <v>BET OVER at ≤ -3.0  |  BET UNDER at ≥ 3.0</v>
      </c>
      <c r="AO179" s="2" t="str">
        <f t="array" ref="AO179">IF($B179="","",IF(OR(IFERROR(INDEX(QBFlag,MATCH($F179,QBTeams,0)),1)=1,IFERROR(INDEX(QBFlag,MATCH($E179,QBTeams,0)),1)=1),"QB UNCERTAIN",""))</f>
        <v/>
      </c>
      <c r="AP179" s="2" t="str">
        <f t="array" ref="AP179">IF($B179="","",IFERROR(INDEX(DQStatus,MATCH($B179,DQGameID,0)),"BLOCKED — DQ ROW NOT FOUND"))</f>
        <v>READY</v>
      </c>
      <c r="AQ179" s="2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2" t="str">
        <f t="shared" si="13"/>
        <v/>
      </c>
      <c r="AS179" s="2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2" t="str">
        <f t="shared" si="14"/>
        <v/>
      </c>
      <c r="AU179" s="11"/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9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2" t="str">
        <f t="array" ref="G180">IF($B180="","",IF(INDEX(SchedZone,MATCH($A180,SchedSeq,0),MAP!$B$14)="Neutral","Y",""))</f>
        <v/>
      </c>
      <c r="H180" s="2" t="str">
        <f t="array" ref="H180">IF($B180="","",INDEX(SchedZone,MATCH($A180,SchedSeq,0),MAP!$B$17))</f>
        <v/>
      </c>
      <c r="I180" s="2" t="str">
        <f>IF(OR($B180="",$C180&lt;&gt;CurrentWeek),"",COUNTIF($C$5:$C180,CurrentWeek))</f>
        <v/>
      </c>
      <c r="J180" s="2">
        <f t="array" ref="J180">IF($B180="","",IFERROR(INDEX(RatEff,MATCH($E180,RatTeams,0)),"⚠ TEAM NOT FOUND"))</f>
        <v>-2.02</v>
      </c>
      <c r="K180" s="2">
        <f t="array" ref="K180">IF($B180="","",IFERROR(INDEX(RatEff,MATCH($F180,RatTeams,0)),"⚠ TEAM NOT FOUND"))</f>
        <v>-2.07</v>
      </c>
      <c r="L180" s="2">
        <f t="shared" si="1"/>
        <v>-0.05</v>
      </c>
      <c r="M180" s="2">
        <f t="array" ref="M180">IF($B180="","",IF($G180="Y",NeutralHFA,IFERROR(INDEX(HFAexcVal,MATCH($F180,HFAexcTeam,0)),HFA_Base)))</f>
        <v>1.6</v>
      </c>
      <c r="N180" s="2">
        <f t="array" ref="N180">IF($B180="","",IFERROR(INDEX(QBSpreadEff,MATCH($F180,QBTeams,0)),0)-IFERROR(INDEX(QBSpreadEff,MATCH($E180,QBTeams,0)),0))</f>
        <v>0</v>
      </c>
      <c r="O180" s="2">
        <f t="array" ref="O180">IF($B180="","",IFERROR(MEDIAN(-RestCapPts,RestCapPts,RestPerDay*(INDEX(SchedZone,MATCH($A180,SchedSeq,0),MAP!$B$16)-INDEX(SchedZone,MATCH($A180,SchedSeq,0),MAP!$B$15))),0))</f>
        <v>0.1</v>
      </c>
      <c r="P180" s="2">
        <f>IF($B180="","",SUMIFS(AdjSpread,AdjGameID,$B180,AdjTeam,$F180,AdjActive,1)-SUMIFS(AdjSpread,AdjGameID,$B180,AdjTeam,$E180,AdjActive,1))</f>
        <v>0</v>
      </c>
      <c r="Q180" s="2">
        <f t="shared" si="2"/>
        <v>1.65</v>
      </c>
      <c r="R180" s="11"/>
      <c r="S180" s="2">
        <f t="shared" si="3"/>
        <v>1.65</v>
      </c>
      <c r="T180" s="2" t="str">
        <f t="shared" si="4"/>
        <v>ARI -1.7</v>
      </c>
      <c r="U180" s="2" t="str">
        <f t="array" ref="U180">IF($B180="","",IFERROR(INDEX(MktHomeSpread,MATCH($B180,MktGameID,0)),""))</f>
        <v/>
      </c>
      <c r="V180" s="2" t="str">
        <f t="shared" si="5"/>
        <v/>
      </c>
      <c r="W180" s="2" t="str">
        <f t="shared" si="6"/>
        <v/>
      </c>
      <c r="X180" s="2" t="str">
        <f t="shared" si="7"/>
        <v/>
      </c>
      <c r="Y180" s="2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2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2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2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2">
        <f t="array" ref="AC180">IF($B180="","",IFERROR(INDEX(QBTotEff,MATCH($F180,QBTeams,0)),0)+IFERROR(INDEX(QBTotEff,MATCH($E180,QBTeams,0)),0))</f>
        <v>0</v>
      </c>
      <c r="AD180" s="2">
        <f>IF($B180="","",SUMIFS(AdjTot,AdjGameID,$B180,AdjActive,1))</f>
        <v>0</v>
      </c>
      <c r="AE180" s="2">
        <f t="shared" si="8"/>
        <v>0</v>
      </c>
      <c r="AF180" s="11"/>
      <c r="AG180" s="2">
        <f t="shared" si="9"/>
        <v>0</v>
      </c>
      <c r="AH180" s="2" t="str">
        <f t="array" ref="AH180">IF($B180="","",IFERROR(INDEX(MktTotal,MATCH($B180,MktGameID,0)),""))</f>
        <v/>
      </c>
      <c r="AI180" s="2" t="str">
        <f t="shared" si="10"/>
        <v/>
      </c>
      <c r="AJ180" s="2" t="str">
        <f t="shared" si="11"/>
        <v/>
      </c>
      <c r="AK180" s="2" t="str">
        <f t="shared" si="12"/>
        <v/>
      </c>
      <c r="AL180" s="2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Low</v>
      </c>
      <c r="AM180" s="2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2" t="str">
        <f>IF($AG180="","","BET OVER at ≤ "&amp;TEXT($AG180-BetTot,"0.0")&amp;"  |  BET UNDER at ≥ "&amp;TEXT($AG180+BetTot,"0.0"))</f>
        <v>BET OVER at ≤ -3.0  |  BET UNDER at ≥ 3.0</v>
      </c>
      <c r="AO180" s="2" t="str">
        <f t="array" ref="AO180">IF($B180="","",IF(OR(IFERROR(INDEX(QBFlag,MATCH($F180,QBTeams,0)),1)=1,IFERROR(INDEX(QBFlag,MATCH($E180,QBTeams,0)),1)=1),"QB UNCERTAIN",""))</f>
        <v>QB UNCERTAIN</v>
      </c>
      <c r="AP180" s="2" t="str">
        <f t="array" ref="AP180">IF($B180="","",IFERROR(INDEX(DQStatus,MATCH($B180,DQGameID,0)),"BLOCKED — DQ ROW NOT FOUND"))</f>
        <v>READY</v>
      </c>
      <c r="AQ180" s="2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2" t="str">
        <f t="shared" si="13"/>
        <v/>
      </c>
      <c r="AS180" s="2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2" t="str">
        <f t="shared" si="14"/>
        <v/>
      </c>
      <c r="AU180" s="11"/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9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2" t="str">
        <f t="array" ref="G181">IF($B181="","",IF(INDEX(SchedZone,MATCH($A181,SchedSeq,0),MAP!$B$14)="Neutral","Y",""))</f>
        <v/>
      </c>
      <c r="H181" s="2" t="str">
        <f t="array" ref="H181">IF($B181="","",INDEX(SchedZone,MATCH($A181,SchedSeq,0),MAP!$B$17))</f>
        <v>outdoors</v>
      </c>
      <c r="I181" s="2" t="str">
        <f>IF(OR($B181="",$C181&lt;&gt;CurrentWeek),"",COUNTIF($C$5:$C181,CurrentWeek))</f>
        <v/>
      </c>
      <c r="J181" s="2">
        <f t="array" ref="J181">IF($B181="","",IFERROR(INDEX(RatEff,MATCH($E181,RatTeams,0)),"⚠ TEAM NOT FOUND"))</f>
        <v>4.1</v>
      </c>
      <c r="K181" s="2">
        <f t="array" ref="K181">IF($B181="","",IFERROR(INDEX(RatEff,MATCH($F181,RatTeams,0)),"⚠ TEAM NOT FOUND"))</f>
        <v>1.78</v>
      </c>
      <c r="L181" s="2">
        <f t="shared" si="1"/>
        <v>-2.32</v>
      </c>
      <c r="M181" s="2">
        <f t="array" ref="M181">IF($B181="","",IF($G181="Y",NeutralHFA,IFERROR(INDEX(HFAexcVal,MATCH($F181,HFAexcTeam,0)),HFA_Base)))</f>
        <v>1.6</v>
      </c>
      <c r="N181" s="2">
        <f t="array" ref="N181">IF($B181="","",IFERROR(INDEX(QBSpreadEff,MATCH($F181,QBTeams,0)),0)-IFERROR(INDEX(QBSpreadEff,MATCH($E181,QBTeams,0)),0))</f>
        <v>0</v>
      </c>
      <c r="O181" s="2">
        <f t="array" ref="O181">IF($B181="","",IFERROR(MEDIAN(-RestCapPts,RestCapPts,RestPerDay*(INDEX(SchedZone,MATCH($A181,SchedSeq,0),MAP!$B$16)-INDEX(SchedZone,MATCH($A181,SchedSeq,0),MAP!$B$15))),0))</f>
        <v>-0.7</v>
      </c>
      <c r="P181" s="2">
        <f>IF($B181="","",SUMIFS(AdjSpread,AdjGameID,$B181,AdjTeam,$F181,AdjActive,1)-SUMIFS(AdjSpread,AdjGameID,$B181,AdjTeam,$E181,AdjActive,1))</f>
        <v>0</v>
      </c>
      <c r="Q181" s="2">
        <f t="shared" si="2"/>
        <v>-1.42</v>
      </c>
      <c r="R181" s="11"/>
      <c r="S181" s="2">
        <f t="shared" si="3"/>
        <v>-1.42</v>
      </c>
      <c r="T181" s="2" t="str">
        <f t="shared" si="4"/>
        <v>SEA -1.4</v>
      </c>
      <c r="U181" s="2" t="str">
        <f t="array" ref="U181">IF($B181="","",IFERROR(INDEX(MktHomeSpread,MATCH($B181,MktGameID,0)),""))</f>
        <v/>
      </c>
      <c r="V181" s="2" t="str">
        <f t="shared" si="5"/>
        <v/>
      </c>
      <c r="W181" s="2" t="str">
        <f t="shared" si="6"/>
        <v/>
      </c>
      <c r="X181" s="2" t="str">
        <f t="shared" si="7"/>
        <v/>
      </c>
      <c r="Y181" s="2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2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2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2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2">
        <f t="array" ref="AC181">IF($B181="","",IFERROR(INDEX(QBTotEff,MATCH($F181,QBTeams,0)),0)+IFERROR(INDEX(QBTotEff,MATCH($E181,QBTeams,0)),0))</f>
        <v>0</v>
      </c>
      <c r="AD181" s="2">
        <f>IF($B181="","",SUMIFS(AdjTot,AdjGameID,$B181,AdjActive,1))</f>
        <v>0</v>
      </c>
      <c r="AE181" s="2">
        <f t="shared" si="8"/>
        <v>0</v>
      </c>
      <c r="AF181" s="11"/>
      <c r="AG181" s="2">
        <f t="shared" si="9"/>
        <v>0</v>
      </c>
      <c r="AH181" s="2" t="str">
        <f t="array" ref="AH181">IF($B181="","",IFERROR(INDEX(MktTotal,MATCH($B181,MktGameID,0)),""))</f>
        <v/>
      </c>
      <c r="AI181" s="2" t="str">
        <f t="shared" si="10"/>
        <v/>
      </c>
      <c r="AJ181" s="2" t="str">
        <f t="shared" si="11"/>
        <v/>
      </c>
      <c r="AK181" s="2" t="str">
        <f t="shared" si="12"/>
        <v/>
      </c>
      <c r="AL181" s="2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2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2" t="str">
        <f>IF($AG181="","","BET OVER at ≤ "&amp;TEXT($AG181-BetTot,"0.0")&amp;"  |  BET UNDER at ≥ "&amp;TEXT($AG181+BetTot,"0.0"))</f>
        <v>BET OVER at ≤ -3.0  |  BET UNDER at ≥ 3.0</v>
      </c>
      <c r="AO181" s="2" t="str">
        <f t="array" ref="AO181">IF($B181="","",IF(OR(IFERROR(INDEX(QBFlag,MATCH($F181,QBTeams,0)),1)=1,IFERROR(INDEX(QBFlag,MATCH($E181,QBTeams,0)),1)=1),"QB UNCERTAIN",""))</f>
        <v/>
      </c>
      <c r="AP181" s="2" t="str">
        <f t="array" ref="AP181">IF($B181="","",IFERROR(INDEX(DQStatus,MATCH($B181,DQGameID,0)),"BLOCKED — DQ ROW NOT FOUND"))</f>
        <v>READY</v>
      </c>
      <c r="AQ181" s="2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2" t="str">
        <f t="shared" si="13"/>
        <v/>
      </c>
      <c r="AS181" s="2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2" t="str">
        <f t="shared" si="14"/>
        <v/>
      </c>
      <c r="AU181" s="11"/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9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2" t="str">
        <f t="array" ref="G182">IF($B182="","",IF(INDEX(SchedZone,MATCH($A182,SchedSeq,0),MAP!$B$14)="Neutral","Y",""))</f>
        <v/>
      </c>
      <c r="H182" s="2" t="str">
        <f t="array" ref="H182">IF($B182="","",INDEX(SchedZone,MATCH($A182,SchedSeq,0),MAP!$B$17))</f>
        <v>dome</v>
      </c>
      <c r="I182" s="2" t="str">
        <f>IF(OR($B182="",$C182&lt;&gt;CurrentWeek),"",COUNTIF($C$5:$C182,CurrentWeek))</f>
        <v/>
      </c>
      <c r="J182" s="2">
        <f t="array" ref="J182">IF($B182="","",IFERROR(INDEX(RatEff,MATCH($E182,RatTeams,0)),"⚠ TEAM NOT FOUND"))</f>
        <v>2.09</v>
      </c>
      <c r="K182" s="2">
        <f t="array" ref="K182">IF($B182="","",IFERROR(INDEX(RatEff,MATCH($F182,RatTeams,0)),"⚠ TEAM NOT FOUND"))</f>
        <v>0.56</v>
      </c>
      <c r="L182" s="2">
        <f t="shared" si="1"/>
        <v>-1.53</v>
      </c>
      <c r="M182" s="2">
        <f t="array" ref="M182">IF($B182="","",IF($G182="Y",NeutralHFA,IFERROR(INDEX(HFAexcVal,MATCH($F182,HFAexcTeam,0)),HFA_Base)))</f>
        <v>1.6</v>
      </c>
      <c r="N182" s="2">
        <f t="array" ref="N182">IF($B182="","",IFERROR(INDEX(QBSpreadEff,MATCH($F182,QBTeams,0)),0)-IFERROR(INDEX(QBSpreadEff,MATCH($E182,QBTeams,0)),0))</f>
        <v>0</v>
      </c>
      <c r="O182" s="2">
        <f t="array" ref="O182">IF($B182="","",IFERROR(MEDIAN(-RestCapPts,RestCapPts,RestPerDay*(INDEX(SchedZone,MATCH($A182,SchedSeq,0),MAP!$B$16)-INDEX(SchedZone,MATCH($A182,SchedSeq,0),MAP!$B$15))),0))</f>
        <v>-0.7</v>
      </c>
      <c r="P182" s="2">
        <f>IF($B182="","",SUMIFS(AdjSpread,AdjGameID,$B182,AdjTeam,$F182,AdjActive,1)-SUMIFS(AdjSpread,AdjGameID,$B182,AdjTeam,$E182,AdjActive,1))</f>
        <v>0</v>
      </c>
      <c r="Q182" s="2">
        <f t="shared" si="2"/>
        <v>-0.63</v>
      </c>
      <c r="R182" s="11"/>
      <c r="S182" s="2">
        <f t="shared" si="3"/>
        <v>-0.63</v>
      </c>
      <c r="T182" s="2" t="str">
        <f t="shared" si="4"/>
        <v>NE -0.6</v>
      </c>
      <c r="U182" s="2" t="str">
        <f t="array" ref="U182">IF($B182="","",IFERROR(INDEX(MktHomeSpread,MATCH($B182,MktGameID,0)),""))</f>
        <v/>
      </c>
      <c r="V182" s="2" t="str">
        <f t="shared" si="5"/>
        <v/>
      </c>
      <c r="W182" s="2" t="str">
        <f t="shared" si="6"/>
        <v/>
      </c>
      <c r="X182" s="2" t="str">
        <f t="shared" si="7"/>
        <v/>
      </c>
      <c r="Y182" s="2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2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2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2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2">
        <f t="array" ref="AC182">IF($B182="","",IFERROR(INDEX(QBTotEff,MATCH($F182,QBTeams,0)),0)+IFERROR(INDEX(QBTotEff,MATCH($E182,QBTeams,0)),0))</f>
        <v>0</v>
      </c>
      <c r="AD182" s="2">
        <f>IF($B182="","",SUMIFS(AdjTot,AdjGameID,$B182,AdjActive,1))</f>
        <v>0</v>
      </c>
      <c r="AE182" s="2">
        <f t="shared" si="8"/>
        <v>0</v>
      </c>
      <c r="AF182" s="11"/>
      <c r="AG182" s="2">
        <f t="shared" si="9"/>
        <v>0</v>
      </c>
      <c r="AH182" s="2" t="str">
        <f t="array" ref="AH182">IF($B182="","",IFERROR(INDEX(MktTotal,MATCH($B182,MktGameID,0)),""))</f>
        <v/>
      </c>
      <c r="AI182" s="2" t="str">
        <f t="shared" si="10"/>
        <v/>
      </c>
      <c r="AJ182" s="2" t="str">
        <f t="shared" si="11"/>
        <v/>
      </c>
      <c r="AK182" s="2" t="str">
        <f t="shared" si="12"/>
        <v/>
      </c>
      <c r="AL182" s="2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2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2" t="str">
        <f>IF($AG182="","","BET OVER at ≤ "&amp;TEXT($AG182-BetTot,"0.0")&amp;"  |  BET UNDER at ≥ "&amp;TEXT($AG182+BetTot,"0.0"))</f>
        <v>BET OVER at ≤ -3.0  |  BET UNDER at ≥ 3.0</v>
      </c>
      <c r="AO182" s="2" t="str">
        <f t="array" ref="AO182">IF($B182="","",IF(OR(IFERROR(INDEX(QBFlag,MATCH($F182,QBTeams,0)),1)=1,IFERROR(INDEX(QBFlag,MATCH($E182,QBTeams,0)),1)=1),"QB UNCERTAIN",""))</f>
        <v/>
      </c>
      <c r="AP182" s="2" t="str">
        <f t="array" ref="AP182">IF($B182="","",IFERROR(INDEX(DQStatus,MATCH($B182,DQGameID,0)),"BLOCKED — DQ ROW NOT FOUND"))</f>
        <v>READY</v>
      </c>
      <c r="AQ182" s="2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2" t="str">
        <f t="shared" si="13"/>
        <v/>
      </c>
      <c r="AS182" s="2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2" t="str">
        <f t="shared" si="14"/>
        <v/>
      </c>
      <c r="AU182" s="11"/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9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2" t="str">
        <f t="array" ref="G183">IF($B183="","",IF(INDEX(SchedZone,MATCH($A183,SchedSeq,0),MAP!$B$14)="Neutral","Y",""))</f>
        <v/>
      </c>
      <c r="H183" s="2" t="str">
        <f t="array" ref="H183">IF($B183="","",INDEX(SchedZone,MATCH($A183,SchedSeq,0),MAP!$B$17))</f>
        <v>outdoors</v>
      </c>
      <c r="I183" s="2" t="str">
        <f>IF(OR($B183="",$C183&lt;&gt;CurrentWeek),"",COUNTIF($C$5:$C183,CurrentWeek))</f>
        <v/>
      </c>
      <c r="J183" s="2">
        <f t="array" ref="J183">IF($B183="","",IFERROR(INDEX(RatEff,MATCH($E183,RatTeams,0)),"⚠ TEAM NOT FOUND"))</f>
        <v>-1.3</v>
      </c>
      <c r="K183" s="2">
        <f t="array" ref="K183">IF($B183="","",IFERROR(INDEX(RatEff,MATCH($F183,RatTeams,0)),"⚠ TEAM NOT FOUND"))</f>
        <v>-0.48</v>
      </c>
      <c r="L183" s="2">
        <f t="shared" si="1"/>
        <v>0.82</v>
      </c>
      <c r="M183" s="2">
        <f t="array" ref="M183">IF($B183="","",IF($G183="Y",NeutralHFA,IFERROR(INDEX(HFAexcVal,MATCH($F183,HFAexcTeam,0)),HFA_Base)))</f>
        <v>1.6</v>
      </c>
      <c r="N183" s="2">
        <f t="array" ref="N183">IF($B183="","",IFERROR(INDEX(QBSpreadEff,MATCH($F183,QBTeams,0)),0)-IFERROR(INDEX(QBSpreadEff,MATCH($E183,QBTeams,0)),0))</f>
        <v>0</v>
      </c>
      <c r="O183" s="2">
        <f t="array" ref="O183">IF($B183="","",IFERROR(MEDIAN(-RestCapPts,RestCapPts,RestPerDay*(INDEX(SchedZone,MATCH($A183,SchedSeq,0),MAP!$B$16)-INDEX(SchedZone,MATCH($A183,SchedSeq,0),MAP!$B$15))),0))</f>
        <v>0</v>
      </c>
      <c r="P183" s="2">
        <f>IF($B183="","",SUMIFS(AdjSpread,AdjGameID,$B183,AdjTeam,$F183,AdjActive,1)-SUMIFS(AdjSpread,AdjGameID,$B183,AdjTeam,$E183,AdjActive,1))</f>
        <v>0</v>
      </c>
      <c r="Q183" s="2">
        <f t="shared" si="2"/>
        <v>2.42</v>
      </c>
      <c r="R183" s="11"/>
      <c r="S183" s="2">
        <f t="shared" si="3"/>
        <v>2.42</v>
      </c>
      <c r="T183" s="2" t="str">
        <f t="shared" si="4"/>
        <v>TB -2.4</v>
      </c>
      <c r="U183" s="2" t="str">
        <f t="array" ref="U183">IF($B183="","",IFERROR(INDEX(MktHomeSpread,MATCH($B183,MktGameID,0)),""))</f>
        <v/>
      </c>
      <c r="V183" s="2" t="str">
        <f t="shared" si="5"/>
        <v/>
      </c>
      <c r="W183" s="2" t="str">
        <f t="shared" si="6"/>
        <v/>
      </c>
      <c r="X183" s="2" t="str">
        <f t="shared" si="7"/>
        <v/>
      </c>
      <c r="Y183" s="2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2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2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2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2">
        <f t="array" ref="AC183">IF($B183="","",IFERROR(INDEX(QBTotEff,MATCH($F183,QBTeams,0)),0)+IFERROR(INDEX(QBTotEff,MATCH($E183,QBTeams,0)),0))</f>
        <v>0</v>
      </c>
      <c r="AD183" s="2">
        <f>IF($B183="","",SUMIFS(AdjTot,AdjGameID,$B183,AdjActive,1))</f>
        <v>0</v>
      </c>
      <c r="AE183" s="2">
        <f t="shared" si="8"/>
        <v>0</v>
      </c>
      <c r="AF183" s="11"/>
      <c r="AG183" s="2">
        <f t="shared" si="9"/>
        <v>0</v>
      </c>
      <c r="AH183" s="2" t="str">
        <f t="array" ref="AH183">IF($B183="","",IFERROR(INDEX(MktTotal,MATCH($B183,MktGameID,0)),""))</f>
        <v/>
      </c>
      <c r="AI183" s="2" t="str">
        <f t="shared" si="10"/>
        <v/>
      </c>
      <c r="AJ183" s="2" t="str">
        <f t="shared" si="11"/>
        <v/>
      </c>
      <c r="AK183" s="2" t="str">
        <f t="shared" si="12"/>
        <v/>
      </c>
      <c r="AL183" s="2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2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2" t="str">
        <f>IF($AG183="","","BET OVER at ≤ "&amp;TEXT($AG183-BetTot,"0.0")&amp;"  |  BET UNDER at ≥ "&amp;TEXT($AG183+BetTot,"0.0"))</f>
        <v>BET OVER at ≤ -3.0  |  BET UNDER at ≥ 3.0</v>
      </c>
      <c r="AO183" s="2" t="str">
        <f t="array" ref="AO183">IF($B183="","",IF(OR(IFERROR(INDEX(QBFlag,MATCH($F183,QBTeams,0)),1)=1,IFERROR(INDEX(QBFlag,MATCH($E183,QBTeams,0)),1)=1),"QB UNCERTAIN",""))</f>
        <v/>
      </c>
      <c r="AP183" s="2" t="str">
        <f t="array" ref="AP183">IF($B183="","",IFERROR(INDEX(DQStatus,MATCH($B183,DQGameID,0)),"BLOCKED — DQ ROW NOT FOUND"))</f>
        <v>READY</v>
      </c>
      <c r="AQ183" s="2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2" t="str">
        <f t="shared" si="13"/>
        <v/>
      </c>
      <c r="AS183" s="2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2" t="str">
        <f t="shared" si="14"/>
        <v/>
      </c>
      <c r="AU183" s="11"/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9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2" t="str">
        <f t="array" ref="G184">IF($B184="","",IF(INDEX(SchedZone,MATCH($A184,SchedSeq,0),MAP!$B$14)="Neutral","Y",""))</f>
        <v/>
      </c>
      <c r="H184" s="2" t="str">
        <f t="array" ref="H184">IF($B184="","",INDEX(SchedZone,MATCH($A184,SchedSeq,0),MAP!$B$17))</f>
        <v>dome</v>
      </c>
      <c r="I184" s="2" t="str">
        <f>IF(OR($B184="",$C184&lt;&gt;CurrentWeek),"",COUNTIF($C$5:$C184,CurrentWeek))</f>
        <v/>
      </c>
      <c r="J184" s="2">
        <f t="array" ref="J184">IF($B184="","",IFERROR(INDEX(RatEff,MATCH($E184,RatTeams,0)),"⚠ TEAM NOT FOUND"))</f>
        <v>-0.04</v>
      </c>
      <c r="K184" s="2">
        <f t="array" ref="K184">IF($B184="","",IFERROR(INDEX(RatEff,MATCH($F184,RatTeams,0)),"⚠ TEAM NOT FOUND"))</f>
        <v>4.09</v>
      </c>
      <c r="L184" s="2">
        <f t="shared" si="1"/>
        <v>4.13</v>
      </c>
      <c r="M184" s="2">
        <f t="array" ref="M184">IF($B184="","",IF($G184="Y",NeutralHFA,IFERROR(INDEX(HFAexcVal,MATCH($F184,HFAexcTeam,0)),HFA_Base)))</f>
        <v>1.6</v>
      </c>
      <c r="N184" s="2">
        <f t="array" ref="N184">IF($B184="","",IFERROR(INDEX(QBSpreadEff,MATCH($F184,QBTeams,0)),0)-IFERROR(INDEX(QBSpreadEff,MATCH($E184,QBTeams,0)),0))</f>
        <v>0</v>
      </c>
      <c r="O184" s="2">
        <f t="array" ref="O184">IF($B184="","",IFERROR(MEDIAN(-RestCapPts,RestCapPts,RestPerDay*(INDEX(SchedZone,MATCH($A184,SchedSeq,0),MAP!$B$16)-INDEX(SchedZone,MATCH($A184,SchedSeq,0),MAP!$B$15))),0))</f>
        <v>0.1</v>
      </c>
      <c r="P184" s="2">
        <f>IF($B184="","",SUMIFS(AdjSpread,AdjGameID,$B184,AdjTeam,$F184,AdjActive,1)-SUMIFS(AdjSpread,AdjGameID,$B184,AdjTeam,$E184,AdjActive,1))</f>
        <v>0</v>
      </c>
      <c r="Q184" s="2">
        <f t="shared" si="2"/>
        <v>5.83</v>
      </c>
      <c r="R184" s="11"/>
      <c r="S184" s="2">
        <f t="shared" si="3"/>
        <v>5.83</v>
      </c>
      <c r="T184" s="2" t="str">
        <f t="shared" si="4"/>
        <v>LA -5.8</v>
      </c>
      <c r="U184" s="2" t="str">
        <f t="array" ref="U184">IF($B184="","",IFERROR(INDEX(MktHomeSpread,MATCH($B184,MktGameID,0)),""))</f>
        <v/>
      </c>
      <c r="V184" s="2" t="str">
        <f t="shared" si="5"/>
        <v/>
      </c>
      <c r="W184" s="2" t="str">
        <f t="shared" si="6"/>
        <v/>
      </c>
      <c r="X184" s="2" t="str">
        <f t="shared" si="7"/>
        <v/>
      </c>
      <c r="Y184" s="2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2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2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2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2">
        <f t="array" ref="AC184">IF($B184="","",IFERROR(INDEX(QBTotEff,MATCH($F184,QBTeams,0)),0)+IFERROR(INDEX(QBTotEff,MATCH($E184,QBTeams,0)),0))</f>
        <v>0</v>
      </c>
      <c r="AD184" s="2">
        <f>IF($B184="","",SUMIFS(AdjTot,AdjGameID,$B184,AdjActive,1))</f>
        <v>0</v>
      </c>
      <c r="AE184" s="2">
        <f t="shared" si="8"/>
        <v>0</v>
      </c>
      <c r="AF184" s="11"/>
      <c r="AG184" s="2">
        <f t="shared" si="9"/>
        <v>0</v>
      </c>
      <c r="AH184" s="2" t="str">
        <f t="array" ref="AH184">IF($B184="","",IFERROR(INDEX(MktTotal,MATCH($B184,MktGameID,0)),""))</f>
        <v/>
      </c>
      <c r="AI184" s="2" t="str">
        <f t="shared" si="10"/>
        <v/>
      </c>
      <c r="AJ184" s="2" t="str">
        <f t="shared" si="11"/>
        <v/>
      </c>
      <c r="AK184" s="2" t="str">
        <f t="shared" si="12"/>
        <v/>
      </c>
      <c r="AL184" s="2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Medium</v>
      </c>
      <c r="AM184" s="2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2" t="str">
        <f>IF($AG184="","","BET OVER at ≤ "&amp;TEXT($AG184-BetTot,"0.0")&amp;"  |  BET UNDER at ≥ "&amp;TEXT($AG184+BetTot,"0.0"))</f>
        <v>BET OVER at ≤ -3.0  |  BET UNDER at ≥ 3.0</v>
      </c>
      <c r="AO184" s="2" t="str">
        <f t="array" ref="AO184">IF($B184="","",IF(OR(IFERROR(INDEX(QBFlag,MATCH($F184,QBTeams,0)),1)=1,IFERROR(INDEX(QBFlag,MATCH($E184,QBTeams,0)),1)=1),"QB UNCERTAIN",""))</f>
        <v/>
      </c>
      <c r="AP184" s="2" t="str">
        <f t="array" ref="AP184">IF($B184="","",IFERROR(INDEX(DQStatus,MATCH($B184,DQGameID,0)),"BLOCKED — DQ ROW NOT FOUND"))</f>
        <v>READY</v>
      </c>
      <c r="AQ184" s="2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2" t="str">
        <f t="shared" si="13"/>
        <v/>
      </c>
      <c r="AS184" s="2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2" t="str">
        <f t="shared" si="14"/>
        <v/>
      </c>
      <c r="AU184" s="11"/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9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2" t="str">
        <f t="array" ref="G185">IF($B185="","",IF(INDEX(SchedZone,MATCH($A185,SchedSeq,0),MAP!$B$14)="Neutral","Y",""))</f>
        <v/>
      </c>
      <c r="H185" s="2" t="str">
        <f t="array" ref="H185">IF($B185="","",INDEX(SchedZone,MATCH($A185,SchedSeq,0),MAP!$B$17))</f>
        <v/>
      </c>
      <c r="I185" s="2" t="str">
        <f>IF(OR($B185="",$C185&lt;&gt;CurrentWeek),"",COUNTIF($C$5:$C185,CurrentWeek))</f>
        <v/>
      </c>
      <c r="J185" s="2">
        <f t="array" ref="J185">IF($B185="","",IFERROR(INDEX(RatEff,MATCH($E185,RatTeams,0)),"⚠ TEAM NOT FOUND"))</f>
        <v>0.86</v>
      </c>
      <c r="K185" s="2">
        <f t="array" ref="K185">IF($B185="","",IFERROR(INDEX(RatEff,MATCH($F185,RatTeams,0)),"⚠ TEAM NOT FOUND"))</f>
        <v>-0.06</v>
      </c>
      <c r="L185" s="2">
        <f t="shared" si="1"/>
        <v>-0.92</v>
      </c>
      <c r="M185" s="2">
        <f t="array" ref="M185">IF($B185="","",IF($G185="Y",NeutralHFA,IFERROR(INDEX(HFAexcVal,MATCH($F185,HFAexcTeam,0)),HFA_Base)))</f>
        <v>1.6</v>
      </c>
      <c r="N185" s="2">
        <f t="array" ref="N185">IF($B185="","",IFERROR(INDEX(QBSpreadEff,MATCH($F185,QBTeams,0)),0)-IFERROR(INDEX(QBSpreadEff,MATCH($E185,QBTeams,0)),0))</f>
        <v>0</v>
      </c>
      <c r="O185" s="2">
        <f t="array" ref="O185">IF($B185="","",IFERROR(MEDIAN(-RestCapPts,RestCapPts,RestPerDay*(INDEX(SchedZone,MATCH($A185,SchedSeq,0),MAP!$B$16)-INDEX(SchedZone,MATCH($A185,SchedSeq,0),MAP!$B$15))),0))</f>
        <v>-0.3</v>
      </c>
      <c r="P185" s="2">
        <f>IF($B185="","",SUMIFS(AdjSpread,AdjGameID,$B185,AdjTeam,$F185,AdjActive,1)-SUMIFS(AdjSpread,AdjGameID,$B185,AdjTeam,$E185,AdjActive,1))</f>
        <v>0</v>
      </c>
      <c r="Q185" s="2">
        <f t="shared" si="2"/>
        <v>0.38</v>
      </c>
      <c r="R185" s="11"/>
      <c r="S185" s="2">
        <f t="shared" si="3"/>
        <v>0.38</v>
      </c>
      <c r="T185" s="2" t="str">
        <f t="shared" si="4"/>
        <v>ATL -0.4</v>
      </c>
      <c r="U185" s="2" t="str">
        <f t="array" ref="U185">IF($B185="","",IFERROR(INDEX(MktHomeSpread,MATCH($B185,MktGameID,0)),""))</f>
        <v/>
      </c>
      <c r="V185" s="2" t="str">
        <f t="shared" si="5"/>
        <v/>
      </c>
      <c r="W185" s="2" t="str">
        <f t="shared" si="6"/>
        <v/>
      </c>
      <c r="X185" s="2" t="str">
        <f t="shared" si="7"/>
        <v/>
      </c>
      <c r="Y185" s="2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2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2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2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2">
        <f t="array" ref="AC185">IF($B185="","",IFERROR(INDEX(QBTotEff,MATCH($F185,QBTeams,0)),0)+IFERROR(INDEX(QBTotEff,MATCH($E185,QBTeams,0)),0))</f>
        <v>0</v>
      </c>
      <c r="AD185" s="2">
        <f>IF($B185="","",SUMIFS(AdjTot,AdjGameID,$B185,AdjActive,1))</f>
        <v>0</v>
      </c>
      <c r="AE185" s="2">
        <f t="shared" si="8"/>
        <v>0</v>
      </c>
      <c r="AF185" s="11"/>
      <c r="AG185" s="2">
        <f t="shared" si="9"/>
        <v>0</v>
      </c>
      <c r="AH185" s="2" t="str">
        <f t="array" ref="AH185">IF($B185="","",IFERROR(INDEX(MktTotal,MATCH($B185,MktGameID,0)),""))</f>
        <v/>
      </c>
      <c r="AI185" s="2" t="str">
        <f t="shared" si="10"/>
        <v/>
      </c>
      <c r="AJ185" s="2" t="str">
        <f t="shared" si="11"/>
        <v/>
      </c>
      <c r="AK185" s="2" t="str">
        <f t="shared" si="12"/>
        <v/>
      </c>
      <c r="AL185" s="2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2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2" t="str">
        <f>IF($AG185="","","BET OVER at ≤ "&amp;TEXT($AG185-BetTot,"0.0")&amp;"  |  BET UNDER at ≥ "&amp;TEXT($AG185+BetTot,"0.0"))</f>
        <v>BET OVER at ≤ -3.0  |  BET UNDER at ≥ 3.0</v>
      </c>
      <c r="AO185" s="2" t="str">
        <f t="array" ref="AO185">IF($B185="","",IF(OR(IFERROR(INDEX(QBFlag,MATCH($F185,QBTeams,0)),1)=1,IFERROR(INDEX(QBFlag,MATCH($E185,QBTeams,0)),1)=1),"QB UNCERTAIN",""))</f>
        <v>QB UNCERTAIN</v>
      </c>
      <c r="AP185" s="2" t="str">
        <f t="array" ref="AP185">IF($B185="","",IFERROR(INDEX(DQStatus,MATCH($B185,DQGameID,0)),"BLOCKED — DQ ROW NOT FOUND"))</f>
        <v>READY</v>
      </c>
      <c r="AQ185" s="2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2" t="str">
        <f t="shared" si="13"/>
        <v/>
      </c>
      <c r="AS185" s="2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2" t="str">
        <f t="shared" si="14"/>
        <v/>
      </c>
      <c r="AU185" s="11"/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9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2" t="str">
        <f t="array" ref="G186">IF($B186="","",IF(INDEX(SchedZone,MATCH($A186,SchedSeq,0),MAP!$B$14)="Neutral","Y",""))</f>
        <v/>
      </c>
      <c r="H186" s="2" t="str">
        <f t="array" ref="H186">IF($B186="","",INDEX(SchedZone,MATCH($A186,SchedSeq,0),MAP!$B$17))</f>
        <v>outdoors</v>
      </c>
      <c r="I186" s="2" t="str">
        <f>IF(OR($B186="",$C186&lt;&gt;CurrentWeek),"",COUNTIF($C$5:$C186,CurrentWeek))</f>
        <v/>
      </c>
      <c r="J186" s="2">
        <f t="array" ref="J186">IF($B186="","",IFERROR(INDEX(RatEff,MATCH($E186,RatTeams,0)),"⚠ TEAM NOT FOUND"))</f>
        <v>3.22</v>
      </c>
      <c r="K186" s="2">
        <f t="array" ref="K186">IF($B186="","",IFERROR(INDEX(RatEff,MATCH($F186,RatTeams,0)),"⚠ TEAM NOT FOUND"))</f>
        <v>0.86</v>
      </c>
      <c r="L186" s="2">
        <f t="shared" si="1"/>
        <v>-2.36</v>
      </c>
      <c r="M186" s="2">
        <f t="array" ref="M186">IF($B186="","",IF($G186="Y",NeutralHFA,IFERROR(INDEX(HFAexcVal,MATCH($F186,HFAexcTeam,0)),HFA_Base)))</f>
        <v>1.6</v>
      </c>
      <c r="N186" s="2">
        <f t="array" ref="N186">IF($B186="","",IFERROR(INDEX(QBSpreadEff,MATCH($F186,QBTeams,0)),0)-IFERROR(INDEX(QBSpreadEff,MATCH($E186,QBTeams,0)),0))</f>
        <v>0</v>
      </c>
      <c r="O186" s="2">
        <f t="array" ref="O186">IF($B186="","",IFERROR(MEDIAN(-RestCapPts,RestCapPts,RestPerDay*(INDEX(SchedZone,MATCH($A186,SchedSeq,0),MAP!$B$16)-INDEX(SchedZone,MATCH($A186,SchedSeq,0),MAP!$B$15))),0))</f>
        <v>0.3</v>
      </c>
      <c r="P186" s="2">
        <f>IF($B186="","",SUMIFS(AdjSpread,AdjGameID,$B186,AdjTeam,$F186,AdjActive,1)-SUMIFS(AdjSpread,AdjGameID,$B186,AdjTeam,$E186,AdjActive,1))</f>
        <v>0</v>
      </c>
      <c r="Q186" s="2">
        <f t="shared" si="2"/>
        <v>-0.46</v>
      </c>
      <c r="R186" s="11"/>
      <c r="S186" s="2">
        <f t="shared" si="3"/>
        <v>-0.46</v>
      </c>
      <c r="T186" s="2" t="str">
        <f t="shared" si="4"/>
        <v>JAX -0.5</v>
      </c>
      <c r="U186" s="2" t="str">
        <f t="array" ref="U186">IF($B186="","",IFERROR(INDEX(MktHomeSpread,MATCH($B186,MktGameID,0)),""))</f>
        <v/>
      </c>
      <c r="V186" s="2" t="str">
        <f t="shared" si="5"/>
        <v/>
      </c>
      <c r="W186" s="2" t="str">
        <f t="shared" si="6"/>
        <v/>
      </c>
      <c r="X186" s="2" t="str">
        <f t="shared" si="7"/>
        <v/>
      </c>
      <c r="Y186" s="2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2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2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2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2">
        <f t="array" ref="AC186">IF($B186="","",IFERROR(INDEX(QBTotEff,MATCH($F186,QBTeams,0)),0)+IFERROR(INDEX(QBTotEff,MATCH($E186,QBTeams,0)),0))</f>
        <v>0</v>
      </c>
      <c r="AD186" s="2">
        <f>IF($B186="","",SUMIFS(AdjTot,AdjGameID,$B186,AdjActive,1))</f>
        <v>0</v>
      </c>
      <c r="AE186" s="2">
        <f t="shared" si="8"/>
        <v>0</v>
      </c>
      <c r="AF186" s="11"/>
      <c r="AG186" s="2">
        <f t="shared" si="9"/>
        <v>0</v>
      </c>
      <c r="AH186" s="2" t="str">
        <f t="array" ref="AH186">IF($B186="","",IFERROR(INDEX(MktTotal,MATCH($B186,MktGameID,0)),""))</f>
        <v/>
      </c>
      <c r="AI186" s="2" t="str">
        <f t="shared" si="10"/>
        <v/>
      </c>
      <c r="AJ186" s="2" t="str">
        <f t="shared" si="11"/>
        <v/>
      </c>
      <c r="AK186" s="2" t="str">
        <f t="shared" si="12"/>
        <v/>
      </c>
      <c r="AL186" s="2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2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2" t="str">
        <f>IF($AG186="","","BET OVER at ≤ "&amp;TEXT($AG186-BetTot,"0.0")&amp;"  |  BET UNDER at ≥ "&amp;TEXT($AG186+BetTot,"0.0"))</f>
        <v>BET OVER at ≤ -3.0  |  BET UNDER at ≥ 3.0</v>
      </c>
      <c r="AO186" s="2" t="str">
        <f t="array" ref="AO186">IF($B186="","",IF(OR(IFERROR(INDEX(QBFlag,MATCH($F186,QBTeams,0)),1)=1,IFERROR(INDEX(QBFlag,MATCH($E186,QBTeams,0)),1)=1),"QB UNCERTAIN",""))</f>
        <v/>
      </c>
      <c r="AP186" s="2" t="str">
        <f t="array" ref="AP186">IF($B186="","",IFERROR(INDEX(DQStatus,MATCH($B186,DQGameID,0)),"BLOCKED — DQ ROW NOT FOUND"))</f>
        <v>READY</v>
      </c>
      <c r="AQ186" s="2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2" t="str">
        <f t="shared" si="13"/>
        <v/>
      </c>
      <c r="AS186" s="2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2" t="str">
        <f t="shared" si="14"/>
        <v/>
      </c>
      <c r="AU186" s="11"/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9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2" t="str">
        <f t="array" ref="G187">IF($B187="","",IF(INDEX(SchedZone,MATCH($A187,SchedSeq,0),MAP!$B$14)="Neutral","Y",""))</f>
        <v/>
      </c>
      <c r="H187" s="2" t="str">
        <f t="array" ref="H187">IF($B187="","",INDEX(SchedZone,MATCH($A187,SchedSeq,0),MAP!$B$17))</f>
        <v>outdoors</v>
      </c>
      <c r="I187" s="2" t="str">
        <f>IF(OR($B187="",$C187&lt;&gt;CurrentWeek),"",COUNTIF($C$5:$C187,CurrentWeek))</f>
        <v/>
      </c>
      <c r="J187" s="2">
        <f t="array" ref="J187">IF($B187="","",IFERROR(INDEX(RatEff,MATCH($E187,RatTeams,0)),"⚠ TEAM NOT FOUND"))</f>
        <v>-1.53</v>
      </c>
      <c r="K187" s="2">
        <f t="array" ref="K187">IF($B187="","",IFERROR(INDEX(RatEff,MATCH($F187,RatTeams,0)),"⚠ TEAM NOT FOUND"))</f>
        <v>-2.6</v>
      </c>
      <c r="L187" s="2">
        <f t="shared" si="1"/>
        <v>-1.07</v>
      </c>
      <c r="M187" s="2">
        <f t="array" ref="M187">IF($B187="","",IF($G187="Y",NeutralHFA,IFERROR(INDEX(HFAexcVal,MATCH($F187,HFAexcTeam,0)),HFA_Base)))</f>
        <v>1.6</v>
      </c>
      <c r="N187" s="2">
        <f t="array" ref="N187">IF($B187="","",IFERROR(INDEX(QBSpreadEff,MATCH($F187,QBTeams,0)),0)-IFERROR(INDEX(QBSpreadEff,MATCH($E187,QBTeams,0)),0))</f>
        <v>0</v>
      </c>
      <c r="O187" s="2">
        <f t="array" ref="O187">IF($B187="","",IFERROR(MEDIAN(-RestCapPts,RestCapPts,RestPerDay*(INDEX(SchedZone,MATCH($A187,SchedSeq,0),MAP!$B$16)-INDEX(SchedZone,MATCH($A187,SchedSeq,0),MAP!$B$15))),0))</f>
        <v>0</v>
      </c>
      <c r="P187" s="2">
        <f>IF($B187="","",SUMIFS(AdjSpread,AdjGameID,$B187,AdjTeam,$F187,AdjActive,1)-SUMIFS(AdjSpread,AdjGameID,$B187,AdjTeam,$E187,AdjActive,1))</f>
        <v>0</v>
      </c>
      <c r="Q187" s="2">
        <f t="shared" si="2"/>
        <v>0.53</v>
      </c>
      <c r="R187" s="11"/>
      <c r="S187" s="2">
        <f t="shared" si="3"/>
        <v>0.53</v>
      </c>
      <c r="T187" s="2" t="str">
        <f t="shared" si="4"/>
        <v>CLE -0.5</v>
      </c>
      <c r="U187" s="2" t="str">
        <f t="array" ref="U187">IF($B187="","",IFERROR(INDEX(MktHomeSpread,MATCH($B187,MktGameID,0)),""))</f>
        <v/>
      </c>
      <c r="V187" s="2" t="str">
        <f t="shared" si="5"/>
        <v/>
      </c>
      <c r="W187" s="2" t="str">
        <f t="shared" si="6"/>
        <v/>
      </c>
      <c r="X187" s="2" t="str">
        <f t="shared" si="7"/>
        <v/>
      </c>
      <c r="Y187" s="2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2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2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2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2">
        <f t="array" ref="AC187">IF($B187="","",IFERROR(INDEX(QBTotEff,MATCH($F187,QBTeams,0)),0)+IFERROR(INDEX(QBTotEff,MATCH($E187,QBTeams,0)),0))</f>
        <v>0</v>
      </c>
      <c r="AD187" s="2">
        <f>IF($B187="","",SUMIFS(AdjTot,AdjGameID,$B187,AdjActive,1))</f>
        <v>0</v>
      </c>
      <c r="AE187" s="2">
        <f t="shared" si="8"/>
        <v>0</v>
      </c>
      <c r="AF187" s="11"/>
      <c r="AG187" s="2">
        <f t="shared" si="9"/>
        <v>0</v>
      </c>
      <c r="AH187" s="2" t="str">
        <f t="array" ref="AH187">IF($B187="","",IFERROR(INDEX(MktTotal,MATCH($B187,MktGameID,0)),""))</f>
        <v/>
      </c>
      <c r="AI187" s="2" t="str">
        <f t="shared" si="10"/>
        <v/>
      </c>
      <c r="AJ187" s="2" t="str">
        <f t="shared" si="11"/>
        <v/>
      </c>
      <c r="AK187" s="2" t="str">
        <f t="shared" si="12"/>
        <v/>
      </c>
      <c r="AL187" s="2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Low</v>
      </c>
      <c r="AM187" s="2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2" t="str">
        <f>IF($AG187="","","BET OVER at ≤ "&amp;TEXT($AG187-BetTot,"0.0")&amp;"  |  BET UNDER at ≥ "&amp;TEXT($AG187+BetTot,"0.0"))</f>
        <v>BET OVER at ≤ -3.0  |  BET UNDER at ≥ 3.0</v>
      </c>
      <c r="AO187" s="2" t="str">
        <f t="array" ref="AO187">IF($B187="","",IF(OR(IFERROR(INDEX(QBFlag,MATCH($F187,QBTeams,0)),1)=1,IFERROR(INDEX(QBFlag,MATCH($E187,QBTeams,0)),1)=1),"QB UNCERTAIN",""))</f>
        <v>QB UNCERTAIN</v>
      </c>
      <c r="AP187" s="2" t="str">
        <f t="array" ref="AP187">IF($B187="","",IFERROR(INDEX(DQStatus,MATCH($B187,DQGameID,0)),"BLOCKED — DQ ROW NOT FOUND"))</f>
        <v>READY</v>
      </c>
      <c r="AQ187" s="2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2" t="str">
        <f t="shared" si="13"/>
        <v/>
      </c>
      <c r="AS187" s="2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2" t="str">
        <f t="shared" si="14"/>
        <v/>
      </c>
      <c r="AU187" s="11"/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9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2" t="str">
        <f t="array" ref="G188">IF($B188="","",IF(INDEX(SchedZone,MATCH($A188,SchedSeq,0),MAP!$B$14)="Neutral","Y",""))</f>
        <v/>
      </c>
      <c r="H188" s="2" t="str">
        <f t="array" ref="H188">IF($B188="","",INDEX(SchedZone,MATCH($A188,SchedSeq,0),MAP!$B$17))</f>
        <v>dome</v>
      </c>
      <c r="I188" s="2" t="str">
        <f>IF(OR($B188="",$C188&lt;&gt;CurrentWeek),"",COUNTIF($C$5:$C188,CurrentWeek))</f>
        <v/>
      </c>
      <c r="J188" s="2">
        <f t="array" ref="J188">IF($B188="","",IFERROR(INDEX(RatEff,MATCH($E188,RatTeams,0)),"⚠ TEAM NOT FOUND"))</f>
        <v>0.51</v>
      </c>
      <c r="K188" s="2">
        <f t="array" ref="K188">IF($B188="","",IFERROR(INDEX(RatEff,MATCH($F188,RatTeams,0)),"⚠ TEAM NOT FOUND"))</f>
        <v>-0.94</v>
      </c>
      <c r="L188" s="2">
        <f t="shared" si="1"/>
        <v>-1.45</v>
      </c>
      <c r="M188" s="2">
        <f t="array" ref="M188">IF($B188="","",IF($G188="Y",NeutralHFA,IFERROR(INDEX(HFAexcVal,MATCH($F188,HFAexcTeam,0)),HFA_Base)))</f>
        <v>1.6</v>
      </c>
      <c r="N188" s="2">
        <f t="array" ref="N188">IF($B188="","",IFERROR(INDEX(QBSpreadEff,MATCH($F188,QBTeams,0)),0)-IFERROR(INDEX(QBSpreadEff,MATCH($E188,QBTeams,0)),0))</f>
        <v>0</v>
      </c>
      <c r="O188" s="2">
        <f t="array" ref="O188">IF($B188="","",IFERROR(MEDIAN(-RestCapPts,RestCapPts,RestPerDay*(INDEX(SchedZone,MATCH($A188,SchedSeq,0),MAP!$B$16)-INDEX(SchedZone,MATCH($A188,SchedSeq,0),MAP!$B$15))),0))</f>
        <v>-0.4</v>
      </c>
      <c r="P188" s="2">
        <f>IF($B188="","",SUMIFS(AdjSpread,AdjGameID,$B188,AdjTeam,$F188,AdjActive,1)-SUMIFS(AdjSpread,AdjGameID,$B188,AdjTeam,$E188,AdjActive,1))</f>
        <v>0</v>
      </c>
      <c r="Q188" s="2">
        <f t="shared" si="2"/>
        <v>-0.25</v>
      </c>
      <c r="R188" s="11"/>
      <c r="S188" s="2">
        <f t="shared" si="3"/>
        <v>-0.25</v>
      </c>
      <c r="T188" s="2" t="str">
        <f t="shared" si="4"/>
        <v>GB -0.3</v>
      </c>
      <c r="U188" s="2" t="str">
        <f t="array" ref="U188">IF($B188="","",IFERROR(INDEX(MktHomeSpread,MATCH($B188,MktGameID,0)),""))</f>
        <v/>
      </c>
      <c r="V188" s="2" t="str">
        <f t="shared" si="5"/>
        <v/>
      </c>
      <c r="W188" s="2" t="str">
        <f t="shared" si="6"/>
        <v/>
      </c>
      <c r="X188" s="2" t="str">
        <f t="shared" si="7"/>
        <v/>
      </c>
      <c r="Y188" s="2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2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2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2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2">
        <f t="array" ref="AC188">IF($B188="","",IFERROR(INDEX(QBTotEff,MATCH($F188,QBTeams,0)),0)+IFERROR(INDEX(QBTotEff,MATCH($E188,QBTeams,0)),0))</f>
        <v>0</v>
      </c>
      <c r="AD188" s="2">
        <f>IF($B188="","",SUMIFS(AdjTot,AdjGameID,$B188,AdjActive,1))</f>
        <v>0</v>
      </c>
      <c r="AE188" s="2">
        <f t="shared" si="8"/>
        <v>0</v>
      </c>
      <c r="AF188" s="11"/>
      <c r="AG188" s="2">
        <f t="shared" si="9"/>
        <v>0</v>
      </c>
      <c r="AH188" s="2" t="str">
        <f t="array" ref="AH188">IF($B188="","",IFERROR(INDEX(MktTotal,MATCH($B188,MktGameID,0)),""))</f>
        <v/>
      </c>
      <c r="AI188" s="2" t="str">
        <f t="shared" si="10"/>
        <v/>
      </c>
      <c r="AJ188" s="2" t="str">
        <f t="shared" si="11"/>
        <v/>
      </c>
      <c r="AK188" s="2" t="str">
        <f t="shared" si="12"/>
        <v/>
      </c>
      <c r="AL188" s="2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2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2" t="str">
        <f>IF($AG188="","","BET OVER at ≤ "&amp;TEXT($AG188-BetTot,"0.0")&amp;"  |  BET UNDER at ≥ "&amp;TEXT($AG188+BetTot,"0.0"))</f>
        <v>BET OVER at ≤ -3.0  |  BET UNDER at ≥ 3.0</v>
      </c>
      <c r="AO188" s="2" t="str">
        <f t="array" ref="AO188">IF($B188="","",IF(OR(IFERROR(INDEX(QBFlag,MATCH($F188,QBTeams,0)),1)=1,IFERROR(INDEX(QBFlag,MATCH($E188,QBTeams,0)),1)=1),"QB UNCERTAIN",""))</f>
        <v/>
      </c>
      <c r="AP188" s="2" t="str">
        <f t="array" ref="AP188">IF($B188="","",IFERROR(INDEX(DQStatus,MATCH($B188,DQGameID,0)),"BLOCKED — DQ ROW NOT FOUND"))</f>
        <v>READY</v>
      </c>
      <c r="AQ188" s="2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2" t="str">
        <f t="shared" si="13"/>
        <v/>
      </c>
      <c r="AS188" s="2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2" t="str">
        <f t="shared" si="14"/>
        <v/>
      </c>
      <c r="AU188" s="11"/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9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2" t="str">
        <f t="array" ref="G189">IF($B189="","",IF(INDEX(SchedZone,MATCH($A189,SchedSeq,0),MAP!$B$14)="Neutral","Y",""))</f>
        <v/>
      </c>
      <c r="H189" s="2" t="str">
        <f t="array" ref="H189">IF($B189="","",INDEX(SchedZone,MATCH($A189,SchedSeq,0),MAP!$B$17))</f>
        <v>outdoors</v>
      </c>
      <c r="I189" s="2" t="str">
        <f>IF(OR($B189="",$C189&lt;&gt;CurrentWeek),"",COUNTIF($C$5:$C189,CurrentWeek))</f>
        <v/>
      </c>
      <c r="J189" s="2">
        <f t="array" ref="J189">IF($B189="","",IFERROR(INDEX(RatEff,MATCH($E189,RatTeams,0)),"⚠ TEAM NOT FOUND"))</f>
        <v>1.78</v>
      </c>
      <c r="K189" s="2">
        <f t="array" ref="K189">IF($B189="","",IFERROR(INDEX(RatEff,MATCH($F189,RatTeams,0)),"⚠ TEAM NOT FOUND"))</f>
        <v>-1.59</v>
      </c>
      <c r="L189" s="2">
        <f t="shared" si="1"/>
        <v>-3.37</v>
      </c>
      <c r="M189" s="2">
        <f t="array" ref="M189">IF($B189="","",IF($G189="Y",NeutralHFA,IFERROR(INDEX(HFAexcVal,MATCH($F189,HFAexcTeam,0)),HFA_Base)))</f>
        <v>1.6</v>
      </c>
      <c r="N189" s="2">
        <f t="array" ref="N189">IF($B189="","",IFERROR(INDEX(QBSpreadEff,MATCH($F189,QBTeams,0)),0)-IFERROR(INDEX(QBSpreadEff,MATCH($E189,QBTeams,0)),0))</f>
        <v>0</v>
      </c>
      <c r="O189" s="2">
        <f t="array" ref="O189">IF($B189="","",IFERROR(MEDIAN(-RestCapPts,RestCapPts,RestPerDay*(INDEX(SchedZone,MATCH($A189,SchedSeq,0),MAP!$B$16)-INDEX(SchedZone,MATCH($A189,SchedSeq,0),MAP!$B$15))),0))</f>
        <v>0</v>
      </c>
      <c r="P189" s="2">
        <f>IF($B189="","",SUMIFS(AdjSpread,AdjGameID,$B189,AdjTeam,$F189,AdjActive,1)-SUMIFS(AdjSpread,AdjGameID,$B189,AdjTeam,$E189,AdjActive,1))</f>
        <v>0</v>
      </c>
      <c r="Q189" s="2">
        <f t="shared" si="2"/>
        <v>-1.77</v>
      </c>
      <c r="R189" s="11"/>
      <c r="S189" s="2">
        <f t="shared" si="3"/>
        <v>-1.77</v>
      </c>
      <c r="T189" s="2" t="str">
        <f t="shared" si="4"/>
        <v>SF -1.8</v>
      </c>
      <c r="U189" s="2" t="str">
        <f t="array" ref="U189">IF($B189="","",IFERROR(INDEX(MktHomeSpread,MATCH($B189,MktGameID,0)),""))</f>
        <v/>
      </c>
      <c r="V189" s="2" t="str">
        <f t="shared" si="5"/>
        <v/>
      </c>
      <c r="W189" s="2" t="str">
        <f t="shared" si="6"/>
        <v/>
      </c>
      <c r="X189" s="2" t="str">
        <f t="shared" si="7"/>
        <v/>
      </c>
      <c r="Y189" s="2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2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2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2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2">
        <f t="array" ref="AC189">IF($B189="","",IFERROR(INDEX(QBTotEff,MATCH($F189,QBTeams,0)),0)+IFERROR(INDEX(QBTotEff,MATCH($E189,QBTeams,0)),0))</f>
        <v>0</v>
      </c>
      <c r="AD189" s="2">
        <f>IF($B189="","",SUMIFS(AdjTot,AdjGameID,$B189,AdjActive,1))</f>
        <v>0</v>
      </c>
      <c r="AE189" s="2">
        <f t="shared" si="8"/>
        <v>0</v>
      </c>
      <c r="AF189" s="11"/>
      <c r="AG189" s="2">
        <f t="shared" si="9"/>
        <v>0</v>
      </c>
      <c r="AH189" s="2" t="str">
        <f t="array" ref="AH189">IF($B189="","",IFERROR(INDEX(MktTotal,MATCH($B189,MktGameID,0)),""))</f>
        <v/>
      </c>
      <c r="AI189" s="2" t="str">
        <f t="shared" si="10"/>
        <v/>
      </c>
      <c r="AJ189" s="2" t="str">
        <f t="shared" si="11"/>
        <v/>
      </c>
      <c r="AK189" s="2" t="str">
        <f t="shared" si="12"/>
        <v/>
      </c>
      <c r="AL189" s="2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2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2" t="str">
        <f>IF($AG189="","","BET OVER at ≤ "&amp;TEXT($AG189-BetTot,"0.0")&amp;"  |  BET UNDER at ≥ "&amp;TEXT($AG189+BetTot,"0.0"))</f>
        <v>BET OVER at ≤ -3.0  |  BET UNDER at ≥ 3.0</v>
      </c>
      <c r="AO189" s="2" t="str">
        <f t="array" ref="AO189">IF($B189="","",IF(OR(IFERROR(INDEX(QBFlag,MATCH($F189,QBTeams,0)),1)=1,IFERROR(INDEX(QBFlag,MATCH($E189,QBTeams,0)),1)=1),"QB UNCERTAIN",""))</f>
        <v/>
      </c>
      <c r="AP189" s="2" t="str">
        <f t="array" ref="AP189">IF($B189="","",IFERROR(INDEX(DQStatus,MATCH($B189,DQGameID,0)),"BLOCKED — DQ ROW NOT FOUND"))</f>
        <v>READY</v>
      </c>
      <c r="AQ189" s="2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2" t="str">
        <f t="shared" si="13"/>
        <v/>
      </c>
      <c r="AS189" s="2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2" t="str">
        <f t="shared" si="14"/>
        <v/>
      </c>
      <c r="AU189" s="11"/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9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2" t="str">
        <f t="array" ref="G190">IF($B190="","",IF(INDEX(SchedZone,MATCH($A190,SchedSeq,0),MAP!$B$14)="Neutral","Y",""))</f>
        <v/>
      </c>
      <c r="H190" s="2" t="str">
        <f t="array" ref="H190">IF($B190="","",INDEX(SchedZone,MATCH($A190,SchedSeq,0),MAP!$B$17))</f>
        <v>outdoors</v>
      </c>
      <c r="I190" s="2" t="str">
        <f>IF(OR($B190="",$C190&lt;&gt;CurrentWeek),"",COUNTIF($C$5:$C190,CurrentWeek))</f>
        <v/>
      </c>
      <c r="J190" s="2">
        <f t="array" ref="J190">IF($B190="","",IFERROR(INDEX(RatEff,MATCH($E190,RatTeams,0)),"⚠ TEAM NOT FOUND"))</f>
        <v>0.56</v>
      </c>
      <c r="K190" s="2">
        <f t="array" ref="K190">IF($B190="","",IFERROR(INDEX(RatEff,MATCH($F190,RatTeams,0)),"⚠ TEAM NOT FOUND"))</f>
        <v>-0.48</v>
      </c>
      <c r="L190" s="2">
        <f t="shared" si="1"/>
        <v>-1.04</v>
      </c>
      <c r="M190" s="2">
        <f t="array" ref="M190">IF($B190="","",IF($G190="Y",NeutralHFA,IFERROR(INDEX(HFAexcVal,MATCH($F190,HFAexcTeam,0)),HFA_Base)))</f>
        <v>1.6</v>
      </c>
      <c r="N190" s="2">
        <f t="array" ref="N190">IF($B190="","",IFERROR(INDEX(QBSpreadEff,MATCH($F190,QBTeams,0)),0)-IFERROR(INDEX(QBSpreadEff,MATCH($E190,QBTeams,0)),0))</f>
        <v>0</v>
      </c>
      <c r="O190" s="2">
        <f t="array" ref="O190">IF($B190="","",IFERROR(MEDIAN(-RestCapPts,RestCapPts,RestPerDay*(INDEX(SchedZone,MATCH($A190,SchedSeq,0),MAP!$B$16)-INDEX(SchedZone,MATCH($A190,SchedSeq,0),MAP!$B$15))),0))</f>
        <v>-0.1</v>
      </c>
      <c r="P190" s="2">
        <f>IF($B190="","",SUMIFS(AdjSpread,AdjGameID,$B190,AdjTeam,$F190,AdjActive,1)-SUMIFS(AdjSpread,AdjGameID,$B190,AdjTeam,$E190,AdjActive,1))</f>
        <v>0</v>
      </c>
      <c r="Q190" s="2">
        <f t="shared" si="2"/>
        <v>0.46</v>
      </c>
      <c r="R190" s="11"/>
      <c r="S190" s="2">
        <f t="shared" si="3"/>
        <v>0.46</v>
      </c>
      <c r="T190" s="2" t="str">
        <f t="shared" si="4"/>
        <v>TB -0.5</v>
      </c>
      <c r="U190" s="2" t="str">
        <f t="array" ref="U190">IF($B190="","",IFERROR(INDEX(MktHomeSpread,MATCH($B190,MktGameID,0)),""))</f>
        <v/>
      </c>
      <c r="V190" s="2" t="str">
        <f t="shared" si="5"/>
        <v/>
      </c>
      <c r="W190" s="2" t="str">
        <f t="shared" si="6"/>
        <v/>
      </c>
      <c r="X190" s="2" t="str">
        <f t="shared" si="7"/>
        <v/>
      </c>
      <c r="Y190" s="2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2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2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2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2">
        <f t="array" ref="AC190">IF($B190="","",IFERROR(INDEX(QBTotEff,MATCH($F190,QBTeams,0)),0)+IFERROR(INDEX(QBTotEff,MATCH($E190,QBTeams,0)),0))</f>
        <v>0</v>
      </c>
      <c r="AD190" s="2">
        <f>IF($B190="","",SUMIFS(AdjTot,AdjGameID,$B190,AdjActive,1))</f>
        <v>0</v>
      </c>
      <c r="AE190" s="2">
        <f t="shared" si="8"/>
        <v>0</v>
      </c>
      <c r="AF190" s="11"/>
      <c r="AG190" s="2">
        <f t="shared" si="9"/>
        <v>0</v>
      </c>
      <c r="AH190" s="2" t="str">
        <f t="array" ref="AH190">IF($B190="","",IFERROR(INDEX(MktTotal,MATCH($B190,MktGameID,0)),""))</f>
        <v/>
      </c>
      <c r="AI190" s="2" t="str">
        <f t="shared" si="10"/>
        <v/>
      </c>
      <c r="AJ190" s="2" t="str">
        <f t="shared" si="11"/>
        <v/>
      </c>
      <c r="AK190" s="2" t="str">
        <f t="shared" si="12"/>
        <v/>
      </c>
      <c r="AL190" s="2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2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2" t="str">
        <f>IF($AG190="","","BET OVER at ≤ "&amp;TEXT($AG190-BetTot,"0.0")&amp;"  |  BET UNDER at ≥ "&amp;TEXT($AG190+BetTot,"0.0"))</f>
        <v>BET OVER at ≤ -3.0  |  BET UNDER at ≥ 3.0</v>
      </c>
      <c r="AO190" s="2" t="str">
        <f t="array" ref="AO190">IF($B190="","",IF(OR(IFERROR(INDEX(QBFlag,MATCH($F190,QBTeams,0)),1)=1,IFERROR(INDEX(QBFlag,MATCH($E190,QBTeams,0)),1)=1),"QB UNCERTAIN",""))</f>
        <v/>
      </c>
      <c r="AP190" s="2" t="str">
        <f t="array" ref="AP190">IF($B190="","",IFERROR(INDEX(DQStatus,MATCH($B190,DQGameID,0)),"BLOCKED — DQ ROW NOT FOUND"))</f>
        <v>READY</v>
      </c>
      <c r="AQ190" s="2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2" t="str">
        <f t="shared" si="13"/>
        <v/>
      </c>
      <c r="AS190" s="2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2" t="str">
        <f t="shared" si="14"/>
        <v/>
      </c>
      <c r="AU190" s="11"/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9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2" t="str">
        <f t="array" ref="G191">IF($B191="","",IF(INDEX(SchedZone,MATCH($A191,SchedSeq,0),MAP!$B$14)="Neutral","Y",""))</f>
        <v/>
      </c>
      <c r="H191" s="2" t="str">
        <f t="array" ref="H191">IF($B191="","",INDEX(SchedZone,MATCH($A191,SchedSeq,0),MAP!$B$17))</f>
        <v>outdoors</v>
      </c>
      <c r="I191" s="2" t="str">
        <f>IF(OR($B191="",$C191&lt;&gt;CurrentWeek),"",COUNTIF($C$5:$C191,CurrentWeek))</f>
        <v/>
      </c>
      <c r="J191" s="2">
        <f t="array" ref="J191">IF($B191="","",IFERROR(INDEX(RatEff,MATCH($E191,RatTeams,0)),"⚠ TEAM NOT FOUND"))</f>
        <v>-2.02</v>
      </c>
      <c r="K191" s="2">
        <f t="array" ref="K191">IF($B191="","",IFERROR(INDEX(RatEff,MATCH($F191,RatTeams,0)),"⚠ TEAM NOT FOUND"))</f>
        <v>-3.14</v>
      </c>
      <c r="L191" s="2">
        <f t="shared" si="1"/>
        <v>-1.12</v>
      </c>
      <c r="M191" s="2">
        <f t="array" ref="M191">IF($B191="","",IF($G191="Y",NeutralHFA,IFERROR(INDEX(HFAexcVal,MATCH($F191,HFAexcTeam,0)),HFA_Base)))</f>
        <v>1.6</v>
      </c>
      <c r="N191" s="2">
        <f t="array" ref="N191">IF($B191="","",IFERROR(INDEX(QBSpreadEff,MATCH($F191,QBTeams,0)),0)-IFERROR(INDEX(QBSpreadEff,MATCH($E191,QBTeams,0)),0))</f>
        <v>0</v>
      </c>
      <c r="O191" s="2">
        <f t="array" ref="O191">IF($B191="","",IFERROR(MEDIAN(-RestCapPts,RestCapPts,RestPerDay*(INDEX(SchedZone,MATCH($A191,SchedSeq,0),MAP!$B$16)-INDEX(SchedZone,MATCH($A191,SchedSeq,0),MAP!$B$15))),0))</f>
        <v>0</v>
      </c>
      <c r="P191" s="2">
        <f>IF($B191="","",SUMIFS(AdjSpread,AdjGameID,$B191,AdjTeam,$F191,AdjActive,1)-SUMIFS(AdjSpread,AdjGameID,$B191,AdjTeam,$E191,AdjActive,1))</f>
        <v>0</v>
      </c>
      <c r="Q191" s="2">
        <f t="shared" si="2"/>
        <v>0.48</v>
      </c>
      <c r="R191" s="11"/>
      <c r="S191" s="2">
        <f t="shared" si="3"/>
        <v>0.48</v>
      </c>
      <c r="T191" s="2" t="str">
        <f t="shared" si="4"/>
        <v>TEN -0.5</v>
      </c>
      <c r="U191" s="2" t="str">
        <f t="array" ref="U191">IF($B191="","",IFERROR(INDEX(MktHomeSpread,MATCH($B191,MktGameID,0)),""))</f>
        <v/>
      </c>
      <c r="V191" s="2" t="str">
        <f t="shared" si="5"/>
        <v/>
      </c>
      <c r="W191" s="2" t="str">
        <f t="shared" si="6"/>
        <v/>
      </c>
      <c r="X191" s="2" t="str">
        <f t="shared" si="7"/>
        <v/>
      </c>
      <c r="Y191" s="2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2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2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2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2">
        <f t="array" ref="AC191">IF($B191="","",IFERROR(INDEX(QBTotEff,MATCH($F191,QBTeams,0)),0)+IFERROR(INDEX(QBTotEff,MATCH($E191,QBTeams,0)),0))</f>
        <v>0</v>
      </c>
      <c r="AD191" s="2">
        <f>IF($B191="","",SUMIFS(AdjTot,AdjGameID,$B191,AdjActive,1))</f>
        <v>0</v>
      </c>
      <c r="AE191" s="2">
        <f t="shared" si="8"/>
        <v>0</v>
      </c>
      <c r="AF191" s="11"/>
      <c r="AG191" s="2">
        <f t="shared" si="9"/>
        <v>0</v>
      </c>
      <c r="AH191" s="2" t="str">
        <f t="array" ref="AH191">IF($B191="","",IFERROR(INDEX(MktTotal,MATCH($B191,MktGameID,0)),""))</f>
        <v/>
      </c>
      <c r="AI191" s="2" t="str">
        <f t="shared" si="10"/>
        <v/>
      </c>
      <c r="AJ191" s="2" t="str">
        <f t="shared" si="11"/>
        <v/>
      </c>
      <c r="AK191" s="2" t="str">
        <f t="shared" si="12"/>
        <v/>
      </c>
      <c r="AL191" s="2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2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2" t="str">
        <f>IF($AG191="","","BET OVER at ≤ "&amp;TEXT($AG191-BetTot,"0.0")&amp;"  |  BET UNDER at ≥ "&amp;TEXT($AG191+BetTot,"0.0"))</f>
        <v>BET OVER at ≤ -3.0  |  BET UNDER at ≥ 3.0</v>
      </c>
      <c r="AO191" s="2" t="str">
        <f t="array" ref="AO191">IF($B191="","",IF(OR(IFERROR(INDEX(QBFlag,MATCH($F191,QBTeams,0)),1)=1,IFERROR(INDEX(QBFlag,MATCH($E191,QBTeams,0)),1)=1),"QB UNCERTAIN",""))</f>
        <v/>
      </c>
      <c r="AP191" s="2" t="str">
        <f t="array" ref="AP191">IF($B191="","",IFERROR(INDEX(DQStatus,MATCH($B191,DQGameID,0)),"BLOCKED — DQ ROW NOT FOUND"))</f>
        <v>READY</v>
      </c>
      <c r="AQ191" s="2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2" t="str">
        <f t="shared" si="13"/>
        <v/>
      </c>
      <c r="AS191" s="2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2" t="str">
        <f t="shared" si="14"/>
        <v/>
      </c>
      <c r="AU191" s="11"/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9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2" t="str">
        <f t="array" ref="G192">IF($B192="","",IF(INDEX(SchedZone,MATCH($A192,SchedSeq,0),MAP!$B$14)="Neutral","Y",""))</f>
        <v/>
      </c>
      <c r="H192" s="2" t="str">
        <f t="array" ref="H192">IF($B192="","",INDEX(SchedZone,MATCH($A192,SchedSeq,0),MAP!$B$17))</f>
        <v/>
      </c>
      <c r="I192" s="2" t="str">
        <f>IF(OR($B192="",$C192&lt;&gt;CurrentWeek),"",COUNTIF($C$5:$C192,CurrentWeek))</f>
        <v/>
      </c>
      <c r="J192" s="2">
        <f t="array" ref="J192">IF($B192="","",IFERROR(INDEX(RatEff,MATCH($E192,RatTeams,0)),"⚠ TEAM NOT FOUND"))</f>
        <v>1.5</v>
      </c>
      <c r="K192" s="2">
        <f t="array" ref="K192">IF($B192="","",IFERROR(INDEX(RatEff,MATCH($F192,RatTeams,0)),"⚠ TEAM NOT FOUND"))</f>
        <v>-2.07</v>
      </c>
      <c r="L192" s="2">
        <f t="shared" si="1"/>
        <v>-3.57</v>
      </c>
      <c r="M192" s="2">
        <f t="array" ref="M192">IF($B192="","",IF($G192="Y",NeutralHFA,IFERROR(INDEX(HFAexcVal,MATCH($F192,HFAexcTeam,0)),HFA_Base)))</f>
        <v>1.6</v>
      </c>
      <c r="N192" s="2">
        <f t="array" ref="N192">IF($B192="","",IFERROR(INDEX(QBSpreadEff,MATCH($F192,QBTeams,0)),0)-IFERROR(INDEX(QBSpreadEff,MATCH($E192,QBTeams,0)),0))</f>
        <v>0</v>
      </c>
      <c r="O192" s="2">
        <f t="array" ref="O192">IF($B192="","",IFERROR(MEDIAN(-RestCapPts,RestCapPts,RestPerDay*(INDEX(SchedZone,MATCH($A192,SchedSeq,0),MAP!$B$16)-INDEX(SchedZone,MATCH($A192,SchedSeq,0),MAP!$B$15))),0))</f>
        <v>-0.3</v>
      </c>
      <c r="P192" s="2">
        <f>IF($B192="","",SUMIFS(AdjSpread,AdjGameID,$B192,AdjTeam,$F192,AdjActive,1)-SUMIFS(AdjSpread,AdjGameID,$B192,AdjTeam,$E192,AdjActive,1))</f>
        <v>0</v>
      </c>
      <c r="Q192" s="2">
        <f t="shared" si="2"/>
        <v>-2.27</v>
      </c>
      <c r="R192" s="11"/>
      <c r="S192" s="2">
        <f t="shared" si="3"/>
        <v>-2.27</v>
      </c>
      <c r="T192" s="2" t="str">
        <f t="shared" si="4"/>
        <v>PHI -2.3</v>
      </c>
      <c r="U192" s="2" t="str">
        <f t="array" ref="U192">IF($B192="","",IFERROR(INDEX(MktHomeSpread,MATCH($B192,MktGameID,0)),""))</f>
        <v/>
      </c>
      <c r="V192" s="2" t="str">
        <f t="shared" si="5"/>
        <v/>
      </c>
      <c r="W192" s="2" t="str">
        <f t="shared" si="6"/>
        <v/>
      </c>
      <c r="X192" s="2" t="str">
        <f t="shared" si="7"/>
        <v/>
      </c>
      <c r="Y192" s="2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2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2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2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2">
        <f t="array" ref="AC192">IF($B192="","",IFERROR(INDEX(QBTotEff,MATCH($F192,QBTeams,0)),0)+IFERROR(INDEX(QBTotEff,MATCH($E192,QBTeams,0)),0))</f>
        <v>0</v>
      </c>
      <c r="AD192" s="2">
        <f>IF($B192="","",SUMIFS(AdjTot,AdjGameID,$B192,AdjActive,1))</f>
        <v>0</v>
      </c>
      <c r="AE192" s="2">
        <f t="shared" si="8"/>
        <v>0</v>
      </c>
      <c r="AF192" s="11"/>
      <c r="AG192" s="2">
        <f t="shared" si="9"/>
        <v>0</v>
      </c>
      <c r="AH192" s="2" t="str">
        <f t="array" ref="AH192">IF($B192="","",IFERROR(INDEX(MktTotal,MATCH($B192,MktGameID,0)),""))</f>
        <v/>
      </c>
      <c r="AI192" s="2" t="str">
        <f t="shared" si="10"/>
        <v/>
      </c>
      <c r="AJ192" s="2" t="str">
        <f t="shared" si="11"/>
        <v/>
      </c>
      <c r="AK192" s="2" t="str">
        <f t="shared" si="12"/>
        <v/>
      </c>
      <c r="AL192" s="2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Low</v>
      </c>
      <c r="AM192" s="2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2" t="str">
        <f>IF($AG192="","","BET OVER at ≤ "&amp;TEXT($AG192-BetTot,"0.0")&amp;"  |  BET UNDER at ≥ "&amp;TEXT($AG192+BetTot,"0.0"))</f>
        <v>BET OVER at ≤ -3.0  |  BET UNDER at ≥ 3.0</v>
      </c>
      <c r="AO192" s="2" t="str">
        <f t="array" ref="AO192">IF($B192="","",IF(OR(IFERROR(INDEX(QBFlag,MATCH($F192,QBTeams,0)),1)=1,IFERROR(INDEX(QBFlag,MATCH($E192,QBTeams,0)),1)=1),"QB UNCERTAIN",""))</f>
        <v>QB UNCERTAIN</v>
      </c>
      <c r="AP192" s="2" t="str">
        <f t="array" ref="AP192">IF($B192="","",IFERROR(INDEX(DQStatus,MATCH($B192,DQGameID,0)),"BLOCKED — DQ ROW NOT FOUND"))</f>
        <v>READY</v>
      </c>
      <c r="AQ192" s="2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2" t="str">
        <f t="shared" si="13"/>
        <v/>
      </c>
      <c r="AS192" s="2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2" t="str">
        <f t="shared" si="14"/>
        <v/>
      </c>
      <c r="AU192" s="11"/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9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2" t="str">
        <f t="array" ref="G193">IF($B193="","",IF(INDEX(SchedZone,MATCH($A193,SchedSeq,0),MAP!$B$14)="Neutral","Y",""))</f>
        <v/>
      </c>
      <c r="H193" s="2" t="str">
        <f t="array" ref="H193">IF($B193="","",INDEX(SchedZone,MATCH($A193,SchedSeq,0),MAP!$B$17))</f>
        <v>outdoors</v>
      </c>
      <c r="I193" s="2" t="str">
        <f>IF(OR($B193="",$C193&lt;&gt;CurrentWeek),"",COUNTIF($C$5:$C193,CurrentWeek))</f>
        <v/>
      </c>
      <c r="J193" s="2">
        <f t="array" ref="J193">IF($B193="","",IFERROR(INDEX(RatEff,MATCH($E193,RatTeams,0)),"⚠ TEAM NOT FOUND"))</f>
        <v>-2.64</v>
      </c>
      <c r="K193" s="2">
        <f t="array" ref="K193">IF($B193="","",IFERROR(INDEX(RatEff,MATCH($F193,RatTeams,0)),"⚠ TEAM NOT FOUND"))</f>
        <v>1.93</v>
      </c>
      <c r="L193" s="2">
        <f t="shared" si="1"/>
        <v>4.57</v>
      </c>
      <c r="M193" s="2">
        <f t="array" ref="M193">IF($B193="","",IF($G193="Y",NeutralHFA,IFERROR(INDEX(HFAexcVal,MATCH($F193,HFAexcTeam,0)),HFA_Base)))</f>
        <v>1.6</v>
      </c>
      <c r="N193" s="2">
        <f t="array" ref="N193">IF($B193="","",IFERROR(INDEX(QBSpreadEff,MATCH($F193,QBTeams,0)),0)-IFERROR(INDEX(QBSpreadEff,MATCH($E193,QBTeams,0)),0))</f>
        <v>0</v>
      </c>
      <c r="O193" s="2">
        <f t="array" ref="O193">IF($B193="","",IFERROR(MEDIAN(-RestCapPts,RestCapPts,RestPerDay*(INDEX(SchedZone,MATCH($A193,SchedSeq,0),MAP!$B$16)-INDEX(SchedZone,MATCH($A193,SchedSeq,0),MAP!$B$15))),0))</f>
        <v>0.2</v>
      </c>
      <c r="P193" s="2">
        <f>IF($B193="","",SUMIFS(AdjSpread,AdjGameID,$B193,AdjTeam,$F193,AdjActive,1)-SUMIFS(AdjSpread,AdjGameID,$B193,AdjTeam,$E193,AdjActive,1))</f>
        <v>0</v>
      </c>
      <c r="Q193" s="2">
        <f t="shared" si="2"/>
        <v>6.37</v>
      </c>
      <c r="R193" s="11"/>
      <c r="S193" s="2">
        <f t="shared" si="3"/>
        <v>6.37</v>
      </c>
      <c r="T193" s="2" t="str">
        <f t="shared" si="4"/>
        <v>DEN -6.4</v>
      </c>
      <c r="U193" s="2" t="str">
        <f t="array" ref="U193">IF($B193="","",IFERROR(INDEX(MktHomeSpread,MATCH($B193,MktGameID,0)),""))</f>
        <v/>
      </c>
      <c r="V193" s="2" t="str">
        <f t="shared" si="5"/>
        <v/>
      </c>
      <c r="W193" s="2" t="str">
        <f t="shared" si="6"/>
        <v/>
      </c>
      <c r="X193" s="2" t="str">
        <f t="shared" si="7"/>
        <v/>
      </c>
      <c r="Y193" s="2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2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2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2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2">
        <f t="array" ref="AC193">IF($B193="","",IFERROR(INDEX(QBTotEff,MATCH($F193,QBTeams,0)),0)+IFERROR(INDEX(QBTotEff,MATCH($E193,QBTeams,0)),0))</f>
        <v>0</v>
      </c>
      <c r="AD193" s="2">
        <f>IF($B193="","",SUMIFS(AdjTot,AdjGameID,$B193,AdjActive,1))</f>
        <v>0</v>
      </c>
      <c r="AE193" s="2">
        <f t="shared" si="8"/>
        <v>0</v>
      </c>
      <c r="AF193" s="11"/>
      <c r="AG193" s="2">
        <f t="shared" si="9"/>
        <v>0</v>
      </c>
      <c r="AH193" s="2" t="str">
        <f t="array" ref="AH193">IF($B193="","",IFERROR(INDEX(MktTotal,MATCH($B193,MktGameID,0)),""))</f>
        <v/>
      </c>
      <c r="AI193" s="2" t="str">
        <f t="shared" si="10"/>
        <v/>
      </c>
      <c r="AJ193" s="2" t="str">
        <f t="shared" si="11"/>
        <v/>
      </c>
      <c r="AK193" s="2" t="str">
        <f t="shared" si="12"/>
        <v/>
      </c>
      <c r="AL193" s="2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2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2" t="str">
        <f>IF($AG193="","","BET OVER at ≤ "&amp;TEXT($AG193-BetTot,"0.0")&amp;"  |  BET UNDER at ≥ "&amp;TEXT($AG193+BetTot,"0.0"))</f>
        <v>BET OVER at ≤ -3.0  |  BET UNDER at ≥ 3.0</v>
      </c>
      <c r="AO193" s="2" t="str">
        <f t="array" ref="AO193">IF($B193="","",IF(OR(IFERROR(INDEX(QBFlag,MATCH($F193,QBTeams,0)),1)=1,IFERROR(INDEX(QBFlag,MATCH($E193,QBTeams,0)),1)=1),"QB UNCERTAIN",""))</f>
        <v/>
      </c>
      <c r="AP193" s="2" t="str">
        <f t="array" ref="AP193">IF($B193="","",IFERROR(INDEX(DQStatus,MATCH($B193,DQGameID,0)),"BLOCKED — DQ ROW NOT FOUND"))</f>
        <v>READY</v>
      </c>
      <c r="AQ193" s="2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2" t="str">
        <f t="shared" si="13"/>
        <v/>
      </c>
      <c r="AS193" s="2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2" t="str">
        <f t="shared" si="14"/>
        <v/>
      </c>
      <c r="AU193" s="11"/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9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2" t="str">
        <f t="array" ref="G194">IF($B194="","",IF(INDEX(SchedZone,MATCH($A194,SchedSeq,0),MAP!$B$14)="Neutral","Y",""))</f>
        <v/>
      </c>
      <c r="H194" s="2" t="str">
        <f t="array" ref="H194">IF($B194="","",INDEX(SchedZone,MATCH($A194,SchedSeq,0),MAP!$B$17))</f>
        <v>dome</v>
      </c>
      <c r="I194" s="2" t="str">
        <f>IF(OR($B194="",$C194&lt;&gt;CurrentWeek),"",COUNTIF($C$5:$C194,CurrentWeek))</f>
        <v/>
      </c>
      <c r="J194" s="2">
        <f t="array" ref="J194">IF($B194="","",IFERROR(INDEX(RatEff,MATCH($E194,RatTeams,0)),"⚠ TEAM NOT FOUND"))</f>
        <v>-1.3</v>
      </c>
      <c r="K194" s="2">
        <f t="array" ref="K194">IF($B194="","",IFERROR(INDEX(RatEff,MATCH($F194,RatTeams,0)),"⚠ TEAM NOT FOUND"))</f>
        <v>0.5</v>
      </c>
      <c r="L194" s="2">
        <f t="shared" si="1"/>
        <v>1.8</v>
      </c>
      <c r="M194" s="2">
        <f t="array" ref="M194">IF($B194="","",IF($G194="Y",NeutralHFA,IFERROR(INDEX(HFAexcVal,MATCH($F194,HFAexcTeam,0)),HFA_Base)))</f>
        <v>1.6</v>
      </c>
      <c r="N194" s="2">
        <f t="array" ref="N194">IF($B194="","",IFERROR(INDEX(QBSpreadEff,MATCH($F194,QBTeams,0)),0)-IFERROR(INDEX(QBSpreadEff,MATCH($E194,QBTeams,0)),0))</f>
        <v>0</v>
      </c>
      <c r="O194" s="2">
        <f t="array" ref="O194">IF($B194="","",IFERROR(MEDIAN(-RestCapPts,RestCapPts,RestPerDay*(INDEX(SchedZone,MATCH($A194,SchedSeq,0),MAP!$B$16)-INDEX(SchedZone,MATCH($A194,SchedSeq,0),MAP!$B$15))),0))</f>
        <v>0.1</v>
      </c>
      <c r="P194" s="2">
        <f>IF($B194="","",SUMIFS(AdjSpread,AdjGameID,$B194,AdjTeam,$F194,AdjActive,1)-SUMIFS(AdjSpread,AdjGameID,$B194,AdjTeam,$E194,AdjActive,1))</f>
        <v>0</v>
      </c>
      <c r="Q194" s="2">
        <f t="shared" si="2"/>
        <v>3.5</v>
      </c>
      <c r="R194" s="11"/>
      <c r="S194" s="2">
        <f t="shared" si="3"/>
        <v>3.5</v>
      </c>
      <c r="T194" s="2" t="str">
        <f t="shared" si="4"/>
        <v>MIN -3.5</v>
      </c>
      <c r="U194" s="2" t="str">
        <f t="array" ref="U194">IF($B194="","",IFERROR(INDEX(MktHomeSpread,MATCH($B194,MktGameID,0)),""))</f>
        <v/>
      </c>
      <c r="V194" s="2" t="str">
        <f t="shared" si="5"/>
        <v/>
      </c>
      <c r="W194" s="2" t="str">
        <f t="shared" si="6"/>
        <v/>
      </c>
      <c r="X194" s="2" t="str">
        <f t="shared" si="7"/>
        <v/>
      </c>
      <c r="Y194" s="2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2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2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2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2">
        <f t="array" ref="AC194">IF($B194="","",IFERROR(INDEX(QBTotEff,MATCH($F194,QBTeams,0)),0)+IFERROR(INDEX(QBTotEff,MATCH($E194,QBTeams,0)),0))</f>
        <v>0</v>
      </c>
      <c r="AD194" s="2">
        <f>IF($B194="","",SUMIFS(AdjTot,AdjGameID,$B194,AdjActive,1))</f>
        <v>0</v>
      </c>
      <c r="AE194" s="2">
        <f t="shared" si="8"/>
        <v>0</v>
      </c>
      <c r="AF194" s="11"/>
      <c r="AG194" s="2">
        <f t="shared" si="9"/>
        <v>0</v>
      </c>
      <c r="AH194" s="2" t="str">
        <f t="array" ref="AH194">IF($B194="","",IFERROR(INDEX(MktTotal,MATCH($B194,MktGameID,0)),""))</f>
        <v/>
      </c>
      <c r="AI194" s="2" t="str">
        <f t="shared" si="10"/>
        <v/>
      </c>
      <c r="AJ194" s="2" t="str">
        <f t="shared" si="11"/>
        <v/>
      </c>
      <c r="AK194" s="2" t="str">
        <f t="shared" si="12"/>
        <v/>
      </c>
      <c r="AL194" s="2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Low</v>
      </c>
      <c r="AM194" s="2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2" t="str">
        <f>IF($AG194="","","BET OVER at ≤ "&amp;TEXT($AG194-BetTot,"0.0")&amp;"  |  BET UNDER at ≥ "&amp;TEXT($AG194+BetTot,"0.0"))</f>
        <v>BET OVER at ≤ -3.0  |  BET UNDER at ≥ 3.0</v>
      </c>
      <c r="AO194" s="2" t="str">
        <f t="array" ref="AO194">IF($B194="","",IF(OR(IFERROR(INDEX(QBFlag,MATCH($F194,QBTeams,0)),1)=1,IFERROR(INDEX(QBFlag,MATCH($E194,QBTeams,0)),1)=1),"QB UNCERTAIN",""))</f>
        <v>QB UNCERTAIN</v>
      </c>
      <c r="AP194" s="2" t="str">
        <f t="array" ref="AP194">IF($B194="","",IFERROR(INDEX(DQStatus,MATCH($B194,DQGameID,0)),"BLOCKED — DQ ROW NOT FOUND"))</f>
        <v>READY</v>
      </c>
      <c r="AQ194" s="2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2" t="str">
        <f t="shared" si="13"/>
        <v/>
      </c>
      <c r="AS194" s="2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2" t="str">
        <f t="shared" si="14"/>
        <v/>
      </c>
      <c r="AU194" s="11"/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9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2" t="str">
        <f t="array" ref="G195">IF($B195="","",IF(INDEX(SchedZone,MATCH($A195,SchedSeq,0),MAP!$B$14)="Neutral","Y",""))</f>
        <v/>
      </c>
      <c r="H195" s="2" t="str">
        <f t="array" ref="H195">IF($B195="","",INDEX(SchedZone,MATCH($A195,SchedSeq,0),MAP!$B$17))</f>
        <v>outdoors</v>
      </c>
      <c r="I195" s="2" t="str">
        <f>IF(OR($B195="",$C195&lt;&gt;CurrentWeek),"",COUNTIF($C$5:$C195,CurrentWeek))</f>
        <v/>
      </c>
      <c r="J195" s="2">
        <f t="array" ref="J195">IF($B195="","",IFERROR(INDEX(RatEff,MATCH($E195,RatTeams,0)),"⚠ TEAM NOT FOUND"))</f>
        <v>1.75</v>
      </c>
      <c r="K195" s="2">
        <f t="array" ref="K195">IF($B195="","",IFERROR(INDEX(RatEff,MATCH($F195,RatTeams,0)),"⚠ TEAM NOT FOUND"))</f>
        <v>2.09</v>
      </c>
      <c r="L195" s="2">
        <f t="shared" si="1"/>
        <v>0.34</v>
      </c>
      <c r="M195" s="2">
        <f t="array" ref="M195">IF($B195="","",IF($G195="Y",NeutralHFA,IFERROR(INDEX(HFAexcVal,MATCH($F195,HFAexcTeam,0)),HFA_Base)))</f>
        <v>1.6</v>
      </c>
      <c r="N195" s="2">
        <f t="array" ref="N195">IF($B195="","",IFERROR(INDEX(QBSpreadEff,MATCH($F195,QBTeams,0)),0)-IFERROR(INDEX(QBSpreadEff,MATCH($E195,QBTeams,0)),0))</f>
        <v>0</v>
      </c>
      <c r="O195" s="2">
        <f t="array" ref="O195">IF($B195="","",IFERROR(MEDIAN(-RestCapPts,RestCapPts,RestPerDay*(INDEX(SchedZone,MATCH($A195,SchedSeq,0),MAP!$B$16)-INDEX(SchedZone,MATCH($A195,SchedSeq,0),MAP!$B$15))),0))</f>
        <v>-0.3</v>
      </c>
      <c r="P195" s="2">
        <f>IF($B195="","",SUMIFS(AdjSpread,AdjGameID,$B195,AdjTeam,$F195,AdjActive,1)-SUMIFS(AdjSpread,AdjGameID,$B195,AdjTeam,$E195,AdjActive,1))</f>
        <v>0</v>
      </c>
      <c r="Q195" s="2">
        <f t="shared" si="2"/>
        <v>1.64</v>
      </c>
      <c r="R195" s="11"/>
      <c r="S195" s="2">
        <f t="shared" si="3"/>
        <v>1.64</v>
      </c>
      <c r="T195" s="2" t="str">
        <f t="shared" si="4"/>
        <v>NE -1.6</v>
      </c>
      <c r="U195" s="2" t="str">
        <f t="array" ref="U195">IF($B195="","",IFERROR(INDEX(MktHomeSpread,MATCH($B195,MktGameID,0)),""))</f>
        <v/>
      </c>
      <c r="V195" s="2" t="str">
        <f t="shared" si="5"/>
        <v/>
      </c>
      <c r="W195" s="2" t="str">
        <f t="shared" si="6"/>
        <v/>
      </c>
      <c r="X195" s="2" t="str">
        <f t="shared" si="7"/>
        <v/>
      </c>
      <c r="Y195" s="2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2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2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2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2">
        <f t="array" ref="AC195">IF($B195="","",IFERROR(INDEX(QBTotEff,MATCH($F195,QBTeams,0)),0)+IFERROR(INDEX(QBTotEff,MATCH($E195,QBTeams,0)),0))</f>
        <v>0</v>
      </c>
      <c r="AD195" s="2">
        <f>IF($B195="","",SUMIFS(AdjTot,AdjGameID,$B195,AdjActive,1))</f>
        <v>0</v>
      </c>
      <c r="AE195" s="2">
        <f t="shared" si="8"/>
        <v>0</v>
      </c>
      <c r="AF195" s="11"/>
      <c r="AG195" s="2">
        <f t="shared" si="9"/>
        <v>0</v>
      </c>
      <c r="AH195" s="2" t="str">
        <f t="array" ref="AH195">IF($B195="","",IFERROR(INDEX(MktTotal,MATCH($B195,MktGameID,0)),""))</f>
        <v/>
      </c>
      <c r="AI195" s="2" t="str">
        <f t="shared" si="10"/>
        <v/>
      </c>
      <c r="AJ195" s="2" t="str">
        <f t="shared" si="11"/>
        <v/>
      </c>
      <c r="AK195" s="2" t="str">
        <f t="shared" si="12"/>
        <v/>
      </c>
      <c r="AL195" s="2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2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2" t="str">
        <f>IF($AG195="","","BET OVER at ≤ "&amp;TEXT($AG195-BetTot,"0.0")&amp;"  |  BET UNDER at ≥ "&amp;TEXT($AG195+BetTot,"0.0"))</f>
        <v>BET OVER at ≤ -3.0  |  BET UNDER at ≥ 3.0</v>
      </c>
      <c r="AO195" s="2" t="str">
        <f t="array" ref="AO195">IF($B195="","",IF(OR(IFERROR(INDEX(QBFlag,MATCH($F195,QBTeams,0)),1)=1,IFERROR(INDEX(QBFlag,MATCH($E195,QBTeams,0)),1)=1),"QB UNCERTAIN",""))</f>
        <v/>
      </c>
      <c r="AP195" s="2" t="str">
        <f t="array" ref="AP195">IF($B195="","",IFERROR(INDEX(DQStatus,MATCH($B195,DQGameID,0)),"BLOCKED — DQ ROW NOT FOUND"))</f>
        <v>READY</v>
      </c>
      <c r="AQ195" s="2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2" t="str">
        <f t="shared" si="13"/>
        <v/>
      </c>
      <c r="AS195" s="2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2" t="str">
        <f t="shared" si="14"/>
        <v/>
      </c>
      <c r="AU195" s="11"/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9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2" t="str">
        <f t="array" ref="G196">IF($B196="","",IF(INDEX(SchedZone,MATCH($A196,SchedSeq,0),MAP!$B$14)="Neutral","Y",""))</f>
        <v/>
      </c>
      <c r="H196" s="2" t="str">
        <f t="array" ref="H196">IF($B196="","",INDEX(SchedZone,MATCH($A196,SchedSeq,0),MAP!$B$17))</f>
        <v>outdoors</v>
      </c>
      <c r="I196" s="2" t="str">
        <f>IF(OR($B196="",$C196&lt;&gt;CurrentWeek),"",COUNTIF($C$5:$C196,CurrentWeek))</f>
        <v/>
      </c>
      <c r="J196" s="2">
        <f t="array" ref="J196">IF($B196="","",IFERROR(INDEX(RatEff,MATCH($E196,RatTeams,0)),"⚠ TEAM NOT FOUND"))</f>
        <v>2.71</v>
      </c>
      <c r="K196" s="2">
        <f t="array" ref="K196">IF($B196="","",IFERROR(INDEX(RatEff,MATCH($F196,RatTeams,0)),"⚠ TEAM NOT FOUND"))</f>
        <v>0.66</v>
      </c>
      <c r="L196" s="2">
        <f t="shared" si="1"/>
        <v>-2.05</v>
      </c>
      <c r="M196" s="2">
        <f t="array" ref="M196">IF($B196="","",IF($G196="Y",NeutralHFA,IFERROR(INDEX(HFAexcVal,MATCH($F196,HFAexcTeam,0)),HFA_Base)))</f>
        <v>1.6</v>
      </c>
      <c r="N196" s="2">
        <f t="array" ref="N196">IF($B196="","",IFERROR(INDEX(QBSpreadEff,MATCH($F196,QBTeams,0)),0)-IFERROR(INDEX(QBSpreadEff,MATCH($E196,QBTeams,0)),0))</f>
        <v>0</v>
      </c>
      <c r="O196" s="2">
        <f t="array" ref="O196">IF($B196="","",IFERROR(MEDIAN(-RestCapPts,RestCapPts,RestPerDay*(INDEX(SchedZone,MATCH($A196,SchedSeq,0),MAP!$B$16)-INDEX(SchedZone,MATCH($A196,SchedSeq,0),MAP!$B$15))),0))</f>
        <v>0.2</v>
      </c>
      <c r="P196" s="2">
        <f>IF($B196="","",SUMIFS(AdjSpread,AdjGameID,$B196,AdjTeam,$F196,AdjActive,1)-SUMIFS(AdjSpread,AdjGameID,$B196,AdjTeam,$E196,AdjActive,1))</f>
        <v>0</v>
      </c>
      <c r="Q196" s="2">
        <f t="shared" si="2"/>
        <v>-0.25</v>
      </c>
      <c r="R196" s="11"/>
      <c r="S196" s="2">
        <f t="shared" si="3"/>
        <v>-0.25</v>
      </c>
      <c r="T196" s="2" t="str">
        <f t="shared" si="4"/>
        <v>HOU -0.3</v>
      </c>
      <c r="U196" s="2" t="str">
        <f t="array" ref="U196">IF($B196="","",IFERROR(INDEX(MktHomeSpread,MATCH($B196,MktGameID,0)),""))</f>
        <v/>
      </c>
      <c r="V196" s="2" t="str">
        <f t="shared" si="5"/>
        <v/>
      </c>
      <c r="W196" s="2" t="str">
        <f t="shared" si="6"/>
        <v/>
      </c>
      <c r="X196" s="2" t="str">
        <f t="shared" si="7"/>
        <v/>
      </c>
      <c r="Y196" s="2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2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2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2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2">
        <f t="array" ref="AC196">IF($B196="","",IFERROR(INDEX(QBTotEff,MATCH($F196,QBTeams,0)),0)+IFERROR(INDEX(QBTotEff,MATCH($E196,QBTeams,0)),0))</f>
        <v>0</v>
      </c>
      <c r="AD196" s="2">
        <f>IF($B196="","",SUMIFS(AdjTot,AdjGameID,$B196,AdjActive,1))</f>
        <v>0</v>
      </c>
      <c r="AE196" s="2">
        <f t="shared" si="8"/>
        <v>0</v>
      </c>
      <c r="AF196" s="11"/>
      <c r="AG196" s="2">
        <f t="shared" si="9"/>
        <v>0</v>
      </c>
      <c r="AH196" s="2" t="str">
        <f t="array" ref="AH196">IF($B196="","",IFERROR(INDEX(MktTotal,MATCH($B196,MktGameID,0)),""))</f>
        <v/>
      </c>
      <c r="AI196" s="2" t="str">
        <f t="shared" si="10"/>
        <v/>
      </c>
      <c r="AJ196" s="2" t="str">
        <f t="shared" si="11"/>
        <v/>
      </c>
      <c r="AK196" s="2" t="str">
        <f t="shared" si="12"/>
        <v/>
      </c>
      <c r="AL196" s="2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2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2" t="str">
        <f>IF($AG196="","","BET OVER at ≤ "&amp;TEXT($AG196-BetTot,"0.0")&amp;"  |  BET UNDER at ≥ "&amp;TEXT($AG196+BetTot,"0.0"))</f>
        <v>BET OVER at ≤ -3.0  |  BET UNDER at ≥ 3.0</v>
      </c>
      <c r="AO196" s="2" t="str">
        <f t="array" ref="AO196">IF($B196="","",IF(OR(IFERROR(INDEX(QBFlag,MATCH($F196,QBTeams,0)),1)=1,IFERROR(INDEX(QBFlag,MATCH($E196,QBTeams,0)),1)=1),"QB UNCERTAIN",""))</f>
        <v/>
      </c>
      <c r="AP196" s="2" t="str">
        <f t="array" ref="AP196">IF($B196="","",IFERROR(INDEX(DQStatus,MATCH($B196,DQGameID,0)),"BLOCKED — DQ ROW NOT FOUND"))</f>
        <v>READY</v>
      </c>
      <c r="AQ196" s="2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2" t="str">
        <f t="shared" si="13"/>
        <v/>
      </c>
      <c r="AS196" s="2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2" t="str">
        <f t="shared" si="14"/>
        <v/>
      </c>
      <c r="AU196" s="11"/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9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2" t="str">
        <f t="array" ref="G197">IF($B197="","",IF(INDEX(SchedZone,MATCH($A197,SchedSeq,0),MAP!$B$14)="Neutral","Y",""))</f>
        <v/>
      </c>
      <c r="H197" s="2" t="str">
        <f t="array" ref="H197">IF($B197="","",INDEX(SchedZone,MATCH($A197,SchedSeq,0),MAP!$B$17))</f>
        <v>outdoors</v>
      </c>
      <c r="I197" s="2" t="str">
        <f>IF(OR($B197="",$C197&lt;&gt;CurrentWeek),"",COUNTIF($C$5:$C197,CurrentWeek))</f>
        <v/>
      </c>
      <c r="J197" s="2">
        <f t="array" ref="J197">IF($B197="","",IFERROR(INDEX(RatEff,MATCH($E197,RatTeams,0)),"⚠ TEAM NOT FOUND"))</f>
        <v>-2.26</v>
      </c>
      <c r="K197" s="2">
        <f t="array" ref="K197">IF($B197="","",IFERROR(INDEX(RatEff,MATCH($F197,RatTeams,0)),"⚠ TEAM NOT FOUND"))</f>
        <v>4.1</v>
      </c>
      <c r="L197" s="2">
        <f t="shared" si="1"/>
        <v>6.36</v>
      </c>
      <c r="M197" s="2">
        <f t="array" ref="M197">IF($B197="","",IF($G197="Y",NeutralHFA,IFERROR(INDEX(HFAexcVal,MATCH($F197,HFAexcTeam,0)),HFA_Base)))</f>
        <v>1.6</v>
      </c>
      <c r="N197" s="2">
        <f t="array" ref="N197">IF($B197="","",IFERROR(INDEX(QBSpreadEff,MATCH($F197,QBTeams,0)),0)-IFERROR(INDEX(QBSpreadEff,MATCH($E197,QBTeams,0)),0))</f>
        <v>0</v>
      </c>
      <c r="O197" s="2">
        <f t="array" ref="O197">IF($B197="","",IFERROR(MEDIAN(-RestCapPts,RestCapPts,RestPerDay*(INDEX(SchedZone,MATCH($A197,SchedSeq,0),MAP!$B$16)-INDEX(SchedZone,MATCH($A197,SchedSeq,0),MAP!$B$15))),0))</f>
        <v>-0.3</v>
      </c>
      <c r="P197" s="2">
        <f>IF($B197="","",SUMIFS(AdjSpread,AdjGameID,$B197,AdjTeam,$F197,AdjActive,1)-SUMIFS(AdjSpread,AdjGameID,$B197,AdjTeam,$E197,AdjActive,1))</f>
        <v>0</v>
      </c>
      <c r="Q197" s="2">
        <f t="shared" si="2"/>
        <v>7.66</v>
      </c>
      <c r="R197" s="11"/>
      <c r="S197" s="2">
        <f t="shared" si="3"/>
        <v>7.66</v>
      </c>
      <c r="T197" s="2" t="str">
        <f t="shared" si="4"/>
        <v>SEA -7.7</v>
      </c>
      <c r="U197" s="2" t="str">
        <f t="array" ref="U197">IF($B197="","",IFERROR(INDEX(MktHomeSpread,MATCH($B197,MktGameID,0)),""))</f>
        <v/>
      </c>
      <c r="V197" s="2" t="str">
        <f t="shared" si="5"/>
        <v/>
      </c>
      <c r="W197" s="2" t="str">
        <f t="shared" si="6"/>
        <v/>
      </c>
      <c r="X197" s="2" t="str">
        <f t="shared" si="7"/>
        <v/>
      </c>
      <c r="Y197" s="2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2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2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2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2">
        <f t="array" ref="AC197">IF($B197="","",IFERROR(INDEX(QBTotEff,MATCH($F197,QBTeams,0)),0)+IFERROR(INDEX(QBTotEff,MATCH($E197,QBTeams,0)),0))</f>
        <v>0</v>
      </c>
      <c r="AD197" s="2">
        <f>IF($B197="","",SUMIFS(AdjTot,AdjGameID,$B197,AdjActive,1))</f>
        <v>0</v>
      </c>
      <c r="AE197" s="2">
        <f t="shared" si="8"/>
        <v>0</v>
      </c>
      <c r="AF197" s="11"/>
      <c r="AG197" s="2">
        <f t="shared" si="9"/>
        <v>0</v>
      </c>
      <c r="AH197" s="2" t="str">
        <f t="array" ref="AH197">IF($B197="","",IFERROR(INDEX(MktTotal,MATCH($B197,MktGameID,0)),""))</f>
        <v/>
      </c>
      <c r="AI197" s="2" t="str">
        <f t="shared" si="10"/>
        <v/>
      </c>
      <c r="AJ197" s="2" t="str">
        <f t="shared" si="11"/>
        <v/>
      </c>
      <c r="AK197" s="2" t="str">
        <f t="shared" si="12"/>
        <v/>
      </c>
      <c r="AL197" s="2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2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2" t="str">
        <f>IF($AG197="","","BET OVER at ≤ "&amp;TEXT($AG197-BetTot,"0.0")&amp;"  |  BET UNDER at ≥ "&amp;TEXT($AG197+BetTot,"0.0"))</f>
        <v>BET OVER at ≤ -3.0  |  BET UNDER at ≥ 3.0</v>
      </c>
      <c r="AO197" s="2" t="str">
        <f t="array" ref="AO197">IF($B197="","",IF(OR(IFERROR(INDEX(QBFlag,MATCH($F197,QBTeams,0)),1)=1,IFERROR(INDEX(QBFlag,MATCH($E197,QBTeams,0)),1)=1),"QB UNCERTAIN",""))</f>
        <v/>
      </c>
      <c r="AP197" s="2" t="str">
        <f t="array" ref="AP197">IF($B197="","",IFERROR(INDEX(DQStatus,MATCH($B197,DQGameID,0)),"BLOCKED — DQ ROW NOT FOUND"))</f>
        <v>READY</v>
      </c>
      <c r="AQ197" s="2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2" t="str">
        <f t="shared" si="13"/>
        <v/>
      </c>
      <c r="AS197" s="2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2" t="str">
        <f t="shared" si="14"/>
        <v/>
      </c>
      <c r="AU197" s="11"/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9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2" t="str">
        <f t="array" ref="G198">IF($B198="","",IF(INDEX(SchedZone,MATCH($A198,SchedSeq,0),MAP!$B$14)="Neutral","Y",""))</f>
        <v/>
      </c>
      <c r="H198" s="2" t="str">
        <f t="array" ref="H198">IF($B198="","",INDEX(SchedZone,MATCH($A198,SchedSeq,0),MAP!$B$17))</f>
        <v>outdoors</v>
      </c>
      <c r="I198" s="2" t="str">
        <f>IF(OR($B198="",$C198&lt;&gt;CurrentWeek),"",COUNTIF($C$5:$C198,CurrentWeek))</f>
        <v/>
      </c>
      <c r="J198" s="2">
        <f t="array" ref="J198">IF($B198="","",IFERROR(INDEX(RatEff,MATCH($E198,RatTeams,0)),"⚠ TEAM NOT FOUND"))</f>
        <v>0.5</v>
      </c>
      <c r="K198" s="2">
        <f t="array" ref="K198">IF($B198="","",IFERROR(INDEX(RatEff,MATCH($F198,RatTeams,0)),"⚠ TEAM NOT FOUND"))</f>
        <v>2.09</v>
      </c>
      <c r="L198" s="2">
        <f t="shared" si="1"/>
        <v>1.59</v>
      </c>
      <c r="M198" s="2">
        <f t="array" ref="M198">IF($B198="","",IF($G198="Y",NeutralHFA,IFERROR(INDEX(HFAexcVal,MATCH($F198,HFAexcTeam,0)),HFA_Base)))</f>
        <v>1.6</v>
      </c>
      <c r="N198" s="2">
        <f t="array" ref="N198">IF($B198="","",IFERROR(INDEX(QBSpreadEff,MATCH($F198,QBTeams,0)),0)-IFERROR(INDEX(QBSpreadEff,MATCH($E198,QBTeams,0)),0))</f>
        <v>0</v>
      </c>
      <c r="O198" s="2">
        <f t="array" ref="O198">IF($B198="","",IFERROR(MEDIAN(-RestCapPts,RestCapPts,RestPerDay*(INDEX(SchedZone,MATCH($A198,SchedSeq,0),MAP!$B$16)-INDEX(SchedZone,MATCH($A198,SchedSeq,0),MAP!$B$15))),0))</f>
        <v>0</v>
      </c>
      <c r="P198" s="2">
        <f>IF($B198="","",SUMIFS(AdjSpread,AdjGameID,$B198,AdjTeam,$F198,AdjActive,1)-SUMIFS(AdjSpread,AdjGameID,$B198,AdjTeam,$E198,AdjActive,1))</f>
        <v>0</v>
      </c>
      <c r="Q198" s="2">
        <f t="shared" si="2"/>
        <v>3.19</v>
      </c>
      <c r="R198" s="11"/>
      <c r="S198" s="2">
        <f t="shared" si="3"/>
        <v>3.19</v>
      </c>
      <c r="T198" s="2" t="str">
        <f t="shared" si="4"/>
        <v>NE -3.2</v>
      </c>
      <c r="U198" s="2" t="str">
        <f t="array" ref="U198">IF($B198="","",IFERROR(INDEX(MktHomeSpread,MATCH($B198,MktGameID,0)),""))</f>
        <v/>
      </c>
      <c r="V198" s="2" t="str">
        <f t="shared" si="5"/>
        <v/>
      </c>
      <c r="W198" s="2" t="str">
        <f t="shared" si="6"/>
        <v/>
      </c>
      <c r="X198" s="2" t="str">
        <f t="shared" si="7"/>
        <v/>
      </c>
      <c r="Y198" s="2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2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2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2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2">
        <f t="array" ref="AC198">IF($B198="","",IFERROR(INDEX(QBTotEff,MATCH($F198,QBTeams,0)),0)+IFERROR(INDEX(QBTotEff,MATCH($E198,QBTeams,0)),0))</f>
        <v>0</v>
      </c>
      <c r="AD198" s="2">
        <f>IF($B198="","",SUMIFS(AdjTot,AdjGameID,$B198,AdjActive,1))</f>
        <v>0</v>
      </c>
      <c r="AE198" s="2">
        <f t="shared" si="8"/>
        <v>0</v>
      </c>
      <c r="AF198" s="11"/>
      <c r="AG198" s="2">
        <f t="shared" si="9"/>
        <v>0</v>
      </c>
      <c r="AH198" s="2" t="str">
        <f t="array" ref="AH198">IF($B198="","",IFERROR(INDEX(MktTotal,MATCH($B198,MktGameID,0)),""))</f>
        <v/>
      </c>
      <c r="AI198" s="2" t="str">
        <f t="shared" si="10"/>
        <v/>
      </c>
      <c r="AJ198" s="2" t="str">
        <f t="shared" si="11"/>
        <v/>
      </c>
      <c r="AK198" s="2" t="str">
        <f t="shared" si="12"/>
        <v/>
      </c>
      <c r="AL198" s="2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Low</v>
      </c>
      <c r="AM198" s="2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2" t="str">
        <f>IF($AG198="","","BET OVER at ≤ "&amp;TEXT($AG198-BetTot,"0.0")&amp;"  |  BET UNDER at ≥ "&amp;TEXT($AG198+BetTot,"0.0"))</f>
        <v>BET OVER at ≤ -3.0  |  BET UNDER at ≥ 3.0</v>
      </c>
      <c r="AO198" s="2" t="str">
        <f t="array" ref="AO198">IF($B198="","",IF(OR(IFERROR(INDEX(QBFlag,MATCH($F198,QBTeams,0)),1)=1,IFERROR(INDEX(QBFlag,MATCH($E198,QBTeams,0)),1)=1),"QB UNCERTAIN",""))</f>
        <v>QB UNCERTAIN</v>
      </c>
      <c r="AP198" s="2" t="str">
        <f t="array" ref="AP198">IF($B198="","",IFERROR(INDEX(DQStatus,MATCH($B198,DQGameID,0)),"BLOCKED — DQ ROW NOT FOUND"))</f>
        <v>READY</v>
      </c>
      <c r="AQ198" s="2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2" t="str">
        <f t="shared" si="13"/>
        <v/>
      </c>
      <c r="AS198" s="2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2" t="str">
        <f t="shared" si="14"/>
        <v/>
      </c>
      <c r="AU198" s="11"/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9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2" t="str">
        <f t="array" ref="G199">IF($B199="","",IF(INDEX(SchedZone,MATCH($A199,SchedSeq,0),MAP!$B$14)="Neutral","Y",""))</f>
        <v/>
      </c>
      <c r="H199" s="2" t="str">
        <f t="array" ref="H199">IF($B199="","",INDEX(SchedZone,MATCH($A199,SchedSeq,0),MAP!$B$17))</f>
        <v>outdoors</v>
      </c>
      <c r="I199" s="2" t="str">
        <f>IF(OR($B199="",$C199&lt;&gt;CurrentWeek),"",COUNTIF($C$5:$C199,CurrentWeek))</f>
        <v/>
      </c>
      <c r="J199" s="2">
        <f t="array" ref="J199">IF($B199="","",IFERROR(INDEX(RatEff,MATCH($E199,RatTeams,0)),"⚠ TEAM NOT FOUND"))</f>
        <v>-0.48</v>
      </c>
      <c r="K199" s="2">
        <f t="array" ref="K199">IF($B199="","",IFERROR(INDEX(RatEff,MATCH($F199,RatTeams,0)),"⚠ TEAM NOT FOUND"))</f>
        <v>0.92</v>
      </c>
      <c r="L199" s="2">
        <f t="shared" si="1"/>
        <v>1.4</v>
      </c>
      <c r="M199" s="2">
        <f t="array" ref="M199">IF($B199="","",IF($G199="Y",NeutralHFA,IFERROR(INDEX(HFAexcVal,MATCH($F199,HFAexcTeam,0)),HFA_Base)))</f>
        <v>1.6</v>
      </c>
      <c r="N199" s="2">
        <f t="array" ref="N199">IF($B199="","",IFERROR(INDEX(QBSpreadEff,MATCH($F199,QBTeams,0)),0)-IFERROR(INDEX(QBSpreadEff,MATCH($E199,QBTeams,0)),0))</f>
        <v>0</v>
      </c>
      <c r="O199" s="2">
        <f t="array" ref="O199">IF($B199="","",IFERROR(MEDIAN(-RestCapPts,RestCapPts,RestPerDay*(INDEX(SchedZone,MATCH($A199,SchedSeq,0),MAP!$B$16)-INDEX(SchedZone,MATCH($A199,SchedSeq,0),MAP!$B$15))),0))</f>
        <v>0.7</v>
      </c>
      <c r="P199" s="2">
        <f>IF($B199="","",SUMIFS(AdjSpread,AdjGameID,$B199,AdjTeam,$F199,AdjActive,1)-SUMIFS(AdjSpread,AdjGameID,$B199,AdjTeam,$E199,AdjActive,1))</f>
        <v>0</v>
      </c>
      <c r="Q199" s="2">
        <f t="shared" si="2"/>
        <v>3.7</v>
      </c>
      <c r="R199" s="11"/>
      <c r="S199" s="2">
        <f t="shared" si="3"/>
        <v>3.7</v>
      </c>
      <c r="T199" s="2" t="str">
        <f t="shared" si="4"/>
        <v>BAL -3.7</v>
      </c>
      <c r="U199" s="2" t="str">
        <f t="array" ref="U199">IF($B199="","",IFERROR(INDEX(MktHomeSpread,MATCH($B199,MktGameID,0)),""))</f>
        <v/>
      </c>
      <c r="V199" s="2" t="str">
        <f t="shared" si="5"/>
        <v/>
      </c>
      <c r="W199" s="2" t="str">
        <f t="shared" si="6"/>
        <v/>
      </c>
      <c r="X199" s="2" t="str">
        <f t="shared" si="7"/>
        <v/>
      </c>
      <c r="Y199" s="2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2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2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2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2">
        <f t="array" ref="AC199">IF($B199="","",IFERROR(INDEX(QBTotEff,MATCH($F199,QBTeams,0)),0)+IFERROR(INDEX(QBTotEff,MATCH($E199,QBTeams,0)),0))</f>
        <v>0</v>
      </c>
      <c r="AD199" s="2">
        <f>IF($B199="","",SUMIFS(AdjTot,AdjGameID,$B199,AdjActive,1))</f>
        <v>0</v>
      </c>
      <c r="AE199" s="2">
        <f t="shared" si="8"/>
        <v>0</v>
      </c>
      <c r="AF199" s="11"/>
      <c r="AG199" s="2">
        <f t="shared" si="9"/>
        <v>0</v>
      </c>
      <c r="AH199" s="2" t="str">
        <f t="array" ref="AH199">IF($B199="","",IFERROR(INDEX(MktTotal,MATCH($B199,MktGameID,0)),""))</f>
        <v/>
      </c>
      <c r="AI199" s="2" t="str">
        <f t="shared" si="10"/>
        <v/>
      </c>
      <c r="AJ199" s="2" t="str">
        <f t="shared" si="11"/>
        <v/>
      </c>
      <c r="AK199" s="2" t="str">
        <f t="shared" si="12"/>
        <v/>
      </c>
      <c r="AL199" s="2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2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2" t="str">
        <f>IF($AG199="","","BET OVER at ≤ "&amp;TEXT($AG199-BetTot,"0.0")&amp;"  |  BET UNDER at ≥ "&amp;TEXT($AG199+BetTot,"0.0"))</f>
        <v>BET OVER at ≤ -3.0  |  BET UNDER at ≥ 3.0</v>
      </c>
      <c r="AO199" s="2" t="str">
        <f t="array" ref="AO199">IF($B199="","",IF(OR(IFERROR(INDEX(QBFlag,MATCH($F199,QBTeams,0)),1)=1,IFERROR(INDEX(QBFlag,MATCH($E199,QBTeams,0)),1)=1),"QB UNCERTAIN",""))</f>
        <v/>
      </c>
      <c r="AP199" s="2" t="str">
        <f t="array" ref="AP199">IF($B199="","",IFERROR(INDEX(DQStatus,MATCH($B199,DQGameID,0)),"BLOCKED — DQ ROW NOT FOUND"))</f>
        <v>READY</v>
      </c>
      <c r="AQ199" s="2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2" t="str">
        <f t="shared" si="13"/>
        <v/>
      </c>
      <c r="AS199" s="2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2" t="str">
        <f t="shared" si="14"/>
        <v/>
      </c>
      <c r="AU199" s="11"/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9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2" t="str">
        <f t="array" ref="G200">IF($B200="","",IF(INDEX(SchedZone,MATCH($A200,SchedSeq,0),MAP!$B$14)="Neutral","Y",""))</f>
        <v/>
      </c>
      <c r="H200" s="2" t="str">
        <f t="array" ref="H200">IF($B200="","",INDEX(SchedZone,MATCH($A200,SchedSeq,0),MAP!$B$17))</f>
        <v>outdoors</v>
      </c>
      <c r="I200" s="2" t="str">
        <f>IF(OR($B200="",$C200&lt;&gt;CurrentWeek),"",COUNTIF($C$5:$C200,CurrentWeek))</f>
        <v/>
      </c>
      <c r="J200" s="2">
        <f t="array" ref="J200">IF($B200="","",IFERROR(INDEX(RatEff,MATCH($E200,RatTeams,0)),"⚠ TEAM NOT FOUND"))</f>
        <v>-0.94</v>
      </c>
      <c r="K200" s="2">
        <f t="array" ref="K200">IF($B200="","",IFERROR(INDEX(RatEff,MATCH($F200,RatTeams,0)),"⚠ TEAM NOT FOUND"))</f>
        <v>-1.3</v>
      </c>
      <c r="L200" s="2">
        <f t="shared" si="1"/>
        <v>-0.36</v>
      </c>
      <c r="M200" s="2">
        <f t="array" ref="M200">IF($B200="","",IF($G200="Y",NeutralHFA,IFERROR(INDEX(HFAexcVal,MATCH($F200,HFAexcTeam,0)),HFA_Base)))</f>
        <v>1.6</v>
      </c>
      <c r="N200" s="2">
        <f t="array" ref="N200">IF($B200="","",IFERROR(INDEX(QBSpreadEff,MATCH($F200,QBTeams,0)),0)-IFERROR(INDEX(QBSpreadEff,MATCH($E200,QBTeams,0)),0))</f>
        <v>0</v>
      </c>
      <c r="O200" s="2">
        <f t="array" ref="O200">IF($B200="","",IFERROR(MEDIAN(-RestCapPts,RestCapPts,RestPerDay*(INDEX(SchedZone,MATCH($A200,SchedSeq,0),MAP!$B$16)-INDEX(SchedZone,MATCH($A200,SchedSeq,0),MAP!$B$15))),0))</f>
        <v>0</v>
      </c>
      <c r="P200" s="2">
        <f>IF($B200="","",SUMIFS(AdjSpread,AdjGameID,$B200,AdjTeam,$F200,AdjActive,1)-SUMIFS(AdjSpread,AdjGameID,$B200,AdjTeam,$E200,AdjActive,1))</f>
        <v>0</v>
      </c>
      <c r="Q200" s="2">
        <f t="shared" si="2"/>
        <v>1.24</v>
      </c>
      <c r="R200" s="11"/>
      <c r="S200" s="2">
        <f t="shared" si="3"/>
        <v>1.24</v>
      </c>
      <c r="T200" s="2" t="str">
        <f t="shared" si="4"/>
        <v>CAR -1.2</v>
      </c>
      <c r="U200" s="2" t="str">
        <f t="array" ref="U200">IF($B200="","",IFERROR(INDEX(MktHomeSpread,MATCH($B200,MktGameID,0)),""))</f>
        <v/>
      </c>
      <c r="V200" s="2" t="str">
        <f t="shared" si="5"/>
        <v/>
      </c>
      <c r="W200" s="2" t="str">
        <f t="shared" si="6"/>
        <v/>
      </c>
      <c r="X200" s="2" t="str">
        <f t="shared" si="7"/>
        <v/>
      </c>
      <c r="Y200" s="2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2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2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2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2">
        <f t="array" ref="AC200">IF($B200="","",IFERROR(INDEX(QBTotEff,MATCH($F200,QBTeams,0)),0)+IFERROR(INDEX(QBTotEff,MATCH($E200,QBTeams,0)),0))</f>
        <v>0</v>
      </c>
      <c r="AD200" s="2">
        <f>IF($B200="","",SUMIFS(AdjTot,AdjGameID,$B200,AdjActive,1))</f>
        <v>0</v>
      </c>
      <c r="AE200" s="2">
        <f t="shared" si="8"/>
        <v>0</v>
      </c>
      <c r="AF200" s="11"/>
      <c r="AG200" s="2">
        <f t="shared" si="9"/>
        <v>0</v>
      </c>
      <c r="AH200" s="2" t="str">
        <f t="array" ref="AH200">IF($B200="","",IFERROR(INDEX(MktTotal,MATCH($B200,MktGameID,0)),""))</f>
        <v/>
      </c>
      <c r="AI200" s="2" t="str">
        <f t="shared" si="10"/>
        <v/>
      </c>
      <c r="AJ200" s="2" t="str">
        <f t="shared" si="11"/>
        <v/>
      </c>
      <c r="AK200" s="2" t="str">
        <f t="shared" si="12"/>
        <v/>
      </c>
      <c r="AL200" s="2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2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2" t="str">
        <f>IF($AG200="","","BET OVER at ≤ "&amp;TEXT($AG200-BetTot,"0.0")&amp;"  |  BET UNDER at ≥ "&amp;TEXT($AG200+BetTot,"0.0"))</f>
        <v>BET OVER at ≤ -3.0  |  BET UNDER at ≥ 3.0</v>
      </c>
      <c r="AO200" s="2" t="str">
        <f t="array" ref="AO200">IF($B200="","",IF(OR(IFERROR(INDEX(QBFlag,MATCH($F200,QBTeams,0)),1)=1,IFERROR(INDEX(QBFlag,MATCH($E200,QBTeams,0)),1)=1),"QB UNCERTAIN",""))</f>
        <v/>
      </c>
      <c r="AP200" s="2" t="str">
        <f t="array" ref="AP200">IF($B200="","",IFERROR(INDEX(DQStatus,MATCH($B200,DQGameID,0)),"BLOCKED — DQ ROW NOT FOUND"))</f>
        <v>READY</v>
      </c>
      <c r="AQ200" s="2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2" t="str">
        <f t="shared" si="13"/>
        <v/>
      </c>
      <c r="AS200" s="2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2" t="str">
        <f t="shared" si="14"/>
        <v/>
      </c>
      <c r="AU200" s="11"/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9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2" t="str">
        <f t="array" ref="G201">IF($B201="","",IF(INDEX(SchedZone,MATCH($A201,SchedSeq,0),MAP!$B$14)="Neutral","Y",""))</f>
        <v/>
      </c>
      <c r="H201" s="2" t="str">
        <f t="array" ref="H201">IF($B201="","",INDEX(SchedZone,MATCH($A201,SchedSeq,0),MAP!$B$17))</f>
        <v>outdoors</v>
      </c>
      <c r="I201" s="2" t="str">
        <f>IF(OR($B201="",$C201&lt;&gt;CurrentWeek),"",COUNTIF($C$5:$C201,CurrentWeek))</f>
        <v/>
      </c>
      <c r="J201" s="2">
        <f t="array" ref="J201">IF($B201="","",IFERROR(INDEX(RatEff,MATCH($E201,RatTeams,0)),"⚠ TEAM NOT FOUND"))</f>
        <v>-0.06</v>
      </c>
      <c r="K201" s="2">
        <f t="array" ref="K201">IF($B201="","",IFERROR(INDEX(RatEff,MATCH($F201,RatTeams,0)),"⚠ TEAM NOT FOUND"))</f>
        <v>-2.6</v>
      </c>
      <c r="L201" s="2">
        <f t="shared" si="1"/>
        <v>-2.54</v>
      </c>
      <c r="M201" s="2">
        <f t="array" ref="M201">IF($B201="","",IF($G201="Y",NeutralHFA,IFERROR(INDEX(HFAexcVal,MATCH($F201,HFAexcTeam,0)),HFA_Base)))</f>
        <v>1.6</v>
      </c>
      <c r="N201" s="2">
        <f t="array" ref="N201">IF($B201="","",IFERROR(INDEX(QBSpreadEff,MATCH($F201,QBTeams,0)),0)-IFERROR(INDEX(QBSpreadEff,MATCH($E201,QBTeams,0)),0))</f>
        <v>0</v>
      </c>
      <c r="O201" s="2">
        <f t="array" ref="O201">IF($B201="","",IFERROR(MEDIAN(-RestCapPts,RestCapPts,RestPerDay*(INDEX(SchedZone,MATCH($A201,SchedSeq,0),MAP!$B$16)-INDEX(SchedZone,MATCH($A201,SchedSeq,0),MAP!$B$15))),0))</f>
        <v>0</v>
      </c>
      <c r="P201" s="2">
        <f>IF($B201="","",SUMIFS(AdjSpread,AdjGameID,$B201,AdjTeam,$F201,AdjActive,1)-SUMIFS(AdjSpread,AdjGameID,$B201,AdjTeam,$E201,AdjActive,1))</f>
        <v>0</v>
      </c>
      <c r="Q201" s="2">
        <f t="shared" si="2"/>
        <v>-0.94</v>
      </c>
      <c r="R201" s="11"/>
      <c r="S201" s="2">
        <f t="shared" si="3"/>
        <v>-0.94</v>
      </c>
      <c r="T201" s="2" t="str">
        <f t="shared" si="4"/>
        <v>ATL -0.9</v>
      </c>
      <c r="U201" s="2" t="str">
        <f t="array" ref="U201">IF($B201="","",IFERROR(INDEX(MktHomeSpread,MATCH($B201,MktGameID,0)),""))</f>
        <v/>
      </c>
      <c r="V201" s="2" t="str">
        <f t="shared" si="5"/>
        <v/>
      </c>
      <c r="W201" s="2" t="str">
        <f t="shared" si="6"/>
        <v/>
      </c>
      <c r="X201" s="2" t="str">
        <f t="shared" si="7"/>
        <v/>
      </c>
      <c r="Y201" s="2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2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2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2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2">
        <f t="array" ref="AC201">IF($B201="","",IFERROR(INDEX(QBTotEff,MATCH($F201,QBTeams,0)),0)+IFERROR(INDEX(QBTotEff,MATCH($E201,QBTeams,0)),0))</f>
        <v>0</v>
      </c>
      <c r="AD201" s="2">
        <f>IF($B201="","",SUMIFS(AdjTot,AdjGameID,$B201,AdjActive,1))</f>
        <v>0</v>
      </c>
      <c r="AE201" s="2">
        <f t="shared" si="8"/>
        <v>0</v>
      </c>
      <c r="AF201" s="11"/>
      <c r="AG201" s="2">
        <f t="shared" si="9"/>
        <v>0</v>
      </c>
      <c r="AH201" s="2" t="str">
        <f t="array" ref="AH201">IF($B201="","",IFERROR(INDEX(MktTotal,MATCH($B201,MktGameID,0)),""))</f>
        <v/>
      </c>
      <c r="AI201" s="2" t="str">
        <f t="shared" si="10"/>
        <v/>
      </c>
      <c r="AJ201" s="2" t="str">
        <f t="shared" si="11"/>
        <v/>
      </c>
      <c r="AK201" s="2" t="str">
        <f t="shared" si="12"/>
        <v/>
      </c>
      <c r="AL201" s="2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2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2" t="str">
        <f>IF($AG201="","","BET OVER at ≤ "&amp;TEXT($AG201-BetTot,"0.0")&amp;"  |  BET UNDER at ≥ "&amp;TEXT($AG201+BetTot,"0.0"))</f>
        <v>BET OVER at ≤ -3.0  |  BET UNDER at ≥ 3.0</v>
      </c>
      <c r="AO201" s="2" t="str">
        <f t="array" ref="AO201">IF($B201="","",IF(OR(IFERROR(INDEX(QBFlag,MATCH($F201,QBTeams,0)),1)=1,IFERROR(INDEX(QBFlag,MATCH($E201,QBTeams,0)),1)=1),"QB UNCERTAIN",""))</f>
        <v>QB UNCERTAIN</v>
      </c>
      <c r="AP201" s="2" t="str">
        <f t="array" ref="AP201">IF($B201="","",IFERROR(INDEX(DQStatus,MATCH($B201,DQGameID,0)),"BLOCKED — DQ ROW NOT FOUND"))</f>
        <v>READY</v>
      </c>
      <c r="AQ201" s="2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2" t="str">
        <f t="shared" si="13"/>
        <v/>
      </c>
      <c r="AS201" s="2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2" t="str">
        <f t="shared" si="14"/>
        <v/>
      </c>
      <c r="AU201" s="11"/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9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2" t="str">
        <f t="array" ref="G202">IF($B202="","",IF(INDEX(SchedZone,MATCH($A202,SchedSeq,0),MAP!$B$14)="Neutral","Y",""))</f>
        <v/>
      </c>
      <c r="H202" s="2" t="str">
        <f t="array" ref="H202">IF($B202="","",INDEX(SchedZone,MATCH($A202,SchedSeq,0),MAP!$B$17))</f>
        <v>dome</v>
      </c>
      <c r="I202" s="2" t="str">
        <f>IF(OR($B202="",$C202&lt;&gt;CurrentWeek),"",COUNTIF($C$5:$C202,CurrentWeek))</f>
        <v/>
      </c>
      <c r="J202" s="2">
        <f t="array" ref="J202">IF($B202="","",IFERROR(INDEX(RatEff,MATCH($E202,RatTeams,0)),"⚠ TEAM NOT FOUND"))</f>
        <v>-3.14</v>
      </c>
      <c r="K202" s="2">
        <f t="array" ref="K202">IF($B202="","",IFERROR(INDEX(RatEff,MATCH($F202,RatTeams,0)),"⚠ TEAM NOT FOUND"))</f>
        <v>0.86</v>
      </c>
      <c r="L202" s="2">
        <f t="shared" si="1"/>
        <v>4</v>
      </c>
      <c r="M202" s="2">
        <f t="array" ref="M202">IF($B202="","",IF($G202="Y",NeutralHFA,IFERROR(INDEX(HFAexcVal,MATCH($F202,HFAexcTeam,0)),HFA_Base)))</f>
        <v>1.6</v>
      </c>
      <c r="N202" s="2">
        <f t="array" ref="N202">IF($B202="","",IFERROR(INDEX(QBSpreadEff,MATCH($F202,QBTeams,0)),0)-IFERROR(INDEX(QBSpreadEff,MATCH($E202,QBTeams,0)),0))</f>
        <v>0</v>
      </c>
      <c r="O202" s="2">
        <f t="array" ref="O202">IF($B202="","",IFERROR(MEDIAN(-RestCapPts,RestCapPts,RestPerDay*(INDEX(SchedZone,MATCH($A202,SchedSeq,0),MAP!$B$16)-INDEX(SchedZone,MATCH($A202,SchedSeq,0),MAP!$B$15))),0))</f>
        <v>0</v>
      </c>
      <c r="P202" s="2">
        <f>IF($B202="","",SUMIFS(AdjSpread,AdjGameID,$B202,AdjTeam,$F202,AdjActive,1)-SUMIFS(AdjSpread,AdjGameID,$B202,AdjTeam,$E202,AdjActive,1))</f>
        <v>0</v>
      </c>
      <c r="Q202" s="2">
        <f t="shared" si="2"/>
        <v>5.6</v>
      </c>
      <c r="R202" s="11"/>
      <c r="S202" s="2">
        <f t="shared" si="3"/>
        <v>5.6</v>
      </c>
      <c r="T202" s="2" t="str">
        <f t="shared" si="4"/>
        <v>DET -5.6</v>
      </c>
      <c r="U202" s="2" t="str">
        <f t="array" ref="U202">IF($B202="","",IFERROR(INDEX(MktHomeSpread,MATCH($B202,MktGameID,0)),""))</f>
        <v/>
      </c>
      <c r="V202" s="2" t="str">
        <f t="shared" si="5"/>
        <v/>
      </c>
      <c r="W202" s="2" t="str">
        <f t="shared" si="6"/>
        <v/>
      </c>
      <c r="X202" s="2" t="str">
        <f t="shared" si="7"/>
        <v/>
      </c>
      <c r="Y202" s="2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2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2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2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2">
        <f t="array" ref="AC202">IF($B202="","",IFERROR(INDEX(QBTotEff,MATCH($F202,QBTeams,0)),0)+IFERROR(INDEX(QBTotEff,MATCH($E202,QBTeams,0)),0))</f>
        <v>0</v>
      </c>
      <c r="AD202" s="2">
        <f>IF($B202="","",SUMIFS(AdjTot,AdjGameID,$B202,AdjActive,1))</f>
        <v>0</v>
      </c>
      <c r="AE202" s="2">
        <f t="shared" si="8"/>
        <v>0</v>
      </c>
      <c r="AF202" s="11"/>
      <c r="AG202" s="2">
        <f t="shared" si="9"/>
        <v>0</v>
      </c>
      <c r="AH202" s="2" t="str">
        <f t="array" ref="AH202">IF($B202="","",IFERROR(INDEX(MktTotal,MATCH($B202,MktGameID,0)),""))</f>
        <v/>
      </c>
      <c r="AI202" s="2" t="str">
        <f t="shared" si="10"/>
        <v/>
      </c>
      <c r="AJ202" s="2" t="str">
        <f t="shared" si="11"/>
        <v/>
      </c>
      <c r="AK202" s="2" t="str">
        <f t="shared" si="12"/>
        <v/>
      </c>
      <c r="AL202" s="2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2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2" t="str">
        <f>IF($AG202="","","BET OVER at ≤ "&amp;TEXT($AG202-BetTot,"0.0")&amp;"  |  BET UNDER at ≥ "&amp;TEXT($AG202+BetTot,"0.0"))</f>
        <v>BET OVER at ≤ -3.0  |  BET UNDER at ≥ 3.0</v>
      </c>
      <c r="AO202" s="2" t="str">
        <f t="array" ref="AO202">IF($B202="","",IF(OR(IFERROR(INDEX(QBFlag,MATCH($F202,QBTeams,0)),1)=1,IFERROR(INDEX(QBFlag,MATCH($E202,QBTeams,0)),1)=1),"QB UNCERTAIN",""))</f>
        <v/>
      </c>
      <c r="AP202" s="2" t="str">
        <f t="array" ref="AP202">IF($B202="","",IFERROR(INDEX(DQStatus,MATCH($B202,DQGameID,0)),"BLOCKED — DQ ROW NOT FOUND"))</f>
        <v>READY</v>
      </c>
      <c r="AQ202" s="2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2" t="str">
        <f t="shared" si="13"/>
        <v/>
      </c>
      <c r="AS202" s="2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2" t="str">
        <f t="shared" si="14"/>
        <v/>
      </c>
      <c r="AU202" s="11"/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9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2" t="str">
        <f t="array" ref="G203">IF($B203="","",IF(INDEX(SchedZone,MATCH($A203,SchedSeq,0),MAP!$B$14)="Neutral","Y",""))</f>
        <v/>
      </c>
      <c r="H203" s="2" t="str">
        <f t="array" ref="H203">IF($B203="","",INDEX(SchedZone,MATCH($A203,SchedSeq,0),MAP!$B$17))</f>
        <v>outdoors</v>
      </c>
      <c r="I203" s="2" t="str">
        <f>IF(OR($B203="",$C203&lt;&gt;CurrentWeek),"",COUNTIF($C$5:$C203,CurrentWeek))</f>
        <v/>
      </c>
      <c r="J203" s="2">
        <f t="array" ref="J203">IF($B203="","",IFERROR(INDEX(RatEff,MATCH($E203,RatTeams,0)),"⚠ TEAM NOT FOUND"))</f>
        <v>0.86</v>
      </c>
      <c r="K203" s="2">
        <f t="array" ref="K203">IF($B203="","",IFERROR(INDEX(RatEff,MATCH($F203,RatTeams,0)),"⚠ TEAM NOT FOUND"))</f>
        <v>-2.64</v>
      </c>
      <c r="L203" s="2">
        <f t="shared" si="1"/>
        <v>-3.5</v>
      </c>
      <c r="M203" s="2">
        <f t="array" ref="M203">IF($B203="","",IF($G203="Y",NeutralHFA,IFERROR(INDEX(HFAexcVal,MATCH($F203,HFAexcTeam,0)),HFA_Base)))</f>
        <v>1.6</v>
      </c>
      <c r="N203" s="2">
        <f t="array" ref="N203">IF($B203="","",IFERROR(INDEX(QBSpreadEff,MATCH($F203,QBTeams,0)),0)-IFERROR(INDEX(QBSpreadEff,MATCH($E203,QBTeams,0)),0))</f>
        <v>0</v>
      </c>
      <c r="O203" s="2">
        <f t="array" ref="O203">IF($B203="","",IFERROR(MEDIAN(-RestCapPts,RestCapPts,RestPerDay*(INDEX(SchedZone,MATCH($A203,SchedSeq,0),MAP!$B$16)-INDEX(SchedZone,MATCH($A203,SchedSeq,0),MAP!$B$15))),0))</f>
        <v>0</v>
      </c>
      <c r="P203" s="2">
        <f>IF($B203="","",SUMIFS(AdjSpread,AdjGameID,$B203,AdjTeam,$F203,AdjActive,1)-SUMIFS(AdjSpread,AdjGameID,$B203,AdjTeam,$E203,AdjActive,1))</f>
        <v>0</v>
      </c>
      <c r="Q203" s="2">
        <f t="shared" si="2"/>
        <v>-1.9</v>
      </c>
      <c r="R203" s="11"/>
      <c r="S203" s="2">
        <f t="shared" si="3"/>
        <v>-1.9</v>
      </c>
      <c r="T203" s="2" t="str">
        <f t="shared" si="4"/>
        <v>CHI -1.9</v>
      </c>
      <c r="U203" s="2" t="str">
        <f t="array" ref="U203">IF($B203="","",IFERROR(INDEX(MktHomeSpread,MATCH($B203,MktGameID,0)),""))</f>
        <v/>
      </c>
      <c r="V203" s="2" t="str">
        <f t="shared" si="5"/>
        <v/>
      </c>
      <c r="W203" s="2" t="str">
        <f t="shared" si="6"/>
        <v/>
      </c>
      <c r="X203" s="2" t="str">
        <f t="shared" si="7"/>
        <v/>
      </c>
      <c r="Y203" s="2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2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2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2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2">
        <f t="array" ref="AC203">IF($B203="","",IFERROR(INDEX(QBTotEff,MATCH($F203,QBTeams,0)),0)+IFERROR(INDEX(QBTotEff,MATCH($E203,QBTeams,0)),0))</f>
        <v>0</v>
      </c>
      <c r="AD203" s="2">
        <f>IF($B203="","",SUMIFS(AdjTot,AdjGameID,$B203,AdjActive,1))</f>
        <v>0</v>
      </c>
      <c r="AE203" s="2">
        <f t="shared" si="8"/>
        <v>0</v>
      </c>
      <c r="AF203" s="11"/>
      <c r="AG203" s="2">
        <f t="shared" si="9"/>
        <v>0</v>
      </c>
      <c r="AH203" s="2" t="str">
        <f t="array" ref="AH203">IF($B203="","",IFERROR(INDEX(MktTotal,MATCH($B203,MktGameID,0)),""))</f>
        <v/>
      </c>
      <c r="AI203" s="2" t="str">
        <f t="shared" si="10"/>
        <v/>
      </c>
      <c r="AJ203" s="2" t="str">
        <f t="shared" si="11"/>
        <v/>
      </c>
      <c r="AK203" s="2" t="str">
        <f t="shared" si="12"/>
        <v/>
      </c>
      <c r="AL203" s="2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2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2" t="str">
        <f>IF($AG203="","","BET OVER at ≤ "&amp;TEXT($AG203-BetTot,"0.0")&amp;"  |  BET UNDER at ≥ "&amp;TEXT($AG203+BetTot,"0.0"))</f>
        <v>BET OVER at ≤ -3.0  |  BET UNDER at ≥ 3.0</v>
      </c>
      <c r="AO203" s="2" t="str">
        <f t="array" ref="AO203">IF($B203="","",IF(OR(IFERROR(INDEX(QBFlag,MATCH($F203,QBTeams,0)),1)=1,IFERROR(INDEX(QBFlag,MATCH($E203,QBTeams,0)),1)=1),"QB UNCERTAIN",""))</f>
        <v/>
      </c>
      <c r="AP203" s="2" t="str">
        <f t="array" ref="AP203">IF($B203="","",IFERROR(INDEX(DQStatus,MATCH($B203,DQGameID,0)),"BLOCKED — DQ ROW NOT FOUND"))</f>
        <v>READY</v>
      </c>
      <c r="AQ203" s="2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2" t="str">
        <f t="shared" si="13"/>
        <v/>
      </c>
      <c r="AS203" s="2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2" t="str">
        <f t="shared" si="14"/>
        <v/>
      </c>
      <c r="AU203" s="11"/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9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2" t="str">
        <f t="array" ref="G204">IF($B204="","",IF(INDEX(SchedZone,MATCH($A204,SchedSeq,0),MAP!$B$14)="Neutral","Y",""))</f>
        <v/>
      </c>
      <c r="H204" s="2" t="str">
        <f t="array" ref="H204">IF($B204="","",INDEX(SchedZone,MATCH($A204,SchedSeq,0),MAP!$B$17))</f>
        <v>outdoors</v>
      </c>
      <c r="I204" s="2" t="str">
        <f>IF(OR($B204="",$C204&lt;&gt;CurrentWeek),"",COUNTIF($C$5:$C204,CurrentWeek))</f>
        <v/>
      </c>
      <c r="J204" s="2">
        <f t="array" ref="J204">IF($B204="","",IFERROR(INDEX(RatEff,MATCH($E204,RatTeams,0)),"⚠ TEAM NOT FOUND"))</f>
        <v>1.93</v>
      </c>
      <c r="K204" s="2">
        <f t="array" ref="K204">IF($B204="","",IFERROR(INDEX(RatEff,MATCH($F204,RatTeams,0)),"⚠ TEAM NOT FOUND"))</f>
        <v>-4.67</v>
      </c>
      <c r="L204" s="2">
        <f t="shared" si="1"/>
        <v>-6.6</v>
      </c>
      <c r="M204" s="2">
        <f t="array" ref="M204">IF($B204="","",IF($G204="Y",NeutralHFA,IFERROR(INDEX(HFAexcVal,MATCH($F204,HFAexcTeam,0)),HFA_Base)))</f>
        <v>1.6</v>
      </c>
      <c r="N204" s="2">
        <f t="array" ref="N204">IF($B204="","",IFERROR(INDEX(QBSpreadEff,MATCH($F204,QBTeams,0)),0)-IFERROR(INDEX(QBSpreadEff,MATCH($E204,QBTeams,0)),0))</f>
        <v>0</v>
      </c>
      <c r="O204" s="2">
        <f t="array" ref="O204">IF($B204="","",IFERROR(MEDIAN(-RestCapPts,RestCapPts,RestPerDay*(INDEX(SchedZone,MATCH($A204,SchedSeq,0),MAP!$B$16)-INDEX(SchedZone,MATCH($A204,SchedSeq,0),MAP!$B$15))),0))</f>
        <v>0.7</v>
      </c>
      <c r="P204" s="2">
        <f>IF($B204="","",SUMIFS(AdjSpread,AdjGameID,$B204,AdjTeam,$F204,AdjActive,1)-SUMIFS(AdjSpread,AdjGameID,$B204,AdjTeam,$E204,AdjActive,1))</f>
        <v>0</v>
      </c>
      <c r="Q204" s="2">
        <f t="shared" si="2"/>
        <v>-4.3</v>
      </c>
      <c r="R204" s="11"/>
      <c r="S204" s="2">
        <f t="shared" si="3"/>
        <v>-4.3</v>
      </c>
      <c r="T204" s="2" t="str">
        <f t="shared" si="4"/>
        <v>DEN -4.3</v>
      </c>
      <c r="U204" s="2" t="str">
        <f t="array" ref="U204">IF($B204="","",IFERROR(INDEX(MktHomeSpread,MATCH($B204,MktGameID,0)),""))</f>
        <v/>
      </c>
      <c r="V204" s="2" t="str">
        <f t="shared" si="5"/>
        <v/>
      </c>
      <c r="W204" s="2" t="str">
        <f t="shared" si="6"/>
        <v/>
      </c>
      <c r="X204" s="2" t="str">
        <f t="shared" si="7"/>
        <v/>
      </c>
      <c r="Y204" s="2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2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2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2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2">
        <f t="array" ref="AC204">IF($B204="","",IFERROR(INDEX(QBTotEff,MATCH($F204,QBTeams,0)),0)+IFERROR(INDEX(QBTotEff,MATCH($E204,QBTeams,0)),0))</f>
        <v>0</v>
      </c>
      <c r="AD204" s="2">
        <f>IF($B204="","",SUMIFS(AdjTot,AdjGameID,$B204,AdjActive,1))</f>
        <v>0</v>
      </c>
      <c r="AE204" s="2">
        <f t="shared" si="8"/>
        <v>0</v>
      </c>
      <c r="AF204" s="11"/>
      <c r="AG204" s="2">
        <f t="shared" si="9"/>
        <v>0</v>
      </c>
      <c r="AH204" s="2" t="str">
        <f t="array" ref="AH204">IF($B204="","",IFERROR(INDEX(MktTotal,MATCH($B204,MktGameID,0)),""))</f>
        <v/>
      </c>
      <c r="AI204" s="2" t="str">
        <f t="shared" si="10"/>
        <v/>
      </c>
      <c r="AJ204" s="2" t="str">
        <f t="shared" si="11"/>
        <v/>
      </c>
      <c r="AK204" s="2" t="str">
        <f t="shared" si="12"/>
        <v/>
      </c>
      <c r="AL204" s="2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2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2" t="str">
        <f>IF($AG204="","","BET OVER at ≤ "&amp;TEXT($AG204-BetTot,"0.0")&amp;"  |  BET UNDER at ≥ "&amp;TEXT($AG204+BetTot,"0.0"))</f>
        <v>BET OVER at ≤ -3.0  |  BET UNDER at ≥ 3.0</v>
      </c>
      <c r="AO204" s="2" t="str">
        <f t="array" ref="AO204">IF($B204="","",IF(OR(IFERROR(INDEX(QBFlag,MATCH($F204,QBTeams,0)),1)=1,IFERROR(INDEX(QBFlag,MATCH($E204,QBTeams,0)),1)=1),"QB UNCERTAIN",""))</f>
        <v/>
      </c>
      <c r="AP204" s="2" t="str">
        <f t="array" ref="AP204">IF($B204="","",IFERROR(INDEX(DQStatus,MATCH($B204,DQGameID,0)),"BLOCKED — DQ ROW NOT FOUND"))</f>
        <v>READY</v>
      </c>
      <c r="AQ204" s="2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2" t="str">
        <f t="shared" si="13"/>
        <v/>
      </c>
      <c r="AS204" s="2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2" t="str">
        <f t="shared" si="14"/>
        <v/>
      </c>
      <c r="AU204" s="11"/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9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2" t="str">
        <f t="array" ref="G205">IF($B205="","",IF(INDEX(SchedZone,MATCH($A205,SchedSeq,0),MAP!$B$14)="Neutral","Y",""))</f>
        <v/>
      </c>
      <c r="H205" s="2" t="str">
        <f t="array" ref="H205">IF($B205="","",INDEX(SchedZone,MATCH($A205,SchedSeq,0),MAP!$B$17))</f>
        <v>outdoors</v>
      </c>
      <c r="I205" s="2" t="str">
        <f>IF(OR($B205="",$C205&lt;&gt;CurrentWeek),"",COUNTIF($C$5:$C205,CurrentWeek))</f>
        <v/>
      </c>
      <c r="J205" s="2">
        <f t="array" ref="J205">IF($B205="","",IFERROR(INDEX(RatEff,MATCH($E205,RatTeams,0)),"⚠ TEAM NOT FOUND"))</f>
        <v>0.82</v>
      </c>
      <c r="K205" s="2">
        <f t="array" ref="K205">IF($B205="","",IFERROR(INDEX(RatEff,MATCH($F205,RatTeams,0)),"⚠ TEAM NOT FOUND"))</f>
        <v>1.5</v>
      </c>
      <c r="L205" s="2">
        <f t="shared" si="1"/>
        <v>0.68</v>
      </c>
      <c r="M205" s="2">
        <f t="array" ref="M205">IF($B205="","",IF($G205="Y",NeutralHFA,IFERROR(INDEX(HFAexcVal,MATCH($F205,HFAexcTeam,0)),HFA_Base)))</f>
        <v>1.6</v>
      </c>
      <c r="N205" s="2">
        <f t="array" ref="N205">IF($B205="","",IFERROR(INDEX(QBSpreadEff,MATCH($F205,QBTeams,0)),0)-IFERROR(INDEX(QBSpreadEff,MATCH($E205,QBTeams,0)),0))</f>
        <v>0</v>
      </c>
      <c r="O205" s="2">
        <f t="array" ref="O205">IF($B205="","",IFERROR(MEDIAN(-RestCapPts,RestCapPts,RestPerDay*(INDEX(SchedZone,MATCH($A205,SchedSeq,0),MAP!$B$16)-INDEX(SchedZone,MATCH($A205,SchedSeq,0),MAP!$B$15))),0))</f>
        <v>-0.7</v>
      </c>
      <c r="P205" s="2">
        <f>IF($B205="","",SUMIFS(AdjSpread,AdjGameID,$B205,AdjTeam,$F205,AdjActive,1)-SUMIFS(AdjSpread,AdjGameID,$B205,AdjTeam,$E205,AdjActive,1))</f>
        <v>0</v>
      </c>
      <c r="Q205" s="2">
        <f t="shared" si="2"/>
        <v>1.58</v>
      </c>
      <c r="R205" s="11"/>
      <c r="S205" s="2">
        <f t="shared" si="3"/>
        <v>1.58</v>
      </c>
      <c r="T205" s="2" t="str">
        <f t="shared" si="4"/>
        <v>PHI -1.6</v>
      </c>
      <c r="U205" s="2" t="str">
        <f t="array" ref="U205">IF($B205="","",IFERROR(INDEX(MktHomeSpread,MATCH($B205,MktGameID,0)),""))</f>
        <v/>
      </c>
      <c r="V205" s="2" t="str">
        <f t="shared" si="5"/>
        <v/>
      </c>
      <c r="W205" s="2" t="str">
        <f t="shared" si="6"/>
        <v/>
      </c>
      <c r="X205" s="2" t="str">
        <f t="shared" si="7"/>
        <v/>
      </c>
      <c r="Y205" s="2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2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2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2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2">
        <f t="array" ref="AC205">IF($B205="","",IFERROR(INDEX(QBTotEff,MATCH($F205,QBTeams,0)),0)+IFERROR(INDEX(QBTotEff,MATCH($E205,QBTeams,0)),0))</f>
        <v>0</v>
      </c>
      <c r="AD205" s="2">
        <f>IF($B205="","",SUMIFS(AdjTot,AdjGameID,$B205,AdjActive,1))</f>
        <v>0</v>
      </c>
      <c r="AE205" s="2">
        <f t="shared" si="8"/>
        <v>0</v>
      </c>
      <c r="AF205" s="11"/>
      <c r="AG205" s="2">
        <f t="shared" si="9"/>
        <v>0</v>
      </c>
      <c r="AH205" s="2" t="str">
        <f t="array" ref="AH205">IF($B205="","",IFERROR(INDEX(MktTotal,MATCH($B205,MktGameID,0)),""))</f>
        <v/>
      </c>
      <c r="AI205" s="2" t="str">
        <f t="shared" si="10"/>
        <v/>
      </c>
      <c r="AJ205" s="2" t="str">
        <f t="shared" si="11"/>
        <v/>
      </c>
      <c r="AK205" s="2" t="str">
        <f t="shared" si="12"/>
        <v/>
      </c>
      <c r="AL205" s="2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2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2" t="str">
        <f>IF($AG205="","","BET OVER at ≤ "&amp;TEXT($AG205-BetTot,"0.0")&amp;"  |  BET UNDER at ≥ "&amp;TEXT($AG205+BetTot,"0.0"))</f>
        <v>BET OVER at ≤ -3.0  |  BET UNDER at ≥ 3.0</v>
      </c>
      <c r="AO205" s="2" t="str">
        <f t="array" ref="AO205">IF($B205="","",IF(OR(IFERROR(INDEX(QBFlag,MATCH($F205,QBTeams,0)),1)=1,IFERROR(INDEX(QBFlag,MATCH($E205,QBTeams,0)),1)=1),"QB UNCERTAIN",""))</f>
        <v/>
      </c>
      <c r="AP205" s="2" t="str">
        <f t="array" ref="AP205">IF($B205="","",IFERROR(INDEX(DQStatus,MATCH($B205,DQGameID,0)),"BLOCKED — DQ ROW NOT FOUND"))</f>
        <v>READY</v>
      </c>
      <c r="AQ205" s="2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2" t="str">
        <f t="shared" si="13"/>
        <v/>
      </c>
      <c r="AS205" s="2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2" t="str">
        <f t="shared" si="14"/>
        <v/>
      </c>
      <c r="AU205" s="11"/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9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2" t="str">
        <f t="array" ref="G206">IF($B206="","",IF(INDEX(SchedZone,MATCH($A206,SchedSeq,0),MAP!$B$14)="Neutral","Y",""))</f>
        <v/>
      </c>
      <c r="H206" s="2" t="str">
        <f t="array" ref="H206">IF($B206="","",INDEX(SchedZone,MATCH($A206,SchedSeq,0),MAP!$B$17))</f>
        <v>outdoors</v>
      </c>
      <c r="I206" s="2" t="str">
        <f>IF(OR($B206="",$C206&lt;&gt;CurrentWeek),"",COUNTIF($C$5:$C206,CurrentWeek))</f>
        <v/>
      </c>
      <c r="J206" s="2">
        <f t="array" ref="J206">IF($B206="","",IFERROR(INDEX(RatEff,MATCH($E206,RatTeams,0)),"⚠ TEAM NOT FOUND"))</f>
        <v>2.71</v>
      </c>
      <c r="K206" s="2">
        <f t="array" ref="K206">IF($B206="","",IFERROR(INDEX(RatEff,MATCH($F206,RatTeams,0)),"⚠ TEAM NOT FOUND"))</f>
        <v>-2.02</v>
      </c>
      <c r="L206" s="2">
        <f t="shared" si="1"/>
        <v>-4.73</v>
      </c>
      <c r="M206" s="2">
        <f t="array" ref="M206">IF($B206="","",IF($G206="Y",NeutralHFA,IFERROR(INDEX(HFAexcVal,MATCH($F206,HFAexcTeam,0)),HFA_Base)))</f>
        <v>1.6</v>
      </c>
      <c r="N206" s="2">
        <f t="array" ref="N206">IF($B206="","",IFERROR(INDEX(QBSpreadEff,MATCH($F206,QBTeams,0)),0)-IFERROR(INDEX(QBSpreadEff,MATCH($E206,QBTeams,0)),0))</f>
        <v>0</v>
      </c>
      <c r="O206" s="2">
        <f t="array" ref="O206">IF($B206="","",IFERROR(MEDIAN(-RestCapPts,RestCapPts,RestPerDay*(INDEX(SchedZone,MATCH($A206,SchedSeq,0),MAP!$B$16)-INDEX(SchedZone,MATCH($A206,SchedSeq,0),MAP!$B$15))),0))</f>
        <v>0</v>
      </c>
      <c r="P206" s="2">
        <f>IF($B206="","",SUMIFS(AdjSpread,AdjGameID,$B206,AdjTeam,$F206,AdjActive,1)-SUMIFS(AdjSpread,AdjGameID,$B206,AdjTeam,$E206,AdjActive,1))</f>
        <v>0</v>
      </c>
      <c r="Q206" s="2">
        <f t="shared" si="2"/>
        <v>-3.13</v>
      </c>
      <c r="R206" s="11"/>
      <c r="S206" s="2">
        <f t="shared" si="3"/>
        <v>-3.13</v>
      </c>
      <c r="T206" s="2" t="str">
        <f t="shared" si="4"/>
        <v>HOU -3.1</v>
      </c>
      <c r="U206" s="2" t="str">
        <f t="array" ref="U206">IF($B206="","",IFERROR(INDEX(MktHomeSpread,MATCH($B206,MktGameID,0)),""))</f>
        <v/>
      </c>
      <c r="V206" s="2" t="str">
        <f t="shared" si="5"/>
        <v/>
      </c>
      <c r="W206" s="2" t="str">
        <f t="shared" si="6"/>
        <v/>
      </c>
      <c r="X206" s="2" t="str">
        <f t="shared" si="7"/>
        <v/>
      </c>
      <c r="Y206" s="2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2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2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2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2">
        <f t="array" ref="AC206">IF($B206="","",IFERROR(INDEX(QBTotEff,MATCH($F206,QBTeams,0)),0)+IFERROR(INDEX(QBTotEff,MATCH($E206,QBTeams,0)),0))</f>
        <v>0</v>
      </c>
      <c r="AD206" s="2">
        <f>IF($B206="","",SUMIFS(AdjTot,AdjGameID,$B206,AdjActive,1))</f>
        <v>0</v>
      </c>
      <c r="AE206" s="2">
        <f t="shared" si="8"/>
        <v>0</v>
      </c>
      <c r="AF206" s="11"/>
      <c r="AG206" s="2">
        <f t="shared" si="9"/>
        <v>0</v>
      </c>
      <c r="AH206" s="2" t="str">
        <f t="array" ref="AH206">IF($B206="","",IFERROR(INDEX(MktTotal,MATCH($B206,MktGameID,0)),""))</f>
        <v/>
      </c>
      <c r="AI206" s="2" t="str">
        <f t="shared" si="10"/>
        <v/>
      </c>
      <c r="AJ206" s="2" t="str">
        <f t="shared" si="11"/>
        <v/>
      </c>
      <c r="AK206" s="2" t="str">
        <f t="shared" si="12"/>
        <v/>
      </c>
      <c r="AL206" s="2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2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2" t="str">
        <f>IF($AG206="","","BET OVER at ≤ "&amp;TEXT($AG206-BetTot,"0.0")&amp;"  |  BET UNDER at ≥ "&amp;TEXT($AG206+BetTot,"0.0"))</f>
        <v>BET OVER at ≤ -3.0  |  BET UNDER at ≥ 3.0</v>
      </c>
      <c r="AO206" s="2" t="str">
        <f t="array" ref="AO206">IF($B206="","",IF(OR(IFERROR(INDEX(QBFlag,MATCH($F206,QBTeams,0)),1)=1,IFERROR(INDEX(QBFlag,MATCH($E206,QBTeams,0)),1)=1),"QB UNCERTAIN",""))</f>
        <v/>
      </c>
      <c r="AP206" s="2" t="str">
        <f t="array" ref="AP206">IF($B206="","",IFERROR(INDEX(DQStatus,MATCH($B206,DQGameID,0)),"BLOCKED — DQ ROW NOT FOUND"))</f>
        <v>READY</v>
      </c>
      <c r="AQ206" s="2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2" t="str">
        <f t="shared" si="13"/>
        <v/>
      </c>
      <c r="AS206" s="2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2" t="str">
        <f t="shared" si="14"/>
        <v/>
      </c>
      <c r="AU206" s="11"/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9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2" t="str">
        <f t="array" ref="G207">IF($B207="","",IF(INDEX(SchedZone,MATCH($A207,SchedSeq,0),MAP!$B$14)="Neutral","Y",""))</f>
        <v/>
      </c>
      <c r="H207" s="2" t="str">
        <f t="array" ref="H207">IF($B207="","",INDEX(SchedZone,MATCH($A207,SchedSeq,0),MAP!$B$17))</f>
        <v>dome</v>
      </c>
      <c r="I207" s="2" t="str">
        <f>IF(OR($B207="",$C207&lt;&gt;CurrentWeek),"",COUNTIF($C$5:$C207,CurrentWeek))</f>
        <v/>
      </c>
      <c r="J207" s="2">
        <f t="array" ref="J207">IF($B207="","",IFERROR(INDEX(RatEff,MATCH($E207,RatTeams,0)),"⚠ TEAM NOT FOUND"))</f>
        <v>0.56</v>
      </c>
      <c r="K207" s="2">
        <f t="array" ref="K207">IF($B207="","",IFERROR(INDEX(RatEff,MATCH($F207,RatTeams,0)),"⚠ TEAM NOT FOUND"))</f>
        <v>-3.52</v>
      </c>
      <c r="L207" s="2">
        <f t="shared" si="1"/>
        <v>-4.08</v>
      </c>
      <c r="M207" s="2">
        <f t="array" ref="M207">IF($B207="","",IF($G207="Y",NeutralHFA,IFERROR(INDEX(HFAexcVal,MATCH($F207,HFAexcTeam,0)),HFA_Base)))</f>
        <v>1.6</v>
      </c>
      <c r="N207" s="2">
        <f t="array" ref="N207">IF($B207="","",IFERROR(INDEX(QBSpreadEff,MATCH($F207,QBTeams,0)),0)-IFERROR(INDEX(QBSpreadEff,MATCH($E207,QBTeams,0)),0))</f>
        <v>0</v>
      </c>
      <c r="O207" s="2">
        <f t="array" ref="O207">IF($B207="","",IFERROR(MEDIAN(-RestCapPts,RestCapPts,RestPerDay*(INDEX(SchedZone,MATCH($A207,SchedSeq,0),MAP!$B$16)-INDEX(SchedZone,MATCH($A207,SchedSeq,0),MAP!$B$15))),0))</f>
        <v>0.7</v>
      </c>
      <c r="P207" s="2">
        <f>IF($B207="","",SUMIFS(AdjSpread,AdjGameID,$B207,AdjTeam,$F207,AdjActive,1)-SUMIFS(AdjSpread,AdjGameID,$B207,AdjTeam,$E207,AdjActive,1))</f>
        <v>0</v>
      </c>
      <c r="Q207" s="2">
        <f t="shared" si="2"/>
        <v>-1.78</v>
      </c>
      <c r="R207" s="11"/>
      <c r="S207" s="2">
        <f t="shared" si="3"/>
        <v>-1.78</v>
      </c>
      <c r="T207" s="2" t="str">
        <f t="shared" si="4"/>
        <v>LAC -1.8</v>
      </c>
      <c r="U207" s="2" t="str">
        <f t="array" ref="U207">IF($B207="","",IFERROR(INDEX(MktHomeSpread,MATCH($B207,MktGameID,0)),""))</f>
        <v/>
      </c>
      <c r="V207" s="2" t="str">
        <f t="shared" si="5"/>
        <v/>
      </c>
      <c r="W207" s="2" t="str">
        <f t="shared" si="6"/>
        <v/>
      </c>
      <c r="X207" s="2" t="str">
        <f t="shared" si="7"/>
        <v/>
      </c>
      <c r="Y207" s="2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2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2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2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2">
        <f t="array" ref="AC207">IF($B207="","",IFERROR(INDEX(QBTotEff,MATCH($F207,QBTeams,0)),0)+IFERROR(INDEX(QBTotEff,MATCH($E207,QBTeams,0)),0))</f>
        <v>0</v>
      </c>
      <c r="AD207" s="2">
        <f>IF($B207="","",SUMIFS(AdjTot,AdjGameID,$B207,AdjActive,1))</f>
        <v>0</v>
      </c>
      <c r="AE207" s="2">
        <f t="shared" si="8"/>
        <v>0</v>
      </c>
      <c r="AF207" s="11"/>
      <c r="AG207" s="2">
        <f t="shared" si="9"/>
        <v>0</v>
      </c>
      <c r="AH207" s="2" t="str">
        <f t="array" ref="AH207">IF($B207="","",IFERROR(INDEX(MktTotal,MATCH($B207,MktGameID,0)),""))</f>
        <v/>
      </c>
      <c r="AI207" s="2" t="str">
        <f t="shared" si="10"/>
        <v/>
      </c>
      <c r="AJ207" s="2" t="str">
        <f t="shared" si="11"/>
        <v/>
      </c>
      <c r="AK207" s="2" t="str">
        <f t="shared" si="12"/>
        <v/>
      </c>
      <c r="AL207" s="2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2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2" t="str">
        <f>IF($AG207="","","BET OVER at ≤ "&amp;TEXT($AG207-BetTot,"0.0")&amp;"  |  BET UNDER at ≥ "&amp;TEXT($AG207+BetTot,"0.0"))</f>
        <v>BET OVER at ≤ -3.0  |  BET UNDER at ≥ 3.0</v>
      </c>
      <c r="AO207" s="2" t="str">
        <f t="array" ref="AO207">IF($B207="","",IF(OR(IFERROR(INDEX(QBFlag,MATCH($F207,QBTeams,0)),1)=1,IFERROR(INDEX(QBFlag,MATCH($E207,QBTeams,0)),1)=1),"QB UNCERTAIN",""))</f>
        <v/>
      </c>
      <c r="AP207" s="2" t="str">
        <f t="array" ref="AP207">IF($B207="","",IFERROR(INDEX(DQStatus,MATCH($B207,DQGameID,0)),"BLOCKED — DQ ROW NOT FOUND"))</f>
        <v>READY</v>
      </c>
      <c r="AQ207" s="2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2" t="str">
        <f t="shared" si="13"/>
        <v/>
      </c>
      <c r="AS207" s="2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2" t="str">
        <f t="shared" si="14"/>
        <v/>
      </c>
      <c r="AU207" s="11"/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9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2" t="str">
        <f t="array" ref="G208">IF($B208="","",IF(INDEX(SchedZone,MATCH($A208,SchedSeq,0),MAP!$B$14)="Neutral","Y",""))</f>
        <v/>
      </c>
      <c r="H208" s="2" t="str">
        <f t="array" ref="H208">IF($B208="","",INDEX(SchedZone,MATCH($A208,SchedSeq,0),MAP!$B$17))</f>
        <v>outdoors</v>
      </c>
      <c r="I208" s="2" t="str">
        <f>IF(OR($B208="",$C208&lt;&gt;CurrentWeek),"",COUNTIF($C$5:$C208,CurrentWeek))</f>
        <v/>
      </c>
      <c r="J208" s="2">
        <f t="array" ref="J208">IF($B208="","",IFERROR(INDEX(RatEff,MATCH($E208,RatTeams,0)),"⚠ TEAM NOT FOUND"))</f>
        <v>-0.04</v>
      </c>
      <c r="K208" s="2">
        <f t="array" ref="K208">IF($B208="","",IFERROR(INDEX(RatEff,MATCH($F208,RatTeams,0)),"⚠ TEAM NOT FOUND"))</f>
        <v>-1.53</v>
      </c>
      <c r="L208" s="2">
        <f t="shared" si="1"/>
        <v>-1.49</v>
      </c>
      <c r="M208" s="2">
        <f t="array" ref="M208">IF($B208="","",IF($G208="Y",NeutralHFA,IFERROR(INDEX(HFAexcVal,MATCH($F208,HFAexcTeam,0)),HFA_Base)))</f>
        <v>1.6</v>
      </c>
      <c r="N208" s="2">
        <f t="array" ref="N208">IF($B208="","",IFERROR(INDEX(QBSpreadEff,MATCH($F208,QBTeams,0)),0)-IFERROR(INDEX(QBSpreadEff,MATCH($E208,QBTeams,0)),0))</f>
        <v>0</v>
      </c>
      <c r="O208" s="2">
        <f t="array" ref="O208">IF($B208="","",IFERROR(MEDIAN(-RestCapPts,RestCapPts,RestPerDay*(INDEX(SchedZone,MATCH($A208,SchedSeq,0),MAP!$B$16)-INDEX(SchedZone,MATCH($A208,SchedSeq,0),MAP!$B$15))),0))</f>
        <v>-0.3</v>
      </c>
      <c r="P208" s="2">
        <f>IF($B208="","",SUMIFS(AdjSpread,AdjGameID,$B208,AdjTeam,$F208,AdjActive,1)-SUMIFS(AdjSpread,AdjGameID,$B208,AdjTeam,$E208,AdjActive,1))</f>
        <v>0</v>
      </c>
      <c r="Q208" s="2">
        <f t="shared" si="2"/>
        <v>-0.19</v>
      </c>
      <c r="R208" s="11"/>
      <c r="S208" s="2">
        <f t="shared" si="3"/>
        <v>-0.19</v>
      </c>
      <c r="T208" s="2" t="str">
        <f t="shared" si="4"/>
        <v>KC -0.2</v>
      </c>
      <c r="U208" s="2" t="str">
        <f t="array" ref="U208">IF($B208="","",IFERROR(INDEX(MktHomeSpread,MATCH($B208,MktGameID,0)),""))</f>
        <v/>
      </c>
      <c r="V208" s="2" t="str">
        <f t="shared" si="5"/>
        <v/>
      </c>
      <c r="W208" s="2" t="str">
        <f t="shared" si="6"/>
        <v/>
      </c>
      <c r="X208" s="2" t="str">
        <f t="shared" si="7"/>
        <v/>
      </c>
      <c r="Y208" s="2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2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2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2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2">
        <f t="array" ref="AC208">IF($B208="","",IFERROR(INDEX(QBTotEff,MATCH($F208,QBTeams,0)),0)+IFERROR(INDEX(QBTotEff,MATCH($E208,QBTeams,0)),0))</f>
        <v>0</v>
      </c>
      <c r="AD208" s="2">
        <f>IF($B208="","",SUMIFS(AdjTot,AdjGameID,$B208,AdjActive,1))</f>
        <v>0</v>
      </c>
      <c r="AE208" s="2">
        <f t="shared" si="8"/>
        <v>0</v>
      </c>
      <c r="AF208" s="11"/>
      <c r="AG208" s="2">
        <f t="shared" si="9"/>
        <v>0</v>
      </c>
      <c r="AH208" s="2" t="str">
        <f t="array" ref="AH208">IF($B208="","",IFERROR(INDEX(MktTotal,MATCH($B208,MktGameID,0)),""))</f>
        <v/>
      </c>
      <c r="AI208" s="2" t="str">
        <f t="shared" si="10"/>
        <v/>
      </c>
      <c r="AJ208" s="2" t="str">
        <f t="shared" si="11"/>
        <v/>
      </c>
      <c r="AK208" s="2" t="str">
        <f t="shared" si="12"/>
        <v/>
      </c>
      <c r="AL208" s="2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Medium</v>
      </c>
      <c r="AM208" s="2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2" t="str">
        <f>IF($AG208="","","BET OVER at ≤ "&amp;TEXT($AG208-BetTot,"0.0")&amp;"  |  BET UNDER at ≥ "&amp;TEXT($AG208+BetTot,"0.0"))</f>
        <v>BET OVER at ≤ -3.0  |  BET UNDER at ≥ 3.0</v>
      </c>
      <c r="AO208" s="2" t="str">
        <f t="array" ref="AO208">IF($B208="","",IF(OR(IFERROR(INDEX(QBFlag,MATCH($F208,QBTeams,0)),1)=1,IFERROR(INDEX(QBFlag,MATCH($E208,QBTeams,0)),1)=1),"QB UNCERTAIN",""))</f>
        <v/>
      </c>
      <c r="AP208" s="2" t="str">
        <f t="array" ref="AP208">IF($B208="","",IFERROR(INDEX(DQStatus,MATCH($B208,DQGameID,0)),"BLOCKED — DQ ROW NOT FOUND"))</f>
        <v>READY</v>
      </c>
      <c r="AQ208" s="2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2" t="str">
        <f t="shared" si="13"/>
        <v/>
      </c>
      <c r="AS208" s="2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2" t="str">
        <f t="shared" si="14"/>
        <v/>
      </c>
      <c r="AU208" s="11"/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9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2" t="str">
        <f t="array" ref="G209">IF($B209="","",IF(INDEX(SchedZone,MATCH($A209,SchedSeq,0),MAP!$B$14)="Neutral","Y",""))</f>
        <v/>
      </c>
      <c r="H209" s="2" t="str">
        <f t="array" ref="H209">IF($B209="","",INDEX(SchedZone,MATCH($A209,SchedSeq,0),MAP!$B$17))</f>
        <v>outdoors</v>
      </c>
      <c r="I209" s="2" t="str">
        <f>IF(OR($B209="",$C209&lt;&gt;CurrentWeek),"",COUNTIF($C$5:$C209,CurrentWeek))</f>
        <v/>
      </c>
      <c r="J209" s="2">
        <f t="array" ref="J209">IF($B209="","",IFERROR(INDEX(RatEff,MATCH($E209,RatTeams,0)),"⚠ TEAM NOT FOUND"))</f>
        <v>-1.59</v>
      </c>
      <c r="K209" s="2">
        <f t="array" ref="K209">IF($B209="","",IFERROR(INDEX(RatEff,MATCH($F209,RatTeams,0)),"⚠ TEAM NOT FOUND"))</f>
        <v>4.1</v>
      </c>
      <c r="L209" s="2">
        <f t="shared" si="1"/>
        <v>5.69</v>
      </c>
      <c r="M209" s="2">
        <f t="array" ref="M209">IF($B209="","",IF($G209="Y",NeutralHFA,IFERROR(INDEX(HFAexcVal,MATCH($F209,HFAexcTeam,0)),HFA_Base)))</f>
        <v>1.6</v>
      </c>
      <c r="N209" s="2">
        <f t="array" ref="N209">IF($B209="","",IFERROR(INDEX(QBSpreadEff,MATCH($F209,QBTeams,0)),0)-IFERROR(INDEX(QBSpreadEff,MATCH($E209,QBTeams,0)),0))</f>
        <v>0</v>
      </c>
      <c r="O209" s="2">
        <f t="array" ref="O209">IF($B209="","",IFERROR(MEDIAN(-RestCapPts,RestCapPts,RestPerDay*(INDEX(SchedZone,MATCH($A209,SchedSeq,0),MAP!$B$16)-INDEX(SchedZone,MATCH($A209,SchedSeq,0),MAP!$B$15))),0))</f>
        <v>-0.1</v>
      </c>
      <c r="P209" s="2">
        <f>IF($B209="","",SUMIFS(AdjSpread,AdjGameID,$B209,AdjTeam,$F209,AdjActive,1)-SUMIFS(AdjSpread,AdjGameID,$B209,AdjTeam,$E209,AdjActive,1))</f>
        <v>0</v>
      </c>
      <c r="Q209" s="2">
        <f t="shared" si="2"/>
        <v>7.19</v>
      </c>
      <c r="R209" s="11"/>
      <c r="S209" s="2">
        <f t="shared" si="3"/>
        <v>7.19</v>
      </c>
      <c r="T209" s="2" t="str">
        <f t="shared" si="4"/>
        <v>SEA -7.2</v>
      </c>
      <c r="U209" s="2" t="str">
        <f t="array" ref="U209">IF($B209="","",IFERROR(INDEX(MktHomeSpread,MATCH($B209,MktGameID,0)),""))</f>
        <v/>
      </c>
      <c r="V209" s="2" t="str">
        <f t="shared" si="5"/>
        <v/>
      </c>
      <c r="W209" s="2" t="str">
        <f t="shared" si="6"/>
        <v/>
      </c>
      <c r="X209" s="2" t="str">
        <f t="shared" si="7"/>
        <v/>
      </c>
      <c r="Y209" s="2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2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2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2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2">
        <f t="array" ref="AC209">IF($B209="","",IFERROR(INDEX(QBTotEff,MATCH($F209,QBTeams,0)),0)+IFERROR(INDEX(QBTotEff,MATCH($E209,QBTeams,0)),0))</f>
        <v>0</v>
      </c>
      <c r="AD209" s="2">
        <f>IF($B209="","",SUMIFS(AdjTot,AdjGameID,$B209,AdjActive,1))</f>
        <v>0</v>
      </c>
      <c r="AE209" s="2">
        <f t="shared" si="8"/>
        <v>0</v>
      </c>
      <c r="AF209" s="11"/>
      <c r="AG209" s="2">
        <f t="shared" si="9"/>
        <v>0</v>
      </c>
      <c r="AH209" s="2" t="str">
        <f t="array" ref="AH209">IF($B209="","",IFERROR(INDEX(MktTotal,MATCH($B209,MktGameID,0)),""))</f>
        <v/>
      </c>
      <c r="AI209" s="2" t="str">
        <f t="shared" si="10"/>
        <v/>
      </c>
      <c r="AJ209" s="2" t="str">
        <f t="shared" si="11"/>
        <v/>
      </c>
      <c r="AK209" s="2" t="str">
        <f t="shared" si="12"/>
        <v/>
      </c>
      <c r="AL209" s="2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2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2" t="str">
        <f>IF($AG209="","","BET OVER at ≤ "&amp;TEXT($AG209-BetTot,"0.0")&amp;"  |  BET UNDER at ≥ "&amp;TEXT($AG209+BetTot,"0.0"))</f>
        <v>BET OVER at ≤ -3.0  |  BET UNDER at ≥ 3.0</v>
      </c>
      <c r="AO209" s="2" t="str">
        <f t="array" ref="AO209">IF($B209="","",IF(OR(IFERROR(INDEX(QBFlag,MATCH($F209,QBTeams,0)),1)=1,IFERROR(INDEX(QBFlag,MATCH($E209,QBTeams,0)),1)=1),"QB UNCERTAIN",""))</f>
        <v/>
      </c>
      <c r="AP209" s="2" t="str">
        <f t="array" ref="AP209">IF($B209="","",IFERROR(INDEX(DQStatus,MATCH($B209,DQGameID,0)),"BLOCKED — DQ ROW NOT FOUND"))</f>
        <v>READY</v>
      </c>
      <c r="AQ209" s="2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2" t="str">
        <f t="shared" si="13"/>
        <v/>
      </c>
      <c r="AS209" s="2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2" t="str">
        <f t="shared" si="14"/>
        <v/>
      </c>
      <c r="AU209" s="11"/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9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2" t="str">
        <f t="array" ref="G210">IF($B210="","",IF(INDEX(SchedZone,MATCH($A210,SchedSeq,0),MAP!$B$14)="Neutral","Y",""))</f>
        <v/>
      </c>
      <c r="H210" s="2" t="str">
        <f t="array" ref="H210">IF($B210="","",INDEX(SchedZone,MATCH($A210,SchedSeq,0),MAP!$B$17))</f>
        <v>outdoors</v>
      </c>
      <c r="I210" s="2" t="str">
        <f>IF(OR($B210="",$C210&lt;&gt;CurrentWeek),"",COUNTIF($C$5:$C210,CurrentWeek))</f>
        <v/>
      </c>
      <c r="J210" s="2">
        <f t="array" ref="J210">IF($B210="","",IFERROR(INDEX(RatEff,MATCH($E210,RatTeams,0)),"⚠ TEAM NOT FOUND"))</f>
        <v>4.09</v>
      </c>
      <c r="K210" s="2">
        <f t="array" ref="K210">IF($B210="","",IFERROR(INDEX(RatEff,MATCH($F210,RatTeams,0)),"⚠ TEAM NOT FOUND"))</f>
        <v>1.78</v>
      </c>
      <c r="L210" s="2">
        <f t="shared" si="1"/>
        <v>-2.31</v>
      </c>
      <c r="M210" s="2">
        <f t="array" ref="M210">IF($B210="","",IF($G210="Y",NeutralHFA,IFERROR(INDEX(HFAexcVal,MATCH($F210,HFAexcTeam,0)),HFA_Base)))</f>
        <v>1.6</v>
      </c>
      <c r="N210" s="2">
        <f t="array" ref="N210">IF($B210="","",IFERROR(INDEX(QBSpreadEff,MATCH($F210,QBTeams,0)),0)-IFERROR(INDEX(QBSpreadEff,MATCH($E210,QBTeams,0)),0))</f>
        <v>0</v>
      </c>
      <c r="O210" s="2">
        <f t="array" ref="O210">IF($B210="","",IFERROR(MEDIAN(-RestCapPts,RestCapPts,RestPerDay*(INDEX(SchedZone,MATCH($A210,SchedSeq,0),MAP!$B$16)-INDEX(SchedZone,MATCH($A210,SchedSeq,0),MAP!$B$15))),0))</f>
        <v>-0.3</v>
      </c>
      <c r="P210" s="2">
        <f>IF($B210="","",SUMIFS(AdjSpread,AdjGameID,$B210,AdjTeam,$F210,AdjActive,1)-SUMIFS(AdjSpread,AdjGameID,$B210,AdjTeam,$E210,AdjActive,1))</f>
        <v>0</v>
      </c>
      <c r="Q210" s="2">
        <f t="shared" si="2"/>
        <v>-1.01</v>
      </c>
      <c r="R210" s="11"/>
      <c r="S210" s="2">
        <f t="shared" si="3"/>
        <v>-1.01</v>
      </c>
      <c r="T210" s="2" t="str">
        <f t="shared" si="4"/>
        <v>LA -1.0</v>
      </c>
      <c r="U210" s="2" t="str">
        <f t="array" ref="U210">IF($B210="","",IFERROR(INDEX(MktHomeSpread,MATCH($B210,MktGameID,0)),""))</f>
        <v/>
      </c>
      <c r="V210" s="2" t="str">
        <f t="shared" si="5"/>
        <v/>
      </c>
      <c r="W210" s="2" t="str">
        <f t="shared" si="6"/>
        <v/>
      </c>
      <c r="X210" s="2" t="str">
        <f t="shared" si="7"/>
        <v/>
      </c>
      <c r="Y210" s="2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2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2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2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2">
        <f t="array" ref="AC210">IF($B210="","",IFERROR(INDEX(QBTotEff,MATCH($F210,QBTeams,0)),0)+IFERROR(INDEX(QBTotEff,MATCH($E210,QBTeams,0)),0))</f>
        <v>0</v>
      </c>
      <c r="AD210" s="2">
        <f>IF($B210="","",SUMIFS(AdjTot,AdjGameID,$B210,AdjActive,1))</f>
        <v>0</v>
      </c>
      <c r="AE210" s="2">
        <f t="shared" si="8"/>
        <v>0</v>
      </c>
      <c r="AF210" s="11"/>
      <c r="AG210" s="2">
        <f t="shared" si="9"/>
        <v>0</v>
      </c>
      <c r="AH210" s="2" t="str">
        <f t="array" ref="AH210">IF($B210="","",IFERROR(INDEX(MktTotal,MATCH($B210,MktGameID,0)),""))</f>
        <v/>
      </c>
      <c r="AI210" s="2" t="str">
        <f t="shared" si="10"/>
        <v/>
      </c>
      <c r="AJ210" s="2" t="str">
        <f t="shared" si="11"/>
        <v/>
      </c>
      <c r="AK210" s="2" t="str">
        <f t="shared" si="12"/>
        <v/>
      </c>
      <c r="AL210" s="2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2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2" t="str">
        <f>IF($AG210="","","BET OVER at ≤ "&amp;TEXT($AG210-BetTot,"0.0")&amp;"  |  BET UNDER at ≥ "&amp;TEXT($AG210+BetTot,"0.0"))</f>
        <v>BET OVER at ≤ -3.0  |  BET UNDER at ≥ 3.0</v>
      </c>
      <c r="AO210" s="2" t="str">
        <f t="array" ref="AO210">IF($B210="","",IF(OR(IFERROR(INDEX(QBFlag,MATCH($F210,QBTeams,0)),1)=1,IFERROR(INDEX(QBFlag,MATCH($E210,QBTeams,0)),1)=1),"QB UNCERTAIN",""))</f>
        <v/>
      </c>
      <c r="AP210" s="2" t="str">
        <f t="array" ref="AP210">IF($B210="","",IFERROR(INDEX(DQStatus,MATCH($B210,DQGameID,0)),"BLOCKED — DQ ROW NOT FOUND"))</f>
        <v>READY</v>
      </c>
      <c r="AQ210" s="2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2" t="str">
        <f t="shared" si="13"/>
        <v/>
      </c>
      <c r="AS210" s="2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2" t="str">
        <f t="shared" si="14"/>
        <v/>
      </c>
      <c r="AU210" s="11"/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9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2" t="str">
        <f t="array" ref="G211">IF($B211="","",IF(INDEX(SchedZone,MATCH($A211,SchedSeq,0),MAP!$B$14)="Neutral","Y",""))</f>
        <v/>
      </c>
      <c r="H211" s="2" t="str">
        <f t="array" ref="H211">IF($B211="","",INDEX(SchedZone,MATCH($A211,SchedSeq,0),MAP!$B$17))</f>
        <v>outdoors</v>
      </c>
      <c r="I211" s="2" t="str">
        <f>IF(OR($B211="",$C211&lt;&gt;CurrentWeek),"",COUNTIF($C$5:$C211,CurrentWeek))</f>
        <v/>
      </c>
      <c r="J211" s="2">
        <f t="array" ref="J211">IF($B211="","",IFERROR(INDEX(RatEff,MATCH($E211,RatTeams,0)),"⚠ TEAM NOT FOUND"))</f>
        <v>1.75</v>
      </c>
      <c r="K211" s="2">
        <f t="array" ref="K211">IF($B211="","",IFERROR(INDEX(RatEff,MATCH($F211,RatTeams,0)),"⚠ TEAM NOT FOUND"))</f>
        <v>0.51</v>
      </c>
      <c r="L211" s="2">
        <f t="shared" si="1"/>
        <v>-1.24</v>
      </c>
      <c r="M211" s="2">
        <f t="array" ref="M211">IF($B211="","",IF($G211="Y",NeutralHFA,IFERROR(INDEX(HFAexcVal,MATCH($F211,HFAexcTeam,0)),HFA_Base)))</f>
        <v>1.6</v>
      </c>
      <c r="N211" s="2">
        <f t="array" ref="N211">IF($B211="","",IFERROR(INDEX(QBSpreadEff,MATCH($F211,QBTeams,0)),0)-IFERROR(INDEX(QBSpreadEff,MATCH($E211,QBTeams,0)),0))</f>
        <v>0</v>
      </c>
      <c r="O211" s="2">
        <f t="array" ref="O211">IF($B211="","",IFERROR(MEDIAN(-RestCapPts,RestCapPts,RestPerDay*(INDEX(SchedZone,MATCH($A211,SchedSeq,0),MAP!$B$16)-INDEX(SchedZone,MATCH($A211,SchedSeq,0),MAP!$B$15))),0))</f>
        <v>0</v>
      </c>
      <c r="P211" s="2">
        <f>IF($B211="","",SUMIFS(AdjSpread,AdjGameID,$B211,AdjTeam,$F211,AdjActive,1)-SUMIFS(AdjSpread,AdjGameID,$B211,AdjTeam,$E211,AdjActive,1))</f>
        <v>0</v>
      </c>
      <c r="Q211" s="2">
        <f t="shared" si="2"/>
        <v>0.36</v>
      </c>
      <c r="R211" s="11"/>
      <c r="S211" s="2">
        <f t="shared" si="3"/>
        <v>0.36</v>
      </c>
      <c r="T211" s="2" t="str">
        <f t="shared" si="4"/>
        <v>GB -0.4</v>
      </c>
      <c r="U211" s="2" t="str">
        <f t="array" ref="U211">IF($B211="","",IFERROR(INDEX(MktHomeSpread,MATCH($B211,MktGameID,0)),""))</f>
        <v/>
      </c>
      <c r="V211" s="2" t="str">
        <f t="shared" si="5"/>
        <v/>
      </c>
      <c r="W211" s="2" t="str">
        <f t="shared" si="6"/>
        <v/>
      </c>
      <c r="X211" s="2" t="str">
        <f t="shared" si="7"/>
        <v/>
      </c>
      <c r="Y211" s="2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2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2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2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2">
        <f t="array" ref="AC211">IF($B211="","",IFERROR(INDEX(QBTotEff,MATCH($F211,QBTeams,0)),0)+IFERROR(INDEX(QBTotEff,MATCH($E211,QBTeams,0)),0))</f>
        <v>0</v>
      </c>
      <c r="AD211" s="2">
        <f>IF($B211="","",SUMIFS(AdjTot,AdjGameID,$B211,AdjActive,1))</f>
        <v>0</v>
      </c>
      <c r="AE211" s="2">
        <f t="shared" si="8"/>
        <v>0</v>
      </c>
      <c r="AF211" s="11"/>
      <c r="AG211" s="2">
        <f t="shared" si="9"/>
        <v>0</v>
      </c>
      <c r="AH211" s="2" t="str">
        <f t="array" ref="AH211">IF($B211="","",IFERROR(INDEX(MktTotal,MATCH($B211,MktGameID,0)),""))</f>
        <v/>
      </c>
      <c r="AI211" s="2" t="str">
        <f t="shared" si="10"/>
        <v/>
      </c>
      <c r="AJ211" s="2" t="str">
        <f t="shared" si="11"/>
        <v/>
      </c>
      <c r="AK211" s="2" t="str">
        <f t="shared" si="12"/>
        <v/>
      </c>
      <c r="AL211" s="2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2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2" t="str">
        <f>IF($AG211="","","BET OVER at ≤ "&amp;TEXT($AG211-BetTot,"0.0")&amp;"  |  BET UNDER at ≥ "&amp;TEXT($AG211+BetTot,"0.0"))</f>
        <v>BET OVER at ≤ -3.0  |  BET UNDER at ≥ 3.0</v>
      </c>
      <c r="AO211" s="2" t="str">
        <f t="array" ref="AO211">IF($B211="","",IF(OR(IFERROR(INDEX(QBFlag,MATCH($F211,QBTeams,0)),1)=1,IFERROR(INDEX(QBFlag,MATCH($E211,QBTeams,0)),1)=1),"QB UNCERTAIN",""))</f>
        <v/>
      </c>
      <c r="AP211" s="2" t="str">
        <f t="array" ref="AP211">IF($B211="","",IFERROR(INDEX(DQStatus,MATCH($B211,DQGameID,0)),"BLOCKED — DQ ROW NOT FOUND"))</f>
        <v>READY</v>
      </c>
      <c r="AQ211" s="2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2" t="str">
        <f t="shared" si="13"/>
        <v/>
      </c>
      <c r="AS211" s="2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2" t="str">
        <f t="shared" si="14"/>
        <v/>
      </c>
      <c r="AU211" s="11"/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9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2" t="str">
        <f t="array" ref="G212">IF($B212="","",IF(INDEX(SchedZone,MATCH($A212,SchedSeq,0),MAP!$B$14)="Neutral","Y",""))</f>
        <v/>
      </c>
      <c r="H212" s="2" t="str">
        <f t="array" ref="H212">IF($B212="","",INDEX(SchedZone,MATCH($A212,SchedSeq,0),MAP!$B$17))</f>
        <v>outdoors</v>
      </c>
      <c r="I212" s="2" t="str">
        <f>IF(OR($B212="",$C212&lt;&gt;CurrentWeek),"",COUNTIF($C$5:$C212,CurrentWeek))</f>
        <v/>
      </c>
      <c r="J212" s="2">
        <f t="array" ref="J212">IF($B212="","",IFERROR(INDEX(RatEff,MATCH($E212,RatTeams,0)),"⚠ TEAM NOT FOUND"))</f>
        <v>0.66</v>
      </c>
      <c r="K212" s="2">
        <f t="array" ref="K212">IF($B212="","",IFERROR(INDEX(RatEff,MATCH($F212,RatTeams,0)),"⚠ TEAM NOT FOUND"))</f>
        <v>3.22</v>
      </c>
      <c r="L212" s="2">
        <f t="shared" si="1"/>
        <v>2.56</v>
      </c>
      <c r="M212" s="2">
        <f t="array" ref="M212">IF($B212="","",IF($G212="Y",NeutralHFA,IFERROR(INDEX(HFAexcVal,MATCH($F212,HFAexcTeam,0)),HFA_Base)))</f>
        <v>1.6</v>
      </c>
      <c r="N212" s="2">
        <f t="array" ref="N212">IF($B212="","",IFERROR(INDEX(QBSpreadEff,MATCH($F212,QBTeams,0)),0)-IFERROR(INDEX(QBSpreadEff,MATCH($E212,QBTeams,0)),0))</f>
        <v>0</v>
      </c>
      <c r="O212" s="2">
        <f t="array" ref="O212">IF($B212="","",IFERROR(MEDIAN(-RestCapPts,RestCapPts,RestPerDay*(INDEX(SchedZone,MATCH($A212,SchedSeq,0),MAP!$B$16)-INDEX(SchedZone,MATCH($A212,SchedSeq,0),MAP!$B$15))),0))</f>
        <v>0</v>
      </c>
      <c r="P212" s="2">
        <f>IF($B212="","",SUMIFS(AdjSpread,AdjGameID,$B212,AdjTeam,$F212,AdjActive,1)-SUMIFS(AdjSpread,AdjGameID,$B212,AdjTeam,$E212,AdjActive,1))</f>
        <v>0</v>
      </c>
      <c r="Q212" s="2">
        <f t="shared" si="2"/>
        <v>4.16</v>
      </c>
      <c r="R212" s="11"/>
      <c r="S212" s="2">
        <f t="shared" si="3"/>
        <v>4.16</v>
      </c>
      <c r="T212" s="2" t="str">
        <f t="shared" si="4"/>
        <v>JAX -4.2</v>
      </c>
      <c r="U212" s="2" t="str">
        <f t="array" ref="U212">IF($B212="","",IFERROR(INDEX(MktHomeSpread,MATCH($B212,MktGameID,0)),""))</f>
        <v/>
      </c>
      <c r="V212" s="2" t="str">
        <f t="shared" si="5"/>
        <v/>
      </c>
      <c r="W212" s="2" t="str">
        <f t="shared" si="6"/>
        <v/>
      </c>
      <c r="X212" s="2" t="str">
        <f t="shared" si="7"/>
        <v/>
      </c>
      <c r="Y212" s="2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2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2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2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2">
        <f t="array" ref="AC212">IF($B212="","",IFERROR(INDEX(QBTotEff,MATCH($F212,QBTeams,0)),0)+IFERROR(INDEX(QBTotEff,MATCH($E212,QBTeams,0)),0))</f>
        <v>0</v>
      </c>
      <c r="AD212" s="2">
        <f>IF($B212="","",SUMIFS(AdjTot,AdjGameID,$B212,AdjActive,1))</f>
        <v>0</v>
      </c>
      <c r="AE212" s="2">
        <f t="shared" si="8"/>
        <v>0</v>
      </c>
      <c r="AF212" s="11"/>
      <c r="AG212" s="2">
        <f t="shared" si="9"/>
        <v>0</v>
      </c>
      <c r="AH212" s="2" t="str">
        <f t="array" ref="AH212">IF($B212="","",IFERROR(INDEX(MktTotal,MATCH($B212,MktGameID,0)),""))</f>
        <v/>
      </c>
      <c r="AI212" s="2" t="str">
        <f t="shared" si="10"/>
        <v/>
      </c>
      <c r="AJ212" s="2" t="str">
        <f t="shared" si="11"/>
        <v/>
      </c>
      <c r="AK212" s="2" t="str">
        <f t="shared" si="12"/>
        <v/>
      </c>
      <c r="AL212" s="2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2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2" t="str">
        <f>IF($AG212="","","BET OVER at ≤ "&amp;TEXT($AG212-BetTot,"0.0")&amp;"  |  BET UNDER at ≥ "&amp;TEXT($AG212+BetTot,"0.0"))</f>
        <v>BET OVER at ≤ -3.0  |  BET UNDER at ≥ 3.0</v>
      </c>
      <c r="AO212" s="2" t="str">
        <f t="array" ref="AO212">IF($B212="","",IF(OR(IFERROR(INDEX(QBFlag,MATCH($F212,QBTeams,0)),1)=1,IFERROR(INDEX(QBFlag,MATCH($E212,QBTeams,0)),1)=1),"QB UNCERTAIN",""))</f>
        <v/>
      </c>
      <c r="AP212" s="2" t="str">
        <f t="array" ref="AP212">IF($B212="","",IFERROR(INDEX(DQStatus,MATCH($B212,DQGameID,0)),"BLOCKED — DQ ROW NOT FOUND"))</f>
        <v>READY</v>
      </c>
      <c r="AQ212" s="2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2" t="str">
        <f t="shared" si="13"/>
        <v/>
      </c>
      <c r="AS212" s="2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2" t="str">
        <f t="shared" si="14"/>
        <v/>
      </c>
      <c r="AU212" s="11"/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9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2" t="str">
        <f t="array" ref="G213">IF($B213="","",IF(INDEX(SchedZone,MATCH($A213,SchedSeq,0),MAP!$B$14)="Neutral","Y",""))</f>
        <v/>
      </c>
      <c r="H213" s="2" t="str">
        <f t="array" ref="H213">IF($B213="","",INDEX(SchedZone,MATCH($A213,SchedSeq,0),MAP!$B$17))</f>
        <v>dome</v>
      </c>
      <c r="I213" s="2" t="str">
        <f>IF(OR($B213="",$C213&lt;&gt;CurrentWeek),"",COUNTIF($C$5:$C213,CurrentWeek))</f>
        <v/>
      </c>
      <c r="J213" s="2">
        <f t="array" ref="J213">IF($B213="","",IFERROR(INDEX(RatEff,MATCH($E213,RatTeams,0)),"⚠ TEAM NOT FOUND"))</f>
        <v>1.78</v>
      </c>
      <c r="K213" s="2">
        <f t="array" ref="K213">IF($B213="","",IFERROR(INDEX(RatEff,MATCH($F213,RatTeams,0)),"⚠ TEAM NOT FOUND"))</f>
        <v>0.56</v>
      </c>
      <c r="L213" s="2">
        <f t="shared" si="1"/>
        <v>-1.22</v>
      </c>
      <c r="M213" s="2">
        <f t="array" ref="M213">IF($B213="","",IF($G213="Y",NeutralHFA,IFERROR(INDEX(HFAexcVal,MATCH($F213,HFAexcTeam,0)),HFA_Base)))</f>
        <v>1.6</v>
      </c>
      <c r="N213" s="2">
        <f t="array" ref="N213">IF($B213="","",IFERROR(INDEX(QBSpreadEff,MATCH($F213,QBTeams,0)),0)-IFERROR(INDEX(QBSpreadEff,MATCH($E213,QBTeams,0)),0))</f>
        <v>0</v>
      </c>
      <c r="O213" s="2">
        <f t="array" ref="O213">IF($B213="","",IFERROR(MEDIAN(-RestCapPts,RestCapPts,RestPerDay*(INDEX(SchedZone,MATCH($A213,SchedSeq,0),MAP!$B$16)-INDEX(SchedZone,MATCH($A213,SchedSeq,0),MAP!$B$15))),0))</f>
        <v>0</v>
      </c>
      <c r="P213" s="2">
        <f>IF($B213="","",SUMIFS(AdjSpread,AdjGameID,$B213,AdjTeam,$F213,AdjActive,1)-SUMIFS(AdjSpread,AdjGameID,$B213,AdjTeam,$E213,AdjActive,1))</f>
        <v>0</v>
      </c>
      <c r="Q213" s="2">
        <f t="shared" si="2"/>
        <v>0.38</v>
      </c>
      <c r="R213" s="11"/>
      <c r="S213" s="2">
        <f t="shared" si="3"/>
        <v>0.38</v>
      </c>
      <c r="T213" s="2" t="str">
        <f t="shared" si="4"/>
        <v>LAC -0.4</v>
      </c>
      <c r="U213" s="2" t="str">
        <f t="array" ref="U213">IF($B213="","",IFERROR(INDEX(MktHomeSpread,MATCH($B213,MktGameID,0)),""))</f>
        <v/>
      </c>
      <c r="V213" s="2" t="str">
        <f t="shared" si="5"/>
        <v/>
      </c>
      <c r="W213" s="2" t="str">
        <f t="shared" si="6"/>
        <v/>
      </c>
      <c r="X213" s="2" t="str">
        <f t="shared" si="7"/>
        <v/>
      </c>
      <c r="Y213" s="2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2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2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2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2">
        <f t="array" ref="AC213">IF($B213="","",IFERROR(INDEX(QBTotEff,MATCH($F213,QBTeams,0)),0)+IFERROR(INDEX(QBTotEff,MATCH($E213,QBTeams,0)),0))</f>
        <v>0</v>
      </c>
      <c r="AD213" s="2">
        <f>IF($B213="","",SUMIFS(AdjTot,AdjGameID,$B213,AdjActive,1))</f>
        <v>0</v>
      </c>
      <c r="AE213" s="2">
        <f t="shared" si="8"/>
        <v>0</v>
      </c>
      <c r="AF213" s="11"/>
      <c r="AG213" s="2">
        <f t="shared" si="9"/>
        <v>0</v>
      </c>
      <c r="AH213" s="2" t="str">
        <f t="array" ref="AH213">IF($B213="","",IFERROR(INDEX(MktTotal,MATCH($B213,MktGameID,0)),""))</f>
        <v/>
      </c>
      <c r="AI213" s="2" t="str">
        <f t="shared" si="10"/>
        <v/>
      </c>
      <c r="AJ213" s="2" t="str">
        <f t="shared" si="11"/>
        <v/>
      </c>
      <c r="AK213" s="2" t="str">
        <f t="shared" si="12"/>
        <v/>
      </c>
      <c r="AL213" s="2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2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2" t="str">
        <f>IF($AG213="","","BET OVER at ≤ "&amp;TEXT($AG213-BetTot,"0.0")&amp;"  |  BET UNDER at ≥ "&amp;TEXT($AG213+BetTot,"0.0"))</f>
        <v>BET OVER at ≤ -3.0  |  BET UNDER at ≥ 3.0</v>
      </c>
      <c r="AO213" s="2" t="str">
        <f t="array" ref="AO213">IF($B213="","",IF(OR(IFERROR(INDEX(QBFlag,MATCH($F213,QBTeams,0)),1)=1,IFERROR(INDEX(QBFlag,MATCH($E213,QBTeams,0)),1)=1),"QB UNCERTAIN",""))</f>
        <v/>
      </c>
      <c r="AP213" s="2" t="str">
        <f t="array" ref="AP213">IF($B213="","",IFERROR(INDEX(DQStatus,MATCH($B213,DQGameID,0)),"BLOCKED — DQ ROW NOT FOUND"))</f>
        <v>READY</v>
      </c>
      <c r="AQ213" s="2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2" t="str">
        <f t="shared" si="13"/>
        <v/>
      </c>
      <c r="AS213" s="2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2" t="str">
        <f t="shared" si="14"/>
        <v/>
      </c>
      <c r="AU213" s="11"/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9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2" t="str">
        <f t="array" ref="G214">IF($B214="","",IF(INDEX(SchedZone,MATCH($A214,SchedSeq,0),MAP!$B$14)="Neutral","Y",""))</f>
        <v/>
      </c>
      <c r="H214" s="2" t="str">
        <f t="array" ref="H214">IF($B214="","",INDEX(SchedZone,MATCH($A214,SchedSeq,0),MAP!$B$17))</f>
        <v>outdoors</v>
      </c>
      <c r="I214" s="2" t="str">
        <f>IF(OR($B214="",$C214&lt;&gt;CurrentWeek),"",COUNTIF($C$5:$C214,CurrentWeek))</f>
        <v/>
      </c>
      <c r="J214" s="2">
        <f t="array" ref="J214">IF($B214="","",IFERROR(INDEX(RatEff,MATCH($E214,RatTeams,0)),"⚠ TEAM NOT FOUND"))</f>
        <v>4.1</v>
      </c>
      <c r="K214" s="2">
        <f t="array" ref="K214">IF($B214="","",IFERROR(INDEX(RatEff,MATCH($F214,RatTeams,0)),"⚠ TEAM NOT FOUND"))</f>
        <v>1.5</v>
      </c>
      <c r="L214" s="2">
        <f t="shared" si="1"/>
        <v>-2.6</v>
      </c>
      <c r="M214" s="2">
        <f t="array" ref="M214">IF($B214="","",IF($G214="Y",NeutralHFA,IFERROR(INDEX(HFAexcVal,MATCH($F214,HFAexcTeam,0)),HFA_Base)))</f>
        <v>1.6</v>
      </c>
      <c r="N214" s="2">
        <f t="array" ref="N214">IF($B214="","",IFERROR(INDEX(QBSpreadEff,MATCH($F214,QBTeams,0)),0)-IFERROR(INDEX(QBSpreadEff,MATCH($E214,QBTeams,0)),0))</f>
        <v>0</v>
      </c>
      <c r="O214" s="2">
        <f t="array" ref="O214">IF($B214="","",IFERROR(MEDIAN(-RestCapPts,RestCapPts,RestPerDay*(INDEX(SchedZone,MATCH($A214,SchedSeq,0),MAP!$B$16)-INDEX(SchedZone,MATCH($A214,SchedSeq,0),MAP!$B$15))),0))</f>
        <v>0</v>
      </c>
      <c r="P214" s="2">
        <f>IF($B214="","",SUMIFS(AdjSpread,AdjGameID,$B214,AdjTeam,$F214,AdjActive,1)-SUMIFS(AdjSpread,AdjGameID,$B214,AdjTeam,$E214,AdjActive,1))</f>
        <v>0</v>
      </c>
      <c r="Q214" s="2">
        <f t="shared" si="2"/>
        <v>-1</v>
      </c>
      <c r="R214" s="11"/>
      <c r="S214" s="2">
        <f t="shared" si="3"/>
        <v>-1</v>
      </c>
      <c r="T214" s="2" t="str">
        <f t="shared" si="4"/>
        <v>SEA -1.0</v>
      </c>
      <c r="U214" s="2" t="str">
        <f t="array" ref="U214">IF($B214="","",IFERROR(INDEX(MktHomeSpread,MATCH($B214,MktGameID,0)),""))</f>
        <v/>
      </c>
      <c r="V214" s="2" t="str">
        <f t="shared" si="5"/>
        <v/>
      </c>
      <c r="W214" s="2" t="str">
        <f t="shared" si="6"/>
        <v/>
      </c>
      <c r="X214" s="2" t="str">
        <f t="shared" si="7"/>
        <v/>
      </c>
      <c r="Y214" s="2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2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2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2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2">
        <f t="array" ref="AC214">IF($B214="","",IFERROR(INDEX(QBTotEff,MATCH($F214,QBTeams,0)),0)+IFERROR(INDEX(QBTotEff,MATCH($E214,QBTeams,0)),0))</f>
        <v>0</v>
      </c>
      <c r="AD214" s="2">
        <f>IF($B214="","",SUMIFS(AdjTot,AdjGameID,$B214,AdjActive,1))</f>
        <v>0</v>
      </c>
      <c r="AE214" s="2">
        <f t="shared" si="8"/>
        <v>0</v>
      </c>
      <c r="AF214" s="11"/>
      <c r="AG214" s="2">
        <f t="shared" si="9"/>
        <v>0</v>
      </c>
      <c r="AH214" s="2" t="str">
        <f t="array" ref="AH214">IF($B214="","",IFERROR(INDEX(MktTotal,MATCH($B214,MktGameID,0)),""))</f>
        <v/>
      </c>
      <c r="AI214" s="2" t="str">
        <f t="shared" si="10"/>
        <v/>
      </c>
      <c r="AJ214" s="2" t="str">
        <f t="shared" si="11"/>
        <v/>
      </c>
      <c r="AK214" s="2" t="str">
        <f t="shared" si="12"/>
        <v/>
      </c>
      <c r="AL214" s="2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2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2" t="str">
        <f>IF($AG214="","","BET OVER at ≤ "&amp;TEXT($AG214-BetTot,"0.0")&amp;"  |  BET UNDER at ≥ "&amp;TEXT($AG214+BetTot,"0.0"))</f>
        <v>BET OVER at ≤ -3.0  |  BET UNDER at ≥ 3.0</v>
      </c>
      <c r="AO214" s="2" t="str">
        <f t="array" ref="AO214">IF($B214="","",IF(OR(IFERROR(INDEX(QBFlag,MATCH($F214,QBTeams,0)),1)=1,IFERROR(INDEX(QBFlag,MATCH($E214,QBTeams,0)),1)=1),"QB UNCERTAIN",""))</f>
        <v/>
      </c>
      <c r="AP214" s="2" t="str">
        <f t="array" ref="AP214">IF($B214="","",IFERROR(INDEX(DQStatus,MATCH($B214,DQGameID,0)),"BLOCKED — DQ ROW NOT FOUND"))</f>
        <v>READY</v>
      </c>
      <c r="AQ214" s="2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2" t="str">
        <f t="shared" si="13"/>
        <v/>
      </c>
      <c r="AS214" s="2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2" t="str">
        <f t="shared" si="14"/>
        <v/>
      </c>
      <c r="AU214" s="11"/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9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2" t="str">
        <f t="array" ref="G215">IF($B215="","",IF(INDEX(SchedZone,MATCH($A215,SchedSeq,0),MAP!$B$14)="Neutral","Y",""))</f>
        <v/>
      </c>
      <c r="H215" s="2" t="str">
        <f t="array" ref="H215">IF($B215="","",INDEX(SchedZone,MATCH($A215,SchedSeq,0),MAP!$B$17))</f>
        <v>outdoors</v>
      </c>
      <c r="I215" s="2" t="str">
        <f>IF(OR($B215="",$C215&lt;&gt;CurrentWeek),"",COUNTIF($C$5:$C215,CurrentWeek))</f>
        <v/>
      </c>
      <c r="J215" s="2">
        <f t="array" ref="J215">IF($B215="","",IFERROR(INDEX(RatEff,MATCH($E215,RatTeams,0)),"⚠ TEAM NOT FOUND"))</f>
        <v>0.86</v>
      </c>
      <c r="K215" s="2">
        <f t="array" ref="K215">IF($B215="","",IFERROR(INDEX(RatEff,MATCH($F215,RatTeams,0)),"⚠ TEAM NOT FOUND"))</f>
        <v>1.75</v>
      </c>
      <c r="L215" s="2">
        <f t="shared" si="1"/>
        <v>0.89</v>
      </c>
      <c r="M215" s="2">
        <f t="array" ref="M215">IF($B215="","",IF($G215="Y",NeutralHFA,IFERROR(INDEX(HFAexcVal,MATCH($F215,HFAexcTeam,0)),HFA_Base)))</f>
        <v>1.6</v>
      </c>
      <c r="N215" s="2">
        <f t="array" ref="N215">IF($B215="","",IFERROR(INDEX(QBSpreadEff,MATCH($F215,QBTeams,0)),0)-IFERROR(INDEX(QBSpreadEff,MATCH($E215,QBTeams,0)),0))</f>
        <v>0</v>
      </c>
      <c r="O215" s="2">
        <f t="array" ref="O215">IF($B215="","",IFERROR(MEDIAN(-RestCapPts,RestCapPts,RestPerDay*(INDEX(SchedZone,MATCH($A215,SchedSeq,0),MAP!$B$16)-INDEX(SchedZone,MATCH($A215,SchedSeq,0),MAP!$B$15))),0))</f>
        <v>0</v>
      </c>
      <c r="P215" s="2">
        <f>IF($B215="","",SUMIFS(AdjSpread,AdjGameID,$B215,AdjTeam,$F215,AdjActive,1)-SUMIFS(AdjSpread,AdjGameID,$B215,AdjTeam,$E215,AdjActive,1))</f>
        <v>0</v>
      </c>
      <c r="Q215" s="2">
        <f t="shared" si="2"/>
        <v>2.49</v>
      </c>
      <c r="R215" s="11"/>
      <c r="S215" s="2">
        <f t="shared" si="3"/>
        <v>2.49</v>
      </c>
      <c r="T215" s="2" t="str">
        <f t="shared" si="4"/>
        <v>BUF -2.5</v>
      </c>
      <c r="U215" s="2" t="str">
        <f t="array" ref="U215">IF($B215="","",IFERROR(INDEX(MktHomeSpread,MATCH($B215,MktGameID,0)),""))</f>
        <v/>
      </c>
      <c r="V215" s="2" t="str">
        <f t="shared" si="5"/>
        <v/>
      </c>
      <c r="W215" s="2" t="str">
        <f t="shared" si="6"/>
        <v/>
      </c>
      <c r="X215" s="2" t="str">
        <f t="shared" si="7"/>
        <v/>
      </c>
      <c r="Y215" s="2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2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2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2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2">
        <f t="array" ref="AC215">IF($B215="","",IFERROR(INDEX(QBTotEff,MATCH($F215,QBTeams,0)),0)+IFERROR(INDEX(QBTotEff,MATCH($E215,QBTeams,0)),0))</f>
        <v>0</v>
      </c>
      <c r="AD215" s="2">
        <f>IF($B215="","",SUMIFS(AdjTot,AdjGameID,$B215,AdjActive,1))</f>
        <v>0</v>
      </c>
      <c r="AE215" s="2">
        <f t="shared" si="8"/>
        <v>0</v>
      </c>
      <c r="AF215" s="11"/>
      <c r="AG215" s="2">
        <f t="shared" si="9"/>
        <v>0</v>
      </c>
      <c r="AH215" s="2" t="str">
        <f t="array" ref="AH215">IF($B215="","",IFERROR(INDEX(MktTotal,MATCH($B215,MktGameID,0)),""))</f>
        <v/>
      </c>
      <c r="AI215" s="2" t="str">
        <f t="shared" si="10"/>
        <v/>
      </c>
      <c r="AJ215" s="2" t="str">
        <f t="shared" si="11"/>
        <v/>
      </c>
      <c r="AK215" s="2" t="str">
        <f t="shared" si="12"/>
        <v/>
      </c>
      <c r="AL215" s="2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2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2" t="str">
        <f>IF($AG215="","","BET OVER at ≤ "&amp;TEXT($AG215-BetTot,"0.0")&amp;"  |  BET UNDER at ≥ "&amp;TEXT($AG215+BetTot,"0.0"))</f>
        <v>BET OVER at ≤ -3.0  |  BET UNDER at ≥ 3.0</v>
      </c>
      <c r="AO215" s="2" t="str">
        <f t="array" ref="AO215">IF($B215="","",IF(OR(IFERROR(INDEX(QBFlag,MATCH($F215,QBTeams,0)),1)=1,IFERROR(INDEX(QBFlag,MATCH($E215,QBTeams,0)),1)=1),"QB UNCERTAIN",""))</f>
        <v/>
      </c>
      <c r="AP215" s="2" t="str">
        <f t="array" ref="AP215">IF($B215="","",IFERROR(INDEX(DQStatus,MATCH($B215,DQGameID,0)),"BLOCKED — DQ ROW NOT FOUND"))</f>
        <v>READY</v>
      </c>
      <c r="AQ215" s="2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2" t="str">
        <f t="shared" si="13"/>
        <v/>
      </c>
      <c r="AS215" s="2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2" t="str">
        <f t="shared" si="14"/>
        <v/>
      </c>
      <c r="AU215" s="11"/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9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2" t="str">
        <f t="array" ref="G216">IF($B216="","",IF(INDEX(SchedZone,MATCH($A216,SchedSeq,0),MAP!$B$14)="Neutral","Y",""))</f>
        <v/>
      </c>
      <c r="H216" s="2" t="str">
        <f t="array" ref="H216">IF($B216="","",INDEX(SchedZone,MATCH($A216,SchedSeq,0),MAP!$B$17))</f>
        <v>outdoors</v>
      </c>
      <c r="I216" s="2" t="str">
        <f>IF(OR($B216="",$C216&lt;&gt;CurrentWeek),"",COUNTIF($C$5:$C216,CurrentWeek))</f>
        <v/>
      </c>
      <c r="J216" s="2">
        <f t="array" ref="J216">IF($B216="","",IFERROR(INDEX(RatEff,MATCH($E216,RatTeams,0)),"⚠ TEAM NOT FOUND"))</f>
        <v>-1.53</v>
      </c>
      <c r="K216" s="2">
        <f t="array" ref="K216">IF($B216="","",IFERROR(INDEX(RatEff,MATCH($F216,RatTeams,0)),"⚠ TEAM NOT FOUND"))</f>
        <v>-1.3</v>
      </c>
      <c r="L216" s="2">
        <f t="shared" si="1"/>
        <v>0.23</v>
      </c>
      <c r="M216" s="2">
        <f t="array" ref="M216">IF($B216="","",IF($G216="Y",NeutralHFA,IFERROR(INDEX(HFAexcVal,MATCH($F216,HFAexcTeam,0)),HFA_Base)))</f>
        <v>1.6</v>
      </c>
      <c r="N216" s="2">
        <f t="array" ref="N216">IF($B216="","",IFERROR(INDEX(QBSpreadEff,MATCH($F216,QBTeams,0)),0)-IFERROR(INDEX(QBSpreadEff,MATCH($E216,QBTeams,0)),0))</f>
        <v>0</v>
      </c>
      <c r="O216" s="2">
        <f t="array" ref="O216">IF($B216="","",IFERROR(MEDIAN(-RestCapPts,RestCapPts,RestPerDay*(INDEX(SchedZone,MATCH($A216,SchedSeq,0),MAP!$B$16)-INDEX(SchedZone,MATCH($A216,SchedSeq,0),MAP!$B$15))),0))</f>
        <v>0</v>
      </c>
      <c r="P216" s="2">
        <f>IF($B216="","",SUMIFS(AdjSpread,AdjGameID,$B216,AdjTeam,$F216,AdjActive,1)-SUMIFS(AdjSpread,AdjGameID,$B216,AdjTeam,$E216,AdjActive,1))</f>
        <v>0</v>
      </c>
      <c r="Q216" s="2">
        <f t="shared" si="2"/>
        <v>1.83</v>
      </c>
      <c r="R216" s="11"/>
      <c r="S216" s="2">
        <f t="shared" si="3"/>
        <v>1.83</v>
      </c>
      <c r="T216" s="2" t="str">
        <f t="shared" si="4"/>
        <v>CAR -1.8</v>
      </c>
      <c r="U216" s="2" t="str">
        <f t="array" ref="U216">IF($B216="","",IFERROR(INDEX(MktHomeSpread,MATCH($B216,MktGameID,0)),""))</f>
        <v/>
      </c>
      <c r="V216" s="2" t="str">
        <f t="shared" si="5"/>
        <v/>
      </c>
      <c r="W216" s="2" t="str">
        <f t="shared" si="6"/>
        <v/>
      </c>
      <c r="X216" s="2" t="str">
        <f t="shared" si="7"/>
        <v/>
      </c>
      <c r="Y216" s="2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2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2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2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2">
        <f t="array" ref="AC216">IF($B216="","",IFERROR(INDEX(QBTotEff,MATCH($F216,QBTeams,0)),0)+IFERROR(INDEX(QBTotEff,MATCH($E216,QBTeams,0)),0))</f>
        <v>0</v>
      </c>
      <c r="AD216" s="2">
        <f>IF($B216="","",SUMIFS(AdjTot,AdjGameID,$B216,AdjActive,1))</f>
        <v>0</v>
      </c>
      <c r="AE216" s="2">
        <f t="shared" si="8"/>
        <v>0</v>
      </c>
      <c r="AF216" s="11"/>
      <c r="AG216" s="2">
        <f t="shared" si="9"/>
        <v>0</v>
      </c>
      <c r="AH216" s="2" t="str">
        <f t="array" ref="AH216">IF($B216="","",IFERROR(INDEX(MktTotal,MATCH($B216,MktGameID,0)),""))</f>
        <v/>
      </c>
      <c r="AI216" s="2" t="str">
        <f t="shared" si="10"/>
        <v/>
      </c>
      <c r="AJ216" s="2" t="str">
        <f t="shared" si="11"/>
        <v/>
      </c>
      <c r="AK216" s="2" t="str">
        <f t="shared" si="12"/>
        <v/>
      </c>
      <c r="AL216" s="2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2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2" t="str">
        <f>IF($AG216="","","BET OVER at ≤ "&amp;TEXT($AG216-BetTot,"0.0")&amp;"  |  BET UNDER at ≥ "&amp;TEXT($AG216+BetTot,"0.0"))</f>
        <v>BET OVER at ≤ -3.0  |  BET UNDER at ≥ 3.0</v>
      </c>
      <c r="AO216" s="2" t="str">
        <f t="array" ref="AO216">IF($B216="","",IF(OR(IFERROR(INDEX(QBFlag,MATCH($F216,QBTeams,0)),1)=1,IFERROR(INDEX(QBFlag,MATCH($E216,QBTeams,0)),1)=1),"QB UNCERTAIN",""))</f>
        <v/>
      </c>
      <c r="AP216" s="2" t="str">
        <f t="array" ref="AP216">IF($B216="","",IFERROR(INDEX(DQStatus,MATCH($B216,DQGameID,0)),"BLOCKED — DQ ROW NOT FOUND"))</f>
        <v>READY</v>
      </c>
      <c r="AQ216" s="2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2" t="str">
        <f t="shared" si="13"/>
        <v/>
      </c>
      <c r="AS216" s="2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2" t="str">
        <f t="shared" si="14"/>
        <v/>
      </c>
      <c r="AU216" s="11"/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9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2" t="str">
        <f t="array" ref="G217">IF($B217="","",IF(INDEX(SchedZone,MATCH($A217,SchedSeq,0),MAP!$B$14)="Neutral","Y",""))</f>
        <v/>
      </c>
      <c r="H217" s="2" t="str">
        <f t="array" ref="H217">IF($B217="","",INDEX(SchedZone,MATCH($A217,SchedSeq,0),MAP!$B$17))</f>
        <v>outdoors</v>
      </c>
      <c r="I217" s="2" t="str">
        <f>IF(OR($B217="",$C217&lt;&gt;CurrentWeek),"",COUNTIF($C$5:$C217,CurrentWeek))</f>
        <v/>
      </c>
      <c r="J217" s="2">
        <f t="array" ref="J217">IF($B217="","",IFERROR(INDEX(RatEff,MATCH($E217,RatTeams,0)),"⚠ TEAM NOT FOUND"))</f>
        <v>-2.64</v>
      </c>
      <c r="K217" s="2">
        <f t="array" ref="K217">IF($B217="","",IFERROR(INDEX(RatEff,MATCH($F217,RatTeams,0)),"⚠ TEAM NOT FOUND"))</f>
        <v>0.51</v>
      </c>
      <c r="L217" s="2">
        <f t="shared" si="1"/>
        <v>3.15</v>
      </c>
      <c r="M217" s="2">
        <f t="array" ref="M217">IF($B217="","",IF($G217="Y",NeutralHFA,IFERROR(INDEX(HFAexcVal,MATCH($F217,HFAexcTeam,0)),HFA_Base)))</f>
        <v>1.6</v>
      </c>
      <c r="N217" s="2">
        <f t="array" ref="N217">IF($B217="","",IFERROR(INDEX(QBSpreadEff,MATCH($F217,QBTeams,0)),0)-IFERROR(INDEX(QBSpreadEff,MATCH($E217,QBTeams,0)),0))</f>
        <v>0</v>
      </c>
      <c r="O217" s="2">
        <f t="array" ref="O217">IF($B217="","",IFERROR(MEDIAN(-RestCapPts,RestCapPts,RestPerDay*(INDEX(SchedZone,MATCH($A217,SchedSeq,0),MAP!$B$16)-INDEX(SchedZone,MATCH($A217,SchedSeq,0),MAP!$B$15))),0))</f>
        <v>0</v>
      </c>
      <c r="P217" s="2">
        <f>IF($B217="","",SUMIFS(AdjSpread,AdjGameID,$B217,AdjTeam,$F217,AdjActive,1)-SUMIFS(AdjSpread,AdjGameID,$B217,AdjTeam,$E217,AdjActive,1))</f>
        <v>0</v>
      </c>
      <c r="Q217" s="2">
        <f t="shared" si="2"/>
        <v>4.75</v>
      </c>
      <c r="R217" s="11"/>
      <c r="S217" s="2">
        <f t="shared" si="3"/>
        <v>4.75</v>
      </c>
      <c r="T217" s="2" t="str">
        <f t="shared" si="4"/>
        <v>GB -4.8</v>
      </c>
      <c r="U217" s="2" t="str">
        <f t="array" ref="U217">IF($B217="","",IFERROR(INDEX(MktHomeSpread,MATCH($B217,MktGameID,0)),""))</f>
        <v/>
      </c>
      <c r="V217" s="2" t="str">
        <f t="shared" si="5"/>
        <v/>
      </c>
      <c r="W217" s="2" t="str">
        <f t="shared" si="6"/>
        <v/>
      </c>
      <c r="X217" s="2" t="str">
        <f t="shared" si="7"/>
        <v/>
      </c>
      <c r="Y217" s="2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2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2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2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2">
        <f t="array" ref="AC217">IF($B217="","",IFERROR(INDEX(QBTotEff,MATCH($F217,QBTeams,0)),0)+IFERROR(INDEX(QBTotEff,MATCH($E217,QBTeams,0)),0))</f>
        <v>0</v>
      </c>
      <c r="AD217" s="2">
        <f>IF($B217="","",SUMIFS(AdjTot,AdjGameID,$B217,AdjActive,1))</f>
        <v>0</v>
      </c>
      <c r="AE217" s="2">
        <f t="shared" si="8"/>
        <v>0</v>
      </c>
      <c r="AF217" s="11"/>
      <c r="AG217" s="2">
        <f t="shared" si="9"/>
        <v>0</v>
      </c>
      <c r="AH217" s="2" t="str">
        <f t="array" ref="AH217">IF($B217="","",IFERROR(INDEX(MktTotal,MATCH($B217,MktGameID,0)),""))</f>
        <v/>
      </c>
      <c r="AI217" s="2" t="str">
        <f t="shared" si="10"/>
        <v/>
      </c>
      <c r="AJ217" s="2" t="str">
        <f t="shared" si="11"/>
        <v/>
      </c>
      <c r="AK217" s="2" t="str">
        <f t="shared" si="12"/>
        <v/>
      </c>
      <c r="AL217" s="2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2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2" t="str">
        <f>IF($AG217="","","BET OVER at ≤ "&amp;TEXT($AG217-BetTot,"0.0")&amp;"  |  BET UNDER at ≥ "&amp;TEXT($AG217+BetTot,"0.0"))</f>
        <v>BET OVER at ≤ -3.0  |  BET UNDER at ≥ 3.0</v>
      </c>
      <c r="AO217" s="2" t="str">
        <f t="array" ref="AO217">IF($B217="","",IF(OR(IFERROR(INDEX(QBFlag,MATCH($F217,QBTeams,0)),1)=1,IFERROR(INDEX(QBFlag,MATCH($E217,QBTeams,0)),1)=1),"QB UNCERTAIN",""))</f>
        <v/>
      </c>
      <c r="AP217" s="2" t="str">
        <f t="array" ref="AP217">IF($B217="","",IFERROR(INDEX(DQStatus,MATCH($B217,DQGameID,0)),"BLOCKED — DQ ROW NOT FOUND"))</f>
        <v>READY</v>
      </c>
      <c r="AQ217" s="2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2" t="str">
        <f t="shared" si="13"/>
        <v/>
      </c>
      <c r="AS217" s="2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2" t="str">
        <f t="shared" si="14"/>
        <v/>
      </c>
      <c r="AU217" s="11"/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9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2" t="str">
        <f t="array" ref="G218">IF($B218="","",IF(INDEX(SchedZone,MATCH($A218,SchedSeq,0),MAP!$B$14)="Neutral","Y",""))</f>
        <v/>
      </c>
      <c r="H218" s="2" t="str">
        <f t="array" ref="H218">IF($B218="","",INDEX(SchedZone,MATCH($A218,SchedSeq,0),MAP!$B$17))</f>
        <v/>
      </c>
      <c r="I218" s="2" t="str">
        <f>IF(OR($B218="",$C218&lt;&gt;CurrentWeek),"",COUNTIF($C$5:$C218,CurrentWeek))</f>
        <v/>
      </c>
      <c r="J218" s="2">
        <f t="array" ref="J218">IF($B218="","",IFERROR(INDEX(RatEff,MATCH($E218,RatTeams,0)),"⚠ TEAM NOT FOUND"))</f>
        <v>3.22</v>
      </c>
      <c r="K218" s="2">
        <f t="array" ref="K218">IF($B218="","",IFERROR(INDEX(RatEff,MATCH($F218,RatTeams,0)),"⚠ TEAM NOT FOUND"))</f>
        <v>2.71</v>
      </c>
      <c r="L218" s="2">
        <f t="shared" si="1"/>
        <v>-0.51</v>
      </c>
      <c r="M218" s="2">
        <f t="array" ref="M218">IF($B218="","",IF($G218="Y",NeutralHFA,IFERROR(INDEX(HFAexcVal,MATCH($F218,HFAexcTeam,0)),HFA_Base)))</f>
        <v>1.6</v>
      </c>
      <c r="N218" s="2">
        <f t="array" ref="N218">IF($B218="","",IFERROR(INDEX(QBSpreadEff,MATCH($F218,QBTeams,0)),0)-IFERROR(INDEX(QBSpreadEff,MATCH($E218,QBTeams,0)),0))</f>
        <v>0</v>
      </c>
      <c r="O218" s="2">
        <f t="array" ref="O218">IF($B218="","",IFERROR(MEDIAN(-RestCapPts,RestCapPts,RestPerDay*(INDEX(SchedZone,MATCH($A218,SchedSeq,0),MAP!$B$16)-INDEX(SchedZone,MATCH($A218,SchedSeq,0),MAP!$B$15))),0))</f>
        <v>0.1</v>
      </c>
      <c r="P218" s="2">
        <f>IF($B218="","",SUMIFS(AdjSpread,AdjGameID,$B218,AdjTeam,$F218,AdjActive,1)-SUMIFS(AdjSpread,AdjGameID,$B218,AdjTeam,$E218,AdjActive,1))</f>
        <v>0</v>
      </c>
      <c r="Q218" s="2">
        <f t="shared" si="2"/>
        <v>1.19</v>
      </c>
      <c r="R218" s="11"/>
      <c r="S218" s="2">
        <f t="shared" si="3"/>
        <v>1.19</v>
      </c>
      <c r="T218" s="2" t="str">
        <f t="shared" si="4"/>
        <v>HOU -1.2</v>
      </c>
      <c r="U218" s="2" t="str">
        <f t="array" ref="U218">IF($B218="","",IFERROR(INDEX(MktHomeSpread,MATCH($B218,MktGameID,0)),""))</f>
        <v/>
      </c>
      <c r="V218" s="2" t="str">
        <f t="shared" si="5"/>
        <v/>
      </c>
      <c r="W218" s="2" t="str">
        <f t="shared" si="6"/>
        <v/>
      </c>
      <c r="X218" s="2" t="str">
        <f t="shared" si="7"/>
        <v/>
      </c>
      <c r="Y218" s="2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2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2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2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2">
        <f t="array" ref="AC218">IF($B218="","",IFERROR(INDEX(QBTotEff,MATCH($F218,QBTeams,0)),0)+IFERROR(INDEX(QBTotEff,MATCH($E218,QBTeams,0)),0))</f>
        <v>0</v>
      </c>
      <c r="AD218" s="2">
        <f>IF($B218="","",SUMIFS(AdjTot,AdjGameID,$B218,AdjActive,1))</f>
        <v>0</v>
      </c>
      <c r="AE218" s="2">
        <f t="shared" si="8"/>
        <v>0</v>
      </c>
      <c r="AF218" s="11"/>
      <c r="AG218" s="2">
        <f t="shared" si="9"/>
        <v>0</v>
      </c>
      <c r="AH218" s="2" t="str">
        <f t="array" ref="AH218">IF($B218="","",IFERROR(INDEX(MktTotal,MATCH($B218,MktGameID,0)),""))</f>
        <v/>
      </c>
      <c r="AI218" s="2" t="str">
        <f t="shared" si="10"/>
        <v/>
      </c>
      <c r="AJ218" s="2" t="str">
        <f t="shared" si="11"/>
        <v/>
      </c>
      <c r="AK218" s="2" t="str">
        <f t="shared" si="12"/>
        <v/>
      </c>
      <c r="AL218" s="2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2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2" t="str">
        <f>IF($AG218="","","BET OVER at ≤ "&amp;TEXT($AG218-BetTot,"0.0")&amp;"  |  BET UNDER at ≥ "&amp;TEXT($AG218+BetTot,"0.0"))</f>
        <v>BET OVER at ≤ -3.0  |  BET UNDER at ≥ 3.0</v>
      </c>
      <c r="AO218" s="2" t="str">
        <f t="array" ref="AO218">IF($B218="","",IF(OR(IFERROR(INDEX(QBFlag,MATCH($F218,QBTeams,0)),1)=1,IFERROR(INDEX(QBFlag,MATCH($E218,QBTeams,0)),1)=1),"QB UNCERTAIN",""))</f>
        <v/>
      </c>
      <c r="AP218" s="2" t="str">
        <f t="array" ref="AP218">IF($B218="","",IFERROR(INDEX(DQStatus,MATCH($B218,DQGameID,0)),"BLOCKED — DQ ROW NOT FOUND"))</f>
        <v>READY</v>
      </c>
      <c r="AQ218" s="2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2" t="str">
        <f t="shared" si="13"/>
        <v/>
      </c>
      <c r="AS218" s="2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2" t="str">
        <f t="shared" si="14"/>
        <v/>
      </c>
      <c r="AU218" s="11"/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9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2" t="str">
        <f t="array" ref="G219">IF($B219="","",IF(INDEX(SchedZone,MATCH($A219,SchedSeq,0),MAP!$B$14)="Neutral","Y",""))</f>
        <v/>
      </c>
      <c r="H219" s="2" t="str">
        <f t="array" ref="H219">IF($B219="","",INDEX(SchedZone,MATCH($A219,SchedSeq,0),MAP!$B$17))</f>
        <v>outdoors</v>
      </c>
      <c r="I219" s="2" t="str">
        <f>IF(OR($B219="",$C219&lt;&gt;CurrentWeek),"",COUNTIF($C$5:$C219,CurrentWeek))</f>
        <v/>
      </c>
      <c r="J219" s="2">
        <f t="array" ref="J219">IF($B219="","",IFERROR(INDEX(RatEff,MATCH($E219,RatTeams,0)),"⚠ TEAM NOT FOUND"))</f>
        <v>-2.6</v>
      </c>
      <c r="K219" s="2">
        <f t="array" ref="K219">IF($B219="","",IFERROR(INDEX(RatEff,MATCH($F219,RatTeams,0)),"⚠ TEAM NOT FOUND"))</f>
        <v>-1.59</v>
      </c>
      <c r="L219" s="2">
        <f t="shared" si="1"/>
        <v>1.01</v>
      </c>
      <c r="M219" s="2">
        <f t="array" ref="M219">IF($B219="","",IF($G219="Y",NeutralHFA,IFERROR(INDEX(HFAexcVal,MATCH($F219,HFAexcTeam,0)),HFA_Base)))</f>
        <v>1.6</v>
      </c>
      <c r="N219" s="2">
        <f t="array" ref="N219">IF($B219="","",IFERROR(INDEX(QBSpreadEff,MATCH($F219,QBTeams,0)),0)-IFERROR(INDEX(QBSpreadEff,MATCH($E219,QBTeams,0)),0))</f>
        <v>0</v>
      </c>
      <c r="O219" s="2">
        <f t="array" ref="O219">IF($B219="","",IFERROR(MEDIAN(-RestCapPts,RestCapPts,RestPerDay*(INDEX(SchedZone,MATCH($A219,SchedSeq,0),MAP!$B$16)-INDEX(SchedZone,MATCH($A219,SchedSeq,0),MAP!$B$15))),0))</f>
        <v>0</v>
      </c>
      <c r="P219" s="2">
        <f>IF($B219="","",SUMIFS(AdjSpread,AdjGameID,$B219,AdjTeam,$F219,AdjActive,1)-SUMIFS(AdjSpread,AdjGameID,$B219,AdjTeam,$E219,AdjActive,1))</f>
        <v>0</v>
      </c>
      <c r="Q219" s="2">
        <f t="shared" si="2"/>
        <v>2.61</v>
      </c>
      <c r="R219" s="11"/>
      <c r="S219" s="2">
        <f t="shared" si="3"/>
        <v>2.61</v>
      </c>
      <c r="T219" s="2" t="str">
        <f t="shared" si="4"/>
        <v>NYG -2.6</v>
      </c>
      <c r="U219" s="2" t="str">
        <f t="array" ref="U219">IF($B219="","",IFERROR(INDEX(MktHomeSpread,MATCH($B219,MktGameID,0)),""))</f>
        <v/>
      </c>
      <c r="V219" s="2" t="str">
        <f t="shared" si="5"/>
        <v/>
      </c>
      <c r="W219" s="2" t="str">
        <f t="shared" si="6"/>
        <v/>
      </c>
      <c r="X219" s="2" t="str">
        <f t="shared" si="7"/>
        <v/>
      </c>
      <c r="Y219" s="2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2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2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2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2">
        <f t="array" ref="AC219">IF($B219="","",IFERROR(INDEX(QBTotEff,MATCH($F219,QBTeams,0)),0)+IFERROR(INDEX(QBTotEff,MATCH($E219,QBTeams,0)),0))</f>
        <v>0</v>
      </c>
      <c r="AD219" s="2">
        <f>IF($B219="","",SUMIFS(AdjTot,AdjGameID,$B219,AdjActive,1))</f>
        <v>0</v>
      </c>
      <c r="AE219" s="2">
        <f t="shared" si="8"/>
        <v>0</v>
      </c>
      <c r="AF219" s="11"/>
      <c r="AG219" s="2">
        <f t="shared" si="9"/>
        <v>0</v>
      </c>
      <c r="AH219" s="2" t="str">
        <f t="array" ref="AH219">IF($B219="","",IFERROR(INDEX(MktTotal,MATCH($B219,MktGameID,0)),""))</f>
        <v/>
      </c>
      <c r="AI219" s="2" t="str">
        <f t="shared" si="10"/>
        <v/>
      </c>
      <c r="AJ219" s="2" t="str">
        <f t="shared" si="11"/>
        <v/>
      </c>
      <c r="AK219" s="2" t="str">
        <f t="shared" si="12"/>
        <v/>
      </c>
      <c r="AL219" s="2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Low</v>
      </c>
      <c r="AM219" s="2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2" t="str">
        <f>IF($AG219="","","BET OVER at ≤ "&amp;TEXT($AG219-BetTot,"0.0")&amp;"  |  BET UNDER at ≥ "&amp;TEXT($AG219+BetTot,"0.0"))</f>
        <v>BET OVER at ≤ -3.0  |  BET UNDER at ≥ 3.0</v>
      </c>
      <c r="AO219" s="2" t="str">
        <f t="array" ref="AO219">IF($B219="","",IF(OR(IFERROR(INDEX(QBFlag,MATCH($F219,QBTeams,0)),1)=1,IFERROR(INDEX(QBFlag,MATCH($E219,QBTeams,0)),1)=1),"QB UNCERTAIN",""))</f>
        <v>QB UNCERTAIN</v>
      </c>
      <c r="AP219" s="2" t="str">
        <f t="array" ref="AP219">IF($B219="","",IFERROR(INDEX(DQStatus,MATCH($B219,DQGameID,0)),"BLOCKED — DQ ROW NOT FOUND"))</f>
        <v>READY</v>
      </c>
      <c r="AQ219" s="2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2" t="str">
        <f t="shared" si="13"/>
        <v/>
      </c>
      <c r="AS219" s="2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2" t="str">
        <f t="shared" si="14"/>
        <v/>
      </c>
      <c r="AU219" s="11"/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9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2" t="str">
        <f t="array" ref="G220">IF($B220="","",IF(INDEX(SchedZone,MATCH($A220,SchedSeq,0),MAP!$B$14)="Neutral","Y",""))</f>
        <v/>
      </c>
      <c r="H220" s="2" t="str">
        <f t="array" ref="H220">IF($B220="","",INDEX(SchedZone,MATCH($A220,SchedSeq,0),MAP!$B$17))</f>
        <v>outdoors</v>
      </c>
      <c r="I220" s="2" t="str">
        <f>IF(OR($B220="",$C220&lt;&gt;CurrentWeek),"",COUNTIF($C$5:$C220,CurrentWeek))</f>
        <v/>
      </c>
      <c r="J220" s="2">
        <f t="array" ref="J220">IF($B220="","",IFERROR(INDEX(RatEff,MATCH($E220,RatTeams,0)),"⚠ TEAM NOT FOUND"))</f>
        <v>0.92</v>
      </c>
      <c r="K220" s="2">
        <f t="array" ref="K220">IF($B220="","",IFERROR(INDEX(RatEff,MATCH($F220,RatTeams,0)),"⚠ TEAM NOT FOUND"))</f>
        <v>0.66</v>
      </c>
      <c r="L220" s="2">
        <f t="shared" si="1"/>
        <v>-0.26</v>
      </c>
      <c r="M220" s="2">
        <f t="array" ref="M220">IF($B220="","",IF($G220="Y",NeutralHFA,IFERROR(INDEX(HFAexcVal,MATCH($F220,HFAexcTeam,0)),HFA_Base)))</f>
        <v>1.6</v>
      </c>
      <c r="N220" s="2">
        <f t="array" ref="N220">IF($B220="","",IFERROR(INDEX(QBSpreadEff,MATCH($F220,QBTeams,0)),0)-IFERROR(INDEX(QBSpreadEff,MATCH($E220,QBTeams,0)),0))</f>
        <v>0</v>
      </c>
      <c r="O220" s="2">
        <f t="array" ref="O220">IF($B220="","",IFERROR(MEDIAN(-RestCapPts,RestCapPts,RestPerDay*(INDEX(SchedZone,MATCH($A220,SchedSeq,0),MAP!$B$16)-INDEX(SchedZone,MATCH($A220,SchedSeq,0),MAP!$B$15))),0))</f>
        <v>-0.1</v>
      </c>
      <c r="P220" s="2">
        <f>IF($B220="","",SUMIFS(AdjSpread,AdjGameID,$B220,AdjTeam,$F220,AdjActive,1)-SUMIFS(AdjSpread,AdjGameID,$B220,AdjTeam,$E220,AdjActive,1))</f>
        <v>0</v>
      </c>
      <c r="Q220" s="2">
        <f t="shared" si="2"/>
        <v>1.24</v>
      </c>
      <c r="R220" s="11"/>
      <c r="S220" s="2">
        <f t="shared" si="3"/>
        <v>1.24</v>
      </c>
      <c r="T220" s="2" t="str">
        <f t="shared" si="4"/>
        <v>PIT -1.2</v>
      </c>
      <c r="U220" s="2" t="str">
        <f t="array" ref="U220">IF($B220="","",IFERROR(INDEX(MktHomeSpread,MATCH($B220,MktGameID,0)),""))</f>
        <v/>
      </c>
      <c r="V220" s="2" t="str">
        <f t="shared" si="5"/>
        <v/>
      </c>
      <c r="W220" s="2" t="str">
        <f t="shared" si="6"/>
        <v/>
      </c>
      <c r="X220" s="2" t="str">
        <f t="shared" si="7"/>
        <v/>
      </c>
      <c r="Y220" s="2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2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2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2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2">
        <f t="array" ref="AC220">IF($B220="","",IFERROR(INDEX(QBTotEff,MATCH($F220,QBTeams,0)),0)+IFERROR(INDEX(QBTotEff,MATCH($E220,QBTeams,0)),0))</f>
        <v>0</v>
      </c>
      <c r="AD220" s="2">
        <f>IF($B220="","",SUMIFS(AdjTot,AdjGameID,$B220,AdjActive,1))</f>
        <v>0</v>
      </c>
      <c r="AE220" s="2">
        <f t="shared" si="8"/>
        <v>0</v>
      </c>
      <c r="AF220" s="11"/>
      <c r="AG220" s="2">
        <f t="shared" si="9"/>
        <v>0</v>
      </c>
      <c r="AH220" s="2" t="str">
        <f t="array" ref="AH220">IF($B220="","",IFERROR(INDEX(MktTotal,MATCH($B220,MktGameID,0)),""))</f>
        <v/>
      </c>
      <c r="AI220" s="2" t="str">
        <f t="shared" si="10"/>
        <v/>
      </c>
      <c r="AJ220" s="2" t="str">
        <f t="shared" si="11"/>
        <v/>
      </c>
      <c r="AK220" s="2" t="str">
        <f t="shared" si="12"/>
        <v/>
      </c>
      <c r="AL220" s="2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2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2" t="str">
        <f>IF($AG220="","","BET OVER at ≤ "&amp;TEXT($AG220-BetTot,"0.0")&amp;"  |  BET UNDER at ≥ "&amp;TEXT($AG220+BetTot,"0.0"))</f>
        <v>BET OVER at ≤ -3.0  |  BET UNDER at ≥ 3.0</v>
      </c>
      <c r="AO220" s="2" t="str">
        <f t="array" ref="AO220">IF($B220="","",IF(OR(IFERROR(INDEX(QBFlag,MATCH($F220,QBTeams,0)),1)=1,IFERROR(INDEX(QBFlag,MATCH($E220,QBTeams,0)),1)=1),"QB UNCERTAIN",""))</f>
        <v/>
      </c>
      <c r="AP220" s="2" t="str">
        <f t="array" ref="AP220">IF($B220="","",IFERROR(INDEX(DQStatus,MATCH($B220,DQGameID,0)),"BLOCKED — DQ ROW NOT FOUND"))</f>
        <v>READY</v>
      </c>
      <c r="AQ220" s="2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2" t="str">
        <f t="shared" si="13"/>
        <v/>
      </c>
      <c r="AS220" s="2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2" t="str">
        <f t="shared" si="14"/>
        <v/>
      </c>
      <c r="AU220" s="11"/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9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2" t="str">
        <f t="array" ref="G221">IF($B221="","",IF(INDEX(SchedZone,MATCH($A221,SchedSeq,0),MAP!$B$14)="Neutral","Y",""))</f>
        <v/>
      </c>
      <c r="H221" s="2" t="str">
        <f t="array" ref="H221">IF($B221="","",INDEX(SchedZone,MATCH($A221,SchedSeq,0),MAP!$B$17))</f>
        <v>outdoors</v>
      </c>
      <c r="I221" s="2" t="str">
        <f>IF(OR($B221="",$C221&lt;&gt;CurrentWeek),"",COUNTIF($C$5:$C221,CurrentWeek))</f>
        <v/>
      </c>
      <c r="J221" s="2">
        <f t="array" ref="J221">IF($B221="","",IFERROR(INDEX(RatEff,MATCH($E221,RatTeams,0)),"⚠ TEAM NOT FOUND"))</f>
        <v>-0.94</v>
      </c>
      <c r="K221" s="2">
        <f t="array" ref="K221">IF($B221="","",IFERROR(INDEX(RatEff,MATCH($F221,RatTeams,0)),"⚠ TEAM NOT FOUND"))</f>
        <v>-0.48</v>
      </c>
      <c r="L221" s="2">
        <f t="shared" si="1"/>
        <v>0.46</v>
      </c>
      <c r="M221" s="2">
        <f t="array" ref="M221">IF($B221="","",IF($G221="Y",NeutralHFA,IFERROR(INDEX(HFAexcVal,MATCH($F221,HFAexcTeam,0)),HFA_Base)))</f>
        <v>1.6</v>
      </c>
      <c r="N221" s="2">
        <f t="array" ref="N221">IF($B221="","",IFERROR(INDEX(QBSpreadEff,MATCH($F221,QBTeams,0)),0)-IFERROR(INDEX(QBSpreadEff,MATCH($E221,QBTeams,0)),0))</f>
        <v>0</v>
      </c>
      <c r="O221" s="2">
        <f t="array" ref="O221">IF($B221="","",IFERROR(MEDIAN(-RestCapPts,RestCapPts,RestPerDay*(INDEX(SchedZone,MATCH($A221,SchedSeq,0),MAP!$B$16)-INDEX(SchedZone,MATCH($A221,SchedSeq,0),MAP!$B$15))),0))</f>
        <v>0</v>
      </c>
      <c r="P221" s="2">
        <f>IF($B221="","",SUMIFS(AdjSpread,AdjGameID,$B221,AdjTeam,$F221,AdjActive,1)-SUMIFS(AdjSpread,AdjGameID,$B221,AdjTeam,$E221,AdjActive,1))</f>
        <v>0</v>
      </c>
      <c r="Q221" s="2">
        <f t="shared" si="2"/>
        <v>2.06</v>
      </c>
      <c r="R221" s="11"/>
      <c r="S221" s="2">
        <f t="shared" si="3"/>
        <v>2.06</v>
      </c>
      <c r="T221" s="2" t="str">
        <f t="shared" si="4"/>
        <v>TB -2.1</v>
      </c>
      <c r="U221" s="2" t="str">
        <f t="array" ref="U221">IF($B221="","",IFERROR(INDEX(MktHomeSpread,MATCH($B221,MktGameID,0)),""))</f>
        <v/>
      </c>
      <c r="V221" s="2" t="str">
        <f t="shared" si="5"/>
        <v/>
      </c>
      <c r="W221" s="2" t="str">
        <f t="shared" si="6"/>
        <v/>
      </c>
      <c r="X221" s="2" t="str">
        <f t="shared" si="7"/>
        <v/>
      </c>
      <c r="Y221" s="2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2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2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2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2">
        <f t="array" ref="AC221">IF($B221="","",IFERROR(INDEX(QBTotEff,MATCH($F221,QBTeams,0)),0)+IFERROR(INDEX(QBTotEff,MATCH($E221,QBTeams,0)),0))</f>
        <v>0</v>
      </c>
      <c r="AD221" s="2">
        <f>IF($B221="","",SUMIFS(AdjTot,AdjGameID,$B221,AdjActive,1))</f>
        <v>0</v>
      </c>
      <c r="AE221" s="2">
        <f t="shared" si="8"/>
        <v>0</v>
      </c>
      <c r="AF221" s="11"/>
      <c r="AG221" s="2">
        <f t="shared" si="9"/>
        <v>0</v>
      </c>
      <c r="AH221" s="2" t="str">
        <f t="array" ref="AH221">IF($B221="","",IFERROR(INDEX(MktTotal,MATCH($B221,MktGameID,0)),""))</f>
        <v/>
      </c>
      <c r="AI221" s="2" t="str">
        <f t="shared" si="10"/>
        <v/>
      </c>
      <c r="AJ221" s="2" t="str">
        <f t="shared" si="11"/>
        <v/>
      </c>
      <c r="AK221" s="2" t="str">
        <f t="shared" si="12"/>
        <v/>
      </c>
      <c r="AL221" s="2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2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2" t="str">
        <f>IF($AG221="","","BET OVER at ≤ "&amp;TEXT($AG221-BetTot,"0.0")&amp;"  |  BET UNDER at ≥ "&amp;TEXT($AG221+BetTot,"0.0"))</f>
        <v>BET OVER at ≤ -3.0  |  BET UNDER at ≥ 3.0</v>
      </c>
      <c r="AO221" s="2" t="str">
        <f t="array" ref="AO221">IF($B221="","",IF(OR(IFERROR(INDEX(QBFlag,MATCH($F221,QBTeams,0)),1)=1,IFERROR(INDEX(QBFlag,MATCH($E221,QBTeams,0)),1)=1),"QB UNCERTAIN",""))</f>
        <v/>
      </c>
      <c r="AP221" s="2" t="str">
        <f t="array" ref="AP221">IF($B221="","",IFERROR(INDEX(DQStatus,MATCH($B221,DQGameID,0)),"BLOCKED — DQ ROW NOT FOUND"))</f>
        <v>READY</v>
      </c>
      <c r="AQ221" s="2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2" t="str">
        <f t="shared" si="13"/>
        <v/>
      </c>
      <c r="AS221" s="2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2" t="str">
        <f t="shared" si="14"/>
        <v/>
      </c>
      <c r="AU221" s="11"/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9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2" t="str">
        <f t="array" ref="G222">IF($B222="","",IF(INDEX(SchedZone,MATCH($A222,SchedSeq,0),MAP!$B$14)="Neutral","Y",""))</f>
        <v/>
      </c>
      <c r="H222" s="2" t="str">
        <f t="array" ref="H222">IF($B222="","",INDEX(SchedZone,MATCH($A222,SchedSeq,0),MAP!$B$17))</f>
        <v>outdoors</v>
      </c>
      <c r="I222" s="2" t="str">
        <f>IF(OR($B222="",$C222&lt;&gt;CurrentWeek),"",COUNTIF($C$5:$C222,CurrentWeek))</f>
        <v/>
      </c>
      <c r="J222" s="2">
        <f t="array" ref="J222">IF($B222="","",IFERROR(INDEX(RatEff,MATCH($E222,RatTeams,0)),"⚠ TEAM NOT FOUND"))</f>
        <v>0.82</v>
      </c>
      <c r="K222" s="2">
        <f t="array" ref="K222">IF($B222="","",IFERROR(INDEX(RatEff,MATCH($F222,RatTeams,0)),"⚠ TEAM NOT FOUND"))</f>
        <v>-3.14</v>
      </c>
      <c r="L222" s="2">
        <f t="shared" si="1"/>
        <v>-3.96</v>
      </c>
      <c r="M222" s="2">
        <f t="array" ref="M222">IF($B222="","",IF($G222="Y",NeutralHFA,IFERROR(INDEX(HFAexcVal,MATCH($F222,HFAexcTeam,0)),HFA_Base)))</f>
        <v>1.6</v>
      </c>
      <c r="N222" s="2">
        <f t="array" ref="N222">IF($B222="","",IFERROR(INDEX(QBSpreadEff,MATCH($F222,QBTeams,0)),0)-IFERROR(INDEX(QBSpreadEff,MATCH($E222,QBTeams,0)),0))</f>
        <v>0</v>
      </c>
      <c r="O222" s="2">
        <f t="array" ref="O222">IF($B222="","",IFERROR(MEDIAN(-RestCapPts,RestCapPts,RestPerDay*(INDEX(SchedZone,MATCH($A222,SchedSeq,0),MAP!$B$16)-INDEX(SchedZone,MATCH($A222,SchedSeq,0),MAP!$B$15))),0))</f>
        <v>0</v>
      </c>
      <c r="P222" s="2">
        <f>IF($B222="","",SUMIFS(AdjSpread,AdjGameID,$B222,AdjTeam,$F222,AdjActive,1)-SUMIFS(AdjSpread,AdjGameID,$B222,AdjTeam,$E222,AdjActive,1))</f>
        <v>0</v>
      </c>
      <c r="Q222" s="2">
        <f t="shared" si="2"/>
        <v>-2.36</v>
      </c>
      <c r="R222" s="11"/>
      <c r="S222" s="2">
        <f t="shared" si="3"/>
        <v>-2.36</v>
      </c>
      <c r="T222" s="2" t="str">
        <f t="shared" si="4"/>
        <v>IND -2.4</v>
      </c>
      <c r="U222" s="2" t="str">
        <f t="array" ref="U222">IF($B222="","",IFERROR(INDEX(MktHomeSpread,MATCH($B222,MktGameID,0)),""))</f>
        <v/>
      </c>
      <c r="V222" s="2" t="str">
        <f t="shared" si="5"/>
        <v/>
      </c>
      <c r="W222" s="2" t="str">
        <f t="shared" si="6"/>
        <v/>
      </c>
      <c r="X222" s="2" t="str">
        <f t="shared" si="7"/>
        <v/>
      </c>
      <c r="Y222" s="2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2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2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2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2">
        <f t="array" ref="AC222">IF($B222="","",IFERROR(INDEX(QBTotEff,MATCH($F222,QBTeams,0)),0)+IFERROR(INDEX(QBTotEff,MATCH($E222,QBTeams,0)),0))</f>
        <v>0</v>
      </c>
      <c r="AD222" s="2">
        <f>IF($B222="","",SUMIFS(AdjTot,AdjGameID,$B222,AdjActive,1))</f>
        <v>0</v>
      </c>
      <c r="AE222" s="2">
        <f t="shared" si="8"/>
        <v>0</v>
      </c>
      <c r="AF222" s="11"/>
      <c r="AG222" s="2">
        <f t="shared" si="9"/>
        <v>0</v>
      </c>
      <c r="AH222" s="2" t="str">
        <f t="array" ref="AH222">IF($B222="","",IFERROR(INDEX(MktTotal,MATCH($B222,MktGameID,0)),""))</f>
        <v/>
      </c>
      <c r="AI222" s="2" t="str">
        <f t="shared" si="10"/>
        <v/>
      </c>
      <c r="AJ222" s="2" t="str">
        <f t="shared" si="11"/>
        <v/>
      </c>
      <c r="AK222" s="2" t="str">
        <f t="shared" si="12"/>
        <v/>
      </c>
      <c r="AL222" s="2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2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2" t="str">
        <f>IF($AG222="","","BET OVER at ≤ "&amp;TEXT($AG222-BetTot,"0.0")&amp;"  |  BET UNDER at ≥ "&amp;TEXT($AG222+BetTot,"0.0"))</f>
        <v>BET OVER at ≤ -3.0  |  BET UNDER at ≥ 3.0</v>
      </c>
      <c r="AO222" s="2" t="str">
        <f t="array" ref="AO222">IF($B222="","",IF(OR(IFERROR(INDEX(QBFlag,MATCH($F222,QBTeams,0)),1)=1,IFERROR(INDEX(QBFlag,MATCH($E222,QBTeams,0)),1)=1),"QB UNCERTAIN",""))</f>
        <v/>
      </c>
      <c r="AP222" s="2" t="str">
        <f t="array" ref="AP222">IF($B222="","",IFERROR(INDEX(DQStatus,MATCH($B222,DQGameID,0)),"BLOCKED — DQ ROW NOT FOUND"))</f>
        <v>READY</v>
      </c>
      <c r="AQ222" s="2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2" t="str">
        <f t="shared" si="13"/>
        <v/>
      </c>
      <c r="AS222" s="2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2" t="str">
        <f t="shared" si="14"/>
        <v/>
      </c>
      <c r="AU222" s="11"/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9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2" t="str">
        <f t="array" ref="G223">IF($B223="","",IF(INDEX(SchedZone,MATCH($A223,SchedSeq,0),MAP!$B$14)="Neutral","Y",""))</f>
        <v/>
      </c>
      <c r="H223" s="2" t="str">
        <f t="array" ref="H223">IF($B223="","",INDEX(SchedZone,MATCH($A223,SchedSeq,0),MAP!$B$17))</f>
        <v>outdoors</v>
      </c>
      <c r="I223" s="2" t="str">
        <f>IF(OR($B223="",$C223&lt;&gt;CurrentWeek),"",COUNTIF($C$5:$C223,CurrentWeek))</f>
        <v/>
      </c>
      <c r="J223" s="2">
        <f t="array" ref="J223">IF($B223="","",IFERROR(INDEX(RatEff,MATCH($E223,RatTeams,0)),"⚠ TEAM NOT FOUND"))</f>
        <v>-0.06</v>
      </c>
      <c r="K223" s="2">
        <f t="array" ref="K223">IF($B223="","",IFERROR(INDEX(RatEff,MATCH($F223,RatTeams,0)),"⚠ TEAM NOT FOUND"))</f>
        <v>-2.02</v>
      </c>
      <c r="L223" s="2">
        <f t="shared" si="1"/>
        <v>-1.96</v>
      </c>
      <c r="M223" s="2">
        <f t="array" ref="M223">IF($B223="","",IF($G223="Y",NeutralHFA,IFERROR(INDEX(HFAexcVal,MATCH($F223,HFAexcTeam,0)),HFA_Base)))</f>
        <v>1.6</v>
      </c>
      <c r="N223" s="2">
        <f t="array" ref="N223">IF($B223="","",IFERROR(INDEX(QBSpreadEff,MATCH($F223,QBTeams,0)),0)-IFERROR(INDEX(QBSpreadEff,MATCH($E223,QBTeams,0)),0))</f>
        <v>0</v>
      </c>
      <c r="O223" s="2">
        <f t="array" ref="O223">IF($B223="","",IFERROR(MEDIAN(-RestCapPts,RestCapPts,RestPerDay*(INDEX(SchedZone,MATCH($A223,SchedSeq,0),MAP!$B$16)-INDEX(SchedZone,MATCH($A223,SchedSeq,0),MAP!$B$15))),0))</f>
        <v>0</v>
      </c>
      <c r="P223" s="2">
        <f>IF($B223="","",SUMIFS(AdjSpread,AdjGameID,$B223,AdjTeam,$F223,AdjActive,1)-SUMIFS(AdjSpread,AdjGameID,$B223,AdjTeam,$E223,AdjActive,1))</f>
        <v>0</v>
      </c>
      <c r="Q223" s="2">
        <f t="shared" si="2"/>
        <v>-0.36</v>
      </c>
      <c r="R223" s="11"/>
      <c r="S223" s="2">
        <f t="shared" si="3"/>
        <v>-0.36</v>
      </c>
      <c r="T223" s="2" t="str">
        <f t="shared" si="4"/>
        <v>ATL -0.4</v>
      </c>
      <c r="U223" s="2" t="str">
        <f t="array" ref="U223">IF($B223="","",IFERROR(INDEX(MktHomeSpread,MATCH($B223,MktGameID,0)),""))</f>
        <v/>
      </c>
      <c r="V223" s="2" t="str">
        <f t="shared" si="5"/>
        <v/>
      </c>
      <c r="W223" s="2" t="str">
        <f t="shared" si="6"/>
        <v/>
      </c>
      <c r="X223" s="2" t="str">
        <f t="shared" si="7"/>
        <v/>
      </c>
      <c r="Y223" s="2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2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2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2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2">
        <f t="array" ref="AC223">IF($B223="","",IFERROR(INDEX(QBTotEff,MATCH($F223,QBTeams,0)),0)+IFERROR(INDEX(QBTotEff,MATCH($E223,QBTeams,0)),0))</f>
        <v>0</v>
      </c>
      <c r="AD223" s="2">
        <f>IF($B223="","",SUMIFS(AdjTot,AdjGameID,$B223,AdjActive,1))</f>
        <v>0</v>
      </c>
      <c r="AE223" s="2">
        <f t="shared" si="8"/>
        <v>0</v>
      </c>
      <c r="AF223" s="11"/>
      <c r="AG223" s="2">
        <f t="shared" si="9"/>
        <v>0</v>
      </c>
      <c r="AH223" s="2" t="str">
        <f t="array" ref="AH223">IF($B223="","",IFERROR(INDEX(MktTotal,MATCH($B223,MktGameID,0)),""))</f>
        <v/>
      </c>
      <c r="AI223" s="2" t="str">
        <f t="shared" si="10"/>
        <v/>
      </c>
      <c r="AJ223" s="2" t="str">
        <f t="shared" si="11"/>
        <v/>
      </c>
      <c r="AK223" s="2" t="str">
        <f t="shared" si="12"/>
        <v/>
      </c>
      <c r="AL223" s="2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2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2" t="str">
        <f>IF($AG223="","","BET OVER at ≤ "&amp;TEXT($AG223-BetTot,"0.0")&amp;"  |  BET UNDER at ≥ "&amp;TEXT($AG223+BetTot,"0.0"))</f>
        <v>BET OVER at ≤ -3.0  |  BET UNDER at ≥ 3.0</v>
      </c>
      <c r="AO223" s="2" t="str">
        <f t="array" ref="AO223">IF($B223="","",IF(OR(IFERROR(INDEX(QBFlag,MATCH($F223,QBTeams,0)),1)=1,IFERROR(INDEX(QBFlag,MATCH($E223,QBTeams,0)),1)=1),"QB UNCERTAIN",""))</f>
        <v>QB UNCERTAIN</v>
      </c>
      <c r="AP223" s="2" t="str">
        <f t="array" ref="AP223">IF($B223="","",IFERROR(INDEX(DQStatus,MATCH($B223,DQGameID,0)),"BLOCKED — DQ ROW NOT FOUND"))</f>
        <v>READY</v>
      </c>
      <c r="AQ223" s="2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2" t="str">
        <f t="shared" si="13"/>
        <v/>
      </c>
      <c r="AS223" s="2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2" t="str">
        <f t="shared" si="14"/>
        <v/>
      </c>
      <c r="AU223" s="11"/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9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2" t="str">
        <f t="array" ref="G224">IF($B224="","",IF(INDEX(SchedZone,MATCH($A224,SchedSeq,0),MAP!$B$14)="Neutral","Y",""))</f>
        <v/>
      </c>
      <c r="H224" s="2" t="str">
        <f t="array" ref="H224">IF($B224="","",INDEX(SchedZone,MATCH($A224,SchedSeq,0),MAP!$B$17))</f>
        <v/>
      </c>
      <c r="I224" s="2" t="str">
        <f>IF(OR($B224="",$C224&lt;&gt;CurrentWeek),"",COUNTIF($C$5:$C224,CurrentWeek))</f>
        <v/>
      </c>
      <c r="J224" s="2">
        <f t="array" ref="J224">IF($B224="","",IFERROR(INDEX(RatEff,MATCH($E224,RatTeams,0)),"⚠ TEAM NOT FOUND"))</f>
        <v>-4.67</v>
      </c>
      <c r="K224" s="2">
        <f t="array" ref="K224">IF($B224="","",IFERROR(INDEX(RatEff,MATCH($F224,RatTeams,0)),"⚠ TEAM NOT FOUND"))</f>
        <v>-2.07</v>
      </c>
      <c r="L224" s="2">
        <f t="shared" si="1"/>
        <v>2.6</v>
      </c>
      <c r="M224" s="2">
        <f t="array" ref="M224">IF($B224="","",IF($G224="Y",NeutralHFA,IFERROR(INDEX(HFAexcVal,MATCH($F224,HFAexcTeam,0)),HFA_Base)))</f>
        <v>1.6</v>
      </c>
      <c r="N224" s="2">
        <f t="array" ref="N224">IF($B224="","",IFERROR(INDEX(QBSpreadEff,MATCH($F224,QBTeams,0)),0)-IFERROR(INDEX(QBSpreadEff,MATCH($E224,QBTeams,0)),0))</f>
        <v>0</v>
      </c>
      <c r="O224" s="2">
        <f t="array" ref="O224">IF($B224="","",IFERROR(MEDIAN(-RestCapPts,RestCapPts,RestPerDay*(INDEX(SchedZone,MATCH($A224,SchedSeq,0),MAP!$B$16)-INDEX(SchedZone,MATCH($A224,SchedSeq,0),MAP!$B$15))),0))</f>
        <v>0.7</v>
      </c>
      <c r="P224" s="2">
        <f>IF($B224="","",SUMIFS(AdjSpread,AdjGameID,$B224,AdjTeam,$F224,AdjActive,1)-SUMIFS(AdjSpread,AdjGameID,$B224,AdjTeam,$E224,AdjActive,1))</f>
        <v>0</v>
      </c>
      <c r="Q224" s="2">
        <f t="shared" si="2"/>
        <v>4.9</v>
      </c>
      <c r="R224" s="11"/>
      <c r="S224" s="2">
        <f t="shared" si="3"/>
        <v>4.9</v>
      </c>
      <c r="T224" s="2" t="str">
        <f t="shared" si="4"/>
        <v>ARI -4.9</v>
      </c>
      <c r="U224" s="2" t="str">
        <f t="array" ref="U224">IF($B224="","",IFERROR(INDEX(MktHomeSpread,MATCH($B224,MktGameID,0)),""))</f>
        <v/>
      </c>
      <c r="V224" s="2" t="str">
        <f t="shared" si="5"/>
        <v/>
      </c>
      <c r="W224" s="2" t="str">
        <f t="shared" si="6"/>
        <v/>
      </c>
      <c r="X224" s="2" t="str">
        <f t="shared" si="7"/>
        <v/>
      </c>
      <c r="Y224" s="2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2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2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2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2">
        <f t="array" ref="AC224">IF($B224="","",IFERROR(INDEX(QBTotEff,MATCH($F224,QBTeams,0)),0)+IFERROR(INDEX(QBTotEff,MATCH($E224,QBTeams,0)),0))</f>
        <v>0</v>
      </c>
      <c r="AD224" s="2">
        <f>IF($B224="","",SUMIFS(AdjTot,AdjGameID,$B224,AdjActive,1))</f>
        <v>0</v>
      </c>
      <c r="AE224" s="2">
        <f t="shared" si="8"/>
        <v>0</v>
      </c>
      <c r="AF224" s="11"/>
      <c r="AG224" s="2">
        <f t="shared" si="9"/>
        <v>0</v>
      </c>
      <c r="AH224" s="2" t="str">
        <f t="array" ref="AH224">IF($B224="","",IFERROR(INDEX(MktTotal,MATCH($B224,MktGameID,0)),""))</f>
        <v/>
      </c>
      <c r="AI224" s="2" t="str">
        <f t="shared" si="10"/>
        <v/>
      </c>
      <c r="AJ224" s="2" t="str">
        <f t="shared" si="11"/>
        <v/>
      </c>
      <c r="AK224" s="2" t="str">
        <f t="shared" si="12"/>
        <v/>
      </c>
      <c r="AL224" s="2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Low</v>
      </c>
      <c r="AM224" s="2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2" t="str">
        <f>IF($AG224="","","BET OVER at ≤ "&amp;TEXT($AG224-BetTot,"0.0")&amp;"  |  BET UNDER at ≥ "&amp;TEXT($AG224+BetTot,"0.0"))</f>
        <v>BET OVER at ≤ -3.0  |  BET UNDER at ≥ 3.0</v>
      </c>
      <c r="AO224" s="2" t="str">
        <f t="array" ref="AO224">IF($B224="","",IF(OR(IFERROR(INDEX(QBFlag,MATCH($F224,QBTeams,0)),1)=1,IFERROR(INDEX(QBFlag,MATCH($E224,QBTeams,0)),1)=1),"QB UNCERTAIN",""))</f>
        <v>QB UNCERTAIN</v>
      </c>
      <c r="AP224" s="2" t="str">
        <f t="array" ref="AP224">IF($B224="","",IFERROR(INDEX(DQStatus,MATCH($B224,DQGameID,0)),"BLOCKED — DQ ROW NOT FOUND"))</f>
        <v>READY</v>
      </c>
      <c r="AQ224" s="2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2" t="str">
        <f t="shared" si="13"/>
        <v/>
      </c>
      <c r="AS224" s="2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2" t="str">
        <f t="shared" si="14"/>
        <v/>
      </c>
      <c r="AU224" s="11"/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9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2" t="str">
        <f t="array" ref="G225">IF($B225="","",IF(INDEX(SchedZone,MATCH($A225,SchedSeq,0),MAP!$B$14)="Neutral","Y",""))</f>
        <v/>
      </c>
      <c r="H225" s="2" t="str">
        <f t="array" ref="H225">IF($B225="","",INDEX(SchedZone,MATCH($A225,SchedSeq,0),MAP!$B$17))</f>
        <v>dome</v>
      </c>
      <c r="I225" s="2" t="str">
        <f>IF(OR($B225="",$C225&lt;&gt;CurrentWeek),"",COUNTIF($C$5:$C225,CurrentWeek))</f>
        <v/>
      </c>
      <c r="J225" s="2">
        <f t="array" ref="J225">IF($B225="","",IFERROR(INDEX(RatEff,MATCH($E225,RatTeams,0)),"⚠ TEAM NOT FOUND"))</f>
        <v>-2.26</v>
      </c>
      <c r="K225" s="2">
        <f t="array" ref="K225">IF($B225="","",IFERROR(INDEX(RatEff,MATCH($F225,RatTeams,0)),"⚠ TEAM NOT FOUND"))</f>
        <v>4.09</v>
      </c>
      <c r="L225" s="2">
        <f t="shared" si="1"/>
        <v>6.35</v>
      </c>
      <c r="M225" s="2">
        <f t="array" ref="M225">IF($B225="","",IF($G225="Y",NeutralHFA,IFERROR(INDEX(HFAexcVal,MATCH($F225,HFAexcTeam,0)),HFA_Base)))</f>
        <v>1.6</v>
      </c>
      <c r="N225" s="2">
        <f t="array" ref="N225">IF($B225="","",IFERROR(INDEX(QBSpreadEff,MATCH($F225,QBTeams,0)),0)-IFERROR(INDEX(QBSpreadEff,MATCH($E225,QBTeams,0)),0))</f>
        <v>0</v>
      </c>
      <c r="O225" s="2">
        <f t="array" ref="O225">IF($B225="","",IFERROR(MEDIAN(-RestCapPts,RestCapPts,RestPerDay*(INDEX(SchedZone,MATCH($A225,SchedSeq,0),MAP!$B$16)-INDEX(SchedZone,MATCH($A225,SchedSeq,0),MAP!$B$15))),0))</f>
        <v>-0.6</v>
      </c>
      <c r="P225" s="2">
        <f>IF($B225="","",SUMIFS(AdjSpread,AdjGameID,$B225,AdjTeam,$F225,AdjActive,1)-SUMIFS(AdjSpread,AdjGameID,$B225,AdjTeam,$E225,AdjActive,1))</f>
        <v>0</v>
      </c>
      <c r="Q225" s="2">
        <f t="shared" si="2"/>
        <v>7.35</v>
      </c>
      <c r="R225" s="11"/>
      <c r="S225" s="2">
        <f t="shared" si="3"/>
        <v>7.35</v>
      </c>
      <c r="T225" s="2" t="str">
        <f t="shared" si="4"/>
        <v>LA -7.4</v>
      </c>
      <c r="U225" s="2" t="str">
        <f t="array" ref="U225">IF($B225="","",IFERROR(INDEX(MktHomeSpread,MATCH($B225,MktGameID,0)),""))</f>
        <v/>
      </c>
      <c r="V225" s="2" t="str">
        <f t="shared" si="5"/>
        <v/>
      </c>
      <c r="W225" s="2" t="str">
        <f t="shared" si="6"/>
        <v/>
      </c>
      <c r="X225" s="2" t="str">
        <f t="shared" si="7"/>
        <v/>
      </c>
      <c r="Y225" s="2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2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2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2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2">
        <f t="array" ref="AC225">IF($B225="","",IFERROR(INDEX(QBTotEff,MATCH($F225,QBTeams,0)),0)+IFERROR(INDEX(QBTotEff,MATCH($E225,QBTeams,0)),0))</f>
        <v>0</v>
      </c>
      <c r="AD225" s="2">
        <f>IF($B225="","",SUMIFS(AdjTot,AdjGameID,$B225,AdjActive,1))</f>
        <v>0</v>
      </c>
      <c r="AE225" s="2">
        <f t="shared" si="8"/>
        <v>0</v>
      </c>
      <c r="AF225" s="11"/>
      <c r="AG225" s="2">
        <f t="shared" si="9"/>
        <v>0</v>
      </c>
      <c r="AH225" s="2" t="str">
        <f t="array" ref="AH225">IF($B225="","",IFERROR(INDEX(MktTotal,MATCH($B225,MktGameID,0)),""))</f>
        <v/>
      </c>
      <c r="AI225" s="2" t="str">
        <f t="shared" si="10"/>
        <v/>
      </c>
      <c r="AJ225" s="2" t="str">
        <f t="shared" si="11"/>
        <v/>
      </c>
      <c r="AK225" s="2" t="str">
        <f t="shared" si="12"/>
        <v/>
      </c>
      <c r="AL225" s="2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2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2" t="str">
        <f>IF($AG225="","","BET OVER at ≤ "&amp;TEXT($AG225-BetTot,"0.0")&amp;"  |  BET UNDER at ≥ "&amp;TEXT($AG225+BetTot,"0.0"))</f>
        <v>BET OVER at ≤ -3.0  |  BET UNDER at ≥ 3.0</v>
      </c>
      <c r="AO225" s="2" t="str">
        <f t="array" ref="AO225">IF($B225="","",IF(OR(IFERROR(INDEX(QBFlag,MATCH($F225,QBTeams,0)),1)=1,IFERROR(INDEX(QBFlag,MATCH($E225,QBTeams,0)),1)=1),"QB UNCERTAIN",""))</f>
        <v/>
      </c>
      <c r="AP225" s="2" t="str">
        <f t="array" ref="AP225">IF($B225="","",IFERROR(INDEX(DQStatus,MATCH($B225,DQGameID,0)),"BLOCKED — DQ ROW NOT FOUND"))</f>
        <v>READY</v>
      </c>
      <c r="AQ225" s="2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2" t="str">
        <f t="shared" si="13"/>
        <v/>
      </c>
      <c r="AS225" s="2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2" t="str">
        <f t="shared" si="14"/>
        <v/>
      </c>
      <c r="AU225" s="11"/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9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2" t="str">
        <f t="array" ref="G226">IF($B226="","",IF(INDEX(SchedZone,MATCH($A226,SchedSeq,0),MAP!$B$14)="Neutral","Y",""))</f>
        <v/>
      </c>
      <c r="H226" s="2" t="str">
        <f t="array" ref="H226">IF($B226="","",INDEX(SchedZone,MATCH($A226,SchedSeq,0),MAP!$B$17))</f>
        <v>dome</v>
      </c>
      <c r="I226" s="2" t="str">
        <f>IF(OR($B226="",$C226&lt;&gt;CurrentWeek),"",COUNTIF($C$5:$C226,CurrentWeek))</f>
        <v/>
      </c>
      <c r="J226" s="2">
        <f t="array" ref="J226">IF($B226="","",IFERROR(INDEX(RatEff,MATCH($E226,RatTeams,0)),"⚠ TEAM NOT FOUND"))</f>
        <v>1.93</v>
      </c>
      <c r="K226" s="2">
        <f t="array" ref="K226">IF($B226="","",IFERROR(INDEX(RatEff,MATCH($F226,RatTeams,0)),"⚠ TEAM NOT FOUND"))</f>
        <v>-3.52</v>
      </c>
      <c r="L226" s="2">
        <f t="shared" si="1"/>
        <v>-5.45</v>
      </c>
      <c r="M226" s="2">
        <f t="array" ref="M226">IF($B226="","",IF($G226="Y",NeutralHFA,IFERROR(INDEX(HFAexcVal,MATCH($F226,HFAexcTeam,0)),HFA_Base)))</f>
        <v>1.6</v>
      </c>
      <c r="N226" s="2">
        <f t="array" ref="N226">IF($B226="","",IFERROR(INDEX(QBSpreadEff,MATCH($F226,QBTeams,0)),0)-IFERROR(INDEX(QBSpreadEff,MATCH($E226,QBTeams,0)),0))</f>
        <v>0</v>
      </c>
      <c r="O226" s="2">
        <f t="array" ref="O226">IF($B226="","",IFERROR(MEDIAN(-RestCapPts,RestCapPts,RestPerDay*(INDEX(SchedZone,MATCH($A226,SchedSeq,0),MAP!$B$16)-INDEX(SchedZone,MATCH($A226,SchedSeq,0),MAP!$B$15))),0))</f>
        <v>0</v>
      </c>
      <c r="P226" s="2">
        <f>IF($B226="","",SUMIFS(AdjSpread,AdjGameID,$B226,AdjTeam,$F226,AdjActive,1)-SUMIFS(AdjSpread,AdjGameID,$B226,AdjTeam,$E226,AdjActive,1))</f>
        <v>0</v>
      </c>
      <c r="Q226" s="2">
        <f t="shared" si="2"/>
        <v>-3.85</v>
      </c>
      <c r="R226" s="11"/>
      <c r="S226" s="2">
        <f t="shared" si="3"/>
        <v>-3.85</v>
      </c>
      <c r="T226" s="2" t="str">
        <f t="shared" si="4"/>
        <v>DEN -3.9</v>
      </c>
      <c r="U226" s="2" t="str">
        <f t="array" ref="U226">IF($B226="","",IFERROR(INDEX(MktHomeSpread,MATCH($B226,MktGameID,0)),""))</f>
        <v/>
      </c>
      <c r="V226" s="2" t="str">
        <f t="shared" si="5"/>
        <v/>
      </c>
      <c r="W226" s="2" t="str">
        <f t="shared" si="6"/>
        <v/>
      </c>
      <c r="X226" s="2" t="str">
        <f t="shared" si="7"/>
        <v/>
      </c>
      <c r="Y226" s="2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2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2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2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2">
        <f t="array" ref="AC226">IF($B226="","",IFERROR(INDEX(QBTotEff,MATCH($F226,QBTeams,0)),0)+IFERROR(INDEX(QBTotEff,MATCH($E226,QBTeams,0)),0))</f>
        <v>0</v>
      </c>
      <c r="AD226" s="2">
        <f>IF($B226="","",SUMIFS(AdjTot,AdjGameID,$B226,AdjActive,1))</f>
        <v>0</v>
      </c>
      <c r="AE226" s="2">
        <f t="shared" si="8"/>
        <v>0</v>
      </c>
      <c r="AF226" s="11"/>
      <c r="AG226" s="2">
        <f t="shared" si="9"/>
        <v>0</v>
      </c>
      <c r="AH226" s="2" t="str">
        <f t="array" ref="AH226">IF($B226="","",IFERROR(INDEX(MktTotal,MATCH($B226,MktGameID,0)),""))</f>
        <v/>
      </c>
      <c r="AI226" s="2" t="str">
        <f t="shared" si="10"/>
        <v/>
      </c>
      <c r="AJ226" s="2" t="str">
        <f t="shared" si="11"/>
        <v/>
      </c>
      <c r="AK226" s="2" t="str">
        <f t="shared" si="12"/>
        <v/>
      </c>
      <c r="AL226" s="2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2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2" t="str">
        <f>IF($AG226="","","BET OVER at ≤ "&amp;TEXT($AG226-BetTot,"0.0")&amp;"  |  BET UNDER at ≥ "&amp;TEXT($AG226+BetTot,"0.0"))</f>
        <v>BET OVER at ≤ -3.0  |  BET UNDER at ≥ 3.0</v>
      </c>
      <c r="AO226" s="2" t="str">
        <f t="array" ref="AO226">IF($B226="","",IF(OR(IFERROR(INDEX(QBFlag,MATCH($F226,QBTeams,0)),1)=1,IFERROR(INDEX(QBFlag,MATCH($E226,QBTeams,0)),1)=1),"QB UNCERTAIN",""))</f>
        <v/>
      </c>
      <c r="AP226" s="2" t="str">
        <f t="array" ref="AP226">IF($B226="","",IFERROR(INDEX(DQStatus,MATCH($B226,DQGameID,0)),"BLOCKED — DQ ROW NOT FOUND"))</f>
        <v>READY</v>
      </c>
      <c r="AQ226" s="2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2" t="str">
        <f t="shared" si="13"/>
        <v/>
      </c>
      <c r="AS226" s="2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2" t="str">
        <f t="shared" si="14"/>
        <v/>
      </c>
      <c r="AU226" s="11"/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9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2" t="str">
        <f t="array" ref="G227">IF($B227="","",IF(INDEX(SchedZone,MATCH($A227,SchedSeq,0),MAP!$B$14)="Neutral","Y",""))</f>
        <v/>
      </c>
      <c r="H227" s="2" t="str">
        <f t="array" ref="H227">IF($B227="","",INDEX(SchedZone,MATCH($A227,SchedSeq,0),MAP!$B$17))</f>
        <v>dome</v>
      </c>
      <c r="I227" s="2" t="str">
        <f>IF(OR($B227="",$C227&lt;&gt;CurrentWeek),"",COUNTIF($C$5:$C227,CurrentWeek))</f>
        <v/>
      </c>
      <c r="J227" s="2">
        <f t="array" ref="J227">IF($B227="","",IFERROR(INDEX(RatEff,MATCH($E227,RatTeams,0)),"⚠ TEAM NOT FOUND"))</f>
        <v>0.86</v>
      </c>
      <c r="K227" s="2">
        <f t="array" ref="K227">IF($B227="","",IFERROR(INDEX(RatEff,MATCH($F227,RatTeams,0)),"⚠ TEAM NOT FOUND"))</f>
        <v>0.5</v>
      </c>
      <c r="L227" s="2">
        <f t="shared" si="1"/>
        <v>-0.36</v>
      </c>
      <c r="M227" s="2">
        <f t="array" ref="M227">IF($B227="","",IF($G227="Y",NeutralHFA,IFERROR(INDEX(HFAexcVal,MATCH($F227,HFAexcTeam,0)),HFA_Base)))</f>
        <v>1.6</v>
      </c>
      <c r="N227" s="2">
        <f t="array" ref="N227">IF($B227="","",IFERROR(INDEX(QBSpreadEff,MATCH($F227,QBTeams,0)),0)-IFERROR(INDEX(QBSpreadEff,MATCH($E227,QBTeams,0)),0))</f>
        <v>0</v>
      </c>
      <c r="O227" s="2">
        <f t="array" ref="O227">IF($B227="","",IFERROR(MEDIAN(-RestCapPts,RestCapPts,RestPerDay*(INDEX(SchedZone,MATCH($A227,SchedSeq,0),MAP!$B$16)-INDEX(SchedZone,MATCH($A227,SchedSeq,0),MAP!$B$15))),0))</f>
        <v>0.3</v>
      </c>
      <c r="P227" s="2">
        <f>IF($B227="","",SUMIFS(AdjSpread,AdjGameID,$B227,AdjTeam,$F227,AdjActive,1)-SUMIFS(AdjSpread,AdjGameID,$B227,AdjTeam,$E227,AdjActive,1))</f>
        <v>0</v>
      </c>
      <c r="Q227" s="2">
        <f t="shared" si="2"/>
        <v>1.54</v>
      </c>
      <c r="R227" s="11"/>
      <c r="S227" s="2">
        <f t="shared" si="3"/>
        <v>1.54</v>
      </c>
      <c r="T227" s="2" t="str">
        <f t="shared" si="4"/>
        <v>MIN -1.5</v>
      </c>
      <c r="U227" s="2" t="str">
        <f t="array" ref="U227">IF($B227="","",IFERROR(INDEX(MktHomeSpread,MATCH($B227,MktGameID,0)),""))</f>
        <v/>
      </c>
      <c r="V227" s="2" t="str">
        <f t="shared" si="5"/>
        <v/>
      </c>
      <c r="W227" s="2" t="str">
        <f t="shared" si="6"/>
        <v/>
      </c>
      <c r="X227" s="2" t="str">
        <f t="shared" si="7"/>
        <v/>
      </c>
      <c r="Y227" s="2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2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2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2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2">
        <f t="array" ref="AC227">IF($B227="","",IFERROR(INDEX(QBTotEff,MATCH($F227,QBTeams,0)),0)+IFERROR(INDEX(QBTotEff,MATCH($E227,QBTeams,0)),0))</f>
        <v>0</v>
      </c>
      <c r="AD227" s="2">
        <f>IF($B227="","",SUMIFS(AdjTot,AdjGameID,$B227,AdjActive,1))</f>
        <v>0</v>
      </c>
      <c r="AE227" s="2">
        <f t="shared" si="8"/>
        <v>0</v>
      </c>
      <c r="AF227" s="11"/>
      <c r="AG227" s="2">
        <f t="shared" si="9"/>
        <v>0</v>
      </c>
      <c r="AH227" s="2" t="str">
        <f t="array" ref="AH227">IF($B227="","",IFERROR(INDEX(MktTotal,MATCH($B227,MktGameID,0)),""))</f>
        <v/>
      </c>
      <c r="AI227" s="2" t="str">
        <f t="shared" si="10"/>
        <v/>
      </c>
      <c r="AJ227" s="2" t="str">
        <f t="shared" si="11"/>
        <v/>
      </c>
      <c r="AK227" s="2" t="str">
        <f t="shared" si="12"/>
        <v/>
      </c>
      <c r="AL227" s="2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Low</v>
      </c>
      <c r="AM227" s="2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2" t="str">
        <f>IF($AG227="","","BET OVER at ≤ "&amp;TEXT($AG227-BetTot,"0.0")&amp;"  |  BET UNDER at ≥ "&amp;TEXT($AG227+BetTot,"0.0"))</f>
        <v>BET OVER at ≤ -3.0  |  BET UNDER at ≥ 3.0</v>
      </c>
      <c r="AO227" s="2" t="str">
        <f t="array" ref="AO227">IF($B227="","",IF(OR(IFERROR(INDEX(QBFlag,MATCH($F227,QBTeams,0)),1)=1,IFERROR(INDEX(QBFlag,MATCH($E227,QBTeams,0)),1)=1),"QB UNCERTAIN",""))</f>
        <v>QB UNCERTAIN</v>
      </c>
      <c r="AP227" s="2" t="str">
        <f t="array" ref="AP227">IF($B227="","",IFERROR(INDEX(DQStatus,MATCH($B227,DQGameID,0)),"BLOCKED — DQ ROW NOT FOUND"))</f>
        <v>READY</v>
      </c>
      <c r="AQ227" s="2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2" t="str">
        <f t="shared" si="13"/>
        <v/>
      </c>
      <c r="AS227" s="2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2" t="str">
        <f t="shared" si="14"/>
        <v/>
      </c>
      <c r="AU227" s="11"/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9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2" t="str">
        <f t="array" ref="G228">IF($B228="","",IF(INDEX(SchedZone,MATCH($A228,SchedSeq,0),MAP!$B$14)="Neutral","Y",""))</f>
        <v/>
      </c>
      <c r="H228" s="2" t="str">
        <f t="array" ref="H228">IF($B228="","",INDEX(SchedZone,MATCH($A228,SchedSeq,0),MAP!$B$17))</f>
        <v>outdoors</v>
      </c>
      <c r="I228" s="2" t="str">
        <f>IF(OR($B228="",$C228&lt;&gt;CurrentWeek),"",COUNTIF($C$5:$C228,CurrentWeek))</f>
        <v/>
      </c>
      <c r="J228" s="2">
        <f t="array" ref="J228">IF($B228="","",IFERROR(INDEX(RatEff,MATCH($E228,RatTeams,0)),"⚠ TEAM NOT FOUND"))</f>
        <v>2.09</v>
      </c>
      <c r="K228" s="2">
        <f t="array" ref="K228">IF($B228="","",IFERROR(INDEX(RatEff,MATCH($F228,RatTeams,0)),"⚠ TEAM NOT FOUND"))</f>
        <v>-0.04</v>
      </c>
      <c r="L228" s="2">
        <f t="shared" si="1"/>
        <v>-2.13</v>
      </c>
      <c r="M228" s="2">
        <f t="array" ref="M228">IF($B228="","",IF($G228="Y",NeutralHFA,IFERROR(INDEX(HFAexcVal,MATCH($F228,HFAexcTeam,0)),HFA_Base)))</f>
        <v>1.6</v>
      </c>
      <c r="N228" s="2">
        <f t="array" ref="N228">IF($B228="","",IFERROR(INDEX(QBSpreadEff,MATCH($F228,QBTeams,0)),0)-IFERROR(INDEX(QBSpreadEff,MATCH($E228,QBTeams,0)),0))</f>
        <v>0</v>
      </c>
      <c r="O228" s="2">
        <f t="array" ref="O228">IF($B228="","",IFERROR(MEDIAN(-RestCapPts,RestCapPts,RestPerDay*(INDEX(SchedZone,MATCH($A228,SchedSeq,0),MAP!$B$16)-INDEX(SchedZone,MATCH($A228,SchedSeq,0),MAP!$B$15))),0))</f>
        <v>-0.3</v>
      </c>
      <c r="P228" s="2">
        <f>IF($B228="","",SUMIFS(AdjSpread,AdjGameID,$B228,AdjTeam,$F228,AdjActive,1)-SUMIFS(AdjSpread,AdjGameID,$B228,AdjTeam,$E228,AdjActive,1))</f>
        <v>0</v>
      </c>
      <c r="Q228" s="2">
        <f t="shared" si="2"/>
        <v>-0.83</v>
      </c>
      <c r="R228" s="11"/>
      <c r="S228" s="2">
        <f t="shared" si="3"/>
        <v>-0.83</v>
      </c>
      <c r="T228" s="2" t="str">
        <f t="shared" si="4"/>
        <v>NE -0.8</v>
      </c>
      <c r="U228" s="2" t="str">
        <f t="array" ref="U228">IF($B228="","",IFERROR(INDEX(MktHomeSpread,MATCH($B228,MktGameID,0)),""))</f>
        <v/>
      </c>
      <c r="V228" s="2" t="str">
        <f t="shared" si="5"/>
        <v/>
      </c>
      <c r="W228" s="2" t="str">
        <f t="shared" si="6"/>
        <v/>
      </c>
      <c r="X228" s="2" t="str">
        <f t="shared" si="7"/>
        <v/>
      </c>
      <c r="Y228" s="2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2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2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2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2">
        <f t="array" ref="AC228">IF($B228="","",IFERROR(INDEX(QBTotEff,MATCH($F228,QBTeams,0)),0)+IFERROR(INDEX(QBTotEff,MATCH($E228,QBTeams,0)),0))</f>
        <v>0</v>
      </c>
      <c r="AD228" s="2">
        <f>IF($B228="","",SUMIFS(AdjTot,AdjGameID,$B228,AdjActive,1))</f>
        <v>0</v>
      </c>
      <c r="AE228" s="2">
        <f t="shared" si="8"/>
        <v>0</v>
      </c>
      <c r="AF228" s="11"/>
      <c r="AG228" s="2">
        <f t="shared" si="9"/>
        <v>0</v>
      </c>
      <c r="AH228" s="2" t="str">
        <f t="array" ref="AH228">IF($B228="","",IFERROR(INDEX(MktTotal,MATCH($B228,MktGameID,0)),""))</f>
        <v/>
      </c>
      <c r="AI228" s="2" t="str">
        <f t="shared" si="10"/>
        <v/>
      </c>
      <c r="AJ228" s="2" t="str">
        <f t="shared" si="11"/>
        <v/>
      </c>
      <c r="AK228" s="2" t="str">
        <f t="shared" si="12"/>
        <v/>
      </c>
      <c r="AL228" s="2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Medium</v>
      </c>
      <c r="AM228" s="2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2" t="str">
        <f>IF($AG228="","","BET OVER at ≤ "&amp;TEXT($AG228-BetTot,"0.0")&amp;"  |  BET UNDER at ≥ "&amp;TEXT($AG228+BetTot,"0.0"))</f>
        <v>BET OVER at ≤ -3.0  |  BET UNDER at ≥ 3.0</v>
      </c>
      <c r="AO228" s="2" t="str">
        <f t="array" ref="AO228">IF($B228="","",IF(OR(IFERROR(INDEX(QBFlag,MATCH($F228,QBTeams,0)),1)=1,IFERROR(INDEX(QBFlag,MATCH($E228,QBTeams,0)),1)=1),"QB UNCERTAIN",""))</f>
        <v/>
      </c>
      <c r="AP228" s="2" t="str">
        <f t="array" ref="AP228">IF($B228="","",IFERROR(INDEX(DQStatus,MATCH($B228,DQGameID,0)),"BLOCKED — DQ ROW NOT FOUND"))</f>
        <v>READY</v>
      </c>
      <c r="AQ228" s="2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2" t="str">
        <f t="shared" si="13"/>
        <v/>
      </c>
      <c r="AS228" s="2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2" t="str">
        <f t="shared" si="14"/>
        <v/>
      </c>
      <c r="AU228" s="11"/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9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2" t="str">
        <f t="array" ref="G229">IF($B229="","",IF(INDEX(SchedZone,MATCH($A229,SchedSeq,0),MAP!$B$14)="Neutral","Y",""))</f>
        <v/>
      </c>
      <c r="H229" s="2" t="str">
        <f t="array" ref="H229">IF($B229="","",INDEX(SchedZone,MATCH($A229,SchedSeq,0),MAP!$B$17))</f>
        <v>outdoors</v>
      </c>
      <c r="I229" s="2" t="str">
        <f>IF(OR($B229="",$C229&lt;&gt;CurrentWeek),"",COUNTIF($C$5:$C229,CurrentWeek))</f>
        <v/>
      </c>
      <c r="J229" s="2">
        <f t="array" ref="J229">IF($B229="","",IFERROR(INDEX(RatEff,MATCH($E229,RatTeams,0)),"⚠ TEAM NOT FOUND"))</f>
        <v>2.71</v>
      </c>
      <c r="K229" s="2">
        <f t="array" ref="K229">IF($B229="","",IFERROR(INDEX(RatEff,MATCH($F229,RatTeams,0)),"⚠ TEAM NOT FOUND"))</f>
        <v>1.5</v>
      </c>
      <c r="L229" s="2">
        <f t="shared" si="1"/>
        <v>-1.21</v>
      </c>
      <c r="M229" s="2">
        <f t="array" ref="M229">IF($B229="","",IF($G229="Y",NeutralHFA,IFERROR(INDEX(HFAexcVal,MATCH($F229,HFAexcTeam,0)),HFA_Base)))</f>
        <v>1.6</v>
      </c>
      <c r="N229" s="2">
        <f t="array" ref="N229">IF($B229="","",IFERROR(INDEX(QBSpreadEff,MATCH($F229,QBTeams,0)),0)-IFERROR(INDEX(QBSpreadEff,MATCH($E229,QBTeams,0)),0))</f>
        <v>0</v>
      </c>
      <c r="O229" s="2">
        <f t="array" ref="O229">IF($B229="","",IFERROR(MEDIAN(-RestCapPts,RestCapPts,RestPerDay*(INDEX(SchedZone,MATCH($A229,SchedSeq,0),MAP!$B$16)-INDEX(SchedZone,MATCH($A229,SchedSeq,0),MAP!$B$15))),0))</f>
        <v>0.1</v>
      </c>
      <c r="P229" s="2">
        <f>IF($B229="","",SUMIFS(AdjSpread,AdjGameID,$B229,AdjTeam,$F229,AdjActive,1)-SUMIFS(AdjSpread,AdjGameID,$B229,AdjTeam,$E229,AdjActive,1))</f>
        <v>0</v>
      </c>
      <c r="Q229" s="2">
        <f t="shared" si="2"/>
        <v>0.49</v>
      </c>
      <c r="R229" s="11"/>
      <c r="S229" s="2">
        <f t="shared" si="3"/>
        <v>0.49</v>
      </c>
      <c r="T229" s="2" t="str">
        <f t="shared" si="4"/>
        <v>PHI -0.5</v>
      </c>
      <c r="U229" s="2" t="str">
        <f t="array" ref="U229">IF($B229="","",IFERROR(INDEX(MktHomeSpread,MATCH($B229,MktGameID,0)),""))</f>
        <v/>
      </c>
      <c r="V229" s="2" t="str">
        <f t="shared" si="5"/>
        <v/>
      </c>
      <c r="W229" s="2" t="str">
        <f t="shared" si="6"/>
        <v/>
      </c>
      <c r="X229" s="2" t="str">
        <f t="shared" si="7"/>
        <v/>
      </c>
      <c r="Y229" s="2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2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2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2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2">
        <f t="array" ref="AC229">IF($B229="","",IFERROR(INDEX(QBTotEff,MATCH($F229,QBTeams,0)),0)+IFERROR(INDEX(QBTotEff,MATCH($E229,QBTeams,0)),0))</f>
        <v>0</v>
      </c>
      <c r="AD229" s="2">
        <f>IF($B229="","",SUMIFS(AdjTot,AdjGameID,$B229,AdjActive,1))</f>
        <v>0</v>
      </c>
      <c r="AE229" s="2">
        <f t="shared" si="8"/>
        <v>0</v>
      </c>
      <c r="AF229" s="11"/>
      <c r="AG229" s="2">
        <f t="shared" si="9"/>
        <v>0</v>
      </c>
      <c r="AH229" s="2" t="str">
        <f t="array" ref="AH229">IF($B229="","",IFERROR(INDEX(MktTotal,MATCH($B229,MktGameID,0)),""))</f>
        <v/>
      </c>
      <c r="AI229" s="2" t="str">
        <f t="shared" si="10"/>
        <v/>
      </c>
      <c r="AJ229" s="2" t="str">
        <f t="shared" si="11"/>
        <v/>
      </c>
      <c r="AK229" s="2" t="str">
        <f t="shared" si="12"/>
        <v/>
      </c>
      <c r="AL229" s="2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2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2" t="str">
        <f>IF($AG229="","","BET OVER at ≤ "&amp;TEXT($AG229-BetTot,"0.0")&amp;"  |  BET UNDER at ≥ "&amp;TEXT($AG229+BetTot,"0.0"))</f>
        <v>BET OVER at ≤ -3.0  |  BET UNDER at ≥ 3.0</v>
      </c>
      <c r="AO229" s="2" t="str">
        <f t="array" ref="AO229">IF($B229="","",IF(OR(IFERROR(INDEX(QBFlag,MATCH($F229,QBTeams,0)),1)=1,IFERROR(INDEX(QBFlag,MATCH($E229,QBTeams,0)),1)=1),"QB UNCERTAIN",""))</f>
        <v/>
      </c>
      <c r="AP229" s="2" t="str">
        <f t="array" ref="AP229">IF($B229="","",IFERROR(INDEX(DQStatus,MATCH($B229,DQGameID,0)),"BLOCKED — DQ ROW NOT FOUND"))</f>
        <v>READY</v>
      </c>
      <c r="AQ229" s="2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2" t="str">
        <f t="shared" si="13"/>
        <v/>
      </c>
      <c r="AS229" s="2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2" t="str">
        <f t="shared" si="14"/>
        <v/>
      </c>
      <c r="AU229" s="11"/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9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2" t="str">
        <f t="array" ref="G230">IF($B230="","",IF(INDEX(SchedZone,MATCH($A230,SchedSeq,0),MAP!$B$14)="Neutral","Y",""))</f>
        <v/>
      </c>
      <c r="H230" s="2" t="str">
        <f t="array" ref="H230">IF($B230="","",INDEX(SchedZone,MATCH($A230,SchedSeq,0),MAP!$B$17))</f>
        <v>outdoors</v>
      </c>
      <c r="I230" s="2" t="str">
        <f>IF(OR($B230="",$C230&lt;&gt;CurrentWeek),"",COUNTIF($C$5:$C230,CurrentWeek))</f>
        <v/>
      </c>
      <c r="J230" s="2">
        <f t="array" ref="J230">IF($B230="","",IFERROR(INDEX(RatEff,MATCH($E230,RatTeams,0)),"⚠ TEAM NOT FOUND"))</f>
        <v>0.51</v>
      </c>
      <c r="K230" s="2">
        <f t="array" ref="K230">IF($B230="","",IFERROR(INDEX(RatEff,MATCH($F230,RatTeams,0)),"⚠ TEAM NOT FOUND"))</f>
        <v>0.86</v>
      </c>
      <c r="L230" s="2">
        <f t="shared" si="1"/>
        <v>0.35</v>
      </c>
      <c r="M230" s="2">
        <f t="array" ref="M230">IF($B230="","",IF($G230="Y",NeutralHFA,IFERROR(INDEX(HFAexcVal,MATCH($F230,HFAexcTeam,0)),HFA_Base)))</f>
        <v>1.6</v>
      </c>
      <c r="N230" s="2">
        <f t="array" ref="N230">IF($B230="","",IFERROR(INDEX(QBSpreadEff,MATCH($F230,QBTeams,0)),0)-IFERROR(INDEX(QBSpreadEff,MATCH($E230,QBTeams,0)),0))</f>
        <v>0</v>
      </c>
      <c r="O230" s="2">
        <f t="array" ref="O230">IF($B230="","",IFERROR(MEDIAN(-RestCapPts,RestCapPts,RestPerDay*(INDEX(SchedZone,MATCH($A230,SchedSeq,0),MAP!$B$16)-INDEX(SchedZone,MATCH($A230,SchedSeq,0),MAP!$B$15))),0))</f>
        <v>0.1</v>
      </c>
      <c r="P230" s="2">
        <f>IF($B230="","",SUMIFS(AdjSpread,AdjGameID,$B230,AdjTeam,$F230,AdjActive,1)-SUMIFS(AdjSpread,AdjGameID,$B230,AdjTeam,$E230,AdjActive,1))</f>
        <v>0</v>
      </c>
      <c r="Q230" s="2">
        <f t="shared" si="2"/>
        <v>2.05</v>
      </c>
      <c r="R230" s="11"/>
      <c r="S230" s="2">
        <f t="shared" si="3"/>
        <v>2.05</v>
      </c>
      <c r="T230" s="2" t="str">
        <f t="shared" si="4"/>
        <v>CHI -2.1</v>
      </c>
      <c r="U230" s="2" t="str">
        <f t="array" ref="U230">IF($B230="","",IFERROR(INDEX(MktHomeSpread,MATCH($B230,MktGameID,0)),""))</f>
        <v/>
      </c>
      <c r="V230" s="2" t="str">
        <f t="shared" si="5"/>
        <v/>
      </c>
      <c r="W230" s="2" t="str">
        <f t="shared" si="6"/>
        <v/>
      </c>
      <c r="X230" s="2" t="str">
        <f t="shared" si="7"/>
        <v/>
      </c>
      <c r="Y230" s="2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2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2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2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2">
        <f t="array" ref="AC230">IF($B230="","",IFERROR(INDEX(QBTotEff,MATCH($F230,QBTeams,0)),0)+IFERROR(INDEX(QBTotEff,MATCH($E230,QBTeams,0)),0))</f>
        <v>0</v>
      </c>
      <c r="AD230" s="2">
        <f>IF($B230="","",SUMIFS(AdjTot,AdjGameID,$B230,AdjActive,1))</f>
        <v>0</v>
      </c>
      <c r="AE230" s="2">
        <f t="shared" si="8"/>
        <v>0</v>
      </c>
      <c r="AF230" s="11"/>
      <c r="AG230" s="2">
        <f t="shared" si="9"/>
        <v>0</v>
      </c>
      <c r="AH230" s="2" t="str">
        <f t="array" ref="AH230">IF($B230="","",IFERROR(INDEX(MktTotal,MATCH($B230,MktGameID,0)),""))</f>
        <v/>
      </c>
      <c r="AI230" s="2" t="str">
        <f t="shared" si="10"/>
        <v/>
      </c>
      <c r="AJ230" s="2" t="str">
        <f t="shared" si="11"/>
        <v/>
      </c>
      <c r="AK230" s="2" t="str">
        <f t="shared" si="12"/>
        <v/>
      </c>
      <c r="AL230" s="2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2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2" t="str">
        <f>IF($AG230="","","BET OVER at ≤ "&amp;TEXT($AG230-BetTot,"0.0")&amp;"  |  BET UNDER at ≥ "&amp;TEXT($AG230+BetTot,"0.0"))</f>
        <v>BET OVER at ≤ -3.0  |  BET UNDER at ≥ 3.0</v>
      </c>
      <c r="AO230" s="2" t="str">
        <f t="array" ref="AO230">IF($B230="","",IF(OR(IFERROR(INDEX(QBFlag,MATCH($F230,QBTeams,0)),1)=1,IFERROR(INDEX(QBFlag,MATCH($E230,QBTeams,0)),1)=1),"QB UNCERTAIN",""))</f>
        <v/>
      </c>
      <c r="AP230" s="2" t="str">
        <f t="array" ref="AP230">IF($B230="","",IFERROR(INDEX(DQStatus,MATCH($B230,DQGameID,0)),"BLOCKED — DQ ROW NOT FOUND"))</f>
        <v>READY</v>
      </c>
      <c r="AQ230" s="2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2" t="str">
        <f t="shared" si="13"/>
        <v/>
      </c>
      <c r="AS230" s="2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2" t="str">
        <f t="shared" si="14"/>
        <v/>
      </c>
      <c r="AU230" s="11"/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9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2" t="str">
        <f t="array" ref="G231">IF($B231="","",IF(INDEX(SchedZone,MATCH($A231,SchedSeq,0),MAP!$B$14)="Neutral","Y",""))</f>
        <v/>
      </c>
      <c r="H231" s="2" t="str">
        <f t="array" ref="H231">IF($B231="","",INDEX(SchedZone,MATCH($A231,SchedSeq,0),MAP!$B$17))</f>
        <v>outdoors</v>
      </c>
      <c r="I231" s="2" t="str">
        <f>IF(OR($B231="",$C231&lt;&gt;CurrentWeek),"",COUNTIF($C$5:$C231,CurrentWeek))</f>
        <v/>
      </c>
      <c r="J231" s="2">
        <f t="array" ref="J231">IF($B231="","",IFERROR(INDEX(RatEff,MATCH($E231,RatTeams,0)),"⚠ TEAM NOT FOUND"))</f>
        <v>1.75</v>
      </c>
      <c r="K231" s="2">
        <f t="array" ref="K231">IF($B231="","",IFERROR(INDEX(RatEff,MATCH($F231,RatTeams,0)),"⚠ TEAM NOT FOUND"))</f>
        <v>1.93</v>
      </c>
      <c r="L231" s="2">
        <f t="shared" si="1"/>
        <v>0.18</v>
      </c>
      <c r="M231" s="2">
        <f t="array" ref="M231">IF($B231="","",IF($G231="Y",NeutralHFA,IFERROR(INDEX(HFAexcVal,MATCH($F231,HFAexcTeam,0)),HFA_Base)))</f>
        <v>1.6</v>
      </c>
      <c r="N231" s="2">
        <f t="array" ref="N231">IF($B231="","",IFERROR(INDEX(QBSpreadEff,MATCH($F231,QBTeams,0)),0)-IFERROR(INDEX(QBSpreadEff,MATCH($E231,QBTeams,0)),0))</f>
        <v>0</v>
      </c>
      <c r="O231" s="2">
        <f t="array" ref="O231">IF($B231="","",IFERROR(MEDIAN(-RestCapPts,RestCapPts,RestPerDay*(INDEX(SchedZone,MATCH($A231,SchedSeq,0),MAP!$B$16)-INDEX(SchedZone,MATCH($A231,SchedSeq,0),MAP!$B$15))),0))</f>
        <v>-0.1</v>
      </c>
      <c r="P231" s="2">
        <f>IF($B231="","",SUMIFS(AdjSpread,AdjGameID,$B231,AdjTeam,$F231,AdjActive,1)-SUMIFS(AdjSpread,AdjGameID,$B231,AdjTeam,$E231,AdjActive,1))</f>
        <v>0</v>
      </c>
      <c r="Q231" s="2">
        <f t="shared" si="2"/>
        <v>1.68</v>
      </c>
      <c r="R231" s="11"/>
      <c r="S231" s="2">
        <f t="shared" si="3"/>
        <v>1.68</v>
      </c>
      <c r="T231" s="2" t="str">
        <f t="shared" si="4"/>
        <v>DEN -1.7</v>
      </c>
      <c r="U231" s="2" t="str">
        <f t="array" ref="U231">IF($B231="","",IFERROR(INDEX(MktHomeSpread,MATCH($B231,MktGameID,0)),""))</f>
        <v/>
      </c>
      <c r="V231" s="2" t="str">
        <f t="shared" si="5"/>
        <v/>
      </c>
      <c r="W231" s="2" t="str">
        <f t="shared" si="6"/>
        <v/>
      </c>
      <c r="X231" s="2" t="str">
        <f t="shared" si="7"/>
        <v/>
      </c>
      <c r="Y231" s="2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2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2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2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2">
        <f t="array" ref="AC231">IF($B231="","",IFERROR(INDEX(QBTotEff,MATCH($F231,QBTeams,0)),0)+IFERROR(INDEX(QBTotEff,MATCH($E231,QBTeams,0)),0))</f>
        <v>0</v>
      </c>
      <c r="AD231" s="2">
        <f>IF($B231="","",SUMIFS(AdjTot,AdjGameID,$B231,AdjActive,1))</f>
        <v>0</v>
      </c>
      <c r="AE231" s="2">
        <f t="shared" si="8"/>
        <v>0</v>
      </c>
      <c r="AF231" s="11"/>
      <c r="AG231" s="2">
        <f t="shared" si="9"/>
        <v>0</v>
      </c>
      <c r="AH231" s="2" t="str">
        <f t="array" ref="AH231">IF($B231="","",IFERROR(INDEX(MktTotal,MATCH($B231,MktGameID,0)),""))</f>
        <v/>
      </c>
      <c r="AI231" s="2" t="str">
        <f t="shared" si="10"/>
        <v/>
      </c>
      <c r="AJ231" s="2" t="str">
        <f t="shared" si="11"/>
        <v/>
      </c>
      <c r="AK231" s="2" t="str">
        <f t="shared" si="12"/>
        <v/>
      </c>
      <c r="AL231" s="2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2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2" t="str">
        <f>IF($AG231="","","BET OVER at ≤ "&amp;TEXT($AG231-BetTot,"0.0")&amp;"  |  BET UNDER at ≥ "&amp;TEXT($AG231+BetTot,"0.0"))</f>
        <v>BET OVER at ≤ -3.0  |  BET UNDER at ≥ 3.0</v>
      </c>
      <c r="AO231" s="2" t="str">
        <f t="array" ref="AO231">IF($B231="","",IF(OR(IFERROR(INDEX(QBFlag,MATCH($F231,QBTeams,0)),1)=1,IFERROR(INDEX(QBFlag,MATCH($E231,QBTeams,0)),1)=1),"QB UNCERTAIN",""))</f>
        <v/>
      </c>
      <c r="AP231" s="2" t="str">
        <f t="array" ref="AP231">IF($B231="","",IFERROR(INDEX(DQStatus,MATCH($B231,DQGameID,0)),"BLOCKED — DQ ROW NOT FOUND"))</f>
        <v>READY</v>
      </c>
      <c r="AQ231" s="2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2" t="str">
        <f t="shared" si="13"/>
        <v/>
      </c>
      <c r="AS231" s="2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2" t="str">
        <f t="shared" si="14"/>
        <v/>
      </c>
      <c r="AU231" s="11"/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9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2" t="str">
        <f t="array" ref="G232">IF($B232="","",IF(INDEX(SchedZone,MATCH($A232,SchedSeq,0),MAP!$B$14)="Neutral","Y",""))</f>
        <v/>
      </c>
      <c r="H232" s="2" t="str">
        <f t="array" ref="H232">IF($B232="","",INDEX(SchedZone,MATCH($A232,SchedSeq,0),MAP!$B$17))</f>
        <v>outdoors</v>
      </c>
      <c r="I232" s="2" t="str">
        <f>IF(OR($B232="",$C232&lt;&gt;CurrentWeek),"",COUNTIF($C$5:$C232,CurrentWeek))</f>
        <v/>
      </c>
      <c r="J232" s="2">
        <f t="array" ref="J232">IF($B232="","",IFERROR(INDEX(RatEff,MATCH($E232,RatTeams,0)),"⚠ TEAM NOT FOUND"))</f>
        <v>4.09</v>
      </c>
      <c r="K232" s="2">
        <f t="array" ref="K232">IF($B232="","",IFERROR(INDEX(RatEff,MATCH($F232,RatTeams,0)),"⚠ TEAM NOT FOUND"))</f>
        <v>4.1</v>
      </c>
      <c r="L232" s="2">
        <f t="shared" si="1"/>
        <v>0.01</v>
      </c>
      <c r="M232" s="2">
        <f t="array" ref="M232">IF($B232="","",IF($G232="Y",NeutralHFA,IFERROR(INDEX(HFAexcVal,MATCH($F232,HFAexcTeam,0)),HFA_Base)))</f>
        <v>1.6</v>
      </c>
      <c r="N232" s="2">
        <f t="array" ref="N232">IF($B232="","",IFERROR(INDEX(QBSpreadEff,MATCH($F232,QBTeams,0)),0)-IFERROR(INDEX(QBSpreadEff,MATCH($E232,QBTeams,0)),0))</f>
        <v>0</v>
      </c>
      <c r="O232" s="2">
        <f t="array" ref="O232">IF($B232="","",IFERROR(MEDIAN(-RestCapPts,RestCapPts,RestPerDay*(INDEX(SchedZone,MATCH($A232,SchedSeq,0),MAP!$B$16)-INDEX(SchedZone,MATCH($A232,SchedSeq,0),MAP!$B$15))),0))</f>
        <v>0.1</v>
      </c>
      <c r="P232" s="2">
        <f>IF($B232="","",SUMIFS(AdjSpread,AdjGameID,$B232,AdjTeam,$F232,AdjActive,1)-SUMIFS(AdjSpread,AdjGameID,$B232,AdjTeam,$E232,AdjActive,1))</f>
        <v>0</v>
      </c>
      <c r="Q232" s="2">
        <f t="shared" si="2"/>
        <v>1.71</v>
      </c>
      <c r="R232" s="11"/>
      <c r="S232" s="2">
        <f t="shared" si="3"/>
        <v>1.71</v>
      </c>
      <c r="T232" s="2" t="str">
        <f t="shared" si="4"/>
        <v>SEA -1.7</v>
      </c>
      <c r="U232" s="2" t="str">
        <f t="array" ref="U232">IF($B232="","",IFERROR(INDEX(MktHomeSpread,MATCH($B232,MktGameID,0)),""))</f>
        <v/>
      </c>
      <c r="V232" s="2" t="str">
        <f t="shared" si="5"/>
        <v/>
      </c>
      <c r="W232" s="2" t="str">
        <f t="shared" si="6"/>
        <v/>
      </c>
      <c r="X232" s="2" t="str">
        <f t="shared" si="7"/>
        <v/>
      </c>
      <c r="Y232" s="2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2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2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2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2">
        <f t="array" ref="AC232">IF($B232="","",IFERROR(INDEX(QBTotEff,MATCH($F232,QBTeams,0)),0)+IFERROR(INDEX(QBTotEff,MATCH($E232,QBTeams,0)),0))</f>
        <v>0</v>
      </c>
      <c r="AD232" s="2">
        <f>IF($B232="","",SUMIFS(AdjTot,AdjGameID,$B232,AdjActive,1))</f>
        <v>0</v>
      </c>
      <c r="AE232" s="2">
        <f t="shared" si="8"/>
        <v>0</v>
      </c>
      <c r="AF232" s="11"/>
      <c r="AG232" s="2">
        <f t="shared" si="9"/>
        <v>0</v>
      </c>
      <c r="AH232" s="2" t="str">
        <f t="array" ref="AH232">IF($B232="","",IFERROR(INDEX(MktTotal,MATCH($B232,MktGameID,0)),""))</f>
        <v/>
      </c>
      <c r="AI232" s="2" t="str">
        <f t="shared" si="10"/>
        <v/>
      </c>
      <c r="AJ232" s="2" t="str">
        <f t="shared" si="11"/>
        <v/>
      </c>
      <c r="AK232" s="2" t="str">
        <f t="shared" si="12"/>
        <v/>
      </c>
      <c r="AL232" s="2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2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2" t="str">
        <f>IF($AG232="","","BET OVER at ≤ "&amp;TEXT($AG232-BetTot,"0.0")&amp;"  |  BET UNDER at ≥ "&amp;TEXT($AG232+BetTot,"0.0"))</f>
        <v>BET OVER at ≤ -3.0  |  BET UNDER at ≥ 3.0</v>
      </c>
      <c r="AO232" s="2" t="str">
        <f t="array" ref="AO232">IF($B232="","",IF(OR(IFERROR(INDEX(QBFlag,MATCH($F232,QBTeams,0)),1)=1,IFERROR(INDEX(QBFlag,MATCH($E232,QBTeams,0)),1)=1),"QB UNCERTAIN",""))</f>
        <v/>
      </c>
      <c r="AP232" s="2" t="str">
        <f t="array" ref="AP232">IF($B232="","",IFERROR(INDEX(DQStatus,MATCH($B232,DQGameID,0)),"BLOCKED — DQ ROW NOT FOUND"))</f>
        <v>READY</v>
      </c>
      <c r="AQ232" s="2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2" t="str">
        <f t="shared" si="13"/>
        <v/>
      </c>
      <c r="AS232" s="2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2" t="str">
        <f t="shared" si="14"/>
        <v/>
      </c>
      <c r="AU232" s="11"/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9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2" t="str">
        <f t="array" ref="G233">IF($B233="","",IF(INDEX(SchedZone,MATCH($A233,SchedSeq,0),MAP!$B$14)="Neutral","Y",""))</f>
        <v/>
      </c>
      <c r="H233" s="2" t="str">
        <f t="array" ref="H233">IF($B233="","",INDEX(SchedZone,MATCH($A233,SchedSeq,0),MAP!$B$17))</f>
        <v/>
      </c>
      <c r="I233" s="2" t="str">
        <f>IF(OR($B233="",$C233&lt;&gt;CurrentWeek),"",COUNTIF($C$5:$C233,CurrentWeek))</f>
        <v/>
      </c>
      <c r="J233" s="2">
        <f t="array" ref="J233">IF($B233="","",IFERROR(INDEX(RatEff,MATCH($E233,RatTeams,0)),"⚠ TEAM NOT FOUND"))</f>
        <v>-0.48</v>
      </c>
      <c r="K233" s="2">
        <f t="array" ref="K233">IF($B233="","",IFERROR(INDEX(RatEff,MATCH($F233,RatTeams,0)),"⚠ TEAM NOT FOUND"))</f>
        <v>-0.06</v>
      </c>
      <c r="L233" s="2">
        <f t="shared" si="1"/>
        <v>0.42</v>
      </c>
      <c r="M233" s="2">
        <f t="array" ref="M233">IF($B233="","",IF($G233="Y",NeutralHFA,IFERROR(INDEX(HFAexcVal,MATCH($F233,HFAexcTeam,0)),HFA_Base)))</f>
        <v>1.6</v>
      </c>
      <c r="N233" s="2">
        <f t="array" ref="N233">IF($B233="","",IFERROR(INDEX(QBSpreadEff,MATCH($F233,QBTeams,0)),0)-IFERROR(INDEX(QBSpreadEff,MATCH($E233,QBTeams,0)),0))</f>
        <v>0</v>
      </c>
      <c r="O233" s="2">
        <f t="array" ref="O233">IF($B233="","",IFERROR(MEDIAN(-RestCapPts,RestCapPts,RestPerDay*(INDEX(SchedZone,MATCH($A233,SchedSeq,0),MAP!$B$16)-INDEX(SchedZone,MATCH($A233,SchedSeq,0),MAP!$B$15))),0))</f>
        <v>0</v>
      </c>
      <c r="P233" s="2">
        <f>IF($B233="","",SUMIFS(AdjSpread,AdjGameID,$B233,AdjTeam,$F233,AdjActive,1)-SUMIFS(AdjSpread,AdjGameID,$B233,AdjTeam,$E233,AdjActive,1))</f>
        <v>0</v>
      </c>
      <c r="Q233" s="2">
        <f t="shared" si="2"/>
        <v>2.02</v>
      </c>
      <c r="R233" s="11"/>
      <c r="S233" s="2">
        <f t="shared" si="3"/>
        <v>2.02</v>
      </c>
      <c r="T233" s="2" t="str">
        <f t="shared" si="4"/>
        <v>ATL -2.0</v>
      </c>
      <c r="U233" s="2" t="str">
        <f t="array" ref="U233">IF($B233="","",IFERROR(INDEX(MktHomeSpread,MATCH($B233,MktGameID,0)),""))</f>
        <v/>
      </c>
      <c r="V233" s="2" t="str">
        <f t="shared" si="5"/>
        <v/>
      </c>
      <c r="W233" s="2" t="str">
        <f t="shared" si="6"/>
        <v/>
      </c>
      <c r="X233" s="2" t="str">
        <f t="shared" si="7"/>
        <v/>
      </c>
      <c r="Y233" s="2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2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2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2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2">
        <f t="array" ref="AC233">IF($B233="","",IFERROR(INDEX(QBTotEff,MATCH($F233,QBTeams,0)),0)+IFERROR(INDEX(QBTotEff,MATCH($E233,QBTeams,0)),0))</f>
        <v>0</v>
      </c>
      <c r="AD233" s="2">
        <f>IF($B233="","",SUMIFS(AdjTot,AdjGameID,$B233,AdjActive,1))</f>
        <v>0</v>
      </c>
      <c r="AE233" s="2">
        <f t="shared" si="8"/>
        <v>0</v>
      </c>
      <c r="AF233" s="11"/>
      <c r="AG233" s="2">
        <f t="shared" si="9"/>
        <v>0</v>
      </c>
      <c r="AH233" s="2" t="str">
        <f t="array" ref="AH233">IF($B233="","",IFERROR(INDEX(MktTotal,MATCH($B233,MktGameID,0)),""))</f>
        <v/>
      </c>
      <c r="AI233" s="2" t="str">
        <f t="shared" si="10"/>
        <v/>
      </c>
      <c r="AJ233" s="2" t="str">
        <f t="shared" si="11"/>
        <v/>
      </c>
      <c r="AK233" s="2" t="str">
        <f t="shared" si="12"/>
        <v/>
      </c>
      <c r="AL233" s="2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2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2" t="str">
        <f>IF($AG233="","","BET OVER at ≤ "&amp;TEXT($AG233-BetTot,"0.0")&amp;"  |  BET UNDER at ≥ "&amp;TEXT($AG233+BetTot,"0.0"))</f>
        <v>BET OVER at ≤ -3.0  |  BET UNDER at ≥ 3.0</v>
      </c>
      <c r="AO233" s="2" t="str">
        <f t="array" ref="AO233">IF($B233="","",IF(OR(IFERROR(INDEX(QBFlag,MATCH($F233,QBTeams,0)),1)=1,IFERROR(INDEX(QBFlag,MATCH($E233,QBTeams,0)),1)=1),"QB UNCERTAIN",""))</f>
        <v>QB UNCERTAIN</v>
      </c>
      <c r="AP233" s="2" t="str">
        <f t="array" ref="AP233">IF($B233="","",IFERROR(INDEX(DQStatus,MATCH($B233,DQGameID,0)),"BLOCKED — DQ ROW NOT FOUND"))</f>
        <v>READY</v>
      </c>
      <c r="AQ233" s="2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2" t="str">
        <f t="shared" si="13"/>
        <v/>
      </c>
      <c r="AS233" s="2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2" t="str">
        <f t="shared" si="14"/>
        <v/>
      </c>
      <c r="AU233" s="11"/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9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2" t="str">
        <f t="array" ref="G234">IF($B234="","",IF(INDEX(SchedZone,MATCH($A234,SchedSeq,0),MAP!$B$14)="Neutral","Y",""))</f>
        <v/>
      </c>
      <c r="H234" s="2" t="str">
        <f t="array" ref="H234">IF($B234="","",INDEX(SchedZone,MATCH($A234,SchedSeq,0),MAP!$B$17))</f>
        <v>outdoors</v>
      </c>
      <c r="I234" s="2" t="str">
        <f>IF(OR($B234="",$C234&lt;&gt;CurrentWeek),"",COUNTIF($C$5:$C234,CurrentWeek))</f>
        <v/>
      </c>
      <c r="J234" s="2">
        <f t="array" ref="J234">IF($B234="","",IFERROR(INDEX(RatEff,MATCH($E234,RatTeams,0)),"⚠ TEAM NOT FOUND"))</f>
        <v>-2.6</v>
      </c>
      <c r="K234" s="2">
        <f t="array" ref="K234">IF($B234="","",IFERROR(INDEX(RatEff,MATCH($F234,RatTeams,0)),"⚠ TEAM NOT FOUND"))</f>
        <v>0.92</v>
      </c>
      <c r="L234" s="2">
        <f t="shared" si="1"/>
        <v>3.52</v>
      </c>
      <c r="M234" s="2">
        <f t="array" ref="M234">IF($B234="","",IF($G234="Y",NeutralHFA,IFERROR(INDEX(HFAexcVal,MATCH($F234,HFAexcTeam,0)),HFA_Base)))</f>
        <v>1.6</v>
      </c>
      <c r="N234" s="2">
        <f t="array" ref="N234">IF($B234="","",IFERROR(INDEX(QBSpreadEff,MATCH($F234,QBTeams,0)),0)-IFERROR(INDEX(QBSpreadEff,MATCH($E234,QBTeams,0)),0))</f>
        <v>0</v>
      </c>
      <c r="O234" s="2">
        <f t="array" ref="O234">IF($B234="","",IFERROR(MEDIAN(-RestCapPts,RestCapPts,RestPerDay*(INDEX(SchedZone,MATCH($A234,SchedSeq,0),MAP!$B$16)-INDEX(SchedZone,MATCH($A234,SchedSeq,0),MAP!$B$15))),0))</f>
        <v>0</v>
      </c>
      <c r="P234" s="2">
        <f>IF($B234="","",SUMIFS(AdjSpread,AdjGameID,$B234,AdjTeam,$F234,AdjActive,1)-SUMIFS(AdjSpread,AdjGameID,$B234,AdjTeam,$E234,AdjActive,1))</f>
        <v>0</v>
      </c>
      <c r="Q234" s="2">
        <f t="shared" si="2"/>
        <v>5.12</v>
      </c>
      <c r="R234" s="11"/>
      <c r="S234" s="2">
        <f t="shared" si="3"/>
        <v>5.12</v>
      </c>
      <c r="T234" s="2" t="str">
        <f t="shared" si="4"/>
        <v>BAL -5.1</v>
      </c>
      <c r="U234" s="2" t="str">
        <f t="array" ref="U234">IF($B234="","",IFERROR(INDEX(MktHomeSpread,MATCH($B234,MktGameID,0)),""))</f>
        <v/>
      </c>
      <c r="V234" s="2" t="str">
        <f t="shared" si="5"/>
        <v/>
      </c>
      <c r="W234" s="2" t="str">
        <f t="shared" si="6"/>
        <v/>
      </c>
      <c r="X234" s="2" t="str">
        <f t="shared" si="7"/>
        <v/>
      </c>
      <c r="Y234" s="2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2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2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2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2">
        <f t="array" ref="AC234">IF($B234="","",IFERROR(INDEX(QBTotEff,MATCH($F234,QBTeams,0)),0)+IFERROR(INDEX(QBTotEff,MATCH($E234,QBTeams,0)),0))</f>
        <v>0</v>
      </c>
      <c r="AD234" s="2">
        <f>IF($B234="","",SUMIFS(AdjTot,AdjGameID,$B234,AdjActive,1))</f>
        <v>0</v>
      </c>
      <c r="AE234" s="2">
        <f t="shared" si="8"/>
        <v>0</v>
      </c>
      <c r="AF234" s="11"/>
      <c r="AG234" s="2">
        <f t="shared" si="9"/>
        <v>0</v>
      </c>
      <c r="AH234" s="2" t="str">
        <f t="array" ref="AH234">IF($B234="","",IFERROR(INDEX(MktTotal,MATCH($B234,MktGameID,0)),""))</f>
        <v/>
      </c>
      <c r="AI234" s="2" t="str">
        <f t="shared" si="10"/>
        <v/>
      </c>
      <c r="AJ234" s="2" t="str">
        <f t="shared" si="11"/>
        <v/>
      </c>
      <c r="AK234" s="2" t="str">
        <f t="shared" si="12"/>
        <v/>
      </c>
      <c r="AL234" s="2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Low</v>
      </c>
      <c r="AM234" s="2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2" t="str">
        <f>IF($AG234="","","BET OVER at ≤ "&amp;TEXT($AG234-BetTot,"0.0")&amp;"  |  BET UNDER at ≥ "&amp;TEXT($AG234+BetTot,"0.0"))</f>
        <v>BET OVER at ≤ -3.0  |  BET UNDER at ≥ 3.0</v>
      </c>
      <c r="AO234" s="2" t="str">
        <f t="array" ref="AO234">IF($B234="","",IF(OR(IFERROR(INDEX(QBFlag,MATCH($F234,QBTeams,0)),1)=1,IFERROR(INDEX(QBFlag,MATCH($E234,QBTeams,0)),1)=1),"QB UNCERTAIN",""))</f>
        <v>QB UNCERTAIN</v>
      </c>
      <c r="AP234" s="2" t="str">
        <f t="array" ref="AP234">IF($B234="","",IFERROR(INDEX(DQStatus,MATCH($B234,DQGameID,0)),"BLOCKED — DQ ROW NOT FOUND"))</f>
        <v>READY</v>
      </c>
      <c r="AQ234" s="2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2" t="str">
        <f t="shared" si="13"/>
        <v/>
      </c>
      <c r="AS234" s="2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2" t="str">
        <f t="shared" si="14"/>
        <v/>
      </c>
      <c r="AU234" s="11"/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9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2" t="str">
        <f t="array" ref="G235">IF($B235="","",IF(INDEX(SchedZone,MATCH($A235,SchedSeq,0),MAP!$B$14)="Neutral","Y",""))</f>
        <v/>
      </c>
      <c r="H235" s="2" t="str">
        <f t="array" ref="H235">IF($B235="","",INDEX(SchedZone,MATCH($A235,SchedSeq,0),MAP!$B$17))</f>
        <v/>
      </c>
      <c r="I235" s="2" t="str">
        <f>IF(OR($B235="",$C235&lt;&gt;CurrentWeek),"",COUNTIF($C$5:$C235,CurrentWeek))</f>
        <v/>
      </c>
      <c r="J235" s="2">
        <f t="array" ref="J235">IF($B235="","",IFERROR(INDEX(RatEff,MATCH($E235,RatTeams,0)),"⚠ TEAM NOT FOUND"))</f>
        <v>-1.53</v>
      </c>
      <c r="K235" s="2">
        <f t="array" ref="K235">IF($B235="","",IFERROR(INDEX(RatEff,MATCH($F235,RatTeams,0)),"⚠ TEAM NOT FOUND"))</f>
        <v>0.82</v>
      </c>
      <c r="L235" s="2">
        <f t="shared" si="1"/>
        <v>2.35</v>
      </c>
      <c r="M235" s="2">
        <f t="array" ref="M235">IF($B235="","",IF($G235="Y",NeutralHFA,IFERROR(INDEX(HFAexcVal,MATCH($F235,HFAexcTeam,0)),HFA_Base)))</f>
        <v>1.6</v>
      </c>
      <c r="N235" s="2">
        <f t="array" ref="N235">IF($B235="","",IFERROR(INDEX(QBSpreadEff,MATCH($F235,QBTeams,0)),0)-IFERROR(INDEX(QBSpreadEff,MATCH($E235,QBTeams,0)),0))</f>
        <v>0</v>
      </c>
      <c r="O235" s="2">
        <f t="array" ref="O235">IF($B235="","",IFERROR(MEDIAN(-RestCapPts,RestCapPts,RestPerDay*(INDEX(SchedZone,MATCH($A235,SchedSeq,0),MAP!$B$16)-INDEX(SchedZone,MATCH($A235,SchedSeq,0),MAP!$B$15))),0))</f>
        <v>0</v>
      </c>
      <c r="P235" s="2">
        <f>IF($B235="","",SUMIFS(AdjSpread,AdjGameID,$B235,AdjTeam,$F235,AdjActive,1)-SUMIFS(AdjSpread,AdjGameID,$B235,AdjTeam,$E235,AdjActive,1))</f>
        <v>0</v>
      </c>
      <c r="Q235" s="2">
        <f t="shared" si="2"/>
        <v>3.95</v>
      </c>
      <c r="R235" s="11"/>
      <c r="S235" s="2">
        <f t="shared" si="3"/>
        <v>3.95</v>
      </c>
      <c r="T235" s="2" t="str">
        <f t="shared" si="4"/>
        <v>IND -4.0</v>
      </c>
      <c r="U235" s="2" t="str">
        <f t="array" ref="U235">IF($B235="","",IFERROR(INDEX(MktHomeSpread,MATCH($B235,MktGameID,0)),""))</f>
        <v/>
      </c>
      <c r="V235" s="2" t="str">
        <f t="shared" si="5"/>
        <v/>
      </c>
      <c r="W235" s="2" t="str">
        <f t="shared" si="6"/>
        <v/>
      </c>
      <c r="X235" s="2" t="str">
        <f t="shared" si="7"/>
        <v/>
      </c>
      <c r="Y235" s="2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2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2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2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2">
        <f t="array" ref="AC235">IF($B235="","",IFERROR(INDEX(QBTotEff,MATCH($F235,QBTeams,0)),0)+IFERROR(INDEX(QBTotEff,MATCH($E235,QBTeams,0)),0))</f>
        <v>0</v>
      </c>
      <c r="AD235" s="2">
        <f>IF($B235="","",SUMIFS(AdjTot,AdjGameID,$B235,AdjActive,1))</f>
        <v>0</v>
      </c>
      <c r="AE235" s="2">
        <f t="shared" si="8"/>
        <v>0</v>
      </c>
      <c r="AF235" s="11"/>
      <c r="AG235" s="2">
        <f t="shared" si="9"/>
        <v>0</v>
      </c>
      <c r="AH235" s="2" t="str">
        <f t="array" ref="AH235">IF($B235="","",IFERROR(INDEX(MktTotal,MATCH($B235,MktGameID,0)),""))</f>
        <v/>
      </c>
      <c r="AI235" s="2" t="str">
        <f t="shared" si="10"/>
        <v/>
      </c>
      <c r="AJ235" s="2" t="str">
        <f t="shared" si="11"/>
        <v/>
      </c>
      <c r="AK235" s="2" t="str">
        <f t="shared" si="12"/>
        <v/>
      </c>
      <c r="AL235" s="2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2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2" t="str">
        <f>IF($AG235="","","BET OVER at ≤ "&amp;TEXT($AG235-BetTot,"0.0")&amp;"  |  BET UNDER at ≥ "&amp;TEXT($AG235+BetTot,"0.0"))</f>
        <v>BET OVER at ≤ -3.0  |  BET UNDER at ≥ 3.0</v>
      </c>
      <c r="AO235" s="2" t="str">
        <f t="array" ref="AO235">IF($B235="","",IF(OR(IFERROR(INDEX(QBFlag,MATCH($F235,QBTeams,0)),1)=1,IFERROR(INDEX(QBFlag,MATCH($E235,QBTeams,0)),1)=1),"QB UNCERTAIN",""))</f>
        <v/>
      </c>
      <c r="AP235" s="2" t="str">
        <f t="array" ref="AP235">IF($B235="","",IFERROR(INDEX(DQStatus,MATCH($B235,DQGameID,0)),"BLOCKED — DQ ROW NOT FOUND"))</f>
        <v>READY</v>
      </c>
      <c r="AQ235" s="2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2" t="str">
        <f t="shared" si="13"/>
        <v/>
      </c>
      <c r="AS235" s="2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2" t="str">
        <f t="shared" si="14"/>
        <v/>
      </c>
      <c r="AU235" s="11"/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9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2" t="str">
        <f t="array" ref="G236">IF($B236="","",IF(INDEX(SchedZone,MATCH($A236,SchedSeq,0),MAP!$B$14)="Neutral","Y",""))</f>
        <v/>
      </c>
      <c r="H236" s="2" t="str">
        <f t="array" ref="H236">IF($B236="","",INDEX(SchedZone,MATCH($A236,SchedSeq,0),MAP!$B$17))</f>
        <v>outdoors</v>
      </c>
      <c r="I236" s="2" t="str">
        <f>IF(OR($B236="",$C236&lt;&gt;CurrentWeek),"",COUNTIF($C$5:$C236,CurrentWeek))</f>
        <v/>
      </c>
      <c r="J236" s="2">
        <f t="array" ref="J236">IF($B236="","",IFERROR(INDEX(RatEff,MATCH($E236,RatTeams,0)),"⚠ TEAM NOT FOUND"))</f>
        <v>0.56</v>
      </c>
      <c r="K236" s="2">
        <f t="array" ref="K236">IF($B236="","",IFERROR(INDEX(RatEff,MATCH($F236,RatTeams,0)),"⚠ TEAM NOT FOUND"))</f>
        <v>-2.64</v>
      </c>
      <c r="L236" s="2">
        <f t="shared" si="1"/>
        <v>-3.2</v>
      </c>
      <c r="M236" s="2">
        <f t="array" ref="M236">IF($B236="","",IF($G236="Y",NeutralHFA,IFERROR(INDEX(HFAexcVal,MATCH($F236,HFAexcTeam,0)),HFA_Base)))</f>
        <v>1.6</v>
      </c>
      <c r="N236" s="2">
        <f t="array" ref="N236">IF($B236="","",IFERROR(INDEX(QBSpreadEff,MATCH($F236,QBTeams,0)),0)-IFERROR(INDEX(QBSpreadEff,MATCH($E236,QBTeams,0)),0))</f>
        <v>0</v>
      </c>
      <c r="O236" s="2">
        <f t="array" ref="O236">IF($B236="","",IFERROR(MEDIAN(-RestCapPts,RestCapPts,RestPerDay*(INDEX(SchedZone,MATCH($A236,SchedSeq,0),MAP!$B$16)-INDEX(SchedZone,MATCH($A236,SchedSeq,0),MAP!$B$15))),0))</f>
        <v>-0.3</v>
      </c>
      <c r="P236" s="2">
        <f>IF($B236="","",SUMIFS(AdjSpread,AdjGameID,$B236,AdjTeam,$F236,AdjActive,1)-SUMIFS(AdjSpread,AdjGameID,$B236,AdjTeam,$E236,AdjActive,1))</f>
        <v>0</v>
      </c>
      <c r="Q236" s="2">
        <f t="shared" si="2"/>
        <v>-1.9</v>
      </c>
      <c r="R236" s="11"/>
      <c r="S236" s="2">
        <f t="shared" si="3"/>
        <v>-1.9</v>
      </c>
      <c r="T236" s="2" t="str">
        <f t="shared" si="4"/>
        <v>LAC -1.9</v>
      </c>
      <c r="U236" s="2" t="str">
        <f t="array" ref="U236">IF($B236="","",IFERROR(INDEX(MktHomeSpread,MATCH($B236,MktGameID,0)),""))</f>
        <v/>
      </c>
      <c r="V236" s="2" t="str">
        <f t="shared" si="5"/>
        <v/>
      </c>
      <c r="W236" s="2" t="str">
        <f t="shared" si="6"/>
        <v/>
      </c>
      <c r="X236" s="2" t="str">
        <f t="shared" si="7"/>
        <v/>
      </c>
      <c r="Y236" s="2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2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2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2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2">
        <f t="array" ref="AC236">IF($B236="","",IFERROR(INDEX(QBTotEff,MATCH($F236,QBTeams,0)),0)+IFERROR(INDEX(QBTotEff,MATCH($E236,QBTeams,0)),0))</f>
        <v>0</v>
      </c>
      <c r="AD236" s="2">
        <f>IF($B236="","",SUMIFS(AdjTot,AdjGameID,$B236,AdjActive,1))</f>
        <v>0</v>
      </c>
      <c r="AE236" s="2">
        <f t="shared" si="8"/>
        <v>0</v>
      </c>
      <c r="AF236" s="11"/>
      <c r="AG236" s="2">
        <f t="shared" si="9"/>
        <v>0</v>
      </c>
      <c r="AH236" s="2" t="str">
        <f t="array" ref="AH236">IF($B236="","",IFERROR(INDEX(MktTotal,MATCH($B236,MktGameID,0)),""))</f>
        <v/>
      </c>
      <c r="AI236" s="2" t="str">
        <f t="shared" si="10"/>
        <v/>
      </c>
      <c r="AJ236" s="2" t="str">
        <f t="shared" si="11"/>
        <v/>
      </c>
      <c r="AK236" s="2" t="str">
        <f t="shared" si="12"/>
        <v/>
      </c>
      <c r="AL236" s="2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2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2" t="str">
        <f>IF($AG236="","","BET OVER at ≤ "&amp;TEXT($AG236-BetTot,"0.0")&amp;"  |  BET UNDER at ≥ "&amp;TEXT($AG236+BetTot,"0.0"))</f>
        <v>BET OVER at ≤ -3.0  |  BET UNDER at ≥ 3.0</v>
      </c>
      <c r="AO236" s="2" t="str">
        <f t="array" ref="AO236">IF($B236="","",IF(OR(IFERROR(INDEX(QBFlag,MATCH($F236,QBTeams,0)),1)=1,IFERROR(INDEX(QBFlag,MATCH($E236,QBTeams,0)),1)=1),"QB UNCERTAIN",""))</f>
        <v/>
      </c>
      <c r="AP236" s="2" t="str">
        <f t="array" ref="AP236">IF($B236="","",IFERROR(INDEX(DQStatus,MATCH($B236,DQGameID,0)),"BLOCKED — DQ ROW NOT FOUND"))</f>
        <v>READY</v>
      </c>
      <c r="AQ236" s="2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2" t="str">
        <f t="shared" si="13"/>
        <v/>
      </c>
      <c r="AS236" s="2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2" t="str">
        <f t="shared" si="14"/>
        <v/>
      </c>
      <c r="AU236" s="11"/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9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2" t="str">
        <f t="array" ref="G237">IF($B237="","",IF(INDEX(SchedZone,MATCH($A237,SchedSeq,0),MAP!$B$14)="Neutral","Y",""))</f>
        <v/>
      </c>
      <c r="H237" s="2" t="str">
        <f t="array" ref="H237">IF($B237="","",INDEX(SchedZone,MATCH($A237,SchedSeq,0),MAP!$B$17))</f>
        <v>dome</v>
      </c>
      <c r="I237" s="2" t="str">
        <f>IF(OR($B237="",$C237&lt;&gt;CurrentWeek),"",COUNTIF($C$5:$C237,CurrentWeek))</f>
        <v/>
      </c>
      <c r="J237" s="2">
        <f t="array" ref="J237">IF($B237="","",IFERROR(INDEX(RatEff,MATCH($E237,RatTeams,0)),"⚠ TEAM NOT FOUND"))</f>
        <v>-2.02</v>
      </c>
      <c r="K237" s="2">
        <f t="array" ref="K237">IF($B237="","",IFERROR(INDEX(RatEff,MATCH($F237,RatTeams,0)),"⚠ TEAM NOT FOUND"))</f>
        <v>0.5</v>
      </c>
      <c r="L237" s="2">
        <f t="shared" si="1"/>
        <v>2.52</v>
      </c>
      <c r="M237" s="2">
        <f t="array" ref="M237">IF($B237="","",IF($G237="Y",NeutralHFA,IFERROR(INDEX(HFAexcVal,MATCH($F237,HFAexcTeam,0)),HFA_Base)))</f>
        <v>1.6</v>
      </c>
      <c r="N237" s="2">
        <f t="array" ref="N237">IF($B237="","",IFERROR(INDEX(QBSpreadEff,MATCH($F237,QBTeams,0)),0)-IFERROR(INDEX(QBSpreadEff,MATCH($E237,QBTeams,0)),0))</f>
        <v>0</v>
      </c>
      <c r="O237" s="2">
        <f t="array" ref="O237">IF($B237="","",IFERROR(MEDIAN(-RestCapPts,RestCapPts,RestPerDay*(INDEX(SchedZone,MATCH($A237,SchedSeq,0),MAP!$B$16)-INDEX(SchedZone,MATCH($A237,SchedSeq,0),MAP!$B$15))),0))</f>
        <v>0</v>
      </c>
      <c r="P237" s="2">
        <f>IF($B237="","",SUMIFS(AdjSpread,AdjGameID,$B237,AdjTeam,$F237,AdjActive,1)-SUMIFS(AdjSpread,AdjGameID,$B237,AdjTeam,$E237,AdjActive,1))</f>
        <v>0</v>
      </c>
      <c r="Q237" s="2">
        <f t="shared" si="2"/>
        <v>4.12</v>
      </c>
      <c r="R237" s="11"/>
      <c r="S237" s="2">
        <f t="shared" si="3"/>
        <v>4.12</v>
      </c>
      <c r="T237" s="2" t="str">
        <f t="shared" si="4"/>
        <v>MIN -4.1</v>
      </c>
      <c r="U237" s="2" t="str">
        <f t="array" ref="U237">IF($B237="","",IFERROR(INDEX(MktHomeSpread,MATCH($B237,MktGameID,0)),""))</f>
        <v/>
      </c>
      <c r="V237" s="2" t="str">
        <f t="shared" si="5"/>
        <v/>
      </c>
      <c r="W237" s="2" t="str">
        <f t="shared" si="6"/>
        <v/>
      </c>
      <c r="X237" s="2" t="str">
        <f t="shared" si="7"/>
        <v/>
      </c>
      <c r="Y237" s="2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2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2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2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2">
        <f t="array" ref="AC237">IF($B237="","",IFERROR(INDEX(QBTotEff,MATCH($F237,QBTeams,0)),0)+IFERROR(INDEX(QBTotEff,MATCH($E237,QBTeams,0)),0))</f>
        <v>0</v>
      </c>
      <c r="AD237" s="2">
        <f>IF($B237="","",SUMIFS(AdjTot,AdjGameID,$B237,AdjActive,1))</f>
        <v>0</v>
      </c>
      <c r="AE237" s="2">
        <f t="shared" si="8"/>
        <v>0</v>
      </c>
      <c r="AF237" s="11"/>
      <c r="AG237" s="2">
        <f t="shared" si="9"/>
        <v>0</v>
      </c>
      <c r="AH237" s="2" t="str">
        <f t="array" ref="AH237">IF($B237="","",IFERROR(INDEX(MktTotal,MATCH($B237,MktGameID,0)),""))</f>
        <v/>
      </c>
      <c r="AI237" s="2" t="str">
        <f t="shared" si="10"/>
        <v/>
      </c>
      <c r="AJ237" s="2" t="str">
        <f t="shared" si="11"/>
        <v/>
      </c>
      <c r="AK237" s="2" t="str">
        <f t="shared" si="12"/>
        <v/>
      </c>
      <c r="AL237" s="2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Low</v>
      </c>
      <c r="AM237" s="2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2" t="str">
        <f>IF($AG237="","","BET OVER at ≤ "&amp;TEXT($AG237-BetTot,"0.0")&amp;"  |  BET UNDER at ≥ "&amp;TEXT($AG237+BetTot,"0.0"))</f>
        <v>BET OVER at ≤ -3.0  |  BET UNDER at ≥ 3.0</v>
      </c>
      <c r="AO237" s="2" t="str">
        <f t="array" ref="AO237">IF($B237="","",IF(OR(IFERROR(INDEX(QBFlag,MATCH($F237,QBTeams,0)),1)=1,IFERROR(INDEX(QBFlag,MATCH($E237,QBTeams,0)),1)=1),"QB UNCERTAIN",""))</f>
        <v>QB UNCERTAIN</v>
      </c>
      <c r="AP237" s="2" t="str">
        <f t="array" ref="AP237">IF($B237="","",IFERROR(INDEX(DQStatus,MATCH($B237,DQGameID,0)),"BLOCKED — DQ ROW NOT FOUND"))</f>
        <v>READY</v>
      </c>
      <c r="AQ237" s="2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2" t="str">
        <f t="shared" si="13"/>
        <v/>
      </c>
      <c r="AS237" s="2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2" t="str">
        <f t="shared" si="14"/>
        <v/>
      </c>
      <c r="AU237" s="11"/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9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2" t="str">
        <f t="array" ref="G238">IF($B238="","",IF(INDEX(SchedZone,MATCH($A238,SchedSeq,0),MAP!$B$14)="Neutral","Y",""))</f>
        <v/>
      </c>
      <c r="H238" s="2" t="str">
        <f t="array" ref="H238">IF($B238="","",INDEX(SchedZone,MATCH($A238,SchedSeq,0),MAP!$B$17))</f>
        <v>dome</v>
      </c>
      <c r="I238" s="2" t="str">
        <f>IF(OR($B238="",$C238&lt;&gt;CurrentWeek),"",COUNTIF($C$5:$C238,CurrentWeek))</f>
        <v/>
      </c>
      <c r="J238" s="2">
        <f t="array" ref="J238">IF($B238="","",IFERROR(INDEX(RatEff,MATCH($E238,RatTeams,0)),"⚠ TEAM NOT FOUND"))</f>
        <v>-2.07</v>
      </c>
      <c r="K238" s="2">
        <f t="array" ref="K238">IF($B238="","",IFERROR(INDEX(RatEff,MATCH($F238,RatTeams,0)),"⚠ TEAM NOT FOUND"))</f>
        <v>-0.94</v>
      </c>
      <c r="L238" s="2">
        <f t="shared" si="1"/>
        <v>1.13</v>
      </c>
      <c r="M238" s="2">
        <f t="array" ref="M238">IF($B238="","",IF($G238="Y",NeutralHFA,IFERROR(INDEX(HFAexcVal,MATCH($F238,HFAexcTeam,0)),HFA_Base)))</f>
        <v>1.6</v>
      </c>
      <c r="N238" s="2">
        <f t="array" ref="N238">IF($B238="","",IFERROR(INDEX(QBSpreadEff,MATCH($F238,QBTeams,0)),0)-IFERROR(INDEX(QBSpreadEff,MATCH($E238,QBTeams,0)),0))</f>
        <v>0</v>
      </c>
      <c r="O238" s="2">
        <f t="array" ref="O238">IF($B238="","",IFERROR(MEDIAN(-RestCapPts,RestCapPts,RestPerDay*(INDEX(SchedZone,MATCH($A238,SchedSeq,0),MAP!$B$16)-INDEX(SchedZone,MATCH($A238,SchedSeq,0),MAP!$B$15))),0))</f>
        <v>0</v>
      </c>
      <c r="P238" s="2">
        <f>IF($B238="","",SUMIFS(AdjSpread,AdjGameID,$B238,AdjTeam,$F238,AdjActive,1)-SUMIFS(AdjSpread,AdjGameID,$B238,AdjTeam,$E238,AdjActive,1))</f>
        <v>0</v>
      </c>
      <c r="Q238" s="2">
        <f t="shared" si="2"/>
        <v>2.73</v>
      </c>
      <c r="R238" s="11"/>
      <c r="S238" s="2">
        <f t="shared" si="3"/>
        <v>2.73</v>
      </c>
      <c r="T238" s="2" t="str">
        <f t="shared" si="4"/>
        <v>NO -2.7</v>
      </c>
      <c r="U238" s="2" t="str">
        <f t="array" ref="U238">IF($B238="","",IFERROR(INDEX(MktHomeSpread,MATCH($B238,MktGameID,0)),""))</f>
        <v/>
      </c>
      <c r="V238" s="2" t="str">
        <f t="shared" si="5"/>
        <v/>
      </c>
      <c r="W238" s="2" t="str">
        <f t="shared" si="6"/>
        <v/>
      </c>
      <c r="X238" s="2" t="str">
        <f t="shared" si="7"/>
        <v/>
      </c>
      <c r="Y238" s="2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2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2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2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2">
        <f t="array" ref="AC238">IF($B238="","",IFERROR(INDEX(QBTotEff,MATCH($F238,QBTeams,0)),0)+IFERROR(INDEX(QBTotEff,MATCH($E238,QBTeams,0)),0))</f>
        <v>0</v>
      </c>
      <c r="AD238" s="2">
        <f>IF($B238="","",SUMIFS(AdjTot,AdjGameID,$B238,AdjActive,1))</f>
        <v>0</v>
      </c>
      <c r="AE238" s="2">
        <f t="shared" si="8"/>
        <v>0</v>
      </c>
      <c r="AF238" s="11"/>
      <c r="AG238" s="2">
        <f t="shared" si="9"/>
        <v>0</v>
      </c>
      <c r="AH238" s="2" t="str">
        <f t="array" ref="AH238">IF($B238="","",IFERROR(INDEX(MktTotal,MATCH($B238,MktGameID,0)),""))</f>
        <v/>
      </c>
      <c r="AI238" s="2" t="str">
        <f t="shared" si="10"/>
        <v/>
      </c>
      <c r="AJ238" s="2" t="str">
        <f t="shared" si="11"/>
        <v/>
      </c>
      <c r="AK238" s="2" t="str">
        <f t="shared" si="12"/>
        <v/>
      </c>
      <c r="AL238" s="2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Low</v>
      </c>
      <c r="AM238" s="2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2" t="str">
        <f>IF($AG238="","","BET OVER at ≤ "&amp;TEXT($AG238-BetTot,"0.0")&amp;"  |  BET UNDER at ≥ "&amp;TEXT($AG238+BetTot,"0.0"))</f>
        <v>BET OVER at ≤ -3.0  |  BET UNDER at ≥ 3.0</v>
      </c>
      <c r="AO238" s="2" t="str">
        <f t="array" ref="AO238">IF($B238="","",IF(OR(IFERROR(INDEX(QBFlag,MATCH($F238,QBTeams,0)),1)=1,IFERROR(INDEX(QBFlag,MATCH($E238,QBTeams,0)),1)=1),"QB UNCERTAIN",""))</f>
        <v>QB UNCERTAIN</v>
      </c>
      <c r="AP238" s="2" t="str">
        <f t="array" ref="AP238">IF($B238="","",IFERROR(INDEX(DQStatus,MATCH($B238,DQGameID,0)),"BLOCKED — DQ ROW NOT FOUND"))</f>
        <v>READY</v>
      </c>
      <c r="AQ238" s="2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2" t="str">
        <f t="shared" si="13"/>
        <v/>
      </c>
      <c r="AS238" s="2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2" t="str">
        <f t="shared" si="14"/>
        <v/>
      </c>
      <c r="AU238" s="11"/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9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2" t="str">
        <f t="array" ref="G239">IF($B239="","",IF(INDEX(SchedZone,MATCH($A239,SchedSeq,0),MAP!$B$14)="Neutral","Y",""))</f>
        <v/>
      </c>
      <c r="H239" s="2" t="str">
        <f t="array" ref="H239">IF($B239="","",INDEX(SchedZone,MATCH($A239,SchedSeq,0),MAP!$B$17))</f>
        <v>outdoors</v>
      </c>
      <c r="I239" s="2" t="str">
        <f>IF(OR($B239="",$C239&lt;&gt;CurrentWeek),"",COUNTIF($C$5:$C239,CurrentWeek))</f>
        <v/>
      </c>
      <c r="J239" s="2">
        <f t="array" ref="J239">IF($B239="","",IFERROR(INDEX(RatEff,MATCH($E239,RatTeams,0)),"⚠ TEAM NOT FOUND"))</f>
        <v>2.09</v>
      </c>
      <c r="K239" s="2">
        <f t="array" ref="K239">IF($B239="","",IFERROR(INDEX(RatEff,MATCH($F239,RatTeams,0)),"⚠ TEAM NOT FOUND"))</f>
        <v>-4.67</v>
      </c>
      <c r="L239" s="2">
        <f t="shared" si="1"/>
        <v>-6.76</v>
      </c>
      <c r="M239" s="2">
        <f t="array" ref="M239">IF($B239="","",IF($G239="Y",NeutralHFA,IFERROR(INDEX(HFAexcVal,MATCH($F239,HFAexcTeam,0)),HFA_Base)))</f>
        <v>1.6</v>
      </c>
      <c r="N239" s="2">
        <f t="array" ref="N239">IF($B239="","",IFERROR(INDEX(QBSpreadEff,MATCH($F239,QBTeams,0)),0)-IFERROR(INDEX(QBSpreadEff,MATCH($E239,QBTeams,0)),0))</f>
        <v>0</v>
      </c>
      <c r="O239" s="2">
        <f t="array" ref="O239">IF($B239="","",IFERROR(MEDIAN(-RestCapPts,RestCapPts,RestPerDay*(INDEX(SchedZone,MATCH($A239,SchedSeq,0),MAP!$B$16)-INDEX(SchedZone,MATCH($A239,SchedSeq,0),MAP!$B$15))),0))</f>
        <v>0.1</v>
      </c>
      <c r="P239" s="2">
        <f>IF($B239="","",SUMIFS(AdjSpread,AdjGameID,$B239,AdjTeam,$F239,AdjActive,1)-SUMIFS(AdjSpread,AdjGameID,$B239,AdjTeam,$E239,AdjActive,1))</f>
        <v>0</v>
      </c>
      <c r="Q239" s="2">
        <f t="shared" si="2"/>
        <v>-5.06</v>
      </c>
      <c r="R239" s="11"/>
      <c r="S239" s="2">
        <f t="shared" si="3"/>
        <v>-5.06</v>
      </c>
      <c r="T239" s="2" t="str">
        <f t="shared" si="4"/>
        <v>NE -5.1</v>
      </c>
      <c r="U239" s="2" t="str">
        <f t="array" ref="U239">IF($B239="","",IFERROR(INDEX(MktHomeSpread,MATCH($B239,MktGameID,0)),""))</f>
        <v/>
      </c>
      <c r="V239" s="2" t="str">
        <f t="shared" si="5"/>
        <v/>
      </c>
      <c r="W239" s="2" t="str">
        <f t="shared" si="6"/>
        <v/>
      </c>
      <c r="X239" s="2" t="str">
        <f t="shared" si="7"/>
        <v/>
      </c>
      <c r="Y239" s="2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2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2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2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2">
        <f t="array" ref="AC239">IF($B239="","",IFERROR(INDEX(QBTotEff,MATCH($F239,QBTeams,0)),0)+IFERROR(INDEX(QBTotEff,MATCH($E239,QBTeams,0)),0))</f>
        <v>0</v>
      </c>
      <c r="AD239" s="2">
        <f>IF($B239="","",SUMIFS(AdjTot,AdjGameID,$B239,AdjActive,1))</f>
        <v>0</v>
      </c>
      <c r="AE239" s="2">
        <f t="shared" si="8"/>
        <v>0</v>
      </c>
      <c r="AF239" s="11"/>
      <c r="AG239" s="2">
        <f t="shared" si="9"/>
        <v>0</v>
      </c>
      <c r="AH239" s="2" t="str">
        <f t="array" ref="AH239">IF($B239="","",IFERROR(INDEX(MktTotal,MATCH($B239,MktGameID,0)),""))</f>
        <v/>
      </c>
      <c r="AI239" s="2" t="str">
        <f t="shared" si="10"/>
        <v/>
      </c>
      <c r="AJ239" s="2" t="str">
        <f t="shared" si="11"/>
        <v/>
      </c>
      <c r="AK239" s="2" t="str">
        <f t="shared" si="12"/>
        <v/>
      </c>
      <c r="AL239" s="2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2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2" t="str">
        <f>IF($AG239="","","BET OVER at ≤ "&amp;TEXT($AG239-BetTot,"0.0")&amp;"  |  BET UNDER at ≥ "&amp;TEXT($AG239+BetTot,"0.0"))</f>
        <v>BET OVER at ≤ -3.0  |  BET UNDER at ≥ 3.0</v>
      </c>
      <c r="AO239" s="2" t="str">
        <f t="array" ref="AO239">IF($B239="","",IF(OR(IFERROR(INDEX(QBFlag,MATCH($F239,QBTeams,0)),1)=1,IFERROR(INDEX(QBFlag,MATCH($E239,QBTeams,0)),1)=1),"QB UNCERTAIN",""))</f>
        <v/>
      </c>
      <c r="AP239" s="2" t="str">
        <f t="array" ref="AP239">IF($B239="","",IFERROR(INDEX(DQStatus,MATCH($B239,DQGameID,0)),"BLOCKED — DQ ROW NOT FOUND"))</f>
        <v>READY</v>
      </c>
      <c r="AQ239" s="2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2" t="str">
        <f t="shared" si="13"/>
        <v/>
      </c>
      <c r="AS239" s="2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2" t="str">
        <f t="shared" si="14"/>
        <v/>
      </c>
      <c r="AU239" s="11"/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9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2" t="str">
        <f t="array" ref="G240">IF($B240="","",IF(INDEX(SchedZone,MATCH($A240,SchedSeq,0),MAP!$B$14)="Neutral","Y",""))</f>
        <v/>
      </c>
      <c r="H240" s="2" t="str">
        <f t="array" ref="H240">IF($B240="","",INDEX(SchedZone,MATCH($A240,SchedSeq,0),MAP!$B$17))</f>
        <v>outdoors</v>
      </c>
      <c r="I240" s="2" t="str">
        <f>IF(OR($B240="",$C240&lt;&gt;CurrentWeek),"",COUNTIF($C$5:$C240,CurrentWeek))</f>
        <v/>
      </c>
      <c r="J240" s="2">
        <f t="array" ref="J240">IF($B240="","",IFERROR(INDEX(RatEff,MATCH($E240,RatTeams,0)),"⚠ TEAM NOT FOUND"))</f>
        <v>-1.3</v>
      </c>
      <c r="K240" s="2">
        <f t="array" ref="K240">IF($B240="","",IFERROR(INDEX(RatEff,MATCH($F240,RatTeams,0)),"⚠ TEAM NOT FOUND"))</f>
        <v>0.66</v>
      </c>
      <c r="L240" s="2">
        <f t="shared" si="1"/>
        <v>1.96</v>
      </c>
      <c r="M240" s="2">
        <f t="array" ref="M240">IF($B240="","",IF($G240="Y",NeutralHFA,IFERROR(INDEX(HFAexcVal,MATCH($F240,HFAexcTeam,0)),HFA_Base)))</f>
        <v>1.6</v>
      </c>
      <c r="N240" s="2">
        <f t="array" ref="N240">IF($B240="","",IFERROR(INDEX(QBSpreadEff,MATCH($F240,QBTeams,0)),0)-IFERROR(INDEX(QBSpreadEff,MATCH($E240,QBTeams,0)),0))</f>
        <v>0</v>
      </c>
      <c r="O240" s="2">
        <f t="array" ref="O240">IF($B240="","",IFERROR(MEDIAN(-RestCapPts,RestCapPts,RestPerDay*(INDEX(SchedZone,MATCH($A240,SchedSeq,0),MAP!$B$16)-INDEX(SchedZone,MATCH($A240,SchedSeq,0),MAP!$B$15))),0))</f>
        <v>0</v>
      </c>
      <c r="P240" s="2">
        <f>IF($B240="","",SUMIFS(AdjSpread,AdjGameID,$B240,AdjTeam,$F240,AdjActive,1)-SUMIFS(AdjSpread,AdjGameID,$B240,AdjTeam,$E240,AdjActive,1))</f>
        <v>0</v>
      </c>
      <c r="Q240" s="2">
        <f t="shared" si="2"/>
        <v>3.56</v>
      </c>
      <c r="R240" s="11"/>
      <c r="S240" s="2">
        <f t="shared" si="3"/>
        <v>3.56</v>
      </c>
      <c r="T240" s="2" t="str">
        <f t="shared" si="4"/>
        <v>PIT -3.6</v>
      </c>
      <c r="U240" s="2" t="str">
        <f t="array" ref="U240">IF($B240="","",IFERROR(INDEX(MktHomeSpread,MATCH($B240,MktGameID,0)),""))</f>
        <v/>
      </c>
      <c r="V240" s="2" t="str">
        <f t="shared" si="5"/>
        <v/>
      </c>
      <c r="W240" s="2" t="str">
        <f t="shared" si="6"/>
        <v/>
      </c>
      <c r="X240" s="2" t="str">
        <f t="shared" si="7"/>
        <v/>
      </c>
      <c r="Y240" s="2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2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2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2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2">
        <f t="array" ref="AC240">IF($B240="","",IFERROR(INDEX(QBTotEff,MATCH($F240,QBTeams,0)),0)+IFERROR(INDEX(QBTotEff,MATCH($E240,QBTeams,0)),0))</f>
        <v>0</v>
      </c>
      <c r="AD240" s="2">
        <f>IF($B240="","",SUMIFS(AdjTot,AdjGameID,$B240,AdjActive,1))</f>
        <v>0</v>
      </c>
      <c r="AE240" s="2">
        <f t="shared" si="8"/>
        <v>0</v>
      </c>
      <c r="AF240" s="11"/>
      <c r="AG240" s="2">
        <f t="shared" si="9"/>
        <v>0</v>
      </c>
      <c r="AH240" s="2" t="str">
        <f t="array" ref="AH240">IF($B240="","",IFERROR(INDEX(MktTotal,MATCH($B240,MktGameID,0)),""))</f>
        <v/>
      </c>
      <c r="AI240" s="2" t="str">
        <f t="shared" si="10"/>
        <v/>
      </c>
      <c r="AJ240" s="2" t="str">
        <f t="shared" si="11"/>
        <v/>
      </c>
      <c r="AK240" s="2" t="str">
        <f t="shared" si="12"/>
        <v/>
      </c>
      <c r="AL240" s="2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2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2" t="str">
        <f>IF($AG240="","","BET OVER at ≤ "&amp;TEXT($AG240-BetTot,"0.0")&amp;"  |  BET UNDER at ≥ "&amp;TEXT($AG240+BetTot,"0.0"))</f>
        <v>BET OVER at ≤ -3.0  |  BET UNDER at ≥ 3.0</v>
      </c>
      <c r="AO240" s="2" t="str">
        <f t="array" ref="AO240">IF($B240="","",IF(OR(IFERROR(INDEX(QBFlag,MATCH($F240,QBTeams,0)),1)=1,IFERROR(INDEX(QBFlag,MATCH($E240,QBTeams,0)),1)=1),"QB UNCERTAIN",""))</f>
        <v/>
      </c>
      <c r="AP240" s="2" t="str">
        <f t="array" ref="AP240">IF($B240="","",IFERROR(INDEX(DQStatus,MATCH($B240,DQGameID,0)),"BLOCKED — DQ ROW NOT FOUND"))</f>
        <v>READY</v>
      </c>
      <c r="AQ240" s="2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2" t="str">
        <f t="shared" si="13"/>
        <v/>
      </c>
      <c r="AS240" s="2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2" t="str">
        <f t="shared" si="14"/>
        <v/>
      </c>
      <c r="AU240" s="11"/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9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2" t="str">
        <f t="array" ref="G241">IF($B241="","",IF(INDEX(SchedZone,MATCH($A241,SchedSeq,0),MAP!$B$14)="Neutral","Y",""))</f>
        <v/>
      </c>
      <c r="H241" s="2" t="str">
        <f t="array" ref="H241">IF($B241="","",INDEX(SchedZone,MATCH($A241,SchedSeq,0),MAP!$B$17))</f>
        <v>dome</v>
      </c>
      <c r="I241" s="2" t="str">
        <f>IF(OR($B241="",$C241&lt;&gt;CurrentWeek),"",COUNTIF($C$5:$C241,CurrentWeek))</f>
        <v/>
      </c>
      <c r="J241" s="2">
        <f t="array" ref="J241">IF($B241="","",IFERROR(INDEX(RatEff,MATCH($E241,RatTeams,0)),"⚠ TEAM NOT FOUND"))</f>
        <v>-3.14</v>
      </c>
      <c r="K241" s="2">
        <f t="array" ref="K241">IF($B241="","",IFERROR(INDEX(RatEff,MATCH($F241,RatTeams,0)),"⚠ TEAM NOT FOUND"))</f>
        <v>-3.52</v>
      </c>
      <c r="L241" s="2">
        <f t="shared" si="1"/>
        <v>-0.38</v>
      </c>
      <c r="M241" s="2">
        <f t="array" ref="M241">IF($B241="","",IF($G241="Y",NeutralHFA,IFERROR(INDEX(HFAexcVal,MATCH($F241,HFAexcTeam,0)),HFA_Base)))</f>
        <v>1.6</v>
      </c>
      <c r="N241" s="2">
        <f t="array" ref="N241">IF($B241="","",IFERROR(INDEX(QBSpreadEff,MATCH($F241,QBTeams,0)),0)-IFERROR(INDEX(QBSpreadEff,MATCH($E241,QBTeams,0)),0))</f>
        <v>0</v>
      </c>
      <c r="O241" s="2">
        <f t="array" ref="O241">IF($B241="","",IFERROR(MEDIAN(-RestCapPts,RestCapPts,RestPerDay*(INDEX(SchedZone,MATCH($A241,SchedSeq,0),MAP!$B$16)-INDEX(SchedZone,MATCH($A241,SchedSeq,0),MAP!$B$15))),0))</f>
        <v>0</v>
      </c>
      <c r="P241" s="2">
        <f>IF($B241="","",SUMIFS(AdjSpread,AdjGameID,$B241,AdjTeam,$F241,AdjActive,1)-SUMIFS(AdjSpread,AdjGameID,$B241,AdjTeam,$E241,AdjActive,1))</f>
        <v>0</v>
      </c>
      <c r="Q241" s="2">
        <f t="shared" si="2"/>
        <v>1.22</v>
      </c>
      <c r="R241" s="11"/>
      <c r="S241" s="2">
        <f t="shared" si="3"/>
        <v>1.22</v>
      </c>
      <c r="T241" s="2" t="str">
        <f t="shared" si="4"/>
        <v>LV -1.2</v>
      </c>
      <c r="U241" s="2" t="str">
        <f t="array" ref="U241">IF($B241="","",IFERROR(INDEX(MktHomeSpread,MATCH($B241,MktGameID,0)),""))</f>
        <v/>
      </c>
      <c r="V241" s="2" t="str">
        <f t="shared" si="5"/>
        <v/>
      </c>
      <c r="W241" s="2" t="str">
        <f t="shared" si="6"/>
        <v/>
      </c>
      <c r="X241" s="2" t="str">
        <f t="shared" si="7"/>
        <v/>
      </c>
      <c r="Y241" s="2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2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2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2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2">
        <f t="array" ref="AC241">IF($B241="","",IFERROR(INDEX(QBTotEff,MATCH($F241,QBTeams,0)),0)+IFERROR(INDEX(QBTotEff,MATCH($E241,QBTeams,0)),0))</f>
        <v>0</v>
      </c>
      <c r="AD241" s="2">
        <f>IF($B241="","",SUMIFS(AdjTot,AdjGameID,$B241,AdjActive,1))</f>
        <v>0</v>
      </c>
      <c r="AE241" s="2">
        <f t="shared" si="8"/>
        <v>0</v>
      </c>
      <c r="AF241" s="11"/>
      <c r="AG241" s="2">
        <f t="shared" si="9"/>
        <v>0</v>
      </c>
      <c r="AH241" s="2" t="str">
        <f t="array" ref="AH241">IF($B241="","",IFERROR(INDEX(MktTotal,MATCH($B241,MktGameID,0)),""))</f>
        <v/>
      </c>
      <c r="AI241" s="2" t="str">
        <f t="shared" si="10"/>
        <v/>
      </c>
      <c r="AJ241" s="2" t="str">
        <f t="shared" si="11"/>
        <v/>
      </c>
      <c r="AK241" s="2" t="str">
        <f t="shared" si="12"/>
        <v/>
      </c>
      <c r="AL241" s="2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2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2" t="str">
        <f>IF($AG241="","","BET OVER at ≤ "&amp;TEXT($AG241-BetTot,"0.0")&amp;"  |  BET UNDER at ≥ "&amp;TEXT($AG241+BetTot,"0.0"))</f>
        <v>BET OVER at ≤ -3.0  |  BET UNDER at ≥ 3.0</v>
      </c>
      <c r="AO241" s="2" t="str">
        <f t="array" ref="AO241">IF($B241="","",IF(OR(IFERROR(INDEX(QBFlag,MATCH($F241,QBTeams,0)),1)=1,IFERROR(INDEX(QBFlag,MATCH($E241,QBTeams,0)),1)=1),"QB UNCERTAIN",""))</f>
        <v/>
      </c>
      <c r="AP241" s="2" t="str">
        <f t="array" ref="AP241">IF($B241="","",IFERROR(INDEX(DQStatus,MATCH($B241,DQGameID,0)),"BLOCKED — DQ ROW NOT FOUND"))</f>
        <v>READY</v>
      </c>
      <c r="AQ241" s="2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2" t="str">
        <f t="shared" si="13"/>
        <v/>
      </c>
      <c r="AS241" s="2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2" t="str">
        <f t="shared" si="14"/>
        <v/>
      </c>
      <c r="AU241" s="11"/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9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2" t="str">
        <f t="array" ref="G242">IF($B242="","",IF(INDEX(SchedZone,MATCH($A242,SchedSeq,0),MAP!$B$14)="Neutral","Y",""))</f>
        <v/>
      </c>
      <c r="H242" s="2" t="str">
        <f t="array" ref="H242">IF($B242="","",INDEX(SchedZone,MATCH($A242,SchedSeq,0),MAP!$B$17))</f>
        <v>outdoors</v>
      </c>
      <c r="I242" s="2" t="str">
        <f>IF(OR($B242="",$C242&lt;&gt;CurrentWeek),"",COUNTIF($C$5:$C242,CurrentWeek))</f>
        <v/>
      </c>
      <c r="J242" s="2">
        <f t="array" ref="J242">IF($B242="","",IFERROR(INDEX(RatEff,MATCH($E242,RatTeams,0)),"⚠ TEAM NOT FOUND"))</f>
        <v>1.78</v>
      </c>
      <c r="K242" s="2">
        <f t="array" ref="K242">IF($B242="","",IFERROR(INDEX(RatEff,MATCH($F242,RatTeams,0)),"⚠ TEAM NOT FOUND"))</f>
        <v>-0.04</v>
      </c>
      <c r="L242" s="2">
        <f t="shared" si="1"/>
        <v>-1.82</v>
      </c>
      <c r="M242" s="2">
        <f t="array" ref="M242">IF($B242="","",IF($G242="Y",NeutralHFA,IFERROR(INDEX(HFAexcVal,MATCH($F242,HFAexcTeam,0)),HFA_Base)))</f>
        <v>1.6</v>
      </c>
      <c r="N242" s="2">
        <f t="array" ref="N242">IF($B242="","",IFERROR(INDEX(QBSpreadEff,MATCH($F242,QBTeams,0)),0)-IFERROR(INDEX(QBSpreadEff,MATCH($E242,QBTeams,0)),0))</f>
        <v>0</v>
      </c>
      <c r="O242" s="2">
        <f t="array" ref="O242">IF($B242="","",IFERROR(MEDIAN(-RestCapPts,RestCapPts,RestPerDay*(INDEX(SchedZone,MATCH($A242,SchedSeq,0),MAP!$B$16)-INDEX(SchedZone,MATCH($A242,SchedSeq,0),MAP!$B$15))),0))</f>
        <v>-0.4</v>
      </c>
      <c r="P242" s="2">
        <f>IF($B242="","",SUMIFS(AdjSpread,AdjGameID,$B242,AdjTeam,$F242,AdjActive,1)-SUMIFS(AdjSpread,AdjGameID,$B242,AdjTeam,$E242,AdjActive,1))</f>
        <v>0</v>
      </c>
      <c r="Q242" s="2">
        <f t="shared" si="2"/>
        <v>-0.62</v>
      </c>
      <c r="R242" s="11"/>
      <c r="S242" s="2">
        <f t="shared" si="3"/>
        <v>-0.62</v>
      </c>
      <c r="T242" s="2" t="str">
        <f t="shared" si="4"/>
        <v>SF -0.6</v>
      </c>
      <c r="U242" s="2" t="str">
        <f t="array" ref="U242">IF($B242="","",IFERROR(INDEX(MktHomeSpread,MATCH($B242,MktGameID,0)),""))</f>
        <v/>
      </c>
      <c r="V242" s="2" t="str">
        <f t="shared" si="5"/>
        <v/>
      </c>
      <c r="W242" s="2" t="str">
        <f t="shared" si="6"/>
        <v/>
      </c>
      <c r="X242" s="2" t="str">
        <f t="shared" si="7"/>
        <v/>
      </c>
      <c r="Y242" s="2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2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2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2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2">
        <f t="array" ref="AC242">IF($B242="","",IFERROR(INDEX(QBTotEff,MATCH($F242,QBTeams,0)),0)+IFERROR(INDEX(QBTotEff,MATCH($E242,QBTeams,0)),0))</f>
        <v>0</v>
      </c>
      <c r="AD242" s="2">
        <f>IF($B242="","",SUMIFS(AdjTot,AdjGameID,$B242,AdjActive,1))</f>
        <v>0</v>
      </c>
      <c r="AE242" s="2">
        <f t="shared" si="8"/>
        <v>0</v>
      </c>
      <c r="AF242" s="11"/>
      <c r="AG242" s="2">
        <f t="shared" si="9"/>
        <v>0</v>
      </c>
      <c r="AH242" s="2" t="str">
        <f t="array" ref="AH242">IF($B242="","",IFERROR(INDEX(MktTotal,MATCH($B242,MktGameID,0)),""))</f>
        <v/>
      </c>
      <c r="AI242" s="2" t="str">
        <f t="shared" si="10"/>
        <v/>
      </c>
      <c r="AJ242" s="2" t="str">
        <f t="shared" si="11"/>
        <v/>
      </c>
      <c r="AK242" s="2" t="str">
        <f t="shared" si="12"/>
        <v/>
      </c>
      <c r="AL242" s="2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Medium</v>
      </c>
      <c r="AM242" s="2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2" t="str">
        <f>IF($AG242="","","BET OVER at ≤ "&amp;TEXT($AG242-BetTot,"0.0")&amp;"  |  BET UNDER at ≥ "&amp;TEXT($AG242+BetTot,"0.0"))</f>
        <v>BET OVER at ≤ -3.0  |  BET UNDER at ≥ 3.0</v>
      </c>
      <c r="AO242" s="2" t="str">
        <f t="array" ref="AO242">IF($B242="","",IF(OR(IFERROR(INDEX(QBFlag,MATCH($F242,QBTeams,0)),1)=1,IFERROR(INDEX(QBFlag,MATCH($E242,QBTeams,0)),1)=1),"QB UNCERTAIN",""))</f>
        <v/>
      </c>
      <c r="AP242" s="2" t="str">
        <f t="array" ref="AP242">IF($B242="","",IFERROR(INDEX(DQStatus,MATCH($B242,DQGameID,0)),"BLOCKED — DQ ROW NOT FOUND"))</f>
        <v>READY</v>
      </c>
      <c r="AQ242" s="2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2" t="str">
        <f t="shared" si="13"/>
        <v/>
      </c>
      <c r="AS242" s="2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2" t="str">
        <f t="shared" si="14"/>
        <v/>
      </c>
      <c r="AU242" s="11"/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9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2" t="str">
        <f t="array" ref="G243">IF($B243="","",IF(INDEX(SchedZone,MATCH($A243,SchedSeq,0),MAP!$B$14)="Neutral","Y",""))</f>
        <v/>
      </c>
      <c r="H243" s="2" t="str">
        <f t="array" ref="H243">IF($B243="","",INDEX(SchedZone,MATCH($A243,SchedSeq,0),MAP!$B$17))</f>
        <v/>
      </c>
      <c r="I243" s="2" t="str">
        <f>IF(OR($B243="",$C243&lt;&gt;CurrentWeek),"",COUNTIF($C$5:$C243,CurrentWeek))</f>
        <v/>
      </c>
      <c r="J243" s="2">
        <f t="array" ref="J243">IF($B243="","",IFERROR(INDEX(RatEff,MATCH($E243,RatTeams,0)),"⚠ TEAM NOT FOUND"))</f>
        <v>3.22</v>
      </c>
      <c r="K243" s="2">
        <f t="array" ref="K243">IF($B243="","",IFERROR(INDEX(RatEff,MATCH($F243,RatTeams,0)),"⚠ TEAM NOT FOUND"))</f>
        <v>-2.26</v>
      </c>
      <c r="L243" s="2">
        <f t="shared" si="1"/>
        <v>-5.48</v>
      </c>
      <c r="M243" s="2">
        <f t="array" ref="M243">IF($B243="","",IF($G243="Y",NeutralHFA,IFERROR(INDEX(HFAexcVal,MATCH($F243,HFAexcTeam,0)),HFA_Base)))</f>
        <v>1.6</v>
      </c>
      <c r="N243" s="2">
        <f t="array" ref="N243">IF($B243="","",IFERROR(INDEX(QBSpreadEff,MATCH($F243,QBTeams,0)),0)-IFERROR(INDEX(QBSpreadEff,MATCH($E243,QBTeams,0)),0))</f>
        <v>0</v>
      </c>
      <c r="O243" s="2">
        <f t="array" ref="O243">IF($B243="","",IFERROR(MEDIAN(-RestCapPts,RestCapPts,RestPerDay*(INDEX(SchedZone,MATCH($A243,SchedSeq,0),MAP!$B$16)-INDEX(SchedZone,MATCH($A243,SchedSeq,0),MAP!$B$15))),0))</f>
        <v>0</v>
      </c>
      <c r="P243" s="2">
        <f>IF($B243="","",SUMIFS(AdjSpread,AdjGameID,$B243,AdjTeam,$F243,AdjActive,1)-SUMIFS(AdjSpread,AdjGameID,$B243,AdjTeam,$E243,AdjActive,1))</f>
        <v>0</v>
      </c>
      <c r="Q243" s="2">
        <f t="shared" si="2"/>
        <v>-3.88</v>
      </c>
      <c r="R243" s="11"/>
      <c r="S243" s="2">
        <f t="shared" si="3"/>
        <v>-3.88</v>
      </c>
      <c r="T243" s="2" t="str">
        <f t="shared" si="4"/>
        <v>JAX -3.9</v>
      </c>
      <c r="U243" s="2" t="str">
        <f t="array" ref="U243">IF($B243="","",IFERROR(INDEX(MktHomeSpread,MATCH($B243,MktGameID,0)),""))</f>
        <v/>
      </c>
      <c r="V243" s="2" t="str">
        <f t="shared" si="5"/>
        <v/>
      </c>
      <c r="W243" s="2" t="str">
        <f t="shared" si="6"/>
        <v/>
      </c>
      <c r="X243" s="2" t="str">
        <f t="shared" si="7"/>
        <v/>
      </c>
      <c r="Y243" s="2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2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2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2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2">
        <f t="array" ref="AC243">IF($B243="","",IFERROR(INDEX(QBTotEff,MATCH($F243,QBTeams,0)),0)+IFERROR(INDEX(QBTotEff,MATCH($E243,QBTeams,0)),0))</f>
        <v>0</v>
      </c>
      <c r="AD243" s="2">
        <f>IF($B243="","",SUMIFS(AdjTot,AdjGameID,$B243,AdjActive,1))</f>
        <v>0</v>
      </c>
      <c r="AE243" s="2">
        <f t="shared" si="8"/>
        <v>0</v>
      </c>
      <c r="AF243" s="11"/>
      <c r="AG243" s="2">
        <f t="shared" si="9"/>
        <v>0</v>
      </c>
      <c r="AH243" s="2" t="str">
        <f t="array" ref="AH243">IF($B243="","",IFERROR(INDEX(MktTotal,MATCH($B243,MktGameID,0)),""))</f>
        <v/>
      </c>
      <c r="AI243" s="2" t="str">
        <f t="shared" si="10"/>
        <v/>
      </c>
      <c r="AJ243" s="2" t="str">
        <f t="shared" si="11"/>
        <v/>
      </c>
      <c r="AK243" s="2" t="str">
        <f t="shared" si="12"/>
        <v/>
      </c>
      <c r="AL243" s="2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2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2" t="str">
        <f>IF($AG243="","","BET OVER at ≤ "&amp;TEXT($AG243-BetTot,"0.0")&amp;"  |  BET UNDER at ≥ "&amp;TEXT($AG243+BetTot,"0.0"))</f>
        <v>BET OVER at ≤ -3.0  |  BET UNDER at ≥ 3.0</v>
      </c>
      <c r="AO243" s="2" t="str">
        <f t="array" ref="AO243">IF($B243="","",IF(OR(IFERROR(INDEX(QBFlag,MATCH($F243,QBTeams,0)),1)=1,IFERROR(INDEX(QBFlag,MATCH($E243,QBTeams,0)),1)=1),"QB UNCERTAIN",""))</f>
        <v/>
      </c>
      <c r="AP243" s="2" t="str">
        <f t="array" ref="AP243">IF($B243="","",IFERROR(INDEX(DQStatus,MATCH($B243,DQGameID,0)),"BLOCKED — DQ ROW NOT FOUND"))</f>
        <v>READY</v>
      </c>
      <c r="AQ243" s="2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2" t="str">
        <f t="shared" si="13"/>
        <v/>
      </c>
      <c r="AS243" s="2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2" t="str">
        <f t="shared" si="14"/>
        <v/>
      </c>
      <c r="AU243" s="11"/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9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2" t="str">
        <f t="array" ref="G244">IF($B244="","",IF(INDEX(SchedZone,MATCH($A244,SchedSeq,0),MAP!$B$14)="Neutral","Y",""))</f>
        <v/>
      </c>
      <c r="H244" s="2" t="str">
        <f t="array" ref="H244">IF($B244="","",INDEX(SchedZone,MATCH($A244,SchedSeq,0),MAP!$B$17))</f>
        <v>dome</v>
      </c>
      <c r="I244" s="2" t="str">
        <f>IF(OR($B244="",$C244&lt;&gt;CurrentWeek),"",COUNTIF($C$5:$C244,CurrentWeek))</f>
        <v/>
      </c>
      <c r="J244" s="2">
        <f t="array" ref="J244">IF($B244="","",IFERROR(INDEX(RatEff,MATCH($E244,RatTeams,0)),"⚠ TEAM NOT FOUND"))</f>
        <v>-1.59</v>
      </c>
      <c r="K244" s="2">
        <f t="array" ref="K244">IF($B244="","",IFERROR(INDEX(RatEff,MATCH($F244,RatTeams,0)),"⚠ TEAM NOT FOUND"))</f>
        <v>0.86</v>
      </c>
      <c r="L244" s="2">
        <f t="shared" si="1"/>
        <v>2.45</v>
      </c>
      <c r="M244" s="2">
        <f t="array" ref="M244">IF($B244="","",IF($G244="Y",NeutralHFA,IFERROR(INDEX(HFAexcVal,MATCH($F244,HFAexcTeam,0)),HFA_Base)))</f>
        <v>1.6</v>
      </c>
      <c r="N244" s="2">
        <f t="array" ref="N244">IF($B244="","",IFERROR(INDEX(QBSpreadEff,MATCH($F244,QBTeams,0)),0)-IFERROR(INDEX(QBSpreadEff,MATCH($E244,QBTeams,0)),0))</f>
        <v>0</v>
      </c>
      <c r="O244" s="2">
        <f t="array" ref="O244">IF($B244="","",IFERROR(MEDIAN(-RestCapPts,RestCapPts,RestPerDay*(INDEX(SchedZone,MATCH($A244,SchedSeq,0),MAP!$B$16)-INDEX(SchedZone,MATCH($A244,SchedSeq,0),MAP!$B$15))),0))</f>
        <v>0</v>
      </c>
      <c r="P244" s="2">
        <f>IF($B244="","",SUMIFS(AdjSpread,AdjGameID,$B244,AdjTeam,$F244,AdjActive,1)-SUMIFS(AdjSpread,AdjGameID,$B244,AdjTeam,$E244,AdjActive,1))</f>
        <v>0</v>
      </c>
      <c r="Q244" s="2">
        <f t="shared" si="2"/>
        <v>4.05</v>
      </c>
      <c r="R244" s="11"/>
      <c r="S244" s="2">
        <f t="shared" si="3"/>
        <v>4.05</v>
      </c>
      <c r="T244" s="2" t="str">
        <f t="shared" si="4"/>
        <v>DET -4.1</v>
      </c>
      <c r="U244" s="2" t="str">
        <f t="array" ref="U244">IF($B244="","",IFERROR(INDEX(MktHomeSpread,MATCH($B244,MktGameID,0)),""))</f>
        <v/>
      </c>
      <c r="V244" s="2" t="str">
        <f t="shared" si="5"/>
        <v/>
      </c>
      <c r="W244" s="2" t="str">
        <f t="shared" si="6"/>
        <v/>
      </c>
      <c r="X244" s="2" t="str">
        <f t="shared" si="7"/>
        <v/>
      </c>
      <c r="Y244" s="2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2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2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2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2">
        <f t="array" ref="AC244">IF($B244="","",IFERROR(INDEX(QBTotEff,MATCH($F244,QBTeams,0)),0)+IFERROR(INDEX(QBTotEff,MATCH($E244,QBTeams,0)),0))</f>
        <v>0</v>
      </c>
      <c r="AD244" s="2">
        <f>IF($B244="","",SUMIFS(AdjTot,AdjGameID,$B244,AdjActive,1))</f>
        <v>0</v>
      </c>
      <c r="AE244" s="2">
        <f t="shared" si="8"/>
        <v>0</v>
      </c>
      <c r="AF244" s="11"/>
      <c r="AG244" s="2">
        <f t="shared" si="9"/>
        <v>0</v>
      </c>
      <c r="AH244" s="2" t="str">
        <f t="array" ref="AH244">IF($B244="","",IFERROR(INDEX(MktTotal,MATCH($B244,MktGameID,0)),""))</f>
        <v/>
      </c>
      <c r="AI244" s="2" t="str">
        <f t="shared" si="10"/>
        <v/>
      </c>
      <c r="AJ244" s="2" t="str">
        <f t="shared" si="11"/>
        <v/>
      </c>
      <c r="AK244" s="2" t="str">
        <f t="shared" si="12"/>
        <v/>
      </c>
      <c r="AL244" s="2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2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2" t="str">
        <f>IF($AG244="","","BET OVER at ≤ "&amp;TEXT($AG244-BetTot,"0.0")&amp;"  |  BET UNDER at ≥ "&amp;TEXT($AG244+BetTot,"0.0"))</f>
        <v>BET OVER at ≤ -3.0  |  BET UNDER at ≥ 3.0</v>
      </c>
      <c r="AO244" s="2" t="str">
        <f t="array" ref="AO244">IF($B244="","",IF(OR(IFERROR(INDEX(QBFlag,MATCH($F244,QBTeams,0)),1)=1,IFERROR(INDEX(QBFlag,MATCH($E244,QBTeams,0)),1)=1),"QB UNCERTAIN",""))</f>
        <v/>
      </c>
      <c r="AP244" s="2" t="str">
        <f t="array" ref="AP244">IF($B244="","",IFERROR(INDEX(DQStatus,MATCH($B244,DQGameID,0)),"BLOCKED — DQ ROW NOT FOUND"))</f>
        <v>READY</v>
      </c>
      <c r="AQ244" s="2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2" t="str">
        <f t="shared" si="13"/>
        <v/>
      </c>
      <c r="AS244" s="2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2" t="str">
        <f t="shared" si="14"/>
        <v/>
      </c>
      <c r="AU244" s="11"/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9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2" t="str">
        <f t="array" ref="G245">IF($B245="","",IF(INDEX(SchedZone,MATCH($A245,SchedSeq,0),MAP!$B$14)="Neutral","Y",""))</f>
        <v/>
      </c>
      <c r="H245" s="2" t="str">
        <f t="array" ref="H245">IF($B245="","",INDEX(SchedZone,MATCH($A245,SchedSeq,0),MAP!$B$17))</f>
        <v>outdoors</v>
      </c>
      <c r="I245" s="2" t="str">
        <f>IF(OR($B245="",$C245&lt;&gt;CurrentWeek),"",COUNTIF($C$5:$C245,CurrentWeek))</f>
        <v/>
      </c>
      <c r="J245" s="2">
        <f t="array" ref="J245">IF($B245="","",IFERROR(INDEX(RatEff,MATCH($E245,RatTeams,0)),"⚠ TEAM NOT FOUND"))</f>
        <v>0.92</v>
      </c>
      <c r="K245" s="2">
        <f t="array" ref="K245">IF($B245="","",IFERROR(INDEX(RatEff,MATCH($F245,RatTeams,0)),"⚠ TEAM NOT FOUND"))</f>
        <v>-1.53</v>
      </c>
      <c r="L245" s="2">
        <f t="shared" si="1"/>
        <v>-2.45</v>
      </c>
      <c r="M245" s="2">
        <f t="array" ref="M245">IF($B245="","",IF($G245="Y",NeutralHFA,IFERROR(INDEX(HFAexcVal,MATCH($F245,HFAexcTeam,0)),HFA_Base)))</f>
        <v>1.6</v>
      </c>
      <c r="N245" s="2">
        <f t="array" ref="N245">IF($B245="","",IFERROR(INDEX(QBSpreadEff,MATCH($F245,QBTeams,0)),0)-IFERROR(INDEX(QBSpreadEff,MATCH($E245,QBTeams,0)),0))</f>
        <v>0</v>
      </c>
      <c r="O245" s="2">
        <f t="array" ref="O245">IF($B245="","",IFERROR(MEDIAN(-RestCapPts,RestCapPts,RestPerDay*(INDEX(SchedZone,MATCH($A245,SchedSeq,0),MAP!$B$16)-INDEX(SchedZone,MATCH($A245,SchedSeq,0),MAP!$B$15))),0))</f>
        <v>0</v>
      </c>
      <c r="P245" s="2">
        <f>IF($B245="","",SUMIFS(AdjSpread,AdjGameID,$B245,AdjTeam,$F245,AdjActive,1)-SUMIFS(AdjSpread,AdjGameID,$B245,AdjTeam,$E245,AdjActive,1))</f>
        <v>0</v>
      </c>
      <c r="Q245" s="2">
        <f t="shared" si="2"/>
        <v>-0.85</v>
      </c>
      <c r="R245" s="11"/>
      <c r="S245" s="2">
        <f t="shared" si="3"/>
        <v>-0.85</v>
      </c>
      <c r="T245" s="2" t="str">
        <f t="shared" si="4"/>
        <v>BAL -0.9</v>
      </c>
      <c r="U245" s="2" t="str">
        <f t="array" ref="U245">IF($B245="","",IFERROR(INDEX(MktHomeSpread,MATCH($B245,MktGameID,0)),""))</f>
        <v/>
      </c>
      <c r="V245" s="2" t="str">
        <f t="shared" si="5"/>
        <v/>
      </c>
      <c r="W245" s="2" t="str">
        <f t="shared" si="6"/>
        <v/>
      </c>
      <c r="X245" s="2" t="str">
        <f t="shared" si="7"/>
        <v/>
      </c>
      <c r="Y245" s="2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2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2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2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2">
        <f t="array" ref="AC245">IF($B245="","",IFERROR(INDEX(QBTotEff,MATCH($F245,QBTeams,0)),0)+IFERROR(INDEX(QBTotEff,MATCH($E245,QBTeams,0)),0))</f>
        <v>0</v>
      </c>
      <c r="AD245" s="2">
        <f>IF($B245="","",SUMIFS(AdjTot,AdjGameID,$B245,AdjActive,1))</f>
        <v>0</v>
      </c>
      <c r="AE245" s="2">
        <f t="shared" si="8"/>
        <v>0</v>
      </c>
      <c r="AF245" s="11"/>
      <c r="AG245" s="2">
        <f t="shared" si="9"/>
        <v>0</v>
      </c>
      <c r="AH245" s="2" t="str">
        <f t="array" ref="AH245">IF($B245="","",IFERROR(INDEX(MktTotal,MATCH($B245,MktGameID,0)),""))</f>
        <v/>
      </c>
      <c r="AI245" s="2" t="str">
        <f t="shared" si="10"/>
        <v/>
      </c>
      <c r="AJ245" s="2" t="str">
        <f t="shared" si="11"/>
        <v/>
      </c>
      <c r="AK245" s="2" t="str">
        <f t="shared" si="12"/>
        <v/>
      </c>
      <c r="AL245" s="2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2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2" t="str">
        <f>IF($AG245="","","BET OVER at ≤ "&amp;TEXT($AG245-BetTot,"0.0")&amp;"  |  BET UNDER at ≥ "&amp;TEXT($AG245+BetTot,"0.0"))</f>
        <v>BET OVER at ≤ -3.0  |  BET UNDER at ≥ 3.0</v>
      </c>
      <c r="AO245" s="2" t="str">
        <f t="array" ref="AO245">IF($B245="","",IF(OR(IFERROR(INDEX(QBFlag,MATCH($F245,QBTeams,0)),1)=1,IFERROR(INDEX(QBFlag,MATCH($E245,QBTeams,0)),1)=1),"QB UNCERTAIN",""))</f>
        <v/>
      </c>
      <c r="AP245" s="2" t="str">
        <f t="array" ref="AP245">IF($B245="","",IFERROR(INDEX(DQStatus,MATCH($B245,DQGameID,0)),"BLOCKED — DQ ROW NOT FOUND"))</f>
        <v>READY</v>
      </c>
      <c r="AQ245" s="2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2" t="str">
        <f t="shared" si="13"/>
        <v/>
      </c>
      <c r="AS245" s="2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2" t="str">
        <f t="shared" si="14"/>
        <v/>
      </c>
      <c r="AU245" s="11"/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9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2" t="str">
        <f t="array" ref="G246">IF($B246="","",IF(INDEX(SchedZone,MATCH($A246,SchedSeq,0),MAP!$B$14)="Neutral","Y",""))</f>
        <v/>
      </c>
      <c r="H246" s="2" t="str">
        <f t="array" ref="H246">IF($B246="","",INDEX(SchedZone,MATCH($A246,SchedSeq,0),MAP!$B$17))</f>
        <v/>
      </c>
      <c r="I246" s="2" t="str">
        <f>IF(OR($B246="",$C246&lt;&gt;CurrentWeek),"",COUNTIF($C$5:$C246,CurrentWeek))</f>
        <v/>
      </c>
      <c r="J246" s="2">
        <f t="array" ref="J246">IF($B246="","",IFERROR(INDEX(RatEff,MATCH($E246,RatTeams,0)),"⚠ TEAM NOT FOUND"))</f>
        <v>-0.94</v>
      </c>
      <c r="K246" s="2">
        <f t="array" ref="K246">IF($B246="","",IFERROR(INDEX(RatEff,MATCH($F246,RatTeams,0)),"⚠ TEAM NOT FOUND"))</f>
        <v>-0.06</v>
      </c>
      <c r="L246" s="2">
        <f t="shared" si="1"/>
        <v>0.88</v>
      </c>
      <c r="M246" s="2">
        <f t="array" ref="M246">IF($B246="","",IF($G246="Y",NeutralHFA,IFERROR(INDEX(HFAexcVal,MATCH($F246,HFAexcTeam,0)),HFA_Base)))</f>
        <v>1.6</v>
      </c>
      <c r="N246" s="2">
        <f t="array" ref="N246">IF($B246="","",IFERROR(INDEX(QBSpreadEff,MATCH($F246,QBTeams,0)),0)-IFERROR(INDEX(QBSpreadEff,MATCH($E246,QBTeams,0)),0))</f>
        <v>0</v>
      </c>
      <c r="O246" s="2">
        <f t="array" ref="O246">IF($B246="","",IFERROR(MEDIAN(-RestCapPts,RestCapPts,RestPerDay*(INDEX(SchedZone,MATCH($A246,SchedSeq,0),MAP!$B$16)-INDEX(SchedZone,MATCH($A246,SchedSeq,0),MAP!$B$15))),0))</f>
        <v>0</v>
      </c>
      <c r="P246" s="2">
        <f>IF($B246="","",SUMIFS(AdjSpread,AdjGameID,$B246,AdjTeam,$F246,AdjActive,1)-SUMIFS(AdjSpread,AdjGameID,$B246,AdjTeam,$E246,AdjActive,1))</f>
        <v>0</v>
      </c>
      <c r="Q246" s="2">
        <f t="shared" si="2"/>
        <v>2.48</v>
      </c>
      <c r="R246" s="11"/>
      <c r="S246" s="2">
        <f t="shared" si="3"/>
        <v>2.48</v>
      </c>
      <c r="T246" s="2" t="str">
        <f t="shared" si="4"/>
        <v>ATL -2.5</v>
      </c>
      <c r="U246" s="2" t="str">
        <f t="array" ref="U246">IF($B246="","",IFERROR(INDEX(MktHomeSpread,MATCH($B246,MktGameID,0)),""))</f>
        <v/>
      </c>
      <c r="V246" s="2" t="str">
        <f t="shared" si="5"/>
        <v/>
      </c>
      <c r="W246" s="2" t="str">
        <f t="shared" si="6"/>
        <v/>
      </c>
      <c r="X246" s="2" t="str">
        <f t="shared" si="7"/>
        <v/>
      </c>
      <c r="Y246" s="2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2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2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2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2">
        <f t="array" ref="AC246">IF($B246="","",IFERROR(INDEX(QBTotEff,MATCH($F246,QBTeams,0)),0)+IFERROR(INDEX(QBTotEff,MATCH($E246,QBTeams,0)),0))</f>
        <v>0</v>
      </c>
      <c r="AD246" s="2">
        <f>IF($B246="","",SUMIFS(AdjTot,AdjGameID,$B246,AdjActive,1))</f>
        <v>0</v>
      </c>
      <c r="AE246" s="2">
        <f t="shared" si="8"/>
        <v>0</v>
      </c>
      <c r="AF246" s="11"/>
      <c r="AG246" s="2">
        <f t="shared" si="9"/>
        <v>0</v>
      </c>
      <c r="AH246" s="2" t="str">
        <f t="array" ref="AH246">IF($B246="","",IFERROR(INDEX(MktTotal,MATCH($B246,MktGameID,0)),""))</f>
        <v/>
      </c>
      <c r="AI246" s="2" t="str">
        <f t="shared" si="10"/>
        <v/>
      </c>
      <c r="AJ246" s="2" t="str">
        <f t="shared" si="11"/>
        <v/>
      </c>
      <c r="AK246" s="2" t="str">
        <f t="shared" si="12"/>
        <v/>
      </c>
      <c r="AL246" s="2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2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2" t="str">
        <f>IF($AG246="","","BET OVER at ≤ "&amp;TEXT($AG246-BetTot,"0.0")&amp;"  |  BET UNDER at ≥ "&amp;TEXT($AG246+BetTot,"0.0"))</f>
        <v>BET OVER at ≤ -3.0  |  BET UNDER at ≥ 3.0</v>
      </c>
      <c r="AO246" s="2" t="str">
        <f t="array" ref="AO246">IF($B246="","",IF(OR(IFERROR(INDEX(QBFlag,MATCH($F246,QBTeams,0)),1)=1,IFERROR(INDEX(QBFlag,MATCH($E246,QBTeams,0)),1)=1),"QB UNCERTAIN",""))</f>
        <v>QB UNCERTAIN</v>
      </c>
      <c r="AP246" s="2" t="str">
        <f t="array" ref="AP246">IF($B246="","",IFERROR(INDEX(DQStatus,MATCH($B246,DQGameID,0)),"BLOCKED — DQ ROW NOT FOUND"))</f>
        <v>READY</v>
      </c>
      <c r="AQ246" s="2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2" t="str">
        <f t="shared" si="13"/>
        <v/>
      </c>
      <c r="AS246" s="2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2" t="str">
        <f t="shared" si="14"/>
        <v/>
      </c>
      <c r="AU246" s="11"/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9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2" t="str">
        <f t="array" ref="G247">IF($B247="","",IF(INDEX(SchedZone,MATCH($A247,SchedSeq,0),MAP!$B$14)="Neutral","Y",""))</f>
        <v/>
      </c>
      <c r="H247" s="2" t="str">
        <f t="array" ref="H247">IF($B247="","",INDEX(SchedZone,MATCH($A247,SchedSeq,0),MAP!$B$17))</f>
        <v>outdoors</v>
      </c>
      <c r="I247" s="2" t="str">
        <f>IF(OR($B247="",$C247&lt;&gt;CurrentWeek),"",COUNTIF($C$5:$C247,CurrentWeek))</f>
        <v/>
      </c>
      <c r="J247" s="2">
        <f t="array" ref="J247">IF($B247="","",IFERROR(INDEX(RatEff,MATCH($E247,RatTeams,0)),"⚠ TEAM NOT FOUND"))</f>
        <v>4.1</v>
      </c>
      <c r="K247" s="2">
        <f t="array" ref="K247">IF($B247="","",IFERROR(INDEX(RatEff,MATCH($F247,RatTeams,0)),"⚠ TEAM NOT FOUND"))</f>
        <v>-1.3</v>
      </c>
      <c r="L247" s="2">
        <f t="shared" si="1"/>
        <v>-5.4</v>
      </c>
      <c r="M247" s="2">
        <f t="array" ref="M247">IF($B247="","",IF($G247="Y",NeutralHFA,IFERROR(INDEX(HFAexcVal,MATCH($F247,HFAexcTeam,0)),HFA_Base)))</f>
        <v>1.6</v>
      </c>
      <c r="N247" s="2">
        <f t="array" ref="N247">IF($B247="","",IFERROR(INDEX(QBSpreadEff,MATCH($F247,QBTeams,0)),0)-IFERROR(INDEX(QBSpreadEff,MATCH($E247,QBTeams,0)),0))</f>
        <v>0</v>
      </c>
      <c r="O247" s="2">
        <f t="array" ref="O247">IF($B247="","",IFERROR(MEDIAN(-RestCapPts,RestCapPts,RestPerDay*(INDEX(SchedZone,MATCH($A247,SchedSeq,0),MAP!$B$16)-INDEX(SchedZone,MATCH($A247,SchedSeq,0),MAP!$B$15))),0))</f>
        <v>-0.2</v>
      </c>
      <c r="P247" s="2">
        <f>IF($B247="","",SUMIFS(AdjSpread,AdjGameID,$B247,AdjTeam,$F247,AdjActive,1)-SUMIFS(AdjSpread,AdjGameID,$B247,AdjTeam,$E247,AdjActive,1))</f>
        <v>0</v>
      </c>
      <c r="Q247" s="2">
        <f t="shared" si="2"/>
        <v>-4</v>
      </c>
      <c r="R247" s="11"/>
      <c r="S247" s="2">
        <f t="shared" si="3"/>
        <v>-4</v>
      </c>
      <c r="T247" s="2" t="str">
        <f t="shared" si="4"/>
        <v>SEA -4.0</v>
      </c>
      <c r="U247" s="2" t="str">
        <f t="array" ref="U247">IF($B247="","",IFERROR(INDEX(MktHomeSpread,MATCH($B247,MktGameID,0)),""))</f>
        <v/>
      </c>
      <c r="V247" s="2" t="str">
        <f t="shared" si="5"/>
        <v/>
      </c>
      <c r="W247" s="2" t="str">
        <f t="shared" si="6"/>
        <v/>
      </c>
      <c r="X247" s="2" t="str">
        <f t="shared" si="7"/>
        <v/>
      </c>
      <c r="Y247" s="2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2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2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2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2">
        <f t="array" ref="AC247">IF($B247="","",IFERROR(INDEX(QBTotEff,MATCH($F247,QBTeams,0)),0)+IFERROR(INDEX(QBTotEff,MATCH($E247,QBTeams,0)),0))</f>
        <v>0</v>
      </c>
      <c r="AD247" s="2">
        <f>IF($B247="","",SUMIFS(AdjTot,AdjGameID,$B247,AdjActive,1))</f>
        <v>0</v>
      </c>
      <c r="AE247" s="2">
        <f t="shared" si="8"/>
        <v>0</v>
      </c>
      <c r="AF247" s="11"/>
      <c r="AG247" s="2">
        <f t="shared" si="9"/>
        <v>0</v>
      </c>
      <c r="AH247" s="2" t="str">
        <f t="array" ref="AH247">IF($B247="","",IFERROR(INDEX(MktTotal,MATCH($B247,MktGameID,0)),""))</f>
        <v/>
      </c>
      <c r="AI247" s="2" t="str">
        <f t="shared" si="10"/>
        <v/>
      </c>
      <c r="AJ247" s="2" t="str">
        <f t="shared" si="11"/>
        <v/>
      </c>
      <c r="AK247" s="2" t="str">
        <f t="shared" si="12"/>
        <v/>
      </c>
      <c r="AL247" s="2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2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2" t="str">
        <f>IF($AG247="","","BET OVER at ≤ "&amp;TEXT($AG247-BetTot,"0.0")&amp;"  |  BET UNDER at ≥ "&amp;TEXT($AG247+BetTot,"0.0"))</f>
        <v>BET OVER at ≤ -3.0  |  BET UNDER at ≥ 3.0</v>
      </c>
      <c r="AO247" s="2" t="str">
        <f t="array" ref="AO247">IF($B247="","",IF(OR(IFERROR(INDEX(QBFlag,MATCH($F247,QBTeams,0)),1)=1,IFERROR(INDEX(QBFlag,MATCH($E247,QBTeams,0)),1)=1),"QB UNCERTAIN",""))</f>
        <v/>
      </c>
      <c r="AP247" s="2" t="str">
        <f t="array" ref="AP247">IF($B247="","",IFERROR(INDEX(DQStatus,MATCH($B247,DQGameID,0)),"BLOCKED — DQ ROW NOT FOUND"))</f>
        <v>READY</v>
      </c>
      <c r="AQ247" s="2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2" t="str">
        <f t="shared" si="13"/>
        <v/>
      </c>
      <c r="AS247" s="2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2" t="str">
        <f t="shared" si="14"/>
        <v/>
      </c>
      <c r="AU247" s="11"/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9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2" t="str">
        <f t="array" ref="G248">IF($B248="","",IF(INDEX(SchedZone,MATCH($A248,SchedSeq,0),MAP!$B$14)="Neutral","Y",""))</f>
        <v/>
      </c>
      <c r="H248" s="2" t="str">
        <f t="array" ref="H248">IF($B248="","",INDEX(SchedZone,MATCH($A248,SchedSeq,0),MAP!$B$17))</f>
        <v>outdoors</v>
      </c>
      <c r="I248" s="2" t="str">
        <f>IF(OR($B248="",$C248&lt;&gt;CurrentWeek),"",COUNTIF($C$5:$C248,CurrentWeek))</f>
        <v/>
      </c>
      <c r="J248" s="2">
        <f t="array" ref="J248">IF($B248="","",IFERROR(INDEX(RatEff,MATCH($E248,RatTeams,0)),"⚠ TEAM NOT FOUND"))</f>
        <v>0.82</v>
      </c>
      <c r="K248" s="2">
        <f t="array" ref="K248">IF($B248="","",IFERROR(INDEX(RatEff,MATCH($F248,RatTeams,0)),"⚠ TEAM NOT FOUND"))</f>
        <v>-2.6</v>
      </c>
      <c r="L248" s="2">
        <f t="shared" si="1"/>
        <v>-3.42</v>
      </c>
      <c r="M248" s="2">
        <f t="array" ref="M248">IF($B248="","",IF($G248="Y",NeutralHFA,IFERROR(INDEX(HFAexcVal,MATCH($F248,HFAexcTeam,0)),HFA_Base)))</f>
        <v>1.6</v>
      </c>
      <c r="N248" s="2">
        <f t="array" ref="N248">IF($B248="","",IFERROR(INDEX(QBSpreadEff,MATCH($F248,QBTeams,0)),0)-IFERROR(INDEX(QBSpreadEff,MATCH($E248,QBTeams,0)),0))</f>
        <v>0</v>
      </c>
      <c r="O248" s="2">
        <f t="array" ref="O248">IF($B248="","",IFERROR(MEDIAN(-RestCapPts,RestCapPts,RestPerDay*(INDEX(SchedZone,MATCH($A248,SchedSeq,0),MAP!$B$16)-INDEX(SchedZone,MATCH($A248,SchedSeq,0),MAP!$B$15))),0))</f>
        <v>0</v>
      </c>
      <c r="P248" s="2">
        <f>IF($B248="","",SUMIFS(AdjSpread,AdjGameID,$B248,AdjTeam,$F248,AdjActive,1)-SUMIFS(AdjSpread,AdjGameID,$B248,AdjTeam,$E248,AdjActive,1))</f>
        <v>0</v>
      </c>
      <c r="Q248" s="2">
        <f t="shared" si="2"/>
        <v>-1.82</v>
      </c>
      <c r="R248" s="11"/>
      <c r="S248" s="2">
        <f t="shared" si="3"/>
        <v>-1.82</v>
      </c>
      <c r="T248" s="2" t="str">
        <f t="shared" si="4"/>
        <v>IND -1.8</v>
      </c>
      <c r="U248" s="2" t="str">
        <f t="array" ref="U248">IF($B248="","",IFERROR(INDEX(MktHomeSpread,MATCH($B248,MktGameID,0)),""))</f>
        <v/>
      </c>
      <c r="V248" s="2" t="str">
        <f t="shared" si="5"/>
        <v/>
      </c>
      <c r="W248" s="2" t="str">
        <f t="shared" si="6"/>
        <v/>
      </c>
      <c r="X248" s="2" t="str">
        <f t="shared" si="7"/>
        <v/>
      </c>
      <c r="Y248" s="2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2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2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2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2">
        <f t="array" ref="AC248">IF($B248="","",IFERROR(INDEX(QBTotEff,MATCH($F248,QBTeams,0)),0)+IFERROR(INDEX(QBTotEff,MATCH($E248,QBTeams,0)),0))</f>
        <v>0</v>
      </c>
      <c r="AD248" s="2">
        <f>IF($B248="","",SUMIFS(AdjTot,AdjGameID,$B248,AdjActive,1))</f>
        <v>0</v>
      </c>
      <c r="AE248" s="2">
        <f t="shared" si="8"/>
        <v>0</v>
      </c>
      <c r="AF248" s="11"/>
      <c r="AG248" s="2">
        <f t="shared" si="9"/>
        <v>0</v>
      </c>
      <c r="AH248" s="2" t="str">
        <f t="array" ref="AH248">IF($B248="","",IFERROR(INDEX(MktTotal,MATCH($B248,MktGameID,0)),""))</f>
        <v/>
      </c>
      <c r="AI248" s="2" t="str">
        <f t="shared" si="10"/>
        <v/>
      </c>
      <c r="AJ248" s="2" t="str">
        <f t="shared" si="11"/>
        <v/>
      </c>
      <c r="AK248" s="2" t="str">
        <f t="shared" si="12"/>
        <v/>
      </c>
      <c r="AL248" s="2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Low</v>
      </c>
      <c r="AM248" s="2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2" t="str">
        <f>IF($AG248="","","BET OVER at ≤ "&amp;TEXT($AG248-BetTot,"0.0")&amp;"  |  BET UNDER at ≥ "&amp;TEXT($AG248+BetTot,"0.0"))</f>
        <v>BET OVER at ≤ -3.0  |  BET UNDER at ≥ 3.0</v>
      </c>
      <c r="AO248" s="2" t="str">
        <f t="array" ref="AO248">IF($B248="","",IF(OR(IFERROR(INDEX(QBFlag,MATCH($F248,QBTeams,0)),1)=1,IFERROR(INDEX(QBFlag,MATCH($E248,QBTeams,0)),1)=1),"QB UNCERTAIN",""))</f>
        <v>QB UNCERTAIN</v>
      </c>
      <c r="AP248" s="2" t="str">
        <f t="array" ref="AP248">IF($B248="","",IFERROR(INDEX(DQStatus,MATCH($B248,DQGameID,0)),"BLOCKED — DQ ROW NOT FOUND"))</f>
        <v>READY</v>
      </c>
      <c r="AQ248" s="2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2" t="str">
        <f t="shared" si="13"/>
        <v/>
      </c>
      <c r="AS248" s="2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2" t="str">
        <f t="shared" si="14"/>
        <v/>
      </c>
      <c r="AU248" s="11"/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9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2" t="str">
        <f t="array" ref="G249">IF($B249="","",IF(INDEX(SchedZone,MATCH($A249,SchedSeq,0),MAP!$B$14)="Neutral","Y",""))</f>
        <v/>
      </c>
      <c r="H249" s="2" t="str">
        <f t="array" ref="H249">IF($B249="","",INDEX(SchedZone,MATCH($A249,SchedSeq,0),MAP!$B$17))</f>
        <v/>
      </c>
      <c r="I249" s="2" t="str">
        <f>IF(OR($B249="",$C249&lt;&gt;CurrentWeek),"",COUNTIF($C$5:$C249,CurrentWeek))</f>
        <v/>
      </c>
      <c r="J249" s="2">
        <f t="array" ref="J249">IF($B249="","",IFERROR(INDEX(RatEff,MATCH($E249,RatTeams,0)),"⚠ TEAM NOT FOUND"))</f>
        <v>-1.59</v>
      </c>
      <c r="K249" s="2">
        <f t="array" ref="K249">IF($B249="","",IFERROR(INDEX(RatEff,MATCH($F249,RatTeams,0)),"⚠ TEAM NOT FOUND"))</f>
        <v>-2.26</v>
      </c>
      <c r="L249" s="2">
        <f t="shared" si="1"/>
        <v>-0.67</v>
      </c>
      <c r="M249" s="2">
        <f t="array" ref="M249">IF($B249="","",IF($G249="Y",NeutralHFA,IFERROR(INDEX(HFAexcVal,MATCH($F249,HFAexcTeam,0)),HFA_Base)))</f>
        <v>1.6</v>
      </c>
      <c r="N249" s="2">
        <f t="array" ref="N249">IF($B249="","",IFERROR(INDEX(QBSpreadEff,MATCH($F249,QBTeams,0)),0)-IFERROR(INDEX(QBSpreadEff,MATCH($E249,QBTeams,0)),0))</f>
        <v>0</v>
      </c>
      <c r="O249" s="2">
        <f t="array" ref="O249">IF($B249="","",IFERROR(MEDIAN(-RestCapPts,RestCapPts,RestPerDay*(INDEX(SchedZone,MATCH($A249,SchedSeq,0),MAP!$B$16)-INDEX(SchedZone,MATCH($A249,SchedSeq,0),MAP!$B$15))),0))</f>
        <v>0.1</v>
      </c>
      <c r="P249" s="2">
        <f>IF($B249="","",SUMIFS(AdjSpread,AdjGameID,$B249,AdjTeam,$F249,AdjActive,1)-SUMIFS(AdjSpread,AdjGameID,$B249,AdjTeam,$E249,AdjActive,1))</f>
        <v>0</v>
      </c>
      <c r="Q249" s="2">
        <f t="shared" si="2"/>
        <v>1.03</v>
      </c>
      <c r="R249" s="11"/>
      <c r="S249" s="2">
        <f t="shared" si="3"/>
        <v>1.03</v>
      </c>
      <c r="T249" s="2" t="str">
        <f t="shared" si="4"/>
        <v>DAL -1.0</v>
      </c>
      <c r="U249" s="2" t="str">
        <f t="array" ref="U249">IF($B249="","",IFERROR(INDEX(MktHomeSpread,MATCH($B249,MktGameID,0)),""))</f>
        <v/>
      </c>
      <c r="V249" s="2" t="str">
        <f t="shared" si="5"/>
        <v/>
      </c>
      <c r="W249" s="2" t="str">
        <f t="shared" si="6"/>
        <v/>
      </c>
      <c r="X249" s="2" t="str">
        <f t="shared" si="7"/>
        <v/>
      </c>
      <c r="Y249" s="2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2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2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2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2">
        <f t="array" ref="AC249">IF($B249="","",IFERROR(INDEX(QBTotEff,MATCH($F249,QBTeams,0)),0)+IFERROR(INDEX(QBTotEff,MATCH($E249,QBTeams,0)),0))</f>
        <v>0</v>
      </c>
      <c r="AD249" s="2">
        <f>IF($B249="","",SUMIFS(AdjTot,AdjGameID,$B249,AdjActive,1))</f>
        <v>0</v>
      </c>
      <c r="AE249" s="2">
        <f t="shared" si="8"/>
        <v>0</v>
      </c>
      <c r="AF249" s="11"/>
      <c r="AG249" s="2">
        <f t="shared" si="9"/>
        <v>0</v>
      </c>
      <c r="AH249" s="2" t="str">
        <f t="array" ref="AH249">IF($B249="","",IFERROR(INDEX(MktTotal,MATCH($B249,MktGameID,0)),""))</f>
        <v/>
      </c>
      <c r="AI249" s="2" t="str">
        <f t="shared" si="10"/>
        <v/>
      </c>
      <c r="AJ249" s="2" t="str">
        <f t="shared" si="11"/>
        <v/>
      </c>
      <c r="AK249" s="2" t="str">
        <f t="shared" si="12"/>
        <v/>
      </c>
      <c r="AL249" s="2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2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2" t="str">
        <f>IF($AG249="","","BET OVER at ≤ "&amp;TEXT($AG249-BetTot,"0.0")&amp;"  |  BET UNDER at ≥ "&amp;TEXT($AG249+BetTot,"0.0"))</f>
        <v>BET OVER at ≤ -3.0  |  BET UNDER at ≥ 3.0</v>
      </c>
      <c r="AO249" s="2" t="str">
        <f t="array" ref="AO249">IF($B249="","",IF(OR(IFERROR(INDEX(QBFlag,MATCH($F249,QBTeams,0)),1)=1,IFERROR(INDEX(QBFlag,MATCH($E249,QBTeams,0)),1)=1),"QB UNCERTAIN",""))</f>
        <v/>
      </c>
      <c r="AP249" s="2" t="str">
        <f t="array" ref="AP249">IF($B249="","",IFERROR(INDEX(DQStatus,MATCH($B249,DQGameID,0)),"BLOCKED — DQ ROW NOT FOUND"))</f>
        <v>READY</v>
      </c>
      <c r="AQ249" s="2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2" t="str">
        <f t="shared" si="13"/>
        <v/>
      </c>
      <c r="AS249" s="2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2" t="str">
        <f t="shared" si="14"/>
        <v/>
      </c>
      <c r="AU249" s="11"/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9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2" t="str">
        <f t="array" ref="G250">IF($B250="","",IF(INDEX(SchedZone,MATCH($A250,SchedSeq,0),MAP!$B$14)="Neutral","Y",""))</f>
        <v/>
      </c>
      <c r="H250" s="2" t="str">
        <f t="array" ref="H250">IF($B250="","",INDEX(SchedZone,MATCH($A250,SchedSeq,0),MAP!$B$17))</f>
        <v>outdoors</v>
      </c>
      <c r="I250" s="2" t="str">
        <f>IF(OR($B250="",$C250&lt;&gt;CurrentWeek),"",COUNTIF($C$5:$C250,CurrentWeek))</f>
        <v/>
      </c>
      <c r="J250" s="2">
        <f t="array" ref="J250">IF($B250="","",IFERROR(INDEX(RatEff,MATCH($E250,RatTeams,0)),"⚠ TEAM NOT FOUND"))</f>
        <v>-2.02</v>
      </c>
      <c r="K250" s="2">
        <f t="array" ref="K250">IF($B250="","",IFERROR(INDEX(RatEff,MATCH($F250,RatTeams,0)),"⚠ TEAM NOT FOUND"))</f>
        <v>3.22</v>
      </c>
      <c r="L250" s="2">
        <f t="shared" si="1"/>
        <v>5.24</v>
      </c>
      <c r="M250" s="2">
        <f t="array" ref="M250">IF($B250="","",IF($G250="Y",NeutralHFA,IFERROR(INDEX(HFAexcVal,MATCH($F250,HFAexcTeam,0)),HFA_Base)))</f>
        <v>1.6</v>
      </c>
      <c r="N250" s="2">
        <f t="array" ref="N250">IF($B250="","",IFERROR(INDEX(QBSpreadEff,MATCH($F250,QBTeams,0)),0)-IFERROR(INDEX(QBSpreadEff,MATCH($E250,QBTeams,0)),0))</f>
        <v>0</v>
      </c>
      <c r="O250" s="2">
        <f t="array" ref="O250">IF($B250="","",IFERROR(MEDIAN(-RestCapPts,RestCapPts,RestPerDay*(INDEX(SchedZone,MATCH($A250,SchedSeq,0),MAP!$B$16)-INDEX(SchedZone,MATCH($A250,SchedSeq,0),MAP!$B$15))),0))</f>
        <v>0</v>
      </c>
      <c r="P250" s="2">
        <f>IF($B250="","",SUMIFS(AdjSpread,AdjGameID,$B250,AdjTeam,$F250,AdjActive,1)-SUMIFS(AdjSpread,AdjGameID,$B250,AdjTeam,$E250,AdjActive,1))</f>
        <v>0</v>
      </c>
      <c r="Q250" s="2">
        <f t="shared" si="2"/>
        <v>6.84</v>
      </c>
      <c r="R250" s="11"/>
      <c r="S250" s="2">
        <f t="shared" si="3"/>
        <v>6.84</v>
      </c>
      <c r="T250" s="2" t="str">
        <f t="shared" si="4"/>
        <v>JAX -6.8</v>
      </c>
      <c r="U250" s="2" t="str">
        <f t="array" ref="U250">IF($B250="","",IFERROR(INDEX(MktHomeSpread,MATCH($B250,MktGameID,0)),""))</f>
        <v/>
      </c>
      <c r="V250" s="2" t="str">
        <f t="shared" si="5"/>
        <v/>
      </c>
      <c r="W250" s="2" t="str">
        <f t="shared" si="6"/>
        <v/>
      </c>
      <c r="X250" s="2" t="str">
        <f t="shared" si="7"/>
        <v/>
      </c>
      <c r="Y250" s="2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2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2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2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2">
        <f t="array" ref="AC250">IF($B250="","",IFERROR(INDEX(QBTotEff,MATCH($F250,QBTeams,0)),0)+IFERROR(INDEX(QBTotEff,MATCH($E250,QBTeams,0)),0))</f>
        <v>0</v>
      </c>
      <c r="AD250" s="2">
        <f>IF($B250="","",SUMIFS(AdjTot,AdjGameID,$B250,AdjActive,1))</f>
        <v>0</v>
      </c>
      <c r="AE250" s="2">
        <f t="shared" si="8"/>
        <v>0</v>
      </c>
      <c r="AF250" s="11"/>
      <c r="AG250" s="2">
        <f t="shared" si="9"/>
        <v>0</v>
      </c>
      <c r="AH250" s="2" t="str">
        <f t="array" ref="AH250">IF($B250="","",IFERROR(INDEX(MktTotal,MATCH($B250,MktGameID,0)),""))</f>
        <v/>
      </c>
      <c r="AI250" s="2" t="str">
        <f t="shared" si="10"/>
        <v/>
      </c>
      <c r="AJ250" s="2" t="str">
        <f t="shared" si="11"/>
        <v/>
      </c>
      <c r="AK250" s="2" t="str">
        <f t="shared" si="12"/>
        <v/>
      </c>
      <c r="AL250" s="2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2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2" t="str">
        <f>IF($AG250="","","BET OVER at ≤ "&amp;TEXT($AG250-BetTot,"0.0")&amp;"  |  BET UNDER at ≥ "&amp;TEXT($AG250+BetTot,"0.0"))</f>
        <v>BET OVER at ≤ -3.0  |  BET UNDER at ≥ 3.0</v>
      </c>
      <c r="AO250" s="2" t="str">
        <f t="array" ref="AO250">IF($B250="","",IF(OR(IFERROR(INDEX(QBFlag,MATCH($F250,QBTeams,0)),1)=1,IFERROR(INDEX(QBFlag,MATCH($E250,QBTeams,0)),1)=1),"QB UNCERTAIN",""))</f>
        <v/>
      </c>
      <c r="AP250" s="2" t="str">
        <f t="array" ref="AP250">IF($B250="","",IFERROR(INDEX(DQStatus,MATCH($B250,DQGameID,0)),"BLOCKED — DQ ROW NOT FOUND"))</f>
        <v>READY</v>
      </c>
      <c r="AQ250" s="2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2" t="str">
        <f t="shared" si="13"/>
        <v/>
      </c>
      <c r="AS250" s="2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2" t="str">
        <f t="shared" si="14"/>
        <v/>
      </c>
      <c r="AU250" s="11"/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9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2" t="str">
        <f t="array" ref="G251">IF($B251="","",IF(INDEX(SchedZone,MATCH($A251,SchedSeq,0),MAP!$B$14)="Neutral","Y",""))</f>
        <v/>
      </c>
      <c r="H251" s="2" t="str">
        <f t="array" ref="H251">IF($B251="","",INDEX(SchedZone,MATCH($A251,SchedSeq,0),MAP!$B$17))</f>
        <v>dome</v>
      </c>
      <c r="I251" s="2" t="str">
        <f>IF(OR($B251="",$C251&lt;&gt;CurrentWeek),"",COUNTIF($C$5:$C251,CurrentWeek))</f>
        <v/>
      </c>
      <c r="J251" s="2">
        <f t="array" ref="J251">IF($B251="","",IFERROR(INDEX(RatEff,MATCH($E251,RatTeams,0)),"⚠ TEAM NOT FOUND"))</f>
        <v>-0.04</v>
      </c>
      <c r="K251" s="2">
        <f t="array" ref="K251">IF($B251="","",IFERROR(INDEX(RatEff,MATCH($F251,RatTeams,0)),"⚠ TEAM NOT FOUND"))</f>
        <v>0.56</v>
      </c>
      <c r="L251" s="2">
        <f t="shared" si="1"/>
        <v>0.6</v>
      </c>
      <c r="M251" s="2">
        <f t="array" ref="M251">IF($B251="","",IF($G251="Y",NeutralHFA,IFERROR(INDEX(HFAexcVal,MATCH($F251,HFAexcTeam,0)),HFA_Base)))</f>
        <v>1.6</v>
      </c>
      <c r="N251" s="2">
        <f t="array" ref="N251">IF($B251="","",IFERROR(INDEX(QBSpreadEff,MATCH($F251,QBTeams,0)),0)-IFERROR(INDEX(QBSpreadEff,MATCH($E251,QBTeams,0)),0))</f>
        <v>0</v>
      </c>
      <c r="O251" s="2">
        <f t="array" ref="O251">IF($B251="","",IFERROR(MEDIAN(-RestCapPts,RestCapPts,RestPerDay*(INDEX(SchedZone,MATCH($A251,SchedSeq,0),MAP!$B$16)-INDEX(SchedZone,MATCH($A251,SchedSeq,0),MAP!$B$15))),0))</f>
        <v>0</v>
      </c>
      <c r="P251" s="2">
        <f>IF($B251="","",SUMIFS(AdjSpread,AdjGameID,$B251,AdjTeam,$F251,AdjActive,1)-SUMIFS(AdjSpread,AdjGameID,$B251,AdjTeam,$E251,AdjActive,1))</f>
        <v>0</v>
      </c>
      <c r="Q251" s="2">
        <f t="shared" si="2"/>
        <v>2.2</v>
      </c>
      <c r="R251" s="11"/>
      <c r="S251" s="2">
        <f t="shared" si="3"/>
        <v>2.2</v>
      </c>
      <c r="T251" s="2" t="str">
        <f t="shared" si="4"/>
        <v>LAC -2.2</v>
      </c>
      <c r="U251" s="2" t="str">
        <f t="array" ref="U251">IF($B251="","",IFERROR(INDEX(MktHomeSpread,MATCH($B251,MktGameID,0)),""))</f>
        <v/>
      </c>
      <c r="V251" s="2" t="str">
        <f t="shared" si="5"/>
        <v/>
      </c>
      <c r="W251" s="2" t="str">
        <f t="shared" si="6"/>
        <v/>
      </c>
      <c r="X251" s="2" t="str">
        <f t="shared" si="7"/>
        <v/>
      </c>
      <c r="Y251" s="2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2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2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2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2">
        <f t="array" ref="AC251">IF($B251="","",IFERROR(INDEX(QBTotEff,MATCH($F251,QBTeams,0)),0)+IFERROR(INDEX(QBTotEff,MATCH($E251,QBTeams,0)),0))</f>
        <v>0</v>
      </c>
      <c r="AD251" s="2">
        <f>IF($B251="","",SUMIFS(AdjTot,AdjGameID,$B251,AdjActive,1))</f>
        <v>0</v>
      </c>
      <c r="AE251" s="2">
        <f t="shared" si="8"/>
        <v>0</v>
      </c>
      <c r="AF251" s="11"/>
      <c r="AG251" s="2">
        <f t="shared" si="9"/>
        <v>0</v>
      </c>
      <c r="AH251" s="2" t="str">
        <f t="array" ref="AH251">IF($B251="","",IFERROR(INDEX(MktTotal,MATCH($B251,MktGameID,0)),""))</f>
        <v/>
      </c>
      <c r="AI251" s="2" t="str">
        <f t="shared" si="10"/>
        <v/>
      </c>
      <c r="AJ251" s="2" t="str">
        <f t="shared" si="11"/>
        <v/>
      </c>
      <c r="AK251" s="2" t="str">
        <f t="shared" si="12"/>
        <v/>
      </c>
      <c r="AL251" s="2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Medium</v>
      </c>
      <c r="AM251" s="2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2" t="str">
        <f>IF($AG251="","","BET OVER at ≤ "&amp;TEXT($AG251-BetTot,"0.0")&amp;"  |  BET UNDER at ≥ "&amp;TEXT($AG251+BetTot,"0.0"))</f>
        <v>BET OVER at ≤ -3.0  |  BET UNDER at ≥ 3.0</v>
      </c>
      <c r="AO251" s="2" t="str">
        <f t="array" ref="AO251">IF($B251="","",IF(OR(IFERROR(INDEX(QBFlag,MATCH($F251,QBTeams,0)),1)=1,IFERROR(INDEX(QBFlag,MATCH($E251,QBTeams,0)),1)=1),"QB UNCERTAIN",""))</f>
        <v/>
      </c>
      <c r="AP251" s="2" t="str">
        <f t="array" ref="AP251">IF($B251="","",IFERROR(INDEX(DQStatus,MATCH($B251,DQGameID,0)),"BLOCKED — DQ ROW NOT FOUND"))</f>
        <v>READY</v>
      </c>
      <c r="AQ251" s="2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2" t="str">
        <f t="shared" si="13"/>
        <v/>
      </c>
      <c r="AS251" s="2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2" t="str">
        <f t="shared" si="14"/>
        <v/>
      </c>
      <c r="AU251" s="11"/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9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2" t="str">
        <f t="array" ref="G252">IF($B252="","",IF(INDEX(SchedZone,MATCH($A252,SchedSeq,0),MAP!$B$14)="Neutral","Y",""))</f>
        <v/>
      </c>
      <c r="H252" s="2" t="str">
        <f t="array" ref="H252">IF($B252="","",INDEX(SchedZone,MATCH($A252,SchedSeq,0),MAP!$B$17))</f>
        <v>outdoors</v>
      </c>
      <c r="I252" s="2" t="str">
        <f>IF(OR($B252="",$C252&lt;&gt;CurrentWeek),"",COUNTIF($C$5:$C252,CurrentWeek))</f>
        <v/>
      </c>
      <c r="J252" s="2">
        <f t="array" ref="J252">IF($B252="","",IFERROR(INDEX(RatEff,MATCH($E252,RatTeams,0)),"⚠ TEAM NOT FOUND"))</f>
        <v>1.75</v>
      </c>
      <c r="K252" s="2">
        <f t="array" ref="K252">IF($B252="","",IFERROR(INDEX(RatEff,MATCH($F252,RatTeams,0)),"⚠ TEAM NOT FOUND"))</f>
        <v>-2.64</v>
      </c>
      <c r="L252" s="2">
        <f t="shared" si="1"/>
        <v>-4.39</v>
      </c>
      <c r="M252" s="2">
        <f t="array" ref="M252">IF($B252="","",IF($G252="Y",NeutralHFA,IFERROR(INDEX(HFAexcVal,MATCH($F252,HFAexcTeam,0)),HFA_Base)))</f>
        <v>1.6</v>
      </c>
      <c r="N252" s="2">
        <f t="array" ref="N252">IF($B252="","",IFERROR(INDEX(QBSpreadEff,MATCH($F252,QBTeams,0)),0)-IFERROR(INDEX(QBSpreadEff,MATCH($E252,QBTeams,0)),0))</f>
        <v>0</v>
      </c>
      <c r="O252" s="2">
        <f t="array" ref="O252">IF($B252="","",IFERROR(MEDIAN(-RestCapPts,RestCapPts,RestPerDay*(INDEX(SchedZone,MATCH($A252,SchedSeq,0),MAP!$B$16)-INDEX(SchedZone,MATCH($A252,SchedSeq,0),MAP!$B$15))),0))</f>
        <v>-0.2</v>
      </c>
      <c r="P252" s="2">
        <f>IF($B252="","",SUMIFS(AdjSpread,AdjGameID,$B252,AdjTeam,$F252,AdjActive,1)-SUMIFS(AdjSpread,AdjGameID,$B252,AdjTeam,$E252,AdjActive,1))</f>
        <v>0</v>
      </c>
      <c r="Q252" s="2">
        <f t="shared" si="2"/>
        <v>-2.99</v>
      </c>
      <c r="R252" s="11"/>
      <c r="S252" s="2">
        <f t="shared" si="3"/>
        <v>-2.99</v>
      </c>
      <c r="T252" s="2" t="str">
        <f t="shared" si="4"/>
        <v>BUF -3.0</v>
      </c>
      <c r="U252" s="2" t="str">
        <f t="array" ref="U252">IF($B252="","",IFERROR(INDEX(MktHomeSpread,MATCH($B252,MktGameID,0)),""))</f>
        <v/>
      </c>
      <c r="V252" s="2" t="str">
        <f t="shared" si="5"/>
        <v/>
      </c>
      <c r="W252" s="2" t="str">
        <f t="shared" si="6"/>
        <v/>
      </c>
      <c r="X252" s="2" t="str">
        <f t="shared" si="7"/>
        <v/>
      </c>
      <c r="Y252" s="2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2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2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2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2">
        <f t="array" ref="AC252">IF($B252="","",IFERROR(INDEX(QBTotEff,MATCH($F252,QBTeams,0)),0)+IFERROR(INDEX(QBTotEff,MATCH($E252,QBTeams,0)),0))</f>
        <v>0</v>
      </c>
      <c r="AD252" s="2">
        <f>IF($B252="","",SUMIFS(AdjTot,AdjGameID,$B252,AdjActive,1))</f>
        <v>0</v>
      </c>
      <c r="AE252" s="2">
        <f t="shared" si="8"/>
        <v>0</v>
      </c>
      <c r="AF252" s="11"/>
      <c r="AG252" s="2">
        <f t="shared" si="9"/>
        <v>0</v>
      </c>
      <c r="AH252" s="2" t="str">
        <f t="array" ref="AH252">IF($B252="","",IFERROR(INDEX(MktTotal,MATCH($B252,MktGameID,0)),""))</f>
        <v/>
      </c>
      <c r="AI252" s="2" t="str">
        <f t="shared" si="10"/>
        <v/>
      </c>
      <c r="AJ252" s="2" t="str">
        <f t="shared" si="11"/>
        <v/>
      </c>
      <c r="AK252" s="2" t="str">
        <f t="shared" si="12"/>
        <v/>
      </c>
      <c r="AL252" s="2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2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2" t="str">
        <f>IF($AG252="","","BET OVER at ≤ "&amp;TEXT($AG252-BetTot,"0.0")&amp;"  |  BET UNDER at ≥ "&amp;TEXT($AG252+BetTot,"0.0"))</f>
        <v>BET OVER at ≤ -3.0  |  BET UNDER at ≥ 3.0</v>
      </c>
      <c r="AO252" s="2" t="str">
        <f t="array" ref="AO252">IF($B252="","",IF(OR(IFERROR(INDEX(QBFlag,MATCH($F252,QBTeams,0)),1)=1,IFERROR(INDEX(QBFlag,MATCH($E252,QBTeams,0)),1)=1),"QB UNCERTAIN",""))</f>
        <v/>
      </c>
      <c r="AP252" s="2" t="str">
        <f t="array" ref="AP252">IF($B252="","",IFERROR(INDEX(DQStatus,MATCH($B252,DQGameID,0)),"BLOCKED — DQ ROW NOT FOUND"))</f>
        <v>READY</v>
      </c>
      <c r="AQ252" s="2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2" t="str">
        <f t="shared" si="13"/>
        <v/>
      </c>
      <c r="AS252" s="2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2" t="str">
        <f t="shared" si="14"/>
        <v/>
      </c>
      <c r="AU252" s="11"/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9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2" t="str">
        <f t="array" ref="G253">IF($B253="","",IF(INDEX(SchedZone,MATCH($A253,SchedSeq,0),MAP!$B$14)="Neutral","Y",""))</f>
        <v/>
      </c>
      <c r="H253" s="2" t="str">
        <f t="array" ref="H253">IF($B253="","",INDEX(SchedZone,MATCH($A253,SchedSeq,0),MAP!$B$17))</f>
        <v>outdoors</v>
      </c>
      <c r="I253" s="2" t="str">
        <f>IF(OR($B253="",$C253&lt;&gt;CurrentWeek),"",COUNTIF($C$5:$C253,CurrentWeek))</f>
        <v/>
      </c>
      <c r="J253" s="2">
        <f t="array" ref="J253">IF($B253="","",IFERROR(INDEX(RatEff,MATCH($E253,RatTeams,0)),"⚠ TEAM NOT FOUND"))</f>
        <v>1.93</v>
      </c>
      <c r="K253" s="2">
        <f t="array" ref="K253">IF($B253="","",IFERROR(INDEX(RatEff,MATCH($F253,RatTeams,0)),"⚠ TEAM NOT FOUND"))</f>
        <v>2.09</v>
      </c>
      <c r="L253" s="2">
        <f t="shared" si="1"/>
        <v>0.16</v>
      </c>
      <c r="M253" s="2">
        <f t="array" ref="M253">IF($B253="","",IF($G253="Y",NeutralHFA,IFERROR(INDEX(HFAexcVal,MATCH($F253,HFAexcTeam,0)),HFA_Base)))</f>
        <v>1.6</v>
      </c>
      <c r="N253" s="2">
        <f t="array" ref="N253">IF($B253="","",IFERROR(INDEX(QBSpreadEff,MATCH($F253,QBTeams,0)),0)-IFERROR(INDEX(QBSpreadEff,MATCH($E253,QBTeams,0)),0))</f>
        <v>0</v>
      </c>
      <c r="O253" s="2">
        <f t="array" ref="O253">IF($B253="","",IFERROR(MEDIAN(-RestCapPts,RestCapPts,RestPerDay*(INDEX(SchedZone,MATCH($A253,SchedSeq,0),MAP!$B$16)-INDEX(SchedZone,MATCH($A253,SchedSeq,0),MAP!$B$15))),0))</f>
        <v>-0.2</v>
      </c>
      <c r="P253" s="2">
        <f>IF($B253="","",SUMIFS(AdjSpread,AdjGameID,$B253,AdjTeam,$F253,AdjActive,1)-SUMIFS(AdjSpread,AdjGameID,$B253,AdjTeam,$E253,AdjActive,1))</f>
        <v>0</v>
      </c>
      <c r="Q253" s="2">
        <f t="shared" si="2"/>
        <v>1.56</v>
      </c>
      <c r="R253" s="11"/>
      <c r="S253" s="2">
        <f t="shared" si="3"/>
        <v>1.56</v>
      </c>
      <c r="T253" s="2" t="str">
        <f t="shared" si="4"/>
        <v>NE -1.6</v>
      </c>
      <c r="U253" s="2" t="str">
        <f t="array" ref="U253">IF($B253="","",IFERROR(INDEX(MktHomeSpread,MATCH($B253,MktGameID,0)),""))</f>
        <v/>
      </c>
      <c r="V253" s="2" t="str">
        <f t="shared" si="5"/>
        <v/>
      </c>
      <c r="W253" s="2" t="str">
        <f t="shared" si="6"/>
        <v/>
      </c>
      <c r="X253" s="2" t="str">
        <f t="shared" si="7"/>
        <v/>
      </c>
      <c r="Y253" s="2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2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2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2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2">
        <f t="array" ref="AC253">IF($B253="","",IFERROR(INDEX(QBTotEff,MATCH($F253,QBTeams,0)),0)+IFERROR(INDEX(QBTotEff,MATCH($E253,QBTeams,0)),0))</f>
        <v>0</v>
      </c>
      <c r="AD253" s="2">
        <f>IF($B253="","",SUMIFS(AdjTot,AdjGameID,$B253,AdjActive,1))</f>
        <v>0</v>
      </c>
      <c r="AE253" s="2">
        <f t="shared" si="8"/>
        <v>0</v>
      </c>
      <c r="AF253" s="11"/>
      <c r="AG253" s="2">
        <f t="shared" si="9"/>
        <v>0</v>
      </c>
      <c r="AH253" s="2" t="str">
        <f t="array" ref="AH253">IF($B253="","",IFERROR(INDEX(MktTotal,MATCH($B253,MktGameID,0)),""))</f>
        <v/>
      </c>
      <c r="AI253" s="2" t="str">
        <f t="shared" si="10"/>
        <v/>
      </c>
      <c r="AJ253" s="2" t="str">
        <f t="shared" si="11"/>
        <v/>
      </c>
      <c r="AK253" s="2" t="str">
        <f t="shared" si="12"/>
        <v/>
      </c>
      <c r="AL253" s="2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2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2" t="str">
        <f>IF($AG253="","","BET OVER at ≤ "&amp;TEXT($AG253-BetTot,"0.0")&amp;"  |  BET UNDER at ≥ "&amp;TEXT($AG253+BetTot,"0.0"))</f>
        <v>BET OVER at ≤ -3.0  |  BET UNDER at ≥ 3.0</v>
      </c>
      <c r="AO253" s="2" t="str">
        <f t="array" ref="AO253">IF($B253="","",IF(OR(IFERROR(INDEX(QBFlag,MATCH($F253,QBTeams,0)),1)=1,IFERROR(INDEX(QBFlag,MATCH($E253,QBTeams,0)),1)=1),"QB UNCERTAIN",""))</f>
        <v/>
      </c>
      <c r="AP253" s="2" t="str">
        <f t="array" ref="AP253">IF($B253="","",IFERROR(INDEX(DQStatus,MATCH($B253,DQGameID,0)),"BLOCKED — DQ ROW NOT FOUND"))</f>
        <v>READY</v>
      </c>
      <c r="AQ253" s="2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2" t="str">
        <f t="shared" si="13"/>
        <v/>
      </c>
      <c r="AS253" s="2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2" t="str">
        <f t="shared" si="14"/>
        <v/>
      </c>
      <c r="AU253" s="11"/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9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2" t="str">
        <f t="array" ref="G254">IF($B254="","",IF(INDEX(SchedZone,MATCH($A254,SchedSeq,0),MAP!$B$14)="Neutral","Y",""))</f>
        <v/>
      </c>
      <c r="H254" s="2" t="str">
        <f t="array" ref="H254">IF($B254="","",INDEX(SchedZone,MATCH($A254,SchedSeq,0),MAP!$B$17))</f>
        <v>outdoors</v>
      </c>
      <c r="I254" s="2" t="str">
        <f>IF(OR($B254="",$C254&lt;&gt;CurrentWeek),"",COUNTIF($C$5:$C254,CurrentWeek))</f>
        <v/>
      </c>
      <c r="J254" s="2">
        <f t="array" ref="J254">IF($B254="","",IFERROR(INDEX(RatEff,MATCH($E254,RatTeams,0)),"⚠ TEAM NOT FOUND"))</f>
        <v>0.5</v>
      </c>
      <c r="K254" s="2">
        <f t="array" ref="K254">IF($B254="","",IFERROR(INDEX(RatEff,MATCH($F254,RatTeams,0)),"⚠ TEAM NOT FOUND"))</f>
        <v>-4.67</v>
      </c>
      <c r="L254" s="2">
        <f t="shared" si="1"/>
        <v>-5.17</v>
      </c>
      <c r="M254" s="2">
        <f t="array" ref="M254">IF($B254="","",IF($G254="Y",NeutralHFA,IFERROR(INDEX(HFAexcVal,MATCH($F254,HFAexcTeam,0)),HFA_Base)))</f>
        <v>1.6</v>
      </c>
      <c r="N254" s="2">
        <f t="array" ref="N254">IF($B254="","",IFERROR(INDEX(QBSpreadEff,MATCH($F254,QBTeams,0)),0)-IFERROR(INDEX(QBSpreadEff,MATCH($E254,QBTeams,0)),0))</f>
        <v>0</v>
      </c>
      <c r="O254" s="2">
        <f t="array" ref="O254">IF($B254="","",IFERROR(MEDIAN(-RestCapPts,RestCapPts,RestPerDay*(INDEX(SchedZone,MATCH($A254,SchedSeq,0),MAP!$B$16)-INDEX(SchedZone,MATCH($A254,SchedSeq,0),MAP!$B$15))),0))</f>
        <v>0</v>
      </c>
      <c r="P254" s="2">
        <f>IF($B254="","",SUMIFS(AdjSpread,AdjGameID,$B254,AdjTeam,$F254,AdjActive,1)-SUMIFS(AdjSpread,AdjGameID,$B254,AdjTeam,$E254,AdjActive,1))</f>
        <v>0</v>
      </c>
      <c r="Q254" s="2">
        <f t="shared" si="2"/>
        <v>-3.57</v>
      </c>
      <c r="R254" s="11"/>
      <c r="S254" s="2">
        <f t="shared" si="3"/>
        <v>-3.57</v>
      </c>
      <c r="T254" s="2" t="str">
        <f t="shared" si="4"/>
        <v>MIN -3.6</v>
      </c>
      <c r="U254" s="2" t="str">
        <f t="array" ref="U254">IF($B254="","",IFERROR(INDEX(MktHomeSpread,MATCH($B254,MktGameID,0)),""))</f>
        <v/>
      </c>
      <c r="V254" s="2" t="str">
        <f t="shared" si="5"/>
        <v/>
      </c>
      <c r="W254" s="2" t="str">
        <f t="shared" si="6"/>
        <v/>
      </c>
      <c r="X254" s="2" t="str">
        <f t="shared" si="7"/>
        <v/>
      </c>
      <c r="Y254" s="2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2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2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2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2">
        <f t="array" ref="AC254">IF($B254="","",IFERROR(INDEX(QBTotEff,MATCH($F254,QBTeams,0)),0)+IFERROR(INDEX(QBTotEff,MATCH($E254,QBTeams,0)),0))</f>
        <v>0</v>
      </c>
      <c r="AD254" s="2">
        <f>IF($B254="","",SUMIFS(AdjTot,AdjGameID,$B254,AdjActive,1))</f>
        <v>0</v>
      </c>
      <c r="AE254" s="2">
        <f t="shared" si="8"/>
        <v>0</v>
      </c>
      <c r="AF254" s="11"/>
      <c r="AG254" s="2">
        <f t="shared" si="9"/>
        <v>0</v>
      </c>
      <c r="AH254" s="2" t="str">
        <f t="array" ref="AH254">IF($B254="","",IFERROR(INDEX(MktTotal,MATCH($B254,MktGameID,0)),""))</f>
        <v/>
      </c>
      <c r="AI254" s="2" t="str">
        <f t="shared" si="10"/>
        <v/>
      </c>
      <c r="AJ254" s="2" t="str">
        <f t="shared" si="11"/>
        <v/>
      </c>
      <c r="AK254" s="2" t="str">
        <f t="shared" si="12"/>
        <v/>
      </c>
      <c r="AL254" s="2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Low</v>
      </c>
      <c r="AM254" s="2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2" t="str">
        <f>IF($AG254="","","BET OVER at ≤ "&amp;TEXT($AG254-BetTot,"0.0")&amp;"  |  BET UNDER at ≥ "&amp;TEXT($AG254+BetTot,"0.0"))</f>
        <v>BET OVER at ≤ -3.0  |  BET UNDER at ≥ 3.0</v>
      </c>
      <c r="AO254" s="2" t="str">
        <f t="array" ref="AO254">IF($B254="","",IF(OR(IFERROR(INDEX(QBFlag,MATCH($F254,QBTeams,0)),1)=1,IFERROR(INDEX(QBFlag,MATCH($E254,QBTeams,0)),1)=1),"QB UNCERTAIN",""))</f>
        <v>QB UNCERTAIN</v>
      </c>
      <c r="AP254" s="2" t="str">
        <f t="array" ref="AP254">IF($B254="","",IFERROR(INDEX(DQStatus,MATCH($B254,DQGameID,0)),"BLOCKED — DQ ROW NOT FOUND"))</f>
        <v>READY</v>
      </c>
      <c r="AQ254" s="2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2" t="str">
        <f t="shared" si="13"/>
        <v/>
      </c>
      <c r="AS254" s="2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2" t="str">
        <f t="shared" si="14"/>
        <v/>
      </c>
      <c r="AU254" s="11"/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9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2" t="str">
        <f t="array" ref="G255">IF($B255="","",IF(INDEX(SchedZone,MATCH($A255,SchedSeq,0),MAP!$B$14)="Neutral","Y",""))</f>
        <v/>
      </c>
      <c r="H255" s="2" t="str">
        <f t="array" ref="H255">IF($B255="","",INDEX(SchedZone,MATCH($A255,SchedSeq,0),MAP!$B$17))</f>
        <v>outdoors</v>
      </c>
      <c r="I255" s="2" t="str">
        <f>IF(OR($B255="",$C255&lt;&gt;CurrentWeek),"",COUNTIF($C$5:$C255,CurrentWeek))</f>
        <v/>
      </c>
      <c r="J255" s="2">
        <f t="array" ref="J255">IF($B255="","",IFERROR(INDEX(RatEff,MATCH($E255,RatTeams,0)),"⚠ TEAM NOT FOUND"))</f>
        <v>4.09</v>
      </c>
      <c r="K255" s="2">
        <f t="array" ref="K255">IF($B255="","",IFERROR(INDEX(RatEff,MATCH($F255,RatTeams,0)),"⚠ TEAM NOT FOUND"))</f>
        <v>-0.48</v>
      </c>
      <c r="L255" s="2">
        <f t="shared" si="1"/>
        <v>-4.57</v>
      </c>
      <c r="M255" s="2">
        <f t="array" ref="M255">IF($B255="","",IF($G255="Y",NeutralHFA,IFERROR(INDEX(HFAexcVal,MATCH($F255,HFAexcTeam,0)),HFA_Base)))</f>
        <v>1.6</v>
      </c>
      <c r="N255" s="2">
        <f t="array" ref="N255">IF($B255="","",IFERROR(INDEX(QBSpreadEff,MATCH($F255,QBTeams,0)),0)-IFERROR(INDEX(QBSpreadEff,MATCH($E255,QBTeams,0)),0))</f>
        <v>0</v>
      </c>
      <c r="O255" s="2">
        <f t="array" ref="O255">IF($B255="","",IFERROR(MEDIAN(-RestCapPts,RestCapPts,RestPerDay*(INDEX(SchedZone,MATCH($A255,SchedSeq,0),MAP!$B$16)-INDEX(SchedZone,MATCH($A255,SchedSeq,0),MAP!$B$15))),0))</f>
        <v>-0.2</v>
      </c>
      <c r="P255" s="2">
        <f>IF($B255="","",SUMIFS(AdjSpread,AdjGameID,$B255,AdjTeam,$F255,AdjActive,1)-SUMIFS(AdjSpread,AdjGameID,$B255,AdjTeam,$E255,AdjActive,1))</f>
        <v>0</v>
      </c>
      <c r="Q255" s="2">
        <f t="shared" si="2"/>
        <v>-3.17</v>
      </c>
      <c r="R255" s="11"/>
      <c r="S255" s="2">
        <f t="shared" si="3"/>
        <v>-3.17</v>
      </c>
      <c r="T255" s="2" t="str">
        <f t="shared" si="4"/>
        <v>LA -3.2</v>
      </c>
      <c r="U255" s="2" t="str">
        <f t="array" ref="U255">IF($B255="","",IFERROR(INDEX(MktHomeSpread,MATCH($B255,MktGameID,0)),""))</f>
        <v/>
      </c>
      <c r="V255" s="2" t="str">
        <f t="shared" si="5"/>
        <v/>
      </c>
      <c r="W255" s="2" t="str">
        <f t="shared" si="6"/>
        <v/>
      </c>
      <c r="X255" s="2" t="str">
        <f t="shared" si="7"/>
        <v/>
      </c>
      <c r="Y255" s="2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2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2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2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2">
        <f t="array" ref="AC255">IF($B255="","",IFERROR(INDEX(QBTotEff,MATCH($F255,QBTeams,0)),0)+IFERROR(INDEX(QBTotEff,MATCH($E255,QBTeams,0)),0))</f>
        <v>0</v>
      </c>
      <c r="AD255" s="2">
        <f>IF($B255="","",SUMIFS(AdjTot,AdjGameID,$B255,AdjActive,1))</f>
        <v>0</v>
      </c>
      <c r="AE255" s="2">
        <f t="shared" si="8"/>
        <v>0</v>
      </c>
      <c r="AF255" s="11"/>
      <c r="AG255" s="2">
        <f t="shared" si="9"/>
        <v>0</v>
      </c>
      <c r="AH255" s="2" t="str">
        <f t="array" ref="AH255">IF($B255="","",IFERROR(INDEX(MktTotal,MATCH($B255,MktGameID,0)),""))</f>
        <v/>
      </c>
      <c r="AI255" s="2" t="str">
        <f t="shared" si="10"/>
        <v/>
      </c>
      <c r="AJ255" s="2" t="str">
        <f t="shared" si="11"/>
        <v/>
      </c>
      <c r="AK255" s="2" t="str">
        <f t="shared" si="12"/>
        <v/>
      </c>
      <c r="AL255" s="2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2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2" t="str">
        <f>IF($AG255="","","BET OVER at ≤ "&amp;TEXT($AG255-BetTot,"0.0")&amp;"  |  BET UNDER at ≥ "&amp;TEXT($AG255+BetTot,"0.0"))</f>
        <v>BET OVER at ≤ -3.0  |  BET UNDER at ≥ 3.0</v>
      </c>
      <c r="AO255" s="2" t="str">
        <f t="array" ref="AO255">IF($B255="","",IF(OR(IFERROR(INDEX(QBFlag,MATCH($F255,QBTeams,0)),1)=1,IFERROR(INDEX(QBFlag,MATCH($E255,QBTeams,0)),1)=1),"QB UNCERTAIN",""))</f>
        <v/>
      </c>
      <c r="AP255" s="2" t="str">
        <f t="array" ref="AP255">IF($B255="","",IFERROR(INDEX(DQStatus,MATCH($B255,DQGameID,0)),"BLOCKED — DQ ROW NOT FOUND"))</f>
        <v>READY</v>
      </c>
      <c r="AQ255" s="2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2" t="str">
        <f t="shared" si="13"/>
        <v/>
      </c>
      <c r="AS255" s="2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2" t="str">
        <f t="shared" si="14"/>
        <v/>
      </c>
      <c r="AU255" s="11"/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9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2" t="str">
        <f t="array" ref="G256">IF($B256="","",IF(INDEX(SchedZone,MATCH($A256,SchedSeq,0),MAP!$B$14)="Neutral","Y",""))</f>
        <v/>
      </c>
      <c r="H256" s="2" t="str">
        <f t="array" ref="H256">IF($B256="","",INDEX(SchedZone,MATCH($A256,SchedSeq,0),MAP!$B$17))</f>
        <v>outdoors</v>
      </c>
      <c r="I256" s="2" t="str">
        <f>IF(OR($B256="",$C256&lt;&gt;CurrentWeek),"",COUNTIF($C$5:$C256,CurrentWeek))</f>
        <v/>
      </c>
      <c r="J256" s="2">
        <f t="array" ref="J256">IF($B256="","",IFERROR(INDEX(RatEff,MATCH($E256,RatTeams,0)),"⚠ TEAM NOT FOUND"))</f>
        <v>0.66</v>
      </c>
      <c r="K256" s="2">
        <f t="array" ref="K256">IF($B256="","",IFERROR(INDEX(RatEff,MATCH($F256,RatTeams,0)),"⚠ TEAM NOT FOUND"))</f>
        <v>-3.14</v>
      </c>
      <c r="L256" s="2">
        <f t="shared" si="1"/>
        <v>-3.8</v>
      </c>
      <c r="M256" s="2">
        <f t="array" ref="M256">IF($B256="","",IF($G256="Y",NeutralHFA,IFERROR(INDEX(HFAexcVal,MATCH($F256,HFAexcTeam,0)),HFA_Base)))</f>
        <v>1.6</v>
      </c>
      <c r="N256" s="2">
        <f t="array" ref="N256">IF($B256="","",IFERROR(INDEX(QBSpreadEff,MATCH($F256,QBTeams,0)),0)-IFERROR(INDEX(QBSpreadEff,MATCH($E256,QBTeams,0)),0))</f>
        <v>0</v>
      </c>
      <c r="O256" s="2">
        <f t="array" ref="O256">IF($B256="","",IFERROR(MEDIAN(-RestCapPts,RestCapPts,RestPerDay*(INDEX(SchedZone,MATCH($A256,SchedSeq,0),MAP!$B$16)-INDEX(SchedZone,MATCH($A256,SchedSeq,0),MAP!$B$15))),0))</f>
        <v>0</v>
      </c>
      <c r="P256" s="2">
        <f>IF($B256="","",SUMIFS(AdjSpread,AdjGameID,$B256,AdjTeam,$F256,AdjActive,1)-SUMIFS(AdjSpread,AdjGameID,$B256,AdjTeam,$E256,AdjActive,1))</f>
        <v>0</v>
      </c>
      <c r="Q256" s="2">
        <f t="shared" si="2"/>
        <v>-2.2</v>
      </c>
      <c r="R256" s="11"/>
      <c r="S256" s="2">
        <f t="shared" si="3"/>
        <v>-2.2</v>
      </c>
      <c r="T256" s="2" t="str">
        <f t="shared" si="4"/>
        <v>PIT -2.2</v>
      </c>
      <c r="U256" s="2" t="str">
        <f t="array" ref="U256">IF($B256="","",IFERROR(INDEX(MktHomeSpread,MATCH($B256,MktGameID,0)),""))</f>
        <v/>
      </c>
      <c r="V256" s="2" t="str">
        <f t="shared" si="5"/>
        <v/>
      </c>
      <c r="W256" s="2" t="str">
        <f t="shared" si="6"/>
        <v/>
      </c>
      <c r="X256" s="2" t="str">
        <f t="shared" si="7"/>
        <v/>
      </c>
      <c r="Y256" s="2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2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2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2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2">
        <f t="array" ref="AC256">IF($B256="","",IFERROR(INDEX(QBTotEff,MATCH($F256,QBTeams,0)),0)+IFERROR(INDEX(QBTotEff,MATCH($E256,QBTeams,0)),0))</f>
        <v>0</v>
      </c>
      <c r="AD256" s="2">
        <f>IF($B256="","",SUMIFS(AdjTot,AdjGameID,$B256,AdjActive,1))</f>
        <v>0</v>
      </c>
      <c r="AE256" s="2">
        <f t="shared" si="8"/>
        <v>0</v>
      </c>
      <c r="AF256" s="11"/>
      <c r="AG256" s="2">
        <f t="shared" si="9"/>
        <v>0</v>
      </c>
      <c r="AH256" s="2" t="str">
        <f t="array" ref="AH256">IF($B256="","",IFERROR(INDEX(MktTotal,MATCH($B256,MktGameID,0)),""))</f>
        <v/>
      </c>
      <c r="AI256" s="2" t="str">
        <f t="shared" si="10"/>
        <v/>
      </c>
      <c r="AJ256" s="2" t="str">
        <f t="shared" si="11"/>
        <v/>
      </c>
      <c r="AK256" s="2" t="str">
        <f t="shared" si="12"/>
        <v/>
      </c>
      <c r="AL256" s="2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2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2" t="str">
        <f>IF($AG256="","","BET OVER at ≤ "&amp;TEXT($AG256-BetTot,"0.0")&amp;"  |  BET UNDER at ≥ "&amp;TEXT($AG256+BetTot,"0.0"))</f>
        <v>BET OVER at ≤ -3.0  |  BET UNDER at ≥ 3.0</v>
      </c>
      <c r="AO256" s="2" t="str">
        <f t="array" ref="AO256">IF($B256="","",IF(OR(IFERROR(INDEX(QBFlag,MATCH($F256,QBTeams,0)),1)=1,IFERROR(INDEX(QBFlag,MATCH($E256,QBTeams,0)),1)=1),"QB UNCERTAIN",""))</f>
        <v/>
      </c>
      <c r="AP256" s="2" t="str">
        <f t="array" ref="AP256">IF($B256="","",IFERROR(INDEX(DQStatus,MATCH($B256,DQGameID,0)),"BLOCKED — DQ ROW NOT FOUND"))</f>
        <v>READY</v>
      </c>
      <c r="AQ256" s="2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2" t="str">
        <f t="shared" si="13"/>
        <v/>
      </c>
      <c r="AS256" s="2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2" t="str">
        <f t="shared" si="14"/>
        <v/>
      </c>
      <c r="AU256" s="11"/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9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2" t="str">
        <f t="array" ref="G257">IF($B257="","",IF(INDEX(SchedZone,MATCH($A257,SchedSeq,0),MAP!$B$14)="Neutral","Y",""))</f>
        <v/>
      </c>
      <c r="H257" s="2" t="str">
        <f t="array" ref="H257">IF($B257="","",INDEX(SchedZone,MATCH($A257,SchedSeq,0),MAP!$B$17))</f>
        <v/>
      </c>
      <c r="I257" s="2" t="str">
        <f>IF(OR($B257="",$C257&lt;&gt;CurrentWeek),"",COUNTIF($C$5:$C257,CurrentWeek))</f>
        <v/>
      </c>
      <c r="J257" s="2">
        <f t="array" ref="J257">IF($B257="","",IFERROR(INDEX(RatEff,MATCH($E257,RatTeams,0)),"⚠ TEAM NOT FOUND"))</f>
        <v>-3.52</v>
      </c>
      <c r="K257" s="2">
        <f t="array" ref="K257">IF($B257="","",IFERROR(INDEX(RatEff,MATCH($F257,RatTeams,0)),"⚠ TEAM NOT FOUND"))</f>
        <v>-2.07</v>
      </c>
      <c r="L257" s="2">
        <f t="shared" si="1"/>
        <v>1.45</v>
      </c>
      <c r="M257" s="2">
        <f t="array" ref="M257">IF($B257="","",IF($G257="Y",NeutralHFA,IFERROR(INDEX(HFAexcVal,MATCH($F257,HFAexcTeam,0)),HFA_Base)))</f>
        <v>1.6</v>
      </c>
      <c r="N257" s="2">
        <f t="array" ref="N257">IF($B257="","",IFERROR(INDEX(QBSpreadEff,MATCH($F257,QBTeams,0)),0)-IFERROR(INDEX(QBSpreadEff,MATCH($E257,QBTeams,0)),0))</f>
        <v>0</v>
      </c>
      <c r="O257" s="2">
        <f t="array" ref="O257">IF($B257="","",IFERROR(MEDIAN(-RestCapPts,RestCapPts,RestPerDay*(INDEX(SchedZone,MATCH($A257,SchedSeq,0),MAP!$B$16)-INDEX(SchedZone,MATCH($A257,SchedSeq,0),MAP!$B$15))),0))</f>
        <v>0</v>
      </c>
      <c r="P257" s="2">
        <f>IF($B257="","",SUMIFS(AdjSpread,AdjGameID,$B257,AdjTeam,$F257,AdjActive,1)-SUMIFS(AdjSpread,AdjGameID,$B257,AdjTeam,$E257,AdjActive,1))</f>
        <v>0</v>
      </c>
      <c r="Q257" s="2">
        <f t="shared" si="2"/>
        <v>3.05</v>
      </c>
      <c r="R257" s="11"/>
      <c r="S257" s="2">
        <f t="shared" si="3"/>
        <v>3.05</v>
      </c>
      <c r="T257" s="2" t="str">
        <f t="shared" si="4"/>
        <v>ARI -3.1</v>
      </c>
      <c r="U257" s="2" t="str">
        <f t="array" ref="U257">IF($B257="","",IFERROR(INDEX(MktHomeSpread,MATCH($B257,MktGameID,0)),""))</f>
        <v/>
      </c>
      <c r="V257" s="2" t="str">
        <f t="shared" si="5"/>
        <v/>
      </c>
      <c r="W257" s="2" t="str">
        <f t="shared" si="6"/>
        <v/>
      </c>
      <c r="X257" s="2" t="str">
        <f t="shared" si="7"/>
        <v/>
      </c>
      <c r="Y257" s="2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2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2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2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2">
        <f t="array" ref="AC257">IF($B257="","",IFERROR(INDEX(QBTotEff,MATCH($F257,QBTeams,0)),0)+IFERROR(INDEX(QBTotEff,MATCH($E257,QBTeams,0)),0))</f>
        <v>0</v>
      </c>
      <c r="AD257" s="2">
        <f>IF($B257="","",SUMIFS(AdjTot,AdjGameID,$B257,AdjActive,1))</f>
        <v>0</v>
      </c>
      <c r="AE257" s="2">
        <f t="shared" si="8"/>
        <v>0</v>
      </c>
      <c r="AF257" s="11"/>
      <c r="AG257" s="2">
        <f t="shared" si="9"/>
        <v>0</v>
      </c>
      <c r="AH257" s="2" t="str">
        <f t="array" ref="AH257">IF($B257="","",IFERROR(INDEX(MktTotal,MATCH($B257,MktGameID,0)),""))</f>
        <v/>
      </c>
      <c r="AI257" s="2" t="str">
        <f t="shared" si="10"/>
        <v/>
      </c>
      <c r="AJ257" s="2" t="str">
        <f t="shared" si="11"/>
        <v/>
      </c>
      <c r="AK257" s="2" t="str">
        <f t="shared" si="12"/>
        <v/>
      </c>
      <c r="AL257" s="2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Low</v>
      </c>
      <c r="AM257" s="2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2" t="str">
        <f>IF($AG257="","","BET OVER at ≤ "&amp;TEXT($AG257-BetTot,"0.0")&amp;"  |  BET UNDER at ≥ "&amp;TEXT($AG257+BetTot,"0.0"))</f>
        <v>BET OVER at ≤ -3.0  |  BET UNDER at ≥ 3.0</v>
      </c>
      <c r="AO257" s="2" t="str">
        <f t="array" ref="AO257">IF($B257="","",IF(OR(IFERROR(INDEX(QBFlag,MATCH($F257,QBTeams,0)),1)=1,IFERROR(INDEX(QBFlag,MATCH($E257,QBTeams,0)),1)=1),"QB UNCERTAIN",""))</f>
        <v>QB UNCERTAIN</v>
      </c>
      <c r="AP257" s="2" t="str">
        <f t="array" ref="AP257">IF($B257="","",IFERROR(INDEX(DQStatus,MATCH($B257,DQGameID,0)),"BLOCKED — DQ ROW NOT FOUND"))</f>
        <v>READY</v>
      </c>
      <c r="AQ257" s="2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2" t="str">
        <f t="shared" si="13"/>
        <v/>
      </c>
      <c r="AS257" s="2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2" t="str">
        <f t="shared" si="14"/>
        <v/>
      </c>
      <c r="AU257" s="11"/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9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2" t="str">
        <f t="array" ref="G258">IF($B258="","",IF(INDEX(SchedZone,MATCH($A258,SchedSeq,0),MAP!$B$14)="Neutral","Y",""))</f>
        <v/>
      </c>
      <c r="H258" s="2" t="str">
        <f t="array" ref="H258">IF($B258="","",INDEX(SchedZone,MATCH($A258,SchedSeq,0),MAP!$B$17))</f>
        <v>outdoors</v>
      </c>
      <c r="I258" s="2" t="str">
        <f>IF(OR($B258="",$C258&lt;&gt;CurrentWeek),"",COUNTIF($C$5:$C258,CurrentWeek))</f>
        <v/>
      </c>
      <c r="J258" s="2">
        <f t="array" ref="J258">IF($B258="","",IFERROR(INDEX(RatEff,MATCH($E258,RatTeams,0)),"⚠ TEAM NOT FOUND"))</f>
        <v>0.86</v>
      </c>
      <c r="K258" s="2">
        <f t="array" ref="K258">IF($B258="","",IFERROR(INDEX(RatEff,MATCH($F258,RatTeams,0)),"⚠ TEAM NOT FOUND"))</f>
        <v>0.86</v>
      </c>
      <c r="L258" s="2">
        <f t="shared" si="1"/>
        <v>0</v>
      </c>
      <c r="M258" s="2">
        <f t="array" ref="M258">IF($B258="","",IF($G258="Y",NeutralHFA,IFERROR(INDEX(HFAexcVal,MATCH($F258,HFAexcTeam,0)),HFA_Base)))</f>
        <v>1.6</v>
      </c>
      <c r="N258" s="2">
        <f t="array" ref="N258">IF($B258="","",IFERROR(INDEX(QBSpreadEff,MATCH($F258,QBTeams,0)),0)-IFERROR(INDEX(QBSpreadEff,MATCH($E258,QBTeams,0)),0))</f>
        <v>0</v>
      </c>
      <c r="O258" s="2">
        <f t="array" ref="O258">IF($B258="","",IFERROR(MEDIAN(-RestCapPts,RestCapPts,RestPerDay*(INDEX(SchedZone,MATCH($A258,SchedSeq,0),MAP!$B$16)-INDEX(SchedZone,MATCH($A258,SchedSeq,0),MAP!$B$15))),0))</f>
        <v>0.3</v>
      </c>
      <c r="P258" s="2">
        <f>IF($B258="","",SUMIFS(AdjSpread,AdjGameID,$B258,AdjTeam,$F258,AdjActive,1)-SUMIFS(AdjSpread,AdjGameID,$B258,AdjTeam,$E258,AdjActive,1))</f>
        <v>0</v>
      </c>
      <c r="Q258" s="2">
        <f t="shared" si="2"/>
        <v>1.9</v>
      </c>
      <c r="R258" s="11"/>
      <c r="S258" s="2">
        <f t="shared" si="3"/>
        <v>1.9</v>
      </c>
      <c r="T258" s="2" t="str">
        <f t="shared" si="4"/>
        <v>CHI -1.9</v>
      </c>
      <c r="U258" s="2" t="str">
        <f t="array" ref="U258">IF($B258="","",IFERROR(INDEX(MktHomeSpread,MATCH($B258,MktGameID,0)),""))</f>
        <v/>
      </c>
      <c r="V258" s="2" t="str">
        <f t="shared" si="5"/>
        <v/>
      </c>
      <c r="W258" s="2" t="str">
        <f t="shared" si="6"/>
        <v/>
      </c>
      <c r="X258" s="2" t="str">
        <f t="shared" si="7"/>
        <v/>
      </c>
      <c r="Y258" s="2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2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2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2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2">
        <f t="array" ref="AC258">IF($B258="","",IFERROR(INDEX(QBTotEff,MATCH($F258,QBTeams,0)),0)+IFERROR(INDEX(QBTotEff,MATCH($E258,QBTeams,0)),0))</f>
        <v>0</v>
      </c>
      <c r="AD258" s="2">
        <f>IF($B258="","",SUMIFS(AdjTot,AdjGameID,$B258,AdjActive,1))</f>
        <v>0</v>
      </c>
      <c r="AE258" s="2">
        <f t="shared" si="8"/>
        <v>0</v>
      </c>
      <c r="AF258" s="11"/>
      <c r="AG258" s="2">
        <f t="shared" si="9"/>
        <v>0</v>
      </c>
      <c r="AH258" s="2" t="str">
        <f t="array" ref="AH258">IF($B258="","",IFERROR(INDEX(MktTotal,MATCH($B258,MktGameID,0)),""))</f>
        <v/>
      </c>
      <c r="AI258" s="2" t="str">
        <f t="shared" si="10"/>
        <v/>
      </c>
      <c r="AJ258" s="2" t="str">
        <f t="shared" si="11"/>
        <v/>
      </c>
      <c r="AK258" s="2" t="str">
        <f t="shared" si="12"/>
        <v/>
      </c>
      <c r="AL258" s="2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2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2" t="str">
        <f>IF($AG258="","","BET OVER at ≤ "&amp;TEXT($AG258-BetTot,"0.0")&amp;"  |  BET UNDER at ≥ "&amp;TEXT($AG258+BetTot,"0.0"))</f>
        <v>BET OVER at ≤ -3.0  |  BET UNDER at ≥ 3.0</v>
      </c>
      <c r="AO258" s="2" t="str">
        <f t="array" ref="AO258">IF($B258="","",IF(OR(IFERROR(INDEX(QBFlag,MATCH($F258,QBTeams,0)),1)=1,IFERROR(INDEX(QBFlag,MATCH($E258,QBTeams,0)),1)=1),"QB UNCERTAIN",""))</f>
        <v/>
      </c>
      <c r="AP258" s="2" t="str">
        <f t="array" ref="AP258">IF($B258="","",IFERROR(INDEX(DQStatus,MATCH($B258,DQGameID,0)),"BLOCKED — DQ ROW NOT FOUND"))</f>
        <v>READY</v>
      </c>
      <c r="AQ258" s="2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2" t="str">
        <f t="shared" si="13"/>
        <v/>
      </c>
      <c r="AS258" s="2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2" t="str">
        <f t="shared" si="14"/>
        <v/>
      </c>
      <c r="AU258" s="11"/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9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2" t="str">
        <f t="array" ref="G259">IF($B259="","",IF(INDEX(SchedZone,MATCH($A259,SchedSeq,0),MAP!$B$14)="Neutral","Y",""))</f>
        <v/>
      </c>
      <c r="H259" s="2" t="str">
        <f t="array" ref="H259">IF($B259="","",INDEX(SchedZone,MATCH($A259,SchedSeq,0),MAP!$B$17))</f>
        <v>outdoors</v>
      </c>
      <c r="I259" s="2" t="str">
        <f>IF(OR($B259="",$C259&lt;&gt;CurrentWeek),"",COUNTIF($C$5:$C259,CurrentWeek))</f>
        <v/>
      </c>
      <c r="J259" s="2">
        <f t="array" ref="J259">IF($B259="","",IFERROR(INDEX(RatEff,MATCH($E259,RatTeams,0)),"⚠ TEAM NOT FOUND"))</f>
        <v>1.5</v>
      </c>
      <c r="K259" s="2">
        <f t="array" ref="K259">IF($B259="","",IFERROR(INDEX(RatEff,MATCH($F259,RatTeams,0)),"⚠ TEAM NOT FOUND"))</f>
        <v>1.78</v>
      </c>
      <c r="L259" s="2">
        <f t="shared" si="1"/>
        <v>0.28</v>
      </c>
      <c r="M259" s="2">
        <f t="array" ref="M259">IF($B259="","",IF($G259="Y",NeutralHFA,IFERROR(INDEX(HFAexcVal,MATCH($F259,HFAexcTeam,0)),HFA_Base)))</f>
        <v>1.6</v>
      </c>
      <c r="N259" s="2">
        <f t="array" ref="N259">IF($B259="","",IFERROR(INDEX(QBSpreadEff,MATCH($F259,QBTeams,0)),0)-IFERROR(INDEX(QBSpreadEff,MATCH($E259,QBTeams,0)),0))</f>
        <v>0</v>
      </c>
      <c r="O259" s="2">
        <f t="array" ref="O259">IF($B259="","",IFERROR(MEDIAN(-RestCapPts,RestCapPts,RestPerDay*(INDEX(SchedZone,MATCH($A259,SchedSeq,0),MAP!$B$16)-INDEX(SchedZone,MATCH($A259,SchedSeq,0),MAP!$B$15))),0))</f>
        <v>-0.3</v>
      </c>
      <c r="P259" s="2">
        <f>IF($B259="","",SUMIFS(AdjSpread,AdjGameID,$B259,AdjTeam,$F259,AdjActive,1)-SUMIFS(AdjSpread,AdjGameID,$B259,AdjTeam,$E259,AdjActive,1))</f>
        <v>0</v>
      </c>
      <c r="Q259" s="2">
        <f t="shared" si="2"/>
        <v>1.58</v>
      </c>
      <c r="R259" s="11"/>
      <c r="S259" s="2">
        <f t="shared" si="3"/>
        <v>1.58</v>
      </c>
      <c r="T259" s="2" t="str">
        <f t="shared" si="4"/>
        <v>SF -1.6</v>
      </c>
      <c r="U259" s="2" t="str">
        <f t="array" ref="U259">IF($B259="","",IFERROR(INDEX(MktHomeSpread,MATCH($B259,MktGameID,0)),""))</f>
        <v/>
      </c>
      <c r="V259" s="2" t="str">
        <f t="shared" si="5"/>
        <v/>
      </c>
      <c r="W259" s="2" t="str">
        <f t="shared" si="6"/>
        <v/>
      </c>
      <c r="X259" s="2" t="str">
        <f t="shared" si="7"/>
        <v/>
      </c>
      <c r="Y259" s="2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2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2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2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2">
        <f t="array" ref="AC259">IF($B259="","",IFERROR(INDEX(QBTotEff,MATCH($F259,QBTeams,0)),0)+IFERROR(INDEX(QBTotEff,MATCH($E259,QBTeams,0)),0))</f>
        <v>0</v>
      </c>
      <c r="AD259" s="2">
        <f>IF($B259="","",SUMIFS(AdjTot,AdjGameID,$B259,AdjActive,1))</f>
        <v>0</v>
      </c>
      <c r="AE259" s="2">
        <f t="shared" si="8"/>
        <v>0</v>
      </c>
      <c r="AF259" s="11"/>
      <c r="AG259" s="2">
        <f t="shared" si="9"/>
        <v>0</v>
      </c>
      <c r="AH259" s="2" t="str">
        <f t="array" ref="AH259">IF($B259="","",IFERROR(INDEX(MktTotal,MATCH($B259,MktGameID,0)),""))</f>
        <v/>
      </c>
      <c r="AI259" s="2" t="str">
        <f t="shared" si="10"/>
        <v/>
      </c>
      <c r="AJ259" s="2" t="str">
        <f t="shared" si="11"/>
        <v/>
      </c>
      <c r="AK259" s="2" t="str">
        <f t="shared" si="12"/>
        <v/>
      </c>
      <c r="AL259" s="2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2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2" t="str">
        <f>IF($AG259="","","BET OVER at ≤ "&amp;TEXT($AG259-BetTot,"0.0")&amp;"  |  BET UNDER at ≥ "&amp;TEXT($AG259+BetTot,"0.0"))</f>
        <v>BET OVER at ≤ -3.0  |  BET UNDER at ≥ 3.0</v>
      </c>
      <c r="AO259" s="2" t="str">
        <f t="array" ref="AO259">IF($B259="","",IF(OR(IFERROR(INDEX(QBFlag,MATCH($F259,QBTeams,0)),1)=1,IFERROR(INDEX(QBFlag,MATCH($E259,QBTeams,0)),1)=1),"QB UNCERTAIN",""))</f>
        <v/>
      </c>
      <c r="AP259" s="2" t="str">
        <f t="array" ref="AP259">IF($B259="","",IFERROR(INDEX(DQStatus,MATCH($B259,DQGameID,0)),"BLOCKED — DQ ROW NOT FOUND"))</f>
        <v>READY</v>
      </c>
      <c r="AQ259" s="2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2" t="str">
        <f t="shared" si="13"/>
        <v/>
      </c>
      <c r="AS259" s="2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2" t="str">
        <f t="shared" si="14"/>
        <v/>
      </c>
      <c r="AU259" s="11"/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9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2" t="str">
        <f t="array" ref="G260">IF($B260="","",IF(INDEX(SchedZone,MATCH($A260,SchedSeq,0),MAP!$B$14)="Neutral","Y",""))</f>
        <v/>
      </c>
      <c r="H260" s="2" t="str">
        <f t="array" ref="H260">IF($B260="","",INDEX(SchedZone,MATCH($A260,SchedSeq,0),MAP!$B$17))</f>
        <v>outdoors</v>
      </c>
      <c r="I260" s="2" t="str">
        <f>IF(OR($B260="",$C260&lt;&gt;CurrentWeek),"",COUNTIF($C$5:$C260,CurrentWeek))</f>
        <v/>
      </c>
      <c r="J260" s="2">
        <f t="array" ref="J260">IF($B260="","",IFERROR(INDEX(RatEff,MATCH($E260,RatTeams,0)),"⚠ TEAM NOT FOUND"))</f>
        <v>2.71</v>
      </c>
      <c r="K260" s="2">
        <f t="array" ref="K260">IF($B260="","",IFERROR(INDEX(RatEff,MATCH($F260,RatTeams,0)),"⚠ TEAM NOT FOUND"))</f>
        <v>0.51</v>
      </c>
      <c r="L260" s="2">
        <f t="shared" si="1"/>
        <v>-2.2</v>
      </c>
      <c r="M260" s="2">
        <f t="array" ref="M260">IF($B260="","",IF($G260="Y",NeutralHFA,IFERROR(INDEX(HFAexcVal,MATCH($F260,HFAexcTeam,0)),HFA_Base)))</f>
        <v>1.6</v>
      </c>
      <c r="N260" s="2">
        <f t="array" ref="N260">IF($B260="","",IFERROR(INDEX(QBSpreadEff,MATCH($F260,QBTeams,0)),0)-IFERROR(INDEX(QBSpreadEff,MATCH($E260,QBTeams,0)),0))</f>
        <v>0</v>
      </c>
      <c r="O260" s="2">
        <f t="array" ref="O260">IF($B260="","",IFERROR(MEDIAN(-RestCapPts,RestCapPts,RestPerDay*(INDEX(SchedZone,MATCH($A260,SchedSeq,0),MAP!$B$16)-INDEX(SchedZone,MATCH($A260,SchedSeq,0),MAP!$B$15))),0))</f>
        <v>-0.1</v>
      </c>
      <c r="P260" s="2">
        <f>IF($B260="","",SUMIFS(AdjSpread,AdjGameID,$B260,AdjTeam,$F260,AdjActive,1)-SUMIFS(AdjSpread,AdjGameID,$B260,AdjTeam,$E260,AdjActive,1))</f>
        <v>0</v>
      </c>
      <c r="Q260" s="2">
        <f t="shared" si="2"/>
        <v>-0.7</v>
      </c>
      <c r="R260" s="11"/>
      <c r="S260" s="2">
        <f t="shared" si="3"/>
        <v>-0.7</v>
      </c>
      <c r="T260" s="2" t="str">
        <f t="shared" si="4"/>
        <v>HOU -0.7</v>
      </c>
      <c r="U260" s="2" t="str">
        <f t="array" ref="U260">IF($B260="","",IFERROR(INDEX(MktHomeSpread,MATCH($B260,MktGameID,0)),""))</f>
        <v/>
      </c>
      <c r="V260" s="2" t="str">
        <f t="shared" si="5"/>
        <v/>
      </c>
      <c r="W260" s="2" t="str">
        <f t="shared" si="6"/>
        <v/>
      </c>
      <c r="X260" s="2" t="str">
        <f t="shared" si="7"/>
        <v/>
      </c>
      <c r="Y260" s="2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2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2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2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2">
        <f t="array" ref="AC260">IF($B260="","",IFERROR(INDEX(QBTotEff,MATCH($F260,QBTeams,0)),0)+IFERROR(INDEX(QBTotEff,MATCH($E260,QBTeams,0)),0))</f>
        <v>0</v>
      </c>
      <c r="AD260" s="2">
        <f>IF($B260="","",SUMIFS(AdjTot,AdjGameID,$B260,AdjActive,1))</f>
        <v>0</v>
      </c>
      <c r="AE260" s="2">
        <f t="shared" si="8"/>
        <v>0</v>
      </c>
      <c r="AF260" s="11"/>
      <c r="AG260" s="2">
        <f t="shared" si="9"/>
        <v>0</v>
      </c>
      <c r="AH260" s="2" t="str">
        <f t="array" ref="AH260">IF($B260="","",IFERROR(INDEX(MktTotal,MATCH($B260,MktGameID,0)),""))</f>
        <v/>
      </c>
      <c r="AI260" s="2" t="str">
        <f t="shared" si="10"/>
        <v/>
      </c>
      <c r="AJ260" s="2" t="str">
        <f t="shared" si="11"/>
        <v/>
      </c>
      <c r="AK260" s="2" t="str">
        <f t="shared" si="12"/>
        <v/>
      </c>
      <c r="AL260" s="2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2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2" t="str">
        <f>IF($AG260="","","BET OVER at ≤ "&amp;TEXT($AG260-BetTot,"0.0")&amp;"  |  BET UNDER at ≥ "&amp;TEXT($AG260+BetTot,"0.0"))</f>
        <v>BET OVER at ≤ -3.0  |  BET UNDER at ≥ 3.0</v>
      </c>
      <c r="AO260" s="2" t="str">
        <f t="array" ref="AO260">IF($B260="","",IF(OR(IFERROR(INDEX(QBFlag,MATCH($F260,QBTeams,0)),1)=1,IFERROR(INDEX(QBFlag,MATCH($E260,QBTeams,0)),1)=1),"QB UNCERTAIN",""))</f>
        <v/>
      </c>
      <c r="AP260" s="2" t="str">
        <f t="array" ref="AP260">IF($B260="","",IFERROR(INDEX(DQStatus,MATCH($B260,DQGameID,0)),"BLOCKED — DQ ROW NOT FOUND"))</f>
        <v>READY</v>
      </c>
      <c r="AQ260" s="2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2" t="str">
        <f t="shared" si="13"/>
        <v/>
      </c>
      <c r="AS260" s="2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2" t="str">
        <f t="shared" si="14"/>
        <v/>
      </c>
      <c r="AU260" s="11"/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9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2" t="str">
        <f t="array" ref="G261">IF($B261="","",IF(INDEX(SchedZone,MATCH($A261,SchedSeq,0),MAP!$B$14)="Neutral","Y",""))</f>
        <v/>
      </c>
      <c r="H261" s="2" t="str">
        <f t="array" ref="H261">IF($B261="","",INDEX(SchedZone,MATCH($A261,SchedSeq,0),MAP!$B$17))</f>
        <v/>
      </c>
      <c r="I261" s="2" t="str">
        <f>IF(OR($B261="",$C261&lt;&gt;CurrentWeek),"",COUNTIF($C$5:$C261,CurrentWeek))</f>
        <v/>
      </c>
      <c r="J261" s="2">
        <f t="array" ref="J261">IF($B261="","",IFERROR(INDEX(RatEff,MATCH($E261,RatTeams,0)),"⚠ TEAM NOT FOUND"))</f>
        <v>1.78</v>
      </c>
      <c r="K261" s="2">
        <f t="array" ref="K261">IF($B261="","",IFERROR(INDEX(RatEff,MATCH($F261,RatTeams,0)),"⚠ TEAM NOT FOUND"))</f>
        <v>-2.07</v>
      </c>
      <c r="L261" s="2">
        <f t="shared" si="1"/>
        <v>-3.85</v>
      </c>
      <c r="M261" s="2">
        <f t="array" ref="M261">IF($B261="","",IF($G261="Y",NeutralHFA,IFERROR(INDEX(HFAexcVal,MATCH($F261,HFAexcTeam,0)),HFA_Base)))</f>
        <v>1.6</v>
      </c>
      <c r="N261" s="2">
        <f t="array" ref="N261">IF($B261="","",IFERROR(INDEX(QBSpreadEff,MATCH($F261,QBTeams,0)),0)-IFERROR(INDEX(QBSpreadEff,MATCH($E261,QBTeams,0)),0))</f>
        <v>0</v>
      </c>
      <c r="O261" s="2">
        <f t="array" ref="O261">IF($B261="","",IFERROR(MEDIAN(-RestCapPts,RestCapPts,RestPerDay*(INDEX(SchedZone,MATCH($A261,SchedSeq,0),MAP!$B$16)-INDEX(SchedZone,MATCH($A261,SchedSeq,0),MAP!$B$15))),0))</f>
        <v>0</v>
      </c>
      <c r="P261" s="2">
        <f>IF($B261="","",SUMIFS(AdjSpread,AdjGameID,$B261,AdjTeam,$F261,AdjActive,1)-SUMIFS(AdjSpread,AdjGameID,$B261,AdjTeam,$E261,AdjActive,1))</f>
        <v>0</v>
      </c>
      <c r="Q261" s="2">
        <f t="shared" si="2"/>
        <v>-2.25</v>
      </c>
      <c r="R261" s="11"/>
      <c r="S261" s="2">
        <f t="shared" si="3"/>
        <v>-2.25</v>
      </c>
      <c r="T261" s="2" t="str">
        <f t="shared" si="4"/>
        <v>SF -2.3</v>
      </c>
      <c r="U261" s="2" t="str">
        <f t="array" ref="U261">IF($B261="","",IFERROR(INDEX(MktHomeSpread,MATCH($B261,MktGameID,0)),""))</f>
        <v/>
      </c>
      <c r="V261" s="2" t="str">
        <f t="shared" si="5"/>
        <v/>
      </c>
      <c r="W261" s="2" t="str">
        <f t="shared" si="6"/>
        <v/>
      </c>
      <c r="X261" s="2" t="str">
        <f t="shared" si="7"/>
        <v/>
      </c>
      <c r="Y261" s="2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2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2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2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2">
        <f t="array" ref="AC261">IF($B261="","",IFERROR(INDEX(QBTotEff,MATCH($F261,QBTeams,0)),0)+IFERROR(INDEX(QBTotEff,MATCH($E261,QBTeams,0)),0))</f>
        <v>0</v>
      </c>
      <c r="AD261" s="2">
        <f>IF($B261="","",SUMIFS(AdjTot,AdjGameID,$B261,AdjActive,1))</f>
        <v>0</v>
      </c>
      <c r="AE261" s="2">
        <f t="shared" si="8"/>
        <v>0</v>
      </c>
      <c r="AF261" s="11"/>
      <c r="AG261" s="2">
        <f t="shared" si="9"/>
        <v>0</v>
      </c>
      <c r="AH261" s="2">
        <f t="array" ref="AH261">IF($B261="","",IFERROR(INDEX(MktTotal,MATCH($B261,MktGameID,0)),""))</f>
        <v>43.5</v>
      </c>
      <c r="AI261" s="2">
        <f t="shared" si="10"/>
        <v>-43.5</v>
      </c>
      <c r="AJ261" s="2">
        <f t="shared" si="11"/>
        <v>43.5</v>
      </c>
      <c r="AK261" s="2" t="str">
        <f t="shared" si="12"/>
        <v>UNDER</v>
      </c>
      <c r="AL261" s="2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2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2" t="str">
        <f>IF($AG261="","","BET OVER at ≤ "&amp;TEXT($AG261-BetTot,"0.0")&amp;"  |  BET UNDER at ≥ "&amp;TEXT($AG261+BetTot,"0.0"))</f>
        <v>BET OVER at ≤ -3.0  |  BET UNDER at ≥ 3.0</v>
      </c>
      <c r="AO261" s="2" t="str">
        <f t="array" ref="AO261">IF($B261="","",IF(OR(IFERROR(INDEX(QBFlag,MATCH($F261,QBTeams,0)),1)=1,IFERROR(INDEX(QBFlag,MATCH($E261,QBTeams,0)),1)=1),"QB UNCERTAIN",""))</f>
        <v>QB UNCERTAIN</v>
      </c>
      <c r="AP261" s="2" t="str">
        <f t="array" ref="AP261">IF($B261="","",IFERROR(INDEX(DQStatus,MATCH($B261,DQGameID,0)),"BLOCKED — DQ ROW NOT FOUND"))</f>
        <v>WARNING</v>
      </c>
      <c r="AQ261" s="2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2" t="str">
        <f t="shared" si="13"/>
        <v/>
      </c>
      <c r="AS261" s="2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2" t="str">
        <f t="shared" si="14"/>
        <v/>
      </c>
      <c r="AU261" s="11"/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9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2" t="str">
        <f t="array" ref="G262">IF($B262="","",IF(INDEX(SchedZone,MATCH($A262,SchedSeq,0),MAP!$B$14)="Neutral","Y",""))</f>
        <v/>
      </c>
      <c r="H262" s="2" t="str">
        <f t="array" ref="H262">IF($B262="","",INDEX(SchedZone,MATCH($A262,SchedSeq,0),MAP!$B$17))</f>
        <v>outdoors</v>
      </c>
      <c r="I262" s="2" t="str">
        <f>IF(OR($B262="",$C262&lt;&gt;CurrentWeek),"",COUNTIF($C$5:$C262,CurrentWeek))</f>
        <v/>
      </c>
      <c r="J262" s="2">
        <f t="array" ref="J262">IF($B262="","",IFERROR(INDEX(RatEff,MATCH($E262,RatTeams,0)),"⚠ TEAM NOT FOUND"))</f>
        <v>0.66</v>
      </c>
      <c r="K262" s="2">
        <f t="array" ref="K262">IF($B262="","",IFERROR(INDEX(RatEff,MATCH($F262,RatTeams,0)),"⚠ TEAM NOT FOUND"))</f>
        <v>0.92</v>
      </c>
      <c r="L262" s="2">
        <f t="shared" si="1"/>
        <v>0.26</v>
      </c>
      <c r="M262" s="2">
        <f t="array" ref="M262">IF($B262="","",IF($G262="Y",NeutralHFA,IFERROR(INDEX(HFAexcVal,MATCH($F262,HFAexcTeam,0)),HFA_Base)))</f>
        <v>1.6</v>
      </c>
      <c r="N262" s="2">
        <f t="array" ref="N262">IF($B262="","",IFERROR(INDEX(QBSpreadEff,MATCH($F262,QBTeams,0)),0)-IFERROR(INDEX(QBSpreadEff,MATCH($E262,QBTeams,0)),0))</f>
        <v>0</v>
      </c>
      <c r="O262" s="2">
        <f t="array" ref="O262">IF($B262="","",IFERROR(MEDIAN(-RestCapPts,RestCapPts,RestPerDay*(INDEX(SchedZone,MATCH($A262,SchedSeq,0),MAP!$B$16)-INDEX(SchedZone,MATCH($A262,SchedSeq,0),MAP!$B$15))),0))</f>
        <v>0.3</v>
      </c>
      <c r="P262" s="2">
        <f>IF($B262="","",SUMIFS(AdjSpread,AdjGameID,$B262,AdjTeam,$F262,AdjActive,1)-SUMIFS(AdjSpread,AdjGameID,$B262,AdjTeam,$E262,AdjActive,1))</f>
        <v>0</v>
      </c>
      <c r="Q262" s="2">
        <f t="shared" si="2"/>
        <v>2.16</v>
      </c>
      <c r="R262" s="11"/>
      <c r="S262" s="2">
        <f t="shared" si="3"/>
        <v>2.16</v>
      </c>
      <c r="T262" s="2" t="str">
        <f t="shared" si="4"/>
        <v>BAL -2.2</v>
      </c>
      <c r="U262" s="2" t="str">
        <f t="array" ref="U262">IF($B262="","",IFERROR(INDEX(MktHomeSpread,MATCH($B262,MktGameID,0)),""))</f>
        <v/>
      </c>
      <c r="V262" s="2" t="str">
        <f t="shared" si="5"/>
        <v/>
      </c>
      <c r="W262" s="2" t="str">
        <f t="shared" si="6"/>
        <v/>
      </c>
      <c r="X262" s="2" t="str">
        <f t="shared" si="7"/>
        <v/>
      </c>
      <c r="Y262" s="2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2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2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2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2">
        <f t="array" ref="AC262">IF($B262="","",IFERROR(INDEX(QBTotEff,MATCH($F262,QBTeams,0)),0)+IFERROR(INDEX(QBTotEff,MATCH($E262,QBTeams,0)),0))</f>
        <v>0</v>
      </c>
      <c r="AD262" s="2">
        <f>IF($B262="","",SUMIFS(AdjTot,AdjGameID,$B262,AdjActive,1))</f>
        <v>0</v>
      </c>
      <c r="AE262" s="2">
        <f t="shared" si="8"/>
        <v>0</v>
      </c>
      <c r="AF262" s="11"/>
      <c r="AG262" s="2">
        <f t="shared" si="9"/>
        <v>0</v>
      </c>
      <c r="AH262" s="2">
        <f t="array" ref="AH262">IF($B262="","",IFERROR(INDEX(MktTotal,MATCH($B262,MktGameID,0)),""))</f>
        <v>39.5</v>
      </c>
      <c r="AI262" s="2">
        <f t="shared" si="10"/>
        <v>-39.5</v>
      </c>
      <c r="AJ262" s="2">
        <f t="shared" si="11"/>
        <v>39.5</v>
      </c>
      <c r="AK262" s="2" t="str">
        <f t="shared" si="12"/>
        <v>UNDER</v>
      </c>
      <c r="AL262" s="2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2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2" t="str">
        <f>IF($AG262="","","BET OVER at ≤ "&amp;TEXT($AG262-BetTot,"0.0")&amp;"  |  BET UNDER at ≥ "&amp;TEXT($AG262+BetTot,"0.0"))</f>
        <v>BET OVER at ≤ -3.0  |  BET UNDER at ≥ 3.0</v>
      </c>
      <c r="AO262" s="2" t="str">
        <f t="array" ref="AO262">IF($B262="","",IF(OR(IFERROR(INDEX(QBFlag,MATCH($F262,QBTeams,0)),1)=1,IFERROR(INDEX(QBFlag,MATCH($E262,QBTeams,0)),1)=1),"QB UNCERTAIN",""))</f>
        <v/>
      </c>
      <c r="AP262" s="2" t="str">
        <f t="array" ref="AP262">IF($B262="","",IFERROR(INDEX(DQStatus,MATCH($B262,DQGameID,0)),"BLOCKED — DQ ROW NOT FOUND"))</f>
        <v>WARNING</v>
      </c>
      <c r="AQ262" s="2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2" t="str">
        <f t="shared" si="13"/>
        <v/>
      </c>
      <c r="AS262" s="2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2" t="str">
        <f t="shared" si="14"/>
        <v/>
      </c>
      <c r="AU262" s="11"/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9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2" t="str">
        <f t="array" ref="G263">IF($B263="","",IF(INDEX(SchedZone,MATCH($A263,SchedSeq,0),MAP!$B$14)="Neutral","Y",""))</f>
        <v/>
      </c>
      <c r="H263" s="2" t="str">
        <f t="array" ref="H263">IF($B263="","",INDEX(SchedZone,MATCH($A263,SchedSeq,0),MAP!$B$17))</f>
        <v>outdoors</v>
      </c>
      <c r="I263" s="2" t="str">
        <f>IF(OR($B263="",$C263&lt;&gt;CurrentWeek),"",COUNTIF($C$5:$C263,CurrentWeek))</f>
        <v/>
      </c>
      <c r="J263" s="2">
        <f t="array" ref="J263">IF($B263="","",IFERROR(INDEX(RatEff,MATCH($E263,RatTeams,0)),"⚠ TEAM NOT FOUND"))</f>
        <v>-4.67</v>
      </c>
      <c r="K263" s="2">
        <f t="array" ref="K263">IF($B263="","",IFERROR(INDEX(RatEff,MATCH($F263,RatTeams,0)),"⚠ TEAM NOT FOUND"))</f>
        <v>1.75</v>
      </c>
      <c r="L263" s="2">
        <f t="shared" si="1"/>
        <v>6.42</v>
      </c>
      <c r="M263" s="2">
        <f t="array" ref="M263">IF($B263="","",IF($G263="Y",NeutralHFA,IFERROR(INDEX(HFAexcVal,MATCH($F263,HFAexcTeam,0)),HFA_Base)))</f>
        <v>1.6</v>
      </c>
      <c r="N263" s="2">
        <f t="array" ref="N263">IF($B263="","",IFERROR(INDEX(QBSpreadEff,MATCH($F263,QBTeams,0)),0)-IFERROR(INDEX(QBSpreadEff,MATCH($E263,QBTeams,0)),0))</f>
        <v>0</v>
      </c>
      <c r="O263" s="2">
        <f t="array" ref="O263">IF($B263="","",IFERROR(MEDIAN(-RestCapPts,RestCapPts,RestPerDay*(INDEX(SchedZone,MATCH($A263,SchedSeq,0),MAP!$B$16)-INDEX(SchedZone,MATCH($A263,SchedSeq,0),MAP!$B$15))),0))</f>
        <v>0</v>
      </c>
      <c r="P263" s="2">
        <f>IF($B263="","",SUMIFS(AdjSpread,AdjGameID,$B263,AdjTeam,$F263,AdjActive,1)-SUMIFS(AdjSpread,AdjGameID,$B263,AdjTeam,$E263,AdjActive,1))</f>
        <v>0</v>
      </c>
      <c r="Q263" s="2">
        <f t="shared" si="2"/>
        <v>8.02</v>
      </c>
      <c r="R263" s="11"/>
      <c r="S263" s="2">
        <f t="shared" si="3"/>
        <v>8.02</v>
      </c>
      <c r="T263" s="2" t="str">
        <f t="shared" si="4"/>
        <v>BUF -8.0</v>
      </c>
      <c r="U263" s="2" t="str">
        <f t="array" ref="U263">IF($B263="","",IFERROR(INDEX(MktHomeSpread,MATCH($B263,MktGameID,0)),""))</f>
        <v/>
      </c>
      <c r="V263" s="2" t="str">
        <f t="shared" si="5"/>
        <v/>
      </c>
      <c r="W263" s="2" t="str">
        <f t="shared" si="6"/>
        <v/>
      </c>
      <c r="X263" s="2" t="str">
        <f t="shared" si="7"/>
        <v/>
      </c>
      <c r="Y263" s="2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2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2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2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2">
        <f t="array" ref="AC263">IF($B263="","",IFERROR(INDEX(QBTotEff,MATCH($F263,QBTeams,0)),0)+IFERROR(INDEX(QBTotEff,MATCH($E263,QBTeams,0)),0))</f>
        <v>0</v>
      </c>
      <c r="AD263" s="2">
        <f>IF($B263="","",SUMIFS(AdjTot,AdjGameID,$B263,AdjActive,1))</f>
        <v>0</v>
      </c>
      <c r="AE263" s="2">
        <f t="shared" si="8"/>
        <v>0</v>
      </c>
      <c r="AF263" s="11"/>
      <c r="AG263" s="2">
        <f t="shared" si="9"/>
        <v>0</v>
      </c>
      <c r="AH263" s="2">
        <f t="array" ref="AH263">IF($B263="","",IFERROR(INDEX(MktTotal,MATCH($B263,MktGameID,0)),""))</f>
        <v>51.5</v>
      </c>
      <c r="AI263" s="2">
        <f t="shared" si="10"/>
        <v>-51.5</v>
      </c>
      <c r="AJ263" s="2">
        <f t="shared" si="11"/>
        <v>51.5</v>
      </c>
      <c r="AK263" s="2" t="str">
        <f t="shared" si="12"/>
        <v>UNDER</v>
      </c>
      <c r="AL263" s="2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2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2" t="str">
        <f>IF($AG263="","","BET OVER at ≤ "&amp;TEXT($AG263-BetTot,"0.0")&amp;"  |  BET UNDER at ≥ "&amp;TEXT($AG263+BetTot,"0.0"))</f>
        <v>BET OVER at ≤ -3.0  |  BET UNDER at ≥ 3.0</v>
      </c>
      <c r="AO263" s="2" t="str">
        <f t="array" ref="AO263">IF($B263="","",IF(OR(IFERROR(INDEX(QBFlag,MATCH($F263,QBTeams,0)),1)=1,IFERROR(INDEX(QBFlag,MATCH($E263,QBTeams,0)),1)=1),"QB UNCERTAIN",""))</f>
        <v/>
      </c>
      <c r="AP263" s="2" t="str">
        <f t="array" ref="AP263">IF($B263="","",IFERROR(INDEX(DQStatus,MATCH($B263,DQGameID,0)),"BLOCKED — DQ ROW NOT FOUND"))</f>
        <v>WARNING</v>
      </c>
      <c r="AQ263" s="2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2" t="str">
        <f t="shared" si="13"/>
        <v/>
      </c>
      <c r="AS263" s="2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2" t="str">
        <f t="shared" si="14"/>
        <v/>
      </c>
      <c r="AU263" s="11"/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9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2" t="str">
        <f t="array" ref="G264">IF($B264="","",IF(INDEX(SchedZone,MATCH($A264,SchedSeq,0),MAP!$B$14)="Neutral","Y",""))</f>
        <v/>
      </c>
      <c r="H264" s="2" t="str">
        <f t="array" ref="H264">IF($B264="","",INDEX(SchedZone,MATCH($A264,SchedSeq,0),MAP!$B$17))</f>
        <v>outdoors</v>
      </c>
      <c r="I264" s="2" t="str">
        <f>IF(OR($B264="",$C264&lt;&gt;CurrentWeek),"",COUNTIF($C$5:$C264,CurrentWeek))</f>
        <v/>
      </c>
      <c r="J264" s="2">
        <f t="array" ref="J264">IF($B264="","",IFERROR(INDEX(RatEff,MATCH($E264,RatTeams,0)),"⚠ TEAM NOT FOUND"))</f>
        <v>-0.06</v>
      </c>
      <c r="K264" s="2">
        <f t="array" ref="K264">IF($B264="","",IFERROR(INDEX(RatEff,MATCH($F264,RatTeams,0)),"⚠ TEAM NOT FOUND"))</f>
        <v>-1.3</v>
      </c>
      <c r="L264" s="2">
        <f t="shared" si="1"/>
        <v>-1.24</v>
      </c>
      <c r="M264" s="2">
        <f t="array" ref="M264">IF($B264="","",IF($G264="Y",NeutralHFA,IFERROR(INDEX(HFAexcVal,MATCH($F264,HFAexcTeam,0)),HFA_Base)))</f>
        <v>1.6</v>
      </c>
      <c r="N264" s="2">
        <f t="array" ref="N264">IF($B264="","",IFERROR(INDEX(QBSpreadEff,MATCH($F264,QBTeams,0)),0)-IFERROR(INDEX(QBSpreadEff,MATCH($E264,QBTeams,0)),0))</f>
        <v>0</v>
      </c>
      <c r="O264" s="2">
        <f t="array" ref="O264">IF($B264="","",IFERROR(MEDIAN(-RestCapPts,RestCapPts,RestPerDay*(INDEX(SchedZone,MATCH($A264,SchedSeq,0),MAP!$B$16)-INDEX(SchedZone,MATCH($A264,SchedSeq,0),MAP!$B$15))),0))</f>
        <v>0</v>
      </c>
      <c r="P264" s="2">
        <f>IF($B264="","",SUMIFS(AdjSpread,AdjGameID,$B264,AdjTeam,$F264,AdjActive,1)-SUMIFS(AdjSpread,AdjGameID,$B264,AdjTeam,$E264,AdjActive,1))</f>
        <v>0</v>
      </c>
      <c r="Q264" s="2">
        <f t="shared" si="2"/>
        <v>0.36</v>
      </c>
      <c r="R264" s="11"/>
      <c r="S264" s="2">
        <f t="shared" si="3"/>
        <v>0.36</v>
      </c>
      <c r="T264" s="2" t="str">
        <f t="shared" si="4"/>
        <v>CAR -0.4</v>
      </c>
      <c r="U264" s="2" t="str">
        <f t="array" ref="U264">IF($B264="","",IFERROR(INDEX(MktHomeSpread,MATCH($B264,MktGameID,0)),""))</f>
        <v/>
      </c>
      <c r="V264" s="2" t="str">
        <f t="shared" si="5"/>
        <v/>
      </c>
      <c r="W264" s="2" t="str">
        <f t="shared" si="6"/>
        <v/>
      </c>
      <c r="X264" s="2" t="str">
        <f t="shared" si="7"/>
        <v/>
      </c>
      <c r="Y264" s="2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2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2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2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2">
        <f t="array" ref="AC264">IF($B264="","",IFERROR(INDEX(QBTotEff,MATCH($F264,QBTeams,0)),0)+IFERROR(INDEX(QBTotEff,MATCH($E264,QBTeams,0)),0))</f>
        <v>0</v>
      </c>
      <c r="AD264" s="2">
        <f>IF($B264="","",SUMIFS(AdjTot,AdjGameID,$B264,AdjActive,1))</f>
        <v>0</v>
      </c>
      <c r="AE264" s="2">
        <f t="shared" si="8"/>
        <v>0</v>
      </c>
      <c r="AF264" s="11"/>
      <c r="AG264" s="2">
        <f t="shared" si="9"/>
        <v>0</v>
      </c>
      <c r="AH264" s="2">
        <f t="array" ref="AH264">IF($B264="","",IFERROR(INDEX(MktTotal,MATCH($B264,MktGameID,0)),""))</f>
        <v>47.5</v>
      </c>
      <c r="AI264" s="2">
        <f t="shared" si="10"/>
        <v>-47.5</v>
      </c>
      <c r="AJ264" s="2">
        <f t="shared" si="11"/>
        <v>47.5</v>
      </c>
      <c r="AK264" s="2" t="str">
        <f t="shared" si="12"/>
        <v>UNDER</v>
      </c>
      <c r="AL264" s="2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2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2" t="str">
        <f>IF($AG264="","","BET OVER at ≤ "&amp;TEXT($AG264-BetTot,"0.0")&amp;"  |  BET UNDER at ≥ "&amp;TEXT($AG264+BetTot,"0.0"))</f>
        <v>BET OVER at ≤ -3.0  |  BET UNDER at ≥ 3.0</v>
      </c>
      <c r="AO264" s="2" t="str">
        <f t="array" ref="AO264">IF($B264="","",IF(OR(IFERROR(INDEX(QBFlag,MATCH($F264,QBTeams,0)),1)=1,IFERROR(INDEX(QBFlag,MATCH($E264,QBTeams,0)),1)=1),"QB UNCERTAIN",""))</f>
        <v>QB UNCERTAIN</v>
      </c>
      <c r="AP264" s="2" t="str">
        <f t="array" ref="AP264">IF($B264="","",IFERROR(INDEX(DQStatus,MATCH($B264,DQGameID,0)),"BLOCKED — DQ ROW NOT FOUND"))</f>
        <v>WARNING</v>
      </c>
      <c r="AQ264" s="2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2" t="str">
        <f t="shared" si="13"/>
        <v/>
      </c>
      <c r="AS264" s="2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2" t="str">
        <f t="shared" si="14"/>
        <v/>
      </c>
      <c r="AU264" s="11"/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9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2" t="str">
        <f t="array" ref="G265">IF($B265="","",IF(INDEX(SchedZone,MATCH($A265,SchedSeq,0),MAP!$B$14)="Neutral","Y",""))</f>
        <v/>
      </c>
      <c r="H265" s="2" t="str">
        <f t="array" ref="H265">IF($B265="","",INDEX(SchedZone,MATCH($A265,SchedSeq,0),MAP!$B$17))</f>
        <v>outdoors</v>
      </c>
      <c r="I265" s="2" t="str">
        <f>IF(OR($B265="",$C265&lt;&gt;CurrentWeek),"",COUNTIF($C$5:$C265,CurrentWeek))</f>
        <v/>
      </c>
      <c r="J265" s="2">
        <f t="array" ref="J265">IF($B265="","",IFERROR(INDEX(RatEff,MATCH($E265,RatTeams,0)),"⚠ TEAM NOT FOUND"))</f>
        <v>-2.6</v>
      </c>
      <c r="K265" s="2">
        <f t="array" ref="K265">IF($B265="","",IFERROR(INDEX(RatEff,MATCH($F265,RatTeams,0)),"⚠ TEAM NOT FOUND"))</f>
        <v>-1.53</v>
      </c>
      <c r="L265" s="2">
        <f t="shared" si="1"/>
        <v>1.07</v>
      </c>
      <c r="M265" s="2">
        <f t="array" ref="M265">IF($B265="","",IF($G265="Y",NeutralHFA,IFERROR(INDEX(HFAexcVal,MATCH($F265,HFAexcTeam,0)),HFA_Base)))</f>
        <v>1.6</v>
      </c>
      <c r="N265" s="2">
        <f t="array" ref="N265">IF($B265="","",IFERROR(INDEX(QBSpreadEff,MATCH($F265,QBTeams,0)),0)-IFERROR(INDEX(QBSpreadEff,MATCH($E265,QBTeams,0)),0))</f>
        <v>0</v>
      </c>
      <c r="O265" s="2">
        <f t="array" ref="O265">IF($B265="","",IFERROR(MEDIAN(-RestCapPts,RestCapPts,RestPerDay*(INDEX(SchedZone,MATCH($A265,SchedSeq,0),MAP!$B$16)-INDEX(SchedZone,MATCH($A265,SchedSeq,0),MAP!$B$15))),0))</f>
        <v>0.3</v>
      </c>
      <c r="P265" s="2">
        <f>IF($B265="","",SUMIFS(AdjSpread,AdjGameID,$B265,AdjTeam,$F265,AdjActive,1)-SUMIFS(AdjSpread,AdjGameID,$B265,AdjTeam,$E265,AdjActive,1))</f>
        <v>0</v>
      </c>
      <c r="Q265" s="2">
        <f t="shared" si="2"/>
        <v>2.97</v>
      </c>
      <c r="R265" s="11"/>
      <c r="S265" s="2">
        <f t="shared" si="3"/>
        <v>2.97</v>
      </c>
      <c r="T265" s="2" t="str">
        <f t="shared" si="4"/>
        <v>CIN -3.0</v>
      </c>
      <c r="U265" s="2" t="str">
        <f t="array" ref="U265">IF($B265="","",IFERROR(INDEX(MktHomeSpread,MATCH($B265,MktGameID,0)),""))</f>
        <v/>
      </c>
      <c r="V265" s="2" t="str">
        <f t="shared" si="5"/>
        <v/>
      </c>
      <c r="W265" s="2" t="str">
        <f t="shared" si="6"/>
        <v/>
      </c>
      <c r="X265" s="2" t="str">
        <f t="shared" si="7"/>
        <v/>
      </c>
      <c r="Y265" s="2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2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2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2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2">
        <f t="array" ref="AC265">IF($B265="","",IFERROR(INDEX(QBTotEff,MATCH($F265,QBTeams,0)),0)+IFERROR(INDEX(QBTotEff,MATCH($E265,QBTeams,0)),0))</f>
        <v>0</v>
      </c>
      <c r="AD265" s="2">
        <f>IF($B265="","",SUMIFS(AdjTot,AdjGameID,$B265,AdjActive,1))</f>
        <v>0</v>
      </c>
      <c r="AE265" s="2">
        <f t="shared" si="8"/>
        <v>0</v>
      </c>
      <c r="AF265" s="11"/>
      <c r="AG265" s="2">
        <f t="shared" si="9"/>
        <v>0</v>
      </c>
      <c r="AH265" s="2">
        <f t="array" ref="AH265">IF($B265="","",IFERROR(INDEX(MktTotal,MATCH($B265,MktGameID,0)),""))</f>
        <v>37.5</v>
      </c>
      <c r="AI265" s="2">
        <f t="shared" si="10"/>
        <v>-37.5</v>
      </c>
      <c r="AJ265" s="2">
        <f t="shared" si="11"/>
        <v>37.5</v>
      </c>
      <c r="AK265" s="2" t="str">
        <f t="shared" si="12"/>
        <v>UNDER</v>
      </c>
      <c r="AL265" s="2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2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2" t="str">
        <f>IF($AG265="","","BET OVER at ≤ "&amp;TEXT($AG265-BetTot,"0.0")&amp;"  |  BET UNDER at ≥ "&amp;TEXT($AG265+BetTot,"0.0"))</f>
        <v>BET OVER at ≤ -3.0  |  BET UNDER at ≥ 3.0</v>
      </c>
      <c r="AO265" s="2" t="str">
        <f t="array" ref="AO265">IF($B265="","",IF(OR(IFERROR(INDEX(QBFlag,MATCH($F265,QBTeams,0)),1)=1,IFERROR(INDEX(QBFlag,MATCH($E265,QBTeams,0)),1)=1),"QB UNCERTAIN",""))</f>
        <v>QB UNCERTAIN</v>
      </c>
      <c r="AP265" s="2" t="str">
        <f t="array" ref="AP265">IF($B265="","",IFERROR(INDEX(DQStatus,MATCH($B265,DQGameID,0)),"BLOCKED — DQ ROW NOT FOUND"))</f>
        <v>WARNING</v>
      </c>
      <c r="AQ265" s="2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2" t="str">
        <f t="shared" si="13"/>
        <v/>
      </c>
      <c r="AS265" s="2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2" t="str">
        <f t="shared" si="14"/>
        <v/>
      </c>
      <c r="AU265" s="11"/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9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2" t="str">
        <f t="array" ref="G266">IF($B266="","",IF(INDEX(SchedZone,MATCH($A266,SchedSeq,0),MAP!$B$14)="Neutral","Y",""))</f>
        <v/>
      </c>
      <c r="H266" s="2" t="str">
        <f t="array" ref="H266">IF($B266="","",INDEX(SchedZone,MATCH($A266,SchedSeq,0),MAP!$B$17))</f>
        <v>outdoors</v>
      </c>
      <c r="I266" s="2" t="str">
        <f>IF(OR($B266="",$C266&lt;&gt;CurrentWeek),"",COUNTIF($C$5:$C266,CurrentWeek))</f>
        <v/>
      </c>
      <c r="J266" s="2">
        <f t="array" ref="J266">IF($B266="","",IFERROR(INDEX(RatEff,MATCH($E266,RatTeams,0)),"⚠ TEAM NOT FOUND"))</f>
        <v>0.56</v>
      </c>
      <c r="K266" s="2">
        <f t="array" ref="K266">IF($B266="","",IFERROR(INDEX(RatEff,MATCH($F266,RatTeams,0)),"⚠ TEAM NOT FOUND"))</f>
        <v>1.93</v>
      </c>
      <c r="L266" s="2">
        <f t="shared" si="1"/>
        <v>1.37</v>
      </c>
      <c r="M266" s="2">
        <f t="array" ref="M266">IF($B266="","",IF($G266="Y",NeutralHFA,IFERROR(INDEX(HFAexcVal,MATCH($F266,HFAexcTeam,0)),HFA_Base)))</f>
        <v>1.6</v>
      </c>
      <c r="N266" s="2">
        <f t="array" ref="N266">IF($B266="","",IFERROR(INDEX(QBSpreadEff,MATCH($F266,QBTeams,0)),0)-IFERROR(INDEX(QBSpreadEff,MATCH($E266,QBTeams,0)),0))</f>
        <v>0</v>
      </c>
      <c r="O266" s="2">
        <f t="array" ref="O266">IF($B266="","",IFERROR(MEDIAN(-RestCapPts,RestCapPts,RestPerDay*(INDEX(SchedZone,MATCH($A266,SchedSeq,0),MAP!$B$16)-INDEX(SchedZone,MATCH($A266,SchedSeq,0),MAP!$B$15))),0))</f>
        <v>0</v>
      </c>
      <c r="P266" s="2">
        <f>IF($B266="","",SUMIFS(AdjSpread,AdjGameID,$B266,AdjTeam,$F266,AdjActive,1)-SUMIFS(AdjSpread,AdjGameID,$B266,AdjTeam,$E266,AdjActive,1))</f>
        <v>0</v>
      </c>
      <c r="Q266" s="2">
        <f t="shared" si="2"/>
        <v>2.97</v>
      </c>
      <c r="R266" s="11"/>
      <c r="S266" s="2">
        <f t="shared" si="3"/>
        <v>2.97</v>
      </c>
      <c r="T266" s="2" t="str">
        <f t="shared" si="4"/>
        <v>DEN -3.0</v>
      </c>
      <c r="U266" s="2" t="str">
        <f t="array" ref="U266">IF($B266="","",IFERROR(INDEX(MktHomeSpread,MATCH($B266,MktGameID,0)),""))</f>
        <v/>
      </c>
      <c r="V266" s="2" t="str">
        <f t="shared" si="5"/>
        <v/>
      </c>
      <c r="W266" s="2" t="str">
        <f t="shared" si="6"/>
        <v/>
      </c>
      <c r="X266" s="2" t="str">
        <f t="shared" si="7"/>
        <v/>
      </c>
      <c r="Y266" s="2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2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2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2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2">
        <f t="array" ref="AC266">IF($B266="","",IFERROR(INDEX(QBTotEff,MATCH($F266,QBTeams,0)),0)+IFERROR(INDEX(QBTotEff,MATCH($E266,QBTeams,0)),0))</f>
        <v>0</v>
      </c>
      <c r="AD266" s="2">
        <f>IF($B266="","",SUMIFS(AdjTot,AdjGameID,$B266,AdjActive,1))</f>
        <v>0</v>
      </c>
      <c r="AE266" s="2">
        <f t="shared" si="8"/>
        <v>0</v>
      </c>
      <c r="AF266" s="11"/>
      <c r="AG266" s="2">
        <f t="shared" si="9"/>
        <v>0</v>
      </c>
      <c r="AH266" s="2">
        <f t="array" ref="AH266">IF($B266="","",IFERROR(INDEX(MktTotal,MATCH($B266,MktGameID,0)),""))</f>
        <v>37.5</v>
      </c>
      <c r="AI266" s="2">
        <f t="shared" si="10"/>
        <v>-37.5</v>
      </c>
      <c r="AJ266" s="2">
        <f t="shared" si="11"/>
        <v>37.5</v>
      </c>
      <c r="AK266" s="2" t="str">
        <f t="shared" si="12"/>
        <v>UNDER</v>
      </c>
      <c r="AL266" s="2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2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2" t="str">
        <f>IF($AG266="","","BET OVER at ≤ "&amp;TEXT($AG266-BetTot,"0.0")&amp;"  |  BET UNDER at ≥ "&amp;TEXT($AG266+BetTot,"0.0"))</f>
        <v>BET OVER at ≤ -3.0  |  BET UNDER at ≥ 3.0</v>
      </c>
      <c r="AO266" s="2" t="str">
        <f t="array" ref="AO266">IF($B266="","",IF(OR(IFERROR(INDEX(QBFlag,MATCH($F266,QBTeams,0)),1)=1,IFERROR(INDEX(QBFlag,MATCH($E266,QBTeams,0)),1)=1),"QB UNCERTAIN",""))</f>
        <v/>
      </c>
      <c r="AP266" s="2" t="str">
        <f t="array" ref="AP266">IF($B266="","",IFERROR(INDEX(DQStatus,MATCH($B266,DQGameID,0)),"BLOCKED — DQ ROW NOT FOUND"))</f>
        <v>WARNING</v>
      </c>
      <c r="AQ266" s="2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2" t="str">
        <f t="shared" si="13"/>
        <v/>
      </c>
      <c r="AS266" s="2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2" t="str">
        <f t="shared" si="14"/>
        <v/>
      </c>
      <c r="AU266" s="11"/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9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2" t="str">
        <f t="array" ref="G267">IF($B267="","",IF(INDEX(SchedZone,MATCH($A267,SchedSeq,0),MAP!$B$14)="Neutral","Y",""))</f>
        <v/>
      </c>
      <c r="H267" s="2" t="str">
        <f t="array" ref="H267">IF($B267="","",INDEX(SchedZone,MATCH($A267,SchedSeq,0),MAP!$B$17))</f>
        <v>outdoors</v>
      </c>
      <c r="I267" s="2" t="str">
        <f>IF(OR($B267="",$C267&lt;&gt;CurrentWeek),"",COUNTIF($C$5:$C267,CurrentWeek))</f>
        <v/>
      </c>
      <c r="J267" s="2">
        <f t="array" ref="J267">IF($B267="","",IFERROR(INDEX(RatEff,MATCH($E267,RatTeams,0)),"⚠ TEAM NOT FOUND"))</f>
        <v>0.86</v>
      </c>
      <c r="K267" s="2">
        <f t="array" ref="K267">IF($B267="","",IFERROR(INDEX(RatEff,MATCH($F267,RatTeams,0)),"⚠ TEAM NOT FOUND"))</f>
        <v>0.51</v>
      </c>
      <c r="L267" s="2">
        <f t="shared" si="1"/>
        <v>-0.35</v>
      </c>
      <c r="M267" s="2">
        <f t="array" ref="M267">IF($B267="","",IF($G267="Y",NeutralHFA,IFERROR(INDEX(HFAexcVal,MATCH($F267,HFAexcTeam,0)),HFA_Base)))</f>
        <v>1.6</v>
      </c>
      <c r="N267" s="2">
        <f t="array" ref="N267">IF($B267="","",IFERROR(INDEX(QBSpreadEff,MATCH($F267,QBTeams,0)),0)-IFERROR(INDEX(QBSpreadEff,MATCH($E267,QBTeams,0)),0))</f>
        <v>0</v>
      </c>
      <c r="O267" s="2">
        <f t="array" ref="O267">IF($B267="","",IFERROR(MEDIAN(-RestCapPts,RestCapPts,RestPerDay*(INDEX(SchedZone,MATCH($A267,SchedSeq,0),MAP!$B$16)-INDEX(SchedZone,MATCH($A267,SchedSeq,0),MAP!$B$15))),0))</f>
        <v>-0.1</v>
      </c>
      <c r="P267" s="2">
        <f>IF($B267="","",SUMIFS(AdjSpread,AdjGameID,$B267,AdjTeam,$F267,AdjActive,1)-SUMIFS(AdjSpread,AdjGameID,$B267,AdjTeam,$E267,AdjActive,1))</f>
        <v>0</v>
      </c>
      <c r="Q267" s="2">
        <f t="shared" si="2"/>
        <v>1.15</v>
      </c>
      <c r="R267" s="11"/>
      <c r="S267" s="2">
        <f t="shared" si="3"/>
        <v>1.15</v>
      </c>
      <c r="T267" s="2" t="str">
        <f t="shared" si="4"/>
        <v>GB -1.2</v>
      </c>
      <c r="U267" s="2" t="str">
        <f t="array" ref="U267">IF($B267="","",IFERROR(INDEX(MktHomeSpread,MATCH($B267,MktGameID,0)),""))</f>
        <v/>
      </c>
      <c r="V267" s="2" t="str">
        <f t="shared" si="5"/>
        <v/>
      </c>
      <c r="W267" s="2" t="str">
        <f t="shared" si="6"/>
        <v/>
      </c>
      <c r="X267" s="2" t="str">
        <f t="shared" si="7"/>
        <v/>
      </c>
      <c r="Y267" s="2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2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2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2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2">
        <f t="array" ref="AC267">IF($B267="","",IFERROR(INDEX(QBTotEff,MATCH($F267,QBTeams,0)),0)+IFERROR(INDEX(QBTotEff,MATCH($E267,QBTeams,0)),0))</f>
        <v>0</v>
      </c>
      <c r="AD267" s="2">
        <f>IF($B267="","",SUMIFS(AdjTot,AdjGameID,$B267,AdjActive,1))</f>
        <v>0</v>
      </c>
      <c r="AE267" s="2">
        <f t="shared" si="8"/>
        <v>0</v>
      </c>
      <c r="AF267" s="11"/>
      <c r="AG267" s="2">
        <f t="shared" si="9"/>
        <v>0</v>
      </c>
      <c r="AH267" s="2">
        <f t="array" ref="AH267">IF($B267="","",IFERROR(INDEX(MktTotal,MATCH($B267,MktGameID,0)),""))</f>
        <v>46.5</v>
      </c>
      <c r="AI267" s="2">
        <f t="shared" si="10"/>
        <v>-46.5</v>
      </c>
      <c r="AJ267" s="2">
        <f t="shared" si="11"/>
        <v>46.5</v>
      </c>
      <c r="AK267" s="2" t="str">
        <f t="shared" si="12"/>
        <v>UNDER</v>
      </c>
      <c r="AL267" s="2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2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2" t="str">
        <f>IF($AG267="","","BET OVER at ≤ "&amp;TEXT($AG267-BetTot,"0.0")&amp;"  |  BET UNDER at ≥ "&amp;TEXT($AG267+BetTot,"0.0"))</f>
        <v>BET OVER at ≤ -3.0  |  BET UNDER at ≥ 3.0</v>
      </c>
      <c r="AO267" s="2" t="str">
        <f t="array" ref="AO267">IF($B267="","",IF(OR(IFERROR(INDEX(QBFlag,MATCH($F267,QBTeams,0)),1)=1,IFERROR(INDEX(QBFlag,MATCH($E267,QBTeams,0)),1)=1),"QB UNCERTAIN",""))</f>
        <v/>
      </c>
      <c r="AP267" s="2" t="str">
        <f t="array" ref="AP267">IF($B267="","",IFERROR(INDEX(DQStatus,MATCH($B267,DQGameID,0)),"BLOCKED — DQ ROW NOT FOUND"))</f>
        <v>WARNING</v>
      </c>
      <c r="AQ267" s="2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2" t="str">
        <f t="shared" si="13"/>
        <v/>
      </c>
      <c r="AS267" s="2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2" t="str">
        <f t="shared" si="14"/>
        <v/>
      </c>
      <c r="AU267" s="11"/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9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2" t="str">
        <f t="array" ref="G268">IF($B268="","",IF(INDEX(SchedZone,MATCH($A268,SchedSeq,0),MAP!$B$14)="Neutral","Y",""))</f>
        <v/>
      </c>
      <c r="H268" s="2" t="str">
        <f t="array" ref="H268">IF($B268="","",INDEX(SchedZone,MATCH($A268,SchedSeq,0),MAP!$B$17))</f>
        <v/>
      </c>
      <c r="I268" s="2" t="str">
        <f>IF(OR($B268="",$C268&lt;&gt;CurrentWeek),"",COUNTIF($C$5:$C268,CurrentWeek))</f>
        <v/>
      </c>
      <c r="J268" s="2">
        <f t="array" ref="J268">IF($B268="","",IFERROR(INDEX(RatEff,MATCH($E268,RatTeams,0)),"⚠ TEAM NOT FOUND"))</f>
        <v>-3.14</v>
      </c>
      <c r="K268" s="2">
        <f t="array" ref="K268">IF($B268="","",IFERROR(INDEX(RatEff,MATCH($F268,RatTeams,0)),"⚠ TEAM NOT FOUND"))</f>
        <v>2.71</v>
      </c>
      <c r="L268" s="2">
        <f t="shared" si="1"/>
        <v>5.85</v>
      </c>
      <c r="M268" s="2">
        <f t="array" ref="M268">IF($B268="","",IF($G268="Y",NeutralHFA,IFERROR(INDEX(HFAexcVal,MATCH($F268,HFAexcTeam,0)),HFA_Base)))</f>
        <v>1.6</v>
      </c>
      <c r="N268" s="2">
        <f t="array" ref="N268">IF($B268="","",IFERROR(INDEX(QBSpreadEff,MATCH($F268,QBTeams,0)),0)-IFERROR(INDEX(QBSpreadEff,MATCH($E268,QBTeams,0)),0))</f>
        <v>0</v>
      </c>
      <c r="O268" s="2">
        <f t="array" ref="O268">IF($B268="","",IFERROR(MEDIAN(-RestCapPts,RestCapPts,RestPerDay*(INDEX(SchedZone,MATCH($A268,SchedSeq,0),MAP!$B$16)-INDEX(SchedZone,MATCH($A268,SchedSeq,0),MAP!$B$15))),0))</f>
        <v>-0.1</v>
      </c>
      <c r="P268" s="2">
        <f>IF($B268="","",SUMIFS(AdjSpread,AdjGameID,$B268,AdjTeam,$F268,AdjActive,1)-SUMIFS(AdjSpread,AdjGameID,$B268,AdjTeam,$E268,AdjActive,1))</f>
        <v>0</v>
      </c>
      <c r="Q268" s="2">
        <f t="shared" si="2"/>
        <v>7.35</v>
      </c>
      <c r="R268" s="11"/>
      <c r="S268" s="2">
        <f t="shared" si="3"/>
        <v>7.35</v>
      </c>
      <c r="T268" s="2" t="str">
        <f t="shared" si="4"/>
        <v>HOU -7.4</v>
      </c>
      <c r="U268" s="2" t="str">
        <f t="array" ref="U268">IF($B268="","",IFERROR(INDEX(MktHomeSpread,MATCH($B268,MktGameID,0)),""))</f>
        <v/>
      </c>
      <c r="V268" s="2" t="str">
        <f t="shared" si="5"/>
        <v/>
      </c>
      <c r="W268" s="2" t="str">
        <f t="shared" si="6"/>
        <v/>
      </c>
      <c r="X268" s="2" t="str">
        <f t="shared" si="7"/>
        <v/>
      </c>
      <c r="Y268" s="2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2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2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2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2">
        <f t="array" ref="AC268">IF($B268="","",IFERROR(INDEX(QBTotEff,MATCH($F268,QBTeams,0)),0)+IFERROR(INDEX(QBTotEff,MATCH($E268,QBTeams,0)),0))</f>
        <v>0</v>
      </c>
      <c r="AD268" s="2">
        <f>IF($B268="","",SUMIFS(AdjTot,AdjGameID,$B268,AdjActive,1))</f>
        <v>0</v>
      </c>
      <c r="AE268" s="2">
        <f t="shared" si="8"/>
        <v>0</v>
      </c>
      <c r="AF268" s="11"/>
      <c r="AG268" s="2">
        <f t="shared" si="9"/>
        <v>0</v>
      </c>
      <c r="AH268" s="2">
        <f t="array" ref="AH268">IF($B268="","",IFERROR(INDEX(MktTotal,MATCH($B268,MktGameID,0)),""))</f>
        <v>49.5</v>
      </c>
      <c r="AI268" s="2">
        <f t="shared" si="10"/>
        <v>-49.5</v>
      </c>
      <c r="AJ268" s="2">
        <f t="shared" si="11"/>
        <v>49.5</v>
      </c>
      <c r="AK268" s="2" t="str">
        <f t="shared" si="12"/>
        <v>UNDER</v>
      </c>
      <c r="AL268" s="2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2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2" t="str">
        <f>IF($AG268="","","BET OVER at ≤ "&amp;TEXT($AG268-BetTot,"0.0")&amp;"  |  BET UNDER at ≥ "&amp;TEXT($AG268+BetTot,"0.0"))</f>
        <v>BET OVER at ≤ -3.0  |  BET UNDER at ≥ 3.0</v>
      </c>
      <c r="AO268" s="2" t="str">
        <f t="array" ref="AO268">IF($B268="","",IF(OR(IFERROR(INDEX(QBFlag,MATCH($F268,QBTeams,0)),1)=1,IFERROR(INDEX(QBFlag,MATCH($E268,QBTeams,0)),1)=1),"QB UNCERTAIN",""))</f>
        <v/>
      </c>
      <c r="AP268" s="2" t="str">
        <f t="array" ref="AP268">IF($B268="","",IFERROR(INDEX(DQStatus,MATCH($B268,DQGameID,0)),"BLOCKED — DQ ROW NOT FOUND"))</f>
        <v>WARNING</v>
      </c>
      <c r="AQ268" s="2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2" t="str">
        <f t="shared" si="13"/>
        <v/>
      </c>
      <c r="AS268" s="2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2" t="str">
        <f t="shared" si="14"/>
        <v/>
      </c>
      <c r="AU268" s="11"/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9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2" t="str">
        <f t="array" ref="G269">IF($B269="","",IF(INDEX(SchedZone,MATCH($A269,SchedSeq,0),MAP!$B$14)="Neutral","Y",""))</f>
        <v/>
      </c>
      <c r="H269" s="2" t="str">
        <f t="array" ref="H269">IF($B269="","",INDEX(SchedZone,MATCH($A269,SchedSeq,0),MAP!$B$17))</f>
        <v/>
      </c>
      <c r="I269" s="2" t="str">
        <f>IF(OR($B269="",$C269&lt;&gt;CurrentWeek),"",COUNTIF($C$5:$C269,CurrentWeek))</f>
        <v/>
      </c>
      <c r="J269" s="2">
        <f t="array" ref="J269">IF($B269="","",IFERROR(INDEX(RatEff,MATCH($E269,RatTeams,0)),"⚠ TEAM NOT FOUND"))</f>
        <v>3.22</v>
      </c>
      <c r="K269" s="2">
        <f t="array" ref="K269">IF($B269="","",IFERROR(INDEX(RatEff,MATCH($F269,RatTeams,0)),"⚠ TEAM NOT FOUND"))</f>
        <v>0.82</v>
      </c>
      <c r="L269" s="2">
        <f t="shared" si="1"/>
        <v>-2.4</v>
      </c>
      <c r="M269" s="2">
        <f t="array" ref="M269">IF($B269="","",IF($G269="Y",NeutralHFA,IFERROR(INDEX(HFAexcVal,MATCH($F269,HFAexcTeam,0)),HFA_Base)))</f>
        <v>1.6</v>
      </c>
      <c r="N269" s="2">
        <f t="array" ref="N269">IF($B269="","",IFERROR(INDEX(QBSpreadEff,MATCH($F269,QBTeams,0)),0)-IFERROR(INDEX(QBSpreadEff,MATCH($E269,QBTeams,0)),0))</f>
        <v>0</v>
      </c>
      <c r="O269" s="2">
        <f t="array" ref="O269">IF($B269="","",IFERROR(MEDIAN(-RestCapPts,RestCapPts,RestPerDay*(INDEX(SchedZone,MATCH($A269,SchedSeq,0),MAP!$B$16)-INDEX(SchedZone,MATCH($A269,SchedSeq,0),MAP!$B$15))),0))</f>
        <v>0</v>
      </c>
      <c r="P269" s="2">
        <f>IF($B269="","",SUMIFS(AdjSpread,AdjGameID,$B269,AdjTeam,$F269,AdjActive,1)-SUMIFS(AdjSpread,AdjGameID,$B269,AdjTeam,$E269,AdjActive,1))</f>
        <v>0</v>
      </c>
      <c r="Q269" s="2">
        <f t="shared" si="2"/>
        <v>-0.8</v>
      </c>
      <c r="R269" s="11"/>
      <c r="S269" s="2">
        <f t="shared" si="3"/>
        <v>-0.8</v>
      </c>
      <c r="T269" s="2" t="str">
        <f t="shared" si="4"/>
        <v>JAX -0.8</v>
      </c>
      <c r="U269" s="2" t="str">
        <f t="array" ref="U269">IF($B269="","",IFERROR(INDEX(MktHomeSpread,MATCH($B269,MktGameID,0)),""))</f>
        <v/>
      </c>
      <c r="V269" s="2" t="str">
        <f t="shared" si="5"/>
        <v/>
      </c>
      <c r="W269" s="2" t="str">
        <f t="shared" si="6"/>
        <v/>
      </c>
      <c r="X269" s="2" t="str">
        <f t="shared" si="7"/>
        <v/>
      </c>
      <c r="Y269" s="2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2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2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2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2">
        <f t="array" ref="AC269">IF($B269="","",IFERROR(INDEX(QBTotEff,MATCH($F269,QBTeams,0)),0)+IFERROR(INDEX(QBTotEff,MATCH($E269,QBTeams,0)),0))</f>
        <v>0</v>
      </c>
      <c r="AD269" s="2">
        <f>IF($B269="","",SUMIFS(AdjTot,AdjGameID,$B269,AdjActive,1))</f>
        <v>0</v>
      </c>
      <c r="AE269" s="2">
        <f t="shared" si="8"/>
        <v>0</v>
      </c>
      <c r="AF269" s="11"/>
      <c r="AG269" s="2">
        <f t="shared" si="9"/>
        <v>0</v>
      </c>
      <c r="AH269" s="2">
        <f t="array" ref="AH269">IF($B269="","",IFERROR(INDEX(MktTotal,MATCH($B269,MktGameID,0)),""))</f>
        <v>36.5</v>
      </c>
      <c r="AI269" s="2">
        <f t="shared" si="10"/>
        <v>-36.5</v>
      </c>
      <c r="AJ269" s="2">
        <f t="shared" si="11"/>
        <v>36.5</v>
      </c>
      <c r="AK269" s="2" t="str">
        <f t="shared" si="12"/>
        <v>UNDER</v>
      </c>
      <c r="AL269" s="2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2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2" t="str">
        <f>IF($AG269="","","BET OVER at ≤ "&amp;TEXT($AG269-BetTot,"0.0")&amp;"  |  BET UNDER at ≥ "&amp;TEXT($AG269+BetTot,"0.0"))</f>
        <v>BET OVER at ≤ -3.0  |  BET UNDER at ≥ 3.0</v>
      </c>
      <c r="AO269" s="2" t="str">
        <f t="array" ref="AO269">IF($B269="","",IF(OR(IFERROR(INDEX(QBFlag,MATCH($F269,QBTeams,0)),1)=1,IFERROR(INDEX(QBFlag,MATCH($E269,QBTeams,0)),1)=1),"QB UNCERTAIN",""))</f>
        <v/>
      </c>
      <c r="AP269" s="2" t="str">
        <f t="array" ref="AP269">IF($B269="","",IFERROR(INDEX(DQStatus,MATCH($B269,DQGameID,0)),"BLOCKED — DQ ROW NOT FOUND"))</f>
        <v>WARNING</v>
      </c>
      <c r="AQ269" s="2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2" t="str">
        <f t="shared" si="13"/>
        <v/>
      </c>
      <c r="AS269" s="2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2" t="str">
        <f t="shared" si="14"/>
        <v/>
      </c>
      <c r="AU269" s="11"/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9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2" t="str">
        <f t="array" ref="G270">IF($B270="","",IF(INDEX(SchedZone,MATCH($A270,SchedSeq,0),MAP!$B$14)="Neutral","Y",""))</f>
        <v/>
      </c>
      <c r="H270" s="2" t="str">
        <f t="array" ref="H270">IF($B270="","",INDEX(SchedZone,MATCH($A270,SchedSeq,0),MAP!$B$17))</f>
        <v>outdoors</v>
      </c>
      <c r="I270" s="2" t="str">
        <f>IF(OR($B270="",$C270&lt;&gt;CurrentWeek),"",COUNTIF($C$5:$C270,CurrentWeek))</f>
        <v/>
      </c>
      <c r="J270" s="2">
        <f t="array" ref="J270">IF($B270="","",IFERROR(INDEX(RatEff,MATCH($E270,RatTeams,0)),"⚠ TEAM NOT FOUND"))</f>
        <v>-3.52</v>
      </c>
      <c r="K270" s="2">
        <f t="array" ref="K270">IF($B270="","",IFERROR(INDEX(RatEff,MATCH($F270,RatTeams,0)),"⚠ TEAM NOT FOUND"))</f>
        <v>-0.04</v>
      </c>
      <c r="L270" s="2">
        <f t="shared" si="1"/>
        <v>3.48</v>
      </c>
      <c r="M270" s="2">
        <f t="array" ref="M270">IF($B270="","",IF($G270="Y",NeutralHFA,IFERROR(INDEX(HFAexcVal,MATCH($F270,HFAexcTeam,0)),HFA_Base)))</f>
        <v>1.6</v>
      </c>
      <c r="N270" s="2">
        <f t="array" ref="N270">IF($B270="","",IFERROR(INDEX(QBSpreadEff,MATCH($F270,QBTeams,0)),0)-IFERROR(INDEX(QBSpreadEff,MATCH($E270,QBTeams,0)),0))</f>
        <v>0</v>
      </c>
      <c r="O270" s="2">
        <f t="array" ref="O270">IF($B270="","",IFERROR(MEDIAN(-RestCapPts,RestCapPts,RestPerDay*(INDEX(SchedZone,MATCH($A270,SchedSeq,0),MAP!$B$16)-INDEX(SchedZone,MATCH($A270,SchedSeq,0),MAP!$B$15))),0))</f>
        <v>0</v>
      </c>
      <c r="P270" s="2">
        <f>IF($B270="","",SUMIFS(AdjSpread,AdjGameID,$B270,AdjTeam,$F270,AdjActive,1)-SUMIFS(AdjSpread,AdjGameID,$B270,AdjTeam,$E270,AdjActive,1))</f>
        <v>0</v>
      </c>
      <c r="Q270" s="2">
        <f t="shared" si="2"/>
        <v>5.08</v>
      </c>
      <c r="R270" s="11"/>
      <c r="S270" s="2">
        <f t="shared" si="3"/>
        <v>5.08</v>
      </c>
      <c r="T270" s="2" t="str">
        <f t="shared" si="4"/>
        <v>KC -5.1</v>
      </c>
      <c r="U270" s="2" t="str">
        <f t="array" ref="U270">IF($B270="","",IFERROR(INDEX(MktHomeSpread,MATCH($B270,MktGameID,0)),""))</f>
        <v/>
      </c>
      <c r="V270" s="2" t="str">
        <f t="shared" si="5"/>
        <v/>
      </c>
      <c r="W270" s="2" t="str">
        <f t="shared" si="6"/>
        <v/>
      </c>
      <c r="X270" s="2" t="str">
        <f t="shared" si="7"/>
        <v/>
      </c>
      <c r="Y270" s="2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2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2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2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2">
        <f t="array" ref="AC270">IF($B270="","",IFERROR(INDEX(QBTotEff,MATCH($F270,QBTeams,0)),0)+IFERROR(INDEX(QBTotEff,MATCH($E270,QBTeams,0)),0))</f>
        <v>0</v>
      </c>
      <c r="AD270" s="2">
        <f>IF($B270="","",SUMIFS(AdjTot,AdjGameID,$B270,AdjActive,1))</f>
        <v>0</v>
      </c>
      <c r="AE270" s="2">
        <f t="shared" si="8"/>
        <v>0</v>
      </c>
      <c r="AF270" s="11"/>
      <c r="AG270" s="2">
        <f t="shared" si="9"/>
        <v>0</v>
      </c>
      <c r="AH270" s="2">
        <f t="array" ref="AH270">IF($B270="","",IFERROR(INDEX(MktTotal,MATCH($B270,MktGameID,0)),""))</f>
        <v>37.5</v>
      </c>
      <c r="AI270" s="2">
        <f t="shared" si="10"/>
        <v>-37.5</v>
      </c>
      <c r="AJ270" s="2">
        <f t="shared" si="11"/>
        <v>37.5</v>
      </c>
      <c r="AK270" s="2" t="str">
        <f t="shared" si="12"/>
        <v>UNDER</v>
      </c>
      <c r="AL270" s="2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2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2" t="str">
        <f>IF($AG270="","","BET OVER at ≤ "&amp;TEXT($AG270-BetTot,"0.0")&amp;"  |  BET UNDER at ≥ "&amp;TEXT($AG270+BetTot,"0.0"))</f>
        <v>BET OVER at ≤ -3.0  |  BET UNDER at ≥ 3.0</v>
      </c>
      <c r="AO270" s="2" t="str">
        <f t="array" ref="AO270">IF($B270="","",IF(OR(IFERROR(INDEX(QBFlag,MATCH($F270,QBTeams,0)),1)=1,IFERROR(INDEX(QBFlag,MATCH($E270,QBTeams,0)),1)=1),"QB UNCERTAIN",""))</f>
        <v/>
      </c>
      <c r="AP270" s="2" t="str">
        <f t="array" ref="AP270">IF($B270="","",IFERROR(INDEX(DQStatus,MATCH($B270,DQGameID,0)),"BLOCKED — DQ ROW NOT FOUND"))</f>
        <v>WARNING</v>
      </c>
      <c r="AQ270" s="2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2" t="str">
        <f t="shared" si="13"/>
        <v/>
      </c>
      <c r="AS270" s="2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2" t="str">
        <f t="shared" si="14"/>
        <v/>
      </c>
      <c r="AU270" s="11"/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9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2" t="str">
        <f t="array" ref="G271">IF($B271="","",IF(INDEX(SchedZone,MATCH($A271,SchedSeq,0),MAP!$B$14)="Neutral","Y",""))</f>
        <v/>
      </c>
      <c r="H271" s="2" t="str">
        <f t="array" ref="H271">IF($B271="","",INDEX(SchedZone,MATCH($A271,SchedSeq,0),MAP!$B$17))</f>
        <v>dome</v>
      </c>
      <c r="I271" s="2" t="str">
        <f>IF(OR($B271="",$C271&lt;&gt;CurrentWeek),"",COUNTIF($C$5:$C271,CurrentWeek))</f>
        <v/>
      </c>
      <c r="J271" s="2">
        <f t="array" ref="J271">IF($B271="","",IFERROR(INDEX(RatEff,MATCH($E271,RatTeams,0)),"⚠ TEAM NOT FOUND"))</f>
        <v>4.1</v>
      </c>
      <c r="K271" s="2">
        <f t="array" ref="K271">IF($B271="","",IFERROR(INDEX(RatEff,MATCH($F271,RatTeams,0)),"⚠ TEAM NOT FOUND"))</f>
        <v>4.09</v>
      </c>
      <c r="L271" s="2">
        <f t="shared" si="1"/>
        <v>-0.01</v>
      </c>
      <c r="M271" s="2">
        <f t="array" ref="M271">IF($B271="","",IF($G271="Y",NeutralHFA,IFERROR(INDEX(HFAexcVal,MATCH($F271,HFAexcTeam,0)),HFA_Base)))</f>
        <v>1.6</v>
      </c>
      <c r="N271" s="2">
        <f t="array" ref="N271">IF($B271="","",IFERROR(INDEX(QBSpreadEff,MATCH($F271,QBTeams,0)),0)-IFERROR(INDEX(QBSpreadEff,MATCH($E271,QBTeams,0)),0))</f>
        <v>0</v>
      </c>
      <c r="O271" s="2">
        <f t="array" ref="O271">IF($B271="","",IFERROR(MEDIAN(-RestCapPts,RestCapPts,RestPerDay*(INDEX(SchedZone,MATCH($A271,SchedSeq,0),MAP!$B$16)-INDEX(SchedZone,MATCH($A271,SchedSeq,0),MAP!$B$15))),0))</f>
        <v>0</v>
      </c>
      <c r="P271" s="2">
        <f>IF($B271="","",SUMIFS(AdjSpread,AdjGameID,$B271,AdjTeam,$F271,AdjActive,1)-SUMIFS(AdjSpread,AdjGameID,$B271,AdjTeam,$E271,AdjActive,1))</f>
        <v>0</v>
      </c>
      <c r="Q271" s="2">
        <f t="shared" si="2"/>
        <v>1.59</v>
      </c>
      <c r="R271" s="11"/>
      <c r="S271" s="2">
        <f t="shared" si="3"/>
        <v>1.59</v>
      </c>
      <c r="T271" s="2" t="str">
        <f t="shared" si="4"/>
        <v>LA -1.6</v>
      </c>
      <c r="U271" s="2" t="str">
        <f t="array" ref="U271">IF($B271="","",IFERROR(INDEX(MktHomeSpread,MATCH($B271,MktGameID,0)),""))</f>
        <v/>
      </c>
      <c r="V271" s="2" t="str">
        <f t="shared" si="5"/>
        <v/>
      </c>
      <c r="W271" s="2" t="str">
        <f t="shared" si="6"/>
        <v/>
      </c>
      <c r="X271" s="2" t="str">
        <f t="shared" si="7"/>
        <v/>
      </c>
      <c r="Y271" s="2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2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2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2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2">
        <f t="array" ref="AC271">IF($B271="","",IFERROR(INDEX(QBTotEff,MATCH($F271,QBTeams,0)),0)+IFERROR(INDEX(QBTotEff,MATCH($E271,QBTeams,0)),0))</f>
        <v>0</v>
      </c>
      <c r="AD271" s="2">
        <f>IF($B271="","",SUMIFS(AdjTot,AdjGameID,$B271,AdjActive,1))</f>
        <v>0</v>
      </c>
      <c r="AE271" s="2">
        <f t="shared" si="8"/>
        <v>0</v>
      </c>
      <c r="AF271" s="11"/>
      <c r="AG271" s="2">
        <f t="shared" si="9"/>
        <v>0</v>
      </c>
      <c r="AH271" s="2">
        <f t="array" ref="AH271">IF($B271="","",IFERROR(INDEX(MktTotal,MATCH($B271,MktGameID,0)),""))</f>
        <v>44.5</v>
      </c>
      <c r="AI271" s="2">
        <f t="shared" si="10"/>
        <v>-44.5</v>
      </c>
      <c r="AJ271" s="2">
        <f t="shared" si="11"/>
        <v>44.5</v>
      </c>
      <c r="AK271" s="2" t="str">
        <f t="shared" si="12"/>
        <v>UNDER</v>
      </c>
      <c r="AL271" s="2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2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2" t="str">
        <f>IF($AG271="","","BET OVER at ≤ "&amp;TEXT($AG271-BetTot,"0.0")&amp;"  |  BET UNDER at ≥ "&amp;TEXT($AG271+BetTot,"0.0"))</f>
        <v>BET OVER at ≤ -3.0  |  BET UNDER at ≥ 3.0</v>
      </c>
      <c r="AO271" s="2" t="str">
        <f t="array" ref="AO271">IF($B271="","",IF(OR(IFERROR(INDEX(QBFlag,MATCH($F271,QBTeams,0)),1)=1,IFERROR(INDEX(QBFlag,MATCH($E271,QBTeams,0)),1)=1),"QB UNCERTAIN",""))</f>
        <v/>
      </c>
      <c r="AP271" s="2" t="str">
        <f t="array" ref="AP271">IF($B271="","",IFERROR(INDEX(DQStatus,MATCH($B271,DQGameID,0)),"BLOCKED — DQ ROW NOT FOUND"))</f>
        <v>WARNING</v>
      </c>
      <c r="AQ271" s="2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2" t="str">
        <f t="shared" si="13"/>
        <v/>
      </c>
      <c r="AS271" s="2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2" t="str">
        <f t="shared" si="14"/>
        <v/>
      </c>
      <c r="AU271" s="11"/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9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2" t="str">
        <f t="array" ref="G272">IF($B272="","",IF(INDEX(SchedZone,MATCH($A272,SchedSeq,0),MAP!$B$14)="Neutral","Y",""))</f>
        <v/>
      </c>
      <c r="H272" s="2" t="str">
        <f t="array" ref="H272">IF($B272="","",INDEX(SchedZone,MATCH($A272,SchedSeq,0),MAP!$B$17))</f>
        <v>dome</v>
      </c>
      <c r="I272" s="2" t="str">
        <f>IF(OR($B272="",$C272&lt;&gt;CurrentWeek),"",COUNTIF($C$5:$C272,CurrentWeek))</f>
        <v/>
      </c>
      <c r="J272" s="2">
        <f t="array" ref="J272">IF($B272="","",IFERROR(INDEX(RatEff,MATCH($E272,RatTeams,0)),"⚠ TEAM NOT FOUND"))</f>
        <v>0.86</v>
      </c>
      <c r="K272" s="2">
        <f t="array" ref="K272">IF($B272="","",IFERROR(INDEX(RatEff,MATCH($F272,RatTeams,0)),"⚠ TEAM NOT FOUND"))</f>
        <v>0.5</v>
      </c>
      <c r="L272" s="2">
        <f t="shared" si="1"/>
        <v>-0.36</v>
      </c>
      <c r="M272" s="2">
        <f t="array" ref="M272">IF($B272="","",IF($G272="Y",NeutralHFA,IFERROR(INDEX(HFAexcVal,MATCH($F272,HFAexcTeam,0)),HFA_Base)))</f>
        <v>1.6</v>
      </c>
      <c r="N272" s="2">
        <f t="array" ref="N272">IF($B272="","",IFERROR(INDEX(QBSpreadEff,MATCH($F272,QBTeams,0)),0)-IFERROR(INDEX(QBSpreadEff,MATCH($E272,QBTeams,0)),0))</f>
        <v>0</v>
      </c>
      <c r="O272" s="2">
        <f t="array" ref="O272">IF($B272="","",IFERROR(MEDIAN(-RestCapPts,RestCapPts,RestPerDay*(INDEX(SchedZone,MATCH($A272,SchedSeq,0),MAP!$B$16)-INDEX(SchedZone,MATCH($A272,SchedSeq,0),MAP!$B$15))),0))</f>
        <v>0</v>
      </c>
      <c r="P272" s="2">
        <f>IF($B272="","",SUMIFS(AdjSpread,AdjGameID,$B272,AdjTeam,$F272,AdjActive,1)-SUMIFS(AdjSpread,AdjGameID,$B272,AdjTeam,$E272,AdjActive,1))</f>
        <v>0</v>
      </c>
      <c r="Q272" s="2">
        <f t="shared" si="2"/>
        <v>1.24</v>
      </c>
      <c r="R272" s="11"/>
      <c r="S272" s="2">
        <f t="shared" si="3"/>
        <v>1.24</v>
      </c>
      <c r="T272" s="2" t="str">
        <f t="shared" si="4"/>
        <v>MIN -1.2</v>
      </c>
      <c r="U272" s="2" t="str">
        <f t="array" ref="U272">IF($B272="","",IFERROR(INDEX(MktHomeSpread,MATCH($B272,MktGameID,0)),""))</f>
        <v/>
      </c>
      <c r="V272" s="2" t="str">
        <f t="shared" si="5"/>
        <v/>
      </c>
      <c r="W272" s="2" t="str">
        <f t="shared" si="6"/>
        <v/>
      </c>
      <c r="X272" s="2" t="str">
        <f t="shared" si="7"/>
        <v/>
      </c>
      <c r="Y272" s="2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2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2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2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2">
        <f t="array" ref="AC272">IF($B272="","",IFERROR(INDEX(QBTotEff,MATCH($F272,QBTeams,0)),0)+IFERROR(INDEX(QBTotEff,MATCH($E272,QBTeams,0)),0))</f>
        <v>0</v>
      </c>
      <c r="AD272" s="2">
        <f>IF($B272="","",SUMIFS(AdjTot,AdjGameID,$B272,AdjActive,1))</f>
        <v>0</v>
      </c>
      <c r="AE272" s="2">
        <f t="shared" si="8"/>
        <v>0</v>
      </c>
      <c r="AF272" s="11"/>
      <c r="AG272" s="2">
        <f t="shared" si="9"/>
        <v>0</v>
      </c>
      <c r="AH272" s="2">
        <f t="array" ref="AH272">IF($B272="","",IFERROR(INDEX(MktTotal,MATCH($B272,MktGameID,0)),""))</f>
        <v>50.5</v>
      </c>
      <c r="AI272" s="2">
        <f t="shared" si="10"/>
        <v>-50.5</v>
      </c>
      <c r="AJ272" s="2">
        <f t="shared" si="11"/>
        <v>50.5</v>
      </c>
      <c r="AK272" s="2" t="str">
        <f t="shared" si="12"/>
        <v>UNDER</v>
      </c>
      <c r="AL272" s="2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2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2" t="str">
        <f>IF($AG272="","","BET OVER at ≤ "&amp;TEXT($AG272-BetTot,"0.0")&amp;"  |  BET UNDER at ≥ "&amp;TEXT($AG272+BetTot,"0.0"))</f>
        <v>BET OVER at ≤ -3.0  |  BET UNDER at ≥ 3.0</v>
      </c>
      <c r="AO272" s="2" t="str">
        <f t="array" ref="AO272">IF($B272="","",IF(OR(IFERROR(INDEX(QBFlag,MATCH($F272,QBTeams,0)),1)=1,IFERROR(INDEX(QBFlag,MATCH($E272,QBTeams,0)),1)=1),"QB UNCERTAIN",""))</f>
        <v>QB UNCERTAIN</v>
      </c>
      <c r="AP272" s="2" t="str">
        <f t="array" ref="AP272">IF($B272="","",IFERROR(INDEX(DQStatus,MATCH($B272,DQGameID,0)),"BLOCKED — DQ ROW NOT FOUND"))</f>
        <v>WARNING</v>
      </c>
      <c r="AQ272" s="2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2" t="str">
        <f t="shared" si="13"/>
        <v/>
      </c>
      <c r="AS272" s="2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2" t="str">
        <f t="shared" si="14"/>
        <v/>
      </c>
      <c r="AU272" s="11"/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9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2" t="str">
        <f t="array" ref="G273">IF($B273="","",IF(INDEX(SchedZone,MATCH($A273,SchedSeq,0),MAP!$B$14)="Neutral","Y",""))</f>
        <v/>
      </c>
      <c r="H273" s="2" t="str">
        <f t="array" ref="H273">IF($B273="","",INDEX(SchedZone,MATCH($A273,SchedSeq,0),MAP!$B$17))</f>
        <v>outdoors</v>
      </c>
      <c r="I273" s="2" t="str">
        <f>IF(OR($B273="",$C273&lt;&gt;CurrentWeek),"",COUNTIF($C$5:$C273,CurrentWeek))</f>
        <v/>
      </c>
      <c r="J273" s="2">
        <f t="array" ref="J273">IF($B273="","",IFERROR(INDEX(RatEff,MATCH($E273,RatTeams,0)),"⚠ TEAM NOT FOUND"))</f>
        <v>-2.64</v>
      </c>
      <c r="K273" s="2">
        <f t="array" ref="K273">IF($B273="","",IFERROR(INDEX(RatEff,MATCH($F273,RatTeams,0)),"⚠ TEAM NOT FOUND"))</f>
        <v>2.09</v>
      </c>
      <c r="L273" s="2">
        <f t="shared" si="1"/>
        <v>4.73</v>
      </c>
      <c r="M273" s="2">
        <f t="array" ref="M273">IF($B273="","",IF($G273="Y",NeutralHFA,IFERROR(INDEX(HFAexcVal,MATCH($F273,HFAexcTeam,0)),HFA_Base)))</f>
        <v>1.6</v>
      </c>
      <c r="N273" s="2">
        <f t="array" ref="N273">IF($B273="","",IFERROR(INDEX(QBSpreadEff,MATCH($F273,QBTeams,0)),0)-IFERROR(INDEX(QBSpreadEff,MATCH($E273,QBTeams,0)),0))</f>
        <v>0</v>
      </c>
      <c r="O273" s="2">
        <f t="array" ref="O273">IF($B273="","",IFERROR(MEDIAN(-RestCapPts,RestCapPts,RestPerDay*(INDEX(SchedZone,MATCH($A273,SchedSeq,0),MAP!$B$16)-INDEX(SchedZone,MATCH($A273,SchedSeq,0),MAP!$B$15))),0))</f>
        <v>0</v>
      </c>
      <c r="P273" s="2">
        <f>IF($B273="","",SUMIFS(AdjSpread,AdjGameID,$B273,AdjTeam,$F273,AdjActive,1)-SUMIFS(AdjSpread,AdjGameID,$B273,AdjTeam,$E273,AdjActive,1))</f>
        <v>0</v>
      </c>
      <c r="Q273" s="2">
        <f t="shared" si="2"/>
        <v>6.33</v>
      </c>
      <c r="R273" s="11"/>
      <c r="S273" s="2">
        <f t="shared" si="3"/>
        <v>6.33</v>
      </c>
      <c r="T273" s="2" t="str">
        <f t="shared" si="4"/>
        <v>NE -6.3</v>
      </c>
      <c r="U273" s="2" t="str">
        <f t="array" ref="U273">IF($B273="","",IFERROR(INDEX(MktHomeSpread,MATCH($B273,MktGameID,0)),""))</f>
        <v/>
      </c>
      <c r="V273" s="2" t="str">
        <f t="shared" si="5"/>
        <v/>
      </c>
      <c r="W273" s="2" t="str">
        <f t="shared" si="6"/>
        <v/>
      </c>
      <c r="X273" s="2" t="str">
        <f t="shared" si="7"/>
        <v/>
      </c>
      <c r="Y273" s="2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2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2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2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2">
        <f t="array" ref="AC273">IF($B273="","",IFERROR(INDEX(QBTotEff,MATCH($F273,QBTeams,0)),0)+IFERROR(INDEX(QBTotEff,MATCH($E273,QBTeams,0)),0))</f>
        <v>0</v>
      </c>
      <c r="AD273" s="2">
        <f>IF($B273="","",SUMIFS(AdjTot,AdjGameID,$B273,AdjActive,1))</f>
        <v>0</v>
      </c>
      <c r="AE273" s="2">
        <f t="shared" si="8"/>
        <v>0</v>
      </c>
      <c r="AF273" s="11"/>
      <c r="AG273" s="2">
        <f t="shared" si="9"/>
        <v>0</v>
      </c>
      <c r="AH273" s="2">
        <f t="array" ref="AH273">IF($B273="","",IFERROR(INDEX(MktTotal,MATCH($B273,MktGameID,0)),""))</f>
        <v>38.5</v>
      </c>
      <c r="AI273" s="2">
        <f t="shared" si="10"/>
        <v>-38.5</v>
      </c>
      <c r="AJ273" s="2">
        <f t="shared" si="11"/>
        <v>38.5</v>
      </c>
      <c r="AK273" s="2" t="str">
        <f t="shared" si="12"/>
        <v>UNDER</v>
      </c>
      <c r="AL273" s="2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2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2" t="str">
        <f>IF($AG273="","","BET OVER at ≤ "&amp;TEXT($AG273-BetTot,"0.0")&amp;"  |  BET UNDER at ≥ "&amp;TEXT($AG273+BetTot,"0.0"))</f>
        <v>BET OVER at ≤ -3.0  |  BET UNDER at ≥ 3.0</v>
      </c>
      <c r="AO273" s="2" t="str">
        <f t="array" ref="AO273">IF($B273="","",IF(OR(IFERROR(INDEX(QBFlag,MATCH($F273,QBTeams,0)),1)=1,IFERROR(INDEX(QBFlag,MATCH($E273,QBTeams,0)),1)=1),"QB UNCERTAIN",""))</f>
        <v/>
      </c>
      <c r="AP273" s="2" t="str">
        <f t="array" ref="AP273">IF($B273="","",IFERROR(INDEX(DQStatus,MATCH($B273,DQGameID,0)),"BLOCKED — DQ ROW NOT FOUND"))</f>
        <v>WARNING</v>
      </c>
      <c r="AQ273" s="2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2" t="str">
        <f t="shared" si="13"/>
        <v/>
      </c>
      <c r="AS273" s="2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2" t="str">
        <f t="shared" si="14"/>
        <v/>
      </c>
      <c r="AU273" s="11"/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9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2" t="str">
        <f t="array" ref="G274">IF($B274="","",IF(INDEX(SchedZone,MATCH($A274,SchedSeq,0),MAP!$B$14)="Neutral","Y",""))</f>
        <v/>
      </c>
      <c r="H274" s="2" t="str">
        <f t="array" ref="H274">IF($B274="","",INDEX(SchedZone,MATCH($A274,SchedSeq,0),MAP!$B$17))</f>
        <v>dome</v>
      </c>
      <c r="I274" s="2" t="str">
        <f>IF(OR($B274="",$C274&lt;&gt;CurrentWeek),"",COUNTIF($C$5:$C274,CurrentWeek))</f>
        <v/>
      </c>
      <c r="J274" s="2">
        <f t="array" ref="J274">IF($B274="","",IFERROR(INDEX(RatEff,MATCH($E274,RatTeams,0)),"⚠ TEAM NOT FOUND"))</f>
        <v>-0.48</v>
      </c>
      <c r="K274" s="2">
        <f t="array" ref="K274">IF($B274="","",IFERROR(INDEX(RatEff,MATCH($F274,RatTeams,0)),"⚠ TEAM NOT FOUND"))</f>
        <v>-0.94</v>
      </c>
      <c r="L274" s="2">
        <f t="shared" si="1"/>
        <v>-0.46</v>
      </c>
      <c r="M274" s="2">
        <f t="array" ref="M274">IF($B274="","",IF($G274="Y",NeutralHFA,IFERROR(INDEX(HFAexcVal,MATCH($F274,HFAexcTeam,0)),HFA_Base)))</f>
        <v>1.6</v>
      </c>
      <c r="N274" s="2">
        <f t="array" ref="N274">IF($B274="","",IFERROR(INDEX(QBSpreadEff,MATCH($F274,QBTeams,0)),0)-IFERROR(INDEX(QBSpreadEff,MATCH($E274,QBTeams,0)),0))</f>
        <v>0</v>
      </c>
      <c r="O274" s="2">
        <f t="array" ref="O274">IF($B274="","",IFERROR(MEDIAN(-RestCapPts,RestCapPts,RestPerDay*(INDEX(SchedZone,MATCH($A274,SchedSeq,0),MAP!$B$16)-INDEX(SchedZone,MATCH($A274,SchedSeq,0),MAP!$B$15))),0))</f>
        <v>0</v>
      </c>
      <c r="P274" s="2">
        <f>IF($B274="","",SUMIFS(AdjSpread,AdjGameID,$B274,AdjTeam,$F274,AdjActive,1)-SUMIFS(AdjSpread,AdjGameID,$B274,AdjTeam,$E274,AdjActive,1))</f>
        <v>0</v>
      </c>
      <c r="Q274" s="2">
        <f t="shared" si="2"/>
        <v>1.14</v>
      </c>
      <c r="R274" s="11"/>
      <c r="S274" s="2">
        <f t="shared" si="3"/>
        <v>1.14</v>
      </c>
      <c r="T274" s="2" t="str">
        <f t="shared" si="4"/>
        <v>NO -1.1</v>
      </c>
      <c r="U274" s="2" t="str">
        <f t="array" ref="U274">IF($B274="","",IFERROR(INDEX(MktHomeSpread,MATCH($B274,MktGameID,0)),""))</f>
        <v/>
      </c>
      <c r="V274" s="2" t="str">
        <f t="shared" si="5"/>
        <v/>
      </c>
      <c r="W274" s="2" t="str">
        <f t="shared" si="6"/>
        <v/>
      </c>
      <c r="X274" s="2" t="str">
        <f t="shared" si="7"/>
        <v/>
      </c>
      <c r="Y274" s="2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2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2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2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2">
        <f t="array" ref="AC274">IF($B274="","",IFERROR(INDEX(QBTotEff,MATCH($F274,QBTeams,0)),0)+IFERROR(INDEX(QBTotEff,MATCH($E274,QBTeams,0)),0))</f>
        <v>0</v>
      </c>
      <c r="AD274" s="2">
        <f>IF($B274="","",SUMIFS(AdjTot,AdjGameID,$B274,AdjActive,1))</f>
        <v>0</v>
      </c>
      <c r="AE274" s="2">
        <f t="shared" si="8"/>
        <v>0</v>
      </c>
      <c r="AF274" s="11"/>
      <c r="AG274" s="2">
        <f t="shared" si="9"/>
        <v>0</v>
      </c>
      <c r="AH274" s="2">
        <f t="array" ref="AH274">IF($B274="","",IFERROR(INDEX(MktTotal,MATCH($B274,MktGameID,0)),""))</f>
        <v>41.5</v>
      </c>
      <c r="AI274" s="2">
        <f t="shared" si="10"/>
        <v>-41.5</v>
      </c>
      <c r="AJ274" s="2">
        <f t="shared" si="11"/>
        <v>41.5</v>
      </c>
      <c r="AK274" s="2" t="str">
        <f t="shared" si="12"/>
        <v>UNDER</v>
      </c>
      <c r="AL274" s="2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2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2" t="str">
        <f>IF($AG274="","","BET OVER at ≤ "&amp;TEXT($AG274-BetTot,"0.0")&amp;"  |  BET UNDER at ≥ "&amp;TEXT($AG274+BetTot,"0.0"))</f>
        <v>BET OVER at ≤ -3.0  |  BET UNDER at ≥ 3.0</v>
      </c>
      <c r="AO274" s="2" t="str">
        <f t="array" ref="AO274">IF($B274="","",IF(OR(IFERROR(INDEX(QBFlag,MATCH($F274,QBTeams,0)),1)=1,IFERROR(INDEX(QBFlag,MATCH($E274,QBTeams,0)),1)=1),"QB UNCERTAIN",""))</f>
        <v/>
      </c>
      <c r="AP274" s="2" t="str">
        <f t="array" ref="AP274">IF($B274="","",IFERROR(INDEX(DQStatus,MATCH($B274,DQGameID,0)),"BLOCKED — DQ ROW NOT FOUND"))</f>
        <v>WARNING</v>
      </c>
      <c r="AQ274" s="2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2" t="str">
        <f t="shared" si="13"/>
        <v/>
      </c>
      <c r="AS274" s="2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2" t="str">
        <f t="shared" si="14"/>
        <v/>
      </c>
      <c r="AU274" s="11"/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9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2" t="str">
        <f t="array" ref="G275">IF($B275="","",IF(INDEX(SchedZone,MATCH($A275,SchedSeq,0),MAP!$B$14)="Neutral","Y",""))</f>
        <v/>
      </c>
      <c r="H275" s="2" t="str">
        <f t="array" ref="H275">IF($B275="","",INDEX(SchedZone,MATCH($A275,SchedSeq,0),MAP!$B$17))</f>
        <v>outdoors</v>
      </c>
      <c r="I275" s="2" t="str">
        <f>IF(OR($B275="",$C275&lt;&gt;CurrentWeek),"",COUNTIF($C$5:$C275,CurrentWeek))</f>
        <v/>
      </c>
      <c r="J275" s="2">
        <f t="array" ref="J275">IF($B275="","",IFERROR(INDEX(RatEff,MATCH($E275,RatTeams,0)),"⚠ TEAM NOT FOUND"))</f>
        <v>1.5</v>
      </c>
      <c r="K275" s="2">
        <f t="array" ref="K275">IF($B275="","",IFERROR(INDEX(RatEff,MATCH($F275,RatTeams,0)),"⚠ TEAM NOT FOUND"))</f>
        <v>-1.59</v>
      </c>
      <c r="L275" s="2">
        <f t="shared" si="1"/>
        <v>-3.09</v>
      </c>
      <c r="M275" s="2">
        <f t="array" ref="M275">IF($B275="","",IF($G275="Y",NeutralHFA,IFERROR(INDEX(HFAexcVal,MATCH($F275,HFAexcTeam,0)),HFA_Base)))</f>
        <v>1.6</v>
      </c>
      <c r="N275" s="2">
        <f t="array" ref="N275">IF($B275="","",IFERROR(INDEX(QBSpreadEff,MATCH($F275,QBTeams,0)),0)-IFERROR(INDEX(QBSpreadEff,MATCH($E275,QBTeams,0)),0))</f>
        <v>0</v>
      </c>
      <c r="O275" s="2">
        <f t="array" ref="O275">IF($B275="","",IFERROR(MEDIAN(-RestCapPts,RestCapPts,RestPerDay*(INDEX(SchedZone,MATCH($A275,SchedSeq,0),MAP!$B$16)-INDEX(SchedZone,MATCH($A275,SchedSeq,0),MAP!$B$15))),0))</f>
        <v>0</v>
      </c>
      <c r="P275" s="2">
        <f>IF($B275="","",SUMIFS(AdjSpread,AdjGameID,$B275,AdjTeam,$F275,AdjActive,1)-SUMIFS(AdjSpread,AdjGameID,$B275,AdjTeam,$E275,AdjActive,1))</f>
        <v>0</v>
      </c>
      <c r="Q275" s="2">
        <f t="shared" si="2"/>
        <v>-1.49</v>
      </c>
      <c r="R275" s="11"/>
      <c r="S275" s="2">
        <f t="shared" si="3"/>
        <v>-1.49</v>
      </c>
      <c r="T275" s="2" t="str">
        <f t="shared" si="4"/>
        <v>PHI -1.5</v>
      </c>
      <c r="U275" s="2" t="str">
        <f t="array" ref="U275">IF($B275="","",IFERROR(INDEX(MktHomeSpread,MATCH($B275,MktGameID,0)),""))</f>
        <v/>
      </c>
      <c r="V275" s="2" t="str">
        <f t="shared" si="5"/>
        <v/>
      </c>
      <c r="W275" s="2" t="str">
        <f t="shared" si="6"/>
        <v/>
      </c>
      <c r="X275" s="2" t="str">
        <f t="shared" si="7"/>
        <v/>
      </c>
      <c r="Y275" s="2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2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2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2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2">
        <f t="array" ref="AC275">IF($B275="","",IFERROR(INDEX(QBTotEff,MATCH($F275,QBTeams,0)),0)+IFERROR(INDEX(QBTotEff,MATCH($E275,QBTeams,0)),0))</f>
        <v>0</v>
      </c>
      <c r="AD275" s="2">
        <f>IF($B275="","",SUMIFS(AdjTot,AdjGameID,$B275,AdjActive,1))</f>
        <v>0</v>
      </c>
      <c r="AE275" s="2">
        <f t="shared" si="8"/>
        <v>0</v>
      </c>
      <c r="AF275" s="11"/>
      <c r="AG275" s="2">
        <f t="shared" si="9"/>
        <v>0</v>
      </c>
      <c r="AH275" s="2">
        <f t="array" ref="AH275">IF($B275="","",IFERROR(INDEX(MktTotal,MATCH($B275,MktGameID,0)),""))</f>
        <v>47.5</v>
      </c>
      <c r="AI275" s="2">
        <f t="shared" si="10"/>
        <v>-47.5</v>
      </c>
      <c r="AJ275" s="2">
        <f t="shared" si="11"/>
        <v>47.5</v>
      </c>
      <c r="AK275" s="2" t="str">
        <f t="shared" si="12"/>
        <v>UNDER</v>
      </c>
      <c r="AL275" s="2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2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2" t="str">
        <f>IF($AG275="","","BET OVER at ≤ "&amp;TEXT($AG275-BetTot,"0.0")&amp;"  |  BET UNDER at ≥ "&amp;TEXT($AG275+BetTot,"0.0"))</f>
        <v>BET OVER at ≤ -3.0  |  BET UNDER at ≥ 3.0</v>
      </c>
      <c r="AO275" s="2" t="str">
        <f t="array" ref="AO275">IF($B275="","",IF(OR(IFERROR(INDEX(QBFlag,MATCH($F275,QBTeams,0)),1)=1,IFERROR(INDEX(QBFlag,MATCH($E275,QBTeams,0)),1)=1),"QB UNCERTAIN",""))</f>
        <v/>
      </c>
      <c r="AP275" s="2" t="str">
        <f t="array" ref="AP275">IF($B275="","",IFERROR(INDEX(DQStatus,MATCH($B275,DQGameID,0)),"BLOCKED — DQ ROW NOT FOUND"))</f>
        <v>WARNING</v>
      </c>
      <c r="AQ275" s="2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2" t="str">
        <f t="shared" si="13"/>
        <v/>
      </c>
      <c r="AS275" s="2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2" t="str">
        <f t="shared" si="14"/>
        <v/>
      </c>
      <c r="AU275" s="11"/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9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2" t="str">
        <f t="array" ref="G276">IF($B276="","",IF(INDEX(SchedZone,MATCH($A276,SchedSeq,0),MAP!$B$14)="Neutral","Y",""))</f>
        <v/>
      </c>
      <c r="H276" s="2" t="str">
        <f t="array" ref="H276">IF($B276="","",INDEX(SchedZone,MATCH($A276,SchedSeq,0),MAP!$B$17))</f>
        <v>outdoors</v>
      </c>
      <c r="I276" s="2" t="str">
        <f>IF(OR($B276="",$C276&lt;&gt;CurrentWeek),"",COUNTIF($C$5:$C276,CurrentWeek))</f>
        <v/>
      </c>
      <c r="J276" s="2">
        <f t="array" ref="J276">IF($B276="","",IFERROR(INDEX(RatEff,MATCH($E276,RatTeams,0)),"⚠ TEAM NOT FOUND"))</f>
        <v>-2.26</v>
      </c>
      <c r="K276" s="2">
        <f t="array" ref="K276">IF($B276="","",IFERROR(INDEX(RatEff,MATCH($F276,RatTeams,0)),"⚠ TEAM NOT FOUND"))</f>
        <v>-2.02</v>
      </c>
      <c r="L276" s="2">
        <f t="shared" si="1"/>
        <v>0.24</v>
      </c>
      <c r="M276" s="2">
        <f t="array" ref="M276">IF($B276="","",IF($G276="Y",NeutralHFA,IFERROR(INDEX(HFAexcVal,MATCH($F276,HFAexcTeam,0)),HFA_Base)))</f>
        <v>1.6</v>
      </c>
      <c r="N276" s="2">
        <f t="array" ref="N276">IF($B276="","",IFERROR(INDEX(QBSpreadEff,MATCH($F276,QBTeams,0)),0)-IFERROR(INDEX(QBSpreadEff,MATCH($E276,QBTeams,0)),0))</f>
        <v>0</v>
      </c>
      <c r="O276" s="2">
        <f t="array" ref="O276">IF($B276="","",IFERROR(MEDIAN(-RestCapPts,RestCapPts,RestPerDay*(INDEX(SchedZone,MATCH($A276,SchedSeq,0),MAP!$B$16)-INDEX(SchedZone,MATCH($A276,SchedSeq,0),MAP!$B$15))),0))</f>
        <v>0</v>
      </c>
      <c r="P276" s="2">
        <f>IF($B276="","",SUMIFS(AdjSpread,AdjGameID,$B276,AdjTeam,$F276,AdjActive,1)-SUMIFS(AdjSpread,AdjGameID,$B276,AdjTeam,$E276,AdjActive,1))</f>
        <v>0</v>
      </c>
      <c r="Q276" s="2">
        <f t="shared" si="2"/>
        <v>1.84</v>
      </c>
      <c r="R276" s="11"/>
      <c r="S276" s="2">
        <f t="shared" si="3"/>
        <v>1.84</v>
      </c>
      <c r="T276" s="2" t="str">
        <f t="shared" si="4"/>
        <v>WAS -1.8</v>
      </c>
      <c r="U276" s="2" t="str">
        <f t="array" ref="U276">IF($B276="","",IFERROR(INDEX(MktHomeSpread,MATCH($B276,MktGameID,0)),""))</f>
        <v/>
      </c>
      <c r="V276" s="2" t="str">
        <f t="shared" si="5"/>
        <v/>
      </c>
      <c r="W276" s="2" t="str">
        <f t="shared" si="6"/>
        <v/>
      </c>
      <c r="X276" s="2" t="str">
        <f t="shared" si="7"/>
        <v/>
      </c>
      <c r="Y276" s="2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2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2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2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2">
        <f t="array" ref="AC276">IF($B276="","",IFERROR(INDEX(QBTotEff,MATCH($F276,QBTeams,0)),0)+IFERROR(INDEX(QBTotEff,MATCH($E276,QBTeams,0)),0))</f>
        <v>0</v>
      </c>
      <c r="AD276" s="2">
        <f>IF($B276="","",SUMIFS(AdjTot,AdjGameID,$B276,AdjActive,1))</f>
        <v>0</v>
      </c>
      <c r="AE276" s="2">
        <f t="shared" si="8"/>
        <v>0</v>
      </c>
      <c r="AF276" s="11"/>
      <c r="AG276" s="2">
        <f t="shared" si="9"/>
        <v>0</v>
      </c>
      <c r="AH276" s="2">
        <f t="array" ref="AH276">IF($B276="","",IFERROR(INDEX(MktTotal,MATCH($B276,MktGameID,0)),""))</f>
        <v>43.5</v>
      </c>
      <c r="AI276" s="2">
        <f t="shared" si="10"/>
        <v>-43.5</v>
      </c>
      <c r="AJ276" s="2">
        <f t="shared" si="11"/>
        <v>43.5</v>
      </c>
      <c r="AK276" s="2" t="str">
        <f t="shared" si="12"/>
        <v>UNDER</v>
      </c>
      <c r="AL276" s="2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2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2" t="str">
        <f>IF($AG276="","","BET OVER at ≤ "&amp;TEXT($AG276-BetTot,"0.0")&amp;"  |  BET UNDER at ≥ "&amp;TEXT($AG276+BetTot,"0.0"))</f>
        <v>BET OVER at ≤ -3.0  |  BET UNDER at ≥ 3.0</v>
      </c>
      <c r="AO276" s="2" t="str">
        <f t="array" ref="AO276">IF($B276="","",IF(OR(IFERROR(INDEX(QBFlag,MATCH($F276,QBTeams,0)),1)=1,IFERROR(INDEX(QBFlag,MATCH($E276,QBTeams,0)),1)=1),"QB UNCERTAIN",""))</f>
        <v/>
      </c>
      <c r="AP276" s="2" t="str">
        <f t="array" ref="AP276">IF($B276="","",IFERROR(INDEX(DQStatus,MATCH($B276,DQGameID,0)),"BLOCKED — DQ ROW NOT FOUND"))</f>
        <v>WARNING</v>
      </c>
      <c r="AQ276" s="2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2" t="str">
        <f t="shared" si="13"/>
        <v/>
      </c>
      <c r="AS276" s="2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2" t="str">
        <f t="shared" si="14"/>
        <v/>
      </c>
      <c r="AU276" s="11"/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9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2" t="str">
        <f t="array" ref="G277">IF($B277="","",IF(INDEX(SchedZone,MATCH($A277,SchedSeq,0),MAP!$B$14)="Neutral","Y",""))</f>
        <v/>
      </c>
      <c r="H277" s="2" t="str">
        <f t="array" ref="H277">IF($B277="","",INDEX(SchedZone,MATCH($A277,SchedSeq,0),MAP!$B$17))</f>
        <v/>
      </c>
      <c r="I277" s="2" t="str">
        <f>IF(OR($B277="",$C277&lt;&gt;CurrentWeek),"",COUNTIF($C$5:$C277,CurrentWeek))</f>
        <v/>
      </c>
      <c r="J277" s="2" t="str">
        <f t="array" ref="J277">IF($B277="","",IFERROR(INDEX(RatEff,MATCH($E277,RatTeams,0)),"⚠ TEAM NOT FOUND"))</f>
        <v/>
      </c>
      <c r="K277" s="2" t="str">
        <f t="array" ref="K277">IF($B277="","",IFERROR(INDEX(RatEff,MATCH($F277,RatTeams,0)),"⚠ TEAM NOT FOUND"))</f>
        <v/>
      </c>
      <c r="L277" s="2" t="str">
        <f t="shared" si="1"/>
        <v/>
      </c>
      <c r="M277" s="2" t="str">
        <f t="array" ref="M277">IF($B277="","",IF($G277="Y",NeutralHFA,IFERROR(INDEX(HFAexcVal,MATCH($F277,HFAexcTeam,0)),HFA_Base)))</f>
        <v/>
      </c>
      <c r="N277" s="2" t="str">
        <f t="array" ref="N277">IF($B277="","",IFERROR(INDEX(QBSpreadEff,MATCH($F277,QBTeams,0)),0)-IFERROR(INDEX(QBSpreadEff,MATCH($E277,QBTeams,0)),0))</f>
        <v/>
      </c>
      <c r="O277" s="2" t="str">
        <f t="array" ref="O277">IF($B277="","",IFERROR(MEDIAN(-RestCapPts,RestCapPts,RestPerDay*(INDEX(SchedZone,MATCH($A277,SchedSeq,0),MAP!$B$16)-INDEX(SchedZone,MATCH($A277,SchedSeq,0),MAP!$B$15))),0))</f>
        <v/>
      </c>
      <c r="P277" s="2" t="str">
        <f>IF($B277="","",SUMIFS(AdjSpread,AdjGameID,$B277,AdjTeam,$F277,AdjActive,1)-SUMIFS(AdjSpread,AdjGameID,$B277,AdjTeam,$E277,AdjActive,1))</f>
        <v/>
      </c>
      <c r="Q277" s="2" t="str">
        <f t="shared" si="2"/>
        <v/>
      </c>
      <c r="R277" s="11"/>
      <c r="S277" s="2" t="str">
        <f t="shared" si="3"/>
        <v/>
      </c>
      <c r="T277" s="2" t="str">
        <f t="shared" si="4"/>
        <v/>
      </c>
      <c r="U277" s="2" t="str">
        <f t="array" ref="U277">IF($B277="","",IFERROR(INDEX(MktHomeSpread,MATCH($B277,MktGameID,0)),""))</f>
        <v/>
      </c>
      <c r="V277" s="2" t="str">
        <f t="shared" si="5"/>
        <v/>
      </c>
      <c r="W277" s="2" t="str">
        <f t="shared" si="6"/>
        <v/>
      </c>
      <c r="X277" s="2" t="str">
        <f t="shared" si="7"/>
        <v/>
      </c>
      <c r="Y277" s="2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2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2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2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2" t="str">
        <f t="array" ref="AC277">IF($B277="","",IFERROR(INDEX(QBTotEff,MATCH($F277,QBTeams,0)),0)+IFERROR(INDEX(QBTotEff,MATCH($E277,QBTeams,0)),0))</f>
        <v/>
      </c>
      <c r="AD277" s="2" t="str">
        <f>IF($B277="","",SUMIFS(AdjTot,AdjGameID,$B277,AdjActive,1))</f>
        <v/>
      </c>
      <c r="AE277" s="2" t="str">
        <f t="shared" si="8"/>
        <v/>
      </c>
      <c r="AF277" s="11"/>
      <c r="AG277" s="2" t="str">
        <f t="shared" si="9"/>
        <v/>
      </c>
      <c r="AH277" s="2" t="str">
        <f t="array" ref="AH277">IF($B277="","",IFERROR(INDEX(MktTotal,MATCH($B277,MktGameID,0)),""))</f>
        <v/>
      </c>
      <c r="AI277" s="2" t="str">
        <f t="shared" si="10"/>
        <v/>
      </c>
      <c r="AJ277" s="2" t="str">
        <f t="shared" si="11"/>
        <v/>
      </c>
      <c r="AK277" s="2" t="str">
        <f t="shared" si="12"/>
        <v/>
      </c>
      <c r="AL277" s="2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2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2" t="str">
        <f>IF($AG277="","","BET OVER at ≤ "&amp;TEXT($AG277-BetTot,"0.0")&amp;"  |  BET UNDER at ≥ "&amp;TEXT($AG277+BetTot,"0.0"))</f>
        <v/>
      </c>
      <c r="AO277" s="2" t="str">
        <f t="array" ref="AO277">IF($B277="","",IF(OR(IFERROR(INDEX(QBFlag,MATCH($F277,QBTeams,0)),1)=1,IFERROR(INDEX(QBFlag,MATCH($E277,QBTeams,0)),1)=1),"QB UNCERTAIN",""))</f>
        <v/>
      </c>
      <c r="AP277" s="2" t="str">
        <f t="array" ref="AP277">IF($B277="","",IFERROR(INDEX(DQStatus,MATCH($B277,DQGameID,0)),"BLOCKED — DQ ROW NOT FOUND"))</f>
        <v/>
      </c>
      <c r="AQ277" s="2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2" t="str">
        <f t="shared" si="13"/>
        <v/>
      </c>
      <c r="AS277" s="2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2" t="str">
        <f t="shared" si="14"/>
        <v/>
      </c>
      <c r="AU277" s="11"/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9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2" t="str">
        <f t="array" ref="G278">IF($B278="","",IF(INDEX(SchedZone,MATCH($A278,SchedSeq,0),MAP!$B$14)="Neutral","Y",""))</f>
        <v/>
      </c>
      <c r="H278" s="2" t="str">
        <f t="array" ref="H278">IF($B278="","",INDEX(SchedZone,MATCH($A278,SchedSeq,0),MAP!$B$17))</f>
        <v/>
      </c>
      <c r="I278" s="2" t="str">
        <f>IF(OR($B278="",$C278&lt;&gt;CurrentWeek),"",COUNTIF($C$5:$C278,CurrentWeek))</f>
        <v/>
      </c>
      <c r="J278" s="2" t="str">
        <f t="array" ref="J278">IF($B278="","",IFERROR(INDEX(RatEff,MATCH($E278,RatTeams,0)),"⚠ TEAM NOT FOUND"))</f>
        <v/>
      </c>
      <c r="K278" s="2" t="str">
        <f t="array" ref="K278">IF($B278="","",IFERROR(INDEX(RatEff,MATCH($F278,RatTeams,0)),"⚠ TEAM NOT FOUND"))</f>
        <v/>
      </c>
      <c r="L278" s="2" t="str">
        <f t="shared" si="1"/>
        <v/>
      </c>
      <c r="M278" s="2" t="str">
        <f t="array" ref="M278">IF($B278="","",IF($G278="Y",NeutralHFA,IFERROR(INDEX(HFAexcVal,MATCH($F278,HFAexcTeam,0)),HFA_Base)))</f>
        <v/>
      </c>
      <c r="N278" s="2" t="str">
        <f t="array" ref="N278">IF($B278="","",IFERROR(INDEX(QBSpreadEff,MATCH($F278,QBTeams,0)),0)-IFERROR(INDEX(QBSpreadEff,MATCH($E278,QBTeams,0)),0))</f>
        <v/>
      </c>
      <c r="O278" s="2" t="str">
        <f t="array" ref="O278">IF($B278="","",IFERROR(MEDIAN(-RestCapPts,RestCapPts,RestPerDay*(INDEX(SchedZone,MATCH($A278,SchedSeq,0),MAP!$B$16)-INDEX(SchedZone,MATCH($A278,SchedSeq,0),MAP!$B$15))),0))</f>
        <v/>
      </c>
      <c r="P278" s="2" t="str">
        <f>IF($B278="","",SUMIFS(AdjSpread,AdjGameID,$B278,AdjTeam,$F278,AdjActive,1)-SUMIFS(AdjSpread,AdjGameID,$B278,AdjTeam,$E278,AdjActive,1))</f>
        <v/>
      </c>
      <c r="Q278" s="2" t="str">
        <f t="shared" si="2"/>
        <v/>
      </c>
      <c r="R278" s="11"/>
      <c r="S278" s="2" t="str">
        <f t="shared" si="3"/>
        <v/>
      </c>
      <c r="T278" s="2" t="str">
        <f t="shared" si="4"/>
        <v/>
      </c>
      <c r="U278" s="2" t="str">
        <f t="array" ref="U278">IF($B278="","",IFERROR(INDEX(MktHomeSpread,MATCH($B278,MktGameID,0)),""))</f>
        <v/>
      </c>
      <c r="V278" s="2" t="str">
        <f t="shared" si="5"/>
        <v/>
      </c>
      <c r="W278" s="2" t="str">
        <f t="shared" si="6"/>
        <v/>
      </c>
      <c r="X278" s="2" t="str">
        <f t="shared" si="7"/>
        <v/>
      </c>
      <c r="Y278" s="2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2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2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2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2" t="str">
        <f t="array" ref="AC278">IF($B278="","",IFERROR(INDEX(QBTotEff,MATCH($F278,QBTeams,0)),0)+IFERROR(INDEX(QBTotEff,MATCH($E278,QBTeams,0)),0))</f>
        <v/>
      </c>
      <c r="AD278" s="2" t="str">
        <f>IF($B278="","",SUMIFS(AdjTot,AdjGameID,$B278,AdjActive,1))</f>
        <v/>
      </c>
      <c r="AE278" s="2" t="str">
        <f t="shared" si="8"/>
        <v/>
      </c>
      <c r="AF278" s="11"/>
      <c r="AG278" s="2" t="str">
        <f t="shared" si="9"/>
        <v/>
      </c>
      <c r="AH278" s="2" t="str">
        <f t="array" ref="AH278">IF($B278="","",IFERROR(INDEX(MktTotal,MATCH($B278,MktGameID,0)),""))</f>
        <v/>
      </c>
      <c r="AI278" s="2" t="str">
        <f t="shared" si="10"/>
        <v/>
      </c>
      <c r="AJ278" s="2" t="str">
        <f t="shared" si="11"/>
        <v/>
      </c>
      <c r="AK278" s="2" t="str">
        <f t="shared" si="12"/>
        <v/>
      </c>
      <c r="AL278" s="2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2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2" t="str">
        <f>IF($AG278="","","BET OVER at ≤ "&amp;TEXT($AG278-BetTot,"0.0")&amp;"  |  BET UNDER at ≥ "&amp;TEXT($AG278+BetTot,"0.0"))</f>
        <v/>
      </c>
      <c r="AO278" s="2" t="str">
        <f t="array" ref="AO278">IF($B278="","",IF(OR(IFERROR(INDEX(QBFlag,MATCH($F278,QBTeams,0)),1)=1,IFERROR(INDEX(QBFlag,MATCH($E278,QBTeams,0)),1)=1),"QB UNCERTAIN",""))</f>
        <v/>
      </c>
      <c r="AP278" s="2" t="str">
        <f t="array" ref="AP278">IF($B278="","",IFERROR(INDEX(DQStatus,MATCH($B278,DQGameID,0)),"BLOCKED — DQ ROW NOT FOUND"))</f>
        <v/>
      </c>
      <c r="AQ278" s="2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2" t="str">
        <f t="shared" si="13"/>
        <v/>
      </c>
      <c r="AS278" s="2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2" t="str">
        <f t="shared" si="14"/>
        <v/>
      </c>
      <c r="AU278" s="11"/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9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2" t="str">
        <f t="array" ref="G279">IF($B279="","",IF(INDEX(SchedZone,MATCH($A279,SchedSeq,0),MAP!$B$14)="Neutral","Y",""))</f>
        <v/>
      </c>
      <c r="H279" s="2" t="str">
        <f t="array" ref="H279">IF($B279="","",INDEX(SchedZone,MATCH($A279,SchedSeq,0),MAP!$B$17))</f>
        <v/>
      </c>
      <c r="I279" s="2" t="str">
        <f>IF(OR($B279="",$C279&lt;&gt;CurrentWeek),"",COUNTIF($C$5:$C279,CurrentWeek))</f>
        <v/>
      </c>
      <c r="J279" s="2" t="str">
        <f t="array" ref="J279">IF($B279="","",IFERROR(INDEX(RatEff,MATCH($E279,RatTeams,0)),"⚠ TEAM NOT FOUND"))</f>
        <v/>
      </c>
      <c r="K279" s="2" t="str">
        <f t="array" ref="K279">IF($B279="","",IFERROR(INDEX(RatEff,MATCH($F279,RatTeams,0)),"⚠ TEAM NOT FOUND"))</f>
        <v/>
      </c>
      <c r="L279" s="2" t="str">
        <f t="shared" si="1"/>
        <v/>
      </c>
      <c r="M279" s="2" t="str">
        <f t="array" ref="M279">IF($B279="","",IF($G279="Y",NeutralHFA,IFERROR(INDEX(HFAexcVal,MATCH($F279,HFAexcTeam,0)),HFA_Base)))</f>
        <v/>
      </c>
      <c r="N279" s="2" t="str">
        <f t="array" ref="N279">IF($B279="","",IFERROR(INDEX(QBSpreadEff,MATCH($F279,QBTeams,0)),0)-IFERROR(INDEX(QBSpreadEff,MATCH($E279,QBTeams,0)),0))</f>
        <v/>
      </c>
      <c r="O279" s="2" t="str">
        <f t="array" ref="O279">IF($B279="","",IFERROR(MEDIAN(-RestCapPts,RestCapPts,RestPerDay*(INDEX(SchedZone,MATCH($A279,SchedSeq,0),MAP!$B$16)-INDEX(SchedZone,MATCH($A279,SchedSeq,0),MAP!$B$15))),0))</f>
        <v/>
      </c>
      <c r="P279" s="2" t="str">
        <f>IF($B279="","",SUMIFS(AdjSpread,AdjGameID,$B279,AdjTeam,$F279,AdjActive,1)-SUMIFS(AdjSpread,AdjGameID,$B279,AdjTeam,$E279,AdjActive,1))</f>
        <v/>
      </c>
      <c r="Q279" s="2" t="str">
        <f t="shared" si="2"/>
        <v/>
      </c>
      <c r="R279" s="11"/>
      <c r="S279" s="2" t="str">
        <f t="shared" si="3"/>
        <v/>
      </c>
      <c r="T279" s="2" t="str">
        <f t="shared" si="4"/>
        <v/>
      </c>
      <c r="U279" s="2" t="str">
        <f t="array" ref="U279">IF($B279="","",IFERROR(INDEX(MktHomeSpread,MATCH($B279,MktGameID,0)),""))</f>
        <v/>
      </c>
      <c r="V279" s="2" t="str">
        <f t="shared" si="5"/>
        <v/>
      </c>
      <c r="W279" s="2" t="str">
        <f t="shared" si="6"/>
        <v/>
      </c>
      <c r="X279" s="2" t="str">
        <f t="shared" si="7"/>
        <v/>
      </c>
      <c r="Y279" s="2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2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2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2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2" t="str">
        <f t="array" ref="AC279">IF($B279="","",IFERROR(INDEX(QBTotEff,MATCH($F279,QBTeams,0)),0)+IFERROR(INDEX(QBTotEff,MATCH($E279,QBTeams,0)),0))</f>
        <v/>
      </c>
      <c r="AD279" s="2" t="str">
        <f>IF($B279="","",SUMIFS(AdjTot,AdjGameID,$B279,AdjActive,1))</f>
        <v/>
      </c>
      <c r="AE279" s="2" t="str">
        <f t="shared" si="8"/>
        <v/>
      </c>
      <c r="AF279" s="11"/>
      <c r="AG279" s="2" t="str">
        <f t="shared" si="9"/>
        <v/>
      </c>
      <c r="AH279" s="2" t="str">
        <f t="array" ref="AH279">IF($B279="","",IFERROR(INDEX(MktTotal,MATCH($B279,MktGameID,0)),""))</f>
        <v/>
      </c>
      <c r="AI279" s="2" t="str">
        <f t="shared" si="10"/>
        <v/>
      </c>
      <c r="AJ279" s="2" t="str">
        <f t="shared" si="11"/>
        <v/>
      </c>
      <c r="AK279" s="2" t="str">
        <f t="shared" si="12"/>
        <v/>
      </c>
      <c r="AL279" s="2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2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2" t="str">
        <f>IF($AG279="","","BET OVER at ≤ "&amp;TEXT($AG279-BetTot,"0.0")&amp;"  |  BET UNDER at ≥ "&amp;TEXT($AG279+BetTot,"0.0"))</f>
        <v/>
      </c>
      <c r="AO279" s="2" t="str">
        <f t="array" ref="AO279">IF($B279="","",IF(OR(IFERROR(INDEX(QBFlag,MATCH($F279,QBTeams,0)),1)=1,IFERROR(INDEX(QBFlag,MATCH($E279,QBTeams,0)),1)=1),"QB UNCERTAIN",""))</f>
        <v/>
      </c>
      <c r="AP279" s="2" t="str">
        <f t="array" ref="AP279">IF($B279="","",IFERROR(INDEX(DQStatus,MATCH($B279,DQGameID,0)),"BLOCKED — DQ ROW NOT FOUND"))</f>
        <v/>
      </c>
      <c r="AQ279" s="2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2" t="str">
        <f t="shared" si="13"/>
        <v/>
      </c>
      <c r="AS279" s="2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2" t="str">
        <f t="shared" si="14"/>
        <v/>
      </c>
      <c r="AU279" s="11"/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9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2" t="str">
        <f t="array" ref="G280">IF($B280="","",IF(INDEX(SchedZone,MATCH($A280,SchedSeq,0),MAP!$B$14)="Neutral","Y",""))</f>
        <v/>
      </c>
      <c r="H280" s="2" t="str">
        <f t="array" ref="H280">IF($B280="","",INDEX(SchedZone,MATCH($A280,SchedSeq,0),MAP!$B$17))</f>
        <v/>
      </c>
      <c r="I280" s="2" t="str">
        <f>IF(OR($B280="",$C280&lt;&gt;CurrentWeek),"",COUNTIF($C$5:$C280,CurrentWeek))</f>
        <v/>
      </c>
      <c r="J280" s="2" t="str">
        <f t="array" ref="J280">IF($B280="","",IFERROR(INDEX(RatEff,MATCH($E280,RatTeams,0)),"⚠ TEAM NOT FOUND"))</f>
        <v/>
      </c>
      <c r="K280" s="2" t="str">
        <f t="array" ref="K280">IF($B280="","",IFERROR(INDEX(RatEff,MATCH($F280,RatTeams,0)),"⚠ TEAM NOT FOUND"))</f>
        <v/>
      </c>
      <c r="L280" s="2" t="str">
        <f t="shared" si="1"/>
        <v/>
      </c>
      <c r="M280" s="2" t="str">
        <f t="array" ref="M280">IF($B280="","",IF($G280="Y",NeutralHFA,IFERROR(INDEX(HFAexcVal,MATCH($F280,HFAexcTeam,0)),HFA_Base)))</f>
        <v/>
      </c>
      <c r="N280" s="2" t="str">
        <f t="array" ref="N280">IF($B280="","",IFERROR(INDEX(QBSpreadEff,MATCH($F280,QBTeams,0)),0)-IFERROR(INDEX(QBSpreadEff,MATCH($E280,QBTeams,0)),0))</f>
        <v/>
      </c>
      <c r="O280" s="2" t="str">
        <f t="array" ref="O280">IF($B280="","",IFERROR(MEDIAN(-RestCapPts,RestCapPts,RestPerDay*(INDEX(SchedZone,MATCH($A280,SchedSeq,0),MAP!$B$16)-INDEX(SchedZone,MATCH($A280,SchedSeq,0),MAP!$B$15))),0))</f>
        <v/>
      </c>
      <c r="P280" s="2" t="str">
        <f>IF($B280="","",SUMIFS(AdjSpread,AdjGameID,$B280,AdjTeam,$F280,AdjActive,1)-SUMIFS(AdjSpread,AdjGameID,$B280,AdjTeam,$E280,AdjActive,1))</f>
        <v/>
      </c>
      <c r="Q280" s="2" t="str">
        <f t="shared" si="2"/>
        <v/>
      </c>
      <c r="R280" s="11"/>
      <c r="S280" s="2" t="str">
        <f t="shared" si="3"/>
        <v/>
      </c>
      <c r="T280" s="2" t="str">
        <f t="shared" si="4"/>
        <v/>
      </c>
      <c r="U280" s="2" t="str">
        <f t="array" ref="U280">IF($B280="","",IFERROR(INDEX(MktHomeSpread,MATCH($B280,MktGameID,0)),""))</f>
        <v/>
      </c>
      <c r="V280" s="2" t="str">
        <f t="shared" si="5"/>
        <v/>
      </c>
      <c r="W280" s="2" t="str">
        <f t="shared" si="6"/>
        <v/>
      </c>
      <c r="X280" s="2" t="str">
        <f t="shared" si="7"/>
        <v/>
      </c>
      <c r="Y280" s="2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2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2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2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2" t="str">
        <f t="array" ref="AC280">IF($B280="","",IFERROR(INDEX(QBTotEff,MATCH($F280,QBTeams,0)),0)+IFERROR(INDEX(QBTotEff,MATCH($E280,QBTeams,0)),0))</f>
        <v/>
      </c>
      <c r="AD280" s="2" t="str">
        <f>IF($B280="","",SUMIFS(AdjTot,AdjGameID,$B280,AdjActive,1))</f>
        <v/>
      </c>
      <c r="AE280" s="2" t="str">
        <f t="shared" si="8"/>
        <v/>
      </c>
      <c r="AF280" s="11"/>
      <c r="AG280" s="2" t="str">
        <f t="shared" si="9"/>
        <v/>
      </c>
      <c r="AH280" s="2" t="str">
        <f t="array" ref="AH280">IF($B280="","",IFERROR(INDEX(MktTotal,MATCH($B280,MktGameID,0)),""))</f>
        <v/>
      </c>
      <c r="AI280" s="2" t="str">
        <f t="shared" si="10"/>
        <v/>
      </c>
      <c r="AJ280" s="2" t="str">
        <f t="shared" si="11"/>
        <v/>
      </c>
      <c r="AK280" s="2" t="str">
        <f t="shared" si="12"/>
        <v/>
      </c>
      <c r="AL280" s="2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2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2" t="str">
        <f>IF($AG280="","","BET OVER at ≤ "&amp;TEXT($AG280-BetTot,"0.0")&amp;"  |  BET UNDER at ≥ "&amp;TEXT($AG280+BetTot,"0.0"))</f>
        <v/>
      </c>
      <c r="AO280" s="2" t="str">
        <f t="array" ref="AO280">IF($B280="","",IF(OR(IFERROR(INDEX(QBFlag,MATCH($F280,QBTeams,0)),1)=1,IFERROR(INDEX(QBFlag,MATCH($E280,QBTeams,0)),1)=1),"QB UNCERTAIN",""))</f>
        <v/>
      </c>
      <c r="AP280" s="2" t="str">
        <f t="array" ref="AP280">IF($B280="","",IFERROR(INDEX(DQStatus,MATCH($B280,DQGameID,0)),"BLOCKED — DQ ROW NOT FOUND"))</f>
        <v/>
      </c>
      <c r="AQ280" s="2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2" t="str">
        <f t="shared" si="13"/>
        <v/>
      </c>
      <c r="AS280" s="2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2" t="str">
        <f t="shared" si="14"/>
        <v/>
      </c>
      <c r="AU280" s="11"/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9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2" t="str">
        <f t="array" ref="G281">IF($B281="","",IF(INDEX(SchedZone,MATCH($A281,SchedSeq,0),MAP!$B$14)="Neutral","Y",""))</f>
        <v/>
      </c>
      <c r="H281" s="2" t="str">
        <f t="array" ref="H281">IF($B281="","",INDEX(SchedZone,MATCH($A281,SchedSeq,0),MAP!$B$17))</f>
        <v/>
      </c>
      <c r="I281" s="2" t="str">
        <f>IF(OR($B281="",$C281&lt;&gt;CurrentWeek),"",COUNTIF($C$5:$C281,CurrentWeek))</f>
        <v/>
      </c>
      <c r="J281" s="2" t="str">
        <f t="array" ref="J281">IF($B281="","",IFERROR(INDEX(RatEff,MATCH($E281,RatTeams,0)),"⚠ TEAM NOT FOUND"))</f>
        <v/>
      </c>
      <c r="K281" s="2" t="str">
        <f t="array" ref="K281">IF($B281="","",IFERROR(INDEX(RatEff,MATCH($F281,RatTeams,0)),"⚠ TEAM NOT FOUND"))</f>
        <v/>
      </c>
      <c r="L281" s="2" t="str">
        <f t="shared" si="1"/>
        <v/>
      </c>
      <c r="M281" s="2" t="str">
        <f t="array" ref="M281">IF($B281="","",IF($G281="Y",NeutralHFA,IFERROR(INDEX(HFAexcVal,MATCH($F281,HFAexcTeam,0)),HFA_Base)))</f>
        <v/>
      </c>
      <c r="N281" s="2" t="str">
        <f t="array" ref="N281">IF($B281="","",IFERROR(INDEX(QBSpreadEff,MATCH($F281,QBTeams,0)),0)-IFERROR(INDEX(QBSpreadEff,MATCH($E281,QBTeams,0)),0))</f>
        <v/>
      </c>
      <c r="O281" s="2" t="str">
        <f t="array" ref="O281">IF($B281="","",IFERROR(MEDIAN(-RestCapPts,RestCapPts,RestPerDay*(INDEX(SchedZone,MATCH($A281,SchedSeq,0),MAP!$B$16)-INDEX(SchedZone,MATCH($A281,SchedSeq,0),MAP!$B$15))),0))</f>
        <v/>
      </c>
      <c r="P281" s="2" t="str">
        <f>IF($B281="","",SUMIFS(AdjSpread,AdjGameID,$B281,AdjTeam,$F281,AdjActive,1)-SUMIFS(AdjSpread,AdjGameID,$B281,AdjTeam,$E281,AdjActive,1))</f>
        <v/>
      </c>
      <c r="Q281" s="2" t="str">
        <f t="shared" si="2"/>
        <v/>
      </c>
      <c r="R281" s="11"/>
      <c r="S281" s="2" t="str">
        <f t="shared" si="3"/>
        <v/>
      </c>
      <c r="T281" s="2" t="str">
        <f t="shared" si="4"/>
        <v/>
      </c>
      <c r="U281" s="2" t="str">
        <f t="array" ref="U281">IF($B281="","",IFERROR(INDEX(MktHomeSpread,MATCH($B281,MktGameID,0)),""))</f>
        <v/>
      </c>
      <c r="V281" s="2" t="str">
        <f t="shared" si="5"/>
        <v/>
      </c>
      <c r="W281" s="2" t="str">
        <f t="shared" si="6"/>
        <v/>
      </c>
      <c r="X281" s="2" t="str">
        <f t="shared" si="7"/>
        <v/>
      </c>
      <c r="Y281" s="2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2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2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2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2" t="str">
        <f t="array" ref="AC281">IF($B281="","",IFERROR(INDEX(QBTotEff,MATCH($F281,QBTeams,0)),0)+IFERROR(INDEX(QBTotEff,MATCH($E281,QBTeams,0)),0))</f>
        <v/>
      </c>
      <c r="AD281" s="2" t="str">
        <f>IF($B281="","",SUMIFS(AdjTot,AdjGameID,$B281,AdjActive,1))</f>
        <v/>
      </c>
      <c r="AE281" s="2" t="str">
        <f t="shared" si="8"/>
        <v/>
      </c>
      <c r="AF281" s="11"/>
      <c r="AG281" s="2" t="str">
        <f t="shared" si="9"/>
        <v/>
      </c>
      <c r="AH281" s="2" t="str">
        <f t="array" ref="AH281">IF($B281="","",IFERROR(INDEX(MktTotal,MATCH($B281,MktGameID,0)),""))</f>
        <v/>
      </c>
      <c r="AI281" s="2" t="str">
        <f t="shared" si="10"/>
        <v/>
      </c>
      <c r="AJ281" s="2" t="str">
        <f t="shared" si="11"/>
        <v/>
      </c>
      <c r="AK281" s="2" t="str">
        <f t="shared" si="12"/>
        <v/>
      </c>
      <c r="AL281" s="2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2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2" t="str">
        <f>IF($AG281="","","BET OVER at ≤ "&amp;TEXT($AG281-BetTot,"0.0")&amp;"  |  BET UNDER at ≥ "&amp;TEXT($AG281+BetTot,"0.0"))</f>
        <v/>
      </c>
      <c r="AO281" s="2" t="str">
        <f t="array" ref="AO281">IF($B281="","",IF(OR(IFERROR(INDEX(QBFlag,MATCH($F281,QBTeams,0)),1)=1,IFERROR(INDEX(QBFlag,MATCH($E281,QBTeams,0)),1)=1),"QB UNCERTAIN",""))</f>
        <v/>
      </c>
      <c r="AP281" s="2" t="str">
        <f t="array" ref="AP281">IF($B281="","",IFERROR(INDEX(DQStatus,MATCH($B281,DQGameID,0)),"BLOCKED — DQ ROW NOT FOUND"))</f>
        <v/>
      </c>
      <c r="AQ281" s="2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2" t="str">
        <f t="shared" si="13"/>
        <v/>
      </c>
      <c r="AS281" s="2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2" t="str">
        <f t="shared" si="14"/>
        <v/>
      </c>
      <c r="AU281" s="11"/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9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2" t="str">
        <f t="array" ref="G282">IF($B282="","",IF(INDEX(SchedZone,MATCH($A282,SchedSeq,0),MAP!$B$14)="Neutral","Y",""))</f>
        <v/>
      </c>
      <c r="H282" s="2" t="str">
        <f t="array" ref="H282">IF($B282="","",INDEX(SchedZone,MATCH($A282,SchedSeq,0),MAP!$B$17))</f>
        <v/>
      </c>
      <c r="I282" s="2" t="str">
        <f>IF(OR($B282="",$C282&lt;&gt;CurrentWeek),"",COUNTIF($C$5:$C282,CurrentWeek))</f>
        <v/>
      </c>
      <c r="J282" s="2" t="str">
        <f t="array" ref="J282">IF($B282="","",IFERROR(INDEX(RatEff,MATCH($E282,RatTeams,0)),"⚠ TEAM NOT FOUND"))</f>
        <v/>
      </c>
      <c r="K282" s="2" t="str">
        <f t="array" ref="K282">IF($B282="","",IFERROR(INDEX(RatEff,MATCH($F282,RatTeams,0)),"⚠ TEAM NOT FOUND"))</f>
        <v/>
      </c>
      <c r="L282" s="2" t="str">
        <f t="shared" si="1"/>
        <v/>
      </c>
      <c r="M282" s="2" t="str">
        <f t="array" ref="M282">IF($B282="","",IF($G282="Y",NeutralHFA,IFERROR(INDEX(HFAexcVal,MATCH($F282,HFAexcTeam,0)),HFA_Base)))</f>
        <v/>
      </c>
      <c r="N282" s="2" t="str">
        <f t="array" ref="N282">IF($B282="","",IFERROR(INDEX(QBSpreadEff,MATCH($F282,QBTeams,0)),0)-IFERROR(INDEX(QBSpreadEff,MATCH($E282,QBTeams,0)),0))</f>
        <v/>
      </c>
      <c r="O282" s="2" t="str">
        <f t="array" ref="O282">IF($B282="","",IFERROR(MEDIAN(-RestCapPts,RestCapPts,RestPerDay*(INDEX(SchedZone,MATCH($A282,SchedSeq,0),MAP!$B$16)-INDEX(SchedZone,MATCH($A282,SchedSeq,0),MAP!$B$15))),0))</f>
        <v/>
      </c>
      <c r="P282" s="2" t="str">
        <f>IF($B282="","",SUMIFS(AdjSpread,AdjGameID,$B282,AdjTeam,$F282,AdjActive,1)-SUMIFS(AdjSpread,AdjGameID,$B282,AdjTeam,$E282,AdjActive,1))</f>
        <v/>
      </c>
      <c r="Q282" s="2" t="str">
        <f t="shared" si="2"/>
        <v/>
      </c>
      <c r="R282" s="11"/>
      <c r="S282" s="2" t="str">
        <f t="shared" si="3"/>
        <v/>
      </c>
      <c r="T282" s="2" t="str">
        <f t="shared" si="4"/>
        <v/>
      </c>
      <c r="U282" s="2" t="str">
        <f t="array" ref="U282">IF($B282="","",IFERROR(INDEX(MktHomeSpread,MATCH($B282,MktGameID,0)),""))</f>
        <v/>
      </c>
      <c r="V282" s="2" t="str">
        <f t="shared" si="5"/>
        <v/>
      </c>
      <c r="W282" s="2" t="str">
        <f t="shared" si="6"/>
        <v/>
      </c>
      <c r="X282" s="2" t="str">
        <f t="shared" si="7"/>
        <v/>
      </c>
      <c r="Y282" s="2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2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2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2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2" t="str">
        <f t="array" ref="AC282">IF($B282="","",IFERROR(INDEX(QBTotEff,MATCH($F282,QBTeams,0)),0)+IFERROR(INDEX(QBTotEff,MATCH($E282,QBTeams,0)),0))</f>
        <v/>
      </c>
      <c r="AD282" s="2" t="str">
        <f>IF($B282="","",SUMIFS(AdjTot,AdjGameID,$B282,AdjActive,1))</f>
        <v/>
      </c>
      <c r="AE282" s="2" t="str">
        <f t="shared" si="8"/>
        <v/>
      </c>
      <c r="AF282" s="11"/>
      <c r="AG282" s="2" t="str">
        <f t="shared" si="9"/>
        <v/>
      </c>
      <c r="AH282" s="2" t="str">
        <f t="array" ref="AH282">IF($B282="","",IFERROR(INDEX(MktTotal,MATCH($B282,MktGameID,0)),""))</f>
        <v/>
      </c>
      <c r="AI282" s="2" t="str">
        <f t="shared" si="10"/>
        <v/>
      </c>
      <c r="AJ282" s="2" t="str">
        <f t="shared" si="11"/>
        <v/>
      </c>
      <c r="AK282" s="2" t="str">
        <f t="shared" si="12"/>
        <v/>
      </c>
      <c r="AL282" s="2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2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2" t="str">
        <f>IF($AG282="","","BET OVER at ≤ "&amp;TEXT($AG282-BetTot,"0.0")&amp;"  |  BET UNDER at ≥ "&amp;TEXT($AG282+BetTot,"0.0"))</f>
        <v/>
      </c>
      <c r="AO282" s="2" t="str">
        <f t="array" ref="AO282">IF($B282="","",IF(OR(IFERROR(INDEX(QBFlag,MATCH($F282,QBTeams,0)),1)=1,IFERROR(INDEX(QBFlag,MATCH($E282,QBTeams,0)),1)=1),"QB UNCERTAIN",""))</f>
        <v/>
      </c>
      <c r="AP282" s="2" t="str">
        <f t="array" ref="AP282">IF($B282="","",IFERROR(INDEX(DQStatus,MATCH($B282,DQGameID,0)),"BLOCKED — DQ ROW NOT FOUND"))</f>
        <v/>
      </c>
      <c r="AQ282" s="2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2" t="str">
        <f t="shared" si="13"/>
        <v/>
      </c>
      <c r="AS282" s="2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2" t="str">
        <f t="shared" si="14"/>
        <v/>
      </c>
      <c r="AU282" s="11"/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9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2" t="str">
        <f t="array" ref="G283">IF($B283="","",IF(INDEX(SchedZone,MATCH($A283,SchedSeq,0),MAP!$B$14)="Neutral","Y",""))</f>
        <v/>
      </c>
      <c r="H283" s="2" t="str">
        <f t="array" ref="H283">IF($B283="","",INDEX(SchedZone,MATCH($A283,SchedSeq,0),MAP!$B$17))</f>
        <v/>
      </c>
      <c r="I283" s="2" t="str">
        <f>IF(OR($B283="",$C283&lt;&gt;CurrentWeek),"",COUNTIF($C$5:$C283,CurrentWeek))</f>
        <v/>
      </c>
      <c r="J283" s="2" t="str">
        <f t="array" ref="J283">IF($B283="","",IFERROR(INDEX(RatEff,MATCH($E283,RatTeams,0)),"⚠ TEAM NOT FOUND"))</f>
        <v/>
      </c>
      <c r="K283" s="2" t="str">
        <f t="array" ref="K283">IF($B283="","",IFERROR(INDEX(RatEff,MATCH($F283,RatTeams,0)),"⚠ TEAM NOT FOUND"))</f>
        <v/>
      </c>
      <c r="L283" s="2" t="str">
        <f t="shared" si="1"/>
        <v/>
      </c>
      <c r="M283" s="2" t="str">
        <f t="array" ref="M283">IF($B283="","",IF($G283="Y",NeutralHFA,IFERROR(INDEX(HFAexcVal,MATCH($F283,HFAexcTeam,0)),HFA_Base)))</f>
        <v/>
      </c>
      <c r="N283" s="2" t="str">
        <f t="array" ref="N283">IF($B283="","",IFERROR(INDEX(QBSpreadEff,MATCH($F283,QBTeams,0)),0)-IFERROR(INDEX(QBSpreadEff,MATCH($E283,QBTeams,0)),0))</f>
        <v/>
      </c>
      <c r="O283" s="2" t="str">
        <f t="array" ref="O283">IF($B283="","",IFERROR(MEDIAN(-RestCapPts,RestCapPts,RestPerDay*(INDEX(SchedZone,MATCH($A283,SchedSeq,0),MAP!$B$16)-INDEX(SchedZone,MATCH($A283,SchedSeq,0),MAP!$B$15))),0))</f>
        <v/>
      </c>
      <c r="P283" s="2" t="str">
        <f>IF($B283="","",SUMIFS(AdjSpread,AdjGameID,$B283,AdjTeam,$F283,AdjActive,1)-SUMIFS(AdjSpread,AdjGameID,$B283,AdjTeam,$E283,AdjActive,1))</f>
        <v/>
      </c>
      <c r="Q283" s="2" t="str">
        <f t="shared" si="2"/>
        <v/>
      </c>
      <c r="R283" s="11"/>
      <c r="S283" s="2" t="str">
        <f t="shared" si="3"/>
        <v/>
      </c>
      <c r="T283" s="2" t="str">
        <f t="shared" si="4"/>
        <v/>
      </c>
      <c r="U283" s="2" t="str">
        <f t="array" ref="U283">IF($B283="","",IFERROR(INDEX(MktHomeSpread,MATCH($B283,MktGameID,0)),""))</f>
        <v/>
      </c>
      <c r="V283" s="2" t="str">
        <f t="shared" si="5"/>
        <v/>
      </c>
      <c r="W283" s="2" t="str">
        <f t="shared" si="6"/>
        <v/>
      </c>
      <c r="X283" s="2" t="str">
        <f t="shared" si="7"/>
        <v/>
      </c>
      <c r="Y283" s="2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2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2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2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2" t="str">
        <f t="array" ref="AC283">IF($B283="","",IFERROR(INDEX(QBTotEff,MATCH($F283,QBTeams,0)),0)+IFERROR(INDEX(QBTotEff,MATCH($E283,QBTeams,0)),0))</f>
        <v/>
      </c>
      <c r="AD283" s="2" t="str">
        <f>IF($B283="","",SUMIFS(AdjTot,AdjGameID,$B283,AdjActive,1))</f>
        <v/>
      </c>
      <c r="AE283" s="2" t="str">
        <f t="shared" si="8"/>
        <v/>
      </c>
      <c r="AF283" s="11"/>
      <c r="AG283" s="2" t="str">
        <f t="shared" si="9"/>
        <v/>
      </c>
      <c r="AH283" s="2" t="str">
        <f t="array" ref="AH283">IF($B283="","",IFERROR(INDEX(MktTotal,MATCH($B283,MktGameID,0)),""))</f>
        <v/>
      </c>
      <c r="AI283" s="2" t="str">
        <f t="shared" si="10"/>
        <v/>
      </c>
      <c r="AJ283" s="2" t="str">
        <f t="shared" si="11"/>
        <v/>
      </c>
      <c r="AK283" s="2" t="str">
        <f t="shared" si="12"/>
        <v/>
      </c>
      <c r="AL283" s="2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2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2" t="str">
        <f>IF($AG283="","","BET OVER at ≤ "&amp;TEXT($AG283-BetTot,"0.0")&amp;"  |  BET UNDER at ≥ "&amp;TEXT($AG283+BetTot,"0.0"))</f>
        <v/>
      </c>
      <c r="AO283" s="2" t="str">
        <f t="array" ref="AO283">IF($B283="","",IF(OR(IFERROR(INDEX(QBFlag,MATCH($F283,QBTeams,0)),1)=1,IFERROR(INDEX(QBFlag,MATCH($E283,QBTeams,0)),1)=1),"QB UNCERTAIN",""))</f>
        <v/>
      </c>
      <c r="AP283" s="2" t="str">
        <f t="array" ref="AP283">IF($B283="","",IFERROR(INDEX(DQStatus,MATCH($B283,DQGameID,0)),"BLOCKED — DQ ROW NOT FOUND"))</f>
        <v/>
      </c>
      <c r="AQ283" s="2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2" t="str">
        <f t="shared" si="13"/>
        <v/>
      </c>
      <c r="AS283" s="2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2" t="str">
        <f t="shared" si="14"/>
        <v/>
      </c>
      <c r="AU283" s="11"/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9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2" t="str">
        <f t="array" ref="G284">IF($B284="","",IF(INDEX(SchedZone,MATCH($A284,SchedSeq,0),MAP!$B$14)="Neutral","Y",""))</f>
        <v/>
      </c>
      <c r="H284" s="2" t="str">
        <f t="array" ref="H284">IF($B284="","",INDEX(SchedZone,MATCH($A284,SchedSeq,0),MAP!$B$17))</f>
        <v/>
      </c>
      <c r="I284" s="2" t="str">
        <f>IF(OR($B284="",$C284&lt;&gt;CurrentWeek),"",COUNTIF($C$5:$C284,CurrentWeek))</f>
        <v/>
      </c>
      <c r="J284" s="2" t="str">
        <f t="array" ref="J284">IF($B284="","",IFERROR(INDEX(RatEff,MATCH($E284,RatTeams,0)),"⚠ TEAM NOT FOUND"))</f>
        <v/>
      </c>
      <c r="K284" s="2" t="str">
        <f t="array" ref="K284">IF($B284="","",IFERROR(INDEX(RatEff,MATCH($F284,RatTeams,0)),"⚠ TEAM NOT FOUND"))</f>
        <v/>
      </c>
      <c r="L284" s="2" t="str">
        <f t="shared" si="1"/>
        <v/>
      </c>
      <c r="M284" s="2" t="str">
        <f t="array" ref="M284">IF($B284="","",IF($G284="Y",NeutralHFA,IFERROR(INDEX(HFAexcVal,MATCH($F284,HFAexcTeam,0)),HFA_Base)))</f>
        <v/>
      </c>
      <c r="N284" s="2" t="str">
        <f t="array" ref="N284">IF($B284="","",IFERROR(INDEX(QBSpreadEff,MATCH($F284,QBTeams,0)),0)-IFERROR(INDEX(QBSpreadEff,MATCH($E284,QBTeams,0)),0))</f>
        <v/>
      </c>
      <c r="O284" s="2" t="str">
        <f t="array" ref="O284">IF($B284="","",IFERROR(MEDIAN(-RestCapPts,RestCapPts,RestPerDay*(INDEX(SchedZone,MATCH($A284,SchedSeq,0),MAP!$B$16)-INDEX(SchedZone,MATCH($A284,SchedSeq,0),MAP!$B$15))),0))</f>
        <v/>
      </c>
      <c r="P284" s="2" t="str">
        <f>IF($B284="","",SUMIFS(AdjSpread,AdjGameID,$B284,AdjTeam,$F284,AdjActive,1)-SUMIFS(AdjSpread,AdjGameID,$B284,AdjTeam,$E284,AdjActive,1))</f>
        <v/>
      </c>
      <c r="Q284" s="2" t="str">
        <f t="shared" si="2"/>
        <v/>
      </c>
      <c r="R284" s="11"/>
      <c r="S284" s="2" t="str">
        <f t="shared" si="3"/>
        <v/>
      </c>
      <c r="T284" s="2" t="str">
        <f t="shared" si="4"/>
        <v/>
      </c>
      <c r="U284" s="2" t="str">
        <f t="array" ref="U284">IF($B284="","",IFERROR(INDEX(MktHomeSpread,MATCH($B284,MktGameID,0)),""))</f>
        <v/>
      </c>
      <c r="V284" s="2" t="str">
        <f t="shared" si="5"/>
        <v/>
      </c>
      <c r="W284" s="2" t="str">
        <f t="shared" si="6"/>
        <v/>
      </c>
      <c r="X284" s="2" t="str">
        <f t="shared" si="7"/>
        <v/>
      </c>
      <c r="Y284" s="2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2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2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2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2" t="str">
        <f t="array" ref="AC284">IF($B284="","",IFERROR(INDEX(QBTotEff,MATCH($F284,QBTeams,0)),0)+IFERROR(INDEX(QBTotEff,MATCH($E284,QBTeams,0)),0))</f>
        <v/>
      </c>
      <c r="AD284" s="2" t="str">
        <f>IF($B284="","",SUMIFS(AdjTot,AdjGameID,$B284,AdjActive,1))</f>
        <v/>
      </c>
      <c r="AE284" s="2" t="str">
        <f t="shared" si="8"/>
        <v/>
      </c>
      <c r="AF284" s="11"/>
      <c r="AG284" s="2" t="str">
        <f t="shared" si="9"/>
        <v/>
      </c>
      <c r="AH284" s="2" t="str">
        <f t="array" ref="AH284">IF($B284="","",IFERROR(INDEX(MktTotal,MATCH($B284,MktGameID,0)),""))</f>
        <v/>
      </c>
      <c r="AI284" s="2" t="str">
        <f t="shared" si="10"/>
        <v/>
      </c>
      <c r="AJ284" s="2" t="str">
        <f t="shared" si="11"/>
        <v/>
      </c>
      <c r="AK284" s="2" t="str">
        <f t="shared" si="12"/>
        <v/>
      </c>
      <c r="AL284" s="2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2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2" t="str">
        <f>IF($AG284="","","BET OVER at ≤ "&amp;TEXT($AG284-BetTot,"0.0")&amp;"  |  BET UNDER at ≥ "&amp;TEXT($AG284+BetTot,"0.0"))</f>
        <v/>
      </c>
      <c r="AO284" s="2" t="str">
        <f t="array" ref="AO284">IF($B284="","",IF(OR(IFERROR(INDEX(QBFlag,MATCH($F284,QBTeams,0)),1)=1,IFERROR(INDEX(QBFlag,MATCH($E284,QBTeams,0)),1)=1),"QB UNCERTAIN",""))</f>
        <v/>
      </c>
      <c r="AP284" s="2" t="str">
        <f t="array" ref="AP284">IF($B284="","",IFERROR(INDEX(DQStatus,MATCH($B284,DQGameID,0)),"BLOCKED — DQ ROW NOT FOUND"))</f>
        <v/>
      </c>
      <c r="AQ284" s="2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2" t="str">
        <f t="shared" si="13"/>
        <v/>
      </c>
      <c r="AS284" s="2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2" t="str">
        <f t="shared" si="14"/>
        <v/>
      </c>
      <c r="AU284" s="11"/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9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2" t="str">
        <f t="array" ref="G285">IF($B285="","",IF(INDEX(SchedZone,MATCH($A285,SchedSeq,0),MAP!$B$14)="Neutral","Y",""))</f>
        <v/>
      </c>
      <c r="H285" s="2" t="str">
        <f t="array" ref="H285">IF($B285="","",INDEX(SchedZone,MATCH($A285,SchedSeq,0),MAP!$B$17))</f>
        <v/>
      </c>
      <c r="I285" s="2" t="str">
        <f>IF(OR($B285="",$C285&lt;&gt;CurrentWeek),"",COUNTIF($C$5:$C285,CurrentWeek))</f>
        <v/>
      </c>
      <c r="J285" s="2" t="str">
        <f t="array" ref="J285">IF($B285="","",IFERROR(INDEX(RatEff,MATCH($E285,RatTeams,0)),"⚠ TEAM NOT FOUND"))</f>
        <v/>
      </c>
      <c r="K285" s="2" t="str">
        <f t="array" ref="K285">IF($B285="","",IFERROR(INDEX(RatEff,MATCH($F285,RatTeams,0)),"⚠ TEAM NOT FOUND"))</f>
        <v/>
      </c>
      <c r="L285" s="2" t="str">
        <f t="shared" si="1"/>
        <v/>
      </c>
      <c r="M285" s="2" t="str">
        <f t="array" ref="M285">IF($B285="","",IF($G285="Y",NeutralHFA,IFERROR(INDEX(HFAexcVal,MATCH($F285,HFAexcTeam,0)),HFA_Base)))</f>
        <v/>
      </c>
      <c r="N285" s="2" t="str">
        <f t="array" ref="N285">IF($B285="","",IFERROR(INDEX(QBSpreadEff,MATCH($F285,QBTeams,0)),0)-IFERROR(INDEX(QBSpreadEff,MATCH($E285,QBTeams,0)),0))</f>
        <v/>
      </c>
      <c r="O285" s="2" t="str">
        <f t="array" ref="O285">IF($B285="","",IFERROR(MEDIAN(-RestCapPts,RestCapPts,RestPerDay*(INDEX(SchedZone,MATCH($A285,SchedSeq,0),MAP!$B$16)-INDEX(SchedZone,MATCH($A285,SchedSeq,0),MAP!$B$15))),0))</f>
        <v/>
      </c>
      <c r="P285" s="2" t="str">
        <f>IF($B285="","",SUMIFS(AdjSpread,AdjGameID,$B285,AdjTeam,$F285,AdjActive,1)-SUMIFS(AdjSpread,AdjGameID,$B285,AdjTeam,$E285,AdjActive,1))</f>
        <v/>
      </c>
      <c r="Q285" s="2" t="str">
        <f t="shared" si="2"/>
        <v/>
      </c>
      <c r="R285" s="11"/>
      <c r="S285" s="2" t="str">
        <f t="shared" si="3"/>
        <v/>
      </c>
      <c r="T285" s="2" t="str">
        <f t="shared" si="4"/>
        <v/>
      </c>
      <c r="U285" s="2" t="str">
        <f t="array" ref="U285">IF($B285="","",IFERROR(INDEX(MktHomeSpread,MATCH($B285,MktGameID,0)),""))</f>
        <v/>
      </c>
      <c r="V285" s="2" t="str">
        <f t="shared" si="5"/>
        <v/>
      </c>
      <c r="W285" s="2" t="str">
        <f t="shared" si="6"/>
        <v/>
      </c>
      <c r="X285" s="2" t="str">
        <f t="shared" si="7"/>
        <v/>
      </c>
      <c r="Y285" s="2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2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2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2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2" t="str">
        <f t="array" ref="AC285">IF($B285="","",IFERROR(INDEX(QBTotEff,MATCH($F285,QBTeams,0)),0)+IFERROR(INDEX(QBTotEff,MATCH($E285,QBTeams,0)),0))</f>
        <v/>
      </c>
      <c r="AD285" s="2" t="str">
        <f>IF($B285="","",SUMIFS(AdjTot,AdjGameID,$B285,AdjActive,1))</f>
        <v/>
      </c>
      <c r="AE285" s="2" t="str">
        <f t="shared" si="8"/>
        <v/>
      </c>
      <c r="AF285" s="11"/>
      <c r="AG285" s="2" t="str">
        <f t="shared" si="9"/>
        <v/>
      </c>
      <c r="AH285" s="2" t="str">
        <f t="array" ref="AH285">IF($B285="","",IFERROR(INDEX(MktTotal,MATCH($B285,MktGameID,0)),""))</f>
        <v/>
      </c>
      <c r="AI285" s="2" t="str">
        <f t="shared" si="10"/>
        <v/>
      </c>
      <c r="AJ285" s="2" t="str">
        <f t="shared" si="11"/>
        <v/>
      </c>
      <c r="AK285" s="2" t="str">
        <f t="shared" si="12"/>
        <v/>
      </c>
      <c r="AL285" s="2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2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2" t="str">
        <f>IF($AG285="","","BET OVER at ≤ "&amp;TEXT($AG285-BetTot,"0.0")&amp;"  |  BET UNDER at ≥ "&amp;TEXT($AG285+BetTot,"0.0"))</f>
        <v/>
      </c>
      <c r="AO285" s="2" t="str">
        <f t="array" ref="AO285">IF($B285="","",IF(OR(IFERROR(INDEX(QBFlag,MATCH($F285,QBTeams,0)),1)=1,IFERROR(INDEX(QBFlag,MATCH($E285,QBTeams,0)),1)=1),"QB UNCERTAIN",""))</f>
        <v/>
      </c>
      <c r="AP285" s="2" t="str">
        <f t="array" ref="AP285">IF($B285="","",IFERROR(INDEX(DQStatus,MATCH($B285,DQGameID,0)),"BLOCKED — DQ ROW NOT FOUND"))</f>
        <v/>
      </c>
      <c r="AQ285" s="2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2" t="str">
        <f t="shared" si="13"/>
        <v/>
      </c>
      <c r="AS285" s="2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2" t="str">
        <f t="shared" si="14"/>
        <v/>
      </c>
      <c r="AU285" s="11"/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9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2" t="str">
        <f t="array" ref="G286">IF($B286="","",IF(INDEX(SchedZone,MATCH($A286,SchedSeq,0),MAP!$B$14)="Neutral","Y",""))</f>
        <v/>
      </c>
      <c r="H286" s="2" t="str">
        <f t="array" ref="H286">IF($B286="","",INDEX(SchedZone,MATCH($A286,SchedSeq,0),MAP!$B$17))</f>
        <v/>
      </c>
      <c r="I286" s="2" t="str">
        <f>IF(OR($B286="",$C286&lt;&gt;CurrentWeek),"",COUNTIF($C$5:$C286,CurrentWeek))</f>
        <v/>
      </c>
      <c r="J286" s="2" t="str">
        <f t="array" ref="J286">IF($B286="","",IFERROR(INDEX(RatEff,MATCH($E286,RatTeams,0)),"⚠ TEAM NOT FOUND"))</f>
        <v/>
      </c>
      <c r="K286" s="2" t="str">
        <f t="array" ref="K286">IF($B286="","",IFERROR(INDEX(RatEff,MATCH($F286,RatTeams,0)),"⚠ TEAM NOT FOUND"))</f>
        <v/>
      </c>
      <c r="L286" s="2" t="str">
        <f t="shared" si="1"/>
        <v/>
      </c>
      <c r="M286" s="2" t="str">
        <f t="array" ref="M286">IF($B286="","",IF($G286="Y",NeutralHFA,IFERROR(INDEX(HFAexcVal,MATCH($F286,HFAexcTeam,0)),HFA_Base)))</f>
        <v/>
      </c>
      <c r="N286" s="2" t="str">
        <f t="array" ref="N286">IF($B286="","",IFERROR(INDEX(QBSpreadEff,MATCH($F286,QBTeams,0)),0)-IFERROR(INDEX(QBSpreadEff,MATCH($E286,QBTeams,0)),0))</f>
        <v/>
      </c>
      <c r="O286" s="2" t="str">
        <f t="array" ref="O286">IF($B286="","",IFERROR(MEDIAN(-RestCapPts,RestCapPts,RestPerDay*(INDEX(SchedZone,MATCH($A286,SchedSeq,0),MAP!$B$16)-INDEX(SchedZone,MATCH($A286,SchedSeq,0),MAP!$B$15))),0))</f>
        <v/>
      </c>
      <c r="P286" s="2" t="str">
        <f>IF($B286="","",SUMIFS(AdjSpread,AdjGameID,$B286,AdjTeam,$F286,AdjActive,1)-SUMIFS(AdjSpread,AdjGameID,$B286,AdjTeam,$E286,AdjActive,1))</f>
        <v/>
      </c>
      <c r="Q286" s="2" t="str">
        <f t="shared" si="2"/>
        <v/>
      </c>
      <c r="R286" s="11"/>
      <c r="S286" s="2" t="str">
        <f t="shared" si="3"/>
        <v/>
      </c>
      <c r="T286" s="2" t="str">
        <f t="shared" si="4"/>
        <v/>
      </c>
      <c r="U286" s="2" t="str">
        <f t="array" ref="U286">IF($B286="","",IFERROR(INDEX(MktHomeSpread,MATCH($B286,MktGameID,0)),""))</f>
        <v/>
      </c>
      <c r="V286" s="2" t="str">
        <f t="shared" si="5"/>
        <v/>
      </c>
      <c r="W286" s="2" t="str">
        <f t="shared" si="6"/>
        <v/>
      </c>
      <c r="X286" s="2" t="str">
        <f t="shared" si="7"/>
        <v/>
      </c>
      <c r="Y286" s="2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2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2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2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2" t="str">
        <f t="array" ref="AC286">IF($B286="","",IFERROR(INDEX(QBTotEff,MATCH($F286,QBTeams,0)),0)+IFERROR(INDEX(QBTotEff,MATCH($E286,QBTeams,0)),0))</f>
        <v/>
      </c>
      <c r="AD286" s="2" t="str">
        <f>IF($B286="","",SUMIFS(AdjTot,AdjGameID,$B286,AdjActive,1))</f>
        <v/>
      </c>
      <c r="AE286" s="2" t="str">
        <f t="shared" si="8"/>
        <v/>
      </c>
      <c r="AF286" s="11"/>
      <c r="AG286" s="2" t="str">
        <f t="shared" si="9"/>
        <v/>
      </c>
      <c r="AH286" s="2" t="str">
        <f t="array" ref="AH286">IF($B286="","",IFERROR(INDEX(MktTotal,MATCH($B286,MktGameID,0)),""))</f>
        <v/>
      </c>
      <c r="AI286" s="2" t="str">
        <f t="shared" si="10"/>
        <v/>
      </c>
      <c r="AJ286" s="2" t="str">
        <f t="shared" si="11"/>
        <v/>
      </c>
      <c r="AK286" s="2" t="str">
        <f t="shared" si="12"/>
        <v/>
      </c>
      <c r="AL286" s="2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2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2" t="str">
        <f>IF($AG286="","","BET OVER at ≤ "&amp;TEXT($AG286-BetTot,"0.0")&amp;"  |  BET UNDER at ≥ "&amp;TEXT($AG286+BetTot,"0.0"))</f>
        <v/>
      </c>
      <c r="AO286" s="2" t="str">
        <f t="array" ref="AO286">IF($B286="","",IF(OR(IFERROR(INDEX(QBFlag,MATCH($F286,QBTeams,0)),1)=1,IFERROR(INDEX(QBFlag,MATCH($E286,QBTeams,0)),1)=1),"QB UNCERTAIN",""))</f>
        <v/>
      </c>
      <c r="AP286" s="2" t="str">
        <f t="array" ref="AP286">IF($B286="","",IFERROR(INDEX(DQStatus,MATCH($B286,DQGameID,0)),"BLOCKED — DQ ROW NOT FOUND"))</f>
        <v/>
      </c>
      <c r="AQ286" s="2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2" t="str">
        <f t="shared" si="13"/>
        <v/>
      </c>
      <c r="AS286" s="2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2" t="str">
        <f t="shared" si="14"/>
        <v/>
      </c>
      <c r="AU286" s="11"/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9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2" t="str">
        <f t="array" ref="G287">IF($B287="","",IF(INDEX(SchedZone,MATCH($A287,SchedSeq,0),MAP!$B$14)="Neutral","Y",""))</f>
        <v/>
      </c>
      <c r="H287" s="2" t="str">
        <f t="array" ref="H287">IF($B287="","",INDEX(SchedZone,MATCH($A287,SchedSeq,0),MAP!$B$17))</f>
        <v/>
      </c>
      <c r="I287" s="2" t="str">
        <f>IF(OR($B287="",$C287&lt;&gt;CurrentWeek),"",COUNTIF($C$5:$C287,CurrentWeek))</f>
        <v/>
      </c>
      <c r="J287" s="2" t="str">
        <f t="array" ref="J287">IF($B287="","",IFERROR(INDEX(RatEff,MATCH($E287,RatTeams,0)),"⚠ TEAM NOT FOUND"))</f>
        <v/>
      </c>
      <c r="K287" s="2" t="str">
        <f t="array" ref="K287">IF($B287="","",IFERROR(INDEX(RatEff,MATCH($F287,RatTeams,0)),"⚠ TEAM NOT FOUND"))</f>
        <v/>
      </c>
      <c r="L287" s="2" t="str">
        <f t="shared" si="1"/>
        <v/>
      </c>
      <c r="M287" s="2" t="str">
        <f t="array" ref="M287">IF($B287="","",IF($G287="Y",NeutralHFA,IFERROR(INDEX(HFAexcVal,MATCH($F287,HFAexcTeam,0)),HFA_Base)))</f>
        <v/>
      </c>
      <c r="N287" s="2" t="str">
        <f t="array" ref="N287">IF($B287="","",IFERROR(INDEX(QBSpreadEff,MATCH($F287,QBTeams,0)),0)-IFERROR(INDEX(QBSpreadEff,MATCH($E287,QBTeams,0)),0))</f>
        <v/>
      </c>
      <c r="O287" s="2" t="str">
        <f t="array" ref="O287">IF($B287="","",IFERROR(MEDIAN(-RestCapPts,RestCapPts,RestPerDay*(INDEX(SchedZone,MATCH($A287,SchedSeq,0),MAP!$B$16)-INDEX(SchedZone,MATCH($A287,SchedSeq,0),MAP!$B$15))),0))</f>
        <v/>
      </c>
      <c r="P287" s="2" t="str">
        <f>IF($B287="","",SUMIFS(AdjSpread,AdjGameID,$B287,AdjTeam,$F287,AdjActive,1)-SUMIFS(AdjSpread,AdjGameID,$B287,AdjTeam,$E287,AdjActive,1))</f>
        <v/>
      </c>
      <c r="Q287" s="2" t="str">
        <f t="shared" si="2"/>
        <v/>
      </c>
      <c r="R287" s="11"/>
      <c r="S287" s="2" t="str">
        <f t="shared" si="3"/>
        <v/>
      </c>
      <c r="T287" s="2" t="str">
        <f t="shared" si="4"/>
        <v/>
      </c>
      <c r="U287" s="2" t="str">
        <f t="array" ref="U287">IF($B287="","",IFERROR(INDEX(MktHomeSpread,MATCH($B287,MktGameID,0)),""))</f>
        <v/>
      </c>
      <c r="V287" s="2" t="str">
        <f t="shared" si="5"/>
        <v/>
      </c>
      <c r="W287" s="2" t="str">
        <f t="shared" si="6"/>
        <v/>
      </c>
      <c r="X287" s="2" t="str">
        <f t="shared" si="7"/>
        <v/>
      </c>
      <c r="Y287" s="2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2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2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2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2" t="str">
        <f t="array" ref="AC287">IF($B287="","",IFERROR(INDEX(QBTotEff,MATCH($F287,QBTeams,0)),0)+IFERROR(INDEX(QBTotEff,MATCH($E287,QBTeams,0)),0))</f>
        <v/>
      </c>
      <c r="AD287" s="2" t="str">
        <f>IF($B287="","",SUMIFS(AdjTot,AdjGameID,$B287,AdjActive,1))</f>
        <v/>
      </c>
      <c r="AE287" s="2" t="str">
        <f t="shared" si="8"/>
        <v/>
      </c>
      <c r="AF287" s="11"/>
      <c r="AG287" s="2" t="str">
        <f t="shared" si="9"/>
        <v/>
      </c>
      <c r="AH287" s="2" t="str">
        <f t="array" ref="AH287">IF($B287="","",IFERROR(INDEX(MktTotal,MATCH($B287,MktGameID,0)),""))</f>
        <v/>
      </c>
      <c r="AI287" s="2" t="str">
        <f t="shared" si="10"/>
        <v/>
      </c>
      <c r="AJ287" s="2" t="str">
        <f t="shared" si="11"/>
        <v/>
      </c>
      <c r="AK287" s="2" t="str">
        <f t="shared" si="12"/>
        <v/>
      </c>
      <c r="AL287" s="2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2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2" t="str">
        <f>IF($AG287="","","BET OVER at ≤ "&amp;TEXT($AG287-BetTot,"0.0")&amp;"  |  BET UNDER at ≥ "&amp;TEXT($AG287+BetTot,"0.0"))</f>
        <v/>
      </c>
      <c r="AO287" s="2" t="str">
        <f t="array" ref="AO287">IF($B287="","",IF(OR(IFERROR(INDEX(QBFlag,MATCH($F287,QBTeams,0)),1)=1,IFERROR(INDEX(QBFlag,MATCH($E287,QBTeams,0)),1)=1),"QB UNCERTAIN",""))</f>
        <v/>
      </c>
      <c r="AP287" s="2" t="str">
        <f t="array" ref="AP287">IF($B287="","",IFERROR(INDEX(DQStatus,MATCH($B287,DQGameID,0)),"BLOCKED — DQ ROW NOT FOUND"))</f>
        <v/>
      </c>
      <c r="AQ287" s="2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2" t="str">
        <f t="shared" si="13"/>
        <v/>
      </c>
      <c r="AS287" s="2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2" t="str">
        <f t="shared" si="14"/>
        <v/>
      </c>
      <c r="AU287" s="11"/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9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2" t="str">
        <f t="array" ref="G288">IF($B288="","",IF(INDEX(SchedZone,MATCH($A288,SchedSeq,0),MAP!$B$14)="Neutral","Y",""))</f>
        <v/>
      </c>
      <c r="H288" s="2" t="str">
        <f t="array" ref="H288">IF($B288="","",INDEX(SchedZone,MATCH($A288,SchedSeq,0),MAP!$B$17))</f>
        <v/>
      </c>
      <c r="I288" s="2" t="str">
        <f>IF(OR($B288="",$C288&lt;&gt;CurrentWeek),"",COUNTIF($C$5:$C288,CurrentWeek))</f>
        <v/>
      </c>
      <c r="J288" s="2" t="str">
        <f t="array" ref="J288">IF($B288="","",IFERROR(INDEX(RatEff,MATCH($E288,RatTeams,0)),"⚠ TEAM NOT FOUND"))</f>
        <v/>
      </c>
      <c r="K288" s="2" t="str">
        <f t="array" ref="K288">IF($B288="","",IFERROR(INDEX(RatEff,MATCH($F288,RatTeams,0)),"⚠ TEAM NOT FOUND"))</f>
        <v/>
      </c>
      <c r="L288" s="2" t="str">
        <f t="shared" si="1"/>
        <v/>
      </c>
      <c r="M288" s="2" t="str">
        <f t="array" ref="M288">IF($B288="","",IF($G288="Y",NeutralHFA,IFERROR(INDEX(HFAexcVal,MATCH($F288,HFAexcTeam,0)),HFA_Base)))</f>
        <v/>
      </c>
      <c r="N288" s="2" t="str">
        <f t="array" ref="N288">IF($B288="","",IFERROR(INDEX(QBSpreadEff,MATCH($F288,QBTeams,0)),0)-IFERROR(INDEX(QBSpreadEff,MATCH($E288,QBTeams,0)),0))</f>
        <v/>
      </c>
      <c r="O288" s="2" t="str">
        <f t="array" ref="O288">IF($B288="","",IFERROR(MEDIAN(-RestCapPts,RestCapPts,RestPerDay*(INDEX(SchedZone,MATCH($A288,SchedSeq,0),MAP!$B$16)-INDEX(SchedZone,MATCH($A288,SchedSeq,0),MAP!$B$15))),0))</f>
        <v/>
      </c>
      <c r="P288" s="2" t="str">
        <f>IF($B288="","",SUMIFS(AdjSpread,AdjGameID,$B288,AdjTeam,$F288,AdjActive,1)-SUMIFS(AdjSpread,AdjGameID,$B288,AdjTeam,$E288,AdjActive,1))</f>
        <v/>
      </c>
      <c r="Q288" s="2" t="str">
        <f t="shared" si="2"/>
        <v/>
      </c>
      <c r="R288" s="11"/>
      <c r="S288" s="2" t="str">
        <f t="shared" si="3"/>
        <v/>
      </c>
      <c r="T288" s="2" t="str">
        <f t="shared" si="4"/>
        <v/>
      </c>
      <c r="U288" s="2" t="str">
        <f t="array" ref="U288">IF($B288="","",IFERROR(INDEX(MktHomeSpread,MATCH($B288,MktGameID,0)),""))</f>
        <v/>
      </c>
      <c r="V288" s="2" t="str">
        <f t="shared" si="5"/>
        <v/>
      </c>
      <c r="W288" s="2" t="str">
        <f t="shared" si="6"/>
        <v/>
      </c>
      <c r="X288" s="2" t="str">
        <f t="shared" si="7"/>
        <v/>
      </c>
      <c r="Y288" s="2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2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2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2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2" t="str">
        <f t="array" ref="AC288">IF($B288="","",IFERROR(INDEX(QBTotEff,MATCH($F288,QBTeams,0)),0)+IFERROR(INDEX(QBTotEff,MATCH($E288,QBTeams,0)),0))</f>
        <v/>
      </c>
      <c r="AD288" s="2" t="str">
        <f>IF($B288="","",SUMIFS(AdjTot,AdjGameID,$B288,AdjActive,1))</f>
        <v/>
      </c>
      <c r="AE288" s="2" t="str">
        <f t="shared" si="8"/>
        <v/>
      </c>
      <c r="AF288" s="11"/>
      <c r="AG288" s="2" t="str">
        <f t="shared" si="9"/>
        <v/>
      </c>
      <c r="AH288" s="2" t="str">
        <f t="array" ref="AH288">IF($B288="","",IFERROR(INDEX(MktTotal,MATCH($B288,MktGameID,0)),""))</f>
        <v/>
      </c>
      <c r="AI288" s="2" t="str">
        <f t="shared" si="10"/>
        <v/>
      </c>
      <c r="AJ288" s="2" t="str">
        <f t="shared" si="11"/>
        <v/>
      </c>
      <c r="AK288" s="2" t="str">
        <f t="shared" si="12"/>
        <v/>
      </c>
      <c r="AL288" s="2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2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2" t="str">
        <f>IF($AG288="","","BET OVER at ≤ "&amp;TEXT($AG288-BetTot,"0.0")&amp;"  |  BET UNDER at ≥ "&amp;TEXT($AG288+BetTot,"0.0"))</f>
        <v/>
      </c>
      <c r="AO288" s="2" t="str">
        <f t="array" ref="AO288">IF($B288="","",IF(OR(IFERROR(INDEX(QBFlag,MATCH($F288,QBTeams,0)),1)=1,IFERROR(INDEX(QBFlag,MATCH($E288,QBTeams,0)),1)=1),"QB UNCERTAIN",""))</f>
        <v/>
      </c>
      <c r="AP288" s="2" t="str">
        <f t="array" ref="AP288">IF($B288="","",IFERROR(INDEX(DQStatus,MATCH($B288,DQGameID,0)),"BLOCKED — DQ ROW NOT FOUND"))</f>
        <v/>
      </c>
      <c r="AQ288" s="2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2" t="str">
        <f t="shared" si="13"/>
        <v/>
      </c>
      <c r="AS288" s="2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2" t="str">
        <f t="shared" si="14"/>
        <v/>
      </c>
      <c r="AU288" s="11"/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9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2" t="str">
        <f t="array" ref="G289">IF($B289="","",IF(INDEX(SchedZone,MATCH($A289,SchedSeq,0),MAP!$B$14)="Neutral","Y",""))</f>
        <v/>
      </c>
      <c r="H289" s="2" t="str">
        <f t="array" ref="H289">IF($B289="","",INDEX(SchedZone,MATCH($A289,SchedSeq,0),MAP!$B$17))</f>
        <v/>
      </c>
      <c r="I289" s="2" t="str">
        <f>IF(OR($B289="",$C289&lt;&gt;CurrentWeek),"",COUNTIF($C$5:$C289,CurrentWeek))</f>
        <v/>
      </c>
      <c r="J289" s="2" t="str">
        <f t="array" ref="J289">IF($B289="","",IFERROR(INDEX(RatEff,MATCH($E289,RatTeams,0)),"⚠ TEAM NOT FOUND"))</f>
        <v/>
      </c>
      <c r="K289" s="2" t="str">
        <f t="array" ref="K289">IF($B289="","",IFERROR(INDEX(RatEff,MATCH($F289,RatTeams,0)),"⚠ TEAM NOT FOUND"))</f>
        <v/>
      </c>
      <c r="L289" s="2" t="str">
        <f t="shared" si="1"/>
        <v/>
      </c>
      <c r="M289" s="2" t="str">
        <f t="array" ref="M289">IF($B289="","",IF($G289="Y",NeutralHFA,IFERROR(INDEX(HFAexcVal,MATCH($F289,HFAexcTeam,0)),HFA_Base)))</f>
        <v/>
      </c>
      <c r="N289" s="2" t="str">
        <f t="array" ref="N289">IF($B289="","",IFERROR(INDEX(QBSpreadEff,MATCH($F289,QBTeams,0)),0)-IFERROR(INDEX(QBSpreadEff,MATCH($E289,QBTeams,0)),0))</f>
        <v/>
      </c>
      <c r="O289" s="2" t="str">
        <f t="array" ref="O289">IF($B289="","",IFERROR(MEDIAN(-RestCapPts,RestCapPts,RestPerDay*(INDEX(SchedZone,MATCH($A289,SchedSeq,0),MAP!$B$16)-INDEX(SchedZone,MATCH($A289,SchedSeq,0),MAP!$B$15))),0))</f>
        <v/>
      </c>
      <c r="P289" s="2" t="str">
        <f>IF($B289="","",SUMIFS(AdjSpread,AdjGameID,$B289,AdjTeam,$F289,AdjActive,1)-SUMIFS(AdjSpread,AdjGameID,$B289,AdjTeam,$E289,AdjActive,1))</f>
        <v/>
      </c>
      <c r="Q289" s="2" t="str">
        <f t="shared" si="2"/>
        <v/>
      </c>
      <c r="R289" s="11"/>
      <c r="S289" s="2" t="str">
        <f t="shared" si="3"/>
        <v/>
      </c>
      <c r="T289" s="2" t="str">
        <f t="shared" si="4"/>
        <v/>
      </c>
      <c r="U289" s="2" t="str">
        <f t="array" ref="U289">IF($B289="","",IFERROR(INDEX(MktHomeSpread,MATCH($B289,MktGameID,0)),""))</f>
        <v/>
      </c>
      <c r="V289" s="2" t="str">
        <f t="shared" si="5"/>
        <v/>
      </c>
      <c r="W289" s="2" t="str">
        <f t="shared" si="6"/>
        <v/>
      </c>
      <c r="X289" s="2" t="str">
        <f t="shared" si="7"/>
        <v/>
      </c>
      <c r="Y289" s="2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2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2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2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2" t="str">
        <f t="array" ref="AC289">IF($B289="","",IFERROR(INDEX(QBTotEff,MATCH($F289,QBTeams,0)),0)+IFERROR(INDEX(QBTotEff,MATCH($E289,QBTeams,0)),0))</f>
        <v/>
      </c>
      <c r="AD289" s="2" t="str">
        <f>IF($B289="","",SUMIFS(AdjTot,AdjGameID,$B289,AdjActive,1))</f>
        <v/>
      </c>
      <c r="AE289" s="2" t="str">
        <f t="shared" si="8"/>
        <v/>
      </c>
      <c r="AF289" s="11"/>
      <c r="AG289" s="2" t="str">
        <f t="shared" si="9"/>
        <v/>
      </c>
      <c r="AH289" s="2" t="str">
        <f t="array" ref="AH289">IF($B289="","",IFERROR(INDEX(MktTotal,MATCH($B289,MktGameID,0)),""))</f>
        <v/>
      </c>
      <c r="AI289" s="2" t="str">
        <f t="shared" si="10"/>
        <v/>
      </c>
      <c r="AJ289" s="2" t="str">
        <f t="shared" si="11"/>
        <v/>
      </c>
      <c r="AK289" s="2" t="str">
        <f t="shared" si="12"/>
        <v/>
      </c>
      <c r="AL289" s="2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2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2" t="str">
        <f>IF($AG289="","","BET OVER at ≤ "&amp;TEXT($AG289-BetTot,"0.0")&amp;"  |  BET UNDER at ≥ "&amp;TEXT($AG289+BetTot,"0.0"))</f>
        <v/>
      </c>
      <c r="AO289" s="2" t="str">
        <f t="array" ref="AO289">IF($B289="","",IF(OR(IFERROR(INDEX(QBFlag,MATCH($F289,QBTeams,0)),1)=1,IFERROR(INDEX(QBFlag,MATCH($E289,QBTeams,0)),1)=1),"QB UNCERTAIN",""))</f>
        <v/>
      </c>
      <c r="AP289" s="2" t="str">
        <f t="array" ref="AP289">IF($B289="","",IFERROR(INDEX(DQStatus,MATCH($B289,DQGameID,0)),"BLOCKED — DQ ROW NOT FOUND"))</f>
        <v/>
      </c>
      <c r="AQ289" s="2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2" t="str">
        <f t="shared" si="13"/>
        <v/>
      </c>
      <c r="AS289" s="2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2" t="str">
        <f t="shared" si="14"/>
        <v/>
      </c>
      <c r="AU289" s="11"/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9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2" t="str">
        <f t="array" ref="G290">IF($B290="","",IF(INDEX(SchedZone,MATCH($A290,SchedSeq,0),MAP!$B$14)="Neutral","Y",""))</f>
        <v/>
      </c>
      <c r="H290" s="2" t="str">
        <f t="array" ref="H290">IF($B290="","",INDEX(SchedZone,MATCH($A290,SchedSeq,0),MAP!$B$17))</f>
        <v/>
      </c>
      <c r="I290" s="2" t="str">
        <f>IF(OR($B290="",$C290&lt;&gt;CurrentWeek),"",COUNTIF($C$5:$C290,CurrentWeek))</f>
        <v/>
      </c>
      <c r="J290" s="2" t="str">
        <f t="array" ref="J290">IF($B290="","",IFERROR(INDEX(RatEff,MATCH($E290,RatTeams,0)),"⚠ TEAM NOT FOUND"))</f>
        <v/>
      </c>
      <c r="K290" s="2" t="str">
        <f t="array" ref="K290">IF($B290="","",IFERROR(INDEX(RatEff,MATCH($F290,RatTeams,0)),"⚠ TEAM NOT FOUND"))</f>
        <v/>
      </c>
      <c r="L290" s="2" t="str">
        <f t="shared" si="1"/>
        <v/>
      </c>
      <c r="M290" s="2" t="str">
        <f t="array" ref="M290">IF($B290="","",IF($G290="Y",NeutralHFA,IFERROR(INDEX(HFAexcVal,MATCH($F290,HFAexcTeam,0)),HFA_Base)))</f>
        <v/>
      </c>
      <c r="N290" s="2" t="str">
        <f t="array" ref="N290">IF($B290="","",IFERROR(INDEX(QBSpreadEff,MATCH($F290,QBTeams,0)),0)-IFERROR(INDEX(QBSpreadEff,MATCH($E290,QBTeams,0)),0))</f>
        <v/>
      </c>
      <c r="O290" s="2" t="str">
        <f t="array" ref="O290">IF($B290="","",IFERROR(MEDIAN(-RestCapPts,RestCapPts,RestPerDay*(INDEX(SchedZone,MATCH($A290,SchedSeq,0),MAP!$B$16)-INDEX(SchedZone,MATCH($A290,SchedSeq,0),MAP!$B$15))),0))</f>
        <v/>
      </c>
      <c r="P290" s="2" t="str">
        <f>IF($B290="","",SUMIFS(AdjSpread,AdjGameID,$B290,AdjTeam,$F290,AdjActive,1)-SUMIFS(AdjSpread,AdjGameID,$B290,AdjTeam,$E290,AdjActive,1))</f>
        <v/>
      </c>
      <c r="Q290" s="2" t="str">
        <f t="shared" si="2"/>
        <v/>
      </c>
      <c r="R290" s="11"/>
      <c r="S290" s="2" t="str">
        <f t="shared" si="3"/>
        <v/>
      </c>
      <c r="T290" s="2" t="str">
        <f t="shared" si="4"/>
        <v/>
      </c>
      <c r="U290" s="2" t="str">
        <f t="array" ref="U290">IF($B290="","",IFERROR(INDEX(MktHomeSpread,MATCH($B290,MktGameID,0)),""))</f>
        <v/>
      </c>
      <c r="V290" s="2" t="str">
        <f t="shared" si="5"/>
        <v/>
      </c>
      <c r="W290" s="2" t="str">
        <f t="shared" si="6"/>
        <v/>
      </c>
      <c r="X290" s="2" t="str">
        <f t="shared" si="7"/>
        <v/>
      </c>
      <c r="Y290" s="2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2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2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2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2" t="str">
        <f t="array" ref="AC290">IF($B290="","",IFERROR(INDEX(QBTotEff,MATCH($F290,QBTeams,0)),0)+IFERROR(INDEX(QBTotEff,MATCH($E290,QBTeams,0)),0))</f>
        <v/>
      </c>
      <c r="AD290" s="2" t="str">
        <f>IF($B290="","",SUMIFS(AdjTot,AdjGameID,$B290,AdjActive,1))</f>
        <v/>
      </c>
      <c r="AE290" s="2" t="str">
        <f t="shared" si="8"/>
        <v/>
      </c>
      <c r="AF290" s="11"/>
      <c r="AG290" s="2" t="str">
        <f t="shared" si="9"/>
        <v/>
      </c>
      <c r="AH290" s="2" t="str">
        <f t="array" ref="AH290">IF($B290="","",IFERROR(INDEX(MktTotal,MATCH($B290,MktGameID,0)),""))</f>
        <v/>
      </c>
      <c r="AI290" s="2" t="str">
        <f t="shared" si="10"/>
        <v/>
      </c>
      <c r="AJ290" s="2" t="str">
        <f t="shared" si="11"/>
        <v/>
      </c>
      <c r="AK290" s="2" t="str">
        <f t="shared" si="12"/>
        <v/>
      </c>
      <c r="AL290" s="2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2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2" t="str">
        <f>IF($AG290="","","BET OVER at ≤ "&amp;TEXT($AG290-BetTot,"0.0")&amp;"  |  BET UNDER at ≥ "&amp;TEXT($AG290+BetTot,"0.0"))</f>
        <v/>
      </c>
      <c r="AO290" s="2" t="str">
        <f t="array" ref="AO290">IF($B290="","",IF(OR(IFERROR(INDEX(QBFlag,MATCH($F290,QBTeams,0)),1)=1,IFERROR(INDEX(QBFlag,MATCH($E290,QBTeams,0)),1)=1),"QB UNCERTAIN",""))</f>
        <v/>
      </c>
      <c r="AP290" s="2" t="str">
        <f t="array" ref="AP290">IF($B290="","",IFERROR(INDEX(DQStatus,MATCH($B290,DQGameID,0)),"BLOCKED — DQ ROW NOT FOUND"))</f>
        <v/>
      </c>
      <c r="AQ290" s="2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2" t="str">
        <f t="shared" si="13"/>
        <v/>
      </c>
      <c r="AS290" s="2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2" t="str">
        <f t="shared" si="14"/>
        <v/>
      </c>
      <c r="AU290" s="11"/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9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2" t="str">
        <f t="array" ref="G291">IF($B291="","",IF(INDEX(SchedZone,MATCH($A291,SchedSeq,0),MAP!$B$14)="Neutral","Y",""))</f>
        <v/>
      </c>
      <c r="H291" s="2" t="str">
        <f t="array" ref="H291">IF($B291="","",INDEX(SchedZone,MATCH($A291,SchedSeq,0),MAP!$B$17))</f>
        <v/>
      </c>
      <c r="I291" s="2" t="str">
        <f>IF(OR($B291="",$C291&lt;&gt;CurrentWeek),"",COUNTIF($C$5:$C291,CurrentWeek))</f>
        <v/>
      </c>
      <c r="J291" s="2" t="str">
        <f t="array" ref="J291">IF($B291="","",IFERROR(INDEX(RatEff,MATCH($E291,RatTeams,0)),"⚠ TEAM NOT FOUND"))</f>
        <v/>
      </c>
      <c r="K291" s="2" t="str">
        <f t="array" ref="K291">IF($B291="","",IFERROR(INDEX(RatEff,MATCH($F291,RatTeams,0)),"⚠ TEAM NOT FOUND"))</f>
        <v/>
      </c>
      <c r="L291" s="2" t="str">
        <f t="shared" si="1"/>
        <v/>
      </c>
      <c r="M291" s="2" t="str">
        <f t="array" ref="M291">IF($B291="","",IF($G291="Y",NeutralHFA,IFERROR(INDEX(HFAexcVal,MATCH($F291,HFAexcTeam,0)),HFA_Base)))</f>
        <v/>
      </c>
      <c r="N291" s="2" t="str">
        <f t="array" ref="N291">IF($B291="","",IFERROR(INDEX(QBSpreadEff,MATCH($F291,QBTeams,0)),0)-IFERROR(INDEX(QBSpreadEff,MATCH($E291,QBTeams,0)),0))</f>
        <v/>
      </c>
      <c r="O291" s="2" t="str">
        <f t="array" ref="O291">IF($B291="","",IFERROR(MEDIAN(-RestCapPts,RestCapPts,RestPerDay*(INDEX(SchedZone,MATCH($A291,SchedSeq,0),MAP!$B$16)-INDEX(SchedZone,MATCH($A291,SchedSeq,0),MAP!$B$15))),0))</f>
        <v/>
      </c>
      <c r="P291" s="2" t="str">
        <f>IF($B291="","",SUMIFS(AdjSpread,AdjGameID,$B291,AdjTeam,$F291,AdjActive,1)-SUMIFS(AdjSpread,AdjGameID,$B291,AdjTeam,$E291,AdjActive,1))</f>
        <v/>
      </c>
      <c r="Q291" s="2" t="str">
        <f t="shared" si="2"/>
        <v/>
      </c>
      <c r="R291" s="11"/>
      <c r="S291" s="2" t="str">
        <f t="shared" si="3"/>
        <v/>
      </c>
      <c r="T291" s="2" t="str">
        <f t="shared" si="4"/>
        <v/>
      </c>
      <c r="U291" s="2" t="str">
        <f t="array" ref="U291">IF($B291="","",IFERROR(INDEX(MktHomeSpread,MATCH($B291,MktGameID,0)),""))</f>
        <v/>
      </c>
      <c r="V291" s="2" t="str">
        <f t="shared" si="5"/>
        <v/>
      </c>
      <c r="W291" s="2" t="str">
        <f t="shared" si="6"/>
        <v/>
      </c>
      <c r="X291" s="2" t="str">
        <f t="shared" si="7"/>
        <v/>
      </c>
      <c r="Y291" s="2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2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2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2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2" t="str">
        <f t="array" ref="AC291">IF($B291="","",IFERROR(INDEX(QBTotEff,MATCH($F291,QBTeams,0)),0)+IFERROR(INDEX(QBTotEff,MATCH($E291,QBTeams,0)),0))</f>
        <v/>
      </c>
      <c r="AD291" s="2" t="str">
        <f>IF($B291="","",SUMIFS(AdjTot,AdjGameID,$B291,AdjActive,1))</f>
        <v/>
      </c>
      <c r="AE291" s="2" t="str">
        <f t="shared" si="8"/>
        <v/>
      </c>
      <c r="AF291" s="11"/>
      <c r="AG291" s="2" t="str">
        <f t="shared" si="9"/>
        <v/>
      </c>
      <c r="AH291" s="2" t="str">
        <f t="array" ref="AH291">IF($B291="","",IFERROR(INDEX(MktTotal,MATCH($B291,MktGameID,0)),""))</f>
        <v/>
      </c>
      <c r="AI291" s="2" t="str">
        <f t="shared" si="10"/>
        <v/>
      </c>
      <c r="AJ291" s="2" t="str">
        <f t="shared" si="11"/>
        <v/>
      </c>
      <c r="AK291" s="2" t="str">
        <f t="shared" si="12"/>
        <v/>
      </c>
      <c r="AL291" s="2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2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2" t="str">
        <f>IF($AG291="","","BET OVER at ≤ "&amp;TEXT($AG291-BetTot,"0.0")&amp;"  |  BET UNDER at ≥ "&amp;TEXT($AG291+BetTot,"0.0"))</f>
        <v/>
      </c>
      <c r="AO291" s="2" t="str">
        <f t="array" ref="AO291">IF($B291="","",IF(OR(IFERROR(INDEX(QBFlag,MATCH($F291,QBTeams,0)),1)=1,IFERROR(INDEX(QBFlag,MATCH($E291,QBTeams,0)),1)=1),"QB UNCERTAIN",""))</f>
        <v/>
      </c>
      <c r="AP291" s="2" t="str">
        <f t="array" ref="AP291">IF($B291="","",IFERROR(INDEX(DQStatus,MATCH($B291,DQGameID,0)),"BLOCKED — DQ ROW NOT FOUND"))</f>
        <v/>
      </c>
      <c r="AQ291" s="2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2" t="str">
        <f t="shared" si="13"/>
        <v/>
      </c>
      <c r="AS291" s="2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2" t="str">
        <f t="shared" si="14"/>
        <v/>
      </c>
      <c r="AU291" s="11"/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9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2" t="str">
        <f t="array" ref="G292">IF($B292="","",IF(INDEX(SchedZone,MATCH($A292,SchedSeq,0),MAP!$B$14)="Neutral","Y",""))</f>
        <v/>
      </c>
      <c r="H292" s="2" t="str">
        <f t="array" ref="H292">IF($B292="","",INDEX(SchedZone,MATCH($A292,SchedSeq,0),MAP!$B$17))</f>
        <v/>
      </c>
      <c r="I292" s="2" t="str">
        <f>IF(OR($B292="",$C292&lt;&gt;CurrentWeek),"",COUNTIF($C$5:$C292,CurrentWeek))</f>
        <v/>
      </c>
      <c r="J292" s="2" t="str">
        <f t="array" ref="J292">IF($B292="","",IFERROR(INDEX(RatEff,MATCH($E292,RatTeams,0)),"⚠ TEAM NOT FOUND"))</f>
        <v/>
      </c>
      <c r="K292" s="2" t="str">
        <f t="array" ref="K292">IF($B292="","",IFERROR(INDEX(RatEff,MATCH($F292,RatTeams,0)),"⚠ TEAM NOT FOUND"))</f>
        <v/>
      </c>
      <c r="L292" s="2" t="str">
        <f t="shared" si="1"/>
        <v/>
      </c>
      <c r="M292" s="2" t="str">
        <f t="array" ref="M292">IF($B292="","",IF($G292="Y",NeutralHFA,IFERROR(INDEX(HFAexcVal,MATCH($F292,HFAexcTeam,0)),HFA_Base)))</f>
        <v/>
      </c>
      <c r="N292" s="2" t="str">
        <f t="array" ref="N292">IF($B292="","",IFERROR(INDEX(QBSpreadEff,MATCH($F292,QBTeams,0)),0)-IFERROR(INDEX(QBSpreadEff,MATCH($E292,QBTeams,0)),0))</f>
        <v/>
      </c>
      <c r="O292" s="2" t="str">
        <f t="array" ref="O292">IF($B292="","",IFERROR(MEDIAN(-RestCapPts,RestCapPts,RestPerDay*(INDEX(SchedZone,MATCH($A292,SchedSeq,0),MAP!$B$16)-INDEX(SchedZone,MATCH($A292,SchedSeq,0),MAP!$B$15))),0))</f>
        <v/>
      </c>
      <c r="P292" s="2" t="str">
        <f>IF($B292="","",SUMIFS(AdjSpread,AdjGameID,$B292,AdjTeam,$F292,AdjActive,1)-SUMIFS(AdjSpread,AdjGameID,$B292,AdjTeam,$E292,AdjActive,1))</f>
        <v/>
      </c>
      <c r="Q292" s="2" t="str">
        <f t="shared" si="2"/>
        <v/>
      </c>
      <c r="R292" s="11"/>
      <c r="S292" s="2" t="str">
        <f t="shared" si="3"/>
        <v/>
      </c>
      <c r="T292" s="2" t="str">
        <f t="shared" si="4"/>
        <v/>
      </c>
      <c r="U292" s="2" t="str">
        <f t="array" ref="U292">IF($B292="","",IFERROR(INDEX(MktHomeSpread,MATCH($B292,MktGameID,0)),""))</f>
        <v/>
      </c>
      <c r="V292" s="2" t="str">
        <f t="shared" si="5"/>
        <v/>
      </c>
      <c r="W292" s="2" t="str">
        <f t="shared" si="6"/>
        <v/>
      </c>
      <c r="X292" s="2" t="str">
        <f t="shared" si="7"/>
        <v/>
      </c>
      <c r="Y292" s="2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2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2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2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2" t="str">
        <f t="array" ref="AC292">IF($B292="","",IFERROR(INDEX(QBTotEff,MATCH($F292,QBTeams,0)),0)+IFERROR(INDEX(QBTotEff,MATCH($E292,QBTeams,0)),0))</f>
        <v/>
      </c>
      <c r="AD292" s="2" t="str">
        <f>IF($B292="","",SUMIFS(AdjTot,AdjGameID,$B292,AdjActive,1))</f>
        <v/>
      </c>
      <c r="AE292" s="2" t="str">
        <f t="shared" si="8"/>
        <v/>
      </c>
      <c r="AF292" s="11"/>
      <c r="AG292" s="2" t="str">
        <f t="shared" si="9"/>
        <v/>
      </c>
      <c r="AH292" s="2" t="str">
        <f t="array" ref="AH292">IF($B292="","",IFERROR(INDEX(MktTotal,MATCH($B292,MktGameID,0)),""))</f>
        <v/>
      </c>
      <c r="AI292" s="2" t="str">
        <f t="shared" si="10"/>
        <v/>
      </c>
      <c r="AJ292" s="2" t="str">
        <f t="shared" si="11"/>
        <v/>
      </c>
      <c r="AK292" s="2" t="str">
        <f t="shared" si="12"/>
        <v/>
      </c>
      <c r="AL292" s="2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2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2" t="str">
        <f>IF($AG292="","","BET OVER at ≤ "&amp;TEXT($AG292-BetTot,"0.0")&amp;"  |  BET UNDER at ≥ "&amp;TEXT($AG292+BetTot,"0.0"))</f>
        <v/>
      </c>
      <c r="AO292" s="2" t="str">
        <f t="array" ref="AO292">IF($B292="","",IF(OR(IFERROR(INDEX(QBFlag,MATCH($F292,QBTeams,0)),1)=1,IFERROR(INDEX(QBFlag,MATCH($E292,QBTeams,0)),1)=1),"QB UNCERTAIN",""))</f>
        <v/>
      </c>
      <c r="AP292" s="2" t="str">
        <f t="array" ref="AP292">IF($B292="","",IFERROR(INDEX(DQStatus,MATCH($B292,DQGameID,0)),"BLOCKED — DQ ROW NOT FOUND"))</f>
        <v/>
      </c>
      <c r="AQ292" s="2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2" t="str">
        <f t="shared" si="13"/>
        <v/>
      </c>
      <c r="AS292" s="2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2" t="str">
        <f t="shared" si="14"/>
        <v/>
      </c>
      <c r="AU292" s="11"/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9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2" t="str">
        <f t="array" ref="G293">IF($B293="","",IF(INDEX(SchedZone,MATCH($A293,SchedSeq,0),MAP!$B$14)="Neutral","Y",""))</f>
        <v/>
      </c>
      <c r="H293" s="2" t="str">
        <f t="array" ref="H293">IF($B293="","",INDEX(SchedZone,MATCH($A293,SchedSeq,0),MAP!$B$17))</f>
        <v/>
      </c>
      <c r="I293" s="2" t="str">
        <f>IF(OR($B293="",$C293&lt;&gt;CurrentWeek),"",COUNTIF($C$5:$C293,CurrentWeek))</f>
        <v/>
      </c>
      <c r="J293" s="2" t="str">
        <f t="array" ref="J293">IF($B293="","",IFERROR(INDEX(RatEff,MATCH($E293,RatTeams,0)),"⚠ TEAM NOT FOUND"))</f>
        <v/>
      </c>
      <c r="K293" s="2" t="str">
        <f t="array" ref="K293">IF($B293="","",IFERROR(INDEX(RatEff,MATCH($F293,RatTeams,0)),"⚠ TEAM NOT FOUND"))</f>
        <v/>
      </c>
      <c r="L293" s="2" t="str">
        <f t="shared" si="1"/>
        <v/>
      </c>
      <c r="M293" s="2" t="str">
        <f t="array" ref="M293">IF($B293="","",IF($G293="Y",NeutralHFA,IFERROR(INDEX(HFAexcVal,MATCH($F293,HFAexcTeam,0)),HFA_Base)))</f>
        <v/>
      </c>
      <c r="N293" s="2" t="str">
        <f t="array" ref="N293">IF($B293="","",IFERROR(INDEX(QBSpreadEff,MATCH($F293,QBTeams,0)),0)-IFERROR(INDEX(QBSpreadEff,MATCH($E293,QBTeams,0)),0))</f>
        <v/>
      </c>
      <c r="O293" s="2" t="str">
        <f t="array" ref="O293">IF($B293="","",IFERROR(MEDIAN(-RestCapPts,RestCapPts,RestPerDay*(INDEX(SchedZone,MATCH($A293,SchedSeq,0),MAP!$B$16)-INDEX(SchedZone,MATCH($A293,SchedSeq,0),MAP!$B$15))),0))</f>
        <v/>
      </c>
      <c r="P293" s="2" t="str">
        <f>IF($B293="","",SUMIFS(AdjSpread,AdjGameID,$B293,AdjTeam,$F293,AdjActive,1)-SUMIFS(AdjSpread,AdjGameID,$B293,AdjTeam,$E293,AdjActive,1))</f>
        <v/>
      </c>
      <c r="Q293" s="2" t="str">
        <f t="shared" si="2"/>
        <v/>
      </c>
      <c r="R293" s="11"/>
      <c r="S293" s="2" t="str">
        <f t="shared" si="3"/>
        <v/>
      </c>
      <c r="T293" s="2" t="str">
        <f t="shared" si="4"/>
        <v/>
      </c>
      <c r="U293" s="2" t="str">
        <f t="array" ref="U293">IF($B293="","",IFERROR(INDEX(MktHomeSpread,MATCH($B293,MktGameID,0)),""))</f>
        <v/>
      </c>
      <c r="V293" s="2" t="str">
        <f t="shared" si="5"/>
        <v/>
      </c>
      <c r="W293" s="2" t="str">
        <f t="shared" si="6"/>
        <v/>
      </c>
      <c r="X293" s="2" t="str">
        <f t="shared" si="7"/>
        <v/>
      </c>
      <c r="Y293" s="2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2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2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2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2" t="str">
        <f t="array" ref="AC293">IF($B293="","",IFERROR(INDEX(QBTotEff,MATCH($F293,QBTeams,0)),0)+IFERROR(INDEX(QBTotEff,MATCH($E293,QBTeams,0)),0))</f>
        <v/>
      </c>
      <c r="AD293" s="2" t="str">
        <f>IF($B293="","",SUMIFS(AdjTot,AdjGameID,$B293,AdjActive,1))</f>
        <v/>
      </c>
      <c r="AE293" s="2" t="str">
        <f t="shared" si="8"/>
        <v/>
      </c>
      <c r="AF293" s="11"/>
      <c r="AG293" s="2" t="str">
        <f t="shared" si="9"/>
        <v/>
      </c>
      <c r="AH293" s="2" t="str">
        <f t="array" ref="AH293">IF($B293="","",IFERROR(INDEX(MktTotal,MATCH($B293,MktGameID,0)),""))</f>
        <v/>
      </c>
      <c r="AI293" s="2" t="str">
        <f t="shared" si="10"/>
        <v/>
      </c>
      <c r="AJ293" s="2" t="str">
        <f t="shared" si="11"/>
        <v/>
      </c>
      <c r="AK293" s="2" t="str">
        <f t="shared" si="12"/>
        <v/>
      </c>
      <c r="AL293" s="2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2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2" t="str">
        <f>IF($AG293="","","BET OVER at ≤ "&amp;TEXT($AG293-BetTot,"0.0")&amp;"  |  BET UNDER at ≥ "&amp;TEXT($AG293+BetTot,"0.0"))</f>
        <v/>
      </c>
      <c r="AO293" s="2" t="str">
        <f t="array" ref="AO293">IF($B293="","",IF(OR(IFERROR(INDEX(QBFlag,MATCH($F293,QBTeams,0)),1)=1,IFERROR(INDEX(QBFlag,MATCH($E293,QBTeams,0)),1)=1),"QB UNCERTAIN",""))</f>
        <v/>
      </c>
      <c r="AP293" s="2" t="str">
        <f t="array" ref="AP293">IF($B293="","",IFERROR(INDEX(DQStatus,MATCH($B293,DQGameID,0)),"BLOCKED — DQ ROW NOT FOUND"))</f>
        <v/>
      </c>
      <c r="AQ293" s="2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2" t="str">
        <f t="shared" si="13"/>
        <v/>
      </c>
      <c r="AS293" s="2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2" t="str">
        <f t="shared" si="14"/>
        <v/>
      </c>
      <c r="AU293" s="11"/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9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2" t="str">
        <f t="array" ref="G294">IF($B294="","",IF(INDEX(SchedZone,MATCH($A294,SchedSeq,0),MAP!$B$14)="Neutral","Y",""))</f>
        <v/>
      </c>
      <c r="H294" s="2" t="str">
        <f t="array" ref="H294">IF($B294="","",INDEX(SchedZone,MATCH($A294,SchedSeq,0),MAP!$B$17))</f>
        <v/>
      </c>
      <c r="I294" s="2" t="str">
        <f>IF(OR($B294="",$C294&lt;&gt;CurrentWeek),"",COUNTIF($C$5:$C294,CurrentWeek))</f>
        <v/>
      </c>
      <c r="J294" s="2" t="str">
        <f t="array" ref="J294">IF($B294="","",IFERROR(INDEX(RatEff,MATCH($E294,RatTeams,0)),"⚠ TEAM NOT FOUND"))</f>
        <v/>
      </c>
      <c r="K294" s="2" t="str">
        <f t="array" ref="K294">IF($B294="","",IFERROR(INDEX(RatEff,MATCH($F294,RatTeams,0)),"⚠ TEAM NOT FOUND"))</f>
        <v/>
      </c>
      <c r="L294" s="2" t="str">
        <f t="shared" si="1"/>
        <v/>
      </c>
      <c r="M294" s="2" t="str">
        <f t="array" ref="M294">IF($B294="","",IF($G294="Y",NeutralHFA,IFERROR(INDEX(HFAexcVal,MATCH($F294,HFAexcTeam,0)),HFA_Base)))</f>
        <v/>
      </c>
      <c r="N294" s="2" t="str">
        <f t="array" ref="N294">IF($B294="","",IFERROR(INDEX(QBSpreadEff,MATCH($F294,QBTeams,0)),0)-IFERROR(INDEX(QBSpreadEff,MATCH($E294,QBTeams,0)),0))</f>
        <v/>
      </c>
      <c r="O294" s="2" t="str">
        <f t="array" ref="O294">IF($B294="","",IFERROR(MEDIAN(-RestCapPts,RestCapPts,RestPerDay*(INDEX(SchedZone,MATCH($A294,SchedSeq,0),MAP!$B$16)-INDEX(SchedZone,MATCH($A294,SchedSeq,0),MAP!$B$15))),0))</f>
        <v/>
      </c>
      <c r="P294" s="2" t="str">
        <f>IF($B294="","",SUMIFS(AdjSpread,AdjGameID,$B294,AdjTeam,$F294,AdjActive,1)-SUMIFS(AdjSpread,AdjGameID,$B294,AdjTeam,$E294,AdjActive,1))</f>
        <v/>
      </c>
      <c r="Q294" s="2" t="str">
        <f t="shared" si="2"/>
        <v/>
      </c>
      <c r="R294" s="11"/>
      <c r="S294" s="2" t="str">
        <f t="shared" si="3"/>
        <v/>
      </c>
      <c r="T294" s="2" t="str">
        <f t="shared" si="4"/>
        <v/>
      </c>
      <c r="U294" s="2" t="str">
        <f t="array" ref="U294">IF($B294="","",IFERROR(INDEX(MktHomeSpread,MATCH($B294,MktGameID,0)),""))</f>
        <v/>
      </c>
      <c r="V294" s="2" t="str">
        <f t="shared" si="5"/>
        <v/>
      </c>
      <c r="W294" s="2" t="str">
        <f t="shared" si="6"/>
        <v/>
      </c>
      <c r="X294" s="2" t="str">
        <f t="shared" si="7"/>
        <v/>
      </c>
      <c r="Y294" s="2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2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2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2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2" t="str">
        <f t="array" ref="AC294">IF($B294="","",IFERROR(INDEX(QBTotEff,MATCH($F294,QBTeams,0)),0)+IFERROR(INDEX(QBTotEff,MATCH($E294,QBTeams,0)),0))</f>
        <v/>
      </c>
      <c r="AD294" s="2" t="str">
        <f>IF($B294="","",SUMIFS(AdjTot,AdjGameID,$B294,AdjActive,1))</f>
        <v/>
      </c>
      <c r="AE294" s="2" t="str">
        <f t="shared" si="8"/>
        <v/>
      </c>
      <c r="AF294" s="11"/>
      <c r="AG294" s="2" t="str">
        <f t="shared" si="9"/>
        <v/>
      </c>
      <c r="AH294" s="2" t="str">
        <f t="array" ref="AH294">IF($B294="","",IFERROR(INDEX(MktTotal,MATCH($B294,MktGameID,0)),""))</f>
        <v/>
      </c>
      <c r="AI294" s="2" t="str">
        <f t="shared" si="10"/>
        <v/>
      </c>
      <c r="AJ294" s="2" t="str">
        <f t="shared" si="11"/>
        <v/>
      </c>
      <c r="AK294" s="2" t="str">
        <f t="shared" si="12"/>
        <v/>
      </c>
      <c r="AL294" s="2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2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2" t="str">
        <f>IF($AG294="","","BET OVER at ≤ "&amp;TEXT($AG294-BetTot,"0.0")&amp;"  |  BET UNDER at ≥ "&amp;TEXT($AG294+BetTot,"0.0"))</f>
        <v/>
      </c>
      <c r="AO294" s="2" t="str">
        <f t="array" ref="AO294">IF($B294="","",IF(OR(IFERROR(INDEX(QBFlag,MATCH($F294,QBTeams,0)),1)=1,IFERROR(INDEX(QBFlag,MATCH($E294,QBTeams,0)),1)=1),"QB UNCERTAIN",""))</f>
        <v/>
      </c>
      <c r="AP294" s="2" t="str">
        <f t="array" ref="AP294">IF($B294="","",IFERROR(INDEX(DQStatus,MATCH($B294,DQGameID,0)),"BLOCKED — DQ ROW NOT FOUND"))</f>
        <v/>
      </c>
      <c r="AQ294" s="2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2" t="str">
        <f t="shared" si="13"/>
        <v/>
      </c>
      <c r="AS294" s="2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2" t="str">
        <f t="shared" si="14"/>
        <v/>
      </c>
      <c r="AU294" s="11"/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9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2" t="str">
        <f t="array" ref="G295">IF($B295="","",IF(INDEX(SchedZone,MATCH($A295,SchedSeq,0),MAP!$B$14)="Neutral","Y",""))</f>
        <v/>
      </c>
      <c r="H295" s="2" t="str">
        <f t="array" ref="H295">IF($B295="","",INDEX(SchedZone,MATCH($A295,SchedSeq,0),MAP!$B$17))</f>
        <v/>
      </c>
      <c r="I295" s="2" t="str">
        <f>IF(OR($B295="",$C295&lt;&gt;CurrentWeek),"",COUNTIF($C$5:$C295,CurrentWeek))</f>
        <v/>
      </c>
      <c r="J295" s="2" t="str">
        <f t="array" ref="J295">IF($B295="","",IFERROR(INDEX(RatEff,MATCH($E295,RatTeams,0)),"⚠ TEAM NOT FOUND"))</f>
        <v/>
      </c>
      <c r="K295" s="2" t="str">
        <f t="array" ref="K295">IF($B295="","",IFERROR(INDEX(RatEff,MATCH($F295,RatTeams,0)),"⚠ TEAM NOT FOUND"))</f>
        <v/>
      </c>
      <c r="L295" s="2" t="str">
        <f t="shared" si="1"/>
        <v/>
      </c>
      <c r="M295" s="2" t="str">
        <f t="array" ref="M295">IF($B295="","",IF($G295="Y",NeutralHFA,IFERROR(INDEX(HFAexcVal,MATCH($F295,HFAexcTeam,0)),HFA_Base)))</f>
        <v/>
      </c>
      <c r="N295" s="2" t="str">
        <f t="array" ref="N295">IF($B295="","",IFERROR(INDEX(QBSpreadEff,MATCH($F295,QBTeams,0)),0)-IFERROR(INDEX(QBSpreadEff,MATCH($E295,QBTeams,0)),0))</f>
        <v/>
      </c>
      <c r="O295" s="2" t="str">
        <f t="array" ref="O295">IF($B295="","",IFERROR(MEDIAN(-RestCapPts,RestCapPts,RestPerDay*(INDEX(SchedZone,MATCH($A295,SchedSeq,0),MAP!$B$16)-INDEX(SchedZone,MATCH($A295,SchedSeq,0),MAP!$B$15))),0))</f>
        <v/>
      </c>
      <c r="P295" s="2" t="str">
        <f>IF($B295="","",SUMIFS(AdjSpread,AdjGameID,$B295,AdjTeam,$F295,AdjActive,1)-SUMIFS(AdjSpread,AdjGameID,$B295,AdjTeam,$E295,AdjActive,1))</f>
        <v/>
      </c>
      <c r="Q295" s="2" t="str">
        <f t="shared" si="2"/>
        <v/>
      </c>
      <c r="R295" s="11"/>
      <c r="S295" s="2" t="str">
        <f t="shared" si="3"/>
        <v/>
      </c>
      <c r="T295" s="2" t="str">
        <f t="shared" si="4"/>
        <v/>
      </c>
      <c r="U295" s="2" t="str">
        <f t="array" ref="U295">IF($B295="","",IFERROR(INDEX(MktHomeSpread,MATCH($B295,MktGameID,0)),""))</f>
        <v/>
      </c>
      <c r="V295" s="2" t="str">
        <f t="shared" si="5"/>
        <v/>
      </c>
      <c r="W295" s="2" t="str">
        <f t="shared" si="6"/>
        <v/>
      </c>
      <c r="X295" s="2" t="str">
        <f t="shared" si="7"/>
        <v/>
      </c>
      <c r="Y295" s="2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2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2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2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2" t="str">
        <f t="array" ref="AC295">IF($B295="","",IFERROR(INDEX(QBTotEff,MATCH($F295,QBTeams,0)),0)+IFERROR(INDEX(QBTotEff,MATCH($E295,QBTeams,0)),0))</f>
        <v/>
      </c>
      <c r="AD295" s="2" t="str">
        <f>IF($B295="","",SUMIFS(AdjTot,AdjGameID,$B295,AdjActive,1))</f>
        <v/>
      </c>
      <c r="AE295" s="2" t="str">
        <f t="shared" si="8"/>
        <v/>
      </c>
      <c r="AF295" s="11"/>
      <c r="AG295" s="2" t="str">
        <f t="shared" si="9"/>
        <v/>
      </c>
      <c r="AH295" s="2" t="str">
        <f t="array" ref="AH295">IF($B295="","",IFERROR(INDEX(MktTotal,MATCH($B295,MktGameID,0)),""))</f>
        <v/>
      </c>
      <c r="AI295" s="2" t="str">
        <f t="shared" si="10"/>
        <v/>
      </c>
      <c r="AJ295" s="2" t="str">
        <f t="shared" si="11"/>
        <v/>
      </c>
      <c r="AK295" s="2" t="str">
        <f t="shared" si="12"/>
        <v/>
      </c>
      <c r="AL295" s="2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2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2" t="str">
        <f>IF($AG295="","","BET OVER at ≤ "&amp;TEXT($AG295-BetTot,"0.0")&amp;"  |  BET UNDER at ≥ "&amp;TEXT($AG295+BetTot,"0.0"))</f>
        <v/>
      </c>
      <c r="AO295" s="2" t="str">
        <f t="array" ref="AO295">IF($B295="","",IF(OR(IFERROR(INDEX(QBFlag,MATCH($F295,QBTeams,0)),1)=1,IFERROR(INDEX(QBFlag,MATCH($E295,QBTeams,0)),1)=1),"QB UNCERTAIN",""))</f>
        <v/>
      </c>
      <c r="AP295" s="2" t="str">
        <f t="array" ref="AP295">IF($B295="","",IFERROR(INDEX(DQStatus,MATCH($B295,DQGameID,0)),"BLOCKED — DQ ROW NOT FOUND"))</f>
        <v/>
      </c>
      <c r="AQ295" s="2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2" t="str">
        <f t="shared" si="13"/>
        <v/>
      </c>
      <c r="AS295" s="2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2" t="str">
        <f t="shared" si="14"/>
        <v/>
      </c>
      <c r="AU295" s="11"/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9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2" t="str">
        <f t="array" ref="G296">IF($B296="","",IF(INDEX(SchedZone,MATCH($A296,SchedSeq,0),MAP!$B$14)="Neutral","Y",""))</f>
        <v/>
      </c>
      <c r="H296" s="2" t="str">
        <f t="array" ref="H296">IF($B296="","",INDEX(SchedZone,MATCH($A296,SchedSeq,0),MAP!$B$17))</f>
        <v/>
      </c>
      <c r="I296" s="2" t="str">
        <f>IF(OR($B296="",$C296&lt;&gt;CurrentWeek),"",COUNTIF($C$5:$C296,CurrentWeek))</f>
        <v/>
      </c>
      <c r="J296" s="2" t="str">
        <f t="array" ref="J296">IF($B296="","",IFERROR(INDEX(RatEff,MATCH($E296,RatTeams,0)),"⚠ TEAM NOT FOUND"))</f>
        <v/>
      </c>
      <c r="K296" s="2" t="str">
        <f t="array" ref="K296">IF($B296="","",IFERROR(INDEX(RatEff,MATCH($F296,RatTeams,0)),"⚠ TEAM NOT FOUND"))</f>
        <v/>
      </c>
      <c r="L296" s="2" t="str">
        <f t="shared" si="1"/>
        <v/>
      </c>
      <c r="M296" s="2" t="str">
        <f t="array" ref="M296">IF($B296="","",IF($G296="Y",NeutralHFA,IFERROR(INDEX(HFAexcVal,MATCH($F296,HFAexcTeam,0)),HFA_Base)))</f>
        <v/>
      </c>
      <c r="N296" s="2" t="str">
        <f t="array" ref="N296">IF($B296="","",IFERROR(INDEX(QBSpreadEff,MATCH($F296,QBTeams,0)),0)-IFERROR(INDEX(QBSpreadEff,MATCH($E296,QBTeams,0)),0))</f>
        <v/>
      </c>
      <c r="O296" s="2" t="str">
        <f t="array" ref="O296">IF($B296="","",IFERROR(MEDIAN(-RestCapPts,RestCapPts,RestPerDay*(INDEX(SchedZone,MATCH($A296,SchedSeq,0),MAP!$B$16)-INDEX(SchedZone,MATCH($A296,SchedSeq,0),MAP!$B$15))),0))</f>
        <v/>
      </c>
      <c r="P296" s="2" t="str">
        <f>IF($B296="","",SUMIFS(AdjSpread,AdjGameID,$B296,AdjTeam,$F296,AdjActive,1)-SUMIFS(AdjSpread,AdjGameID,$B296,AdjTeam,$E296,AdjActive,1))</f>
        <v/>
      </c>
      <c r="Q296" s="2" t="str">
        <f t="shared" si="2"/>
        <v/>
      </c>
      <c r="R296" s="11"/>
      <c r="S296" s="2" t="str">
        <f t="shared" si="3"/>
        <v/>
      </c>
      <c r="T296" s="2" t="str">
        <f t="shared" si="4"/>
        <v/>
      </c>
      <c r="U296" s="2" t="str">
        <f t="array" ref="U296">IF($B296="","",IFERROR(INDEX(MktHomeSpread,MATCH($B296,MktGameID,0)),""))</f>
        <v/>
      </c>
      <c r="V296" s="2" t="str">
        <f t="shared" si="5"/>
        <v/>
      </c>
      <c r="W296" s="2" t="str">
        <f t="shared" si="6"/>
        <v/>
      </c>
      <c r="X296" s="2" t="str">
        <f t="shared" si="7"/>
        <v/>
      </c>
      <c r="Y296" s="2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2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2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2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2" t="str">
        <f t="array" ref="AC296">IF($B296="","",IFERROR(INDEX(QBTotEff,MATCH($F296,QBTeams,0)),0)+IFERROR(INDEX(QBTotEff,MATCH($E296,QBTeams,0)),0))</f>
        <v/>
      </c>
      <c r="AD296" s="2" t="str">
        <f>IF($B296="","",SUMIFS(AdjTot,AdjGameID,$B296,AdjActive,1))</f>
        <v/>
      </c>
      <c r="AE296" s="2" t="str">
        <f t="shared" si="8"/>
        <v/>
      </c>
      <c r="AF296" s="11"/>
      <c r="AG296" s="2" t="str">
        <f t="shared" si="9"/>
        <v/>
      </c>
      <c r="AH296" s="2" t="str">
        <f t="array" ref="AH296">IF($B296="","",IFERROR(INDEX(MktTotal,MATCH($B296,MktGameID,0)),""))</f>
        <v/>
      </c>
      <c r="AI296" s="2" t="str">
        <f t="shared" si="10"/>
        <v/>
      </c>
      <c r="AJ296" s="2" t="str">
        <f t="shared" si="11"/>
        <v/>
      </c>
      <c r="AK296" s="2" t="str">
        <f t="shared" si="12"/>
        <v/>
      </c>
      <c r="AL296" s="2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2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2" t="str">
        <f>IF($AG296="","","BET OVER at ≤ "&amp;TEXT($AG296-BetTot,"0.0")&amp;"  |  BET UNDER at ≥ "&amp;TEXT($AG296+BetTot,"0.0"))</f>
        <v/>
      </c>
      <c r="AO296" s="2" t="str">
        <f t="array" ref="AO296">IF($B296="","",IF(OR(IFERROR(INDEX(QBFlag,MATCH($F296,QBTeams,0)),1)=1,IFERROR(INDEX(QBFlag,MATCH($E296,QBTeams,0)),1)=1),"QB UNCERTAIN",""))</f>
        <v/>
      </c>
      <c r="AP296" s="2" t="str">
        <f t="array" ref="AP296">IF($B296="","",IFERROR(INDEX(DQStatus,MATCH($B296,DQGameID,0)),"BLOCKED — DQ ROW NOT FOUND"))</f>
        <v/>
      </c>
      <c r="AQ296" s="2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2" t="str">
        <f t="shared" si="13"/>
        <v/>
      </c>
      <c r="AS296" s="2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2" t="str">
        <f t="shared" si="14"/>
        <v/>
      </c>
      <c r="AU296" s="11"/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9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2" t="str">
        <f t="array" ref="G297">IF($B297="","",IF(INDEX(SchedZone,MATCH($A297,SchedSeq,0),MAP!$B$14)="Neutral","Y",""))</f>
        <v/>
      </c>
      <c r="H297" s="2" t="str">
        <f t="array" ref="H297">IF($B297="","",INDEX(SchedZone,MATCH($A297,SchedSeq,0),MAP!$B$17))</f>
        <v/>
      </c>
      <c r="I297" s="2" t="str">
        <f>IF(OR($B297="",$C297&lt;&gt;CurrentWeek),"",COUNTIF($C$5:$C297,CurrentWeek))</f>
        <v/>
      </c>
      <c r="J297" s="2" t="str">
        <f t="array" ref="J297">IF($B297="","",IFERROR(INDEX(RatEff,MATCH($E297,RatTeams,0)),"⚠ TEAM NOT FOUND"))</f>
        <v/>
      </c>
      <c r="K297" s="2" t="str">
        <f t="array" ref="K297">IF($B297="","",IFERROR(INDEX(RatEff,MATCH($F297,RatTeams,0)),"⚠ TEAM NOT FOUND"))</f>
        <v/>
      </c>
      <c r="L297" s="2" t="str">
        <f t="shared" si="1"/>
        <v/>
      </c>
      <c r="M297" s="2" t="str">
        <f t="array" ref="M297">IF($B297="","",IF($G297="Y",NeutralHFA,IFERROR(INDEX(HFAexcVal,MATCH($F297,HFAexcTeam,0)),HFA_Base)))</f>
        <v/>
      </c>
      <c r="N297" s="2" t="str">
        <f t="array" ref="N297">IF($B297="","",IFERROR(INDEX(QBSpreadEff,MATCH($F297,QBTeams,0)),0)-IFERROR(INDEX(QBSpreadEff,MATCH($E297,QBTeams,0)),0))</f>
        <v/>
      </c>
      <c r="O297" s="2" t="str">
        <f t="array" ref="O297">IF($B297="","",IFERROR(MEDIAN(-RestCapPts,RestCapPts,RestPerDay*(INDEX(SchedZone,MATCH($A297,SchedSeq,0),MAP!$B$16)-INDEX(SchedZone,MATCH($A297,SchedSeq,0),MAP!$B$15))),0))</f>
        <v/>
      </c>
      <c r="P297" s="2" t="str">
        <f>IF($B297="","",SUMIFS(AdjSpread,AdjGameID,$B297,AdjTeam,$F297,AdjActive,1)-SUMIFS(AdjSpread,AdjGameID,$B297,AdjTeam,$E297,AdjActive,1))</f>
        <v/>
      </c>
      <c r="Q297" s="2" t="str">
        <f t="shared" si="2"/>
        <v/>
      </c>
      <c r="R297" s="11"/>
      <c r="S297" s="2" t="str">
        <f t="shared" si="3"/>
        <v/>
      </c>
      <c r="T297" s="2" t="str">
        <f t="shared" si="4"/>
        <v/>
      </c>
      <c r="U297" s="2" t="str">
        <f t="array" ref="U297">IF($B297="","",IFERROR(INDEX(MktHomeSpread,MATCH($B297,MktGameID,0)),""))</f>
        <v/>
      </c>
      <c r="V297" s="2" t="str">
        <f t="shared" si="5"/>
        <v/>
      </c>
      <c r="W297" s="2" t="str">
        <f t="shared" si="6"/>
        <v/>
      </c>
      <c r="X297" s="2" t="str">
        <f t="shared" si="7"/>
        <v/>
      </c>
      <c r="Y297" s="2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2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2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2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2" t="str">
        <f t="array" ref="AC297">IF($B297="","",IFERROR(INDEX(QBTotEff,MATCH($F297,QBTeams,0)),0)+IFERROR(INDEX(QBTotEff,MATCH($E297,QBTeams,0)),0))</f>
        <v/>
      </c>
      <c r="AD297" s="2" t="str">
        <f>IF($B297="","",SUMIFS(AdjTot,AdjGameID,$B297,AdjActive,1))</f>
        <v/>
      </c>
      <c r="AE297" s="2" t="str">
        <f t="shared" si="8"/>
        <v/>
      </c>
      <c r="AF297" s="11"/>
      <c r="AG297" s="2" t="str">
        <f t="shared" si="9"/>
        <v/>
      </c>
      <c r="AH297" s="2" t="str">
        <f t="array" ref="AH297">IF($B297="","",IFERROR(INDEX(MktTotal,MATCH($B297,MktGameID,0)),""))</f>
        <v/>
      </c>
      <c r="AI297" s="2" t="str">
        <f t="shared" si="10"/>
        <v/>
      </c>
      <c r="AJ297" s="2" t="str">
        <f t="shared" si="11"/>
        <v/>
      </c>
      <c r="AK297" s="2" t="str">
        <f t="shared" si="12"/>
        <v/>
      </c>
      <c r="AL297" s="2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2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2" t="str">
        <f>IF($AG297="","","BET OVER at ≤ "&amp;TEXT($AG297-BetTot,"0.0")&amp;"  |  BET UNDER at ≥ "&amp;TEXT($AG297+BetTot,"0.0"))</f>
        <v/>
      </c>
      <c r="AO297" s="2" t="str">
        <f t="array" ref="AO297">IF($B297="","",IF(OR(IFERROR(INDEX(QBFlag,MATCH($F297,QBTeams,0)),1)=1,IFERROR(INDEX(QBFlag,MATCH($E297,QBTeams,0)),1)=1),"QB UNCERTAIN",""))</f>
        <v/>
      </c>
      <c r="AP297" s="2" t="str">
        <f t="array" ref="AP297">IF($B297="","",IFERROR(INDEX(DQStatus,MATCH($B297,DQGameID,0)),"BLOCKED — DQ ROW NOT FOUND"))</f>
        <v/>
      </c>
      <c r="AQ297" s="2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2" t="str">
        <f t="shared" si="13"/>
        <v/>
      </c>
      <c r="AS297" s="2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2" t="str">
        <f t="shared" si="14"/>
        <v/>
      </c>
      <c r="AU297" s="11"/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9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2" t="str">
        <f t="array" ref="G298">IF($B298="","",IF(INDEX(SchedZone,MATCH($A298,SchedSeq,0),MAP!$B$14)="Neutral","Y",""))</f>
        <v/>
      </c>
      <c r="H298" s="2" t="str">
        <f t="array" ref="H298">IF($B298="","",INDEX(SchedZone,MATCH($A298,SchedSeq,0),MAP!$B$17))</f>
        <v/>
      </c>
      <c r="I298" s="2" t="str">
        <f>IF(OR($B298="",$C298&lt;&gt;CurrentWeek),"",COUNTIF($C$5:$C298,CurrentWeek))</f>
        <v/>
      </c>
      <c r="J298" s="2" t="str">
        <f t="array" ref="J298">IF($B298="","",IFERROR(INDEX(RatEff,MATCH($E298,RatTeams,0)),"⚠ TEAM NOT FOUND"))</f>
        <v/>
      </c>
      <c r="K298" s="2" t="str">
        <f t="array" ref="K298">IF($B298="","",IFERROR(INDEX(RatEff,MATCH($F298,RatTeams,0)),"⚠ TEAM NOT FOUND"))</f>
        <v/>
      </c>
      <c r="L298" s="2" t="str">
        <f t="shared" si="1"/>
        <v/>
      </c>
      <c r="M298" s="2" t="str">
        <f t="array" ref="M298">IF($B298="","",IF($G298="Y",NeutralHFA,IFERROR(INDEX(HFAexcVal,MATCH($F298,HFAexcTeam,0)),HFA_Base)))</f>
        <v/>
      </c>
      <c r="N298" s="2" t="str">
        <f t="array" ref="N298">IF($B298="","",IFERROR(INDEX(QBSpreadEff,MATCH($F298,QBTeams,0)),0)-IFERROR(INDEX(QBSpreadEff,MATCH($E298,QBTeams,0)),0))</f>
        <v/>
      </c>
      <c r="O298" s="2" t="str">
        <f t="array" ref="O298">IF($B298="","",IFERROR(MEDIAN(-RestCapPts,RestCapPts,RestPerDay*(INDEX(SchedZone,MATCH($A298,SchedSeq,0),MAP!$B$16)-INDEX(SchedZone,MATCH($A298,SchedSeq,0),MAP!$B$15))),0))</f>
        <v/>
      </c>
      <c r="P298" s="2" t="str">
        <f>IF($B298="","",SUMIFS(AdjSpread,AdjGameID,$B298,AdjTeam,$F298,AdjActive,1)-SUMIFS(AdjSpread,AdjGameID,$B298,AdjTeam,$E298,AdjActive,1))</f>
        <v/>
      </c>
      <c r="Q298" s="2" t="str">
        <f t="shared" si="2"/>
        <v/>
      </c>
      <c r="R298" s="11"/>
      <c r="S298" s="2" t="str">
        <f t="shared" si="3"/>
        <v/>
      </c>
      <c r="T298" s="2" t="str">
        <f t="shared" si="4"/>
        <v/>
      </c>
      <c r="U298" s="2" t="str">
        <f t="array" ref="U298">IF($B298="","",IFERROR(INDEX(MktHomeSpread,MATCH($B298,MktGameID,0)),""))</f>
        <v/>
      </c>
      <c r="V298" s="2" t="str">
        <f t="shared" si="5"/>
        <v/>
      </c>
      <c r="W298" s="2" t="str">
        <f t="shared" si="6"/>
        <v/>
      </c>
      <c r="X298" s="2" t="str">
        <f t="shared" si="7"/>
        <v/>
      </c>
      <c r="Y298" s="2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2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2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2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2" t="str">
        <f t="array" ref="AC298">IF($B298="","",IFERROR(INDEX(QBTotEff,MATCH($F298,QBTeams,0)),0)+IFERROR(INDEX(QBTotEff,MATCH($E298,QBTeams,0)),0))</f>
        <v/>
      </c>
      <c r="AD298" s="2" t="str">
        <f>IF($B298="","",SUMIFS(AdjTot,AdjGameID,$B298,AdjActive,1))</f>
        <v/>
      </c>
      <c r="AE298" s="2" t="str">
        <f t="shared" si="8"/>
        <v/>
      </c>
      <c r="AF298" s="11"/>
      <c r="AG298" s="2" t="str">
        <f t="shared" si="9"/>
        <v/>
      </c>
      <c r="AH298" s="2" t="str">
        <f t="array" ref="AH298">IF($B298="","",IFERROR(INDEX(MktTotal,MATCH($B298,MktGameID,0)),""))</f>
        <v/>
      </c>
      <c r="AI298" s="2" t="str">
        <f t="shared" si="10"/>
        <v/>
      </c>
      <c r="AJ298" s="2" t="str">
        <f t="shared" si="11"/>
        <v/>
      </c>
      <c r="AK298" s="2" t="str">
        <f t="shared" si="12"/>
        <v/>
      </c>
      <c r="AL298" s="2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2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2" t="str">
        <f>IF($AG298="","","BET OVER at ≤ "&amp;TEXT($AG298-BetTot,"0.0")&amp;"  |  BET UNDER at ≥ "&amp;TEXT($AG298+BetTot,"0.0"))</f>
        <v/>
      </c>
      <c r="AO298" s="2" t="str">
        <f t="array" ref="AO298">IF($B298="","",IF(OR(IFERROR(INDEX(QBFlag,MATCH($F298,QBTeams,0)),1)=1,IFERROR(INDEX(QBFlag,MATCH($E298,QBTeams,0)),1)=1),"QB UNCERTAIN",""))</f>
        <v/>
      </c>
      <c r="AP298" s="2" t="str">
        <f t="array" ref="AP298">IF($B298="","",IFERROR(INDEX(DQStatus,MATCH($B298,DQGameID,0)),"BLOCKED — DQ ROW NOT FOUND"))</f>
        <v/>
      </c>
      <c r="AQ298" s="2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2" t="str">
        <f t="shared" si="13"/>
        <v/>
      </c>
      <c r="AS298" s="2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2" t="str">
        <f t="shared" si="14"/>
        <v/>
      </c>
      <c r="AU298" s="11"/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9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2" t="str">
        <f t="array" ref="G299">IF($B299="","",IF(INDEX(SchedZone,MATCH($A299,SchedSeq,0),MAP!$B$14)="Neutral","Y",""))</f>
        <v/>
      </c>
      <c r="H299" s="2" t="str">
        <f t="array" ref="H299">IF($B299="","",INDEX(SchedZone,MATCH($A299,SchedSeq,0),MAP!$B$17))</f>
        <v/>
      </c>
      <c r="I299" s="2" t="str">
        <f>IF(OR($B299="",$C299&lt;&gt;CurrentWeek),"",COUNTIF($C$5:$C299,CurrentWeek))</f>
        <v/>
      </c>
      <c r="J299" s="2" t="str">
        <f t="array" ref="J299">IF($B299="","",IFERROR(INDEX(RatEff,MATCH($E299,RatTeams,0)),"⚠ TEAM NOT FOUND"))</f>
        <v/>
      </c>
      <c r="K299" s="2" t="str">
        <f t="array" ref="K299">IF($B299="","",IFERROR(INDEX(RatEff,MATCH($F299,RatTeams,0)),"⚠ TEAM NOT FOUND"))</f>
        <v/>
      </c>
      <c r="L299" s="2" t="str">
        <f t="shared" si="1"/>
        <v/>
      </c>
      <c r="M299" s="2" t="str">
        <f t="array" ref="M299">IF($B299="","",IF($G299="Y",NeutralHFA,IFERROR(INDEX(HFAexcVal,MATCH($F299,HFAexcTeam,0)),HFA_Base)))</f>
        <v/>
      </c>
      <c r="N299" s="2" t="str">
        <f t="array" ref="N299">IF($B299="","",IFERROR(INDEX(QBSpreadEff,MATCH($F299,QBTeams,0)),0)-IFERROR(INDEX(QBSpreadEff,MATCH($E299,QBTeams,0)),0))</f>
        <v/>
      </c>
      <c r="O299" s="2" t="str">
        <f t="array" ref="O299">IF($B299="","",IFERROR(MEDIAN(-RestCapPts,RestCapPts,RestPerDay*(INDEX(SchedZone,MATCH($A299,SchedSeq,0),MAP!$B$16)-INDEX(SchedZone,MATCH($A299,SchedSeq,0),MAP!$B$15))),0))</f>
        <v/>
      </c>
      <c r="P299" s="2" t="str">
        <f>IF($B299="","",SUMIFS(AdjSpread,AdjGameID,$B299,AdjTeam,$F299,AdjActive,1)-SUMIFS(AdjSpread,AdjGameID,$B299,AdjTeam,$E299,AdjActive,1))</f>
        <v/>
      </c>
      <c r="Q299" s="2" t="str">
        <f t="shared" si="2"/>
        <v/>
      </c>
      <c r="R299" s="11"/>
      <c r="S299" s="2" t="str">
        <f t="shared" si="3"/>
        <v/>
      </c>
      <c r="T299" s="2" t="str">
        <f t="shared" si="4"/>
        <v/>
      </c>
      <c r="U299" s="2" t="str">
        <f t="array" ref="U299">IF($B299="","",IFERROR(INDEX(MktHomeSpread,MATCH($B299,MktGameID,0)),""))</f>
        <v/>
      </c>
      <c r="V299" s="2" t="str">
        <f t="shared" si="5"/>
        <v/>
      </c>
      <c r="W299" s="2" t="str">
        <f t="shared" si="6"/>
        <v/>
      </c>
      <c r="X299" s="2" t="str">
        <f t="shared" si="7"/>
        <v/>
      </c>
      <c r="Y299" s="2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2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2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2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2" t="str">
        <f t="array" ref="AC299">IF($B299="","",IFERROR(INDEX(QBTotEff,MATCH($F299,QBTeams,0)),0)+IFERROR(INDEX(QBTotEff,MATCH($E299,QBTeams,0)),0))</f>
        <v/>
      </c>
      <c r="AD299" s="2" t="str">
        <f>IF($B299="","",SUMIFS(AdjTot,AdjGameID,$B299,AdjActive,1))</f>
        <v/>
      </c>
      <c r="AE299" s="2" t="str">
        <f t="shared" si="8"/>
        <v/>
      </c>
      <c r="AF299" s="11"/>
      <c r="AG299" s="2" t="str">
        <f t="shared" si="9"/>
        <v/>
      </c>
      <c r="AH299" s="2" t="str">
        <f t="array" ref="AH299">IF($B299="","",IFERROR(INDEX(MktTotal,MATCH($B299,MktGameID,0)),""))</f>
        <v/>
      </c>
      <c r="AI299" s="2" t="str">
        <f t="shared" si="10"/>
        <v/>
      </c>
      <c r="AJ299" s="2" t="str">
        <f t="shared" si="11"/>
        <v/>
      </c>
      <c r="AK299" s="2" t="str">
        <f t="shared" si="12"/>
        <v/>
      </c>
      <c r="AL299" s="2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2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2" t="str">
        <f>IF($AG299="","","BET OVER at ≤ "&amp;TEXT($AG299-BetTot,"0.0")&amp;"  |  BET UNDER at ≥ "&amp;TEXT($AG299+BetTot,"0.0"))</f>
        <v/>
      </c>
      <c r="AO299" s="2" t="str">
        <f t="array" ref="AO299">IF($B299="","",IF(OR(IFERROR(INDEX(QBFlag,MATCH($F299,QBTeams,0)),1)=1,IFERROR(INDEX(QBFlag,MATCH($E299,QBTeams,0)),1)=1),"QB UNCERTAIN",""))</f>
        <v/>
      </c>
      <c r="AP299" s="2" t="str">
        <f t="array" ref="AP299">IF($B299="","",IFERROR(INDEX(DQStatus,MATCH($B299,DQGameID,0)),"BLOCKED — DQ ROW NOT FOUND"))</f>
        <v/>
      </c>
      <c r="AQ299" s="2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2" t="str">
        <f t="shared" si="13"/>
        <v/>
      </c>
      <c r="AS299" s="2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2" t="str">
        <f t="shared" si="14"/>
        <v/>
      </c>
      <c r="AU299" s="11"/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9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2" t="str">
        <f t="array" ref="G300">IF($B300="","",IF(INDEX(SchedZone,MATCH($A300,SchedSeq,0),MAP!$B$14)="Neutral","Y",""))</f>
        <v/>
      </c>
      <c r="H300" s="2" t="str">
        <f t="array" ref="H300">IF($B300="","",INDEX(SchedZone,MATCH($A300,SchedSeq,0),MAP!$B$17))</f>
        <v/>
      </c>
      <c r="I300" s="2" t="str">
        <f>IF(OR($B300="",$C300&lt;&gt;CurrentWeek),"",COUNTIF($C$5:$C300,CurrentWeek))</f>
        <v/>
      </c>
      <c r="J300" s="2" t="str">
        <f t="array" ref="J300">IF($B300="","",IFERROR(INDEX(RatEff,MATCH($E300,RatTeams,0)),"⚠ TEAM NOT FOUND"))</f>
        <v/>
      </c>
      <c r="K300" s="2" t="str">
        <f t="array" ref="K300">IF($B300="","",IFERROR(INDEX(RatEff,MATCH($F300,RatTeams,0)),"⚠ TEAM NOT FOUND"))</f>
        <v/>
      </c>
      <c r="L300" s="2" t="str">
        <f t="shared" si="1"/>
        <v/>
      </c>
      <c r="M300" s="2" t="str">
        <f t="array" ref="M300">IF($B300="","",IF($G300="Y",NeutralHFA,IFERROR(INDEX(HFAexcVal,MATCH($F300,HFAexcTeam,0)),HFA_Base)))</f>
        <v/>
      </c>
      <c r="N300" s="2" t="str">
        <f t="array" ref="N300">IF($B300="","",IFERROR(INDEX(QBSpreadEff,MATCH($F300,QBTeams,0)),0)-IFERROR(INDEX(QBSpreadEff,MATCH($E300,QBTeams,0)),0))</f>
        <v/>
      </c>
      <c r="O300" s="2" t="str">
        <f t="array" ref="O300">IF($B300="","",IFERROR(MEDIAN(-RestCapPts,RestCapPts,RestPerDay*(INDEX(SchedZone,MATCH($A300,SchedSeq,0),MAP!$B$16)-INDEX(SchedZone,MATCH($A300,SchedSeq,0),MAP!$B$15))),0))</f>
        <v/>
      </c>
      <c r="P300" s="2" t="str">
        <f>IF($B300="","",SUMIFS(AdjSpread,AdjGameID,$B300,AdjTeam,$F300,AdjActive,1)-SUMIFS(AdjSpread,AdjGameID,$B300,AdjTeam,$E300,AdjActive,1))</f>
        <v/>
      </c>
      <c r="Q300" s="2" t="str">
        <f t="shared" si="2"/>
        <v/>
      </c>
      <c r="R300" s="11"/>
      <c r="S300" s="2" t="str">
        <f t="shared" si="3"/>
        <v/>
      </c>
      <c r="T300" s="2" t="str">
        <f t="shared" si="4"/>
        <v/>
      </c>
      <c r="U300" s="2" t="str">
        <f t="array" ref="U300">IF($B300="","",IFERROR(INDEX(MktHomeSpread,MATCH($B300,MktGameID,0)),""))</f>
        <v/>
      </c>
      <c r="V300" s="2" t="str">
        <f t="shared" si="5"/>
        <v/>
      </c>
      <c r="W300" s="2" t="str">
        <f t="shared" si="6"/>
        <v/>
      </c>
      <c r="X300" s="2" t="str">
        <f t="shared" si="7"/>
        <v/>
      </c>
      <c r="Y300" s="2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2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2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2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2" t="str">
        <f t="array" ref="AC300">IF($B300="","",IFERROR(INDEX(QBTotEff,MATCH($F300,QBTeams,0)),0)+IFERROR(INDEX(QBTotEff,MATCH($E300,QBTeams,0)),0))</f>
        <v/>
      </c>
      <c r="AD300" s="2" t="str">
        <f>IF($B300="","",SUMIFS(AdjTot,AdjGameID,$B300,AdjActive,1))</f>
        <v/>
      </c>
      <c r="AE300" s="2" t="str">
        <f t="shared" si="8"/>
        <v/>
      </c>
      <c r="AF300" s="11"/>
      <c r="AG300" s="2" t="str">
        <f t="shared" si="9"/>
        <v/>
      </c>
      <c r="AH300" s="2" t="str">
        <f t="array" ref="AH300">IF($B300="","",IFERROR(INDEX(MktTotal,MATCH($B300,MktGameID,0)),""))</f>
        <v/>
      </c>
      <c r="AI300" s="2" t="str">
        <f t="shared" si="10"/>
        <v/>
      </c>
      <c r="AJ300" s="2" t="str">
        <f t="shared" si="11"/>
        <v/>
      </c>
      <c r="AK300" s="2" t="str">
        <f t="shared" si="12"/>
        <v/>
      </c>
      <c r="AL300" s="2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2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2" t="str">
        <f>IF($AG300="","","BET OVER at ≤ "&amp;TEXT($AG300-BetTot,"0.0")&amp;"  |  BET UNDER at ≥ "&amp;TEXT($AG300+BetTot,"0.0"))</f>
        <v/>
      </c>
      <c r="AO300" s="2" t="str">
        <f t="array" ref="AO300">IF($B300="","",IF(OR(IFERROR(INDEX(QBFlag,MATCH($F300,QBTeams,0)),1)=1,IFERROR(INDEX(QBFlag,MATCH($E300,QBTeams,0)),1)=1),"QB UNCERTAIN",""))</f>
        <v/>
      </c>
      <c r="AP300" s="2" t="str">
        <f t="array" ref="AP300">IF($B300="","",IFERROR(INDEX(DQStatus,MATCH($B300,DQGameID,0)),"BLOCKED — DQ ROW NOT FOUND"))</f>
        <v/>
      </c>
      <c r="AQ300" s="2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2" t="str">
        <f t="shared" si="13"/>
        <v/>
      </c>
      <c r="AS300" s="2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2" t="str">
        <f t="shared" si="14"/>
        <v/>
      </c>
      <c r="AU300" s="11"/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9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2" t="str">
        <f t="array" ref="G301">IF($B301="","",IF(INDEX(SchedZone,MATCH($A301,SchedSeq,0),MAP!$B$14)="Neutral","Y",""))</f>
        <v/>
      </c>
      <c r="H301" s="2" t="str">
        <f t="array" ref="H301">IF($B301="","",INDEX(SchedZone,MATCH($A301,SchedSeq,0),MAP!$B$17))</f>
        <v/>
      </c>
      <c r="I301" s="2" t="str">
        <f>IF(OR($B301="",$C301&lt;&gt;CurrentWeek),"",COUNTIF($C$5:$C301,CurrentWeek))</f>
        <v/>
      </c>
      <c r="J301" s="2" t="str">
        <f t="array" ref="J301">IF($B301="","",IFERROR(INDEX(RatEff,MATCH($E301,RatTeams,0)),"⚠ TEAM NOT FOUND"))</f>
        <v/>
      </c>
      <c r="K301" s="2" t="str">
        <f t="array" ref="K301">IF($B301="","",IFERROR(INDEX(RatEff,MATCH($F301,RatTeams,0)),"⚠ TEAM NOT FOUND"))</f>
        <v/>
      </c>
      <c r="L301" s="2" t="str">
        <f t="shared" si="1"/>
        <v/>
      </c>
      <c r="M301" s="2" t="str">
        <f t="array" ref="M301">IF($B301="","",IF($G301="Y",NeutralHFA,IFERROR(INDEX(HFAexcVal,MATCH($F301,HFAexcTeam,0)),HFA_Base)))</f>
        <v/>
      </c>
      <c r="N301" s="2" t="str">
        <f t="array" ref="N301">IF($B301="","",IFERROR(INDEX(QBSpreadEff,MATCH($F301,QBTeams,0)),0)-IFERROR(INDEX(QBSpreadEff,MATCH($E301,QBTeams,0)),0))</f>
        <v/>
      </c>
      <c r="O301" s="2" t="str">
        <f t="array" ref="O301">IF($B301="","",IFERROR(MEDIAN(-RestCapPts,RestCapPts,RestPerDay*(INDEX(SchedZone,MATCH($A301,SchedSeq,0),MAP!$B$16)-INDEX(SchedZone,MATCH($A301,SchedSeq,0),MAP!$B$15))),0))</f>
        <v/>
      </c>
      <c r="P301" s="2" t="str">
        <f>IF($B301="","",SUMIFS(AdjSpread,AdjGameID,$B301,AdjTeam,$F301,AdjActive,1)-SUMIFS(AdjSpread,AdjGameID,$B301,AdjTeam,$E301,AdjActive,1))</f>
        <v/>
      </c>
      <c r="Q301" s="2" t="str">
        <f t="shared" si="2"/>
        <v/>
      </c>
      <c r="R301" s="11"/>
      <c r="S301" s="2" t="str">
        <f t="shared" si="3"/>
        <v/>
      </c>
      <c r="T301" s="2" t="str">
        <f t="shared" si="4"/>
        <v/>
      </c>
      <c r="U301" s="2" t="str">
        <f t="array" ref="U301">IF($B301="","",IFERROR(INDEX(MktHomeSpread,MATCH($B301,MktGameID,0)),""))</f>
        <v/>
      </c>
      <c r="V301" s="2" t="str">
        <f t="shared" si="5"/>
        <v/>
      </c>
      <c r="W301" s="2" t="str">
        <f t="shared" si="6"/>
        <v/>
      </c>
      <c r="X301" s="2" t="str">
        <f t="shared" si="7"/>
        <v/>
      </c>
      <c r="Y301" s="2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2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2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2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2" t="str">
        <f t="array" ref="AC301">IF($B301="","",IFERROR(INDEX(QBTotEff,MATCH($F301,QBTeams,0)),0)+IFERROR(INDEX(QBTotEff,MATCH($E301,QBTeams,0)),0))</f>
        <v/>
      </c>
      <c r="AD301" s="2" t="str">
        <f>IF($B301="","",SUMIFS(AdjTot,AdjGameID,$B301,AdjActive,1))</f>
        <v/>
      </c>
      <c r="AE301" s="2" t="str">
        <f t="shared" si="8"/>
        <v/>
      </c>
      <c r="AF301" s="11"/>
      <c r="AG301" s="2" t="str">
        <f t="shared" si="9"/>
        <v/>
      </c>
      <c r="AH301" s="2" t="str">
        <f t="array" ref="AH301">IF($B301="","",IFERROR(INDEX(MktTotal,MATCH($B301,MktGameID,0)),""))</f>
        <v/>
      </c>
      <c r="AI301" s="2" t="str">
        <f t="shared" si="10"/>
        <v/>
      </c>
      <c r="AJ301" s="2" t="str">
        <f t="shared" si="11"/>
        <v/>
      </c>
      <c r="AK301" s="2" t="str">
        <f t="shared" si="12"/>
        <v/>
      </c>
      <c r="AL301" s="2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2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2" t="str">
        <f>IF($AG301="","","BET OVER at ≤ "&amp;TEXT($AG301-BetTot,"0.0")&amp;"  |  BET UNDER at ≥ "&amp;TEXT($AG301+BetTot,"0.0"))</f>
        <v/>
      </c>
      <c r="AO301" s="2" t="str">
        <f t="array" ref="AO301">IF($B301="","",IF(OR(IFERROR(INDEX(QBFlag,MATCH($F301,QBTeams,0)),1)=1,IFERROR(INDEX(QBFlag,MATCH($E301,QBTeams,0)),1)=1),"QB UNCERTAIN",""))</f>
        <v/>
      </c>
      <c r="AP301" s="2" t="str">
        <f t="array" ref="AP301">IF($B301="","",IFERROR(INDEX(DQStatus,MATCH($B301,DQGameID,0)),"BLOCKED — DQ ROW NOT FOUND"))</f>
        <v/>
      </c>
      <c r="AQ301" s="2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2" t="str">
        <f t="shared" si="13"/>
        <v/>
      </c>
      <c r="AS301" s="2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2" t="str">
        <f t="shared" si="14"/>
        <v/>
      </c>
      <c r="AU301" s="11"/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9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2" t="str">
        <f t="array" ref="G302">IF($B302="","",IF(INDEX(SchedZone,MATCH($A302,SchedSeq,0),MAP!$B$14)="Neutral","Y",""))</f>
        <v/>
      </c>
      <c r="H302" s="2" t="str">
        <f t="array" ref="H302">IF($B302="","",INDEX(SchedZone,MATCH($A302,SchedSeq,0),MAP!$B$17))</f>
        <v/>
      </c>
      <c r="I302" s="2" t="str">
        <f>IF(OR($B302="",$C302&lt;&gt;CurrentWeek),"",COUNTIF($C$5:$C302,CurrentWeek))</f>
        <v/>
      </c>
      <c r="J302" s="2" t="str">
        <f t="array" ref="J302">IF($B302="","",IFERROR(INDEX(RatEff,MATCH($E302,RatTeams,0)),"⚠ TEAM NOT FOUND"))</f>
        <v/>
      </c>
      <c r="K302" s="2" t="str">
        <f t="array" ref="K302">IF($B302="","",IFERROR(INDEX(RatEff,MATCH($F302,RatTeams,0)),"⚠ TEAM NOT FOUND"))</f>
        <v/>
      </c>
      <c r="L302" s="2" t="str">
        <f t="shared" si="1"/>
        <v/>
      </c>
      <c r="M302" s="2" t="str">
        <f t="array" ref="M302">IF($B302="","",IF($G302="Y",NeutralHFA,IFERROR(INDEX(HFAexcVal,MATCH($F302,HFAexcTeam,0)),HFA_Base)))</f>
        <v/>
      </c>
      <c r="N302" s="2" t="str">
        <f t="array" ref="N302">IF($B302="","",IFERROR(INDEX(QBSpreadEff,MATCH($F302,QBTeams,0)),0)-IFERROR(INDEX(QBSpreadEff,MATCH($E302,QBTeams,0)),0))</f>
        <v/>
      </c>
      <c r="O302" s="2" t="str">
        <f t="array" ref="O302">IF($B302="","",IFERROR(MEDIAN(-RestCapPts,RestCapPts,RestPerDay*(INDEX(SchedZone,MATCH($A302,SchedSeq,0),MAP!$B$16)-INDEX(SchedZone,MATCH($A302,SchedSeq,0),MAP!$B$15))),0))</f>
        <v/>
      </c>
      <c r="P302" s="2" t="str">
        <f>IF($B302="","",SUMIFS(AdjSpread,AdjGameID,$B302,AdjTeam,$F302,AdjActive,1)-SUMIFS(AdjSpread,AdjGameID,$B302,AdjTeam,$E302,AdjActive,1))</f>
        <v/>
      </c>
      <c r="Q302" s="2" t="str">
        <f t="shared" si="2"/>
        <v/>
      </c>
      <c r="R302" s="11"/>
      <c r="S302" s="2" t="str">
        <f t="shared" si="3"/>
        <v/>
      </c>
      <c r="T302" s="2" t="str">
        <f t="shared" si="4"/>
        <v/>
      </c>
      <c r="U302" s="2" t="str">
        <f t="array" ref="U302">IF($B302="","",IFERROR(INDEX(MktHomeSpread,MATCH($B302,MktGameID,0)),""))</f>
        <v/>
      </c>
      <c r="V302" s="2" t="str">
        <f t="shared" si="5"/>
        <v/>
      </c>
      <c r="W302" s="2" t="str">
        <f t="shared" si="6"/>
        <v/>
      </c>
      <c r="X302" s="2" t="str">
        <f t="shared" si="7"/>
        <v/>
      </c>
      <c r="Y302" s="2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2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2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2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2" t="str">
        <f t="array" ref="AC302">IF($B302="","",IFERROR(INDEX(QBTotEff,MATCH($F302,QBTeams,0)),0)+IFERROR(INDEX(QBTotEff,MATCH($E302,QBTeams,0)),0))</f>
        <v/>
      </c>
      <c r="AD302" s="2" t="str">
        <f>IF($B302="","",SUMIFS(AdjTot,AdjGameID,$B302,AdjActive,1))</f>
        <v/>
      </c>
      <c r="AE302" s="2" t="str">
        <f t="shared" si="8"/>
        <v/>
      </c>
      <c r="AF302" s="11"/>
      <c r="AG302" s="2" t="str">
        <f t="shared" si="9"/>
        <v/>
      </c>
      <c r="AH302" s="2" t="str">
        <f t="array" ref="AH302">IF($B302="","",IFERROR(INDEX(MktTotal,MATCH($B302,MktGameID,0)),""))</f>
        <v/>
      </c>
      <c r="AI302" s="2" t="str">
        <f t="shared" si="10"/>
        <v/>
      </c>
      <c r="AJ302" s="2" t="str">
        <f t="shared" si="11"/>
        <v/>
      </c>
      <c r="AK302" s="2" t="str">
        <f t="shared" si="12"/>
        <v/>
      </c>
      <c r="AL302" s="2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2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2" t="str">
        <f>IF($AG302="","","BET OVER at ≤ "&amp;TEXT($AG302-BetTot,"0.0")&amp;"  |  BET UNDER at ≥ "&amp;TEXT($AG302+BetTot,"0.0"))</f>
        <v/>
      </c>
      <c r="AO302" s="2" t="str">
        <f t="array" ref="AO302">IF($B302="","",IF(OR(IFERROR(INDEX(QBFlag,MATCH($F302,QBTeams,0)),1)=1,IFERROR(INDEX(QBFlag,MATCH($E302,QBTeams,0)),1)=1),"QB UNCERTAIN",""))</f>
        <v/>
      </c>
      <c r="AP302" s="2" t="str">
        <f t="array" ref="AP302">IF($B302="","",IFERROR(INDEX(DQStatus,MATCH($B302,DQGameID,0)),"BLOCKED — DQ ROW NOT FOUND"))</f>
        <v/>
      </c>
      <c r="AQ302" s="2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2" t="str">
        <f t="shared" si="13"/>
        <v/>
      </c>
      <c r="AS302" s="2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2" t="str">
        <f t="shared" si="14"/>
        <v/>
      </c>
      <c r="AU302" s="11"/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9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2" t="str">
        <f t="array" ref="G303">IF($B303="","",IF(INDEX(SchedZone,MATCH($A303,SchedSeq,0),MAP!$B$14)="Neutral","Y",""))</f>
        <v/>
      </c>
      <c r="H303" s="2" t="str">
        <f t="array" ref="H303">IF($B303="","",INDEX(SchedZone,MATCH($A303,SchedSeq,0),MAP!$B$17))</f>
        <v/>
      </c>
      <c r="I303" s="2" t="str">
        <f>IF(OR($B303="",$C303&lt;&gt;CurrentWeek),"",COUNTIF($C$5:$C303,CurrentWeek))</f>
        <v/>
      </c>
      <c r="J303" s="2" t="str">
        <f t="array" ref="J303">IF($B303="","",IFERROR(INDEX(RatEff,MATCH($E303,RatTeams,0)),"⚠ TEAM NOT FOUND"))</f>
        <v/>
      </c>
      <c r="K303" s="2" t="str">
        <f t="array" ref="K303">IF($B303="","",IFERROR(INDEX(RatEff,MATCH($F303,RatTeams,0)),"⚠ TEAM NOT FOUND"))</f>
        <v/>
      </c>
      <c r="L303" s="2" t="str">
        <f t="shared" si="1"/>
        <v/>
      </c>
      <c r="M303" s="2" t="str">
        <f t="array" ref="M303">IF($B303="","",IF($G303="Y",NeutralHFA,IFERROR(INDEX(HFAexcVal,MATCH($F303,HFAexcTeam,0)),HFA_Base)))</f>
        <v/>
      </c>
      <c r="N303" s="2" t="str">
        <f t="array" ref="N303">IF($B303="","",IFERROR(INDEX(QBSpreadEff,MATCH($F303,QBTeams,0)),0)-IFERROR(INDEX(QBSpreadEff,MATCH($E303,QBTeams,0)),0))</f>
        <v/>
      </c>
      <c r="O303" s="2" t="str">
        <f t="array" ref="O303">IF($B303="","",IFERROR(MEDIAN(-RestCapPts,RestCapPts,RestPerDay*(INDEX(SchedZone,MATCH($A303,SchedSeq,0),MAP!$B$16)-INDEX(SchedZone,MATCH($A303,SchedSeq,0),MAP!$B$15))),0))</f>
        <v/>
      </c>
      <c r="P303" s="2" t="str">
        <f>IF($B303="","",SUMIFS(AdjSpread,AdjGameID,$B303,AdjTeam,$F303,AdjActive,1)-SUMIFS(AdjSpread,AdjGameID,$B303,AdjTeam,$E303,AdjActive,1))</f>
        <v/>
      </c>
      <c r="Q303" s="2" t="str">
        <f t="shared" si="2"/>
        <v/>
      </c>
      <c r="R303" s="11"/>
      <c r="S303" s="2" t="str">
        <f t="shared" si="3"/>
        <v/>
      </c>
      <c r="T303" s="2" t="str">
        <f t="shared" si="4"/>
        <v/>
      </c>
      <c r="U303" s="2" t="str">
        <f t="array" ref="U303">IF($B303="","",IFERROR(INDEX(MktHomeSpread,MATCH($B303,MktGameID,0)),""))</f>
        <v/>
      </c>
      <c r="V303" s="2" t="str">
        <f t="shared" si="5"/>
        <v/>
      </c>
      <c r="W303" s="2" t="str">
        <f t="shared" si="6"/>
        <v/>
      </c>
      <c r="X303" s="2" t="str">
        <f t="shared" si="7"/>
        <v/>
      </c>
      <c r="Y303" s="2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2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2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2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2" t="str">
        <f t="array" ref="AC303">IF($B303="","",IFERROR(INDEX(QBTotEff,MATCH($F303,QBTeams,0)),0)+IFERROR(INDEX(QBTotEff,MATCH($E303,QBTeams,0)),0))</f>
        <v/>
      </c>
      <c r="AD303" s="2" t="str">
        <f>IF($B303="","",SUMIFS(AdjTot,AdjGameID,$B303,AdjActive,1))</f>
        <v/>
      </c>
      <c r="AE303" s="2" t="str">
        <f t="shared" si="8"/>
        <v/>
      </c>
      <c r="AF303" s="11"/>
      <c r="AG303" s="2" t="str">
        <f t="shared" si="9"/>
        <v/>
      </c>
      <c r="AH303" s="2" t="str">
        <f t="array" ref="AH303">IF($B303="","",IFERROR(INDEX(MktTotal,MATCH($B303,MktGameID,0)),""))</f>
        <v/>
      </c>
      <c r="AI303" s="2" t="str">
        <f t="shared" si="10"/>
        <v/>
      </c>
      <c r="AJ303" s="2" t="str">
        <f t="shared" si="11"/>
        <v/>
      </c>
      <c r="AK303" s="2" t="str">
        <f t="shared" si="12"/>
        <v/>
      </c>
      <c r="AL303" s="2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2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2" t="str">
        <f>IF($AG303="","","BET OVER at ≤ "&amp;TEXT($AG303-BetTot,"0.0")&amp;"  |  BET UNDER at ≥ "&amp;TEXT($AG303+BetTot,"0.0"))</f>
        <v/>
      </c>
      <c r="AO303" s="2" t="str">
        <f t="array" ref="AO303">IF($B303="","",IF(OR(IFERROR(INDEX(QBFlag,MATCH($F303,QBTeams,0)),1)=1,IFERROR(INDEX(QBFlag,MATCH($E303,QBTeams,0)),1)=1),"QB UNCERTAIN",""))</f>
        <v/>
      </c>
      <c r="AP303" s="2" t="str">
        <f t="array" ref="AP303">IF($B303="","",IFERROR(INDEX(DQStatus,MATCH($B303,DQGameID,0)),"BLOCKED — DQ ROW NOT FOUND"))</f>
        <v/>
      </c>
      <c r="AQ303" s="2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2" t="str">
        <f t="shared" si="13"/>
        <v/>
      </c>
      <c r="AS303" s="2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2" t="str">
        <f t="shared" si="14"/>
        <v/>
      </c>
      <c r="AU303" s="11"/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9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2" t="str">
        <f t="array" ref="G304">IF($B304="","",IF(INDEX(SchedZone,MATCH($A304,SchedSeq,0),MAP!$B$14)="Neutral","Y",""))</f>
        <v/>
      </c>
      <c r="H304" s="2" t="str">
        <f t="array" ref="H304">IF($B304="","",INDEX(SchedZone,MATCH($A304,SchedSeq,0),MAP!$B$17))</f>
        <v/>
      </c>
      <c r="I304" s="2" t="str">
        <f>IF(OR($B304="",$C304&lt;&gt;CurrentWeek),"",COUNTIF($C$5:$C304,CurrentWeek))</f>
        <v/>
      </c>
      <c r="J304" s="2" t="str">
        <f t="array" ref="J304">IF($B304="","",IFERROR(INDEX(RatEff,MATCH($E304,RatTeams,0)),"⚠ TEAM NOT FOUND"))</f>
        <v/>
      </c>
      <c r="K304" s="2" t="str">
        <f t="array" ref="K304">IF($B304="","",IFERROR(INDEX(RatEff,MATCH($F304,RatTeams,0)),"⚠ TEAM NOT FOUND"))</f>
        <v/>
      </c>
      <c r="L304" s="2" t="str">
        <f t="shared" si="1"/>
        <v/>
      </c>
      <c r="M304" s="2" t="str">
        <f t="array" ref="M304">IF($B304="","",IF($G304="Y",NeutralHFA,IFERROR(INDEX(HFAexcVal,MATCH($F304,HFAexcTeam,0)),HFA_Base)))</f>
        <v/>
      </c>
      <c r="N304" s="2" t="str">
        <f t="array" ref="N304">IF($B304="","",IFERROR(INDEX(QBSpreadEff,MATCH($F304,QBTeams,0)),0)-IFERROR(INDEX(QBSpreadEff,MATCH($E304,QBTeams,0)),0))</f>
        <v/>
      </c>
      <c r="O304" s="2" t="str">
        <f t="array" ref="O304">IF($B304="","",IFERROR(MEDIAN(-RestCapPts,RestCapPts,RestPerDay*(INDEX(SchedZone,MATCH($A304,SchedSeq,0),MAP!$B$16)-INDEX(SchedZone,MATCH($A304,SchedSeq,0),MAP!$B$15))),0))</f>
        <v/>
      </c>
      <c r="P304" s="2" t="str">
        <f>IF($B304="","",SUMIFS(AdjSpread,AdjGameID,$B304,AdjTeam,$F304,AdjActive,1)-SUMIFS(AdjSpread,AdjGameID,$B304,AdjTeam,$E304,AdjActive,1))</f>
        <v/>
      </c>
      <c r="Q304" s="2" t="str">
        <f t="shared" si="2"/>
        <v/>
      </c>
      <c r="R304" s="11"/>
      <c r="S304" s="2" t="str">
        <f t="shared" si="3"/>
        <v/>
      </c>
      <c r="T304" s="2" t="str">
        <f t="shared" si="4"/>
        <v/>
      </c>
      <c r="U304" s="2" t="str">
        <f t="array" ref="U304">IF($B304="","",IFERROR(INDEX(MktHomeSpread,MATCH($B304,MktGameID,0)),""))</f>
        <v/>
      </c>
      <c r="V304" s="2" t="str">
        <f t="shared" si="5"/>
        <v/>
      </c>
      <c r="W304" s="2" t="str">
        <f t="shared" si="6"/>
        <v/>
      </c>
      <c r="X304" s="2" t="str">
        <f t="shared" si="7"/>
        <v/>
      </c>
      <c r="Y304" s="2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2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2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2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2" t="str">
        <f t="array" ref="AC304">IF($B304="","",IFERROR(INDEX(QBTotEff,MATCH($F304,QBTeams,0)),0)+IFERROR(INDEX(QBTotEff,MATCH($E304,QBTeams,0)),0))</f>
        <v/>
      </c>
      <c r="AD304" s="2" t="str">
        <f>IF($B304="","",SUMIFS(AdjTot,AdjGameID,$B304,AdjActive,1))</f>
        <v/>
      </c>
      <c r="AE304" s="2" t="str">
        <f t="shared" si="8"/>
        <v/>
      </c>
      <c r="AF304" s="11"/>
      <c r="AG304" s="2" t="str">
        <f t="shared" si="9"/>
        <v/>
      </c>
      <c r="AH304" s="2" t="str">
        <f t="array" ref="AH304">IF($B304="","",IFERROR(INDEX(MktTotal,MATCH($B304,MktGameID,0)),""))</f>
        <v/>
      </c>
      <c r="AI304" s="2" t="str">
        <f t="shared" si="10"/>
        <v/>
      </c>
      <c r="AJ304" s="2" t="str">
        <f t="shared" si="11"/>
        <v/>
      </c>
      <c r="AK304" s="2" t="str">
        <f t="shared" si="12"/>
        <v/>
      </c>
      <c r="AL304" s="2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2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2" t="str">
        <f>IF($AG304="","","BET OVER at ≤ "&amp;TEXT($AG304-BetTot,"0.0")&amp;"  |  BET UNDER at ≥ "&amp;TEXT($AG304+BetTot,"0.0"))</f>
        <v/>
      </c>
      <c r="AO304" s="2" t="str">
        <f t="array" ref="AO304">IF($B304="","",IF(OR(IFERROR(INDEX(QBFlag,MATCH($F304,QBTeams,0)),1)=1,IFERROR(INDEX(QBFlag,MATCH($E304,QBTeams,0)),1)=1),"QB UNCERTAIN",""))</f>
        <v/>
      </c>
      <c r="AP304" s="2" t="str">
        <f t="array" ref="AP304">IF($B304="","",IFERROR(INDEX(DQStatus,MATCH($B304,DQGameID,0)),"BLOCKED — DQ ROW NOT FOUND"))</f>
        <v/>
      </c>
      <c r="AQ304" s="2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2" t="str">
        <f t="shared" si="13"/>
        <v/>
      </c>
      <c r="AS304" s="2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2" t="str">
        <f t="shared" si="14"/>
        <v/>
      </c>
      <c r="AU304" s="11"/>
    </row>
    <row r="305" ht="15.75" customHeight="1">
      <c r="B305" s="2"/>
      <c r="E305" s="2"/>
      <c r="F305" s="2"/>
      <c r="T305" s="2"/>
      <c r="X305" s="2"/>
      <c r="Z305" s="2"/>
      <c r="AM305" s="2"/>
      <c r="AN305" s="2"/>
      <c r="AQ305" s="2"/>
    </row>
    <row r="306" ht="15.75" customHeight="1">
      <c r="B306" s="2"/>
      <c r="E306" s="2"/>
      <c r="F306" s="2"/>
      <c r="T306" s="2"/>
      <c r="X306" s="2"/>
      <c r="Z306" s="2"/>
      <c r="AM306" s="2"/>
      <c r="AN306" s="2"/>
      <c r="AQ306" s="2"/>
    </row>
    <row r="307" ht="15.75" customHeight="1">
      <c r="B307" s="2"/>
      <c r="E307" s="2"/>
      <c r="F307" s="2"/>
      <c r="T307" s="2"/>
      <c r="X307" s="2"/>
      <c r="Z307" s="2"/>
      <c r="AM307" s="2"/>
      <c r="AN307" s="2"/>
      <c r="AQ307" s="2"/>
    </row>
    <row r="308" ht="15.75" customHeight="1">
      <c r="B308" s="2"/>
      <c r="E308" s="2"/>
      <c r="F308" s="2"/>
      <c r="T308" s="2"/>
      <c r="X308" s="2"/>
      <c r="Z308" s="2"/>
      <c r="AM308" s="2"/>
      <c r="AN308" s="2"/>
      <c r="AQ308" s="2"/>
    </row>
    <row r="309" ht="15.75" customHeight="1">
      <c r="B309" s="2"/>
      <c r="E309" s="2"/>
      <c r="F309" s="2"/>
      <c r="T309" s="2"/>
      <c r="X309" s="2"/>
      <c r="Z309" s="2"/>
      <c r="AM309" s="2"/>
      <c r="AN309" s="2"/>
      <c r="AQ309" s="2"/>
    </row>
    <row r="310" ht="15.75" customHeight="1">
      <c r="B310" s="2"/>
      <c r="E310" s="2"/>
      <c r="F310" s="2"/>
      <c r="T310" s="2"/>
      <c r="X310" s="2"/>
      <c r="Z310" s="2"/>
      <c r="AM310" s="2"/>
      <c r="AN310" s="2"/>
      <c r="AQ310" s="2"/>
    </row>
    <row r="311" ht="15.75" customHeight="1">
      <c r="B311" s="2"/>
      <c r="E311" s="2"/>
      <c r="F311" s="2"/>
      <c r="T311" s="2"/>
      <c r="X311" s="2"/>
      <c r="Z311" s="2"/>
      <c r="AM311" s="2"/>
      <c r="AN311" s="2"/>
      <c r="AQ311" s="2"/>
    </row>
    <row r="312" ht="15.75" customHeight="1">
      <c r="B312" s="2"/>
      <c r="E312" s="2"/>
      <c r="F312" s="2"/>
      <c r="T312" s="2"/>
      <c r="X312" s="2"/>
      <c r="Z312" s="2"/>
      <c r="AM312" s="2"/>
      <c r="AN312" s="2"/>
      <c r="AQ312" s="2"/>
    </row>
    <row r="313" ht="15.75" customHeight="1">
      <c r="B313" s="2"/>
      <c r="E313" s="2"/>
      <c r="F313" s="2"/>
      <c r="T313" s="2"/>
      <c r="X313" s="2"/>
      <c r="Z313" s="2"/>
      <c r="AM313" s="2"/>
      <c r="AN313" s="2"/>
      <c r="AQ313" s="2"/>
    </row>
    <row r="314" ht="15.75" customHeight="1">
      <c r="B314" s="2"/>
      <c r="E314" s="2"/>
      <c r="F314" s="2"/>
      <c r="T314" s="2"/>
      <c r="X314" s="2"/>
      <c r="Z314" s="2"/>
      <c r="AM314" s="2"/>
      <c r="AN314" s="2"/>
      <c r="AQ314" s="2"/>
    </row>
    <row r="315" ht="15.75" customHeight="1">
      <c r="B315" s="2"/>
      <c r="E315" s="2"/>
      <c r="F315" s="2"/>
      <c r="T315" s="2"/>
      <c r="X315" s="2"/>
      <c r="Z315" s="2"/>
      <c r="AM315" s="2"/>
      <c r="AN315" s="2"/>
      <c r="AQ315" s="2"/>
    </row>
    <row r="316" ht="15.75" customHeight="1">
      <c r="B316" s="2"/>
      <c r="E316" s="2"/>
      <c r="F316" s="2"/>
      <c r="T316" s="2"/>
      <c r="X316" s="2"/>
      <c r="Z316" s="2"/>
      <c r="AM316" s="2"/>
      <c r="AN316" s="2"/>
      <c r="AQ316" s="2"/>
    </row>
    <row r="317" ht="15.75" customHeight="1">
      <c r="B317" s="2"/>
      <c r="E317" s="2"/>
      <c r="F317" s="2"/>
      <c r="T317" s="2"/>
      <c r="X317" s="2"/>
      <c r="Z317" s="2"/>
      <c r="AM317" s="2"/>
      <c r="AN317" s="2"/>
      <c r="AQ317" s="2"/>
    </row>
    <row r="318" ht="15.75" customHeight="1">
      <c r="B318" s="2"/>
      <c r="E318" s="2"/>
      <c r="F318" s="2"/>
      <c r="T318" s="2"/>
      <c r="X318" s="2"/>
      <c r="Z318" s="2"/>
      <c r="AM318" s="2"/>
      <c r="AN318" s="2"/>
      <c r="AQ318" s="2"/>
    </row>
    <row r="319" ht="15.75" customHeight="1">
      <c r="B319" s="2"/>
      <c r="E319" s="2"/>
      <c r="F319" s="2"/>
      <c r="T319" s="2"/>
      <c r="X319" s="2"/>
      <c r="Z319" s="2"/>
      <c r="AM319" s="2"/>
      <c r="AN319" s="2"/>
      <c r="AQ319" s="2"/>
    </row>
    <row r="320" ht="15.75" customHeight="1">
      <c r="B320" s="2"/>
      <c r="E320" s="2"/>
      <c r="F320" s="2"/>
      <c r="T320" s="2"/>
      <c r="X320" s="2"/>
      <c r="Z320" s="2"/>
      <c r="AM320" s="2"/>
      <c r="AN320" s="2"/>
      <c r="AQ320" s="2"/>
    </row>
    <row r="321" ht="15.75" customHeight="1">
      <c r="B321" s="2"/>
      <c r="E321" s="2"/>
      <c r="F321" s="2"/>
      <c r="T321" s="2"/>
      <c r="X321" s="2"/>
      <c r="Z321" s="2"/>
      <c r="AM321" s="2"/>
      <c r="AN321" s="2"/>
      <c r="AQ321" s="2"/>
    </row>
    <row r="322" ht="15.75" customHeight="1">
      <c r="B322" s="2"/>
      <c r="E322" s="2"/>
      <c r="F322" s="2"/>
      <c r="T322" s="2"/>
      <c r="X322" s="2"/>
      <c r="Z322" s="2"/>
      <c r="AM322" s="2"/>
      <c r="AN322" s="2"/>
      <c r="AQ322" s="2"/>
    </row>
    <row r="323" ht="15.75" customHeight="1">
      <c r="B323" s="2"/>
      <c r="E323" s="2"/>
      <c r="F323" s="2"/>
      <c r="T323" s="2"/>
      <c r="X323" s="2"/>
      <c r="Z323" s="2"/>
      <c r="AM323" s="2"/>
      <c r="AN323" s="2"/>
      <c r="AQ323" s="2"/>
    </row>
    <row r="324" ht="15.75" customHeight="1">
      <c r="B324" s="2"/>
      <c r="E324" s="2"/>
      <c r="F324" s="2"/>
      <c r="T324" s="2"/>
      <c r="X324" s="2"/>
      <c r="Z324" s="2"/>
      <c r="AM324" s="2"/>
      <c r="AN324" s="2"/>
      <c r="AQ324" s="2"/>
    </row>
    <row r="325" ht="15.75" customHeight="1">
      <c r="B325" s="2"/>
      <c r="E325" s="2"/>
      <c r="F325" s="2"/>
      <c r="T325" s="2"/>
      <c r="X325" s="2"/>
      <c r="Z325" s="2"/>
      <c r="AM325" s="2"/>
      <c r="AN325" s="2"/>
      <c r="AQ325" s="2"/>
    </row>
    <row r="326" ht="15.75" customHeight="1">
      <c r="B326" s="2"/>
      <c r="E326" s="2"/>
      <c r="F326" s="2"/>
      <c r="T326" s="2"/>
      <c r="X326" s="2"/>
      <c r="Z326" s="2"/>
      <c r="AM326" s="2"/>
      <c r="AN326" s="2"/>
      <c r="AQ326" s="2"/>
    </row>
    <row r="327" ht="15.75" customHeight="1">
      <c r="B327" s="2"/>
      <c r="E327" s="2"/>
      <c r="F327" s="2"/>
      <c r="T327" s="2"/>
      <c r="X327" s="2"/>
      <c r="Z327" s="2"/>
      <c r="AM327" s="2"/>
      <c r="AN327" s="2"/>
      <c r="AQ327" s="2"/>
    </row>
    <row r="328" ht="15.75" customHeight="1">
      <c r="B328" s="2"/>
      <c r="E328" s="2"/>
      <c r="F328" s="2"/>
      <c r="T328" s="2"/>
      <c r="X328" s="2"/>
      <c r="Z328" s="2"/>
      <c r="AM328" s="2"/>
      <c r="AN328" s="2"/>
      <c r="AQ328" s="2"/>
    </row>
    <row r="329" ht="15.75" customHeight="1">
      <c r="B329" s="2"/>
      <c r="E329" s="2"/>
      <c r="F329" s="2"/>
      <c r="T329" s="2"/>
      <c r="X329" s="2"/>
      <c r="Z329" s="2"/>
      <c r="AM329" s="2"/>
      <c r="AN329" s="2"/>
      <c r="AQ329" s="2"/>
    </row>
    <row r="330" ht="15.75" customHeight="1">
      <c r="B330" s="2"/>
      <c r="E330" s="2"/>
      <c r="F330" s="2"/>
      <c r="T330" s="2"/>
      <c r="X330" s="2"/>
      <c r="Z330" s="2"/>
      <c r="AM330" s="2"/>
      <c r="AN330" s="2"/>
      <c r="AQ330" s="2"/>
    </row>
    <row r="331" ht="15.75" customHeight="1">
      <c r="B331" s="2"/>
      <c r="E331" s="2"/>
      <c r="F331" s="2"/>
      <c r="T331" s="2"/>
      <c r="X331" s="2"/>
      <c r="Z331" s="2"/>
      <c r="AM331" s="2"/>
      <c r="AN331" s="2"/>
      <c r="AQ331" s="2"/>
    </row>
    <row r="332" ht="15.75" customHeight="1">
      <c r="B332" s="2"/>
      <c r="E332" s="2"/>
      <c r="F332" s="2"/>
      <c r="T332" s="2"/>
      <c r="X332" s="2"/>
      <c r="Z332" s="2"/>
      <c r="AM332" s="2"/>
      <c r="AN332" s="2"/>
      <c r="AQ332" s="2"/>
    </row>
    <row r="333" ht="15.75" customHeight="1">
      <c r="B333" s="2"/>
      <c r="E333" s="2"/>
      <c r="F333" s="2"/>
      <c r="T333" s="2"/>
      <c r="X333" s="2"/>
      <c r="Z333" s="2"/>
      <c r="AM333" s="2"/>
      <c r="AN333" s="2"/>
      <c r="AQ333" s="2"/>
    </row>
    <row r="334" ht="15.75" customHeight="1">
      <c r="B334" s="2"/>
      <c r="E334" s="2"/>
      <c r="F334" s="2"/>
      <c r="T334" s="2"/>
      <c r="X334" s="2"/>
      <c r="Z334" s="2"/>
      <c r="AM334" s="2"/>
      <c r="AN334" s="2"/>
      <c r="AQ334" s="2"/>
    </row>
    <row r="335" ht="15.75" customHeight="1">
      <c r="B335" s="2"/>
      <c r="E335" s="2"/>
      <c r="F335" s="2"/>
      <c r="T335" s="2"/>
      <c r="X335" s="2"/>
      <c r="Z335" s="2"/>
      <c r="AM335" s="2"/>
      <c r="AN335" s="2"/>
      <c r="AQ335" s="2"/>
    </row>
    <row r="336" ht="15.75" customHeight="1">
      <c r="B336" s="2"/>
      <c r="E336" s="2"/>
      <c r="F336" s="2"/>
      <c r="T336" s="2"/>
      <c r="X336" s="2"/>
      <c r="Z336" s="2"/>
      <c r="AM336" s="2"/>
      <c r="AN336" s="2"/>
      <c r="AQ336" s="2"/>
    </row>
    <row r="337" ht="15.75" customHeight="1">
      <c r="B337" s="2"/>
      <c r="E337" s="2"/>
      <c r="F337" s="2"/>
      <c r="T337" s="2"/>
      <c r="X337" s="2"/>
      <c r="Z337" s="2"/>
      <c r="AM337" s="2"/>
      <c r="AN337" s="2"/>
      <c r="AQ337" s="2"/>
    </row>
    <row r="338" ht="15.75" customHeight="1">
      <c r="B338" s="2"/>
      <c r="E338" s="2"/>
      <c r="F338" s="2"/>
      <c r="T338" s="2"/>
      <c r="X338" s="2"/>
      <c r="Z338" s="2"/>
      <c r="AM338" s="2"/>
      <c r="AN338" s="2"/>
      <c r="AQ338" s="2"/>
    </row>
    <row r="339" ht="15.75" customHeight="1">
      <c r="B339" s="2"/>
      <c r="E339" s="2"/>
      <c r="F339" s="2"/>
      <c r="T339" s="2"/>
      <c r="X339" s="2"/>
      <c r="Z339" s="2"/>
      <c r="AM339" s="2"/>
      <c r="AN339" s="2"/>
      <c r="AQ339" s="2"/>
    </row>
    <row r="340" ht="15.75" customHeight="1">
      <c r="B340" s="2"/>
      <c r="E340" s="2"/>
      <c r="F340" s="2"/>
      <c r="T340" s="2"/>
      <c r="X340" s="2"/>
      <c r="Z340" s="2"/>
      <c r="AM340" s="2"/>
      <c r="AN340" s="2"/>
      <c r="AQ340" s="2"/>
    </row>
    <row r="341" ht="15.75" customHeight="1">
      <c r="B341" s="2"/>
      <c r="E341" s="2"/>
      <c r="F341" s="2"/>
      <c r="T341" s="2"/>
      <c r="X341" s="2"/>
      <c r="Z341" s="2"/>
      <c r="AM341" s="2"/>
      <c r="AN341" s="2"/>
      <c r="AQ341" s="2"/>
    </row>
    <row r="342" ht="15.75" customHeight="1">
      <c r="B342" s="2"/>
      <c r="E342" s="2"/>
      <c r="F342" s="2"/>
      <c r="T342" s="2"/>
      <c r="X342" s="2"/>
      <c r="Z342" s="2"/>
      <c r="AM342" s="2"/>
      <c r="AN342" s="2"/>
      <c r="AQ342" s="2"/>
    </row>
    <row r="343" ht="15.75" customHeight="1">
      <c r="B343" s="2"/>
      <c r="E343" s="2"/>
      <c r="F343" s="2"/>
      <c r="T343" s="2"/>
      <c r="X343" s="2"/>
      <c r="Z343" s="2"/>
      <c r="AM343" s="2"/>
      <c r="AN343" s="2"/>
      <c r="AQ343" s="2"/>
    </row>
    <row r="344" ht="15.75" customHeight="1">
      <c r="B344" s="2"/>
      <c r="E344" s="2"/>
      <c r="F344" s="2"/>
      <c r="T344" s="2"/>
      <c r="X344" s="2"/>
      <c r="Z344" s="2"/>
      <c r="AM344" s="2"/>
      <c r="AN344" s="2"/>
      <c r="AQ344" s="2"/>
    </row>
    <row r="345" ht="15.75" customHeight="1">
      <c r="B345" s="2"/>
      <c r="E345" s="2"/>
      <c r="F345" s="2"/>
      <c r="T345" s="2"/>
      <c r="X345" s="2"/>
      <c r="Z345" s="2"/>
      <c r="AM345" s="2"/>
      <c r="AN345" s="2"/>
      <c r="AQ345" s="2"/>
    </row>
    <row r="346" ht="15.75" customHeight="1">
      <c r="B346" s="2"/>
      <c r="E346" s="2"/>
      <c r="F346" s="2"/>
      <c r="T346" s="2"/>
      <c r="X346" s="2"/>
      <c r="Z346" s="2"/>
      <c r="AM346" s="2"/>
      <c r="AN346" s="2"/>
      <c r="AQ346" s="2"/>
    </row>
    <row r="347" ht="15.75" customHeight="1">
      <c r="B347" s="2"/>
      <c r="E347" s="2"/>
      <c r="F347" s="2"/>
      <c r="T347" s="2"/>
      <c r="X347" s="2"/>
      <c r="Z347" s="2"/>
      <c r="AM347" s="2"/>
      <c r="AN347" s="2"/>
      <c r="AQ347" s="2"/>
    </row>
    <row r="348" ht="15.75" customHeight="1">
      <c r="B348" s="2"/>
      <c r="E348" s="2"/>
      <c r="F348" s="2"/>
      <c r="T348" s="2"/>
      <c r="X348" s="2"/>
      <c r="Z348" s="2"/>
      <c r="AM348" s="2"/>
      <c r="AN348" s="2"/>
      <c r="AQ348" s="2"/>
    </row>
    <row r="349" ht="15.75" customHeight="1">
      <c r="B349" s="2"/>
      <c r="E349" s="2"/>
      <c r="F349" s="2"/>
      <c r="T349" s="2"/>
      <c r="X349" s="2"/>
      <c r="Z349" s="2"/>
      <c r="AM349" s="2"/>
      <c r="AN349" s="2"/>
      <c r="AQ349" s="2"/>
    </row>
    <row r="350" ht="15.75" customHeight="1">
      <c r="B350" s="2"/>
      <c r="E350" s="2"/>
      <c r="F350" s="2"/>
      <c r="T350" s="2"/>
      <c r="X350" s="2"/>
      <c r="Z350" s="2"/>
      <c r="AM350" s="2"/>
      <c r="AN350" s="2"/>
      <c r="AQ350" s="2"/>
    </row>
    <row r="351" ht="15.75" customHeight="1">
      <c r="B351" s="2"/>
      <c r="E351" s="2"/>
      <c r="F351" s="2"/>
      <c r="T351" s="2"/>
      <c r="X351" s="2"/>
      <c r="Z351" s="2"/>
      <c r="AM351" s="2"/>
      <c r="AN351" s="2"/>
      <c r="AQ351" s="2"/>
    </row>
    <row r="352" ht="15.75" customHeight="1">
      <c r="B352" s="2"/>
      <c r="E352" s="2"/>
      <c r="F352" s="2"/>
      <c r="T352" s="2"/>
      <c r="X352" s="2"/>
      <c r="Z352" s="2"/>
      <c r="AM352" s="2"/>
      <c r="AN352" s="2"/>
      <c r="AQ352" s="2"/>
    </row>
    <row r="353" ht="15.75" customHeight="1">
      <c r="B353" s="2"/>
      <c r="E353" s="2"/>
      <c r="F353" s="2"/>
      <c r="T353" s="2"/>
      <c r="X353" s="2"/>
      <c r="Z353" s="2"/>
      <c r="AM353" s="2"/>
      <c r="AN353" s="2"/>
      <c r="AQ353" s="2"/>
    </row>
    <row r="354" ht="15.75" customHeight="1">
      <c r="B354" s="2"/>
      <c r="E354" s="2"/>
      <c r="F354" s="2"/>
      <c r="T354" s="2"/>
      <c r="X354" s="2"/>
      <c r="Z354" s="2"/>
      <c r="AM354" s="2"/>
      <c r="AN354" s="2"/>
      <c r="AQ354" s="2"/>
    </row>
    <row r="355" ht="15.75" customHeight="1">
      <c r="B355" s="2"/>
      <c r="E355" s="2"/>
      <c r="F355" s="2"/>
      <c r="T355" s="2"/>
      <c r="X355" s="2"/>
      <c r="Z355" s="2"/>
      <c r="AM355" s="2"/>
      <c r="AN355" s="2"/>
      <c r="AQ355" s="2"/>
    </row>
    <row r="356" ht="15.75" customHeight="1">
      <c r="B356" s="2"/>
      <c r="E356" s="2"/>
      <c r="F356" s="2"/>
      <c r="T356" s="2"/>
      <c r="X356" s="2"/>
      <c r="Z356" s="2"/>
      <c r="AM356" s="2"/>
      <c r="AN356" s="2"/>
      <c r="AQ356" s="2"/>
    </row>
    <row r="357" ht="15.75" customHeight="1">
      <c r="B357" s="2"/>
      <c r="E357" s="2"/>
      <c r="F357" s="2"/>
      <c r="T357" s="2"/>
      <c r="X357" s="2"/>
      <c r="Z357" s="2"/>
      <c r="AM357" s="2"/>
      <c r="AN357" s="2"/>
      <c r="AQ357" s="2"/>
    </row>
    <row r="358" ht="15.75" customHeight="1">
      <c r="B358" s="2"/>
      <c r="E358" s="2"/>
      <c r="F358" s="2"/>
      <c r="T358" s="2"/>
      <c r="X358" s="2"/>
      <c r="Z358" s="2"/>
      <c r="AM358" s="2"/>
      <c r="AN358" s="2"/>
      <c r="AQ358" s="2"/>
    </row>
    <row r="359" ht="15.75" customHeight="1">
      <c r="B359" s="2"/>
      <c r="E359" s="2"/>
      <c r="F359" s="2"/>
      <c r="T359" s="2"/>
      <c r="X359" s="2"/>
      <c r="Z359" s="2"/>
      <c r="AM359" s="2"/>
      <c r="AN359" s="2"/>
      <c r="AQ359" s="2"/>
    </row>
    <row r="360" ht="15.75" customHeight="1">
      <c r="B360" s="2"/>
      <c r="E360" s="2"/>
      <c r="F360" s="2"/>
      <c r="T360" s="2"/>
      <c r="X360" s="2"/>
      <c r="Z360" s="2"/>
      <c r="AM360" s="2"/>
      <c r="AN360" s="2"/>
      <c r="AQ360" s="2"/>
    </row>
    <row r="361" ht="15.75" customHeight="1">
      <c r="B361" s="2"/>
      <c r="E361" s="2"/>
      <c r="F361" s="2"/>
      <c r="T361" s="2"/>
      <c r="X361" s="2"/>
      <c r="Z361" s="2"/>
      <c r="AM361" s="2"/>
      <c r="AN361" s="2"/>
      <c r="AQ361" s="2"/>
    </row>
    <row r="362" ht="15.75" customHeight="1">
      <c r="B362" s="2"/>
      <c r="E362" s="2"/>
      <c r="F362" s="2"/>
      <c r="T362" s="2"/>
      <c r="X362" s="2"/>
      <c r="Z362" s="2"/>
      <c r="AM362" s="2"/>
      <c r="AN362" s="2"/>
      <c r="AQ362" s="2"/>
    </row>
    <row r="363" ht="15.75" customHeight="1">
      <c r="B363" s="2"/>
      <c r="E363" s="2"/>
      <c r="F363" s="2"/>
      <c r="T363" s="2"/>
      <c r="X363" s="2"/>
      <c r="Z363" s="2"/>
      <c r="AM363" s="2"/>
      <c r="AN363" s="2"/>
      <c r="AQ363" s="2"/>
    </row>
    <row r="364" ht="15.75" customHeight="1">
      <c r="B364" s="2"/>
      <c r="E364" s="2"/>
      <c r="F364" s="2"/>
      <c r="T364" s="2"/>
      <c r="X364" s="2"/>
      <c r="Z364" s="2"/>
      <c r="AM364" s="2"/>
      <c r="AN364" s="2"/>
      <c r="AQ364" s="2"/>
    </row>
    <row r="365" ht="15.75" customHeight="1">
      <c r="B365" s="2"/>
      <c r="E365" s="2"/>
      <c r="F365" s="2"/>
      <c r="T365" s="2"/>
      <c r="X365" s="2"/>
      <c r="Z365" s="2"/>
      <c r="AM365" s="2"/>
      <c r="AN365" s="2"/>
      <c r="AQ365" s="2"/>
    </row>
    <row r="366" ht="15.75" customHeight="1">
      <c r="B366" s="2"/>
      <c r="E366" s="2"/>
      <c r="F366" s="2"/>
      <c r="T366" s="2"/>
      <c r="X366" s="2"/>
      <c r="Z366" s="2"/>
      <c r="AM366" s="2"/>
      <c r="AN366" s="2"/>
      <c r="AQ366" s="2"/>
    </row>
    <row r="367" ht="15.75" customHeight="1">
      <c r="B367" s="2"/>
      <c r="E367" s="2"/>
      <c r="F367" s="2"/>
      <c r="T367" s="2"/>
      <c r="X367" s="2"/>
      <c r="Z367" s="2"/>
      <c r="AM367" s="2"/>
      <c r="AN367" s="2"/>
      <c r="AQ367" s="2"/>
    </row>
    <row r="368" ht="15.75" customHeight="1">
      <c r="B368" s="2"/>
      <c r="E368" s="2"/>
      <c r="F368" s="2"/>
      <c r="T368" s="2"/>
      <c r="X368" s="2"/>
      <c r="Z368" s="2"/>
      <c r="AM368" s="2"/>
      <c r="AN368" s="2"/>
      <c r="AQ368" s="2"/>
    </row>
    <row r="369" ht="15.75" customHeight="1">
      <c r="B369" s="2"/>
      <c r="E369" s="2"/>
      <c r="F369" s="2"/>
      <c r="T369" s="2"/>
      <c r="X369" s="2"/>
      <c r="Z369" s="2"/>
      <c r="AM369" s="2"/>
      <c r="AN369" s="2"/>
      <c r="AQ369" s="2"/>
    </row>
    <row r="370" ht="15.75" customHeight="1">
      <c r="B370" s="2"/>
      <c r="E370" s="2"/>
      <c r="F370" s="2"/>
      <c r="T370" s="2"/>
      <c r="X370" s="2"/>
      <c r="Z370" s="2"/>
      <c r="AM370" s="2"/>
      <c r="AN370" s="2"/>
      <c r="AQ370" s="2"/>
    </row>
    <row r="371" ht="15.75" customHeight="1">
      <c r="B371" s="2"/>
      <c r="E371" s="2"/>
      <c r="F371" s="2"/>
      <c r="T371" s="2"/>
      <c r="X371" s="2"/>
      <c r="Z371" s="2"/>
      <c r="AM371" s="2"/>
      <c r="AN371" s="2"/>
      <c r="AQ371" s="2"/>
    </row>
    <row r="372" ht="15.75" customHeight="1">
      <c r="B372" s="2"/>
      <c r="E372" s="2"/>
      <c r="F372" s="2"/>
      <c r="T372" s="2"/>
      <c r="X372" s="2"/>
      <c r="Z372" s="2"/>
      <c r="AM372" s="2"/>
      <c r="AN372" s="2"/>
      <c r="AQ372" s="2"/>
    </row>
    <row r="373" ht="15.75" customHeight="1">
      <c r="B373" s="2"/>
      <c r="E373" s="2"/>
      <c r="F373" s="2"/>
      <c r="T373" s="2"/>
      <c r="X373" s="2"/>
      <c r="Z373" s="2"/>
      <c r="AM373" s="2"/>
      <c r="AN373" s="2"/>
      <c r="AQ373" s="2"/>
    </row>
    <row r="374" ht="15.75" customHeight="1">
      <c r="B374" s="2"/>
      <c r="E374" s="2"/>
      <c r="F374" s="2"/>
      <c r="T374" s="2"/>
      <c r="X374" s="2"/>
      <c r="Z374" s="2"/>
      <c r="AM374" s="2"/>
      <c r="AN374" s="2"/>
      <c r="AQ374" s="2"/>
    </row>
    <row r="375" ht="15.75" customHeight="1">
      <c r="B375" s="2"/>
      <c r="E375" s="2"/>
      <c r="F375" s="2"/>
      <c r="T375" s="2"/>
      <c r="X375" s="2"/>
      <c r="Z375" s="2"/>
      <c r="AM375" s="2"/>
      <c r="AN375" s="2"/>
      <c r="AQ375" s="2"/>
    </row>
    <row r="376" ht="15.75" customHeight="1">
      <c r="B376" s="2"/>
      <c r="E376" s="2"/>
      <c r="F376" s="2"/>
      <c r="T376" s="2"/>
      <c r="X376" s="2"/>
      <c r="Z376" s="2"/>
      <c r="AM376" s="2"/>
      <c r="AN376" s="2"/>
      <c r="AQ376" s="2"/>
    </row>
    <row r="377" ht="15.75" customHeight="1">
      <c r="B377" s="2"/>
      <c r="E377" s="2"/>
      <c r="F377" s="2"/>
      <c r="T377" s="2"/>
      <c r="X377" s="2"/>
      <c r="Z377" s="2"/>
      <c r="AM377" s="2"/>
      <c r="AN377" s="2"/>
      <c r="AQ377" s="2"/>
    </row>
    <row r="378" ht="15.75" customHeight="1">
      <c r="B378" s="2"/>
      <c r="E378" s="2"/>
      <c r="F378" s="2"/>
      <c r="T378" s="2"/>
      <c r="X378" s="2"/>
      <c r="Z378" s="2"/>
      <c r="AM378" s="2"/>
      <c r="AN378" s="2"/>
      <c r="AQ378" s="2"/>
    </row>
    <row r="379" ht="15.75" customHeight="1">
      <c r="B379" s="2"/>
      <c r="E379" s="2"/>
      <c r="F379" s="2"/>
      <c r="T379" s="2"/>
      <c r="X379" s="2"/>
      <c r="Z379" s="2"/>
      <c r="AM379" s="2"/>
      <c r="AN379" s="2"/>
      <c r="AQ379" s="2"/>
    </row>
    <row r="380" ht="15.75" customHeight="1">
      <c r="B380" s="2"/>
      <c r="E380" s="2"/>
      <c r="F380" s="2"/>
      <c r="T380" s="2"/>
      <c r="X380" s="2"/>
      <c r="Z380" s="2"/>
      <c r="AM380" s="2"/>
      <c r="AN380" s="2"/>
      <c r="AQ380" s="2"/>
    </row>
    <row r="381" ht="15.75" customHeight="1">
      <c r="B381" s="2"/>
      <c r="E381" s="2"/>
      <c r="F381" s="2"/>
      <c r="T381" s="2"/>
      <c r="X381" s="2"/>
      <c r="Z381" s="2"/>
      <c r="AM381" s="2"/>
      <c r="AN381" s="2"/>
      <c r="AQ381" s="2"/>
    </row>
    <row r="382" ht="15.75" customHeight="1">
      <c r="B382" s="2"/>
      <c r="E382" s="2"/>
      <c r="F382" s="2"/>
      <c r="T382" s="2"/>
      <c r="X382" s="2"/>
      <c r="Z382" s="2"/>
      <c r="AM382" s="2"/>
      <c r="AN382" s="2"/>
      <c r="AQ382" s="2"/>
    </row>
    <row r="383" ht="15.75" customHeight="1">
      <c r="B383" s="2"/>
      <c r="E383" s="2"/>
      <c r="F383" s="2"/>
      <c r="T383" s="2"/>
      <c r="X383" s="2"/>
      <c r="Z383" s="2"/>
      <c r="AM383" s="2"/>
      <c r="AN383" s="2"/>
      <c r="AQ383" s="2"/>
    </row>
    <row r="384" ht="15.75" customHeight="1">
      <c r="B384" s="2"/>
      <c r="E384" s="2"/>
      <c r="F384" s="2"/>
      <c r="T384" s="2"/>
      <c r="X384" s="2"/>
      <c r="Z384" s="2"/>
      <c r="AM384" s="2"/>
      <c r="AN384" s="2"/>
      <c r="AQ384" s="2"/>
    </row>
    <row r="385" ht="15.75" customHeight="1">
      <c r="B385" s="2"/>
      <c r="E385" s="2"/>
      <c r="F385" s="2"/>
      <c r="T385" s="2"/>
      <c r="X385" s="2"/>
      <c r="Z385" s="2"/>
      <c r="AM385" s="2"/>
      <c r="AN385" s="2"/>
      <c r="AQ385" s="2"/>
    </row>
    <row r="386" ht="15.75" customHeight="1">
      <c r="B386" s="2"/>
      <c r="E386" s="2"/>
      <c r="F386" s="2"/>
      <c r="T386" s="2"/>
      <c r="X386" s="2"/>
      <c r="Z386" s="2"/>
      <c r="AM386" s="2"/>
      <c r="AN386" s="2"/>
      <c r="AQ386" s="2"/>
    </row>
    <row r="387" ht="15.75" customHeight="1">
      <c r="B387" s="2"/>
      <c r="E387" s="2"/>
      <c r="F387" s="2"/>
      <c r="T387" s="2"/>
      <c r="X387" s="2"/>
      <c r="Z387" s="2"/>
      <c r="AM387" s="2"/>
      <c r="AN387" s="2"/>
      <c r="AQ387" s="2"/>
    </row>
    <row r="388" ht="15.75" customHeight="1">
      <c r="B388" s="2"/>
      <c r="E388" s="2"/>
      <c r="F388" s="2"/>
      <c r="T388" s="2"/>
      <c r="X388" s="2"/>
      <c r="Z388" s="2"/>
      <c r="AM388" s="2"/>
      <c r="AN388" s="2"/>
      <c r="AQ388" s="2"/>
    </row>
    <row r="389" ht="15.75" customHeight="1">
      <c r="B389" s="2"/>
      <c r="E389" s="2"/>
      <c r="F389" s="2"/>
      <c r="T389" s="2"/>
      <c r="X389" s="2"/>
      <c r="Z389" s="2"/>
      <c r="AM389" s="2"/>
      <c r="AN389" s="2"/>
      <c r="AQ389" s="2"/>
    </row>
    <row r="390" ht="15.75" customHeight="1">
      <c r="B390" s="2"/>
      <c r="E390" s="2"/>
      <c r="F390" s="2"/>
      <c r="T390" s="2"/>
      <c r="X390" s="2"/>
      <c r="Z390" s="2"/>
      <c r="AM390" s="2"/>
      <c r="AN390" s="2"/>
      <c r="AQ390" s="2"/>
    </row>
    <row r="391" ht="15.75" customHeight="1">
      <c r="B391" s="2"/>
      <c r="E391" s="2"/>
      <c r="F391" s="2"/>
      <c r="T391" s="2"/>
      <c r="X391" s="2"/>
      <c r="Z391" s="2"/>
      <c r="AM391" s="2"/>
      <c r="AN391" s="2"/>
      <c r="AQ391" s="2"/>
    </row>
    <row r="392" ht="15.75" customHeight="1">
      <c r="B392" s="2"/>
      <c r="E392" s="2"/>
      <c r="F392" s="2"/>
      <c r="T392" s="2"/>
      <c r="X392" s="2"/>
      <c r="Z392" s="2"/>
      <c r="AM392" s="2"/>
      <c r="AN392" s="2"/>
      <c r="AQ392" s="2"/>
    </row>
    <row r="393" ht="15.75" customHeight="1">
      <c r="B393" s="2"/>
      <c r="E393" s="2"/>
      <c r="F393" s="2"/>
      <c r="T393" s="2"/>
      <c r="X393" s="2"/>
      <c r="Z393" s="2"/>
      <c r="AM393" s="2"/>
      <c r="AN393" s="2"/>
      <c r="AQ393" s="2"/>
    </row>
    <row r="394" ht="15.75" customHeight="1">
      <c r="B394" s="2"/>
      <c r="E394" s="2"/>
      <c r="F394" s="2"/>
      <c r="T394" s="2"/>
      <c r="X394" s="2"/>
      <c r="Z394" s="2"/>
      <c r="AM394" s="2"/>
      <c r="AN394" s="2"/>
      <c r="AQ394" s="2"/>
    </row>
    <row r="395" ht="15.75" customHeight="1">
      <c r="B395" s="2"/>
      <c r="E395" s="2"/>
      <c r="F395" s="2"/>
      <c r="T395" s="2"/>
      <c r="X395" s="2"/>
      <c r="Z395" s="2"/>
      <c r="AM395" s="2"/>
      <c r="AN395" s="2"/>
      <c r="AQ395" s="2"/>
    </row>
    <row r="396" ht="15.75" customHeight="1">
      <c r="B396" s="2"/>
      <c r="E396" s="2"/>
      <c r="F396" s="2"/>
      <c r="T396" s="2"/>
      <c r="X396" s="2"/>
      <c r="Z396" s="2"/>
      <c r="AM396" s="2"/>
      <c r="AN396" s="2"/>
      <c r="AQ396" s="2"/>
    </row>
    <row r="397" ht="15.75" customHeight="1">
      <c r="B397" s="2"/>
      <c r="E397" s="2"/>
      <c r="F397" s="2"/>
      <c r="T397" s="2"/>
      <c r="X397" s="2"/>
      <c r="Z397" s="2"/>
      <c r="AM397" s="2"/>
      <c r="AN397" s="2"/>
      <c r="AQ397" s="2"/>
    </row>
    <row r="398" ht="15.75" customHeight="1">
      <c r="B398" s="2"/>
      <c r="E398" s="2"/>
      <c r="F398" s="2"/>
      <c r="T398" s="2"/>
      <c r="X398" s="2"/>
      <c r="Z398" s="2"/>
      <c r="AM398" s="2"/>
      <c r="AN398" s="2"/>
      <c r="AQ398" s="2"/>
    </row>
    <row r="399" ht="15.75" customHeight="1">
      <c r="B399" s="2"/>
      <c r="E399" s="2"/>
      <c r="F399" s="2"/>
      <c r="T399" s="2"/>
      <c r="X399" s="2"/>
      <c r="Z399" s="2"/>
      <c r="AM399" s="2"/>
      <c r="AN399" s="2"/>
      <c r="AQ399" s="2"/>
    </row>
    <row r="400" ht="15.75" customHeight="1">
      <c r="B400" s="2"/>
      <c r="E400" s="2"/>
      <c r="F400" s="2"/>
      <c r="T400" s="2"/>
      <c r="X400" s="2"/>
      <c r="Z400" s="2"/>
      <c r="AM400" s="2"/>
      <c r="AN400" s="2"/>
      <c r="AQ400" s="2"/>
    </row>
    <row r="401" ht="15.75" customHeight="1">
      <c r="B401" s="2"/>
      <c r="E401" s="2"/>
      <c r="F401" s="2"/>
      <c r="T401" s="2"/>
      <c r="X401" s="2"/>
      <c r="Z401" s="2"/>
      <c r="AM401" s="2"/>
      <c r="AN401" s="2"/>
      <c r="AQ401" s="2"/>
    </row>
    <row r="402" ht="15.75" customHeight="1">
      <c r="B402" s="2"/>
      <c r="E402" s="2"/>
      <c r="F402" s="2"/>
      <c r="T402" s="2"/>
      <c r="X402" s="2"/>
      <c r="Z402" s="2"/>
      <c r="AM402" s="2"/>
      <c r="AN402" s="2"/>
      <c r="AQ402" s="2"/>
    </row>
    <row r="403" ht="15.75" customHeight="1">
      <c r="B403" s="2"/>
      <c r="E403" s="2"/>
      <c r="F403" s="2"/>
      <c r="T403" s="2"/>
      <c r="X403" s="2"/>
      <c r="Z403" s="2"/>
      <c r="AM403" s="2"/>
      <c r="AN403" s="2"/>
      <c r="AQ403" s="2"/>
    </row>
    <row r="404" ht="15.75" customHeight="1">
      <c r="B404" s="2"/>
      <c r="E404" s="2"/>
      <c r="F404" s="2"/>
      <c r="T404" s="2"/>
      <c r="X404" s="2"/>
      <c r="Z404" s="2"/>
      <c r="AM404" s="2"/>
      <c r="AN404" s="2"/>
      <c r="AQ404" s="2"/>
    </row>
    <row r="405" ht="15.75" customHeight="1">
      <c r="B405" s="2"/>
      <c r="E405" s="2"/>
      <c r="F405" s="2"/>
      <c r="T405" s="2"/>
      <c r="X405" s="2"/>
      <c r="Z405" s="2"/>
      <c r="AM405" s="2"/>
      <c r="AN405" s="2"/>
      <c r="AQ405" s="2"/>
    </row>
    <row r="406" ht="15.75" customHeight="1">
      <c r="B406" s="2"/>
      <c r="E406" s="2"/>
      <c r="F406" s="2"/>
      <c r="T406" s="2"/>
      <c r="X406" s="2"/>
      <c r="Z406" s="2"/>
      <c r="AM406" s="2"/>
      <c r="AN406" s="2"/>
      <c r="AQ406" s="2"/>
    </row>
    <row r="407" ht="15.75" customHeight="1">
      <c r="B407" s="2"/>
      <c r="E407" s="2"/>
      <c r="F407" s="2"/>
      <c r="T407" s="2"/>
      <c r="X407" s="2"/>
      <c r="Z407" s="2"/>
      <c r="AM407" s="2"/>
      <c r="AN407" s="2"/>
      <c r="AQ407" s="2"/>
    </row>
    <row r="408" ht="15.75" customHeight="1">
      <c r="B408" s="2"/>
      <c r="E408" s="2"/>
      <c r="F408" s="2"/>
      <c r="T408" s="2"/>
      <c r="X408" s="2"/>
      <c r="Z408" s="2"/>
      <c r="AM408" s="2"/>
      <c r="AN408" s="2"/>
      <c r="AQ408" s="2"/>
    </row>
    <row r="409" ht="15.75" customHeight="1">
      <c r="B409" s="2"/>
      <c r="E409" s="2"/>
      <c r="F409" s="2"/>
      <c r="T409" s="2"/>
      <c r="X409" s="2"/>
      <c r="Z409" s="2"/>
      <c r="AM409" s="2"/>
      <c r="AN409" s="2"/>
      <c r="AQ409" s="2"/>
    </row>
    <row r="410" ht="15.75" customHeight="1">
      <c r="B410" s="2"/>
      <c r="E410" s="2"/>
      <c r="F410" s="2"/>
      <c r="T410" s="2"/>
      <c r="X410" s="2"/>
      <c r="Z410" s="2"/>
      <c r="AM410" s="2"/>
      <c r="AN410" s="2"/>
      <c r="AQ410" s="2"/>
    </row>
    <row r="411" ht="15.75" customHeight="1">
      <c r="B411" s="2"/>
      <c r="E411" s="2"/>
      <c r="F411" s="2"/>
      <c r="T411" s="2"/>
      <c r="X411" s="2"/>
      <c r="Z411" s="2"/>
      <c r="AM411" s="2"/>
      <c r="AN411" s="2"/>
      <c r="AQ411" s="2"/>
    </row>
    <row r="412" ht="15.75" customHeight="1">
      <c r="B412" s="2"/>
      <c r="E412" s="2"/>
      <c r="F412" s="2"/>
      <c r="T412" s="2"/>
      <c r="X412" s="2"/>
      <c r="Z412" s="2"/>
      <c r="AM412" s="2"/>
      <c r="AN412" s="2"/>
      <c r="AQ412" s="2"/>
    </row>
    <row r="413" ht="15.75" customHeight="1">
      <c r="B413" s="2"/>
      <c r="E413" s="2"/>
      <c r="F413" s="2"/>
      <c r="T413" s="2"/>
      <c r="X413" s="2"/>
      <c r="Z413" s="2"/>
      <c r="AM413" s="2"/>
      <c r="AN413" s="2"/>
      <c r="AQ413" s="2"/>
    </row>
    <row r="414" ht="15.75" customHeight="1">
      <c r="B414" s="2"/>
      <c r="E414" s="2"/>
      <c r="F414" s="2"/>
      <c r="T414" s="2"/>
      <c r="X414" s="2"/>
      <c r="Z414" s="2"/>
      <c r="AM414" s="2"/>
      <c r="AN414" s="2"/>
      <c r="AQ414" s="2"/>
    </row>
    <row r="415" ht="15.75" customHeight="1">
      <c r="B415" s="2"/>
      <c r="E415" s="2"/>
      <c r="F415" s="2"/>
      <c r="T415" s="2"/>
      <c r="X415" s="2"/>
      <c r="Z415" s="2"/>
      <c r="AM415" s="2"/>
      <c r="AN415" s="2"/>
      <c r="AQ415" s="2"/>
    </row>
    <row r="416" ht="15.75" customHeight="1">
      <c r="B416" s="2"/>
      <c r="E416" s="2"/>
      <c r="F416" s="2"/>
      <c r="T416" s="2"/>
      <c r="X416" s="2"/>
      <c r="Z416" s="2"/>
      <c r="AM416" s="2"/>
      <c r="AN416" s="2"/>
      <c r="AQ416" s="2"/>
    </row>
    <row r="417" ht="15.75" customHeight="1">
      <c r="B417" s="2"/>
      <c r="E417" s="2"/>
      <c r="F417" s="2"/>
      <c r="T417" s="2"/>
      <c r="X417" s="2"/>
      <c r="Z417" s="2"/>
      <c r="AM417" s="2"/>
      <c r="AN417" s="2"/>
      <c r="AQ417" s="2"/>
    </row>
    <row r="418" ht="15.75" customHeight="1">
      <c r="B418" s="2"/>
      <c r="E418" s="2"/>
      <c r="F418" s="2"/>
      <c r="T418" s="2"/>
      <c r="X418" s="2"/>
      <c r="Z418" s="2"/>
      <c r="AM418" s="2"/>
      <c r="AN418" s="2"/>
      <c r="AQ418" s="2"/>
    </row>
    <row r="419" ht="15.75" customHeight="1">
      <c r="B419" s="2"/>
      <c r="E419" s="2"/>
      <c r="F419" s="2"/>
      <c r="T419" s="2"/>
      <c r="X419" s="2"/>
      <c r="Z419" s="2"/>
      <c r="AM419" s="2"/>
      <c r="AN419" s="2"/>
      <c r="AQ419" s="2"/>
    </row>
    <row r="420" ht="15.75" customHeight="1">
      <c r="B420" s="2"/>
      <c r="E420" s="2"/>
      <c r="F420" s="2"/>
      <c r="T420" s="2"/>
      <c r="X420" s="2"/>
      <c r="Z420" s="2"/>
      <c r="AM420" s="2"/>
      <c r="AN420" s="2"/>
      <c r="AQ420" s="2"/>
    </row>
    <row r="421" ht="15.75" customHeight="1">
      <c r="B421" s="2"/>
      <c r="E421" s="2"/>
      <c r="F421" s="2"/>
      <c r="T421" s="2"/>
      <c r="X421" s="2"/>
      <c r="Z421" s="2"/>
      <c r="AM421" s="2"/>
      <c r="AN421" s="2"/>
      <c r="AQ421" s="2"/>
    </row>
    <row r="422" ht="15.75" customHeight="1">
      <c r="B422" s="2"/>
      <c r="E422" s="2"/>
      <c r="F422" s="2"/>
      <c r="T422" s="2"/>
      <c r="X422" s="2"/>
      <c r="Z422" s="2"/>
      <c r="AM422" s="2"/>
      <c r="AN422" s="2"/>
      <c r="AQ422" s="2"/>
    </row>
    <row r="423" ht="15.75" customHeight="1">
      <c r="B423" s="2"/>
      <c r="E423" s="2"/>
      <c r="F423" s="2"/>
      <c r="T423" s="2"/>
      <c r="X423" s="2"/>
      <c r="Z423" s="2"/>
      <c r="AM423" s="2"/>
      <c r="AN423" s="2"/>
      <c r="AQ423" s="2"/>
    </row>
    <row r="424" ht="15.75" customHeight="1">
      <c r="B424" s="2"/>
      <c r="E424" s="2"/>
      <c r="F424" s="2"/>
      <c r="T424" s="2"/>
      <c r="X424" s="2"/>
      <c r="Z424" s="2"/>
      <c r="AM424" s="2"/>
      <c r="AN424" s="2"/>
      <c r="AQ424" s="2"/>
    </row>
    <row r="425" ht="15.75" customHeight="1">
      <c r="B425" s="2"/>
      <c r="E425" s="2"/>
      <c r="F425" s="2"/>
      <c r="T425" s="2"/>
      <c r="X425" s="2"/>
      <c r="Z425" s="2"/>
      <c r="AM425" s="2"/>
      <c r="AN425" s="2"/>
      <c r="AQ425" s="2"/>
    </row>
    <row r="426" ht="15.75" customHeight="1">
      <c r="B426" s="2"/>
      <c r="E426" s="2"/>
      <c r="F426" s="2"/>
      <c r="T426" s="2"/>
      <c r="X426" s="2"/>
      <c r="Z426" s="2"/>
      <c r="AM426" s="2"/>
      <c r="AN426" s="2"/>
      <c r="AQ426" s="2"/>
    </row>
    <row r="427" ht="15.75" customHeight="1">
      <c r="B427" s="2"/>
      <c r="E427" s="2"/>
      <c r="F427" s="2"/>
      <c r="T427" s="2"/>
      <c r="X427" s="2"/>
      <c r="Z427" s="2"/>
      <c r="AM427" s="2"/>
      <c r="AN427" s="2"/>
      <c r="AQ427" s="2"/>
    </row>
    <row r="428" ht="15.75" customHeight="1">
      <c r="B428" s="2"/>
      <c r="E428" s="2"/>
      <c r="F428" s="2"/>
      <c r="T428" s="2"/>
      <c r="X428" s="2"/>
      <c r="Z428" s="2"/>
      <c r="AM428" s="2"/>
      <c r="AN428" s="2"/>
      <c r="AQ428" s="2"/>
    </row>
    <row r="429" ht="15.75" customHeight="1">
      <c r="B429" s="2"/>
      <c r="E429" s="2"/>
      <c r="F429" s="2"/>
      <c r="T429" s="2"/>
      <c r="X429" s="2"/>
      <c r="Z429" s="2"/>
      <c r="AM429" s="2"/>
      <c r="AN429" s="2"/>
      <c r="AQ429" s="2"/>
    </row>
    <row r="430" ht="15.75" customHeight="1">
      <c r="B430" s="2"/>
      <c r="E430" s="2"/>
      <c r="F430" s="2"/>
      <c r="T430" s="2"/>
      <c r="X430" s="2"/>
      <c r="Z430" s="2"/>
      <c r="AM430" s="2"/>
      <c r="AN430" s="2"/>
      <c r="AQ430" s="2"/>
    </row>
    <row r="431" ht="15.75" customHeight="1">
      <c r="B431" s="2"/>
      <c r="E431" s="2"/>
      <c r="F431" s="2"/>
      <c r="T431" s="2"/>
      <c r="X431" s="2"/>
      <c r="Z431" s="2"/>
      <c r="AM431" s="2"/>
      <c r="AN431" s="2"/>
      <c r="AQ431" s="2"/>
    </row>
    <row r="432" ht="15.75" customHeight="1">
      <c r="B432" s="2"/>
      <c r="E432" s="2"/>
      <c r="F432" s="2"/>
      <c r="T432" s="2"/>
      <c r="X432" s="2"/>
      <c r="Z432" s="2"/>
      <c r="AM432" s="2"/>
      <c r="AN432" s="2"/>
      <c r="AQ432" s="2"/>
    </row>
    <row r="433" ht="15.75" customHeight="1">
      <c r="B433" s="2"/>
      <c r="E433" s="2"/>
      <c r="F433" s="2"/>
      <c r="T433" s="2"/>
      <c r="X433" s="2"/>
      <c r="Z433" s="2"/>
      <c r="AM433" s="2"/>
      <c r="AN433" s="2"/>
      <c r="AQ433" s="2"/>
    </row>
    <row r="434" ht="15.75" customHeight="1">
      <c r="B434" s="2"/>
      <c r="E434" s="2"/>
      <c r="F434" s="2"/>
      <c r="T434" s="2"/>
      <c r="X434" s="2"/>
      <c r="Z434" s="2"/>
      <c r="AM434" s="2"/>
      <c r="AN434" s="2"/>
      <c r="AQ434" s="2"/>
    </row>
    <row r="435" ht="15.75" customHeight="1">
      <c r="B435" s="2"/>
      <c r="E435" s="2"/>
      <c r="F435" s="2"/>
      <c r="T435" s="2"/>
      <c r="X435" s="2"/>
      <c r="Z435" s="2"/>
      <c r="AM435" s="2"/>
      <c r="AN435" s="2"/>
      <c r="AQ435" s="2"/>
    </row>
    <row r="436" ht="15.75" customHeight="1">
      <c r="B436" s="2"/>
      <c r="E436" s="2"/>
      <c r="F436" s="2"/>
      <c r="T436" s="2"/>
      <c r="X436" s="2"/>
      <c r="Z436" s="2"/>
      <c r="AM436" s="2"/>
      <c r="AN436" s="2"/>
      <c r="AQ436" s="2"/>
    </row>
    <row r="437" ht="15.75" customHeight="1">
      <c r="B437" s="2"/>
      <c r="E437" s="2"/>
      <c r="F437" s="2"/>
      <c r="T437" s="2"/>
      <c r="X437" s="2"/>
      <c r="Z437" s="2"/>
      <c r="AM437" s="2"/>
      <c r="AN437" s="2"/>
      <c r="AQ437" s="2"/>
    </row>
    <row r="438" ht="15.75" customHeight="1">
      <c r="B438" s="2"/>
      <c r="E438" s="2"/>
      <c r="F438" s="2"/>
      <c r="T438" s="2"/>
      <c r="X438" s="2"/>
      <c r="Z438" s="2"/>
      <c r="AM438" s="2"/>
      <c r="AN438" s="2"/>
      <c r="AQ438" s="2"/>
    </row>
    <row r="439" ht="15.75" customHeight="1">
      <c r="B439" s="2"/>
      <c r="E439" s="2"/>
      <c r="F439" s="2"/>
      <c r="T439" s="2"/>
      <c r="X439" s="2"/>
      <c r="Z439" s="2"/>
      <c r="AM439" s="2"/>
      <c r="AN439" s="2"/>
      <c r="AQ439" s="2"/>
    </row>
    <row r="440" ht="15.75" customHeight="1">
      <c r="B440" s="2"/>
      <c r="E440" s="2"/>
      <c r="F440" s="2"/>
      <c r="T440" s="2"/>
      <c r="X440" s="2"/>
      <c r="Z440" s="2"/>
      <c r="AM440" s="2"/>
      <c r="AN440" s="2"/>
      <c r="AQ440" s="2"/>
    </row>
    <row r="441" ht="15.75" customHeight="1">
      <c r="B441" s="2"/>
      <c r="E441" s="2"/>
      <c r="F441" s="2"/>
      <c r="T441" s="2"/>
      <c r="X441" s="2"/>
      <c r="Z441" s="2"/>
      <c r="AM441" s="2"/>
      <c r="AN441" s="2"/>
      <c r="AQ441" s="2"/>
    </row>
    <row r="442" ht="15.75" customHeight="1">
      <c r="B442" s="2"/>
      <c r="E442" s="2"/>
      <c r="F442" s="2"/>
      <c r="T442" s="2"/>
      <c r="X442" s="2"/>
      <c r="Z442" s="2"/>
      <c r="AM442" s="2"/>
      <c r="AN442" s="2"/>
      <c r="AQ442" s="2"/>
    </row>
    <row r="443" ht="15.75" customHeight="1">
      <c r="B443" s="2"/>
      <c r="E443" s="2"/>
      <c r="F443" s="2"/>
      <c r="T443" s="2"/>
      <c r="X443" s="2"/>
      <c r="Z443" s="2"/>
      <c r="AM443" s="2"/>
      <c r="AN443" s="2"/>
      <c r="AQ443" s="2"/>
    </row>
    <row r="444" ht="15.75" customHeight="1">
      <c r="B444" s="2"/>
      <c r="E444" s="2"/>
      <c r="F444" s="2"/>
      <c r="T444" s="2"/>
      <c r="X444" s="2"/>
      <c r="Z444" s="2"/>
      <c r="AM444" s="2"/>
      <c r="AN444" s="2"/>
      <c r="AQ444" s="2"/>
    </row>
    <row r="445" ht="15.75" customHeight="1">
      <c r="B445" s="2"/>
      <c r="E445" s="2"/>
      <c r="F445" s="2"/>
      <c r="T445" s="2"/>
      <c r="X445" s="2"/>
      <c r="Z445" s="2"/>
      <c r="AM445" s="2"/>
      <c r="AN445" s="2"/>
      <c r="AQ445" s="2"/>
    </row>
    <row r="446" ht="15.75" customHeight="1">
      <c r="B446" s="2"/>
      <c r="E446" s="2"/>
      <c r="F446" s="2"/>
      <c r="T446" s="2"/>
      <c r="X446" s="2"/>
      <c r="Z446" s="2"/>
      <c r="AM446" s="2"/>
      <c r="AN446" s="2"/>
      <c r="AQ446" s="2"/>
    </row>
    <row r="447" ht="15.75" customHeight="1">
      <c r="B447" s="2"/>
      <c r="E447" s="2"/>
      <c r="F447" s="2"/>
      <c r="T447" s="2"/>
      <c r="X447" s="2"/>
      <c r="Z447" s="2"/>
      <c r="AM447" s="2"/>
      <c r="AN447" s="2"/>
      <c r="AQ447" s="2"/>
    </row>
    <row r="448" ht="15.75" customHeight="1">
      <c r="B448" s="2"/>
      <c r="E448" s="2"/>
      <c r="F448" s="2"/>
      <c r="T448" s="2"/>
      <c r="X448" s="2"/>
      <c r="Z448" s="2"/>
      <c r="AM448" s="2"/>
      <c r="AN448" s="2"/>
      <c r="AQ448" s="2"/>
    </row>
    <row r="449" ht="15.75" customHeight="1">
      <c r="B449" s="2"/>
      <c r="E449" s="2"/>
      <c r="F449" s="2"/>
      <c r="T449" s="2"/>
      <c r="X449" s="2"/>
      <c r="Z449" s="2"/>
      <c r="AM449" s="2"/>
      <c r="AN449" s="2"/>
      <c r="AQ449" s="2"/>
    </row>
    <row r="450" ht="15.75" customHeight="1">
      <c r="B450" s="2"/>
      <c r="E450" s="2"/>
      <c r="F450" s="2"/>
      <c r="T450" s="2"/>
      <c r="X450" s="2"/>
      <c r="Z450" s="2"/>
      <c r="AM450" s="2"/>
      <c r="AN450" s="2"/>
      <c r="AQ450" s="2"/>
    </row>
    <row r="451" ht="15.75" customHeight="1">
      <c r="B451" s="2"/>
      <c r="E451" s="2"/>
      <c r="F451" s="2"/>
      <c r="T451" s="2"/>
      <c r="X451" s="2"/>
      <c r="Z451" s="2"/>
      <c r="AM451" s="2"/>
      <c r="AN451" s="2"/>
      <c r="AQ451" s="2"/>
    </row>
    <row r="452" ht="15.75" customHeight="1">
      <c r="B452" s="2"/>
      <c r="E452" s="2"/>
      <c r="F452" s="2"/>
      <c r="T452" s="2"/>
      <c r="X452" s="2"/>
      <c r="Z452" s="2"/>
      <c r="AM452" s="2"/>
      <c r="AN452" s="2"/>
      <c r="AQ452" s="2"/>
    </row>
    <row r="453" ht="15.75" customHeight="1">
      <c r="B453" s="2"/>
      <c r="E453" s="2"/>
      <c r="F453" s="2"/>
      <c r="T453" s="2"/>
      <c r="X453" s="2"/>
      <c r="Z453" s="2"/>
      <c r="AM453" s="2"/>
      <c r="AN453" s="2"/>
      <c r="AQ453" s="2"/>
    </row>
    <row r="454" ht="15.75" customHeight="1">
      <c r="B454" s="2"/>
      <c r="E454" s="2"/>
      <c r="F454" s="2"/>
      <c r="T454" s="2"/>
      <c r="X454" s="2"/>
      <c r="Z454" s="2"/>
      <c r="AM454" s="2"/>
      <c r="AN454" s="2"/>
      <c r="AQ454" s="2"/>
    </row>
    <row r="455" ht="15.75" customHeight="1">
      <c r="B455" s="2"/>
      <c r="E455" s="2"/>
      <c r="F455" s="2"/>
      <c r="T455" s="2"/>
      <c r="X455" s="2"/>
      <c r="Z455" s="2"/>
      <c r="AM455" s="2"/>
      <c r="AN455" s="2"/>
      <c r="AQ455" s="2"/>
    </row>
    <row r="456" ht="15.75" customHeight="1">
      <c r="B456" s="2"/>
      <c r="E456" s="2"/>
      <c r="F456" s="2"/>
      <c r="T456" s="2"/>
      <c r="X456" s="2"/>
      <c r="Z456" s="2"/>
      <c r="AM456" s="2"/>
      <c r="AN456" s="2"/>
      <c r="AQ456" s="2"/>
    </row>
    <row r="457" ht="15.75" customHeight="1">
      <c r="B457" s="2"/>
      <c r="E457" s="2"/>
      <c r="F457" s="2"/>
      <c r="T457" s="2"/>
      <c r="X457" s="2"/>
      <c r="Z457" s="2"/>
      <c r="AM457" s="2"/>
      <c r="AN457" s="2"/>
      <c r="AQ457" s="2"/>
    </row>
    <row r="458" ht="15.75" customHeight="1">
      <c r="B458" s="2"/>
      <c r="E458" s="2"/>
      <c r="F458" s="2"/>
      <c r="T458" s="2"/>
      <c r="X458" s="2"/>
      <c r="Z458" s="2"/>
      <c r="AM458" s="2"/>
      <c r="AN458" s="2"/>
      <c r="AQ458" s="2"/>
    </row>
    <row r="459" ht="15.75" customHeight="1">
      <c r="B459" s="2"/>
      <c r="E459" s="2"/>
      <c r="F459" s="2"/>
      <c r="T459" s="2"/>
      <c r="X459" s="2"/>
      <c r="Z459" s="2"/>
      <c r="AM459" s="2"/>
      <c r="AN459" s="2"/>
      <c r="AQ459" s="2"/>
    </row>
    <row r="460" ht="15.75" customHeight="1">
      <c r="B460" s="2"/>
      <c r="E460" s="2"/>
      <c r="F460" s="2"/>
      <c r="T460" s="2"/>
      <c r="X460" s="2"/>
      <c r="Z460" s="2"/>
      <c r="AM460" s="2"/>
      <c r="AN460" s="2"/>
      <c r="AQ460" s="2"/>
    </row>
    <row r="461" ht="15.75" customHeight="1">
      <c r="B461" s="2"/>
      <c r="E461" s="2"/>
      <c r="F461" s="2"/>
      <c r="T461" s="2"/>
      <c r="X461" s="2"/>
      <c r="Z461" s="2"/>
      <c r="AM461" s="2"/>
      <c r="AN461" s="2"/>
      <c r="AQ461" s="2"/>
    </row>
    <row r="462" ht="15.75" customHeight="1">
      <c r="B462" s="2"/>
      <c r="E462" s="2"/>
      <c r="F462" s="2"/>
      <c r="T462" s="2"/>
      <c r="X462" s="2"/>
      <c r="Z462" s="2"/>
      <c r="AM462" s="2"/>
      <c r="AN462" s="2"/>
      <c r="AQ462" s="2"/>
    </row>
    <row r="463" ht="15.75" customHeight="1">
      <c r="B463" s="2"/>
      <c r="E463" s="2"/>
      <c r="F463" s="2"/>
      <c r="T463" s="2"/>
      <c r="X463" s="2"/>
      <c r="Z463" s="2"/>
      <c r="AM463" s="2"/>
      <c r="AN463" s="2"/>
      <c r="AQ463" s="2"/>
    </row>
    <row r="464" ht="15.75" customHeight="1">
      <c r="B464" s="2"/>
      <c r="E464" s="2"/>
      <c r="F464" s="2"/>
      <c r="T464" s="2"/>
      <c r="X464" s="2"/>
      <c r="Z464" s="2"/>
      <c r="AM464" s="2"/>
      <c r="AN464" s="2"/>
      <c r="AQ464" s="2"/>
    </row>
    <row r="465" ht="15.75" customHeight="1">
      <c r="B465" s="2"/>
      <c r="E465" s="2"/>
      <c r="F465" s="2"/>
      <c r="T465" s="2"/>
      <c r="X465" s="2"/>
      <c r="Z465" s="2"/>
      <c r="AM465" s="2"/>
      <c r="AN465" s="2"/>
      <c r="AQ465" s="2"/>
    </row>
    <row r="466" ht="15.75" customHeight="1">
      <c r="B466" s="2"/>
      <c r="E466" s="2"/>
      <c r="F466" s="2"/>
      <c r="T466" s="2"/>
      <c r="X466" s="2"/>
      <c r="Z466" s="2"/>
      <c r="AM466" s="2"/>
      <c r="AN466" s="2"/>
      <c r="AQ466" s="2"/>
    </row>
    <row r="467" ht="15.75" customHeight="1">
      <c r="B467" s="2"/>
      <c r="E467" s="2"/>
      <c r="F467" s="2"/>
      <c r="T467" s="2"/>
      <c r="X467" s="2"/>
      <c r="Z467" s="2"/>
      <c r="AM467" s="2"/>
      <c r="AN467" s="2"/>
      <c r="AQ467" s="2"/>
    </row>
    <row r="468" ht="15.75" customHeight="1">
      <c r="B468" s="2"/>
      <c r="E468" s="2"/>
      <c r="F468" s="2"/>
      <c r="T468" s="2"/>
      <c r="X468" s="2"/>
      <c r="Z468" s="2"/>
      <c r="AM468" s="2"/>
      <c r="AN468" s="2"/>
      <c r="AQ468" s="2"/>
    </row>
    <row r="469" ht="15.75" customHeight="1">
      <c r="B469" s="2"/>
      <c r="E469" s="2"/>
      <c r="F469" s="2"/>
      <c r="T469" s="2"/>
      <c r="X469" s="2"/>
      <c r="Z469" s="2"/>
      <c r="AM469" s="2"/>
      <c r="AN469" s="2"/>
      <c r="AQ469" s="2"/>
    </row>
    <row r="470" ht="15.75" customHeight="1">
      <c r="B470" s="2"/>
      <c r="E470" s="2"/>
      <c r="F470" s="2"/>
      <c r="T470" s="2"/>
      <c r="X470" s="2"/>
      <c r="Z470" s="2"/>
      <c r="AM470" s="2"/>
      <c r="AN470" s="2"/>
      <c r="AQ470" s="2"/>
    </row>
    <row r="471" ht="15.75" customHeight="1">
      <c r="B471" s="2"/>
      <c r="E471" s="2"/>
      <c r="F471" s="2"/>
      <c r="T471" s="2"/>
      <c r="X471" s="2"/>
      <c r="Z471" s="2"/>
      <c r="AM471" s="2"/>
      <c r="AN471" s="2"/>
      <c r="AQ471" s="2"/>
    </row>
    <row r="472" ht="15.75" customHeight="1">
      <c r="B472" s="2"/>
      <c r="E472" s="2"/>
      <c r="F472" s="2"/>
      <c r="T472" s="2"/>
      <c r="X472" s="2"/>
      <c r="Z472" s="2"/>
      <c r="AM472" s="2"/>
      <c r="AN472" s="2"/>
      <c r="AQ472" s="2"/>
    </row>
    <row r="473" ht="15.75" customHeight="1">
      <c r="B473" s="2"/>
      <c r="E473" s="2"/>
      <c r="F473" s="2"/>
      <c r="T473" s="2"/>
      <c r="X473" s="2"/>
      <c r="Z473" s="2"/>
      <c r="AM473" s="2"/>
      <c r="AN473" s="2"/>
      <c r="AQ473" s="2"/>
    </row>
    <row r="474" ht="15.75" customHeight="1">
      <c r="B474" s="2"/>
      <c r="E474" s="2"/>
      <c r="F474" s="2"/>
      <c r="T474" s="2"/>
      <c r="X474" s="2"/>
      <c r="Z474" s="2"/>
      <c r="AM474" s="2"/>
      <c r="AN474" s="2"/>
      <c r="AQ474" s="2"/>
    </row>
    <row r="475" ht="15.75" customHeight="1">
      <c r="B475" s="2"/>
      <c r="E475" s="2"/>
      <c r="F475" s="2"/>
      <c r="T475" s="2"/>
      <c r="X475" s="2"/>
      <c r="Z475" s="2"/>
      <c r="AM475" s="2"/>
      <c r="AN475" s="2"/>
      <c r="AQ475" s="2"/>
    </row>
    <row r="476" ht="15.75" customHeight="1">
      <c r="B476" s="2"/>
      <c r="E476" s="2"/>
      <c r="F476" s="2"/>
      <c r="T476" s="2"/>
      <c r="X476" s="2"/>
      <c r="Z476" s="2"/>
      <c r="AM476" s="2"/>
      <c r="AN476" s="2"/>
      <c r="AQ476" s="2"/>
    </row>
    <row r="477" ht="15.75" customHeight="1">
      <c r="B477" s="2"/>
      <c r="E477" s="2"/>
      <c r="F477" s="2"/>
      <c r="T477" s="2"/>
      <c r="X477" s="2"/>
      <c r="Z477" s="2"/>
      <c r="AM477" s="2"/>
      <c r="AN477" s="2"/>
      <c r="AQ477" s="2"/>
    </row>
    <row r="478" ht="15.75" customHeight="1">
      <c r="B478" s="2"/>
      <c r="E478" s="2"/>
      <c r="F478" s="2"/>
      <c r="T478" s="2"/>
      <c r="X478" s="2"/>
      <c r="Z478" s="2"/>
      <c r="AM478" s="2"/>
      <c r="AN478" s="2"/>
      <c r="AQ478" s="2"/>
    </row>
    <row r="479" ht="15.75" customHeight="1">
      <c r="B479" s="2"/>
      <c r="E479" s="2"/>
      <c r="F479" s="2"/>
      <c r="T479" s="2"/>
      <c r="X479" s="2"/>
      <c r="Z479" s="2"/>
      <c r="AM479" s="2"/>
      <c r="AN479" s="2"/>
      <c r="AQ479" s="2"/>
    </row>
    <row r="480" ht="15.75" customHeight="1">
      <c r="B480" s="2"/>
      <c r="E480" s="2"/>
      <c r="F480" s="2"/>
      <c r="T480" s="2"/>
      <c r="X480" s="2"/>
      <c r="Z480" s="2"/>
      <c r="AM480" s="2"/>
      <c r="AN480" s="2"/>
      <c r="AQ480" s="2"/>
    </row>
    <row r="481" ht="15.75" customHeight="1">
      <c r="B481" s="2"/>
      <c r="E481" s="2"/>
      <c r="F481" s="2"/>
      <c r="T481" s="2"/>
      <c r="X481" s="2"/>
      <c r="Z481" s="2"/>
      <c r="AM481" s="2"/>
      <c r="AN481" s="2"/>
      <c r="AQ481" s="2"/>
    </row>
    <row r="482" ht="15.75" customHeight="1">
      <c r="B482" s="2"/>
      <c r="E482" s="2"/>
      <c r="F482" s="2"/>
      <c r="T482" s="2"/>
      <c r="X482" s="2"/>
      <c r="Z482" s="2"/>
      <c r="AM482" s="2"/>
      <c r="AN482" s="2"/>
      <c r="AQ482" s="2"/>
    </row>
    <row r="483" ht="15.75" customHeight="1">
      <c r="B483" s="2"/>
      <c r="E483" s="2"/>
      <c r="F483" s="2"/>
      <c r="T483" s="2"/>
      <c r="X483" s="2"/>
      <c r="Z483" s="2"/>
      <c r="AM483" s="2"/>
      <c r="AN483" s="2"/>
      <c r="AQ483" s="2"/>
    </row>
    <row r="484" ht="15.75" customHeight="1">
      <c r="B484" s="2"/>
      <c r="E484" s="2"/>
      <c r="F484" s="2"/>
      <c r="T484" s="2"/>
      <c r="X484" s="2"/>
      <c r="Z484" s="2"/>
      <c r="AM484" s="2"/>
      <c r="AN484" s="2"/>
      <c r="AQ484" s="2"/>
    </row>
    <row r="485" ht="15.75" customHeight="1">
      <c r="B485" s="2"/>
      <c r="E485" s="2"/>
      <c r="F485" s="2"/>
      <c r="T485" s="2"/>
      <c r="X485" s="2"/>
      <c r="Z485" s="2"/>
      <c r="AM485" s="2"/>
      <c r="AN485" s="2"/>
      <c r="AQ485" s="2"/>
    </row>
    <row r="486" ht="15.75" customHeight="1">
      <c r="B486" s="2"/>
      <c r="E486" s="2"/>
      <c r="F486" s="2"/>
      <c r="T486" s="2"/>
      <c r="X486" s="2"/>
      <c r="Z486" s="2"/>
      <c r="AM486" s="2"/>
      <c r="AN486" s="2"/>
      <c r="AQ486" s="2"/>
    </row>
    <row r="487" ht="15.75" customHeight="1">
      <c r="B487" s="2"/>
      <c r="E487" s="2"/>
      <c r="F487" s="2"/>
      <c r="T487" s="2"/>
      <c r="X487" s="2"/>
      <c r="Z487" s="2"/>
      <c r="AM487" s="2"/>
      <c r="AN487" s="2"/>
      <c r="AQ487" s="2"/>
    </row>
    <row r="488" ht="15.75" customHeight="1">
      <c r="B488" s="2"/>
      <c r="E488" s="2"/>
      <c r="F488" s="2"/>
      <c r="T488" s="2"/>
      <c r="X488" s="2"/>
      <c r="Z488" s="2"/>
      <c r="AM488" s="2"/>
      <c r="AN488" s="2"/>
      <c r="AQ488" s="2"/>
    </row>
    <row r="489" ht="15.75" customHeight="1">
      <c r="B489" s="2"/>
      <c r="E489" s="2"/>
      <c r="F489" s="2"/>
      <c r="T489" s="2"/>
      <c r="X489" s="2"/>
      <c r="Z489" s="2"/>
      <c r="AM489" s="2"/>
      <c r="AN489" s="2"/>
      <c r="AQ489" s="2"/>
    </row>
    <row r="490" ht="15.75" customHeight="1">
      <c r="B490" s="2"/>
      <c r="E490" s="2"/>
      <c r="F490" s="2"/>
      <c r="T490" s="2"/>
      <c r="X490" s="2"/>
      <c r="Z490" s="2"/>
      <c r="AM490" s="2"/>
      <c r="AN490" s="2"/>
      <c r="AQ490" s="2"/>
    </row>
    <row r="491" ht="15.75" customHeight="1">
      <c r="B491" s="2"/>
      <c r="E491" s="2"/>
      <c r="F491" s="2"/>
      <c r="T491" s="2"/>
      <c r="X491" s="2"/>
      <c r="Z491" s="2"/>
      <c r="AM491" s="2"/>
      <c r="AN491" s="2"/>
      <c r="AQ491" s="2"/>
    </row>
    <row r="492" ht="15.75" customHeight="1">
      <c r="B492" s="2"/>
      <c r="E492" s="2"/>
      <c r="F492" s="2"/>
      <c r="T492" s="2"/>
      <c r="X492" s="2"/>
      <c r="Z492" s="2"/>
      <c r="AM492" s="2"/>
      <c r="AN492" s="2"/>
      <c r="AQ492" s="2"/>
    </row>
    <row r="493" ht="15.75" customHeight="1">
      <c r="B493" s="2"/>
      <c r="E493" s="2"/>
      <c r="F493" s="2"/>
      <c r="T493" s="2"/>
      <c r="X493" s="2"/>
      <c r="Z493" s="2"/>
      <c r="AM493" s="2"/>
      <c r="AN493" s="2"/>
      <c r="AQ493" s="2"/>
    </row>
    <row r="494" ht="15.75" customHeight="1">
      <c r="B494" s="2"/>
      <c r="E494" s="2"/>
      <c r="F494" s="2"/>
      <c r="T494" s="2"/>
      <c r="X494" s="2"/>
      <c r="Z494" s="2"/>
      <c r="AM494" s="2"/>
      <c r="AN494" s="2"/>
      <c r="AQ494" s="2"/>
    </row>
    <row r="495" ht="15.75" customHeight="1">
      <c r="B495" s="2"/>
      <c r="E495" s="2"/>
      <c r="F495" s="2"/>
      <c r="T495" s="2"/>
      <c r="X495" s="2"/>
      <c r="Z495" s="2"/>
      <c r="AM495" s="2"/>
      <c r="AN495" s="2"/>
      <c r="AQ495" s="2"/>
    </row>
    <row r="496" ht="15.75" customHeight="1">
      <c r="B496" s="2"/>
      <c r="E496" s="2"/>
      <c r="F496" s="2"/>
      <c r="T496" s="2"/>
      <c r="X496" s="2"/>
      <c r="Z496" s="2"/>
      <c r="AM496" s="2"/>
      <c r="AN496" s="2"/>
      <c r="AQ496" s="2"/>
    </row>
    <row r="497" ht="15.75" customHeight="1">
      <c r="B497" s="2"/>
      <c r="E497" s="2"/>
      <c r="F497" s="2"/>
      <c r="T497" s="2"/>
      <c r="X497" s="2"/>
      <c r="Z497" s="2"/>
      <c r="AM497" s="2"/>
      <c r="AN497" s="2"/>
      <c r="AQ497" s="2"/>
    </row>
    <row r="498" ht="15.75" customHeight="1">
      <c r="B498" s="2"/>
      <c r="E498" s="2"/>
      <c r="F498" s="2"/>
      <c r="T498" s="2"/>
      <c r="X498" s="2"/>
      <c r="Z498" s="2"/>
      <c r="AM498" s="2"/>
      <c r="AN498" s="2"/>
      <c r="AQ498" s="2"/>
    </row>
    <row r="499" ht="15.75" customHeight="1">
      <c r="B499" s="2"/>
      <c r="E499" s="2"/>
      <c r="F499" s="2"/>
      <c r="T499" s="2"/>
      <c r="X499" s="2"/>
      <c r="Z499" s="2"/>
      <c r="AM499" s="2"/>
      <c r="AN499" s="2"/>
      <c r="AQ499" s="2"/>
    </row>
    <row r="500" ht="15.75" customHeight="1">
      <c r="B500" s="2"/>
      <c r="E500" s="2"/>
      <c r="F500" s="2"/>
      <c r="T500" s="2"/>
      <c r="X500" s="2"/>
      <c r="Z500" s="2"/>
      <c r="AM500" s="2"/>
      <c r="AN500" s="2"/>
      <c r="AQ500" s="2"/>
    </row>
    <row r="501" ht="15.75" customHeight="1">
      <c r="B501" s="2"/>
      <c r="E501" s="2"/>
      <c r="F501" s="2"/>
      <c r="T501" s="2"/>
      <c r="X501" s="2"/>
      <c r="Z501" s="2"/>
      <c r="AM501" s="2"/>
      <c r="AN501" s="2"/>
      <c r="AQ501" s="2"/>
    </row>
    <row r="502" ht="15.75" customHeight="1">
      <c r="B502" s="2"/>
      <c r="E502" s="2"/>
      <c r="F502" s="2"/>
      <c r="T502" s="2"/>
      <c r="X502" s="2"/>
      <c r="Z502" s="2"/>
      <c r="AM502" s="2"/>
      <c r="AN502" s="2"/>
      <c r="AQ502" s="2"/>
    </row>
    <row r="503" ht="15.75" customHeight="1">
      <c r="B503" s="2"/>
      <c r="E503" s="2"/>
      <c r="F503" s="2"/>
      <c r="T503" s="2"/>
      <c r="X503" s="2"/>
      <c r="Z503" s="2"/>
      <c r="AM503" s="2"/>
      <c r="AN503" s="2"/>
      <c r="AQ503" s="2"/>
    </row>
    <row r="504" ht="15.75" customHeight="1">
      <c r="B504" s="2"/>
      <c r="E504" s="2"/>
      <c r="F504" s="2"/>
      <c r="T504" s="2"/>
      <c r="X504" s="2"/>
      <c r="Z504" s="2"/>
      <c r="AM504" s="2"/>
      <c r="AN504" s="2"/>
      <c r="AQ504" s="2"/>
    </row>
    <row r="505" ht="15.75" customHeight="1">
      <c r="B505" s="2"/>
      <c r="E505" s="2"/>
      <c r="F505" s="2"/>
      <c r="T505" s="2"/>
      <c r="X505" s="2"/>
      <c r="Z505" s="2"/>
      <c r="AM505" s="2"/>
      <c r="AN505" s="2"/>
      <c r="AQ505" s="2"/>
    </row>
    <row r="506" ht="15.75" customHeight="1">
      <c r="B506" s="2"/>
      <c r="E506" s="2"/>
      <c r="F506" s="2"/>
      <c r="T506" s="2"/>
      <c r="X506" s="2"/>
      <c r="Z506" s="2"/>
      <c r="AM506" s="2"/>
      <c r="AN506" s="2"/>
      <c r="AQ506" s="2"/>
    </row>
    <row r="507" ht="15.75" customHeight="1">
      <c r="B507" s="2"/>
      <c r="E507" s="2"/>
      <c r="F507" s="2"/>
      <c r="T507" s="2"/>
      <c r="X507" s="2"/>
      <c r="Z507" s="2"/>
      <c r="AM507" s="2"/>
      <c r="AN507" s="2"/>
      <c r="AQ507" s="2"/>
    </row>
    <row r="508" ht="15.75" customHeight="1">
      <c r="B508" s="2"/>
      <c r="E508" s="2"/>
      <c r="F508" s="2"/>
      <c r="T508" s="2"/>
      <c r="X508" s="2"/>
      <c r="Z508" s="2"/>
      <c r="AM508" s="2"/>
      <c r="AN508" s="2"/>
      <c r="AQ508" s="2"/>
    </row>
    <row r="509" ht="15.75" customHeight="1">
      <c r="B509" s="2"/>
      <c r="E509" s="2"/>
      <c r="F509" s="2"/>
      <c r="T509" s="2"/>
      <c r="X509" s="2"/>
      <c r="Z509" s="2"/>
      <c r="AM509" s="2"/>
      <c r="AN509" s="2"/>
      <c r="AQ509" s="2"/>
    </row>
    <row r="510" ht="15.75" customHeight="1">
      <c r="B510" s="2"/>
      <c r="E510" s="2"/>
      <c r="F510" s="2"/>
      <c r="T510" s="2"/>
      <c r="X510" s="2"/>
      <c r="Z510" s="2"/>
      <c r="AM510" s="2"/>
      <c r="AN510" s="2"/>
      <c r="AQ510" s="2"/>
    </row>
    <row r="511" ht="15.75" customHeight="1">
      <c r="B511" s="2"/>
      <c r="E511" s="2"/>
      <c r="F511" s="2"/>
      <c r="T511" s="2"/>
      <c r="X511" s="2"/>
      <c r="Z511" s="2"/>
      <c r="AM511" s="2"/>
      <c r="AN511" s="2"/>
      <c r="AQ511" s="2"/>
    </row>
    <row r="512" ht="15.75" customHeight="1">
      <c r="B512" s="2"/>
      <c r="E512" s="2"/>
      <c r="F512" s="2"/>
      <c r="T512" s="2"/>
      <c r="X512" s="2"/>
      <c r="Z512" s="2"/>
      <c r="AM512" s="2"/>
      <c r="AN512" s="2"/>
      <c r="AQ512" s="2"/>
    </row>
    <row r="513" ht="15.75" customHeight="1">
      <c r="B513" s="2"/>
      <c r="E513" s="2"/>
      <c r="F513" s="2"/>
      <c r="T513" s="2"/>
      <c r="X513" s="2"/>
      <c r="Z513" s="2"/>
      <c r="AM513" s="2"/>
      <c r="AN513" s="2"/>
      <c r="AQ513" s="2"/>
    </row>
    <row r="514" ht="15.75" customHeight="1">
      <c r="B514" s="2"/>
      <c r="E514" s="2"/>
      <c r="F514" s="2"/>
      <c r="T514" s="2"/>
      <c r="X514" s="2"/>
      <c r="Z514" s="2"/>
      <c r="AM514" s="2"/>
      <c r="AN514" s="2"/>
      <c r="AQ514" s="2"/>
    </row>
    <row r="515" ht="15.75" customHeight="1">
      <c r="B515" s="2"/>
      <c r="E515" s="2"/>
      <c r="F515" s="2"/>
      <c r="T515" s="2"/>
      <c r="X515" s="2"/>
      <c r="Z515" s="2"/>
      <c r="AM515" s="2"/>
      <c r="AN515" s="2"/>
      <c r="AQ515" s="2"/>
    </row>
    <row r="516" ht="15.75" customHeight="1">
      <c r="B516" s="2"/>
      <c r="E516" s="2"/>
      <c r="F516" s="2"/>
      <c r="T516" s="2"/>
      <c r="X516" s="2"/>
      <c r="Z516" s="2"/>
      <c r="AM516" s="2"/>
      <c r="AN516" s="2"/>
      <c r="AQ516" s="2"/>
    </row>
    <row r="517" ht="15.75" customHeight="1">
      <c r="B517" s="2"/>
      <c r="E517" s="2"/>
      <c r="F517" s="2"/>
      <c r="T517" s="2"/>
      <c r="X517" s="2"/>
      <c r="Z517" s="2"/>
      <c r="AM517" s="2"/>
      <c r="AN517" s="2"/>
      <c r="AQ517" s="2"/>
    </row>
    <row r="518" ht="15.75" customHeight="1">
      <c r="B518" s="2"/>
      <c r="E518" s="2"/>
      <c r="F518" s="2"/>
      <c r="T518" s="2"/>
      <c r="X518" s="2"/>
      <c r="Z518" s="2"/>
      <c r="AM518" s="2"/>
      <c r="AN518" s="2"/>
      <c r="AQ518" s="2"/>
    </row>
    <row r="519" ht="15.75" customHeight="1">
      <c r="B519" s="2"/>
      <c r="E519" s="2"/>
      <c r="F519" s="2"/>
      <c r="T519" s="2"/>
      <c r="X519" s="2"/>
      <c r="Z519" s="2"/>
      <c r="AM519" s="2"/>
      <c r="AN519" s="2"/>
      <c r="AQ519" s="2"/>
    </row>
    <row r="520" ht="15.75" customHeight="1">
      <c r="B520" s="2"/>
      <c r="E520" s="2"/>
      <c r="F520" s="2"/>
      <c r="T520" s="2"/>
      <c r="X520" s="2"/>
      <c r="Z520" s="2"/>
      <c r="AM520" s="2"/>
      <c r="AN520" s="2"/>
      <c r="AQ520" s="2"/>
    </row>
    <row r="521" ht="15.75" customHeight="1">
      <c r="B521" s="2"/>
      <c r="E521" s="2"/>
      <c r="F521" s="2"/>
      <c r="T521" s="2"/>
      <c r="X521" s="2"/>
      <c r="Z521" s="2"/>
      <c r="AM521" s="2"/>
      <c r="AN521" s="2"/>
      <c r="AQ521" s="2"/>
    </row>
    <row r="522" ht="15.75" customHeight="1">
      <c r="B522" s="2"/>
      <c r="E522" s="2"/>
      <c r="F522" s="2"/>
      <c r="T522" s="2"/>
      <c r="X522" s="2"/>
      <c r="Z522" s="2"/>
      <c r="AM522" s="2"/>
      <c r="AN522" s="2"/>
      <c r="AQ522" s="2"/>
    </row>
    <row r="523" ht="15.75" customHeight="1">
      <c r="B523" s="2"/>
      <c r="E523" s="2"/>
      <c r="F523" s="2"/>
      <c r="T523" s="2"/>
      <c r="X523" s="2"/>
      <c r="Z523" s="2"/>
      <c r="AM523" s="2"/>
      <c r="AN523" s="2"/>
      <c r="AQ523" s="2"/>
    </row>
    <row r="524" ht="15.75" customHeight="1">
      <c r="B524" s="2"/>
      <c r="E524" s="2"/>
      <c r="F524" s="2"/>
      <c r="T524" s="2"/>
      <c r="X524" s="2"/>
      <c r="Z524" s="2"/>
      <c r="AM524" s="2"/>
      <c r="AN524" s="2"/>
      <c r="AQ524" s="2"/>
    </row>
    <row r="525" ht="15.75" customHeight="1">
      <c r="B525" s="2"/>
      <c r="E525" s="2"/>
      <c r="F525" s="2"/>
      <c r="T525" s="2"/>
      <c r="X525" s="2"/>
      <c r="Z525" s="2"/>
      <c r="AM525" s="2"/>
      <c r="AN525" s="2"/>
      <c r="AQ525" s="2"/>
    </row>
    <row r="526" ht="15.75" customHeight="1">
      <c r="B526" s="2"/>
      <c r="E526" s="2"/>
      <c r="F526" s="2"/>
      <c r="T526" s="2"/>
      <c r="X526" s="2"/>
      <c r="Z526" s="2"/>
      <c r="AM526" s="2"/>
      <c r="AN526" s="2"/>
      <c r="AQ526" s="2"/>
    </row>
    <row r="527" ht="15.75" customHeight="1">
      <c r="B527" s="2"/>
      <c r="E527" s="2"/>
      <c r="F527" s="2"/>
      <c r="T527" s="2"/>
      <c r="X527" s="2"/>
      <c r="Z527" s="2"/>
      <c r="AM527" s="2"/>
      <c r="AN527" s="2"/>
      <c r="AQ527" s="2"/>
    </row>
    <row r="528" ht="15.75" customHeight="1">
      <c r="B528" s="2"/>
      <c r="E528" s="2"/>
      <c r="F528" s="2"/>
      <c r="T528" s="2"/>
      <c r="X528" s="2"/>
      <c r="Z528" s="2"/>
      <c r="AM528" s="2"/>
      <c r="AN528" s="2"/>
      <c r="AQ528" s="2"/>
    </row>
    <row r="529" ht="15.75" customHeight="1">
      <c r="B529" s="2"/>
      <c r="E529" s="2"/>
      <c r="F529" s="2"/>
      <c r="T529" s="2"/>
      <c r="X529" s="2"/>
      <c r="Z529" s="2"/>
      <c r="AM529" s="2"/>
      <c r="AN529" s="2"/>
      <c r="AQ529" s="2"/>
    </row>
    <row r="530" ht="15.75" customHeight="1">
      <c r="B530" s="2"/>
      <c r="E530" s="2"/>
      <c r="F530" s="2"/>
      <c r="T530" s="2"/>
      <c r="X530" s="2"/>
      <c r="Z530" s="2"/>
      <c r="AM530" s="2"/>
      <c r="AN530" s="2"/>
      <c r="AQ530" s="2"/>
    </row>
    <row r="531" ht="15.75" customHeight="1">
      <c r="B531" s="2"/>
      <c r="E531" s="2"/>
      <c r="F531" s="2"/>
      <c r="T531" s="2"/>
      <c r="X531" s="2"/>
      <c r="Z531" s="2"/>
      <c r="AM531" s="2"/>
      <c r="AN531" s="2"/>
      <c r="AQ531" s="2"/>
    </row>
    <row r="532" ht="15.75" customHeight="1">
      <c r="B532" s="2"/>
      <c r="E532" s="2"/>
      <c r="F532" s="2"/>
      <c r="T532" s="2"/>
      <c r="X532" s="2"/>
      <c r="Z532" s="2"/>
      <c r="AM532" s="2"/>
      <c r="AN532" s="2"/>
      <c r="AQ532" s="2"/>
    </row>
    <row r="533" ht="15.75" customHeight="1">
      <c r="B533" s="2"/>
      <c r="E533" s="2"/>
      <c r="F533" s="2"/>
      <c r="T533" s="2"/>
      <c r="X533" s="2"/>
      <c r="Z533" s="2"/>
      <c r="AM533" s="2"/>
      <c r="AN533" s="2"/>
      <c r="AQ533" s="2"/>
    </row>
    <row r="534" ht="15.75" customHeight="1">
      <c r="B534" s="2"/>
      <c r="E534" s="2"/>
      <c r="F534" s="2"/>
      <c r="T534" s="2"/>
      <c r="X534" s="2"/>
      <c r="Z534" s="2"/>
      <c r="AM534" s="2"/>
      <c r="AN534" s="2"/>
      <c r="AQ534" s="2"/>
    </row>
    <row r="535" ht="15.75" customHeight="1">
      <c r="B535" s="2"/>
      <c r="E535" s="2"/>
      <c r="F535" s="2"/>
      <c r="T535" s="2"/>
      <c r="X535" s="2"/>
      <c r="Z535" s="2"/>
      <c r="AM535" s="2"/>
      <c r="AN535" s="2"/>
      <c r="AQ535" s="2"/>
    </row>
    <row r="536" ht="15.75" customHeight="1">
      <c r="B536" s="2"/>
      <c r="E536" s="2"/>
      <c r="F536" s="2"/>
      <c r="T536" s="2"/>
      <c r="X536" s="2"/>
      <c r="Z536" s="2"/>
      <c r="AM536" s="2"/>
      <c r="AN536" s="2"/>
      <c r="AQ536" s="2"/>
    </row>
    <row r="537" ht="15.75" customHeight="1">
      <c r="B537" s="2"/>
      <c r="E537" s="2"/>
      <c r="F537" s="2"/>
      <c r="T537" s="2"/>
      <c r="X537" s="2"/>
      <c r="Z537" s="2"/>
      <c r="AM537" s="2"/>
      <c r="AN537" s="2"/>
      <c r="AQ537" s="2"/>
    </row>
    <row r="538" ht="15.75" customHeight="1">
      <c r="B538" s="2"/>
      <c r="E538" s="2"/>
      <c r="F538" s="2"/>
      <c r="T538" s="2"/>
      <c r="X538" s="2"/>
      <c r="Z538" s="2"/>
      <c r="AM538" s="2"/>
      <c r="AN538" s="2"/>
      <c r="AQ538" s="2"/>
    </row>
    <row r="539" ht="15.75" customHeight="1">
      <c r="B539" s="2"/>
      <c r="E539" s="2"/>
      <c r="F539" s="2"/>
      <c r="T539" s="2"/>
      <c r="X539" s="2"/>
      <c r="Z539" s="2"/>
      <c r="AM539" s="2"/>
      <c r="AN539" s="2"/>
      <c r="AQ539" s="2"/>
    </row>
    <row r="540" ht="15.75" customHeight="1">
      <c r="B540" s="2"/>
      <c r="E540" s="2"/>
      <c r="F540" s="2"/>
      <c r="T540" s="2"/>
      <c r="X540" s="2"/>
      <c r="Z540" s="2"/>
      <c r="AM540" s="2"/>
      <c r="AN540" s="2"/>
      <c r="AQ540" s="2"/>
    </row>
    <row r="541" ht="15.75" customHeight="1">
      <c r="B541" s="2"/>
      <c r="E541" s="2"/>
      <c r="F541" s="2"/>
      <c r="T541" s="2"/>
      <c r="X541" s="2"/>
      <c r="Z541" s="2"/>
      <c r="AM541" s="2"/>
      <c r="AN541" s="2"/>
      <c r="AQ541" s="2"/>
    </row>
    <row r="542" ht="15.75" customHeight="1">
      <c r="B542" s="2"/>
      <c r="E542" s="2"/>
      <c r="F542" s="2"/>
      <c r="T542" s="2"/>
      <c r="X542" s="2"/>
      <c r="Z542" s="2"/>
      <c r="AM542" s="2"/>
      <c r="AN542" s="2"/>
      <c r="AQ542" s="2"/>
    </row>
    <row r="543" ht="15.75" customHeight="1">
      <c r="B543" s="2"/>
      <c r="E543" s="2"/>
      <c r="F543" s="2"/>
      <c r="T543" s="2"/>
      <c r="X543" s="2"/>
      <c r="Z543" s="2"/>
      <c r="AM543" s="2"/>
      <c r="AN543" s="2"/>
      <c r="AQ543" s="2"/>
    </row>
    <row r="544" ht="15.75" customHeight="1">
      <c r="B544" s="2"/>
      <c r="E544" s="2"/>
      <c r="F544" s="2"/>
      <c r="T544" s="2"/>
      <c r="X544" s="2"/>
      <c r="Z544" s="2"/>
      <c r="AM544" s="2"/>
      <c r="AN544" s="2"/>
      <c r="AQ544" s="2"/>
    </row>
    <row r="545" ht="15.75" customHeight="1">
      <c r="B545" s="2"/>
      <c r="E545" s="2"/>
      <c r="F545" s="2"/>
      <c r="T545" s="2"/>
      <c r="X545" s="2"/>
      <c r="Z545" s="2"/>
      <c r="AM545" s="2"/>
      <c r="AN545" s="2"/>
      <c r="AQ545" s="2"/>
    </row>
    <row r="546" ht="15.75" customHeight="1">
      <c r="B546" s="2"/>
      <c r="E546" s="2"/>
      <c r="F546" s="2"/>
      <c r="T546" s="2"/>
      <c r="X546" s="2"/>
      <c r="Z546" s="2"/>
      <c r="AM546" s="2"/>
      <c r="AN546" s="2"/>
      <c r="AQ546" s="2"/>
    </row>
    <row r="547" ht="15.75" customHeight="1">
      <c r="B547" s="2"/>
      <c r="E547" s="2"/>
      <c r="F547" s="2"/>
      <c r="T547" s="2"/>
      <c r="X547" s="2"/>
      <c r="Z547" s="2"/>
      <c r="AM547" s="2"/>
      <c r="AN547" s="2"/>
      <c r="AQ547" s="2"/>
    </row>
    <row r="548" ht="15.75" customHeight="1">
      <c r="B548" s="2"/>
      <c r="E548" s="2"/>
      <c r="F548" s="2"/>
      <c r="T548" s="2"/>
      <c r="X548" s="2"/>
      <c r="Z548" s="2"/>
      <c r="AM548" s="2"/>
      <c r="AN548" s="2"/>
      <c r="AQ548" s="2"/>
    </row>
    <row r="549" ht="15.75" customHeight="1">
      <c r="B549" s="2"/>
      <c r="E549" s="2"/>
      <c r="F549" s="2"/>
      <c r="T549" s="2"/>
      <c r="X549" s="2"/>
      <c r="Z549" s="2"/>
      <c r="AM549" s="2"/>
      <c r="AN549" s="2"/>
      <c r="AQ549" s="2"/>
    </row>
    <row r="550" ht="15.75" customHeight="1">
      <c r="B550" s="2"/>
      <c r="E550" s="2"/>
      <c r="F550" s="2"/>
      <c r="T550" s="2"/>
      <c r="X550" s="2"/>
      <c r="Z550" s="2"/>
      <c r="AM550" s="2"/>
      <c r="AN550" s="2"/>
      <c r="AQ550" s="2"/>
    </row>
    <row r="551" ht="15.75" customHeight="1">
      <c r="B551" s="2"/>
      <c r="E551" s="2"/>
      <c r="F551" s="2"/>
      <c r="T551" s="2"/>
      <c r="X551" s="2"/>
      <c r="Z551" s="2"/>
      <c r="AM551" s="2"/>
      <c r="AN551" s="2"/>
      <c r="AQ551" s="2"/>
    </row>
    <row r="552" ht="15.75" customHeight="1">
      <c r="B552" s="2"/>
      <c r="E552" s="2"/>
      <c r="F552" s="2"/>
      <c r="T552" s="2"/>
      <c r="X552" s="2"/>
      <c r="Z552" s="2"/>
      <c r="AM552" s="2"/>
      <c r="AN552" s="2"/>
      <c r="AQ552" s="2"/>
    </row>
    <row r="553" ht="15.75" customHeight="1">
      <c r="B553" s="2"/>
      <c r="E553" s="2"/>
      <c r="F553" s="2"/>
      <c r="T553" s="2"/>
      <c r="X553" s="2"/>
      <c r="Z553" s="2"/>
      <c r="AM553" s="2"/>
      <c r="AN553" s="2"/>
      <c r="AQ553" s="2"/>
    </row>
    <row r="554" ht="15.75" customHeight="1">
      <c r="B554" s="2"/>
      <c r="E554" s="2"/>
      <c r="F554" s="2"/>
      <c r="T554" s="2"/>
      <c r="X554" s="2"/>
      <c r="Z554" s="2"/>
      <c r="AM554" s="2"/>
      <c r="AN554" s="2"/>
      <c r="AQ554" s="2"/>
    </row>
    <row r="555" ht="15.75" customHeight="1">
      <c r="B555" s="2"/>
      <c r="E555" s="2"/>
      <c r="F555" s="2"/>
      <c r="T555" s="2"/>
      <c r="X555" s="2"/>
      <c r="Z555" s="2"/>
      <c r="AM555" s="2"/>
      <c r="AN555" s="2"/>
      <c r="AQ555" s="2"/>
    </row>
    <row r="556" ht="15.75" customHeight="1">
      <c r="B556" s="2"/>
      <c r="E556" s="2"/>
      <c r="F556" s="2"/>
      <c r="T556" s="2"/>
      <c r="X556" s="2"/>
      <c r="Z556" s="2"/>
      <c r="AM556" s="2"/>
      <c r="AN556" s="2"/>
      <c r="AQ556" s="2"/>
    </row>
    <row r="557" ht="15.75" customHeight="1">
      <c r="B557" s="2"/>
      <c r="E557" s="2"/>
      <c r="F557" s="2"/>
      <c r="T557" s="2"/>
      <c r="X557" s="2"/>
      <c r="Z557" s="2"/>
      <c r="AM557" s="2"/>
      <c r="AN557" s="2"/>
      <c r="AQ557" s="2"/>
    </row>
    <row r="558" ht="15.75" customHeight="1">
      <c r="B558" s="2"/>
      <c r="E558" s="2"/>
      <c r="F558" s="2"/>
      <c r="T558" s="2"/>
      <c r="X558" s="2"/>
      <c r="Z558" s="2"/>
      <c r="AM558" s="2"/>
      <c r="AN558" s="2"/>
      <c r="AQ558" s="2"/>
    </row>
    <row r="559" ht="15.75" customHeight="1">
      <c r="B559" s="2"/>
      <c r="E559" s="2"/>
      <c r="F559" s="2"/>
      <c r="T559" s="2"/>
      <c r="X559" s="2"/>
      <c r="Z559" s="2"/>
      <c r="AM559" s="2"/>
      <c r="AN559" s="2"/>
      <c r="AQ559" s="2"/>
    </row>
    <row r="560" ht="15.75" customHeight="1">
      <c r="B560" s="2"/>
      <c r="E560" s="2"/>
      <c r="F560" s="2"/>
      <c r="T560" s="2"/>
      <c r="X560" s="2"/>
      <c r="Z560" s="2"/>
      <c r="AM560" s="2"/>
      <c r="AN560" s="2"/>
      <c r="AQ560" s="2"/>
    </row>
    <row r="561" ht="15.75" customHeight="1">
      <c r="B561" s="2"/>
      <c r="E561" s="2"/>
      <c r="F561" s="2"/>
      <c r="T561" s="2"/>
      <c r="X561" s="2"/>
      <c r="Z561" s="2"/>
      <c r="AM561" s="2"/>
      <c r="AN561" s="2"/>
      <c r="AQ561" s="2"/>
    </row>
    <row r="562" ht="15.75" customHeight="1">
      <c r="B562" s="2"/>
      <c r="E562" s="2"/>
      <c r="F562" s="2"/>
      <c r="T562" s="2"/>
      <c r="X562" s="2"/>
      <c r="Z562" s="2"/>
      <c r="AM562" s="2"/>
      <c r="AN562" s="2"/>
      <c r="AQ562" s="2"/>
    </row>
    <row r="563" ht="15.75" customHeight="1">
      <c r="B563" s="2"/>
      <c r="E563" s="2"/>
      <c r="F563" s="2"/>
      <c r="T563" s="2"/>
      <c r="X563" s="2"/>
      <c r="Z563" s="2"/>
      <c r="AM563" s="2"/>
      <c r="AN563" s="2"/>
      <c r="AQ563" s="2"/>
    </row>
    <row r="564" ht="15.75" customHeight="1">
      <c r="B564" s="2"/>
      <c r="E564" s="2"/>
      <c r="F564" s="2"/>
      <c r="T564" s="2"/>
      <c r="X564" s="2"/>
      <c r="Z564" s="2"/>
      <c r="AM564" s="2"/>
      <c r="AN564" s="2"/>
      <c r="AQ564" s="2"/>
    </row>
    <row r="565" ht="15.75" customHeight="1">
      <c r="B565" s="2"/>
      <c r="E565" s="2"/>
      <c r="F565" s="2"/>
      <c r="T565" s="2"/>
      <c r="X565" s="2"/>
      <c r="Z565" s="2"/>
      <c r="AM565" s="2"/>
      <c r="AN565" s="2"/>
      <c r="AQ565" s="2"/>
    </row>
    <row r="566" ht="15.75" customHeight="1">
      <c r="B566" s="2"/>
      <c r="E566" s="2"/>
      <c r="F566" s="2"/>
      <c r="T566" s="2"/>
      <c r="X566" s="2"/>
      <c r="Z566" s="2"/>
      <c r="AM566" s="2"/>
      <c r="AN566" s="2"/>
      <c r="AQ566" s="2"/>
    </row>
    <row r="567" ht="15.75" customHeight="1">
      <c r="B567" s="2"/>
      <c r="E567" s="2"/>
      <c r="F567" s="2"/>
      <c r="T567" s="2"/>
      <c r="X567" s="2"/>
      <c r="Z567" s="2"/>
      <c r="AM567" s="2"/>
      <c r="AN567" s="2"/>
      <c r="AQ567" s="2"/>
    </row>
    <row r="568" ht="15.75" customHeight="1">
      <c r="B568" s="2"/>
      <c r="E568" s="2"/>
      <c r="F568" s="2"/>
      <c r="T568" s="2"/>
      <c r="X568" s="2"/>
      <c r="Z568" s="2"/>
      <c r="AM568" s="2"/>
      <c r="AN568" s="2"/>
      <c r="AQ568" s="2"/>
    </row>
    <row r="569" ht="15.75" customHeight="1">
      <c r="B569" s="2"/>
      <c r="E569" s="2"/>
      <c r="F569" s="2"/>
      <c r="T569" s="2"/>
      <c r="X569" s="2"/>
      <c r="Z569" s="2"/>
      <c r="AM569" s="2"/>
      <c r="AN569" s="2"/>
      <c r="AQ569" s="2"/>
    </row>
    <row r="570" ht="15.75" customHeight="1">
      <c r="B570" s="2"/>
      <c r="E570" s="2"/>
      <c r="F570" s="2"/>
      <c r="T570" s="2"/>
      <c r="X570" s="2"/>
      <c r="Z570" s="2"/>
      <c r="AM570" s="2"/>
      <c r="AN570" s="2"/>
      <c r="AQ570" s="2"/>
    </row>
    <row r="571" ht="15.75" customHeight="1">
      <c r="B571" s="2"/>
      <c r="E571" s="2"/>
      <c r="F571" s="2"/>
      <c r="T571" s="2"/>
      <c r="X571" s="2"/>
      <c r="Z571" s="2"/>
      <c r="AM571" s="2"/>
      <c r="AN571" s="2"/>
      <c r="AQ571" s="2"/>
    </row>
    <row r="572" ht="15.75" customHeight="1">
      <c r="B572" s="2"/>
      <c r="E572" s="2"/>
      <c r="F572" s="2"/>
      <c r="T572" s="2"/>
      <c r="X572" s="2"/>
      <c r="Z572" s="2"/>
      <c r="AM572" s="2"/>
      <c r="AN572" s="2"/>
      <c r="AQ572" s="2"/>
    </row>
    <row r="573" ht="15.75" customHeight="1">
      <c r="B573" s="2"/>
      <c r="E573" s="2"/>
      <c r="F573" s="2"/>
      <c r="T573" s="2"/>
      <c r="X573" s="2"/>
      <c r="Z573" s="2"/>
      <c r="AM573" s="2"/>
      <c r="AN573" s="2"/>
      <c r="AQ573" s="2"/>
    </row>
    <row r="574" ht="15.75" customHeight="1">
      <c r="B574" s="2"/>
      <c r="E574" s="2"/>
      <c r="F574" s="2"/>
      <c r="T574" s="2"/>
      <c r="X574" s="2"/>
      <c r="Z574" s="2"/>
      <c r="AM574" s="2"/>
      <c r="AN574" s="2"/>
      <c r="AQ574" s="2"/>
    </row>
    <row r="575" ht="15.75" customHeight="1">
      <c r="B575" s="2"/>
      <c r="E575" s="2"/>
      <c r="F575" s="2"/>
      <c r="T575" s="2"/>
      <c r="X575" s="2"/>
      <c r="Z575" s="2"/>
      <c r="AM575" s="2"/>
      <c r="AN575" s="2"/>
      <c r="AQ575" s="2"/>
    </row>
    <row r="576" ht="15.75" customHeight="1">
      <c r="B576" s="2"/>
      <c r="E576" s="2"/>
      <c r="F576" s="2"/>
      <c r="T576" s="2"/>
      <c r="X576" s="2"/>
      <c r="Z576" s="2"/>
      <c r="AM576" s="2"/>
      <c r="AN576" s="2"/>
      <c r="AQ576" s="2"/>
    </row>
    <row r="577" ht="15.75" customHeight="1">
      <c r="B577" s="2"/>
      <c r="E577" s="2"/>
      <c r="F577" s="2"/>
      <c r="T577" s="2"/>
      <c r="X577" s="2"/>
      <c r="Z577" s="2"/>
      <c r="AM577" s="2"/>
      <c r="AN577" s="2"/>
      <c r="AQ577" s="2"/>
    </row>
    <row r="578" ht="15.75" customHeight="1">
      <c r="B578" s="2"/>
      <c r="E578" s="2"/>
      <c r="F578" s="2"/>
      <c r="T578" s="2"/>
      <c r="X578" s="2"/>
      <c r="Z578" s="2"/>
      <c r="AM578" s="2"/>
      <c r="AN578" s="2"/>
      <c r="AQ578" s="2"/>
    </row>
    <row r="579" ht="15.75" customHeight="1">
      <c r="B579" s="2"/>
      <c r="E579" s="2"/>
      <c r="F579" s="2"/>
      <c r="T579" s="2"/>
      <c r="X579" s="2"/>
      <c r="Z579" s="2"/>
      <c r="AM579" s="2"/>
      <c r="AN579" s="2"/>
      <c r="AQ579" s="2"/>
    </row>
    <row r="580" ht="15.75" customHeight="1">
      <c r="B580" s="2"/>
      <c r="E580" s="2"/>
      <c r="F580" s="2"/>
      <c r="T580" s="2"/>
      <c r="X580" s="2"/>
      <c r="Z580" s="2"/>
      <c r="AM580" s="2"/>
      <c r="AN580" s="2"/>
      <c r="AQ580" s="2"/>
    </row>
    <row r="581" ht="15.75" customHeight="1">
      <c r="B581" s="2"/>
      <c r="E581" s="2"/>
      <c r="F581" s="2"/>
      <c r="T581" s="2"/>
      <c r="X581" s="2"/>
      <c r="Z581" s="2"/>
      <c r="AM581" s="2"/>
      <c r="AN581" s="2"/>
      <c r="AQ581" s="2"/>
    </row>
    <row r="582" ht="15.75" customHeight="1">
      <c r="B582" s="2"/>
      <c r="E582" s="2"/>
      <c r="F582" s="2"/>
      <c r="T582" s="2"/>
      <c r="X582" s="2"/>
      <c r="Z582" s="2"/>
      <c r="AM582" s="2"/>
      <c r="AN582" s="2"/>
      <c r="AQ582" s="2"/>
    </row>
    <row r="583" ht="15.75" customHeight="1">
      <c r="B583" s="2"/>
      <c r="E583" s="2"/>
      <c r="F583" s="2"/>
      <c r="T583" s="2"/>
      <c r="X583" s="2"/>
      <c r="Z583" s="2"/>
      <c r="AM583" s="2"/>
      <c r="AN583" s="2"/>
      <c r="AQ583" s="2"/>
    </row>
    <row r="584" ht="15.75" customHeight="1">
      <c r="B584" s="2"/>
      <c r="E584" s="2"/>
      <c r="F584" s="2"/>
      <c r="T584" s="2"/>
      <c r="X584" s="2"/>
      <c r="Z584" s="2"/>
      <c r="AM584" s="2"/>
      <c r="AN584" s="2"/>
      <c r="AQ584" s="2"/>
    </row>
    <row r="585" ht="15.75" customHeight="1">
      <c r="B585" s="2"/>
      <c r="E585" s="2"/>
      <c r="F585" s="2"/>
      <c r="T585" s="2"/>
      <c r="X585" s="2"/>
      <c r="Z585" s="2"/>
      <c r="AM585" s="2"/>
      <c r="AN585" s="2"/>
      <c r="AQ585" s="2"/>
    </row>
    <row r="586" ht="15.75" customHeight="1">
      <c r="B586" s="2"/>
      <c r="E586" s="2"/>
      <c r="F586" s="2"/>
      <c r="T586" s="2"/>
      <c r="X586" s="2"/>
      <c r="Z586" s="2"/>
      <c r="AM586" s="2"/>
      <c r="AN586" s="2"/>
      <c r="AQ586" s="2"/>
    </row>
    <row r="587" ht="15.75" customHeight="1">
      <c r="B587" s="2"/>
      <c r="E587" s="2"/>
      <c r="F587" s="2"/>
      <c r="T587" s="2"/>
      <c r="X587" s="2"/>
      <c r="Z587" s="2"/>
      <c r="AM587" s="2"/>
      <c r="AN587" s="2"/>
      <c r="AQ587" s="2"/>
    </row>
    <row r="588" ht="15.75" customHeight="1">
      <c r="B588" s="2"/>
      <c r="E588" s="2"/>
      <c r="F588" s="2"/>
      <c r="T588" s="2"/>
      <c r="X588" s="2"/>
      <c r="Z588" s="2"/>
      <c r="AM588" s="2"/>
      <c r="AN588" s="2"/>
      <c r="AQ588" s="2"/>
    </row>
    <row r="589" ht="15.75" customHeight="1">
      <c r="B589" s="2"/>
      <c r="E589" s="2"/>
      <c r="F589" s="2"/>
      <c r="T589" s="2"/>
      <c r="X589" s="2"/>
      <c r="Z589" s="2"/>
      <c r="AM589" s="2"/>
      <c r="AN589" s="2"/>
      <c r="AQ589" s="2"/>
    </row>
    <row r="590" ht="15.75" customHeight="1">
      <c r="B590" s="2"/>
      <c r="E590" s="2"/>
      <c r="F590" s="2"/>
      <c r="T590" s="2"/>
      <c r="X590" s="2"/>
      <c r="Z590" s="2"/>
      <c r="AM590" s="2"/>
      <c r="AN590" s="2"/>
      <c r="AQ590" s="2"/>
    </row>
    <row r="591" ht="15.75" customHeight="1">
      <c r="B591" s="2"/>
      <c r="E591" s="2"/>
      <c r="F591" s="2"/>
      <c r="T591" s="2"/>
      <c r="X591" s="2"/>
      <c r="Z591" s="2"/>
      <c r="AM591" s="2"/>
      <c r="AN591" s="2"/>
      <c r="AQ591" s="2"/>
    </row>
    <row r="592" ht="15.75" customHeight="1">
      <c r="B592" s="2"/>
      <c r="E592" s="2"/>
      <c r="F592" s="2"/>
      <c r="T592" s="2"/>
      <c r="X592" s="2"/>
      <c r="Z592" s="2"/>
      <c r="AM592" s="2"/>
      <c r="AN592" s="2"/>
      <c r="AQ592" s="2"/>
    </row>
    <row r="593" ht="15.75" customHeight="1">
      <c r="B593" s="2"/>
      <c r="E593" s="2"/>
      <c r="F593" s="2"/>
      <c r="T593" s="2"/>
      <c r="X593" s="2"/>
      <c r="Z593" s="2"/>
      <c r="AM593" s="2"/>
      <c r="AN593" s="2"/>
      <c r="AQ593" s="2"/>
    </row>
    <row r="594" ht="15.75" customHeight="1">
      <c r="B594" s="2"/>
      <c r="E594" s="2"/>
      <c r="F594" s="2"/>
      <c r="T594" s="2"/>
      <c r="X594" s="2"/>
      <c r="Z594" s="2"/>
      <c r="AM594" s="2"/>
      <c r="AN594" s="2"/>
      <c r="AQ594" s="2"/>
    </row>
    <row r="595" ht="15.75" customHeight="1">
      <c r="B595" s="2"/>
      <c r="E595" s="2"/>
      <c r="F595" s="2"/>
      <c r="T595" s="2"/>
      <c r="X595" s="2"/>
      <c r="Z595" s="2"/>
      <c r="AM595" s="2"/>
      <c r="AN595" s="2"/>
      <c r="AQ595" s="2"/>
    </row>
    <row r="596" ht="15.75" customHeight="1">
      <c r="B596" s="2"/>
      <c r="E596" s="2"/>
      <c r="F596" s="2"/>
      <c r="T596" s="2"/>
      <c r="X596" s="2"/>
      <c r="Z596" s="2"/>
      <c r="AM596" s="2"/>
      <c r="AN596" s="2"/>
      <c r="AQ596" s="2"/>
    </row>
    <row r="597" ht="15.75" customHeight="1">
      <c r="B597" s="2"/>
      <c r="E597" s="2"/>
      <c r="F597" s="2"/>
      <c r="T597" s="2"/>
      <c r="X597" s="2"/>
      <c r="Z597" s="2"/>
      <c r="AM597" s="2"/>
      <c r="AN597" s="2"/>
      <c r="AQ597" s="2"/>
    </row>
    <row r="598" ht="15.75" customHeight="1">
      <c r="B598" s="2"/>
      <c r="E598" s="2"/>
      <c r="F598" s="2"/>
      <c r="T598" s="2"/>
      <c r="X598" s="2"/>
      <c r="Z598" s="2"/>
      <c r="AM598" s="2"/>
      <c r="AN598" s="2"/>
      <c r="AQ598" s="2"/>
    </row>
    <row r="599" ht="15.75" customHeight="1">
      <c r="B599" s="2"/>
      <c r="E599" s="2"/>
      <c r="F599" s="2"/>
      <c r="T599" s="2"/>
      <c r="X599" s="2"/>
      <c r="Z599" s="2"/>
      <c r="AM599" s="2"/>
      <c r="AN599" s="2"/>
      <c r="AQ599" s="2"/>
    </row>
    <row r="600" ht="15.75" customHeight="1">
      <c r="B600" s="2"/>
      <c r="E600" s="2"/>
      <c r="F600" s="2"/>
      <c r="T600" s="2"/>
      <c r="X600" s="2"/>
      <c r="Z600" s="2"/>
      <c r="AM600" s="2"/>
      <c r="AN600" s="2"/>
      <c r="AQ600" s="2"/>
    </row>
    <row r="601" ht="15.75" customHeight="1">
      <c r="B601" s="2"/>
      <c r="E601" s="2"/>
      <c r="F601" s="2"/>
      <c r="T601" s="2"/>
      <c r="X601" s="2"/>
      <c r="Z601" s="2"/>
      <c r="AM601" s="2"/>
      <c r="AN601" s="2"/>
      <c r="AQ601" s="2"/>
    </row>
    <row r="602" ht="15.75" customHeight="1">
      <c r="B602" s="2"/>
      <c r="E602" s="2"/>
      <c r="F602" s="2"/>
      <c r="T602" s="2"/>
      <c r="X602" s="2"/>
      <c r="Z602" s="2"/>
      <c r="AM602" s="2"/>
      <c r="AN602" s="2"/>
      <c r="AQ602" s="2"/>
    </row>
    <row r="603" ht="15.75" customHeight="1">
      <c r="B603" s="2"/>
      <c r="E603" s="2"/>
      <c r="F603" s="2"/>
      <c r="T603" s="2"/>
      <c r="X603" s="2"/>
      <c r="Z603" s="2"/>
      <c r="AM603" s="2"/>
      <c r="AN603" s="2"/>
      <c r="AQ603" s="2"/>
    </row>
    <row r="604" ht="15.75" customHeight="1">
      <c r="B604" s="2"/>
      <c r="E604" s="2"/>
      <c r="F604" s="2"/>
      <c r="T604" s="2"/>
      <c r="X604" s="2"/>
      <c r="Z604" s="2"/>
      <c r="AM604" s="2"/>
      <c r="AN604" s="2"/>
      <c r="AQ604" s="2"/>
    </row>
    <row r="605" ht="15.75" customHeight="1">
      <c r="B605" s="2"/>
      <c r="E605" s="2"/>
      <c r="F605" s="2"/>
      <c r="T605" s="2"/>
      <c r="X605" s="2"/>
      <c r="Z605" s="2"/>
      <c r="AM605" s="2"/>
      <c r="AN605" s="2"/>
      <c r="AQ605" s="2"/>
    </row>
    <row r="606" ht="15.75" customHeight="1">
      <c r="B606" s="2"/>
      <c r="E606" s="2"/>
      <c r="F606" s="2"/>
      <c r="T606" s="2"/>
      <c r="X606" s="2"/>
      <c r="Z606" s="2"/>
      <c r="AM606" s="2"/>
      <c r="AN606" s="2"/>
      <c r="AQ606" s="2"/>
    </row>
    <row r="607" ht="15.75" customHeight="1">
      <c r="B607" s="2"/>
      <c r="E607" s="2"/>
      <c r="F607" s="2"/>
      <c r="T607" s="2"/>
      <c r="X607" s="2"/>
      <c r="Z607" s="2"/>
      <c r="AM607" s="2"/>
      <c r="AN607" s="2"/>
      <c r="AQ607" s="2"/>
    </row>
    <row r="608" ht="15.75" customHeight="1">
      <c r="B608" s="2"/>
      <c r="E608" s="2"/>
      <c r="F608" s="2"/>
      <c r="T608" s="2"/>
      <c r="X608" s="2"/>
      <c r="Z608" s="2"/>
      <c r="AM608" s="2"/>
      <c r="AN608" s="2"/>
      <c r="AQ608" s="2"/>
    </row>
    <row r="609" ht="15.75" customHeight="1">
      <c r="B609" s="2"/>
      <c r="E609" s="2"/>
      <c r="F609" s="2"/>
      <c r="T609" s="2"/>
      <c r="X609" s="2"/>
      <c r="Z609" s="2"/>
      <c r="AM609" s="2"/>
      <c r="AN609" s="2"/>
      <c r="AQ609" s="2"/>
    </row>
    <row r="610" ht="15.75" customHeight="1">
      <c r="B610" s="2"/>
      <c r="E610" s="2"/>
      <c r="F610" s="2"/>
      <c r="T610" s="2"/>
      <c r="X610" s="2"/>
      <c r="Z610" s="2"/>
      <c r="AM610" s="2"/>
      <c r="AN610" s="2"/>
      <c r="AQ610" s="2"/>
    </row>
    <row r="611" ht="15.75" customHeight="1">
      <c r="B611" s="2"/>
      <c r="E611" s="2"/>
      <c r="F611" s="2"/>
      <c r="T611" s="2"/>
      <c r="X611" s="2"/>
      <c r="Z611" s="2"/>
      <c r="AM611" s="2"/>
      <c r="AN611" s="2"/>
      <c r="AQ611" s="2"/>
    </row>
    <row r="612" ht="15.75" customHeight="1">
      <c r="B612" s="2"/>
      <c r="E612" s="2"/>
      <c r="F612" s="2"/>
      <c r="T612" s="2"/>
      <c r="X612" s="2"/>
      <c r="Z612" s="2"/>
      <c r="AM612" s="2"/>
      <c r="AN612" s="2"/>
      <c r="AQ612" s="2"/>
    </row>
    <row r="613" ht="15.75" customHeight="1">
      <c r="B613" s="2"/>
      <c r="E613" s="2"/>
      <c r="F613" s="2"/>
      <c r="T613" s="2"/>
      <c r="X613" s="2"/>
      <c r="Z613" s="2"/>
      <c r="AM613" s="2"/>
      <c r="AN613" s="2"/>
      <c r="AQ613" s="2"/>
    </row>
    <row r="614" ht="15.75" customHeight="1">
      <c r="B614" s="2"/>
      <c r="E614" s="2"/>
      <c r="F614" s="2"/>
      <c r="T614" s="2"/>
      <c r="X614" s="2"/>
      <c r="Z614" s="2"/>
      <c r="AM614" s="2"/>
      <c r="AN614" s="2"/>
      <c r="AQ614" s="2"/>
    </row>
    <row r="615" ht="15.75" customHeight="1">
      <c r="B615" s="2"/>
      <c r="E615" s="2"/>
      <c r="F615" s="2"/>
      <c r="T615" s="2"/>
      <c r="X615" s="2"/>
      <c r="Z615" s="2"/>
      <c r="AM615" s="2"/>
      <c r="AN615" s="2"/>
      <c r="AQ615" s="2"/>
    </row>
    <row r="616" ht="15.75" customHeight="1">
      <c r="B616" s="2"/>
      <c r="E616" s="2"/>
      <c r="F616" s="2"/>
      <c r="T616" s="2"/>
      <c r="X616" s="2"/>
      <c r="Z616" s="2"/>
      <c r="AM616" s="2"/>
      <c r="AN616" s="2"/>
      <c r="AQ616" s="2"/>
    </row>
    <row r="617" ht="15.75" customHeight="1">
      <c r="B617" s="2"/>
      <c r="E617" s="2"/>
      <c r="F617" s="2"/>
      <c r="T617" s="2"/>
      <c r="X617" s="2"/>
      <c r="Z617" s="2"/>
      <c r="AM617" s="2"/>
      <c r="AN617" s="2"/>
      <c r="AQ617" s="2"/>
    </row>
    <row r="618" ht="15.75" customHeight="1">
      <c r="B618" s="2"/>
      <c r="E618" s="2"/>
      <c r="F618" s="2"/>
      <c r="T618" s="2"/>
      <c r="X618" s="2"/>
      <c r="Z618" s="2"/>
      <c r="AM618" s="2"/>
      <c r="AN618" s="2"/>
      <c r="AQ618" s="2"/>
    </row>
    <row r="619" ht="15.75" customHeight="1">
      <c r="B619" s="2"/>
      <c r="E619" s="2"/>
      <c r="F619" s="2"/>
      <c r="T619" s="2"/>
      <c r="X619" s="2"/>
      <c r="Z619" s="2"/>
      <c r="AM619" s="2"/>
      <c r="AN619" s="2"/>
      <c r="AQ619" s="2"/>
    </row>
    <row r="620" ht="15.75" customHeight="1">
      <c r="B620" s="2"/>
      <c r="E620" s="2"/>
      <c r="F620" s="2"/>
      <c r="T620" s="2"/>
      <c r="X620" s="2"/>
      <c r="Z620" s="2"/>
      <c r="AM620" s="2"/>
      <c r="AN620" s="2"/>
      <c r="AQ620" s="2"/>
    </row>
    <row r="621" ht="15.75" customHeight="1">
      <c r="B621" s="2"/>
      <c r="E621" s="2"/>
      <c r="F621" s="2"/>
      <c r="T621" s="2"/>
      <c r="X621" s="2"/>
      <c r="Z621" s="2"/>
      <c r="AM621" s="2"/>
      <c r="AN621" s="2"/>
      <c r="AQ621" s="2"/>
    </row>
    <row r="622" ht="15.75" customHeight="1">
      <c r="B622" s="2"/>
      <c r="E622" s="2"/>
      <c r="F622" s="2"/>
      <c r="T622" s="2"/>
      <c r="X622" s="2"/>
      <c r="Z622" s="2"/>
      <c r="AM622" s="2"/>
      <c r="AN622" s="2"/>
      <c r="AQ622" s="2"/>
    </row>
    <row r="623" ht="15.75" customHeight="1">
      <c r="B623" s="2"/>
      <c r="E623" s="2"/>
      <c r="F623" s="2"/>
      <c r="T623" s="2"/>
      <c r="X623" s="2"/>
      <c r="Z623" s="2"/>
      <c r="AM623" s="2"/>
      <c r="AN623" s="2"/>
      <c r="AQ623" s="2"/>
    </row>
    <row r="624" ht="15.75" customHeight="1">
      <c r="B624" s="2"/>
      <c r="E624" s="2"/>
      <c r="F624" s="2"/>
      <c r="T624" s="2"/>
      <c r="X624" s="2"/>
      <c r="Z624" s="2"/>
      <c r="AM624" s="2"/>
      <c r="AN624" s="2"/>
      <c r="AQ624" s="2"/>
    </row>
    <row r="625" ht="15.75" customHeight="1">
      <c r="B625" s="2"/>
      <c r="E625" s="2"/>
      <c r="F625" s="2"/>
      <c r="T625" s="2"/>
      <c r="X625" s="2"/>
      <c r="Z625" s="2"/>
      <c r="AM625" s="2"/>
      <c r="AN625" s="2"/>
      <c r="AQ625" s="2"/>
    </row>
    <row r="626" ht="15.75" customHeight="1">
      <c r="B626" s="2"/>
      <c r="E626" s="2"/>
      <c r="F626" s="2"/>
      <c r="T626" s="2"/>
      <c r="X626" s="2"/>
      <c r="Z626" s="2"/>
      <c r="AM626" s="2"/>
      <c r="AN626" s="2"/>
      <c r="AQ626" s="2"/>
    </row>
    <row r="627" ht="15.75" customHeight="1">
      <c r="B627" s="2"/>
      <c r="E627" s="2"/>
      <c r="F627" s="2"/>
      <c r="T627" s="2"/>
      <c r="X627" s="2"/>
      <c r="Z627" s="2"/>
      <c r="AM627" s="2"/>
      <c r="AN627" s="2"/>
      <c r="AQ627" s="2"/>
    </row>
    <row r="628" ht="15.75" customHeight="1">
      <c r="B628" s="2"/>
      <c r="E628" s="2"/>
      <c r="F628" s="2"/>
      <c r="T628" s="2"/>
      <c r="X628" s="2"/>
      <c r="Z628" s="2"/>
      <c r="AM628" s="2"/>
      <c r="AN628" s="2"/>
      <c r="AQ628" s="2"/>
    </row>
    <row r="629" ht="15.75" customHeight="1">
      <c r="B629" s="2"/>
      <c r="E629" s="2"/>
      <c r="F629" s="2"/>
      <c r="T629" s="2"/>
      <c r="X629" s="2"/>
      <c r="Z629" s="2"/>
      <c r="AM629" s="2"/>
      <c r="AN629" s="2"/>
      <c r="AQ629" s="2"/>
    </row>
    <row r="630" ht="15.75" customHeight="1">
      <c r="B630" s="2"/>
      <c r="E630" s="2"/>
      <c r="F630" s="2"/>
      <c r="T630" s="2"/>
      <c r="X630" s="2"/>
      <c r="Z630" s="2"/>
      <c r="AM630" s="2"/>
      <c r="AN630" s="2"/>
      <c r="AQ630" s="2"/>
    </row>
    <row r="631" ht="15.75" customHeight="1">
      <c r="B631" s="2"/>
      <c r="E631" s="2"/>
      <c r="F631" s="2"/>
      <c r="T631" s="2"/>
      <c r="X631" s="2"/>
      <c r="Z631" s="2"/>
      <c r="AM631" s="2"/>
      <c r="AN631" s="2"/>
      <c r="AQ631" s="2"/>
    </row>
    <row r="632" ht="15.75" customHeight="1">
      <c r="B632" s="2"/>
      <c r="E632" s="2"/>
      <c r="F632" s="2"/>
      <c r="T632" s="2"/>
      <c r="X632" s="2"/>
      <c r="Z632" s="2"/>
      <c r="AM632" s="2"/>
      <c r="AN632" s="2"/>
      <c r="AQ632" s="2"/>
    </row>
    <row r="633" ht="15.75" customHeight="1">
      <c r="B633" s="2"/>
      <c r="E633" s="2"/>
      <c r="F633" s="2"/>
      <c r="T633" s="2"/>
      <c r="X633" s="2"/>
      <c r="Z633" s="2"/>
      <c r="AM633" s="2"/>
      <c r="AN633" s="2"/>
      <c r="AQ633" s="2"/>
    </row>
    <row r="634" ht="15.75" customHeight="1">
      <c r="B634" s="2"/>
      <c r="E634" s="2"/>
      <c r="F634" s="2"/>
      <c r="T634" s="2"/>
      <c r="X634" s="2"/>
      <c r="Z634" s="2"/>
      <c r="AM634" s="2"/>
      <c r="AN634" s="2"/>
      <c r="AQ634" s="2"/>
    </row>
    <row r="635" ht="15.75" customHeight="1">
      <c r="B635" s="2"/>
      <c r="E635" s="2"/>
      <c r="F635" s="2"/>
      <c r="T635" s="2"/>
      <c r="X635" s="2"/>
      <c r="Z635" s="2"/>
      <c r="AM635" s="2"/>
      <c r="AN635" s="2"/>
      <c r="AQ635" s="2"/>
    </row>
    <row r="636" ht="15.75" customHeight="1">
      <c r="B636" s="2"/>
      <c r="E636" s="2"/>
      <c r="F636" s="2"/>
      <c r="T636" s="2"/>
      <c r="X636" s="2"/>
      <c r="Z636" s="2"/>
      <c r="AM636" s="2"/>
      <c r="AN636" s="2"/>
      <c r="AQ636" s="2"/>
    </row>
    <row r="637" ht="15.75" customHeight="1">
      <c r="B637" s="2"/>
      <c r="E637" s="2"/>
      <c r="F637" s="2"/>
      <c r="T637" s="2"/>
      <c r="X637" s="2"/>
      <c r="Z637" s="2"/>
      <c r="AM637" s="2"/>
      <c r="AN637" s="2"/>
      <c r="AQ637" s="2"/>
    </row>
    <row r="638" ht="15.75" customHeight="1">
      <c r="B638" s="2"/>
      <c r="E638" s="2"/>
      <c r="F638" s="2"/>
      <c r="T638" s="2"/>
      <c r="X638" s="2"/>
      <c r="Z638" s="2"/>
      <c r="AM638" s="2"/>
      <c r="AN638" s="2"/>
      <c r="AQ638" s="2"/>
    </row>
    <row r="639" ht="15.75" customHeight="1">
      <c r="B639" s="2"/>
      <c r="E639" s="2"/>
      <c r="F639" s="2"/>
      <c r="T639" s="2"/>
      <c r="X639" s="2"/>
      <c r="Z639" s="2"/>
      <c r="AM639" s="2"/>
      <c r="AN639" s="2"/>
      <c r="AQ639" s="2"/>
    </row>
    <row r="640" ht="15.75" customHeight="1">
      <c r="B640" s="2"/>
      <c r="E640" s="2"/>
      <c r="F640" s="2"/>
      <c r="T640" s="2"/>
      <c r="X640" s="2"/>
      <c r="Z640" s="2"/>
      <c r="AM640" s="2"/>
      <c r="AN640" s="2"/>
      <c r="AQ640" s="2"/>
    </row>
    <row r="641" ht="15.75" customHeight="1">
      <c r="B641" s="2"/>
      <c r="E641" s="2"/>
      <c r="F641" s="2"/>
      <c r="T641" s="2"/>
      <c r="X641" s="2"/>
      <c r="Z641" s="2"/>
      <c r="AM641" s="2"/>
      <c r="AN641" s="2"/>
      <c r="AQ641" s="2"/>
    </row>
    <row r="642" ht="15.75" customHeight="1">
      <c r="B642" s="2"/>
      <c r="E642" s="2"/>
      <c r="F642" s="2"/>
      <c r="T642" s="2"/>
      <c r="X642" s="2"/>
      <c r="Z642" s="2"/>
      <c r="AM642" s="2"/>
      <c r="AN642" s="2"/>
      <c r="AQ642" s="2"/>
    </row>
    <row r="643" ht="15.75" customHeight="1">
      <c r="B643" s="2"/>
      <c r="E643" s="2"/>
      <c r="F643" s="2"/>
      <c r="T643" s="2"/>
      <c r="X643" s="2"/>
      <c r="Z643" s="2"/>
      <c r="AM643" s="2"/>
      <c r="AN643" s="2"/>
      <c r="AQ643" s="2"/>
    </row>
    <row r="644" ht="15.75" customHeight="1">
      <c r="B644" s="2"/>
      <c r="E644" s="2"/>
      <c r="F644" s="2"/>
      <c r="T644" s="2"/>
      <c r="X644" s="2"/>
      <c r="Z644" s="2"/>
      <c r="AM644" s="2"/>
      <c r="AN644" s="2"/>
      <c r="AQ644" s="2"/>
    </row>
    <row r="645" ht="15.75" customHeight="1">
      <c r="B645" s="2"/>
      <c r="E645" s="2"/>
      <c r="F645" s="2"/>
      <c r="T645" s="2"/>
      <c r="X645" s="2"/>
      <c r="Z645" s="2"/>
      <c r="AM645" s="2"/>
      <c r="AN645" s="2"/>
      <c r="AQ645" s="2"/>
    </row>
    <row r="646" ht="15.75" customHeight="1">
      <c r="B646" s="2"/>
      <c r="E646" s="2"/>
      <c r="F646" s="2"/>
      <c r="T646" s="2"/>
      <c r="X646" s="2"/>
      <c r="Z646" s="2"/>
      <c r="AM646" s="2"/>
      <c r="AN646" s="2"/>
      <c r="AQ646" s="2"/>
    </row>
    <row r="647" ht="15.75" customHeight="1">
      <c r="B647" s="2"/>
      <c r="E647" s="2"/>
      <c r="F647" s="2"/>
      <c r="T647" s="2"/>
      <c r="X647" s="2"/>
      <c r="Z647" s="2"/>
      <c r="AM647" s="2"/>
      <c r="AN647" s="2"/>
      <c r="AQ647" s="2"/>
    </row>
    <row r="648" ht="15.75" customHeight="1">
      <c r="B648" s="2"/>
      <c r="E648" s="2"/>
      <c r="F648" s="2"/>
      <c r="T648" s="2"/>
      <c r="X648" s="2"/>
      <c r="Z648" s="2"/>
      <c r="AM648" s="2"/>
      <c r="AN648" s="2"/>
      <c r="AQ648" s="2"/>
    </row>
    <row r="649" ht="15.75" customHeight="1">
      <c r="B649" s="2"/>
      <c r="E649" s="2"/>
      <c r="F649" s="2"/>
      <c r="T649" s="2"/>
      <c r="X649" s="2"/>
      <c r="Z649" s="2"/>
      <c r="AM649" s="2"/>
      <c r="AN649" s="2"/>
      <c r="AQ649" s="2"/>
    </row>
    <row r="650" ht="15.75" customHeight="1">
      <c r="B650" s="2"/>
      <c r="E650" s="2"/>
      <c r="F650" s="2"/>
      <c r="T650" s="2"/>
      <c r="X650" s="2"/>
      <c r="Z650" s="2"/>
      <c r="AM650" s="2"/>
      <c r="AN650" s="2"/>
      <c r="AQ650" s="2"/>
    </row>
    <row r="651" ht="15.75" customHeight="1">
      <c r="B651" s="2"/>
      <c r="E651" s="2"/>
      <c r="F651" s="2"/>
      <c r="T651" s="2"/>
      <c r="X651" s="2"/>
      <c r="Z651" s="2"/>
      <c r="AM651" s="2"/>
      <c r="AN651" s="2"/>
      <c r="AQ651" s="2"/>
    </row>
    <row r="652" ht="15.75" customHeight="1">
      <c r="B652" s="2"/>
      <c r="E652" s="2"/>
      <c r="F652" s="2"/>
      <c r="T652" s="2"/>
      <c r="X652" s="2"/>
      <c r="Z652" s="2"/>
      <c r="AM652" s="2"/>
      <c r="AN652" s="2"/>
      <c r="AQ652" s="2"/>
    </row>
    <row r="653" ht="15.75" customHeight="1">
      <c r="B653" s="2"/>
      <c r="E653" s="2"/>
      <c r="F653" s="2"/>
      <c r="T653" s="2"/>
      <c r="X653" s="2"/>
      <c r="Z653" s="2"/>
      <c r="AM653" s="2"/>
      <c r="AN653" s="2"/>
      <c r="AQ653" s="2"/>
    </row>
    <row r="654" ht="15.75" customHeight="1">
      <c r="B654" s="2"/>
      <c r="E654" s="2"/>
      <c r="F654" s="2"/>
      <c r="T654" s="2"/>
      <c r="X654" s="2"/>
      <c r="Z654" s="2"/>
      <c r="AM654" s="2"/>
      <c r="AN654" s="2"/>
      <c r="AQ654" s="2"/>
    </row>
    <row r="655" ht="15.75" customHeight="1">
      <c r="B655" s="2"/>
      <c r="E655" s="2"/>
      <c r="F655" s="2"/>
      <c r="T655" s="2"/>
      <c r="X655" s="2"/>
      <c r="Z655" s="2"/>
      <c r="AM655" s="2"/>
      <c r="AN655" s="2"/>
      <c r="AQ655" s="2"/>
    </row>
    <row r="656" ht="15.75" customHeight="1">
      <c r="B656" s="2"/>
      <c r="E656" s="2"/>
      <c r="F656" s="2"/>
      <c r="T656" s="2"/>
      <c r="X656" s="2"/>
      <c r="Z656" s="2"/>
      <c r="AM656" s="2"/>
      <c r="AN656" s="2"/>
      <c r="AQ656" s="2"/>
    </row>
    <row r="657" ht="15.75" customHeight="1">
      <c r="B657" s="2"/>
      <c r="E657" s="2"/>
      <c r="F657" s="2"/>
      <c r="T657" s="2"/>
      <c r="X657" s="2"/>
      <c r="Z657" s="2"/>
      <c r="AM657" s="2"/>
      <c r="AN657" s="2"/>
      <c r="AQ657" s="2"/>
    </row>
    <row r="658" ht="15.75" customHeight="1">
      <c r="B658" s="2"/>
      <c r="E658" s="2"/>
      <c r="F658" s="2"/>
      <c r="T658" s="2"/>
      <c r="X658" s="2"/>
      <c r="Z658" s="2"/>
      <c r="AM658" s="2"/>
      <c r="AN658" s="2"/>
      <c r="AQ658" s="2"/>
    </row>
    <row r="659" ht="15.75" customHeight="1">
      <c r="B659" s="2"/>
      <c r="E659" s="2"/>
      <c r="F659" s="2"/>
      <c r="T659" s="2"/>
      <c r="X659" s="2"/>
      <c r="Z659" s="2"/>
      <c r="AM659" s="2"/>
      <c r="AN659" s="2"/>
      <c r="AQ659" s="2"/>
    </row>
    <row r="660" ht="15.75" customHeight="1">
      <c r="B660" s="2"/>
      <c r="E660" s="2"/>
      <c r="F660" s="2"/>
      <c r="T660" s="2"/>
      <c r="X660" s="2"/>
      <c r="Z660" s="2"/>
      <c r="AM660" s="2"/>
      <c r="AN660" s="2"/>
      <c r="AQ660" s="2"/>
    </row>
    <row r="661" ht="15.75" customHeight="1">
      <c r="B661" s="2"/>
      <c r="E661" s="2"/>
      <c r="F661" s="2"/>
      <c r="T661" s="2"/>
      <c r="X661" s="2"/>
      <c r="Z661" s="2"/>
      <c r="AM661" s="2"/>
      <c r="AN661" s="2"/>
      <c r="AQ661" s="2"/>
    </row>
    <row r="662" ht="15.75" customHeight="1">
      <c r="B662" s="2"/>
      <c r="E662" s="2"/>
      <c r="F662" s="2"/>
      <c r="T662" s="2"/>
      <c r="X662" s="2"/>
      <c r="Z662" s="2"/>
      <c r="AM662" s="2"/>
      <c r="AN662" s="2"/>
      <c r="AQ662" s="2"/>
    </row>
    <row r="663" ht="15.75" customHeight="1">
      <c r="B663" s="2"/>
      <c r="E663" s="2"/>
      <c r="F663" s="2"/>
      <c r="T663" s="2"/>
      <c r="X663" s="2"/>
      <c r="Z663" s="2"/>
      <c r="AM663" s="2"/>
      <c r="AN663" s="2"/>
      <c r="AQ663" s="2"/>
    </row>
    <row r="664" ht="15.75" customHeight="1">
      <c r="B664" s="2"/>
      <c r="E664" s="2"/>
      <c r="F664" s="2"/>
      <c r="T664" s="2"/>
      <c r="X664" s="2"/>
      <c r="Z664" s="2"/>
      <c r="AM664" s="2"/>
      <c r="AN664" s="2"/>
      <c r="AQ664" s="2"/>
    </row>
    <row r="665" ht="15.75" customHeight="1">
      <c r="B665" s="2"/>
      <c r="E665" s="2"/>
      <c r="F665" s="2"/>
      <c r="T665" s="2"/>
      <c r="X665" s="2"/>
      <c r="Z665" s="2"/>
      <c r="AM665" s="2"/>
      <c r="AN665" s="2"/>
      <c r="AQ665" s="2"/>
    </row>
    <row r="666" ht="15.75" customHeight="1">
      <c r="B666" s="2"/>
      <c r="E666" s="2"/>
      <c r="F666" s="2"/>
      <c r="T666" s="2"/>
      <c r="X666" s="2"/>
      <c r="Z666" s="2"/>
      <c r="AM666" s="2"/>
      <c r="AN666" s="2"/>
      <c r="AQ666" s="2"/>
    </row>
    <row r="667" ht="15.75" customHeight="1">
      <c r="B667" s="2"/>
      <c r="E667" s="2"/>
      <c r="F667" s="2"/>
      <c r="T667" s="2"/>
      <c r="X667" s="2"/>
      <c r="Z667" s="2"/>
      <c r="AM667" s="2"/>
      <c r="AN667" s="2"/>
      <c r="AQ667" s="2"/>
    </row>
    <row r="668" ht="15.75" customHeight="1">
      <c r="B668" s="2"/>
      <c r="E668" s="2"/>
      <c r="F668" s="2"/>
      <c r="T668" s="2"/>
      <c r="X668" s="2"/>
      <c r="Z668" s="2"/>
      <c r="AM668" s="2"/>
      <c r="AN668" s="2"/>
      <c r="AQ668" s="2"/>
    </row>
    <row r="669" ht="15.75" customHeight="1">
      <c r="B669" s="2"/>
      <c r="E669" s="2"/>
      <c r="F669" s="2"/>
      <c r="T669" s="2"/>
      <c r="X669" s="2"/>
      <c r="Z669" s="2"/>
      <c r="AM669" s="2"/>
      <c r="AN669" s="2"/>
      <c r="AQ669" s="2"/>
    </row>
    <row r="670" ht="15.75" customHeight="1">
      <c r="B670" s="2"/>
      <c r="E670" s="2"/>
      <c r="F670" s="2"/>
      <c r="T670" s="2"/>
      <c r="X670" s="2"/>
      <c r="Z670" s="2"/>
      <c r="AM670" s="2"/>
      <c r="AN670" s="2"/>
      <c r="AQ670" s="2"/>
    </row>
    <row r="671" ht="15.75" customHeight="1">
      <c r="B671" s="2"/>
      <c r="E671" s="2"/>
      <c r="F671" s="2"/>
      <c r="T671" s="2"/>
      <c r="X671" s="2"/>
      <c r="Z671" s="2"/>
      <c r="AM671" s="2"/>
      <c r="AN671" s="2"/>
      <c r="AQ671" s="2"/>
    </row>
    <row r="672" ht="15.75" customHeight="1">
      <c r="B672" s="2"/>
      <c r="E672" s="2"/>
      <c r="F672" s="2"/>
      <c r="T672" s="2"/>
      <c r="X672" s="2"/>
      <c r="Z672" s="2"/>
      <c r="AM672" s="2"/>
      <c r="AN672" s="2"/>
      <c r="AQ672" s="2"/>
    </row>
    <row r="673" ht="15.75" customHeight="1">
      <c r="B673" s="2"/>
      <c r="E673" s="2"/>
      <c r="F673" s="2"/>
      <c r="T673" s="2"/>
      <c r="X673" s="2"/>
      <c r="Z673" s="2"/>
      <c r="AM673" s="2"/>
      <c r="AN673" s="2"/>
      <c r="AQ673" s="2"/>
    </row>
    <row r="674" ht="15.75" customHeight="1">
      <c r="B674" s="2"/>
      <c r="E674" s="2"/>
      <c r="F674" s="2"/>
      <c r="T674" s="2"/>
      <c r="X674" s="2"/>
      <c r="Z674" s="2"/>
      <c r="AM674" s="2"/>
      <c r="AN674" s="2"/>
      <c r="AQ674" s="2"/>
    </row>
    <row r="675" ht="15.75" customHeight="1">
      <c r="B675" s="2"/>
      <c r="E675" s="2"/>
      <c r="F675" s="2"/>
      <c r="T675" s="2"/>
      <c r="X675" s="2"/>
      <c r="Z675" s="2"/>
      <c r="AM675" s="2"/>
      <c r="AN675" s="2"/>
      <c r="AQ675" s="2"/>
    </row>
    <row r="676" ht="15.75" customHeight="1">
      <c r="B676" s="2"/>
      <c r="E676" s="2"/>
      <c r="F676" s="2"/>
      <c r="T676" s="2"/>
      <c r="X676" s="2"/>
      <c r="Z676" s="2"/>
      <c r="AM676" s="2"/>
      <c r="AN676" s="2"/>
      <c r="AQ676" s="2"/>
    </row>
    <row r="677" ht="15.75" customHeight="1">
      <c r="B677" s="2"/>
      <c r="E677" s="2"/>
      <c r="F677" s="2"/>
      <c r="T677" s="2"/>
      <c r="X677" s="2"/>
      <c r="Z677" s="2"/>
      <c r="AM677" s="2"/>
      <c r="AN677" s="2"/>
      <c r="AQ677" s="2"/>
    </row>
    <row r="678" ht="15.75" customHeight="1">
      <c r="B678" s="2"/>
      <c r="E678" s="2"/>
      <c r="F678" s="2"/>
      <c r="T678" s="2"/>
      <c r="X678" s="2"/>
      <c r="Z678" s="2"/>
      <c r="AM678" s="2"/>
      <c r="AN678" s="2"/>
      <c r="AQ678" s="2"/>
    </row>
    <row r="679" ht="15.75" customHeight="1">
      <c r="B679" s="2"/>
      <c r="E679" s="2"/>
      <c r="F679" s="2"/>
      <c r="T679" s="2"/>
      <c r="X679" s="2"/>
      <c r="Z679" s="2"/>
      <c r="AM679" s="2"/>
      <c r="AN679" s="2"/>
      <c r="AQ679" s="2"/>
    </row>
    <row r="680" ht="15.75" customHeight="1">
      <c r="B680" s="2"/>
      <c r="E680" s="2"/>
      <c r="F680" s="2"/>
      <c r="T680" s="2"/>
      <c r="X680" s="2"/>
      <c r="Z680" s="2"/>
      <c r="AM680" s="2"/>
      <c r="AN680" s="2"/>
      <c r="AQ680" s="2"/>
    </row>
    <row r="681" ht="15.75" customHeight="1">
      <c r="B681" s="2"/>
      <c r="E681" s="2"/>
      <c r="F681" s="2"/>
      <c r="T681" s="2"/>
      <c r="X681" s="2"/>
      <c r="Z681" s="2"/>
      <c r="AM681" s="2"/>
      <c r="AN681" s="2"/>
      <c r="AQ681" s="2"/>
    </row>
    <row r="682" ht="15.75" customHeight="1">
      <c r="B682" s="2"/>
      <c r="E682" s="2"/>
      <c r="F682" s="2"/>
      <c r="T682" s="2"/>
      <c r="X682" s="2"/>
      <c r="Z682" s="2"/>
      <c r="AM682" s="2"/>
      <c r="AN682" s="2"/>
      <c r="AQ682" s="2"/>
    </row>
    <row r="683" ht="15.75" customHeight="1">
      <c r="B683" s="2"/>
      <c r="E683" s="2"/>
      <c r="F683" s="2"/>
      <c r="T683" s="2"/>
      <c r="X683" s="2"/>
      <c r="Z683" s="2"/>
      <c r="AM683" s="2"/>
      <c r="AN683" s="2"/>
      <c r="AQ683" s="2"/>
    </row>
    <row r="684" ht="15.75" customHeight="1">
      <c r="B684" s="2"/>
      <c r="E684" s="2"/>
      <c r="F684" s="2"/>
      <c r="T684" s="2"/>
      <c r="X684" s="2"/>
      <c r="Z684" s="2"/>
      <c r="AM684" s="2"/>
      <c r="AN684" s="2"/>
      <c r="AQ684" s="2"/>
    </row>
    <row r="685" ht="15.75" customHeight="1">
      <c r="B685" s="2"/>
      <c r="E685" s="2"/>
      <c r="F685" s="2"/>
      <c r="T685" s="2"/>
      <c r="X685" s="2"/>
      <c r="Z685" s="2"/>
      <c r="AM685" s="2"/>
      <c r="AN685" s="2"/>
      <c r="AQ685" s="2"/>
    </row>
    <row r="686" ht="15.75" customHeight="1">
      <c r="B686" s="2"/>
      <c r="E686" s="2"/>
      <c r="F686" s="2"/>
      <c r="T686" s="2"/>
      <c r="X686" s="2"/>
      <c r="Z686" s="2"/>
      <c r="AM686" s="2"/>
      <c r="AN686" s="2"/>
      <c r="AQ686" s="2"/>
    </row>
    <row r="687" ht="15.75" customHeight="1">
      <c r="B687" s="2"/>
      <c r="E687" s="2"/>
      <c r="F687" s="2"/>
      <c r="T687" s="2"/>
      <c r="X687" s="2"/>
      <c r="Z687" s="2"/>
      <c r="AM687" s="2"/>
      <c r="AN687" s="2"/>
      <c r="AQ687" s="2"/>
    </row>
    <row r="688" ht="15.75" customHeight="1">
      <c r="B688" s="2"/>
      <c r="E688" s="2"/>
      <c r="F688" s="2"/>
      <c r="T688" s="2"/>
      <c r="X688" s="2"/>
      <c r="Z688" s="2"/>
      <c r="AM688" s="2"/>
      <c r="AN688" s="2"/>
      <c r="AQ688" s="2"/>
    </row>
    <row r="689" ht="15.75" customHeight="1">
      <c r="B689" s="2"/>
      <c r="E689" s="2"/>
      <c r="F689" s="2"/>
      <c r="T689" s="2"/>
      <c r="X689" s="2"/>
      <c r="Z689" s="2"/>
      <c r="AM689" s="2"/>
      <c r="AN689" s="2"/>
      <c r="AQ689" s="2"/>
    </row>
    <row r="690" ht="15.75" customHeight="1">
      <c r="B690" s="2"/>
      <c r="E690" s="2"/>
      <c r="F690" s="2"/>
      <c r="T690" s="2"/>
      <c r="X690" s="2"/>
      <c r="Z690" s="2"/>
      <c r="AM690" s="2"/>
      <c r="AN690" s="2"/>
      <c r="AQ690" s="2"/>
    </row>
    <row r="691" ht="15.75" customHeight="1">
      <c r="B691" s="2"/>
      <c r="E691" s="2"/>
      <c r="F691" s="2"/>
      <c r="T691" s="2"/>
      <c r="X691" s="2"/>
      <c r="Z691" s="2"/>
      <c r="AM691" s="2"/>
      <c r="AN691" s="2"/>
      <c r="AQ691" s="2"/>
    </row>
    <row r="692" ht="15.75" customHeight="1">
      <c r="B692" s="2"/>
      <c r="E692" s="2"/>
      <c r="F692" s="2"/>
      <c r="T692" s="2"/>
      <c r="X692" s="2"/>
      <c r="Z692" s="2"/>
      <c r="AM692" s="2"/>
      <c r="AN692" s="2"/>
      <c r="AQ692" s="2"/>
    </row>
    <row r="693" ht="15.75" customHeight="1">
      <c r="B693" s="2"/>
      <c r="E693" s="2"/>
      <c r="F693" s="2"/>
      <c r="T693" s="2"/>
      <c r="X693" s="2"/>
      <c r="Z693" s="2"/>
      <c r="AM693" s="2"/>
      <c r="AN693" s="2"/>
      <c r="AQ693" s="2"/>
    </row>
    <row r="694" ht="15.75" customHeight="1">
      <c r="B694" s="2"/>
      <c r="E694" s="2"/>
      <c r="F694" s="2"/>
      <c r="T694" s="2"/>
      <c r="X694" s="2"/>
      <c r="Z694" s="2"/>
      <c r="AM694" s="2"/>
      <c r="AN694" s="2"/>
      <c r="AQ694" s="2"/>
    </row>
    <row r="695" ht="15.75" customHeight="1">
      <c r="B695" s="2"/>
      <c r="E695" s="2"/>
      <c r="F695" s="2"/>
      <c r="T695" s="2"/>
      <c r="X695" s="2"/>
      <c r="Z695" s="2"/>
      <c r="AM695" s="2"/>
      <c r="AN695" s="2"/>
      <c r="AQ695" s="2"/>
    </row>
    <row r="696" ht="15.75" customHeight="1">
      <c r="B696" s="2"/>
      <c r="E696" s="2"/>
      <c r="F696" s="2"/>
      <c r="T696" s="2"/>
      <c r="X696" s="2"/>
      <c r="Z696" s="2"/>
      <c r="AM696" s="2"/>
      <c r="AN696" s="2"/>
      <c r="AQ696" s="2"/>
    </row>
    <row r="697" ht="15.75" customHeight="1">
      <c r="B697" s="2"/>
      <c r="E697" s="2"/>
      <c r="F697" s="2"/>
      <c r="T697" s="2"/>
      <c r="X697" s="2"/>
      <c r="Z697" s="2"/>
      <c r="AM697" s="2"/>
      <c r="AN697" s="2"/>
      <c r="AQ697" s="2"/>
    </row>
    <row r="698" ht="15.75" customHeight="1">
      <c r="B698" s="2"/>
      <c r="E698" s="2"/>
      <c r="F698" s="2"/>
      <c r="T698" s="2"/>
      <c r="X698" s="2"/>
      <c r="Z698" s="2"/>
      <c r="AM698" s="2"/>
      <c r="AN698" s="2"/>
      <c r="AQ698" s="2"/>
    </row>
    <row r="699" ht="15.75" customHeight="1">
      <c r="B699" s="2"/>
      <c r="E699" s="2"/>
      <c r="F699" s="2"/>
      <c r="T699" s="2"/>
      <c r="X699" s="2"/>
      <c r="Z699" s="2"/>
      <c r="AM699" s="2"/>
      <c r="AN699" s="2"/>
      <c r="AQ699" s="2"/>
    </row>
    <row r="700" ht="15.75" customHeight="1">
      <c r="B700" s="2"/>
      <c r="E700" s="2"/>
      <c r="F700" s="2"/>
      <c r="T700" s="2"/>
      <c r="X700" s="2"/>
      <c r="Z700" s="2"/>
      <c r="AM700" s="2"/>
      <c r="AN700" s="2"/>
      <c r="AQ700" s="2"/>
    </row>
    <row r="701" ht="15.75" customHeight="1">
      <c r="B701" s="2"/>
      <c r="E701" s="2"/>
      <c r="F701" s="2"/>
      <c r="T701" s="2"/>
      <c r="X701" s="2"/>
      <c r="Z701" s="2"/>
      <c r="AM701" s="2"/>
      <c r="AN701" s="2"/>
      <c r="AQ701" s="2"/>
    </row>
    <row r="702" ht="15.75" customHeight="1">
      <c r="B702" s="2"/>
      <c r="E702" s="2"/>
      <c r="F702" s="2"/>
      <c r="T702" s="2"/>
      <c r="X702" s="2"/>
      <c r="Z702" s="2"/>
      <c r="AM702" s="2"/>
      <c r="AN702" s="2"/>
      <c r="AQ702" s="2"/>
    </row>
    <row r="703" ht="15.75" customHeight="1">
      <c r="B703" s="2"/>
      <c r="E703" s="2"/>
      <c r="F703" s="2"/>
      <c r="T703" s="2"/>
      <c r="X703" s="2"/>
      <c r="Z703" s="2"/>
      <c r="AM703" s="2"/>
      <c r="AN703" s="2"/>
      <c r="AQ703" s="2"/>
    </row>
    <row r="704" ht="15.75" customHeight="1">
      <c r="B704" s="2"/>
      <c r="E704" s="2"/>
      <c r="F704" s="2"/>
      <c r="T704" s="2"/>
      <c r="X704" s="2"/>
      <c r="Z704" s="2"/>
      <c r="AM704" s="2"/>
      <c r="AN704" s="2"/>
      <c r="AQ704" s="2"/>
    </row>
    <row r="705" ht="15.75" customHeight="1">
      <c r="B705" s="2"/>
      <c r="E705" s="2"/>
      <c r="F705" s="2"/>
      <c r="T705" s="2"/>
      <c r="X705" s="2"/>
      <c r="Z705" s="2"/>
      <c r="AM705" s="2"/>
      <c r="AN705" s="2"/>
      <c r="AQ705" s="2"/>
    </row>
    <row r="706" ht="15.75" customHeight="1">
      <c r="B706" s="2"/>
      <c r="E706" s="2"/>
      <c r="F706" s="2"/>
      <c r="T706" s="2"/>
      <c r="X706" s="2"/>
      <c r="Z706" s="2"/>
      <c r="AM706" s="2"/>
      <c r="AN706" s="2"/>
      <c r="AQ706" s="2"/>
    </row>
    <row r="707" ht="15.75" customHeight="1">
      <c r="B707" s="2"/>
      <c r="E707" s="2"/>
      <c r="F707" s="2"/>
      <c r="T707" s="2"/>
      <c r="X707" s="2"/>
      <c r="Z707" s="2"/>
      <c r="AM707" s="2"/>
      <c r="AN707" s="2"/>
      <c r="AQ707" s="2"/>
    </row>
    <row r="708" ht="15.75" customHeight="1">
      <c r="B708" s="2"/>
      <c r="E708" s="2"/>
      <c r="F708" s="2"/>
      <c r="T708" s="2"/>
      <c r="X708" s="2"/>
      <c r="Z708" s="2"/>
      <c r="AM708" s="2"/>
      <c r="AN708" s="2"/>
      <c r="AQ708" s="2"/>
    </row>
    <row r="709" ht="15.75" customHeight="1">
      <c r="B709" s="2"/>
      <c r="E709" s="2"/>
      <c r="F709" s="2"/>
      <c r="T709" s="2"/>
      <c r="X709" s="2"/>
      <c r="Z709" s="2"/>
      <c r="AM709" s="2"/>
      <c r="AN709" s="2"/>
      <c r="AQ709" s="2"/>
    </row>
    <row r="710" ht="15.75" customHeight="1">
      <c r="B710" s="2"/>
      <c r="E710" s="2"/>
      <c r="F710" s="2"/>
      <c r="T710" s="2"/>
      <c r="X710" s="2"/>
      <c r="Z710" s="2"/>
      <c r="AM710" s="2"/>
      <c r="AN710" s="2"/>
      <c r="AQ710" s="2"/>
    </row>
    <row r="711" ht="15.75" customHeight="1">
      <c r="B711" s="2"/>
      <c r="E711" s="2"/>
      <c r="F711" s="2"/>
      <c r="T711" s="2"/>
      <c r="X711" s="2"/>
      <c r="Z711" s="2"/>
      <c r="AM711" s="2"/>
      <c r="AN711" s="2"/>
      <c r="AQ711" s="2"/>
    </row>
    <row r="712" ht="15.75" customHeight="1">
      <c r="B712" s="2"/>
      <c r="E712" s="2"/>
      <c r="F712" s="2"/>
      <c r="T712" s="2"/>
      <c r="X712" s="2"/>
      <c r="Z712" s="2"/>
      <c r="AM712" s="2"/>
      <c r="AN712" s="2"/>
      <c r="AQ712" s="2"/>
    </row>
    <row r="713" ht="15.75" customHeight="1">
      <c r="B713" s="2"/>
      <c r="E713" s="2"/>
      <c r="F713" s="2"/>
      <c r="T713" s="2"/>
      <c r="X713" s="2"/>
      <c r="Z713" s="2"/>
      <c r="AM713" s="2"/>
      <c r="AN713" s="2"/>
      <c r="AQ713" s="2"/>
    </row>
    <row r="714" ht="15.75" customHeight="1">
      <c r="B714" s="2"/>
      <c r="E714" s="2"/>
      <c r="F714" s="2"/>
      <c r="T714" s="2"/>
      <c r="X714" s="2"/>
      <c r="Z714" s="2"/>
      <c r="AM714" s="2"/>
      <c r="AN714" s="2"/>
      <c r="AQ714" s="2"/>
    </row>
    <row r="715" ht="15.75" customHeight="1">
      <c r="B715" s="2"/>
      <c r="E715" s="2"/>
      <c r="F715" s="2"/>
      <c r="T715" s="2"/>
      <c r="X715" s="2"/>
      <c r="Z715" s="2"/>
      <c r="AM715" s="2"/>
      <c r="AN715" s="2"/>
      <c r="AQ715" s="2"/>
    </row>
    <row r="716" ht="15.75" customHeight="1">
      <c r="B716" s="2"/>
      <c r="E716" s="2"/>
      <c r="F716" s="2"/>
      <c r="T716" s="2"/>
      <c r="X716" s="2"/>
      <c r="Z716" s="2"/>
      <c r="AM716" s="2"/>
      <c r="AN716" s="2"/>
      <c r="AQ716" s="2"/>
    </row>
    <row r="717" ht="15.75" customHeight="1">
      <c r="B717" s="2"/>
      <c r="E717" s="2"/>
      <c r="F717" s="2"/>
      <c r="T717" s="2"/>
      <c r="X717" s="2"/>
      <c r="Z717" s="2"/>
      <c r="AM717" s="2"/>
      <c r="AN717" s="2"/>
      <c r="AQ717" s="2"/>
    </row>
    <row r="718" ht="15.75" customHeight="1">
      <c r="B718" s="2"/>
      <c r="E718" s="2"/>
      <c r="F718" s="2"/>
      <c r="T718" s="2"/>
      <c r="X718" s="2"/>
      <c r="Z718" s="2"/>
      <c r="AM718" s="2"/>
      <c r="AN718" s="2"/>
      <c r="AQ718" s="2"/>
    </row>
    <row r="719" ht="15.75" customHeight="1">
      <c r="B719" s="2"/>
      <c r="E719" s="2"/>
      <c r="F719" s="2"/>
      <c r="T719" s="2"/>
      <c r="X719" s="2"/>
      <c r="Z719" s="2"/>
      <c r="AM719" s="2"/>
      <c r="AN719" s="2"/>
      <c r="AQ719" s="2"/>
    </row>
    <row r="720" ht="15.75" customHeight="1">
      <c r="B720" s="2"/>
      <c r="E720" s="2"/>
      <c r="F720" s="2"/>
      <c r="T720" s="2"/>
      <c r="X720" s="2"/>
      <c r="Z720" s="2"/>
      <c r="AM720" s="2"/>
      <c r="AN720" s="2"/>
      <c r="AQ720" s="2"/>
    </row>
    <row r="721" ht="15.75" customHeight="1">
      <c r="B721" s="2"/>
      <c r="E721" s="2"/>
      <c r="F721" s="2"/>
      <c r="T721" s="2"/>
      <c r="X721" s="2"/>
      <c r="Z721" s="2"/>
      <c r="AM721" s="2"/>
      <c r="AN721" s="2"/>
      <c r="AQ721" s="2"/>
    </row>
    <row r="722" ht="15.75" customHeight="1">
      <c r="B722" s="2"/>
      <c r="E722" s="2"/>
      <c r="F722" s="2"/>
      <c r="T722" s="2"/>
      <c r="X722" s="2"/>
      <c r="Z722" s="2"/>
      <c r="AM722" s="2"/>
      <c r="AN722" s="2"/>
      <c r="AQ722" s="2"/>
    </row>
    <row r="723" ht="15.75" customHeight="1">
      <c r="B723" s="2"/>
      <c r="E723" s="2"/>
      <c r="F723" s="2"/>
      <c r="T723" s="2"/>
      <c r="X723" s="2"/>
      <c r="Z723" s="2"/>
      <c r="AM723" s="2"/>
      <c r="AN723" s="2"/>
      <c r="AQ723" s="2"/>
    </row>
    <row r="724" ht="15.75" customHeight="1">
      <c r="B724" s="2"/>
      <c r="E724" s="2"/>
      <c r="F724" s="2"/>
      <c r="T724" s="2"/>
      <c r="X724" s="2"/>
      <c r="Z724" s="2"/>
      <c r="AM724" s="2"/>
      <c r="AN724" s="2"/>
      <c r="AQ724" s="2"/>
    </row>
    <row r="725" ht="15.75" customHeight="1">
      <c r="B725" s="2"/>
      <c r="E725" s="2"/>
      <c r="F725" s="2"/>
      <c r="T725" s="2"/>
      <c r="X725" s="2"/>
      <c r="Z725" s="2"/>
      <c r="AM725" s="2"/>
      <c r="AN725" s="2"/>
      <c r="AQ725" s="2"/>
    </row>
    <row r="726" ht="15.75" customHeight="1">
      <c r="B726" s="2"/>
      <c r="E726" s="2"/>
      <c r="F726" s="2"/>
      <c r="T726" s="2"/>
      <c r="X726" s="2"/>
      <c r="Z726" s="2"/>
      <c r="AM726" s="2"/>
      <c r="AN726" s="2"/>
      <c r="AQ726" s="2"/>
    </row>
    <row r="727" ht="15.75" customHeight="1">
      <c r="B727" s="2"/>
      <c r="E727" s="2"/>
      <c r="F727" s="2"/>
      <c r="T727" s="2"/>
      <c r="X727" s="2"/>
      <c r="Z727" s="2"/>
      <c r="AM727" s="2"/>
      <c r="AN727" s="2"/>
      <c r="AQ727" s="2"/>
    </row>
    <row r="728" ht="15.75" customHeight="1">
      <c r="B728" s="2"/>
      <c r="E728" s="2"/>
      <c r="F728" s="2"/>
      <c r="T728" s="2"/>
      <c r="X728" s="2"/>
      <c r="Z728" s="2"/>
      <c r="AM728" s="2"/>
      <c r="AN728" s="2"/>
      <c r="AQ728" s="2"/>
    </row>
    <row r="729" ht="15.75" customHeight="1">
      <c r="B729" s="2"/>
      <c r="E729" s="2"/>
      <c r="F729" s="2"/>
      <c r="T729" s="2"/>
      <c r="X729" s="2"/>
      <c r="Z729" s="2"/>
      <c r="AM729" s="2"/>
      <c r="AN729" s="2"/>
      <c r="AQ729" s="2"/>
    </row>
    <row r="730" ht="15.75" customHeight="1">
      <c r="B730" s="2"/>
      <c r="E730" s="2"/>
      <c r="F730" s="2"/>
      <c r="T730" s="2"/>
      <c r="X730" s="2"/>
      <c r="Z730" s="2"/>
      <c r="AM730" s="2"/>
      <c r="AN730" s="2"/>
      <c r="AQ730" s="2"/>
    </row>
    <row r="731" ht="15.75" customHeight="1">
      <c r="B731" s="2"/>
      <c r="E731" s="2"/>
      <c r="F731" s="2"/>
      <c r="T731" s="2"/>
      <c r="X731" s="2"/>
      <c r="Z731" s="2"/>
      <c r="AM731" s="2"/>
      <c r="AN731" s="2"/>
      <c r="AQ731" s="2"/>
    </row>
    <row r="732" ht="15.75" customHeight="1">
      <c r="B732" s="2"/>
      <c r="E732" s="2"/>
      <c r="F732" s="2"/>
      <c r="T732" s="2"/>
      <c r="X732" s="2"/>
      <c r="Z732" s="2"/>
      <c r="AM732" s="2"/>
      <c r="AN732" s="2"/>
      <c r="AQ732" s="2"/>
    </row>
    <row r="733" ht="15.75" customHeight="1">
      <c r="B733" s="2"/>
      <c r="E733" s="2"/>
      <c r="F733" s="2"/>
      <c r="T733" s="2"/>
      <c r="X733" s="2"/>
      <c r="Z733" s="2"/>
      <c r="AM733" s="2"/>
      <c r="AN733" s="2"/>
      <c r="AQ733" s="2"/>
    </row>
    <row r="734" ht="15.75" customHeight="1">
      <c r="B734" s="2"/>
      <c r="E734" s="2"/>
      <c r="F734" s="2"/>
      <c r="T734" s="2"/>
      <c r="X734" s="2"/>
      <c r="Z734" s="2"/>
      <c r="AM734" s="2"/>
      <c r="AN734" s="2"/>
      <c r="AQ734" s="2"/>
    </row>
    <row r="735" ht="15.75" customHeight="1">
      <c r="B735" s="2"/>
      <c r="E735" s="2"/>
      <c r="F735" s="2"/>
      <c r="T735" s="2"/>
      <c r="X735" s="2"/>
      <c r="Z735" s="2"/>
      <c r="AM735" s="2"/>
      <c r="AN735" s="2"/>
      <c r="AQ735" s="2"/>
    </row>
    <row r="736" ht="15.75" customHeight="1">
      <c r="B736" s="2"/>
      <c r="E736" s="2"/>
      <c r="F736" s="2"/>
      <c r="T736" s="2"/>
      <c r="X736" s="2"/>
      <c r="Z736" s="2"/>
      <c r="AM736" s="2"/>
      <c r="AN736" s="2"/>
      <c r="AQ736" s="2"/>
    </row>
    <row r="737" ht="15.75" customHeight="1">
      <c r="B737" s="2"/>
      <c r="E737" s="2"/>
      <c r="F737" s="2"/>
      <c r="T737" s="2"/>
      <c r="X737" s="2"/>
      <c r="Z737" s="2"/>
      <c r="AM737" s="2"/>
      <c r="AN737" s="2"/>
      <c r="AQ737" s="2"/>
    </row>
    <row r="738" ht="15.75" customHeight="1">
      <c r="B738" s="2"/>
      <c r="E738" s="2"/>
      <c r="F738" s="2"/>
      <c r="T738" s="2"/>
      <c r="X738" s="2"/>
      <c r="Z738" s="2"/>
      <c r="AM738" s="2"/>
      <c r="AN738" s="2"/>
      <c r="AQ738" s="2"/>
    </row>
    <row r="739" ht="15.75" customHeight="1">
      <c r="B739" s="2"/>
      <c r="E739" s="2"/>
      <c r="F739" s="2"/>
      <c r="T739" s="2"/>
      <c r="X739" s="2"/>
      <c r="Z739" s="2"/>
      <c r="AM739" s="2"/>
      <c r="AN739" s="2"/>
      <c r="AQ739" s="2"/>
    </row>
    <row r="740" ht="15.75" customHeight="1">
      <c r="B740" s="2"/>
      <c r="E740" s="2"/>
      <c r="F740" s="2"/>
      <c r="T740" s="2"/>
      <c r="X740" s="2"/>
      <c r="Z740" s="2"/>
      <c r="AM740" s="2"/>
      <c r="AN740" s="2"/>
      <c r="AQ740" s="2"/>
    </row>
    <row r="741" ht="15.75" customHeight="1">
      <c r="B741" s="2"/>
      <c r="E741" s="2"/>
      <c r="F741" s="2"/>
      <c r="T741" s="2"/>
      <c r="X741" s="2"/>
      <c r="Z741" s="2"/>
      <c r="AM741" s="2"/>
      <c r="AN741" s="2"/>
      <c r="AQ741" s="2"/>
    </row>
    <row r="742" ht="15.75" customHeight="1">
      <c r="B742" s="2"/>
      <c r="E742" s="2"/>
      <c r="F742" s="2"/>
      <c r="T742" s="2"/>
      <c r="X742" s="2"/>
      <c r="Z742" s="2"/>
      <c r="AM742" s="2"/>
      <c r="AN742" s="2"/>
      <c r="AQ742" s="2"/>
    </row>
    <row r="743" ht="15.75" customHeight="1">
      <c r="B743" s="2"/>
      <c r="E743" s="2"/>
      <c r="F743" s="2"/>
      <c r="T743" s="2"/>
      <c r="X743" s="2"/>
      <c r="Z743" s="2"/>
      <c r="AM743" s="2"/>
      <c r="AN743" s="2"/>
      <c r="AQ743" s="2"/>
    </row>
    <row r="744" ht="15.75" customHeight="1">
      <c r="B744" s="2"/>
      <c r="E744" s="2"/>
      <c r="F744" s="2"/>
      <c r="T744" s="2"/>
      <c r="X744" s="2"/>
      <c r="Z744" s="2"/>
      <c r="AM744" s="2"/>
      <c r="AN744" s="2"/>
      <c r="AQ744" s="2"/>
    </row>
    <row r="745" ht="15.75" customHeight="1">
      <c r="B745" s="2"/>
      <c r="E745" s="2"/>
      <c r="F745" s="2"/>
      <c r="T745" s="2"/>
      <c r="X745" s="2"/>
      <c r="Z745" s="2"/>
      <c r="AM745" s="2"/>
      <c r="AN745" s="2"/>
      <c r="AQ745" s="2"/>
    </row>
    <row r="746" ht="15.75" customHeight="1">
      <c r="B746" s="2"/>
      <c r="E746" s="2"/>
      <c r="F746" s="2"/>
      <c r="T746" s="2"/>
      <c r="X746" s="2"/>
      <c r="Z746" s="2"/>
      <c r="AM746" s="2"/>
      <c r="AN746" s="2"/>
      <c r="AQ746" s="2"/>
    </row>
    <row r="747" ht="15.75" customHeight="1">
      <c r="B747" s="2"/>
      <c r="E747" s="2"/>
      <c r="F747" s="2"/>
      <c r="T747" s="2"/>
      <c r="X747" s="2"/>
      <c r="Z747" s="2"/>
      <c r="AM747" s="2"/>
      <c r="AN747" s="2"/>
      <c r="AQ747" s="2"/>
    </row>
    <row r="748" ht="15.75" customHeight="1">
      <c r="B748" s="2"/>
      <c r="E748" s="2"/>
      <c r="F748" s="2"/>
      <c r="T748" s="2"/>
      <c r="X748" s="2"/>
      <c r="Z748" s="2"/>
      <c r="AM748" s="2"/>
      <c r="AN748" s="2"/>
      <c r="AQ748" s="2"/>
    </row>
    <row r="749" ht="15.75" customHeight="1">
      <c r="B749" s="2"/>
      <c r="E749" s="2"/>
      <c r="F749" s="2"/>
      <c r="T749" s="2"/>
      <c r="X749" s="2"/>
      <c r="Z749" s="2"/>
      <c r="AM749" s="2"/>
      <c r="AN749" s="2"/>
      <c r="AQ749" s="2"/>
    </row>
    <row r="750" ht="15.75" customHeight="1">
      <c r="B750" s="2"/>
      <c r="E750" s="2"/>
      <c r="F750" s="2"/>
      <c r="T750" s="2"/>
      <c r="X750" s="2"/>
      <c r="Z750" s="2"/>
      <c r="AM750" s="2"/>
      <c r="AN750" s="2"/>
      <c r="AQ750" s="2"/>
    </row>
    <row r="751" ht="15.75" customHeight="1">
      <c r="B751" s="2"/>
      <c r="E751" s="2"/>
      <c r="F751" s="2"/>
      <c r="T751" s="2"/>
      <c r="X751" s="2"/>
      <c r="Z751" s="2"/>
      <c r="AM751" s="2"/>
      <c r="AN751" s="2"/>
      <c r="AQ751" s="2"/>
    </row>
    <row r="752" ht="15.75" customHeight="1">
      <c r="B752" s="2"/>
      <c r="E752" s="2"/>
      <c r="F752" s="2"/>
      <c r="T752" s="2"/>
      <c r="X752" s="2"/>
      <c r="Z752" s="2"/>
      <c r="AM752" s="2"/>
      <c r="AN752" s="2"/>
      <c r="AQ752" s="2"/>
    </row>
    <row r="753" ht="15.75" customHeight="1">
      <c r="B753" s="2"/>
      <c r="E753" s="2"/>
      <c r="F753" s="2"/>
      <c r="T753" s="2"/>
      <c r="X753" s="2"/>
      <c r="Z753" s="2"/>
      <c r="AM753" s="2"/>
      <c r="AN753" s="2"/>
      <c r="AQ753" s="2"/>
    </row>
    <row r="754" ht="15.75" customHeight="1">
      <c r="B754" s="2"/>
      <c r="E754" s="2"/>
      <c r="F754" s="2"/>
      <c r="T754" s="2"/>
      <c r="X754" s="2"/>
      <c r="Z754" s="2"/>
      <c r="AM754" s="2"/>
      <c r="AN754" s="2"/>
      <c r="AQ754" s="2"/>
    </row>
    <row r="755" ht="15.75" customHeight="1">
      <c r="B755" s="2"/>
      <c r="E755" s="2"/>
      <c r="F755" s="2"/>
      <c r="T755" s="2"/>
      <c r="X755" s="2"/>
      <c r="Z755" s="2"/>
      <c r="AM755" s="2"/>
      <c r="AN755" s="2"/>
      <c r="AQ755" s="2"/>
    </row>
    <row r="756" ht="15.75" customHeight="1">
      <c r="B756" s="2"/>
      <c r="E756" s="2"/>
      <c r="F756" s="2"/>
      <c r="T756" s="2"/>
      <c r="X756" s="2"/>
      <c r="Z756" s="2"/>
      <c r="AM756" s="2"/>
      <c r="AN756" s="2"/>
      <c r="AQ756" s="2"/>
    </row>
    <row r="757" ht="15.75" customHeight="1">
      <c r="B757" s="2"/>
      <c r="E757" s="2"/>
      <c r="F757" s="2"/>
      <c r="T757" s="2"/>
      <c r="X757" s="2"/>
      <c r="Z757" s="2"/>
      <c r="AM757" s="2"/>
      <c r="AN757" s="2"/>
      <c r="AQ757" s="2"/>
    </row>
    <row r="758" ht="15.75" customHeight="1">
      <c r="B758" s="2"/>
      <c r="E758" s="2"/>
      <c r="F758" s="2"/>
      <c r="T758" s="2"/>
      <c r="X758" s="2"/>
      <c r="Z758" s="2"/>
      <c r="AM758" s="2"/>
      <c r="AN758" s="2"/>
      <c r="AQ758" s="2"/>
    </row>
    <row r="759" ht="15.75" customHeight="1">
      <c r="B759" s="2"/>
      <c r="E759" s="2"/>
      <c r="F759" s="2"/>
      <c r="T759" s="2"/>
      <c r="X759" s="2"/>
      <c r="Z759" s="2"/>
      <c r="AM759" s="2"/>
      <c r="AN759" s="2"/>
      <c r="AQ759" s="2"/>
    </row>
    <row r="760" ht="15.75" customHeight="1">
      <c r="B760" s="2"/>
      <c r="E760" s="2"/>
      <c r="F760" s="2"/>
      <c r="T760" s="2"/>
      <c r="X760" s="2"/>
      <c r="Z760" s="2"/>
      <c r="AM760" s="2"/>
      <c r="AN760" s="2"/>
      <c r="AQ760" s="2"/>
    </row>
    <row r="761" ht="15.75" customHeight="1">
      <c r="B761" s="2"/>
      <c r="E761" s="2"/>
      <c r="F761" s="2"/>
      <c r="T761" s="2"/>
      <c r="X761" s="2"/>
      <c r="Z761" s="2"/>
      <c r="AM761" s="2"/>
      <c r="AN761" s="2"/>
      <c r="AQ761" s="2"/>
    </row>
    <row r="762" ht="15.75" customHeight="1">
      <c r="B762" s="2"/>
      <c r="E762" s="2"/>
      <c r="F762" s="2"/>
      <c r="T762" s="2"/>
      <c r="X762" s="2"/>
      <c r="Z762" s="2"/>
      <c r="AM762" s="2"/>
      <c r="AN762" s="2"/>
      <c r="AQ762" s="2"/>
    </row>
    <row r="763" ht="15.75" customHeight="1">
      <c r="B763" s="2"/>
      <c r="E763" s="2"/>
      <c r="F763" s="2"/>
      <c r="T763" s="2"/>
      <c r="X763" s="2"/>
      <c r="Z763" s="2"/>
      <c r="AM763" s="2"/>
      <c r="AN763" s="2"/>
      <c r="AQ763" s="2"/>
    </row>
    <row r="764" ht="15.75" customHeight="1">
      <c r="B764" s="2"/>
      <c r="E764" s="2"/>
      <c r="F764" s="2"/>
      <c r="T764" s="2"/>
      <c r="X764" s="2"/>
      <c r="Z764" s="2"/>
      <c r="AM764" s="2"/>
      <c r="AN764" s="2"/>
      <c r="AQ764" s="2"/>
    </row>
    <row r="765" ht="15.75" customHeight="1">
      <c r="B765" s="2"/>
      <c r="E765" s="2"/>
      <c r="F765" s="2"/>
      <c r="T765" s="2"/>
      <c r="X765" s="2"/>
      <c r="Z765" s="2"/>
      <c r="AM765" s="2"/>
      <c r="AN765" s="2"/>
      <c r="AQ765" s="2"/>
    </row>
    <row r="766" ht="15.75" customHeight="1">
      <c r="B766" s="2"/>
      <c r="E766" s="2"/>
      <c r="F766" s="2"/>
      <c r="T766" s="2"/>
      <c r="X766" s="2"/>
      <c r="Z766" s="2"/>
      <c r="AM766" s="2"/>
      <c r="AN766" s="2"/>
      <c r="AQ766" s="2"/>
    </row>
    <row r="767" ht="15.75" customHeight="1">
      <c r="B767" s="2"/>
      <c r="E767" s="2"/>
      <c r="F767" s="2"/>
      <c r="T767" s="2"/>
      <c r="X767" s="2"/>
      <c r="Z767" s="2"/>
      <c r="AM767" s="2"/>
      <c r="AN767" s="2"/>
      <c r="AQ767" s="2"/>
    </row>
    <row r="768" ht="15.75" customHeight="1">
      <c r="B768" s="2"/>
      <c r="E768" s="2"/>
      <c r="F768" s="2"/>
      <c r="T768" s="2"/>
      <c r="X768" s="2"/>
      <c r="Z768" s="2"/>
      <c r="AM768" s="2"/>
      <c r="AN768" s="2"/>
      <c r="AQ768" s="2"/>
    </row>
    <row r="769" ht="15.75" customHeight="1">
      <c r="B769" s="2"/>
      <c r="E769" s="2"/>
      <c r="F769" s="2"/>
      <c r="T769" s="2"/>
      <c r="X769" s="2"/>
      <c r="Z769" s="2"/>
      <c r="AM769" s="2"/>
      <c r="AN769" s="2"/>
      <c r="AQ769" s="2"/>
    </row>
    <row r="770" ht="15.75" customHeight="1">
      <c r="B770" s="2"/>
      <c r="E770" s="2"/>
      <c r="F770" s="2"/>
      <c r="T770" s="2"/>
      <c r="X770" s="2"/>
      <c r="Z770" s="2"/>
      <c r="AM770" s="2"/>
      <c r="AN770" s="2"/>
      <c r="AQ770" s="2"/>
    </row>
    <row r="771" ht="15.75" customHeight="1">
      <c r="B771" s="2"/>
      <c r="E771" s="2"/>
      <c r="F771" s="2"/>
      <c r="T771" s="2"/>
      <c r="X771" s="2"/>
      <c r="Z771" s="2"/>
      <c r="AM771" s="2"/>
      <c r="AN771" s="2"/>
      <c r="AQ771" s="2"/>
    </row>
    <row r="772" ht="15.75" customHeight="1">
      <c r="B772" s="2"/>
      <c r="E772" s="2"/>
      <c r="F772" s="2"/>
      <c r="T772" s="2"/>
      <c r="X772" s="2"/>
      <c r="Z772" s="2"/>
      <c r="AM772" s="2"/>
      <c r="AN772" s="2"/>
      <c r="AQ772" s="2"/>
    </row>
    <row r="773" ht="15.75" customHeight="1">
      <c r="B773" s="2"/>
      <c r="E773" s="2"/>
      <c r="F773" s="2"/>
      <c r="T773" s="2"/>
      <c r="X773" s="2"/>
      <c r="Z773" s="2"/>
      <c r="AM773" s="2"/>
      <c r="AN773" s="2"/>
      <c r="AQ773" s="2"/>
    </row>
    <row r="774" ht="15.75" customHeight="1">
      <c r="B774" s="2"/>
      <c r="E774" s="2"/>
      <c r="F774" s="2"/>
      <c r="T774" s="2"/>
      <c r="X774" s="2"/>
      <c r="Z774" s="2"/>
      <c r="AM774" s="2"/>
      <c r="AN774" s="2"/>
      <c r="AQ774" s="2"/>
    </row>
    <row r="775" ht="15.75" customHeight="1">
      <c r="B775" s="2"/>
      <c r="E775" s="2"/>
      <c r="F775" s="2"/>
      <c r="T775" s="2"/>
      <c r="X775" s="2"/>
      <c r="Z775" s="2"/>
      <c r="AM775" s="2"/>
      <c r="AN775" s="2"/>
      <c r="AQ775" s="2"/>
    </row>
    <row r="776" ht="15.75" customHeight="1">
      <c r="B776" s="2"/>
      <c r="E776" s="2"/>
      <c r="F776" s="2"/>
      <c r="T776" s="2"/>
      <c r="X776" s="2"/>
      <c r="Z776" s="2"/>
      <c r="AM776" s="2"/>
      <c r="AN776" s="2"/>
      <c r="AQ776" s="2"/>
    </row>
    <row r="777" ht="15.75" customHeight="1">
      <c r="B777" s="2"/>
      <c r="E777" s="2"/>
      <c r="F777" s="2"/>
      <c r="T777" s="2"/>
      <c r="X777" s="2"/>
      <c r="Z777" s="2"/>
      <c r="AM777" s="2"/>
      <c r="AN777" s="2"/>
      <c r="AQ777" s="2"/>
    </row>
    <row r="778" ht="15.75" customHeight="1">
      <c r="B778" s="2"/>
      <c r="E778" s="2"/>
      <c r="F778" s="2"/>
      <c r="T778" s="2"/>
      <c r="X778" s="2"/>
      <c r="Z778" s="2"/>
      <c r="AM778" s="2"/>
      <c r="AN778" s="2"/>
      <c r="AQ778" s="2"/>
    </row>
    <row r="779" ht="15.75" customHeight="1">
      <c r="B779" s="2"/>
      <c r="E779" s="2"/>
      <c r="F779" s="2"/>
      <c r="T779" s="2"/>
      <c r="X779" s="2"/>
      <c r="Z779" s="2"/>
      <c r="AM779" s="2"/>
      <c r="AN779" s="2"/>
      <c r="AQ779" s="2"/>
    </row>
    <row r="780" ht="15.75" customHeight="1">
      <c r="B780" s="2"/>
      <c r="E780" s="2"/>
      <c r="F780" s="2"/>
      <c r="T780" s="2"/>
      <c r="X780" s="2"/>
      <c r="Z780" s="2"/>
      <c r="AM780" s="2"/>
      <c r="AN780" s="2"/>
      <c r="AQ780" s="2"/>
    </row>
    <row r="781" ht="15.75" customHeight="1">
      <c r="B781" s="2"/>
      <c r="E781" s="2"/>
      <c r="F781" s="2"/>
      <c r="T781" s="2"/>
      <c r="X781" s="2"/>
      <c r="Z781" s="2"/>
      <c r="AM781" s="2"/>
      <c r="AN781" s="2"/>
      <c r="AQ781" s="2"/>
    </row>
    <row r="782" ht="15.75" customHeight="1">
      <c r="B782" s="2"/>
      <c r="E782" s="2"/>
      <c r="F782" s="2"/>
      <c r="T782" s="2"/>
      <c r="X782" s="2"/>
      <c r="Z782" s="2"/>
      <c r="AM782" s="2"/>
      <c r="AN782" s="2"/>
      <c r="AQ782" s="2"/>
    </row>
    <row r="783" ht="15.75" customHeight="1">
      <c r="B783" s="2"/>
      <c r="E783" s="2"/>
      <c r="F783" s="2"/>
      <c r="T783" s="2"/>
      <c r="X783" s="2"/>
      <c r="Z783" s="2"/>
      <c r="AM783" s="2"/>
      <c r="AN783" s="2"/>
      <c r="AQ783" s="2"/>
    </row>
    <row r="784" ht="15.75" customHeight="1">
      <c r="B784" s="2"/>
      <c r="E784" s="2"/>
      <c r="F784" s="2"/>
      <c r="T784" s="2"/>
      <c r="X784" s="2"/>
      <c r="Z784" s="2"/>
      <c r="AM784" s="2"/>
      <c r="AN784" s="2"/>
      <c r="AQ784" s="2"/>
    </row>
    <row r="785" ht="15.75" customHeight="1">
      <c r="B785" s="2"/>
      <c r="E785" s="2"/>
      <c r="F785" s="2"/>
      <c r="T785" s="2"/>
      <c r="X785" s="2"/>
      <c r="Z785" s="2"/>
      <c r="AM785" s="2"/>
      <c r="AN785" s="2"/>
      <c r="AQ785" s="2"/>
    </row>
    <row r="786" ht="15.75" customHeight="1">
      <c r="B786" s="2"/>
      <c r="E786" s="2"/>
      <c r="F786" s="2"/>
      <c r="T786" s="2"/>
      <c r="X786" s="2"/>
      <c r="Z786" s="2"/>
      <c r="AM786" s="2"/>
      <c r="AN786" s="2"/>
      <c r="AQ786" s="2"/>
    </row>
    <row r="787" ht="15.75" customHeight="1">
      <c r="B787" s="2"/>
      <c r="E787" s="2"/>
      <c r="F787" s="2"/>
      <c r="T787" s="2"/>
      <c r="X787" s="2"/>
      <c r="Z787" s="2"/>
      <c r="AM787" s="2"/>
      <c r="AN787" s="2"/>
      <c r="AQ787" s="2"/>
    </row>
    <row r="788" ht="15.75" customHeight="1">
      <c r="B788" s="2"/>
      <c r="E788" s="2"/>
      <c r="F788" s="2"/>
      <c r="T788" s="2"/>
      <c r="X788" s="2"/>
      <c r="Z788" s="2"/>
      <c r="AM788" s="2"/>
      <c r="AN788" s="2"/>
      <c r="AQ788" s="2"/>
    </row>
    <row r="789" ht="15.75" customHeight="1">
      <c r="B789" s="2"/>
      <c r="E789" s="2"/>
      <c r="F789" s="2"/>
      <c r="T789" s="2"/>
      <c r="X789" s="2"/>
      <c r="Z789" s="2"/>
      <c r="AM789" s="2"/>
      <c r="AN789" s="2"/>
      <c r="AQ789" s="2"/>
    </row>
    <row r="790" ht="15.75" customHeight="1">
      <c r="B790" s="2"/>
      <c r="E790" s="2"/>
      <c r="F790" s="2"/>
      <c r="T790" s="2"/>
      <c r="X790" s="2"/>
      <c r="Z790" s="2"/>
      <c r="AM790" s="2"/>
      <c r="AN790" s="2"/>
      <c r="AQ790" s="2"/>
    </row>
    <row r="791" ht="15.75" customHeight="1">
      <c r="B791" s="2"/>
      <c r="E791" s="2"/>
      <c r="F791" s="2"/>
      <c r="T791" s="2"/>
      <c r="X791" s="2"/>
      <c r="Z791" s="2"/>
      <c r="AM791" s="2"/>
      <c r="AN791" s="2"/>
      <c r="AQ791" s="2"/>
    </row>
    <row r="792" ht="15.75" customHeight="1">
      <c r="B792" s="2"/>
      <c r="E792" s="2"/>
      <c r="F792" s="2"/>
      <c r="T792" s="2"/>
      <c r="X792" s="2"/>
      <c r="Z792" s="2"/>
      <c r="AM792" s="2"/>
      <c r="AN792" s="2"/>
      <c r="AQ792" s="2"/>
    </row>
    <row r="793" ht="15.75" customHeight="1">
      <c r="B793" s="2"/>
      <c r="E793" s="2"/>
      <c r="F793" s="2"/>
      <c r="T793" s="2"/>
      <c r="X793" s="2"/>
      <c r="Z793" s="2"/>
      <c r="AM793" s="2"/>
      <c r="AN793" s="2"/>
      <c r="AQ793" s="2"/>
    </row>
    <row r="794" ht="15.75" customHeight="1">
      <c r="B794" s="2"/>
      <c r="E794" s="2"/>
      <c r="F794" s="2"/>
      <c r="T794" s="2"/>
      <c r="X794" s="2"/>
      <c r="Z794" s="2"/>
      <c r="AM794" s="2"/>
      <c r="AN794" s="2"/>
      <c r="AQ794" s="2"/>
    </row>
    <row r="795" ht="15.75" customHeight="1">
      <c r="B795" s="2"/>
      <c r="E795" s="2"/>
      <c r="F795" s="2"/>
      <c r="T795" s="2"/>
      <c r="X795" s="2"/>
      <c r="Z795" s="2"/>
      <c r="AM795" s="2"/>
      <c r="AN795" s="2"/>
      <c r="AQ795" s="2"/>
    </row>
    <row r="796" ht="15.75" customHeight="1">
      <c r="B796" s="2"/>
      <c r="E796" s="2"/>
      <c r="F796" s="2"/>
      <c r="T796" s="2"/>
      <c r="X796" s="2"/>
      <c r="Z796" s="2"/>
      <c r="AM796" s="2"/>
      <c r="AN796" s="2"/>
      <c r="AQ796" s="2"/>
    </row>
    <row r="797" ht="15.75" customHeight="1">
      <c r="B797" s="2"/>
      <c r="E797" s="2"/>
      <c r="F797" s="2"/>
      <c r="T797" s="2"/>
      <c r="X797" s="2"/>
      <c r="Z797" s="2"/>
      <c r="AM797" s="2"/>
      <c r="AN797" s="2"/>
      <c r="AQ797" s="2"/>
    </row>
    <row r="798" ht="15.75" customHeight="1">
      <c r="B798" s="2"/>
      <c r="E798" s="2"/>
      <c r="F798" s="2"/>
      <c r="T798" s="2"/>
      <c r="X798" s="2"/>
      <c r="Z798" s="2"/>
      <c r="AM798" s="2"/>
      <c r="AN798" s="2"/>
      <c r="AQ798" s="2"/>
    </row>
    <row r="799" ht="15.75" customHeight="1">
      <c r="B799" s="2"/>
      <c r="E799" s="2"/>
      <c r="F799" s="2"/>
      <c r="T799" s="2"/>
      <c r="X799" s="2"/>
      <c r="Z799" s="2"/>
      <c r="AM799" s="2"/>
      <c r="AN799" s="2"/>
      <c r="AQ799" s="2"/>
    </row>
    <row r="800" ht="15.75" customHeight="1">
      <c r="B800" s="2"/>
      <c r="E800" s="2"/>
      <c r="F800" s="2"/>
      <c r="T800" s="2"/>
      <c r="X800" s="2"/>
      <c r="Z800" s="2"/>
      <c r="AM800" s="2"/>
      <c r="AN800" s="2"/>
      <c r="AQ800" s="2"/>
    </row>
    <row r="801" ht="15.75" customHeight="1">
      <c r="B801" s="2"/>
      <c r="E801" s="2"/>
      <c r="F801" s="2"/>
      <c r="T801" s="2"/>
      <c r="X801" s="2"/>
      <c r="Z801" s="2"/>
      <c r="AM801" s="2"/>
      <c r="AN801" s="2"/>
      <c r="AQ801" s="2"/>
    </row>
    <row r="802" ht="15.75" customHeight="1">
      <c r="B802" s="2"/>
      <c r="E802" s="2"/>
      <c r="F802" s="2"/>
      <c r="T802" s="2"/>
      <c r="X802" s="2"/>
      <c r="Z802" s="2"/>
      <c r="AM802" s="2"/>
      <c r="AN802" s="2"/>
      <c r="AQ802" s="2"/>
    </row>
    <row r="803" ht="15.75" customHeight="1">
      <c r="B803" s="2"/>
      <c r="E803" s="2"/>
      <c r="F803" s="2"/>
      <c r="T803" s="2"/>
      <c r="X803" s="2"/>
      <c r="Z803" s="2"/>
      <c r="AM803" s="2"/>
      <c r="AN803" s="2"/>
      <c r="AQ803" s="2"/>
    </row>
    <row r="804" ht="15.75" customHeight="1">
      <c r="B804" s="2"/>
      <c r="E804" s="2"/>
      <c r="F804" s="2"/>
      <c r="T804" s="2"/>
      <c r="X804" s="2"/>
      <c r="Z804" s="2"/>
      <c r="AM804" s="2"/>
      <c r="AN804" s="2"/>
      <c r="AQ804" s="2"/>
    </row>
    <row r="805" ht="15.75" customHeight="1">
      <c r="B805" s="2"/>
      <c r="E805" s="2"/>
      <c r="F805" s="2"/>
      <c r="T805" s="2"/>
      <c r="X805" s="2"/>
      <c r="Z805" s="2"/>
      <c r="AM805" s="2"/>
      <c r="AN805" s="2"/>
      <c r="AQ805" s="2"/>
    </row>
    <row r="806" ht="15.75" customHeight="1">
      <c r="B806" s="2"/>
      <c r="E806" s="2"/>
      <c r="F806" s="2"/>
      <c r="T806" s="2"/>
      <c r="X806" s="2"/>
      <c r="Z806" s="2"/>
      <c r="AM806" s="2"/>
      <c r="AN806" s="2"/>
      <c r="AQ806" s="2"/>
    </row>
    <row r="807" ht="15.75" customHeight="1">
      <c r="B807" s="2"/>
      <c r="E807" s="2"/>
      <c r="F807" s="2"/>
      <c r="T807" s="2"/>
      <c r="X807" s="2"/>
      <c r="Z807" s="2"/>
      <c r="AM807" s="2"/>
      <c r="AN807" s="2"/>
      <c r="AQ807" s="2"/>
    </row>
    <row r="808" ht="15.75" customHeight="1">
      <c r="B808" s="2"/>
      <c r="E808" s="2"/>
      <c r="F808" s="2"/>
      <c r="T808" s="2"/>
      <c r="X808" s="2"/>
      <c r="Z808" s="2"/>
      <c r="AM808" s="2"/>
      <c r="AN808" s="2"/>
      <c r="AQ808" s="2"/>
    </row>
    <row r="809" ht="15.75" customHeight="1">
      <c r="B809" s="2"/>
      <c r="E809" s="2"/>
      <c r="F809" s="2"/>
      <c r="T809" s="2"/>
      <c r="X809" s="2"/>
      <c r="Z809" s="2"/>
      <c r="AM809" s="2"/>
      <c r="AN809" s="2"/>
      <c r="AQ809" s="2"/>
    </row>
    <row r="810" ht="15.75" customHeight="1">
      <c r="B810" s="2"/>
      <c r="E810" s="2"/>
      <c r="F810" s="2"/>
      <c r="T810" s="2"/>
      <c r="X810" s="2"/>
      <c r="Z810" s="2"/>
      <c r="AM810" s="2"/>
      <c r="AN810" s="2"/>
      <c r="AQ810" s="2"/>
    </row>
    <row r="811" ht="15.75" customHeight="1">
      <c r="B811" s="2"/>
      <c r="E811" s="2"/>
      <c r="F811" s="2"/>
      <c r="T811" s="2"/>
      <c r="X811" s="2"/>
      <c r="Z811" s="2"/>
      <c r="AM811" s="2"/>
      <c r="AN811" s="2"/>
      <c r="AQ811" s="2"/>
    </row>
    <row r="812" ht="15.75" customHeight="1">
      <c r="B812" s="2"/>
      <c r="E812" s="2"/>
      <c r="F812" s="2"/>
      <c r="T812" s="2"/>
      <c r="X812" s="2"/>
      <c r="Z812" s="2"/>
      <c r="AM812" s="2"/>
      <c r="AN812" s="2"/>
      <c r="AQ812" s="2"/>
    </row>
    <row r="813" ht="15.75" customHeight="1">
      <c r="B813" s="2"/>
      <c r="E813" s="2"/>
      <c r="F813" s="2"/>
      <c r="T813" s="2"/>
      <c r="X813" s="2"/>
      <c r="Z813" s="2"/>
      <c r="AM813" s="2"/>
      <c r="AN813" s="2"/>
      <c r="AQ813" s="2"/>
    </row>
    <row r="814" ht="15.75" customHeight="1">
      <c r="B814" s="2"/>
      <c r="E814" s="2"/>
      <c r="F814" s="2"/>
      <c r="T814" s="2"/>
      <c r="X814" s="2"/>
      <c r="Z814" s="2"/>
      <c r="AM814" s="2"/>
      <c r="AN814" s="2"/>
      <c r="AQ814" s="2"/>
    </row>
    <row r="815" ht="15.75" customHeight="1">
      <c r="B815" s="2"/>
      <c r="E815" s="2"/>
      <c r="F815" s="2"/>
      <c r="T815" s="2"/>
      <c r="X815" s="2"/>
      <c r="Z815" s="2"/>
      <c r="AM815" s="2"/>
      <c r="AN815" s="2"/>
      <c r="AQ815" s="2"/>
    </row>
    <row r="816" ht="15.75" customHeight="1">
      <c r="B816" s="2"/>
      <c r="E816" s="2"/>
      <c r="F816" s="2"/>
      <c r="T816" s="2"/>
      <c r="X816" s="2"/>
      <c r="Z816" s="2"/>
      <c r="AM816" s="2"/>
      <c r="AN816" s="2"/>
      <c r="AQ816" s="2"/>
    </row>
    <row r="817" ht="15.75" customHeight="1">
      <c r="B817" s="2"/>
      <c r="E817" s="2"/>
      <c r="F817" s="2"/>
      <c r="T817" s="2"/>
      <c r="X817" s="2"/>
      <c r="Z817" s="2"/>
      <c r="AM817" s="2"/>
      <c r="AN817" s="2"/>
      <c r="AQ817" s="2"/>
    </row>
    <row r="818" ht="15.75" customHeight="1">
      <c r="B818" s="2"/>
      <c r="E818" s="2"/>
      <c r="F818" s="2"/>
      <c r="T818" s="2"/>
      <c r="X818" s="2"/>
      <c r="Z818" s="2"/>
      <c r="AM818" s="2"/>
      <c r="AN818" s="2"/>
      <c r="AQ818" s="2"/>
    </row>
    <row r="819" ht="15.75" customHeight="1">
      <c r="B819" s="2"/>
      <c r="E819" s="2"/>
      <c r="F819" s="2"/>
      <c r="T819" s="2"/>
      <c r="X819" s="2"/>
      <c r="Z819" s="2"/>
      <c r="AM819" s="2"/>
      <c r="AN819" s="2"/>
      <c r="AQ819" s="2"/>
    </row>
    <row r="820" ht="15.75" customHeight="1">
      <c r="B820" s="2"/>
      <c r="E820" s="2"/>
      <c r="F820" s="2"/>
      <c r="T820" s="2"/>
      <c r="X820" s="2"/>
      <c r="Z820" s="2"/>
      <c r="AM820" s="2"/>
      <c r="AN820" s="2"/>
      <c r="AQ820" s="2"/>
    </row>
    <row r="821" ht="15.75" customHeight="1">
      <c r="B821" s="2"/>
      <c r="E821" s="2"/>
      <c r="F821" s="2"/>
      <c r="T821" s="2"/>
      <c r="X821" s="2"/>
      <c r="Z821" s="2"/>
      <c r="AM821" s="2"/>
      <c r="AN821" s="2"/>
      <c r="AQ821" s="2"/>
    </row>
    <row r="822" ht="15.75" customHeight="1">
      <c r="B822" s="2"/>
      <c r="E822" s="2"/>
      <c r="F822" s="2"/>
      <c r="T822" s="2"/>
      <c r="X822" s="2"/>
      <c r="Z822" s="2"/>
      <c r="AM822" s="2"/>
      <c r="AN822" s="2"/>
      <c r="AQ822" s="2"/>
    </row>
    <row r="823" ht="15.75" customHeight="1">
      <c r="B823" s="2"/>
      <c r="E823" s="2"/>
      <c r="F823" s="2"/>
      <c r="T823" s="2"/>
      <c r="X823" s="2"/>
      <c r="Z823" s="2"/>
      <c r="AM823" s="2"/>
      <c r="AN823" s="2"/>
      <c r="AQ823" s="2"/>
    </row>
    <row r="824" ht="15.75" customHeight="1">
      <c r="B824" s="2"/>
      <c r="E824" s="2"/>
      <c r="F824" s="2"/>
      <c r="T824" s="2"/>
      <c r="X824" s="2"/>
      <c r="Z824" s="2"/>
      <c r="AM824" s="2"/>
      <c r="AN824" s="2"/>
      <c r="AQ824" s="2"/>
    </row>
    <row r="825" ht="15.75" customHeight="1">
      <c r="B825" s="2"/>
      <c r="E825" s="2"/>
      <c r="F825" s="2"/>
      <c r="T825" s="2"/>
      <c r="X825" s="2"/>
      <c r="Z825" s="2"/>
      <c r="AM825" s="2"/>
      <c r="AN825" s="2"/>
      <c r="AQ825" s="2"/>
    </row>
    <row r="826" ht="15.75" customHeight="1">
      <c r="B826" s="2"/>
      <c r="E826" s="2"/>
      <c r="F826" s="2"/>
      <c r="T826" s="2"/>
      <c r="X826" s="2"/>
      <c r="Z826" s="2"/>
      <c r="AM826" s="2"/>
      <c r="AN826" s="2"/>
      <c r="AQ826" s="2"/>
    </row>
    <row r="827" ht="15.75" customHeight="1">
      <c r="B827" s="2"/>
      <c r="E827" s="2"/>
      <c r="F827" s="2"/>
      <c r="T827" s="2"/>
      <c r="X827" s="2"/>
      <c r="Z827" s="2"/>
      <c r="AM827" s="2"/>
      <c r="AN827" s="2"/>
      <c r="AQ827" s="2"/>
    </row>
    <row r="828" ht="15.75" customHeight="1">
      <c r="B828" s="2"/>
      <c r="E828" s="2"/>
      <c r="F828" s="2"/>
      <c r="T828" s="2"/>
      <c r="X828" s="2"/>
      <c r="Z828" s="2"/>
      <c r="AM828" s="2"/>
      <c r="AN828" s="2"/>
      <c r="AQ828" s="2"/>
    </row>
    <row r="829" ht="15.75" customHeight="1">
      <c r="B829" s="2"/>
      <c r="E829" s="2"/>
      <c r="F829" s="2"/>
      <c r="T829" s="2"/>
      <c r="X829" s="2"/>
      <c r="Z829" s="2"/>
      <c r="AM829" s="2"/>
      <c r="AN829" s="2"/>
      <c r="AQ829" s="2"/>
    </row>
    <row r="830" ht="15.75" customHeight="1">
      <c r="B830" s="2"/>
      <c r="E830" s="2"/>
      <c r="F830" s="2"/>
      <c r="T830" s="2"/>
      <c r="X830" s="2"/>
      <c r="Z830" s="2"/>
      <c r="AM830" s="2"/>
      <c r="AN830" s="2"/>
      <c r="AQ830" s="2"/>
    </row>
    <row r="831" ht="15.75" customHeight="1">
      <c r="B831" s="2"/>
      <c r="E831" s="2"/>
      <c r="F831" s="2"/>
      <c r="T831" s="2"/>
      <c r="X831" s="2"/>
      <c r="Z831" s="2"/>
      <c r="AM831" s="2"/>
      <c r="AN831" s="2"/>
      <c r="AQ831" s="2"/>
    </row>
    <row r="832" ht="15.75" customHeight="1">
      <c r="B832" s="2"/>
      <c r="E832" s="2"/>
      <c r="F832" s="2"/>
      <c r="T832" s="2"/>
      <c r="X832" s="2"/>
      <c r="Z832" s="2"/>
      <c r="AM832" s="2"/>
      <c r="AN832" s="2"/>
      <c r="AQ832" s="2"/>
    </row>
    <row r="833" ht="15.75" customHeight="1">
      <c r="B833" s="2"/>
      <c r="E833" s="2"/>
      <c r="F833" s="2"/>
      <c r="T833" s="2"/>
      <c r="X833" s="2"/>
      <c r="Z833" s="2"/>
      <c r="AM833" s="2"/>
      <c r="AN833" s="2"/>
      <c r="AQ833" s="2"/>
    </row>
    <row r="834" ht="15.75" customHeight="1">
      <c r="B834" s="2"/>
      <c r="E834" s="2"/>
      <c r="F834" s="2"/>
      <c r="T834" s="2"/>
      <c r="X834" s="2"/>
      <c r="Z834" s="2"/>
      <c r="AM834" s="2"/>
      <c r="AN834" s="2"/>
      <c r="AQ834" s="2"/>
    </row>
    <row r="835" ht="15.75" customHeight="1">
      <c r="B835" s="2"/>
      <c r="E835" s="2"/>
      <c r="F835" s="2"/>
      <c r="T835" s="2"/>
      <c r="X835" s="2"/>
      <c r="Z835" s="2"/>
      <c r="AM835" s="2"/>
      <c r="AN835" s="2"/>
      <c r="AQ835" s="2"/>
    </row>
    <row r="836" ht="15.75" customHeight="1">
      <c r="B836" s="2"/>
      <c r="E836" s="2"/>
      <c r="F836" s="2"/>
      <c r="T836" s="2"/>
      <c r="X836" s="2"/>
      <c r="Z836" s="2"/>
      <c r="AM836" s="2"/>
      <c r="AN836" s="2"/>
      <c r="AQ836" s="2"/>
    </row>
    <row r="837" ht="15.75" customHeight="1">
      <c r="B837" s="2"/>
      <c r="E837" s="2"/>
      <c r="F837" s="2"/>
      <c r="T837" s="2"/>
      <c r="X837" s="2"/>
      <c r="Z837" s="2"/>
      <c r="AM837" s="2"/>
      <c r="AN837" s="2"/>
      <c r="AQ837" s="2"/>
    </row>
    <row r="838" ht="15.75" customHeight="1">
      <c r="B838" s="2"/>
      <c r="E838" s="2"/>
      <c r="F838" s="2"/>
      <c r="T838" s="2"/>
      <c r="X838" s="2"/>
      <c r="Z838" s="2"/>
      <c r="AM838" s="2"/>
      <c r="AN838" s="2"/>
      <c r="AQ838" s="2"/>
    </row>
    <row r="839" ht="15.75" customHeight="1">
      <c r="B839" s="2"/>
      <c r="E839" s="2"/>
      <c r="F839" s="2"/>
      <c r="T839" s="2"/>
      <c r="X839" s="2"/>
      <c r="Z839" s="2"/>
      <c r="AM839" s="2"/>
      <c r="AN839" s="2"/>
      <c r="AQ839" s="2"/>
    </row>
    <row r="840" ht="15.75" customHeight="1">
      <c r="B840" s="2"/>
      <c r="E840" s="2"/>
      <c r="F840" s="2"/>
      <c r="T840" s="2"/>
      <c r="X840" s="2"/>
      <c r="Z840" s="2"/>
      <c r="AM840" s="2"/>
      <c r="AN840" s="2"/>
      <c r="AQ840" s="2"/>
    </row>
    <row r="841" ht="15.75" customHeight="1">
      <c r="B841" s="2"/>
      <c r="E841" s="2"/>
      <c r="F841" s="2"/>
      <c r="T841" s="2"/>
      <c r="X841" s="2"/>
      <c r="Z841" s="2"/>
      <c r="AM841" s="2"/>
      <c r="AN841" s="2"/>
      <c r="AQ841" s="2"/>
    </row>
    <row r="842" ht="15.75" customHeight="1">
      <c r="B842" s="2"/>
      <c r="E842" s="2"/>
      <c r="F842" s="2"/>
      <c r="T842" s="2"/>
      <c r="X842" s="2"/>
      <c r="Z842" s="2"/>
      <c r="AM842" s="2"/>
      <c r="AN842" s="2"/>
      <c r="AQ842" s="2"/>
    </row>
    <row r="843" ht="15.75" customHeight="1">
      <c r="B843" s="2"/>
      <c r="E843" s="2"/>
      <c r="F843" s="2"/>
      <c r="T843" s="2"/>
      <c r="X843" s="2"/>
      <c r="Z843" s="2"/>
      <c r="AM843" s="2"/>
      <c r="AN843" s="2"/>
      <c r="AQ843" s="2"/>
    </row>
    <row r="844" ht="15.75" customHeight="1">
      <c r="B844" s="2"/>
      <c r="E844" s="2"/>
      <c r="F844" s="2"/>
      <c r="T844" s="2"/>
      <c r="X844" s="2"/>
      <c r="Z844" s="2"/>
      <c r="AM844" s="2"/>
      <c r="AN844" s="2"/>
      <c r="AQ844" s="2"/>
    </row>
    <row r="845" ht="15.75" customHeight="1">
      <c r="B845" s="2"/>
      <c r="E845" s="2"/>
      <c r="F845" s="2"/>
      <c r="T845" s="2"/>
      <c r="X845" s="2"/>
      <c r="Z845" s="2"/>
      <c r="AM845" s="2"/>
      <c r="AN845" s="2"/>
      <c r="AQ845" s="2"/>
    </row>
    <row r="846" ht="15.75" customHeight="1">
      <c r="B846" s="2"/>
      <c r="E846" s="2"/>
      <c r="F846" s="2"/>
      <c r="T846" s="2"/>
      <c r="X846" s="2"/>
      <c r="Z846" s="2"/>
      <c r="AM846" s="2"/>
      <c r="AN846" s="2"/>
      <c r="AQ846" s="2"/>
    </row>
    <row r="847" ht="15.75" customHeight="1">
      <c r="B847" s="2"/>
      <c r="E847" s="2"/>
      <c r="F847" s="2"/>
      <c r="T847" s="2"/>
      <c r="X847" s="2"/>
      <c r="Z847" s="2"/>
      <c r="AM847" s="2"/>
      <c r="AN847" s="2"/>
      <c r="AQ847" s="2"/>
    </row>
    <row r="848" ht="15.75" customHeight="1">
      <c r="B848" s="2"/>
      <c r="E848" s="2"/>
      <c r="F848" s="2"/>
      <c r="T848" s="2"/>
      <c r="X848" s="2"/>
      <c r="Z848" s="2"/>
      <c r="AM848" s="2"/>
      <c r="AN848" s="2"/>
      <c r="AQ848" s="2"/>
    </row>
    <row r="849" ht="15.75" customHeight="1">
      <c r="B849" s="2"/>
      <c r="E849" s="2"/>
      <c r="F849" s="2"/>
      <c r="T849" s="2"/>
      <c r="X849" s="2"/>
      <c r="Z849" s="2"/>
      <c r="AM849" s="2"/>
      <c r="AN849" s="2"/>
      <c r="AQ849" s="2"/>
    </row>
    <row r="850" ht="15.75" customHeight="1">
      <c r="B850" s="2"/>
      <c r="E850" s="2"/>
      <c r="F850" s="2"/>
      <c r="T850" s="2"/>
      <c r="X850" s="2"/>
      <c r="Z850" s="2"/>
      <c r="AM850" s="2"/>
      <c r="AN850" s="2"/>
      <c r="AQ850" s="2"/>
    </row>
    <row r="851" ht="15.75" customHeight="1">
      <c r="B851" s="2"/>
      <c r="E851" s="2"/>
      <c r="F851" s="2"/>
      <c r="T851" s="2"/>
      <c r="X851" s="2"/>
      <c r="Z851" s="2"/>
      <c r="AM851" s="2"/>
      <c r="AN851" s="2"/>
      <c r="AQ851" s="2"/>
    </row>
    <row r="852" ht="15.75" customHeight="1">
      <c r="B852" s="2"/>
      <c r="E852" s="2"/>
      <c r="F852" s="2"/>
      <c r="T852" s="2"/>
      <c r="X852" s="2"/>
      <c r="Z852" s="2"/>
      <c r="AM852" s="2"/>
      <c r="AN852" s="2"/>
      <c r="AQ852" s="2"/>
    </row>
    <row r="853" ht="15.75" customHeight="1">
      <c r="B853" s="2"/>
      <c r="E853" s="2"/>
      <c r="F853" s="2"/>
      <c r="T853" s="2"/>
      <c r="X853" s="2"/>
      <c r="Z853" s="2"/>
      <c r="AM853" s="2"/>
      <c r="AN853" s="2"/>
      <c r="AQ853" s="2"/>
    </row>
    <row r="854" ht="15.75" customHeight="1">
      <c r="B854" s="2"/>
      <c r="E854" s="2"/>
      <c r="F854" s="2"/>
      <c r="T854" s="2"/>
      <c r="X854" s="2"/>
      <c r="Z854" s="2"/>
      <c r="AM854" s="2"/>
      <c r="AN854" s="2"/>
      <c r="AQ854" s="2"/>
    </row>
    <row r="855" ht="15.75" customHeight="1">
      <c r="B855" s="2"/>
      <c r="E855" s="2"/>
      <c r="F855" s="2"/>
      <c r="T855" s="2"/>
      <c r="X855" s="2"/>
      <c r="Z855" s="2"/>
      <c r="AM855" s="2"/>
      <c r="AN855" s="2"/>
      <c r="AQ855" s="2"/>
    </row>
    <row r="856" ht="15.75" customHeight="1">
      <c r="B856" s="2"/>
      <c r="E856" s="2"/>
      <c r="F856" s="2"/>
      <c r="T856" s="2"/>
      <c r="X856" s="2"/>
      <c r="Z856" s="2"/>
      <c r="AM856" s="2"/>
      <c r="AN856" s="2"/>
      <c r="AQ856" s="2"/>
    </row>
    <row r="857" ht="15.75" customHeight="1">
      <c r="B857" s="2"/>
      <c r="E857" s="2"/>
      <c r="F857" s="2"/>
      <c r="T857" s="2"/>
      <c r="X857" s="2"/>
      <c r="Z857" s="2"/>
      <c r="AM857" s="2"/>
      <c r="AN857" s="2"/>
      <c r="AQ857" s="2"/>
    </row>
    <row r="858" ht="15.75" customHeight="1">
      <c r="B858" s="2"/>
      <c r="E858" s="2"/>
      <c r="F858" s="2"/>
      <c r="T858" s="2"/>
      <c r="X858" s="2"/>
      <c r="Z858" s="2"/>
      <c r="AM858" s="2"/>
      <c r="AN858" s="2"/>
      <c r="AQ858" s="2"/>
    </row>
    <row r="859" ht="15.75" customHeight="1">
      <c r="B859" s="2"/>
      <c r="E859" s="2"/>
      <c r="F859" s="2"/>
      <c r="T859" s="2"/>
      <c r="X859" s="2"/>
      <c r="Z859" s="2"/>
      <c r="AM859" s="2"/>
      <c r="AN859" s="2"/>
      <c r="AQ859" s="2"/>
    </row>
    <row r="860" ht="15.75" customHeight="1">
      <c r="B860" s="2"/>
      <c r="E860" s="2"/>
      <c r="F860" s="2"/>
      <c r="T860" s="2"/>
      <c r="X860" s="2"/>
      <c r="Z860" s="2"/>
      <c r="AM860" s="2"/>
      <c r="AN860" s="2"/>
      <c r="AQ860" s="2"/>
    </row>
    <row r="861" ht="15.75" customHeight="1">
      <c r="B861" s="2"/>
      <c r="E861" s="2"/>
      <c r="F861" s="2"/>
      <c r="T861" s="2"/>
      <c r="X861" s="2"/>
      <c r="Z861" s="2"/>
      <c r="AM861" s="2"/>
      <c r="AN861" s="2"/>
      <c r="AQ861" s="2"/>
    </row>
    <row r="862" ht="15.75" customHeight="1">
      <c r="B862" s="2"/>
      <c r="E862" s="2"/>
      <c r="F862" s="2"/>
      <c r="T862" s="2"/>
      <c r="X862" s="2"/>
      <c r="Z862" s="2"/>
      <c r="AM862" s="2"/>
      <c r="AN862" s="2"/>
      <c r="AQ862" s="2"/>
    </row>
    <row r="863" ht="15.75" customHeight="1">
      <c r="B863" s="2"/>
      <c r="E863" s="2"/>
      <c r="F863" s="2"/>
      <c r="T863" s="2"/>
      <c r="X863" s="2"/>
      <c r="Z863" s="2"/>
      <c r="AM863" s="2"/>
      <c r="AN863" s="2"/>
      <c r="AQ863" s="2"/>
    </row>
    <row r="864" ht="15.75" customHeight="1">
      <c r="B864" s="2"/>
      <c r="E864" s="2"/>
      <c r="F864" s="2"/>
      <c r="T864" s="2"/>
      <c r="X864" s="2"/>
      <c r="Z864" s="2"/>
      <c r="AM864" s="2"/>
      <c r="AN864" s="2"/>
      <c r="AQ864" s="2"/>
    </row>
    <row r="865" ht="15.75" customHeight="1">
      <c r="B865" s="2"/>
      <c r="E865" s="2"/>
      <c r="F865" s="2"/>
      <c r="T865" s="2"/>
      <c r="X865" s="2"/>
      <c r="Z865" s="2"/>
      <c r="AM865" s="2"/>
      <c r="AN865" s="2"/>
      <c r="AQ865" s="2"/>
    </row>
    <row r="866" ht="15.75" customHeight="1">
      <c r="B866" s="2"/>
      <c r="E866" s="2"/>
      <c r="F866" s="2"/>
      <c r="T866" s="2"/>
      <c r="X866" s="2"/>
      <c r="Z866" s="2"/>
      <c r="AM866" s="2"/>
      <c r="AN866" s="2"/>
      <c r="AQ866" s="2"/>
    </row>
    <row r="867" ht="15.75" customHeight="1">
      <c r="B867" s="2"/>
      <c r="E867" s="2"/>
      <c r="F867" s="2"/>
      <c r="T867" s="2"/>
      <c r="X867" s="2"/>
      <c r="Z867" s="2"/>
      <c r="AM867" s="2"/>
      <c r="AN867" s="2"/>
      <c r="AQ867" s="2"/>
    </row>
    <row r="868" ht="15.75" customHeight="1">
      <c r="B868" s="2"/>
      <c r="E868" s="2"/>
      <c r="F868" s="2"/>
      <c r="T868" s="2"/>
      <c r="X868" s="2"/>
      <c r="Z868" s="2"/>
      <c r="AM868" s="2"/>
      <c r="AN868" s="2"/>
      <c r="AQ868" s="2"/>
    </row>
    <row r="869" ht="15.75" customHeight="1">
      <c r="B869" s="2"/>
      <c r="E869" s="2"/>
      <c r="F869" s="2"/>
      <c r="T869" s="2"/>
      <c r="X869" s="2"/>
      <c r="Z869" s="2"/>
      <c r="AM869" s="2"/>
      <c r="AN869" s="2"/>
      <c r="AQ869" s="2"/>
    </row>
    <row r="870" ht="15.75" customHeight="1">
      <c r="B870" s="2"/>
      <c r="E870" s="2"/>
      <c r="F870" s="2"/>
      <c r="T870" s="2"/>
      <c r="X870" s="2"/>
      <c r="Z870" s="2"/>
      <c r="AM870" s="2"/>
      <c r="AN870" s="2"/>
      <c r="AQ870" s="2"/>
    </row>
    <row r="871" ht="15.75" customHeight="1">
      <c r="B871" s="2"/>
      <c r="E871" s="2"/>
      <c r="F871" s="2"/>
      <c r="T871" s="2"/>
      <c r="X871" s="2"/>
      <c r="Z871" s="2"/>
      <c r="AM871" s="2"/>
      <c r="AN871" s="2"/>
      <c r="AQ871" s="2"/>
    </row>
    <row r="872" ht="15.75" customHeight="1">
      <c r="B872" s="2"/>
      <c r="E872" s="2"/>
      <c r="F872" s="2"/>
      <c r="T872" s="2"/>
      <c r="X872" s="2"/>
      <c r="Z872" s="2"/>
      <c r="AM872" s="2"/>
      <c r="AN872" s="2"/>
      <c r="AQ872" s="2"/>
    </row>
    <row r="873" ht="15.75" customHeight="1">
      <c r="B873" s="2"/>
      <c r="E873" s="2"/>
      <c r="F873" s="2"/>
      <c r="T873" s="2"/>
      <c r="X873" s="2"/>
      <c r="Z873" s="2"/>
      <c r="AM873" s="2"/>
      <c r="AN873" s="2"/>
      <c r="AQ873" s="2"/>
    </row>
    <row r="874" ht="15.75" customHeight="1">
      <c r="B874" s="2"/>
      <c r="E874" s="2"/>
      <c r="F874" s="2"/>
      <c r="T874" s="2"/>
      <c r="X874" s="2"/>
      <c r="Z874" s="2"/>
      <c r="AM874" s="2"/>
      <c r="AN874" s="2"/>
      <c r="AQ874" s="2"/>
    </row>
    <row r="875" ht="15.75" customHeight="1">
      <c r="B875" s="2"/>
      <c r="E875" s="2"/>
      <c r="F875" s="2"/>
      <c r="T875" s="2"/>
      <c r="X875" s="2"/>
      <c r="Z875" s="2"/>
      <c r="AM875" s="2"/>
      <c r="AN875" s="2"/>
      <c r="AQ875" s="2"/>
    </row>
    <row r="876" ht="15.75" customHeight="1">
      <c r="B876" s="2"/>
      <c r="E876" s="2"/>
      <c r="F876" s="2"/>
      <c r="T876" s="2"/>
      <c r="X876" s="2"/>
      <c r="Z876" s="2"/>
      <c r="AM876" s="2"/>
      <c r="AN876" s="2"/>
      <c r="AQ876" s="2"/>
    </row>
    <row r="877" ht="15.75" customHeight="1">
      <c r="B877" s="2"/>
      <c r="E877" s="2"/>
      <c r="F877" s="2"/>
      <c r="T877" s="2"/>
      <c r="X877" s="2"/>
      <c r="Z877" s="2"/>
      <c r="AM877" s="2"/>
      <c r="AN877" s="2"/>
      <c r="AQ877" s="2"/>
    </row>
    <row r="878" ht="15.75" customHeight="1">
      <c r="B878" s="2"/>
      <c r="E878" s="2"/>
      <c r="F878" s="2"/>
      <c r="T878" s="2"/>
      <c r="X878" s="2"/>
      <c r="Z878" s="2"/>
      <c r="AM878" s="2"/>
      <c r="AN878" s="2"/>
      <c r="AQ878" s="2"/>
    </row>
    <row r="879" ht="15.75" customHeight="1">
      <c r="B879" s="2"/>
      <c r="E879" s="2"/>
      <c r="F879" s="2"/>
      <c r="T879" s="2"/>
      <c r="X879" s="2"/>
      <c r="Z879" s="2"/>
      <c r="AM879" s="2"/>
      <c r="AN879" s="2"/>
      <c r="AQ879" s="2"/>
    </row>
    <row r="880" ht="15.75" customHeight="1">
      <c r="B880" s="2"/>
      <c r="E880" s="2"/>
      <c r="F880" s="2"/>
      <c r="T880" s="2"/>
      <c r="X880" s="2"/>
      <c r="Z880" s="2"/>
      <c r="AM880" s="2"/>
      <c r="AN880" s="2"/>
      <c r="AQ880" s="2"/>
    </row>
    <row r="881" ht="15.75" customHeight="1">
      <c r="B881" s="2"/>
      <c r="E881" s="2"/>
      <c r="F881" s="2"/>
      <c r="T881" s="2"/>
      <c r="X881" s="2"/>
      <c r="Z881" s="2"/>
      <c r="AM881" s="2"/>
      <c r="AN881" s="2"/>
      <c r="AQ881" s="2"/>
    </row>
    <row r="882" ht="15.75" customHeight="1">
      <c r="B882" s="2"/>
      <c r="E882" s="2"/>
      <c r="F882" s="2"/>
      <c r="T882" s="2"/>
      <c r="X882" s="2"/>
      <c r="Z882" s="2"/>
      <c r="AM882" s="2"/>
      <c r="AN882" s="2"/>
      <c r="AQ882" s="2"/>
    </row>
    <row r="883" ht="15.75" customHeight="1">
      <c r="B883" s="2"/>
      <c r="E883" s="2"/>
      <c r="F883" s="2"/>
      <c r="T883" s="2"/>
      <c r="X883" s="2"/>
      <c r="Z883" s="2"/>
      <c r="AM883" s="2"/>
      <c r="AN883" s="2"/>
      <c r="AQ883" s="2"/>
    </row>
    <row r="884" ht="15.75" customHeight="1">
      <c r="B884" s="2"/>
      <c r="E884" s="2"/>
      <c r="F884" s="2"/>
      <c r="T884" s="2"/>
      <c r="X884" s="2"/>
      <c r="Z884" s="2"/>
      <c r="AM884" s="2"/>
      <c r="AN884" s="2"/>
      <c r="AQ884" s="2"/>
    </row>
    <row r="885" ht="15.75" customHeight="1">
      <c r="B885" s="2"/>
      <c r="E885" s="2"/>
      <c r="F885" s="2"/>
      <c r="T885" s="2"/>
      <c r="X885" s="2"/>
      <c r="Z885" s="2"/>
      <c r="AM885" s="2"/>
      <c r="AN885" s="2"/>
      <c r="AQ885" s="2"/>
    </row>
    <row r="886" ht="15.75" customHeight="1">
      <c r="B886" s="2"/>
      <c r="E886" s="2"/>
      <c r="F886" s="2"/>
      <c r="T886" s="2"/>
      <c r="X886" s="2"/>
      <c r="Z886" s="2"/>
      <c r="AM886" s="2"/>
      <c r="AN886" s="2"/>
      <c r="AQ886" s="2"/>
    </row>
    <row r="887" ht="15.75" customHeight="1">
      <c r="B887" s="2"/>
      <c r="E887" s="2"/>
      <c r="F887" s="2"/>
      <c r="T887" s="2"/>
      <c r="X887" s="2"/>
      <c r="Z887" s="2"/>
      <c r="AM887" s="2"/>
      <c r="AN887" s="2"/>
      <c r="AQ887" s="2"/>
    </row>
    <row r="888" ht="15.75" customHeight="1">
      <c r="B888" s="2"/>
      <c r="E888" s="2"/>
      <c r="F888" s="2"/>
      <c r="T888" s="2"/>
      <c r="X888" s="2"/>
      <c r="Z888" s="2"/>
      <c r="AM888" s="2"/>
      <c r="AN888" s="2"/>
      <c r="AQ888" s="2"/>
    </row>
    <row r="889" ht="15.75" customHeight="1">
      <c r="B889" s="2"/>
      <c r="E889" s="2"/>
      <c r="F889" s="2"/>
      <c r="T889" s="2"/>
      <c r="X889" s="2"/>
      <c r="Z889" s="2"/>
      <c r="AM889" s="2"/>
      <c r="AN889" s="2"/>
      <c r="AQ889" s="2"/>
    </row>
    <row r="890" ht="15.75" customHeight="1">
      <c r="B890" s="2"/>
      <c r="E890" s="2"/>
      <c r="F890" s="2"/>
      <c r="T890" s="2"/>
      <c r="X890" s="2"/>
      <c r="Z890" s="2"/>
      <c r="AM890" s="2"/>
      <c r="AN890" s="2"/>
      <c r="AQ890" s="2"/>
    </row>
    <row r="891" ht="15.75" customHeight="1">
      <c r="B891" s="2"/>
      <c r="E891" s="2"/>
      <c r="F891" s="2"/>
      <c r="T891" s="2"/>
      <c r="X891" s="2"/>
      <c r="Z891" s="2"/>
      <c r="AM891" s="2"/>
      <c r="AN891" s="2"/>
      <c r="AQ891" s="2"/>
    </row>
    <row r="892" ht="15.75" customHeight="1">
      <c r="B892" s="2"/>
      <c r="E892" s="2"/>
      <c r="F892" s="2"/>
      <c r="T892" s="2"/>
      <c r="X892" s="2"/>
      <c r="Z892" s="2"/>
      <c r="AM892" s="2"/>
      <c r="AN892" s="2"/>
      <c r="AQ892" s="2"/>
    </row>
    <row r="893" ht="15.75" customHeight="1">
      <c r="B893" s="2"/>
      <c r="E893" s="2"/>
      <c r="F893" s="2"/>
      <c r="T893" s="2"/>
      <c r="X893" s="2"/>
      <c r="Z893" s="2"/>
      <c r="AM893" s="2"/>
      <c r="AN893" s="2"/>
      <c r="AQ893" s="2"/>
    </row>
    <row r="894" ht="15.75" customHeight="1">
      <c r="B894" s="2"/>
      <c r="E894" s="2"/>
      <c r="F894" s="2"/>
      <c r="T894" s="2"/>
      <c r="X894" s="2"/>
      <c r="Z894" s="2"/>
      <c r="AM894" s="2"/>
      <c r="AN894" s="2"/>
      <c r="AQ894" s="2"/>
    </row>
    <row r="895" ht="15.75" customHeight="1">
      <c r="B895" s="2"/>
      <c r="E895" s="2"/>
      <c r="F895" s="2"/>
      <c r="T895" s="2"/>
      <c r="X895" s="2"/>
      <c r="Z895" s="2"/>
      <c r="AM895" s="2"/>
      <c r="AN895" s="2"/>
      <c r="AQ895" s="2"/>
    </row>
    <row r="896" ht="15.75" customHeight="1">
      <c r="B896" s="2"/>
      <c r="E896" s="2"/>
      <c r="F896" s="2"/>
      <c r="T896" s="2"/>
      <c r="X896" s="2"/>
      <c r="Z896" s="2"/>
      <c r="AM896" s="2"/>
      <c r="AN896" s="2"/>
      <c r="AQ896" s="2"/>
    </row>
    <row r="897" ht="15.75" customHeight="1">
      <c r="B897" s="2"/>
      <c r="E897" s="2"/>
      <c r="F897" s="2"/>
      <c r="T897" s="2"/>
      <c r="X897" s="2"/>
      <c r="Z897" s="2"/>
      <c r="AM897" s="2"/>
      <c r="AN897" s="2"/>
      <c r="AQ897" s="2"/>
    </row>
    <row r="898" ht="15.75" customHeight="1">
      <c r="B898" s="2"/>
      <c r="E898" s="2"/>
      <c r="F898" s="2"/>
      <c r="T898" s="2"/>
      <c r="X898" s="2"/>
      <c r="Z898" s="2"/>
      <c r="AM898" s="2"/>
      <c r="AN898" s="2"/>
      <c r="AQ898" s="2"/>
    </row>
    <row r="899" ht="15.75" customHeight="1">
      <c r="B899" s="2"/>
      <c r="E899" s="2"/>
      <c r="F899" s="2"/>
      <c r="T899" s="2"/>
      <c r="X899" s="2"/>
      <c r="Z899" s="2"/>
      <c r="AM899" s="2"/>
      <c r="AN899" s="2"/>
      <c r="AQ899" s="2"/>
    </row>
    <row r="900" ht="15.75" customHeight="1">
      <c r="B900" s="2"/>
      <c r="E900" s="2"/>
      <c r="F900" s="2"/>
      <c r="T900" s="2"/>
      <c r="X900" s="2"/>
      <c r="Z900" s="2"/>
      <c r="AM900" s="2"/>
      <c r="AN900" s="2"/>
      <c r="AQ900" s="2"/>
    </row>
    <row r="901" ht="15.75" customHeight="1">
      <c r="B901" s="2"/>
      <c r="E901" s="2"/>
      <c r="F901" s="2"/>
      <c r="T901" s="2"/>
      <c r="X901" s="2"/>
      <c r="Z901" s="2"/>
      <c r="AM901" s="2"/>
      <c r="AN901" s="2"/>
      <c r="AQ901" s="2"/>
    </row>
    <row r="902" ht="15.75" customHeight="1">
      <c r="B902" s="2"/>
      <c r="E902" s="2"/>
      <c r="F902" s="2"/>
      <c r="T902" s="2"/>
      <c r="X902" s="2"/>
      <c r="Z902" s="2"/>
      <c r="AM902" s="2"/>
      <c r="AN902" s="2"/>
      <c r="AQ902" s="2"/>
    </row>
    <row r="903" ht="15.75" customHeight="1">
      <c r="B903" s="2"/>
      <c r="E903" s="2"/>
      <c r="F903" s="2"/>
      <c r="T903" s="2"/>
      <c r="X903" s="2"/>
      <c r="Z903" s="2"/>
      <c r="AM903" s="2"/>
      <c r="AN903" s="2"/>
      <c r="AQ903" s="2"/>
    </row>
    <row r="904" ht="15.75" customHeight="1">
      <c r="B904" s="2"/>
      <c r="E904" s="2"/>
      <c r="F904" s="2"/>
      <c r="T904" s="2"/>
      <c r="X904" s="2"/>
      <c r="Z904" s="2"/>
      <c r="AM904" s="2"/>
      <c r="AN904" s="2"/>
      <c r="AQ904" s="2"/>
    </row>
    <row r="905" ht="15.75" customHeight="1">
      <c r="B905" s="2"/>
      <c r="E905" s="2"/>
      <c r="F905" s="2"/>
      <c r="T905" s="2"/>
      <c r="X905" s="2"/>
      <c r="Z905" s="2"/>
      <c r="AM905" s="2"/>
      <c r="AN905" s="2"/>
      <c r="AQ905" s="2"/>
    </row>
    <row r="906" ht="15.75" customHeight="1">
      <c r="B906" s="2"/>
      <c r="E906" s="2"/>
      <c r="F906" s="2"/>
      <c r="T906" s="2"/>
      <c r="X906" s="2"/>
      <c r="Z906" s="2"/>
      <c r="AM906" s="2"/>
      <c r="AN906" s="2"/>
      <c r="AQ906" s="2"/>
    </row>
    <row r="907" ht="15.75" customHeight="1">
      <c r="B907" s="2"/>
      <c r="E907" s="2"/>
      <c r="F907" s="2"/>
      <c r="T907" s="2"/>
      <c r="X907" s="2"/>
      <c r="Z907" s="2"/>
      <c r="AM907" s="2"/>
      <c r="AN907" s="2"/>
      <c r="AQ907" s="2"/>
    </row>
    <row r="908" ht="15.75" customHeight="1">
      <c r="B908" s="2"/>
      <c r="E908" s="2"/>
      <c r="F908" s="2"/>
      <c r="T908" s="2"/>
      <c r="X908" s="2"/>
      <c r="Z908" s="2"/>
      <c r="AM908" s="2"/>
      <c r="AN908" s="2"/>
      <c r="AQ908" s="2"/>
    </row>
    <row r="909" ht="15.75" customHeight="1">
      <c r="B909" s="2"/>
      <c r="E909" s="2"/>
      <c r="F909" s="2"/>
      <c r="T909" s="2"/>
      <c r="X909" s="2"/>
      <c r="Z909" s="2"/>
      <c r="AM909" s="2"/>
      <c r="AN909" s="2"/>
      <c r="AQ909" s="2"/>
    </row>
    <row r="910" ht="15.75" customHeight="1">
      <c r="B910" s="2"/>
      <c r="E910" s="2"/>
      <c r="F910" s="2"/>
      <c r="T910" s="2"/>
      <c r="X910" s="2"/>
      <c r="Z910" s="2"/>
      <c r="AM910" s="2"/>
      <c r="AN910" s="2"/>
      <c r="AQ910" s="2"/>
    </row>
    <row r="911" ht="15.75" customHeight="1">
      <c r="B911" s="2"/>
      <c r="E911" s="2"/>
      <c r="F911" s="2"/>
      <c r="T911" s="2"/>
      <c r="X911" s="2"/>
      <c r="Z911" s="2"/>
      <c r="AM911" s="2"/>
      <c r="AN911" s="2"/>
      <c r="AQ911" s="2"/>
    </row>
    <row r="912" ht="15.75" customHeight="1">
      <c r="B912" s="2"/>
      <c r="E912" s="2"/>
      <c r="F912" s="2"/>
      <c r="T912" s="2"/>
      <c r="X912" s="2"/>
      <c r="Z912" s="2"/>
      <c r="AM912" s="2"/>
      <c r="AN912" s="2"/>
      <c r="AQ912" s="2"/>
    </row>
    <row r="913" ht="15.75" customHeight="1">
      <c r="B913" s="2"/>
      <c r="E913" s="2"/>
      <c r="F913" s="2"/>
      <c r="T913" s="2"/>
      <c r="X913" s="2"/>
      <c r="Z913" s="2"/>
      <c r="AM913" s="2"/>
      <c r="AN913" s="2"/>
      <c r="AQ913" s="2"/>
    </row>
    <row r="914" ht="15.75" customHeight="1">
      <c r="B914" s="2"/>
      <c r="E914" s="2"/>
      <c r="F914" s="2"/>
      <c r="T914" s="2"/>
      <c r="X914" s="2"/>
      <c r="Z914" s="2"/>
      <c r="AM914" s="2"/>
      <c r="AN914" s="2"/>
      <c r="AQ914" s="2"/>
    </row>
    <row r="915" ht="15.75" customHeight="1">
      <c r="B915" s="2"/>
      <c r="E915" s="2"/>
      <c r="F915" s="2"/>
      <c r="T915" s="2"/>
      <c r="X915" s="2"/>
      <c r="Z915" s="2"/>
      <c r="AM915" s="2"/>
      <c r="AN915" s="2"/>
      <c r="AQ915" s="2"/>
    </row>
    <row r="916" ht="15.75" customHeight="1">
      <c r="B916" s="2"/>
      <c r="E916" s="2"/>
      <c r="F916" s="2"/>
      <c r="T916" s="2"/>
      <c r="X916" s="2"/>
      <c r="Z916" s="2"/>
      <c r="AM916" s="2"/>
      <c r="AN916" s="2"/>
      <c r="AQ916" s="2"/>
    </row>
    <row r="917" ht="15.75" customHeight="1">
      <c r="B917" s="2"/>
      <c r="E917" s="2"/>
      <c r="F917" s="2"/>
      <c r="T917" s="2"/>
      <c r="X917" s="2"/>
      <c r="Z917" s="2"/>
      <c r="AM917" s="2"/>
      <c r="AN917" s="2"/>
      <c r="AQ917" s="2"/>
    </row>
    <row r="918" ht="15.75" customHeight="1">
      <c r="B918" s="2"/>
      <c r="E918" s="2"/>
      <c r="F918" s="2"/>
      <c r="T918" s="2"/>
      <c r="X918" s="2"/>
      <c r="Z918" s="2"/>
      <c r="AM918" s="2"/>
      <c r="AN918" s="2"/>
      <c r="AQ918" s="2"/>
    </row>
    <row r="919" ht="15.75" customHeight="1">
      <c r="B919" s="2"/>
      <c r="E919" s="2"/>
      <c r="F919" s="2"/>
      <c r="T919" s="2"/>
      <c r="X919" s="2"/>
      <c r="Z919" s="2"/>
      <c r="AM919" s="2"/>
      <c r="AN919" s="2"/>
      <c r="AQ919" s="2"/>
    </row>
    <row r="920" ht="15.75" customHeight="1">
      <c r="B920" s="2"/>
      <c r="E920" s="2"/>
      <c r="F920" s="2"/>
      <c r="T920" s="2"/>
      <c r="X920" s="2"/>
      <c r="Z920" s="2"/>
      <c r="AM920" s="2"/>
      <c r="AN920" s="2"/>
      <c r="AQ920" s="2"/>
    </row>
    <row r="921" ht="15.75" customHeight="1">
      <c r="B921" s="2"/>
      <c r="E921" s="2"/>
      <c r="F921" s="2"/>
      <c r="T921" s="2"/>
      <c r="X921" s="2"/>
      <c r="Z921" s="2"/>
      <c r="AM921" s="2"/>
      <c r="AN921" s="2"/>
      <c r="AQ921" s="2"/>
    </row>
    <row r="922" ht="15.75" customHeight="1">
      <c r="B922" s="2"/>
      <c r="E922" s="2"/>
      <c r="F922" s="2"/>
      <c r="T922" s="2"/>
      <c r="X922" s="2"/>
      <c r="Z922" s="2"/>
      <c r="AM922" s="2"/>
      <c r="AN922" s="2"/>
      <c r="AQ922" s="2"/>
    </row>
    <row r="923" ht="15.75" customHeight="1">
      <c r="B923" s="2"/>
      <c r="E923" s="2"/>
      <c r="F923" s="2"/>
      <c r="T923" s="2"/>
      <c r="X923" s="2"/>
      <c r="Z923" s="2"/>
      <c r="AM923" s="2"/>
      <c r="AN923" s="2"/>
      <c r="AQ923" s="2"/>
    </row>
    <row r="924" ht="15.75" customHeight="1">
      <c r="B924" s="2"/>
      <c r="E924" s="2"/>
      <c r="F924" s="2"/>
      <c r="T924" s="2"/>
      <c r="X924" s="2"/>
      <c r="Z924" s="2"/>
      <c r="AM924" s="2"/>
      <c r="AN924" s="2"/>
      <c r="AQ924" s="2"/>
    </row>
    <row r="925" ht="15.75" customHeight="1">
      <c r="B925" s="2"/>
      <c r="E925" s="2"/>
      <c r="F925" s="2"/>
      <c r="T925" s="2"/>
      <c r="X925" s="2"/>
      <c r="Z925" s="2"/>
      <c r="AM925" s="2"/>
      <c r="AN925" s="2"/>
      <c r="AQ925" s="2"/>
    </row>
    <row r="926" ht="15.75" customHeight="1">
      <c r="B926" s="2"/>
      <c r="E926" s="2"/>
      <c r="F926" s="2"/>
      <c r="T926" s="2"/>
      <c r="X926" s="2"/>
      <c r="Z926" s="2"/>
      <c r="AM926" s="2"/>
      <c r="AN926" s="2"/>
      <c r="AQ926" s="2"/>
    </row>
    <row r="927" ht="15.75" customHeight="1">
      <c r="B927" s="2"/>
      <c r="E927" s="2"/>
      <c r="F927" s="2"/>
      <c r="T927" s="2"/>
      <c r="X927" s="2"/>
      <c r="Z927" s="2"/>
      <c r="AM927" s="2"/>
      <c r="AN927" s="2"/>
      <c r="AQ927" s="2"/>
    </row>
    <row r="928" ht="15.75" customHeight="1">
      <c r="B928" s="2"/>
      <c r="E928" s="2"/>
      <c r="F928" s="2"/>
      <c r="T928" s="2"/>
      <c r="X928" s="2"/>
      <c r="Z928" s="2"/>
      <c r="AM928" s="2"/>
      <c r="AN928" s="2"/>
      <c r="AQ928" s="2"/>
    </row>
    <row r="929" ht="15.75" customHeight="1">
      <c r="B929" s="2"/>
      <c r="E929" s="2"/>
      <c r="F929" s="2"/>
      <c r="T929" s="2"/>
      <c r="X929" s="2"/>
      <c r="Z929" s="2"/>
      <c r="AM929" s="2"/>
      <c r="AN929" s="2"/>
      <c r="AQ929" s="2"/>
    </row>
    <row r="930" ht="15.75" customHeight="1">
      <c r="B930" s="2"/>
      <c r="E930" s="2"/>
      <c r="F930" s="2"/>
      <c r="T930" s="2"/>
      <c r="X930" s="2"/>
      <c r="Z930" s="2"/>
      <c r="AM930" s="2"/>
      <c r="AN930" s="2"/>
      <c r="AQ930" s="2"/>
    </row>
    <row r="931" ht="15.75" customHeight="1">
      <c r="B931" s="2"/>
      <c r="E931" s="2"/>
      <c r="F931" s="2"/>
      <c r="T931" s="2"/>
      <c r="X931" s="2"/>
      <c r="Z931" s="2"/>
      <c r="AM931" s="2"/>
      <c r="AN931" s="2"/>
      <c r="AQ931" s="2"/>
    </row>
    <row r="932" ht="15.75" customHeight="1">
      <c r="B932" s="2"/>
      <c r="E932" s="2"/>
      <c r="F932" s="2"/>
      <c r="T932" s="2"/>
      <c r="X932" s="2"/>
      <c r="Z932" s="2"/>
      <c r="AM932" s="2"/>
      <c r="AN932" s="2"/>
      <c r="AQ932" s="2"/>
    </row>
    <row r="933" ht="15.75" customHeight="1">
      <c r="B933" s="2"/>
      <c r="E933" s="2"/>
      <c r="F933" s="2"/>
      <c r="T933" s="2"/>
      <c r="X933" s="2"/>
      <c r="Z933" s="2"/>
      <c r="AM933" s="2"/>
      <c r="AN933" s="2"/>
      <c r="AQ933" s="2"/>
    </row>
    <row r="934" ht="15.75" customHeight="1">
      <c r="B934" s="2"/>
      <c r="E934" s="2"/>
      <c r="F934" s="2"/>
      <c r="T934" s="2"/>
      <c r="X934" s="2"/>
      <c r="Z934" s="2"/>
      <c r="AM934" s="2"/>
      <c r="AN934" s="2"/>
      <c r="AQ934" s="2"/>
    </row>
    <row r="935" ht="15.75" customHeight="1">
      <c r="B935" s="2"/>
      <c r="E935" s="2"/>
      <c r="F935" s="2"/>
      <c r="T935" s="2"/>
      <c r="X935" s="2"/>
      <c r="Z935" s="2"/>
      <c r="AM935" s="2"/>
      <c r="AN935" s="2"/>
      <c r="AQ935" s="2"/>
    </row>
    <row r="936" ht="15.75" customHeight="1">
      <c r="B936" s="2"/>
      <c r="E936" s="2"/>
      <c r="F936" s="2"/>
      <c r="T936" s="2"/>
      <c r="X936" s="2"/>
      <c r="Z936" s="2"/>
      <c r="AM936" s="2"/>
      <c r="AN936" s="2"/>
      <c r="AQ936" s="2"/>
    </row>
    <row r="937" ht="15.75" customHeight="1">
      <c r="B937" s="2"/>
      <c r="E937" s="2"/>
      <c r="F937" s="2"/>
      <c r="T937" s="2"/>
      <c r="X937" s="2"/>
      <c r="Z937" s="2"/>
      <c r="AM937" s="2"/>
      <c r="AN937" s="2"/>
      <c r="AQ937" s="2"/>
    </row>
    <row r="938" ht="15.75" customHeight="1">
      <c r="B938" s="2"/>
      <c r="E938" s="2"/>
      <c r="F938" s="2"/>
      <c r="T938" s="2"/>
      <c r="X938" s="2"/>
      <c r="Z938" s="2"/>
      <c r="AM938" s="2"/>
      <c r="AN938" s="2"/>
      <c r="AQ938" s="2"/>
    </row>
    <row r="939" ht="15.75" customHeight="1">
      <c r="B939" s="2"/>
      <c r="E939" s="2"/>
      <c r="F939" s="2"/>
      <c r="T939" s="2"/>
      <c r="X939" s="2"/>
      <c r="Z939" s="2"/>
      <c r="AM939" s="2"/>
      <c r="AN939" s="2"/>
      <c r="AQ939" s="2"/>
    </row>
    <row r="940" ht="15.75" customHeight="1">
      <c r="B940" s="2"/>
      <c r="E940" s="2"/>
      <c r="F940" s="2"/>
      <c r="T940" s="2"/>
      <c r="X940" s="2"/>
      <c r="Z940" s="2"/>
      <c r="AM940" s="2"/>
      <c r="AN940" s="2"/>
      <c r="AQ940" s="2"/>
    </row>
    <row r="941" ht="15.75" customHeight="1">
      <c r="B941" s="2"/>
      <c r="E941" s="2"/>
      <c r="F941" s="2"/>
      <c r="T941" s="2"/>
      <c r="X941" s="2"/>
      <c r="Z941" s="2"/>
      <c r="AM941" s="2"/>
      <c r="AN941" s="2"/>
      <c r="AQ941" s="2"/>
    </row>
    <row r="942" ht="15.75" customHeight="1">
      <c r="B942" s="2"/>
      <c r="E942" s="2"/>
      <c r="F942" s="2"/>
      <c r="T942" s="2"/>
      <c r="X942" s="2"/>
      <c r="Z942" s="2"/>
      <c r="AM942" s="2"/>
      <c r="AN942" s="2"/>
      <c r="AQ942" s="2"/>
    </row>
    <row r="943" ht="15.75" customHeight="1">
      <c r="B943" s="2"/>
      <c r="E943" s="2"/>
      <c r="F943" s="2"/>
      <c r="T943" s="2"/>
      <c r="X943" s="2"/>
      <c r="Z943" s="2"/>
      <c r="AM943" s="2"/>
      <c r="AN943" s="2"/>
      <c r="AQ943" s="2"/>
    </row>
    <row r="944" ht="15.75" customHeight="1">
      <c r="B944" s="2"/>
      <c r="E944" s="2"/>
      <c r="F944" s="2"/>
      <c r="T944" s="2"/>
      <c r="X944" s="2"/>
      <c r="Z944" s="2"/>
      <c r="AM944" s="2"/>
      <c r="AN944" s="2"/>
      <c r="AQ944" s="2"/>
    </row>
    <row r="945" ht="15.75" customHeight="1">
      <c r="B945" s="2"/>
      <c r="E945" s="2"/>
      <c r="F945" s="2"/>
      <c r="T945" s="2"/>
      <c r="X945" s="2"/>
      <c r="Z945" s="2"/>
      <c r="AM945" s="2"/>
      <c r="AN945" s="2"/>
      <c r="AQ945" s="2"/>
    </row>
    <row r="946" ht="15.75" customHeight="1">
      <c r="B946" s="2"/>
      <c r="E946" s="2"/>
      <c r="F946" s="2"/>
      <c r="T946" s="2"/>
      <c r="X946" s="2"/>
      <c r="Z946" s="2"/>
      <c r="AM946" s="2"/>
      <c r="AN946" s="2"/>
      <c r="AQ946" s="2"/>
    </row>
    <row r="947" ht="15.75" customHeight="1">
      <c r="B947" s="2"/>
      <c r="E947" s="2"/>
      <c r="F947" s="2"/>
      <c r="T947" s="2"/>
      <c r="X947" s="2"/>
      <c r="Z947" s="2"/>
      <c r="AM947" s="2"/>
      <c r="AN947" s="2"/>
      <c r="AQ947" s="2"/>
    </row>
    <row r="948" ht="15.75" customHeight="1">
      <c r="B948" s="2"/>
      <c r="E948" s="2"/>
      <c r="F948" s="2"/>
      <c r="T948" s="2"/>
      <c r="X948" s="2"/>
      <c r="Z948" s="2"/>
      <c r="AM948" s="2"/>
      <c r="AN948" s="2"/>
      <c r="AQ948" s="2"/>
    </row>
    <row r="949" ht="15.75" customHeight="1">
      <c r="B949" s="2"/>
      <c r="E949" s="2"/>
      <c r="F949" s="2"/>
      <c r="T949" s="2"/>
      <c r="X949" s="2"/>
      <c r="Z949" s="2"/>
      <c r="AM949" s="2"/>
      <c r="AN949" s="2"/>
      <c r="AQ949" s="2"/>
    </row>
    <row r="950" ht="15.75" customHeight="1">
      <c r="B950" s="2"/>
      <c r="E950" s="2"/>
      <c r="F950" s="2"/>
      <c r="T950" s="2"/>
      <c r="X950" s="2"/>
      <c r="Z950" s="2"/>
      <c r="AM950" s="2"/>
      <c r="AN950" s="2"/>
      <c r="AQ950" s="2"/>
    </row>
    <row r="951" ht="15.75" customHeight="1">
      <c r="B951" s="2"/>
      <c r="E951" s="2"/>
      <c r="F951" s="2"/>
      <c r="T951" s="2"/>
      <c r="X951" s="2"/>
      <c r="Z951" s="2"/>
      <c r="AM951" s="2"/>
      <c r="AN951" s="2"/>
      <c r="AQ951" s="2"/>
    </row>
    <row r="952" ht="15.75" customHeight="1">
      <c r="B952" s="2"/>
      <c r="E952" s="2"/>
      <c r="F952" s="2"/>
      <c r="T952" s="2"/>
      <c r="X952" s="2"/>
      <c r="Z952" s="2"/>
      <c r="AM952" s="2"/>
      <c r="AN952" s="2"/>
      <c r="AQ952" s="2"/>
    </row>
    <row r="953" ht="15.75" customHeight="1">
      <c r="B953" s="2"/>
      <c r="E953" s="2"/>
      <c r="F953" s="2"/>
      <c r="T953" s="2"/>
      <c r="X953" s="2"/>
      <c r="Z953" s="2"/>
      <c r="AM953" s="2"/>
      <c r="AN953" s="2"/>
      <c r="AQ953" s="2"/>
    </row>
    <row r="954" ht="15.75" customHeight="1">
      <c r="B954" s="2"/>
      <c r="E954" s="2"/>
      <c r="F954" s="2"/>
      <c r="T954" s="2"/>
      <c r="X954" s="2"/>
      <c r="Z954" s="2"/>
      <c r="AM954" s="2"/>
      <c r="AN954" s="2"/>
      <c r="AQ954" s="2"/>
    </row>
    <row r="955" ht="15.75" customHeight="1">
      <c r="B955" s="2"/>
      <c r="E955" s="2"/>
      <c r="F955" s="2"/>
      <c r="T955" s="2"/>
      <c r="X955" s="2"/>
      <c r="Z955" s="2"/>
      <c r="AM955" s="2"/>
      <c r="AN955" s="2"/>
      <c r="AQ955" s="2"/>
    </row>
    <row r="956" ht="15.75" customHeight="1">
      <c r="B956" s="2"/>
      <c r="E956" s="2"/>
      <c r="F956" s="2"/>
      <c r="T956" s="2"/>
      <c r="X956" s="2"/>
      <c r="Z956" s="2"/>
      <c r="AM956" s="2"/>
      <c r="AN956" s="2"/>
      <c r="AQ956" s="2"/>
    </row>
    <row r="957" ht="15.75" customHeight="1">
      <c r="B957" s="2"/>
      <c r="E957" s="2"/>
      <c r="F957" s="2"/>
      <c r="T957" s="2"/>
      <c r="X957" s="2"/>
      <c r="Z957" s="2"/>
      <c r="AM957" s="2"/>
      <c r="AN957" s="2"/>
      <c r="AQ957" s="2"/>
    </row>
    <row r="958" ht="15.75" customHeight="1">
      <c r="B958" s="2"/>
      <c r="E958" s="2"/>
      <c r="F958" s="2"/>
      <c r="T958" s="2"/>
      <c r="X958" s="2"/>
      <c r="Z958" s="2"/>
      <c r="AM958" s="2"/>
      <c r="AN958" s="2"/>
      <c r="AQ958" s="2"/>
    </row>
    <row r="959" ht="15.75" customHeight="1">
      <c r="B959" s="2"/>
      <c r="E959" s="2"/>
      <c r="F959" s="2"/>
      <c r="T959" s="2"/>
      <c r="X959" s="2"/>
      <c r="Z959" s="2"/>
      <c r="AM959" s="2"/>
      <c r="AN959" s="2"/>
      <c r="AQ959" s="2"/>
    </row>
    <row r="960" ht="15.75" customHeight="1">
      <c r="B960" s="2"/>
      <c r="E960" s="2"/>
      <c r="F960" s="2"/>
      <c r="T960" s="2"/>
      <c r="X960" s="2"/>
      <c r="Z960" s="2"/>
      <c r="AM960" s="2"/>
      <c r="AN960" s="2"/>
      <c r="AQ960" s="2"/>
    </row>
    <row r="961" ht="15.75" customHeight="1">
      <c r="B961" s="2"/>
      <c r="E961" s="2"/>
      <c r="F961" s="2"/>
      <c r="T961" s="2"/>
      <c r="X961" s="2"/>
      <c r="Z961" s="2"/>
      <c r="AM961" s="2"/>
      <c r="AN961" s="2"/>
      <c r="AQ961" s="2"/>
    </row>
    <row r="962" ht="15.75" customHeight="1">
      <c r="B962" s="2"/>
      <c r="E962" s="2"/>
      <c r="F962" s="2"/>
      <c r="T962" s="2"/>
      <c r="X962" s="2"/>
      <c r="Z962" s="2"/>
      <c r="AM962" s="2"/>
      <c r="AN962" s="2"/>
      <c r="AQ962" s="2"/>
    </row>
    <row r="963" ht="15.75" customHeight="1">
      <c r="B963" s="2"/>
      <c r="E963" s="2"/>
      <c r="F963" s="2"/>
      <c r="T963" s="2"/>
      <c r="X963" s="2"/>
      <c r="Z963" s="2"/>
      <c r="AM963" s="2"/>
      <c r="AN963" s="2"/>
      <c r="AQ963" s="2"/>
    </row>
    <row r="964" ht="15.75" customHeight="1">
      <c r="B964" s="2"/>
      <c r="E964" s="2"/>
      <c r="F964" s="2"/>
      <c r="T964" s="2"/>
      <c r="X964" s="2"/>
      <c r="Z964" s="2"/>
      <c r="AM964" s="2"/>
      <c r="AN964" s="2"/>
      <c r="AQ964" s="2"/>
    </row>
    <row r="965" ht="15.75" customHeight="1">
      <c r="B965" s="2"/>
      <c r="E965" s="2"/>
      <c r="F965" s="2"/>
      <c r="T965" s="2"/>
      <c r="X965" s="2"/>
      <c r="Z965" s="2"/>
      <c r="AM965" s="2"/>
      <c r="AN965" s="2"/>
      <c r="AQ965" s="2"/>
    </row>
    <row r="966" ht="15.75" customHeight="1">
      <c r="B966" s="2"/>
      <c r="E966" s="2"/>
      <c r="F966" s="2"/>
      <c r="T966" s="2"/>
      <c r="X966" s="2"/>
      <c r="Z966" s="2"/>
      <c r="AM966" s="2"/>
      <c r="AN966" s="2"/>
      <c r="AQ966" s="2"/>
    </row>
    <row r="967" ht="15.75" customHeight="1">
      <c r="B967" s="2"/>
      <c r="E967" s="2"/>
      <c r="F967" s="2"/>
      <c r="T967" s="2"/>
      <c r="X967" s="2"/>
      <c r="Z967" s="2"/>
      <c r="AM967" s="2"/>
      <c r="AN967" s="2"/>
      <c r="AQ967" s="2"/>
    </row>
    <row r="968" ht="15.75" customHeight="1">
      <c r="B968" s="2"/>
      <c r="E968" s="2"/>
      <c r="F968" s="2"/>
      <c r="T968" s="2"/>
      <c r="X968" s="2"/>
      <c r="Z968" s="2"/>
      <c r="AM968" s="2"/>
      <c r="AN968" s="2"/>
      <c r="AQ968" s="2"/>
    </row>
    <row r="969" ht="15.75" customHeight="1">
      <c r="B969" s="2"/>
      <c r="E969" s="2"/>
      <c r="F969" s="2"/>
      <c r="T969" s="2"/>
      <c r="X969" s="2"/>
      <c r="Z969" s="2"/>
      <c r="AM969" s="2"/>
      <c r="AN969" s="2"/>
      <c r="AQ969" s="2"/>
    </row>
    <row r="970" ht="15.75" customHeight="1">
      <c r="B970" s="2"/>
      <c r="E970" s="2"/>
      <c r="F970" s="2"/>
      <c r="T970" s="2"/>
      <c r="X970" s="2"/>
      <c r="Z970" s="2"/>
      <c r="AM970" s="2"/>
      <c r="AN970" s="2"/>
      <c r="AQ970" s="2"/>
    </row>
    <row r="971" ht="15.75" customHeight="1">
      <c r="B971" s="2"/>
      <c r="E971" s="2"/>
      <c r="F971" s="2"/>
      <c r="T971" s="2"/>
      <c r="X971" s="2"/>
      <c r="Z971" s="2"/>
      <c r="AM971" s="2"/>
      <c r="AN971" s="2"/>
      <c r="AQ971" s="2"/>
    </row>
    <row r="972" ht="15.75" customHeight="1">
      <c r="B972" s="2"/>
      <c r="E972" s="2"/>
      <c r="F972" s="2"/>
      <c r="T972" s="2"/>
      <c r="X972" s="2"/>
      <c r="Z972" s="2"/>
      <c r="AM972" s="2"/>
      <c r="AN972" s="2"/>
      <c r="AQ972" s="2"/>
    </row>
    <row r="973" ht="15.75" customHeight="1">
      <c r="B973" s="2"/>
      <c r="E973" s="2"/>
      <c r="F973" s="2"/>
      <c r="T973" s="2"/>
      <c r="X973" s="2"/>
      <c r="Z973" s="2"/>
      <c r="AM973" s="2"/>
      <c r="AN973" s="2"/>
      <c r="AQ973" s="2"/>
    </row>
    <row r="974" ht="15.75" customHeight="1">
      <c r="B974" s="2"/>
      <c r="E974" s="2"/>
      <c r="F974" s="2"/>
      <c r="T974" s="2"/>
      <c r="X974" s="2"/>
      <c r="Z974" s="2"/>
      <c r="AM974" s="2"/>
      <c r="AN974" s="2"/>
      <c r="AQ974" s="2"/>
    </row>
    <row r="975" ht="15.75" customHeight="1">
      <c r="B975" s="2"/>
      <c r="E975" s="2"/>
      <c r="F975" s="2"/>
      <c r="T975" s="2"/>
      <c r="X975" s="2"/>
      <c r="Z975" s="2"/>
      <c r="AM975" s="2"/>
      <c r="AN975" s="2"/>
      <c r="AQ975" s="2"/>
    </row>
    <row r="976" ht="15.75" customHeight="1">
      <c r="B976" s="2"/>
      <c r="E976" s="2"/>
      <c r="F976" s="2"/>
      <c r="T976" s="2"/>
      <c r="X976" s="2"/>
      <c r="Z976" s="2"/>
      <c r="AM976" s="2"/>
      <c r="AN976" s="2"/>
      <c r="AQ976" s="2"/>
    </row>
    <row r="977" ht="15.75" customHeight="1">
      <c r="B977" s="2"/>
      <c r="E977" s="2"/>
      <c r="F977" s="2"/>
      <c r="T977" s="2"/>
      <c r="X977" s="2"/>
      <c r="Z977" s="2"/>
      <c r="AM977" s="2"/>
      <c r="AN977" s="2"/>
      <c r="AQ977" s="2"/>
    </row>
    <row r="978" ht="15.75" customHeight="1">
      <c r="B978" s="2"/>
      <c r="E978" s="2"/>
      <c r="F978" s="2"/>
      <c r="T978" s="2"/>
      <c r="X978" s="2"/>
      <c r="Z978" s="2"/>
      <c r="AM978" s="2"/>
      <c r="AN978" s="2"/>
      <c r="AQ978" s="2"/>
    </row>
    <row r="979" ht="15.75" customHeight="1">
      <c r="B979" s="2"/>
      <c r="E979" s="2"/>
      <c r="F979" s="2"/>
      <c r="T979" s="2"/>
      <c r="X979" s="2"/>
      <c r="Z979" s="2"/>
      <c r="AM979" s="2"/>
      <c r="AN979" s="2"/>
      <c r="AQ979" s="2"/>
    </row>
    <row r="980" ht="15.75" customHeight="1">
      <c r="B980" s="2"/>
      <c r="E980" s="2"/>
      <c r="F980" s="2"/>
      <c r="T980" s="2"/>
      <c r="X980" s="2"/>
      <c r="Z980" s="2"/>
      <c r="AM980" s="2"/>
      <c r="AN980" s="2"/>
      <c r="AQ980" s="2"/>
    </row>
    <row r="981" ht="15.75" customHeight="1">
      <c r="B981" s="2"/>
      <c r="E981" s="2"/>
      <c r="F981" s="2"/>
      <c r="T981" s="2"/>
      <c r="X981" s="2"/>
      <c r="Z981" s="2"/>
      <c r="AM981" s="2"/>
      <c r="AN981" s="2"/>
      <c r="AQ981" s="2"/>
    </row>
    <row r="982" ht="15.75" customHeight="1">
      <c r="B982" s="2"/>
      <c r="E982" s="2"/>
      <c r="F982" s="2"/>
      <c r="T982" s="2"/>
      <c r="X982" s="2"/>
      <c r="Z982" s="2"/>
      <c r="AM982" s="2"/>
      <c r="AN982" s="2"/>
      <c r="AQ982" s="2"/>
    </row>
    <row r="983" ht="15.75" customHeight="1">
      <c r="B983" s="2"/>
      <c r="E983" s="2"/>
      <c r="F983" s="2"/>
      <c r="T983" s="2"/>
      <c r="X983" s="2"/>
      <c r="Z983" s="2"/>
      <c r="AM983" s="2"/>
      <c r="AN983" s="2"/>
      <c r="AQ983" s="2"/>
    </row>
    <row r="984" ht="15.75" customHeight="1">
      <c r="B984" s="2"/>
      <c r="E984" s="2"/>
      <c r="F984" s="2"/>
      <c r="T984" s="2"/>
      <c r="X984" s="2"/>
      <c r="Z984" s="2"/>
      <c r="AM984" s="2"/>
      <c r="AN984" s="2"/>
      <c r="AQ984" s="2"/>
    </row>
    <row r="985" ht="15.75" customHeight="1">
      <c r="B985" s="2"/>
      <c r="E985" s="2"/>
      <c r="F985" s="2"/>
      <c r="T985" s="2"/>
      <c r="X985" s="2"/>
      <c r="Z985" s="2"/>
      <c r="AM985" s="2"/>
      <c r="AN985" s="2"/>
      <c r="AQ985" s="2"/>
    </row>
    <row r="986" ht="15.75" customHeight="1">
      <c r="B986" s="2"/>
      <c r="E986" s="2"/>
      <c r="F986" s="2"/>
      <c r="T986" s="2"/>
      <c r="X986" s="2"/>
      <c r="Z986" s="2"/>
      <c r="AM986" s="2"/>
      <c r="AN986" s="2"/>
      <c r="AQ986" s="2"/>
    </row>
    <row r="987" ht="15.75" customHeight="1">
      <c r="B987" s="2"/>
      <c r="E987" s="2"/>
      <c r="F987" s="2"/>
      <c r="T987" s="2"/>
      <c r="X987" s="2"/>
      <c r="Z987" s="2"/>
      <c r="AM987" s="2"/>
      <c r="AN987" s="2"/>
      <c r="AQ987" s="2"/>
    </row>
    <row r="988" ht="15.75" customHeight="1">
      <c r="B988" s="2"/>
      <c r="E988" s="2"/>
      <c r="F988" s="2"/>
      <c r="T988" s="2"/>
      <c r="X988" s="2"/>
      <c r="Z988" s="2"/>
      <c r="AM988" s="2"/>
      <c r="AN988" s="2"/>
      <c r="AQ988" s="2"/>
    </row>
    <row r="989" ht="15.75" customHeight="1">
      <c r="B989" s="2"/>
      <c r="E989" s="2"/>
      <c r="F989" s="2"/>
      <c r="T989" s="2"/>
      <c r="X989" s="2"/>
      <c r="Z989" s="2"/>
      <c r="AM989" s="2"/>
      <c r="AN989" s="2"/>
      <c r="AQ989" s="2"/>
    </row>
    <row r="990" ht="15.75" customHeight="1">
      <c r="B990" s="2"/>
      <c r="E990" s="2"/>
      <c r="F990" s="2"/>
      <c r="T990" s="2"/>
      <c r="X990" s="2"/>
      <c r="Z990" s="2"/>
      <c r="AM990" s="2"/>
      <c r="AN990" s="2"/>
      <c r="AQ990" s="2"/>
    </row>
    <row r="991" ht="15.75" customHeight="1">
      <c r="B991" s="2"/>
      <c r="E991" s="2"/>
      <c r="F991" s="2"/>
      <c r="T991" s="2"/>
      <c r="X991" s="2"/>
      <c r="Z991" s="2"/>
      <c r="AM991" s="2"/>
      <c r="AN991" s="2"/>
      <c r="AQ991" s="2"/>
    </row>
    <row r="992" ht="15.75" customHeight="1">
      <c r="B992" s="2"/>
      <c r="E992" s="2"/>
      <c r="F992" s="2"/>
      <c r="T992" s="2"/>
      <c r="X992" s="2"/>
      <c r="Z992" s="2"/>
      <c r="AM992" s="2"/>
      <c r="AN992" s="2"/>
      <c r="AQ992" s="2"/>
    </row>
    <row r="993" ht="15.75" customHeight="1">
      <c r="B993" s="2"/>
      <c r="E993" s="2"/>
      <c r="F993" s="2"/>
      <c r="T993" s="2"/>
      <c r="X993" s="2"/>
      <c r="Z993" s="2"/>
      <c r="AM993" s="2"/>
      <c r="AN993" s="2"/>
      <c r="AQ993" s="2"/>
    </row>
    <row r="994" ht="15.75" customHeight="1">
      <c r="B994" s="2"/>
      <c r="E994" s="2"/>
      <c r="F994" s="2"/>
      <c r="T994" s="2"/>
      <c r="X994" s="2"/>
      <c r="Z994" s="2"/>
      <c r="AM994" s="2"/>
      <c r="AN994" s="2"/>
      <c r="AQ994" s="2"/>
    </row>
    <row r="995" ht="15.75" customHeight="1">
      <c r="B995" s="2"/>
      <c r="E995" s="2"/>
      <c r="F995" s="2"/>
      <c r="T995" s="2"/>
      <c r="X995" s="2"/>
      <c r="Z995" s="2"/>
      <c r="AM995" s="2"/>
      <c r="AN995" s="2"/>
      <c r="AQ995" s="2"/>
    </row>
    <row r="996" ht="15.75" customHeight="1">
      <c r="B996" s="2"/>
      <c r="E996" s="2"/>
      <c r="F996" s="2"/>
      <c r="T996" s="2"/>
      <c r="X996" s="2"/>
      <c r="Z996" s="2"/>
      <c r="AM996" s="2"/>
      <c r="AN996" s="2"/>
      <c r="AQ996" s="2"/>
    </row>
    <row r="997" ht="15.75" customHeight="1">
      <c r="B997" s="2"/>
      <c r="E997" s="2"/>
      <c r="F997" s="2"/>
      <c r="T997" s="2"/>
      <c r="X997" s="2"/>
      <c r="Z997" s="2"/>
      <c r="AM997" s="2"/>
      <c r="AN997" s="2"/>
      <c r="AQ997" s="2"/>
    </row>
    <row r="998" ht="15.75" customHeight="1">
      <c r="B998" s="2"/>
      <c r="E998" s="2"/>
      <c r="F998" s="2"/>
      <c r="T998" s="2"/>
      <c r="X998" s="2"/>
      <c r="Z998" s="2"/>
      <c r="AM998" s="2"/>
      <c r="AN998" s="2"/>
      <c r="AQ998" s="2"/>
    </row>
    <row r="999" ht="15.75" customHeight="1">
      <c r="B999" s="2"/>
      <c r="E999" s="2"/>
      <c r="F999" s="2"/>
      <c r="T999" s="2"/>
      <c r="X999" s="2"/>
      <c r="Z999" s="2"/>
      <c r="AM999" s="2"/>
      <c r="AN999" s="2"/>
      <c r="AQ999" s="2"/>
    </row>
    <row r="1000" ht="15.75" customHeight="1">
      <c r="B1000" s="2"/>
      <c r="E1000" s="2"/>
      <c r="F1000" s="2"/>
      <c r="T1000" s="2"/>
      <c r="X1000" s="2"/>
      <c r="Z1000" s="2"/>
      <c r="AM1000" s="2"/>
      <c r="AN1000" s="2"/>
      <c r="AQ1000" s="2"/>
    </row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26" width="8.71"/>
  </cols>
  <sheetData>
    <row r="1" ht="17.25" customHeight="1">
      <c r="A1" s="7" t="s">
        <v>117</v>
      </c>
      <c r="B1" s="2"/>
      <c r="G1" s="2"/>
      <c r="N1" s="2"/>
      <c r="O1" s="2"/>
      <c r="P1" s="2"/>
      <c r="Q1" s="2"/>
      <c r="R1" s="2"/>
    </row>
    <row r="2" ht="55.5" customHeight="1">
      <c r="A2" s="10" t="s">
        <v>118</v>
      </c>
      <c r="B2" s="2"/>
      <c r="G2" s="2"/>
      <c r="N2" s="2"/>
      <c r="O2" s="2"/>
      <c r="P2" s="2"/>
      <c r="Q2" s="2"/>
      <c r="R2" s="2"/>
    </row>
    <row r="3">
      <c r="B3" s="2"/>
      <c r="G3" s="2"/>
      <c r="N3" s="2"/>
      <c r="O3" s="2"/>
      <c r="P3" s="2"/>
      <c r="Q3" s="2"/>
      <c r="R3" s="2"/>
    </row>
    <row r="4" ht="42.75" customHeight="1">
      <c r="A4" s="5" t="s">
        <v>73</v>
      </c>
      <c r="B4" s="5" t="s">
        <v>74</v>
      </c>
      <c r="C4" s="5" t="s">
        <v>119</v>
      </c>
      <c r="D4" s="5" t="s">
        <v>56</v>
      </c>
      <c r="E4" s="5" t="s">
        <v>76</v>
      </c>
      <c r="F4" s="5" t="s">
        <v>77</v>
      </c>
      <c r="G4" s="5" t="s">
        <v>120</v>
      </c>
      <c r="H4" s="5" t="s">
        <v>121</v>
      </c>
      <c r="I4" s="5" t="s">
        <v>122</v>
      </c>
      <c r="J4" s="5" t="s">
        <v>123</v>
      </c>
      <c r="K4" s="5" t="s">
        <v>124</v>
      </c>
      <c r="L4" s="5" t="s">
        <v>125</v>
      </c>
      <c r="M4" s="5" t="s">
        <v>126</v>
      </c>
      <c r="N4" s="5" t="s">
        <v>127</v>
      </c>
      <c r="O4" s="5" t="s">
        <v>128</v>
      </c>
      <c r="P4" s="5" t="s">
        <v>70</v>
      </c>
      <c r="Q4" s="5" t="s">
        <v>129</v>
      </c>
      <c r="R4" s="5" t="s">
        <v>130</v>
      </c>
      <c r="S4" s="5" t="s">
        <v>131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2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2" t="str">
        <f t="shared" ref="Q5:Q304" si="1">IF(OR($B5="",$G5="",$H5=""),"",IF($G5="Pick",0,IF($G5=$F5,-$H5,IF($G5=$E5,$H5,""))))</f>
        <v/>
      </c>
      <c r="R5" s="2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/>
      </c>
      <c r="S5" s="2" t="str">
        <f>IF(OR($B5="",$O5=""),"",IF(AsOfDate-$O5&gt;StaleDays,"STALE","OK"))</f>
        <v/>
      </c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2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2" t="str">
        <f t="shared" si="1"/>
        <v/>
      </c>
      <c r="R6" s="2" t="str">
        <f t="shared" si="2"/>
        <v/>
      </c>
      <c r="S6" s="2" t="str">
        <f>IF(OR($B6="",$O6=""),"",IF(AsOfDate-$O6&gt;StaleDays,"STALE","OK"))</f>
        <v/>
      </c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2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2" t="str">
        <f t="shared" si="1"/>
        <v/>
      </c>
      <c r="R7" s="2" t="str">
        <f t="shared" si="2"/>
        <v/>
      </c>
      <c r="S7" s="2" t="str">
        <f>IF(OR($B7="",$O7=""),"",IF(AsOfDate-$O7&gt;StaleDays,"STALE","OK"))</f>
        <v/>
      </c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2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2" t="str">
        <f t="shared" si="1"/>
        <v/>
      </c>
      <c r="R8" s="2" t="str">
        <f t="shared" si="2"/>
        <v/>
      </c>
      <c r="S8" s="2" t="str">
        <f>IF(OR($B8="",$O8=""),"",IF(AsOfDate-$O8&gt;StaleDays,"STALE","OK"))</f>
        <v/>
      </c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2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2" t="str">
        <f t="shared" si="1"/>
        <v/>
      </c>
      <c r="R9" s="2" t="str">
        <f t="shared" si="2"/>
        <v/>
      </c>
      <c r="S9" s="2" t="str">
        <f>IF(OR($B9="",$O9=""),"",IF(AsOfDate-$O9&gt;StaleDays,"STALE","OK"))</f>
        <v/>
      </c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2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" t="str">
        <f t="shared" si="1"/>
        <v/>
      </c>
      <c r="R10" s="2" t="str">
        <f t="shared" si="2"/>
        <v/>
      </c>
      <c r="S10" s="2" t="str">
        <f>IF(OR($B10="",$O10=""),"",IF(AsOfDate-$O10&gt;StaleDays,"STALE","OK"))</f>
        <v/>
      </c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2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2" t="str">
        <f t="shared" si="1"/>
        <v/>
      </c>
      <c r="R11" s="2" t="str">
        <f t="shared" si="2"/>
        <v/>
      </c>
      <c r="S11" s="2" t="str">
        <f>IF(OR($B11="",$O11=""),"",IF(AsOfDate-$O11&gt;StaleDays,"STALE","OK"))</f>
        <v/>
      </c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2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" t="str">
        <f t="shared" si="1"/>
        <v/>
      </c>
      <c r="R12" s="2" t="str">
        <f t="shared" si="2"/>
        <v/>
      </c>
      <c r="S12" s="2" t="str">
        <f>IF(OR($B12="",$O12=""),"",IF(AsOfDate-$O12&gt;StaleDays,"STALE","OK"))</f>
        <v/>
      </c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2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2" t="str">
        <f t="shared" si="1"/>
        <v/>
      </c>
      <c r="R13" s="2" t="str">
        <f t="shared" si="2"/>
        <v/>
      </c>
      <c r="S13" s="2" t="str">
        <f>IF(OR($B13="",$O13=""),"",IF(AsOfDate-$O13&gt;StaleDays,"STALE","OK"))</f>
        <v/>
      </c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2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2" t="str">
        <f t="shared" si="1"/>
        <v/>
      </c>
      <c r="R14" s="2" t="str">
        <f t="shared" si="2"/>
        <v/>
      </c>
      <c r="S14" s="2" t="str">
        <f>IF(OR($B14="",$O14=""),"",IF(AsOfDate-$O14&gt;StaleDays,"STALE","OK"))</f>
        <v/>
      </c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2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2" t="str">
        <f t="shared" si="1"/>
        <v/>
      </c>
      <c r="R15" s="2" t="str">
        <f t="shared" si="2"/>
        <v/>
      </c>
      <c r="S15" s="2" t="str">
        <f>IF(OR($B15="",$O15=""),"",IF(AsOfDate-$O15&gt;StaleDays,"STALE","OK"))</f>
        <v/>
      </c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2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2" t="str">
        <f t="shared" si="1"/>
        <v/>
      </c>
      <c r="R16" s="2" t="str">
        <f t="shared" si="2"/>
        <v/>
      </c>
      <c r="S16" s="2" t="str">
        <f>IF(OR($B16="",$O16=""),"",IF(AsOfDate-$O16&gt;StaleDays,"STALE","OK"))</f>
        <v/>
      </c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2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2" t="str">
        <f t="shared" si="1"/>
        <v/>
      </c>
      <c r="R17" s="2" t="str">
        <f t="shared" si="2"/>
        <v/>
      </c>
      <c r="S17" s="2" t="str">
        <f>IF(OR($B17="",$O17=""),"",IF(AsOfDate-$O17&gt;StaleDays,"STALE","OK"))</f>
        <v/>
      </c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2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2" t="str">
        <f t="shared" si="1"/>
        <v/>
      </c>
      <c r="R18" s="2" t="str">
        <f t="shared" si="2"/>
        <v/>
      </c>
      <c r="S18" s="2" t="str">
        <f>IF(OR($B18="",$O18=""),"",IF(AsOfDate-$O18&gt;StaleDays,"STALE","OK"))</f>
        <v/>
      </c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2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2" t="str">
        <f t="shared" si="1"/>
        <v/>
      </c>
      <c r="R19" s="2" t="str">
        <f t="shared" si="2"/>
        <v/>
      </c>
      <c r="S19" s="2" t="str">
        <f>IF(OR($B19="",$O19=""),"",IF(AsOfDate-$O19&gt;StaleDays,"STALE","OK"))</f>
        <v/>
      </c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2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2" t="str">
        <f t="shared" si="1"/>
        <v/>
      </c>
      <c r="R20" s="2" t="str">
        <f t="shared" si="2"/>
        <v/>
      </c>
      <c r="S20" s="2" t="str">
        <f>IF(OR($B20="",$O20=""),"",IF(AsOfDate-$O20&gt;StaleDays,"STALE","OK"))</f>
        <v/>
      </c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2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2" t="str">
        <f t="shared" si="1"/>
        <v/>
      </c>
      <c r="R21" s="2" t="str">
        <f t="shared" si="2"/>
        <v/>
      </c>
      <c r="S21" s="2" t="str">
        <f>IF(OR($B21="",$O21=""),"",IF(AsOfDate-$O21&gt;StaleDays,"STALE","OK"))</f>
        <v/>
      </c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2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2" t="str">
        <f t="shared" si="1"/>
        <v/>
      </c>
      <c r="R22" s="2" t="str">
        <f t="shared" si="2"/>
        <v/>
      </c>
      <c r="S22" s="2" t="str">
        <f>IF(OR($B22="",$O22=""),"",IF(AsOfDate-$O22&gt;StaleDays,"STALE","OK"))</f>
        <v/>
      </c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2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2" t="str">
        <f t="shared" si="1"/>
        <v/>
      </c>
      <c r="R23" s="2" t="str">
        <f t="shared" si="2"/>
        <v/>
      </c>
      <c r="S23" s="2" t="str">
        <f>IF(OR($B23="",$O23=""),"",IF(AsOfDate-$O23&gt;StaleDays,"STALE","OK"))</f>
        <v/>
      </c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2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" t="str">
        <f t="shared" si="1"/>
        <v/>
      </c>
      <c r="R24" s="2" t="str">
        <f t="shared" si="2"/>
        <v/>
      </c>
      <c r="S24" s="2" t="str">
        <f>IF(OR($B24="",$O24=""),"",IF(AsOfDate-$O24&gt;StaleDays,"STALE","OK"))</f>
        <v/>
      </c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2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" t="str">
        <f t="shared" si="1"/>
        <v/>
      </c>
      <c r="R25" s="2" t="str">
        <f t="shared" si="2"/>
        <v/>
      </c>
      <c r="S25" s="2" t="str">
        <f>IF(OR($B25="",$O25=""),"",IF(AsOfDate-$O25&gt;StaleDays,"STALE","OK"))</f>
        <v/>
      </c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2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" t="str">
        <f t="shared" si="1"/>
        <v/>
      </c>
      <c r="R26" s="2" t="str">
        <f t="shared" si="2"/>
        <v/>
      </c>
      <c r="S26" s="2" t="str">
        <f>IF(OR($B26="",$O26=""),"",IF(AsOfDate-$O26&gt;StaleDays,"STALE","OK"))</f>
        <v/>
      </c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2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2" t="str">
        <f t="shared" si="1"/>
        <v/>
      </c>
      <c r="R27" s="2" t="str">
        <f t="shared" si="2"/>
        <v/>
      </c>
      <c r="S27" s="2" t="str">
        <f>IF(OR($B27="",$O27=""),"",IF(AsOfDate-$O27&gt;StaleDays,"STALE","OK"))</f>
        <v/>
      </c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2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" t="str">
        <f t="shared" si="1"/>
        <v/>
      </c>
      <c r="R28" s="2" t="str">
        <f t="shared" si="2"/>
        <v/>
      </c>
      <c r="S28" s="2" t="str">
        <f>IF(OR($B28="",$O28=""),"",IF(AsOfDate-$O28&gt;StaleDays,"STALE","OK"))</f>
        <v/>
      </c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2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2" t="str">
        <f t="shared" si="1"/>
        <v/>
      </c>
      <c r="R29" s="2" t="str">
        <f t="shared" si="2"/>
        <v/>
      </c>
      <c r="S29" s="2" t="str">
        <f>IF(OR($B29="",$O29=""),"",IF(AsOfDate-$O29&gt;StaleDays,"STALE","OK"))</f>
        <v/>
      </c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2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2" t="str">
        <f t="shared" si="1"/>
        <v/>
      </c>
      <c r="R30" s="2" t="str">
        <f t="shared" si="2"/>
        <v/>
      </c>
      <c r="S30" s="2" t="str">
        <f>IF(OR($B30="",$O30=""),"",IF(AsOfDate-$O30&gt;StaleDays,"STALE","OK"))</f>
        <v/>
      </c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2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2" t="str">
        <f t="shared" si="1"/>
        <v/>
      </c>
      <c r="R31" s="2" t="str">
        <f t="shared" si="2"/>
        <v/>
      </c>
      <c r="S31" s="2" t="str">
        <f>IF(OR($B31="",$O31=""),"",IF(AsOfDate-$O31&gt;StaleDays,"STALE","OK"))</f>
        <v/>
      </c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2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2" t="str">
        <f t="shared" si="1"/>
        <v/>
      </c>
      <c r="R32" s="2" t="str">
        <f t="shared" si="2"/>
        <v/>
      </c>
      <c r="S32" s="2" t="str">
        <f>IF(OR($B32="",$O32=""),"",IF(AsOfDate-$O32&gt;StaleDays,"STALE","OK"))</f>
        <v/>
      </c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2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2" t="str">
        <f t="shared" si="1"/>
        <v/>
      </c>
      <c r="R33" s="2" t="str">
        <f t="shared" si="2"/>
        <v/>
      </c>
      <c r="S33" s="2" t="str">
        <f>IF(OR($B33="",$O33=""),"",IF(AsOfDate-$O33&gt;StaleDays,"STALE","OK"))</f>
        <v/>
      </c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2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2" t="str">
        <f t="shared" si="1"/>
        <v/>
      </c>
      <c r="R34" s="2" t="str">
        <f t="shared" si="2"/>
        <v/>
      </c>
      <c r="S34" s="2" t="str">
        <f>IF(OR($B34="",$O34=""),"",IF(AsOfDate-$O34&gt;StaleDays,"STALE","OK"))</f>
        <v/>
      </c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2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2" t="str">
        <f t="shared" si="1"/>
        <v/>
      </c>
      <c r="R35" s="2" t="str">
        <f t="shared" si="2"/>
        <v/>
      </c>
      <c r="S35" s="2" t="str">
        <f>IF(OR($B35="",$O35=""),"",IF(AsOfDate-$O35&gt;StaleDays,"STALE","OK"))</f>
        <v/>
      </c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2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" t="str">
        <f t="shared" si="1"/>
        <v/>
      </c>
      <c r="R36" s="2" t="str">
        <f t="shared" si="2"/>
        <v/>
      </c>
      <c r="S36" s="2" t="str">
        <f>IF(OR($B36="",$O36=""),"",IF(AsOfDate-$O36&gt;StaleDays,"STALE","OK"))</f>
        <v/>
      </c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2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2" t="str">
        <f t="shared" si="1"/>
        <v/>
      </c>
      <c r="R37" s="2" t="str">
        <f t="shared" si="2"/>
        <v/>
      </c>
      <c r="S37" s="2" t="str">
        <f>IF(OR($B37="",$O37=""),"",IF(AsOfDate-$O37&gt;StaleDays,"STALE","OK"))</f>
        <v/>
      </c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2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2" t="str">
        <f t="shared" si="1"/>
        <v/>
      </c>
      <c r="R38" s="2" t="str">
        <f t="shared" si="2"/>
        <v/>
      </c>
      <c r="S38" s="2" t="str">
        <f>IF(OR($B38="",$O38=""),"",IF(AsOfDate-$O38&gt;StaleDays,"STALE","OK"))</f>
        <v/>
      </c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2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2" t="str">
        <f t="shared" si="1"/>
        <v/>
      </c>
      <c r="R39" s="2" t="str">
        <f t="shared" si="2"/>
        <v/>
      </c>
      <c r="S39" s="2" t="str">
        <f>IF(OR($B39="",$O39=""),"",IF(AsOfDate-$O39&gt;StaleDays,"STALE","OK"))</f>
        <v/>
      </c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2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2" t="str">
        <f t="shared" si="1"/>
        <v/>
      </c>
      <c r="R40" s="2" t="str">
        <f t="shared" si="2"/>
        <v/>
      </c>
      <c r="S40" s="2" t="str">
        <f>IF(OR($B40="",$O40=""),"",IF(AsOfDate-$O40&gt;StaleDays,"STALE","OK"))</f>
        <v/>
      </c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2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2" t="str">
        <f t="shared" si="1"/>
        <v/>
      </c>
      <c r="R41" s="2" t="str">
        <f t="shared" si="2"/>
        <v/>
      </c>
      <c r="S41" s="2" t="str">
        <f>IF(OR($B41="",$O41=""),"",IF(AsOfDate-$O41&gt;StaleDays,"STALE","OK"))</f>
        <v/>
      </c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2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" t="str">
        <f t="shared" si="1"/>
        <v/>
      </c>
      <c r="R42" s="2" t="str">
        <f t="shared" si="2"/>
        <v/>
      </c>
      <c r="S42" s="2" t="str">
        <f>IF(OR($B42="",$O42=""),"",IF(AsOfDate-$O42&gt;StaleDays,"STALE","OK"))</f>
        <v/>
      </c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2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2" t="str">
        <f t="shared" si="1"/>
        <v/>
      </c>
      <c r="R43" s="2" t="str">
        <f t="shared" si="2"/>
        <v/>
      </c>
      <c r="S43" s="2" t="str">
        <f>IF(OR($B43="",$O43=""),"",IF(AsOfDate-$O43&gt;StaleDays,"STALE","OK"))</f>
        <v/>
      </c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2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" t="str">
        <f t="shared" si="1"/>
        <v/>
      </c>
      <c r="R44" s="2" t="str">
        <f t="shared" si="2"/>
        <v/>
      </c>
      <c r="S44" s="2" t="str">
        <f>IF(OR($B44="",$O44=""),"",IF(AsOfDate-$O44&gt;StaleDays,"STALE","OK"))</f>
        <v/>
      </c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2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2" t="str">
        <f t="shared" si="1"/>
        <v/>
      </c>
      <c r="R45" s="2" t="str">
        <f t="shared" si="2"/>
        <v/>
      </c>
      <c r="S45" s="2" t="str">
        <f>IF(OR($B45="",$O45=""),"",IF(AsOfDate-$O45&gt;StaleDays,"STALE","OK"))</f>
        <v/>
      </c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2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" t="str">
        <f t="shared" si="1"/>
        <v/>
      </c>
      <c r="R46" s="2" t="str">
        <f t="shared" si="2"/>
        <v/>
      </c>
      <c r="S46" s="2" t="str">
        <f>IF(OR($B46="",$O46=""),"",IF(AsOfDate-$O46&gt;StaleDays,"STALE","OK"))</f>
        <v/>
      </c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2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2" t="str">
        <f t="shared" si="1"/>
        <v/>
      </c>
      <c r="R47" s="2" t="str">
        <f t="shared" si="2"/>
        <v/>
      </c>
      <c r="S47" s="2" t="str">
        <f>IF(OR($B47="",$O47=""),"",IF(AsOfDate-$O47&gt;StaleDays,"STALE","OK"))</f>
        <v/>
      </c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2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2" t="str">
        <f t="shared" si="1"/>
        <v/>
      </c>
      <c r="R48" s="2" t="str">
        <f t="shared" si="2"/>
        <v/>
      </c>
      <c r="S48" s="2" t="str">
        <f>IF(OR($B48="",$O48=""),"",IF(AsOfDate-$O48&gt;StaleDays,"STALE","OK"))</f>
        <v/>
      </c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2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2" t="str">
        <f t="shared" si="1"/>
        <v/>
      </c>
      <c r="R49" s="2" t="str">
        <f t="shared" si="2"/>
        <v/>
      </c>
      <c r="S49" s="2" t="str">
        <f>IF(OR($B49="",$O49=""),"",IF(AsOfDate-$O49&gt;StaleDays,"STALE","OK"))</f>
        <v/>
      </c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2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2" t="str">
        <f t="shared" si="1"/>
        <v/>
      </c>
      <c r="R50" s="2" t="str">
        <f t="shared" si="2"/>
        <v/>
      </c>
      <c r="S50" s="2" t="str">
        <f>IF(OR($B50="",$O50=""),"",IF(AsOfDate-$O50&gt;StaleDays,"STALE","OK"))</f>
        <v/>
      </c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2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2" t="str">
        <f t="shared" si="1"/>
        <v/>
      </c>
      <c r="R51" s="2" t="str">
        <f t="shared" si="2"/>
        <v/>
      </c>
      <c r="S51" s="2" t="str">
        <f>IF(OR($B51="",$O51=""),"",IF(AsOfDate-$O51&gt;StaleDays,"STALE","OK"))</f>
        <v/>
      </c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2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2" t="str">
        <f t="shared" si="1"/>
        <v/>
      </c>
      <c r="R52" s="2" t="str">
        <f t="shared" si="2"/>
        <v/>
      </c>
      <c r="S52" s="2" t="str">
        <f>IF(OR($B52="",$O52=""),"",IF(AsOfDate-$O52&gt;StaleDays,"STALE","OK"))</f>
        <v/>
      </c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2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2" t="str">
        <f t="shared" si="1"/>
        <v/>
      </c>
      <c r="R53" s="2" t="str">
        <f t="shared" si="2"/>
        <v/>
      </c>
      <c r="S53" s="2" t="str">
        <f>IF(OR($B53="",$O53=""),"",IF(AsOfDate-$O53&gt;StaleDays,"STALE","OK"))</f>
        <v/>
      </c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2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2" t="str">
        <f t="shared" si="1"/>
        <v/>
      </c>
      <c r="R54" s="2" t="str">
        <f t="shared" si="2"/>
        <v/>
      </c>
      <c r="S54" s="2" t="str">
        <f>IF(OR($B54="",$O54=""),"",IF(AsOfDate-$O54&gt;StaleDays,"STALE","OK"))</f>
        <v/>
      </c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2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2" t="str">
        <f t="shared" si="1"/>
        <v/>
      </c>
      <c r="R55" s="2" t="str">
        <f t="shared" si="2"/>
        <v/>
      </c>
      <c r="S55" s="2" t="str">
        <f>IF(OR($B55="",$O55=""),"",IF(AsOfDate-$O55&gt;StaleDays,"STALE","OK"))</f>
        <v/>
      </c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2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2" t="str">
        <f t="shared" si="1"/>
        <v/>
      </c>
      <c r="R56" s="2" t="str">
        <f t="shared" si="2"/>
        <v/>
      </c>
      <c r="S56" s="2" t="str">
        <f>IF(OR($B56="",$O56=""),"",IF(AsOfDate-$O56&gt;StaleDays,"STALE","OK"))</f>
        <v/>
      </c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2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2" t="str">
        <f t="shared" si="1"/>
        <v/>
      </c>
      <c r="R57" s="2" t="str">
        <f t="shared" si="2"/>
        <v/>
      </c>
      <c r="S57" s="2" t="str">
        <f>IF(OR($B57="",$O57=""),"",IF(AsOfDate-$O57&gt;StaleDays,"STALE","OK"))</f>
        <v/>
      </c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2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2" t="str">
        <f t="shared" si="1"/>
        <v/>
      </c>
      <c r="R58" s="2" t="str">
        <f t="shared" si="2"/>
        <v/>
      </c>
      <c r="S58" s="2" t="str">
        <f>IF(OR($B58="",$O58=""),"",IF(AsOfDate-$O58&gt;StaleDays,"STALE","OK"))</f>
        <v/>
      </c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2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2" t="str">
        <f t="shared" si="1"/>
        <v/>
      </c>
      <c r="R59" s="2" t="str">
        <f t="shared" si="2"/>
        <v/>
      </c>
      <c r="S59" s="2" t="str">
        <f>IF(OR($B59="",$O59=""),"",IF(AsOfDate-$O59&gt;StaleDays,"STALE","OK"))</f>
        <v/>
      </c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2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2" t="str">
        <f t="shared" si="1"/>
        <v/>
      </c>
      <c r="R60" s="2" t="str">
        <f t="shared" si="2"/>
        <v/>
      </c>
      <c r="S60" s="2" t="str">
        <f>IF(OR($B60="",$O60=""),"",IF(AsOfDate-$O60&gt;StaleDays,"STALE","OK"))</f>
        <v/>
      </c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2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2" t="str">
        <f t="shared" si="1"/>
        <v/>
      </c>
      <c r="R61" s="2" t="str">
        <f t="shared" si="2"/>
        <v/>
      </c>
      <c r="S61" s="2" t="str">
        <f>IF(OR($B61="",$O61=""),"",IF(AsOfDate-$O61&gt;StaleDays,"STALE","OK"))</f>
        <v/>
      </c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2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" t="str">
        <f t="shared" si="1"/>
        <v/>
      </c>
      <c r="R62" s="2" t="str">
        <f t="shared" si="2"/>
        <v/>
      </c>
      <c r="S62" s="2" t="str">
        <f>IF(OR($B62="",$O62=""),"",IF(AsOfDate-$O62&gt;StaleDays,"STALE","OK"))</f>
        <v/>
      </c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2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2" t="str">
        <f t="shared" si="1"/>
        <v/>
      </c>
      <c r="R63" s="2" t="str">
        <f t="shared" si="2"/>
        <v/>
      </c>
      <c r="S63" s="2" t="str">
        <f>IF(OR($B63="",$O63=""),"",IF(AsOfDate-$O63&gt;StaleDays,"STALE","OK"))</f>
        <v/>
      </c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2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2" t="str">
        <f t="shared" si="1"/>
        <v/>
      </c>
      <c r="R64" s="2" t="str">
        <f t="shared" si="2"/>
        <v/>
      </c>
      <c r="S64" s="2" t="str">
        <f>IF(OR($B64="",$O64=""),"",IF(AsOfDate-$O64&gt;StaleDays,"STALE","OK"))</f>
        <v/>
      </c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2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2" t="str">
        <f t="shared" si="1"/>
        <v/>
      </c>
      <c r="R65" s="2" t="str">
        <f t="shared" si="2"/>
        <v/>
      </c>
      <c r="S65" s="2" t="str">
        <f>IF(OR($B65="",$O65=""),"",IF(AsOfDate-$O65&gt;StaleDays,"STALE","OK"))</f>
        <v/>
      </c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2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" t="str">
        <f t="shared" si="1"/>
        <v/>
      </c>
      <c r="R66" s="2" t="str">
        <f t="shared" si="2"/>
        <v/>
      </c>
      <c r="S66" s="2" t="str">
        <f>IF(OR($B66="",$O66=""),"",IF(AsOfDate-$O66&gt;StaleDays,"STALE","OK"))</f>
        <v/>
      </c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2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2" t="str">
        <f t="shared" si="1"/>
        <v/>
      </c>
      <c r="R67" s="2" t="str">
        <f t="shared" si="2"/>
        <v/>
      </c>
      <c r="S67" s="2" t="str">
        <f>IF(OR($B67="",$O67=""),"",IF(AsOfDate-$O67&gt;StaleDays,"STALE","OK"))</f>
        <v/>
      </c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2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" t="str">
        <f t="shared" si="1"/>
        <v/>
      </c>
      <c r="R68" s="2" t="str">
        <f t="shared" si="2"/>
        <v/>
      </c>
      <c r="S68" s="2" t="str">
        <f>IF(OR($B68="",$O68=""),"",IF(AsOfDate-$O68&gt;StaleDays,"STALE","OK"))</f>
        <v/>
      </c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2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2" t="str">
        <f t="shared" si="1"/>
        <v/>
      </c>
      <c r="R69" s="2" t="str">
        <f t="shared" si="2"/>
        <v/>
      </c>
      <c r="S69" s="2" t="str">
        <f>IF(OR($B69="",$O69=""),"",IF(AsOfDate-$O69&gt;StaleDays,"STALE","OK"))</f>
        <v/>
      </c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2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2" t="str">
        <f t="shared" si="1"/>
        <v/>
      </c>
      <c r="R70" s="2" t="str">
        <f t="shared" si="2"/>
        <v/>
      </c>
      <c r="S70" s="2" t="str">
        <f>IF(OR($B70="",$O70=""),"",IF(AsOfDate-$O70&gt;StaleDays,"STALE","OK"))</f>
        <v/>
      </c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2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2" t="str">
        <f t="shared" si="1"/>
        <v/>
      </c>
      <c r="R71" s="2" t="str">
        <f t="shared" si="2"/>
        <v/>
      </c>
      <c r="S71" s="2" t="str">
        <f>IF(OR($B71="",$O71=""),"",IF(AsOfDate-$O71&gt;StaleDays,"STALE","OK"))</f>
        <v/>
      </c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2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2" t="str">
        <f t="shared" si="1"/>
        <v/>
      </c>
      <c r="R72" s="2" t="str">
        <f t="shared" si="2"/>
        <v/>
      </c>
      <c r="S72" s="2" t="str">
        <f>IF(OR($B72="",$O72=""),"",IF(AsOfDate-$O72&gt;StaleDays,"STALE","OK"))</f>
        <v/>
      </c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2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2" t="str">
        <f t="shared" si="1"/>
        <v/>
      </c>
      <c r="R73" s="2" t="str">
        <f t="shared" si="2"/>
        <v/>
      </c>
      <c r="S73" s="2" t="str">
        <f>IF(OR($B73="",$O73=""),"",IF(AsOfDate-$O73&gt;StaleDays,"STALE","OK"))</f>
        <v/>
      </c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2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2" t="str">
        <f t="shared" si="1"/>
        <v/>
      </c>
      <c r="R74" s="2" t="str">
        <f t="shared" si="2"/>
        <v/>
      </c>
      <c r="S74" s="2" t="str">
        <f>IF(OR($B74="",$O74=""),"",IF(AsOfDate-$O74&gt;StaleDays,"STALE","OK"))</f>
        <v/>
      </c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2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2" t="str">
        <f t="shared" si="1"/>
        <v/>
      </c>
      <c r="R75" s="2" t="str">
        <f t="shared" si="2"/>
        <v/>
      </c>
      <c r="S75" s="2" t="str">
        <f>IF(OR($B75="",$O75=""),"",IF(AsOfDate-$O75&gt;StaleDays,"STALE","OK"))</f>
        <v/>
      </c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2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2" t="str">
        <f t="shared" si="1"/>
        <v/>
      </c>
      <c r="R76" s="2" t="str">
        <f t="shared" si="2"/>
        <v/>
      </c>
      <c r="S76" s="2" t="str">
        <f>IF(OR($B76="",$O76=""),"",IF(AsOfDate-$O76&gt;StaleDays,"STALE","OK"))</f>
        <v/>
      </c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2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2" t="str">
        <f t="shared" si="1"/>
        <v/>
      </c>
      <c r="R77" s="2" t="str">
        <f t="shared" si="2"/>
        <v/>
      </c>
      <c r="S77" s="2" t="str">
        <f>IF(OR($B77="",$O77=""),"",IF(AsOfDate-$O77&gt;StaleDays,"STALE","OK"))</f>
        <v/>
      </c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2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2" t="str">
        <f t="shared" si="1"/>
        <v/>
      </c>
      <c r="R78" s="2" t="str">
        <f t="shared" si="2"/>
        <v/>
      </c>
      <c r="S78" s="2" t="str">
        <f>IF(OR($B78="",$O78=""),"",IF(AsOfDate-$O78&gt;StaleDays,"STALE","OK"))</f>
        <v/>
      </c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2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2" t="str">
        <f t="shared" si="1"/>
        <v/>
      </c>
      <c r="R79" s="2" t="str">
        <f t="shared" si="2"/>
        <v/>
      </c>
      <c r="S79" s="2" t="str">
        <f>IF(OR($B79="",$O79=""),"",IF(AsOfDate-$O79&gt;StaleDays,"STALE","OK"))</f>
        <v/>
      </c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2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2" t="str">
        <f t="shared" si="1"/>
        <v/>
      </c>
      <c r="R80" s="2" t="str">
        <f t="shared" si="2"/>
        <v/>
      </c>
      <c r="S80" s="2" t="str">
        <f>IF(OR($B80="",$O80=""),"",IF(AsOfDate-$O80&gt;StaleDays,"STALE","OK"))</f>
        <v/>
      </c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2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2" t="str">
        <f t="shared" si="1"/>
        <v/>
      </c>
      <c r="R81" s="2" t="str">
        <f t="shared" si="2"/>
        <v/>
      </c>
      <c r="S81" s="2" t="str">
        <f>IF(OR($B81="",$O81=""),"",IF(AsOfDate-$O81&gt;StaleDays,"STALE","OK"))</f>
        <v/>
      </c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2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2" t="str">
        <f t="shared" si="1"/>
        <v/>
      </c>
      <c r="R82" s="2" t="str">
        <f t="shared" si="2"/>
        <v/>
      </c>
      <c r="S82" s="2" t="str">
        <f>IF(OR($B82="",$O82=""),"",IF(AsOfDate-$O82&gt;StaleDays,"STALE","OK"))</f>
        <v/>
      </c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2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2" t="str">
        <f t="shared" si="1"/>
        <v/>
      </c>
      <c r="R83" s="2" t="str">
        <f t="shared" si="2"/>
        <v/>
      </c>
      <c r="S83" s="2" t="str">
        <f>IF(OR($B83="",$O83=""),"",IF(AsOfDate-$O83&gt;StaleDays,"STALE","OK"))</f>
        <v/>
      </c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2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2" t="str">
        <f t="shared" si="1"/>
        <v/>
      </c>
      <c r="R84" s="2" t="str">
        <f t="shared" si="2"/>
        <v/>
      </c>
      <c r="S84" s="2" t="str">
        <f>IF(OR($B84="",$O84=""),"",IF(AsOfDate-$O84&gt;StaleDays,"STALE","OK"))</f>
        <v/>
      </c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2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2" t="str">
        <f t="shared" si="1"/>
        <v/>
      </c>
      <c r="R85" s="2" t="str">
        <f t="shared" si="2"/>
        <v/>
      </c>
      <c r="S85" s="2" t="str">
        <f>IF(OR($B85="",$O85=""),"",IF(AsOfDate-$O85&gt;StaleDays,"STALE","OK"))</f>
        <v/>
      </c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2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2" t="str">
        <f t="shared" si="1"/>
        <v/>
      </c>
      <c r="R86" s="2" t="str">
        <f t="shared" si="2"/>
        <v/>
      </c>
      <c r="S86" s="2" t="str">
        <f>IF(OR($B86="",$O86=""),"",IF(AsOfDate-$O86&gt;StaleDays,"STALE","OK"))</f>
        <v/>
      </c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2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2" t="str">
        <f t="shared" si="1"/>
        <v/>
      </c>
      <c r="R87" s="2" t="str">
        <f t="shared" si="2"/>
        <v/>
      </c>
      <c r="S87" s="2" t="str">
        <f>IF(OR($B87="",$O87=""),"",IF(AsOfDate-$O87&gt;StaleDays,"STALE","OK"))</f>
        <v/>
      </c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2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2" t="str">
        <f t="shared" si="1"/>
        <v/>
      </c>
      <c r="R88" s="2" t="str">
        <f t="shared" si="2"/>
        <v/>
      </c>
      <c r="S88" s="2" t="str">
        <f>IF(OR($B88="",$O88=""),"",IF(AsOfDate-$O88&gt;StaleDays,"STALE","OK"))</f>
        <v/>
      </c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2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2" t="str">
        <f t="shared" si="1"/>
        <v/>
      </c>
      <c r="R89" s="2" t="str">
        <f t="shared" si="2"/>
        <v/>
      </c>
      <c r="S89" s="2" t="str">
        <f>IF(OR($B89="",$O89=""),"",IF(AsOfDate-$O89&gt;StaleDays,"STALE","OK"))</f>
        <v/>
      </c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2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2" t="str">
        <f t="shared" si="1"/>
        <v/>
      </c>
      <c r="R90" s="2" t="str">
        <f t="shared" si="2"/>
        <v/>
      </c>
      <c r="S90" s="2" t="str">
        <f>IF(OR($B90="",$O90=""),"",IF(AsOfDate-$O90&gt;StaleDays,"STALE","OK"))</f>
        <v/>
      </c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2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2" t="str">
        <f t="shared" si="1"/>
        <v/>
      </c>
      <c r="R91" s="2" t="str">
        <f t="shared" si="2"/>
        <v/>
      </c>
      <c r="S91" s="2" t="str">
        <f>IF(OR($B91="",$O91=""),"",IF(AsOfDate-$O91&gt;StaleDays,"STALE","OK"))</f>
        <v/>
      </c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2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2" t="str">
        <f t="shared" si="1"/>
        <v/>
      </c>
      <c r="R92" s="2" t="str">
        <f t="shared" si="2"/>
        <v/>
      </c>
      <c r="S92" s="2" t="str">
        <f>IF(OR($B92="",$O92=""),"",IF(AsOfDate-$O92&gt;StaleDays,"STALE","OK"))</f>
        <v/>
      </c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2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2" t="str">
        <f t="shared" si="1"/>
        <v/>
      </c>
      <c r="R93" s="2" t="str">
        <f t="shared" si="2"/>
        <v/>
      </c>
      <c r="S93" s="2" t="str">
        <f>IF(OR($B93="",$O93=""),"",IF(AsOfDate-$O93&gt;StaleDays,"STALE","OK"))</f>
        <v/>
      </c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2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2" t="str">
        <f t="shared" si="1"/>
        <v/>
      </c>
      <c r="R94" s="2" t="str">
        <f t="shared" si="2"/>
        <v/>
      </c>
      <c r="S94" s="2" t="str">
        <f>IF(OR($B94="",$O94=""),"",IF(AsOfDate-$O94&gt;StaleDays,"STALE","OK"))</f>
        <v/>
      </c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2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2" t="str">
        <f t="shared" si="1"/>
        <v/>
      </c>
      <c r="R95" s="2" t="str">
        <f t="shared" si="2"/>
        <v/>
      </c>
      <c r="S95" s="2" t="str">
        <f>IF(OR($B95="",$O95=""),"",IF(AsOfDate-$O95&gt;StaleDays,"STALE","OK"))</f>
        <v/>
      </c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2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2" t="str">
        <f t="shared" si="1"/>
        <v/>
      </c>
      <c r="R96" s="2" t="str">
        <f t="shared" si="2"/>
        <v/>
      </c>
      <c r="S96" s="2" t="str">
        <f>IF(OR($B96="",$O96=""),"",IF(AsOfDate-$O96&gt;StaleDays,"STALE","OK"))</f>
        <v/>
      </c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2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2" t="str">
        <f t="shared" si="1"/>
        <v/>
      </c>
      <c r="R97" s="2" t="str">
        <f t="shared" si="2"/>
        <v/>
      </c>
      <c r="S97" s="2" t="str">
        <f>IF(OR($B97="",$O97=""),"",IF(AsOfDate-$O97&gt;StaleDays,"STALE","OK"))</f>
        <v/>
      </c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2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2" t="str">
        <f t="shared" si="1"/>
        <v/>
      </c>
      <c r="R98" s="2" t="str">
        <f t="shared" si="2"/>
        <v/>
      </c>
      <c r="S98" s="2" t="str">
        <f>IF(OR($B98="",$O98=""),"",IF(AsOfDate-$O98&gt;StaleDays,"STALE","OK"))</f>
        <v/>
      </c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2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2" t="str">
        <f t="shared" si="1"/>
        <v/>
      </c>
      <c r="R99" s="2" t="str">
        <f t="shared" si="2"/>
        <v/>
      </c>
      <c r="S99" s="2" t="str">
        <f>IF(OR($B99="",$O99=""),"",IF(AsOfDate-$O99&gt;StaleDays,"STALE","OK"))</f>
        <v/>
      </c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2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2" t="str">
        <f t="shared" si="1"/>
        <v/>
      </c>
      <c r="R100" s="2" t="str">
        <f t="shared" si="2"/>
        <v/>
      </c>
      <c r="S100" s="2" t="str">
        <f>IF(OR($B100="",$O100=""),"",IF(AsOfDate-$O100&gt;StaleDays,"STALE","OK"))</f>
        <v/>
      </c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2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2" t="str">
        <f t="shared" si="1"/>
        <v/>
      </c>
      <c r="R101" s="2" t="str">
        <f t="shared" si="2"/>
        <v/>
      </c>
      <c r="S101" s="2" t="str">
        <f>IF(OR($B101="",$O101=""),"",IF(AsOfDate-$O101&gt;StaleDays,"STALE","OK"))</f>
        <v/>
      </c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2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2" t="str">
        <f t="shared" si="1"/>
        <v/>
      </c>
      <c r="R102" s="2" t="str">
        <f t="shared" si="2"/>
        <v/>
      </c>
      <c r="S102" s="2" t="str">
        <f>IF(OR($B102="",$O102=""),"",IF(AsOfDate-$O102&gt;StaleDays,"STALE","OK"))</f>
        <v/>
      </c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2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2" t="str">
        <f t="shared" si="1"/>
        <v/>
      </c>
      <c r="R103" s="2" t="str">
        <f t="shared" si="2"/>
        <v/>
      </c>
      <c r="S103" s="2" t="str">
        <f>IF(OR($B103="",$O103=""),"",IF(AsOfDate-$O103&gt;StaleDays,"STALE","OK"))</f>
        <v/>
      </c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2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2" t="str">
        <f t="shared" si="1"/>
        <v/>
      </c>
      <c r="R104" s="2" t="str">
        <f t="shared" si="2"/>
        <v/>
      </c>
      <c r="S104" s="2" t="str">
        <f>IF(OR($B104="",$O104=""),"",IF(AsOfDate-$O104&gt;StaleDays,"STALE","OK"))</f>
        <v/>
      </c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2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2" t="str">
        <f t="shared" si="1"/>
        <v/>
      </c>
      <c r="R105" s="2" t="str">
        <f t="shared" si="2"/>
        <v/>
      </c>
      <c r="S105" s="2" t="str">
        <f>IF(OR($B105="",$O105=""),"",IF(AsOfDate-$O105&gt;StaleDays,"STALE","OK"))</f>
        <v/>
      </c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2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2" t="str">
        <f t="shared" si="1"/>
        <v/>
      </c>
      <c r="R106" s="2" t="str">
        <f t="shared" si="2"/>
        <v/>
      </c>
      <c r="S106" s="2" t="str">
        <f>IF(OR($B106="",$O106=""),"",IF(AsOfDate-$O106&gt;StaleDays,"STALE","OK"))</f>
        <v/>
      </c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2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2" t="str">
        <f t="shared" si="1"/>
        <v/>
      </c>
      <c r="R107" s="2" t="str">
        <f t="shared" si="2"/>
        <v/>
      </c>
      <c r="S107" s="2" t="str">
        <f>IF(OR($B107="",$O107=""),"",IF(AsOfDate-$O107&gt;StaleDays,"STALE","OK"))</f>
        <v/>
      </c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2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2" t="str">
        <f t="shared" si="1"/>
        <v/>
      </c>
      <c r="R108" s="2" t="str">
        <f t="shared" si="2"/>
        <v/>
      </c>
      <c r="S108" s="2" t="str">
        <f>IF(OR($B108="",$O108=""),"",IF(AsOfDate-$O108&gt;StaleDays,"STALE","OK"))</f>
        <v/>
      </c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2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2" t="str">
        <f t="shared" si="1"/>
        <v/>
      </c>
      <c r="R109" s="2" t="str">
        <f t="shared" si="2"/>
        <v/>
      </c>
      <c r="S109" s="2" t="str">
        <f>IF(OR($B109="",$O109=""),"",IF(AsOfDate-$O109&gt;StaleDays,"STALE","OK"))</f>
        <v/>
      </c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2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2" t="str">
        <f t="shared" si="1"/>
        <v/>
      </c>
      <c r="R110" s="2" t="str">
        <f t="shared" si="2"/>
        <v/>
      </c>
      <c r="S110" s="2" t="str">
        <f>IF(OR($B110="",$O110=""),"",IF(AsOfDate-$O110&gt;StaleDays,"STALE","OK"))</f>
        <v/>
      </c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2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2" t="str">
        <f t="shared" si="1"/>
        <v/>
      </c>
      <c r="R111" s="2" t="str">
        <f t="shared" si="2"/>
        <v/>
      </c>
      <c r="S111" s="2" t="str">
        <f>IF(OR($B111="",$O111=""),"",IF(AsOfDate-$O111&gt;StaleDays,"STALE","OK"))</f>
        <v/>
      </c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2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2" t="str">
        <f t="shared" si="1"/>
        <v/>
      </c>
      <c r="R112" s="2" t="str">
        <f t="shared" si="2"/>
        <v/>
      </c>
      <c r="S112" s="2" t="str">
        <f>IF(OR($B112="",$O112=""),"",IF(AsOfDate-$O112&gt;StaleDays,"STALE","OK"))</f>
        <v/>
      </c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2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2" t="str">
        <f t="shared" si="1"/>
        <v/>
      </c>
      <c r="R113" s="2" t="str">
        <f t="shared" si="2"/>
        <v/>
      </c>
      <c r="S113" s="2" t="str">
        <f>IF(OR($B113="",$O113=""),"",IF(AsOfDate-$O113&gt;StaleDays,"STALE","OK"))</f>
        <v/>
      </c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2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2" t="str">
        <f t="shared" si="1"/>
        <v/>
      </c>
      <c r="R114" s="2" t="str">
        <f t="shared" si="2"/>
        <v/>
      </c>
      <c r="S114" s="2" t="str">
        <f>IF(OR($B114="",$O114=""),"",IF(AsOfDate-$O114&gt;StaleDays,"STALE","OK"))</f>
        <v/>
      </c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2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2" t="str">
        <f t="shared" si="1"/>
        <v/>
      </c>
      <c r="R115" s="2" t="str">
        <f t="shared" si="2"/>
        <v/>
      </c>
      <c r="S115" s="2" t="str">
        <f>IF(OR($B115="",$O115=""),"",IF(AsOfDate-$O115&gt;StaleDays,"STALE","OK"))</f>
        <v/>
      </c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2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2" t="str">
        <f t="shared" si="1"/>
        <v/>
      </c>
      <c r="R116" s="2" t="str">
        <f t="shared" si="2"/>
        <v/>
      </c>
      <c r="S116" s="2" t="str">
        <f>IF(OR($B116="",$O116=""),"",IF(AsOfDate-$O116&gt;StaleDays,"STALE","OK"))</f>
        <v/>
      </c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2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2" t="str">
        <f t="shared" si="1"/>
        <v/>
      </c>
      <c r="R117" s="2" t="str">
        <f t="shared" si="2"/>
        <v/>
      </c>
      <c r="S117" s="2" t="str">
        <f>IF(OR($B117="",$O117=""),"",IF(AsOfDate-$O117&gt;StaleDays,"STALE","OK"))</f>
        <v/>
      </c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2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2" t="str">
        <f t="shared" si="1"/>
        <v/>
      </c>
      <c r="R118" s="2" t="str">
        <f t="shared" si="2"/>
        <v/>
      </c>
      <c r="S118" s="2" t="str">
        <f>IF(OR($B118="",$O118=""),"",IF(AsOfDate-$O118&gt;StaleDays,"STALE","OK"))</f>
        <v/>
      </c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2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2" t="str">
        <f t="shared" si="1"/>
        <v/>
      </c>
      <c r="R119" s="2" t="str">
        <f t="shared" si="2"/>
        <v/>
      </c>
      <c r="S119" s="2" t="str">
        <f>IF(OR($B119="",$O119=""),"",IF(AsOfDate-$O119&gt;StaleDays,"STALE","OK"))</f>
        <v/>
      </c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2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2" t="str">
        <f t="shared" si="1"/>
        <v/>
      </c>
      <c r="R120" s="2" t="str">
        <f t="shared" si="2"/>
        <v/>
      </c>
      <c r="S120" s="2" t="str">
        <f>IF(OR($B120="",$O120=""),"",IF(AsOfDate-$O120&gt;StaleDays,"STALE","OK"))</f>
        <v/>
      </c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2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2" t="str">
        <f t="shared" si="1"/>
        <v/>
      </c>
      <c r="R121" s="2" t="str">
        <f t="shared" si="2"/>
        <v/>
      </c>
      <c r="S121" s="2" t="str">
        <f>IF(OR($B121="",$O121=""),"",IF(AsOfDate-$O121&gt;StaleDays,"STALE","OK"))</f>
        <v/>
      </c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2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2" t="str">
        <f t="shared" si="1"/>
        <v/>
      </c>
      <c r="R122" s="2" t="str">
        <f t="shared" si="2"/>
        <v/>
      </c>
      <c r="S122" s="2" t="str">
        <f>IF(OR($B122="",$O122=""),"",IF(AsOfDate-$O122&gt;StaleDays,"STALE","OK"))</f>
        <v/>
      </c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2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2" t="str">
        <f t="shared" si="1"/>
        <v/>
      </c>
      <c r="R123" s="2" t="str">
        <f t="shared" si="2"/>
        <v/>
      </c>
      <c r="S123" s="2" t="str">
        <f>IF(OR($B123="",$O123=""),"",IF(AsOfDate-$O123&gt;StaleDays,"STALE","OK"))</f>
        <v/>
      </c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2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2" t="str">
        <f t="shared" si="1"/>
        <v/>
      </c>
      <c r="R124" s="2" t="str">
        <f t="shared" si="2"/>
        <v/>
      </c>
      <c r="S124" s="2" t="str">
        <f>IF(OR($B124="",$O124=""),"",IF(AsOfDate-$O124&gt;StaleDays,"STALE","OK"))</f>
        <v/>
      </c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2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2" t="str">
        <f t="shared" si="1"/>
        <v/>
      </c>
      <c r="R125" s="2" t="str">
        <f t="shared" si="2"/>
        <v/>
      </c>
      <c r="S125" s="2" t="str">
        <f>IF(OR($B125="",$O125=""),"",IF(AsOfDate-$O125&gt;StaleDays,"STALE","OK"))</f>
        <v/>
      </c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2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2" t="str">
        <f t="shared" si="1"/>
        <v/>
      </c>
      <c r="R126" s="2" t="str">
        <f t="shared" si="2"/>
        <v/>
      </c>
      <c r="S126" s="2" t="str">
        <f>IF(OR($B126="",$O126=""),"",IF(AsOfDate-$O126&gt;StaleDays,"STALE","OK"))</f>
        <v/>
      </c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2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2" t="str">
        <f t="shared" si="1"/>
        <v/>
      </c>
      <c r="R127" s="2" t="str">
        <f t="shared" si="2"/>
        <v/>
      </c>
      <c r="S127" s="2" t="str">
        <f>IF(OR($B127="",$O127=""),"",IF(AsOfDate-$O127&gt;StaleDays,"STALE","OK"))</f>
        <v/>
      </c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2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2" t="str">
        <f t="shared" si="1"/>
        <v/>
      </c>
      <c r="R128" s="2" t="str">
        <f t="shared" si="2"/>
        <v/>
      </c>
      <c r="S128" s="2" t="str">
        <f>IF(OR($B128="",$O128=""),"",IF(AsOfDate-$O128&gt;StaleDays,"STALE","OK"))</f>
        <v/>
      </c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2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2" t="str">
        <f t="shared" si="1"/>
        <v/>
      </c>
      <c r="R129" s="2" t="str">
        <f t="shared" si="2"/>
        <v/>
      </c>
      <c r="S129" s="2" t="str">
        <f>IF(OR($B129="",$O129=""),"",IF(AsOfDate-$O129&gt;StaleDays,"STALE","OK"))</f>
        <v/>
      </c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2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2" t="str">
        <f t="shared" si="1"/>
        <v/>
      </c>
      <c r="R130" s="2" t="str">
        <f t="shared" si="2"/>
        <v/>
      </c>
      <c r="S130" s="2" t="str">
        <f>IF(OR($B130="",$O130=""),"",IF(AsOfDate-$O130&gt;StaleDays,"STALE","OK"))</f>
        <v/>
      </c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2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2" t="str">
        <f t="shared" si="1"/>
        <v/>
      </c>
      <c r="R131" s="2" t="str">
        <f t="shared" si="2"/>
        <v/>
      </c>
      <c r="S131" s="2" t="str">
        <f>IF(OR($B131="",$O131=""),"",IF(AsOfDate-$O131&gt;StaleDays,"STALE","OK"))</f>
        <v/>
      </c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2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2" t="str">
        <f t="shared" si="1"/>
        <v/>
      </c>
      <c r="R132" s="2" t="str">
        <f t="shared" si="2"/>
        <v/>
      </c>
      <c r="S132" s="2" t="str">
        <f>IF(OR($B132="",$O132=""),"",IF(AsOfDate-$O132&gt;StaleDays,"STALE","OK"))</f>
        <v/>
      </c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2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2" t="str">
        <f t="shared" si="1"/>
        <v/>
      </c>
      <c r="R133" s="2" t="str">
        <f t="shared" si="2"/>
        <v/>
      </c>
      <c r="S133" s="2" t="str">
        <f>IF(OR($B133="",$O133=""),"",IF(AsOfDate-$O133&gt;StaleDays,"STALE","OK"))</f>
        <v/>
      </c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2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2" t="str">
        <f t="shared" si="1"/>
        <v/>
      </c>
      <c r="R134" s="2" t="str">
        <f t="shared" si="2"/>
        <v/>
      </c>
      <c r="S134" s="2" t="str">
        <f>IF(OR($B134="",$O134=""),"",IF(AsOfDate-$O134&gt;StaleDays,"STALE","OK"))</f>
        <v/>
      </c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2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2" t="str">
        <f t="shared" si="1"/>
        <v/>
      </c>
      <c r="R135" s="2" t="str">
        <f t="shared" si="2"/>
        <v/>
      </c>
      <c r="S135" s="2" t="str">
        <f>IF(OR($B135="",$O135=""),"",IF(AsOfDate-$O135&gt;StaleDays,"STALE","OK"))</f>
        <v/>
      </c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2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2" t="str">
        <f t="shared" si="1"/>
        <v/>
      </c>
      <c r="R136" s="2" t="str">
        <f t="shared" si="2"/>
        <v/>
      </c>
      <c r="S136" s="2" t="str">
        <f>IF(OR($B136="",$O136=""),"",IF(AsOfDate-$O136&gt;StaleDays,"STALE","OK"))</f>
        <v/>
      </c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2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2" t="str">
        <f t="shared" si="1"/>
        <v/>
      </c>
      <c r="R137" s="2" t="str">
        <f t="shared" si="2"/>
        <v/>
      </c>
      <c r="S137" s="2" t="str">
        <f>IF(OR($B137="",$O137=""),"",IF(AsOfDate-$O137&gt;StaleDays,"STALE","OK"))</f>
        <v/>
      </c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2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2" t="str">
        <f t="shared" si="1"/>
        <v/>
      </c>
      <c r="R138" s="2" t="str">
        <f t="shared" si="2"/>
        <v/>
      </c>
      <c r="S138" s="2" t="str">
        <f>IF(OR($B138="",$O138=""),"",IF(AsOfDate-$O138&gt;StaleDays,"STALE","OK"))</f>
        <v/>
      </c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2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2" t="str">
        <f t="shared" si="1"/>
        <v/>
      </c>
      <c r="R139" s="2" t="str">
        <f t="shared" si="2"/>
        <v/>
      </c>
      <c r="S139" s="2" t="str">
        <f>IF(OR($B139="",$O139=""),"",IF(AsOfDate-$O139&gt;StaleDays,"STALE","OK"))</f>
        <v/>
      </c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2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2" t="str">
        <f t="shared" si="1"/>
        <v/>
      </c>
      <c r="R140" s="2" t="str">
        <f t="shared" si="2"/>
        <v/>
      </c>
      <c r="S140" s="2" t="str">
        <f>IF(OR($B140="",$O140=""),"",IF(AsOfDate-$O140&gt;StaleDays,"STALE","OK"))</f>
        <v/>
      </c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2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2" t="str">
        <f t="shared" si="1"/>
        <v/>
      </c>
      <c r="R141" s="2" t="str">
        <f t="shared" si="2"/>
        <v/>
      </c>
      <c r="S141" s="2" t="str">
        <f>IF(OR($B141="",$O141=""),"",IF(AsOfDate-$O141&gt;StaleDays,"STALE","OK"))</f>
        <v/>
      </c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2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2" t="str">
        <f t="shared" si="1"/>
        <v/>
      </c>
      <c r="R142" s="2" t="str">
        <f t="shared" si="2"/>
        <v/>
      </c>
      <c r="S142" s="2" t="str">
        <f>IF(OR($B142="",$O142=""),"",IF(AsOfDate-$O142&gt;StaleDays,"STALE","OK"))</f>
        <v/>
      </c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2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2" t="str">
        <f t="shared" si="1"/>
        <v/>
      </c>
      <c r="R143" s="2" t="str">
        <f t="shared" si="2"/>
        <v/>
      </c>
      <c r="S143" s="2" t="str">
        <f>IF(OR($B143="",$O143=""),"",IF(AsOfDate-$O143&gt;StaleDays,"STALE","OK"))</f>
        <v/>
      </c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2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2" t="str">
        <f t="shared" si="1"/>
        <v/>
      </c>
      <c r="R144" s="2" t="str">
        <f t="shared" si="2"/>
        <v/>
      </c>
      <c r="S144" s="2" t="str">
        <f>IF(OR($B144="",$O144=""),"",IF(AsOfDate-$O144&gt;StaleDays,"STALE","OK"))</f>
        <v/>
      </c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2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2" t="str">
        <f t="shared" si="1"/>
        <v/>
      </c>
      <c r="R145" s="2" t="str">
        <f t="shared" si="2"/>
        <v/>
      </c>
      <c r="S145" s="2" t="str">
        <f>IF(OR($B145="",$O145=""),"",IF(AsOfDate-$O145&gt;StaleDays,"STALE","OK"))</f>
        <v/>
      </c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2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2" t="str">
        <f t="shared" si="1"/>
        <v/>
      </c>
      <c r="R146" s="2" t="str">
        <f t="shared" si="2"/>
        <v/>
      </c>
      <c r="S146" s="2" t="str">
        <f>IF(OR($B146="",$O146=""),"",IF(AsOfDate-$O146&gt;StaleDays,"STALE","OK"))</f>
        <v/>
      </c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2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2" t="str">
        <f t="shared" si="1"/>
        <v/>
      </c>
      <c r="R147" s="2" t="str">
        <f t="shared" si="2"/>
        <v/>
      </c>
      <c r="S147" s="2" t="str">
        <f>IF(OR($B147="",$O147=""),"",IF(AsOfDate-$O147&gt;StaleDays,"STALE","OK"))</f>
        <v/>
      </c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2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2" t="str">
        <f t="shared" si="1"/>
        <v/>
      </c>
      <c r="R148" s="2" t="str">
        <f t="shared" si="2"/>
        <v/>
      </c>
      <c r="S148" s="2" t="str">
        <f>IF(OR($B148="",$O148=""),"",IF(AsOfDate-$O148&gt;StaleDays,"STALE","OK"))</f>
        <v/>
      </c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2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2" t="str">
        <f t="shared" si="1"/>
        <v/>
      </c>
      <c r="R149" s="2" t="str">
        <f t="shared" si="2"/>
        <v/>
      </c>
      <c r="S149" s="2" t="str">
        <f>IF(OR($B149="",$O149=""),"",IF(AsOfDate-$O149&gt;StaleDays,"STALE","OK"))</f>
        <v/>
      </c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2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2" t="str">
        <f t="shared" si="1"/>
        <v/>
      </c>
      <c r="R150" s="2" t="str">
        <f t="shared" si="2"/>
        <v/>
      </c>
      <c r="S150" s="2" t="str">
        <f>IF(OR($B150="",$O150=""),"",IF(AsOfDate-$O150&gt;StaleDays,"STALE","OK"))</f>
        <v/>
      </c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2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2" t="str">
        <f t="shared" si="1"/>
        <v/>
      </c>
      <c r="R151" s="2" t="str">
        <f t="shared" si="2"/>
        <v/>
      </c>
      <c r="S151" s="2" t="str">
        <f>IF(OR($B151="",$O151=""),"",IF(AsOfDate-$O151&gt;StaleDays,"STALE","OK"))</f>
        <v/>
      </c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2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2" t="str">
        <f t="shared" si="1"/>
        <v/>
      </c>
      <c r="R152" s="2" t="str">
        <f t="shared" si="2"/>
        <v/>
      </c>
      <c r="S152" s="2" t="str">
        <f>IF(OR($B152="",$O152=""),"",IF(AsOfDate-$O152&gt;StaleDays,"STALE","OK"))</f>
        <v/>
      </c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2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2" t="str">
        <f t="shared" si="1"/>
        <v/>
      </c>
      <c r="R153" s="2" t="str">
        <f t="shared" si="2"/>
        <v/>
      </c>
      <c r="S153" s="2" t="str">
        <f>IF(OR($B153="",$O153=""),"",IF(AsOfDate-$O153&gt;StaleDays,"STALE","OK"))</f>
        <v/>
      </c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2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2" t="str">
        <f t="shared" si="1"/>
        <v/>
      </c>
      <c r="R154" s="2" t="str">
        <f t="shared" si="2"/>
        <v/>
      </c>
      <c r="S154" s="2" t="str">
        <f>IF(OR($B154="",$O154=""),"",IF(AsOfDate-$O154&gt;StaleDays,"STALE","OK"))</f>
        <v/>
      </c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2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2" t="str">
        <f t="shared" si="1"/>
        <v/>
      </c>
      <c r="R155" s="2" t="str">
        <f t="shared" si="2"/>
        <v/>
      </c>
      <c r="S155" s="2" t="str">
        <f>IF(OR($B155="",$O155=""),"",IF(AsOfDate-$O155&gt;StaleDays,"STALE","OK"))</f>
        <v/>
      </c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2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2" t="str">
        <f t="shared" si="1"/>
        <v/>
      </c>
      <c r="R156" s="2" t="str">
        <f t="shared" si="2"/>
        <v/>
      </c>
      <c r="S156" s="2" t="str">
        <f>IF(OR($B156="",$O156=""),"",IF(AsOfDate-$O156&gt;StaleDays,"STALE","OK"))</f>
        <v/>
      </c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2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2" t="str">
        <f t="shared" si="1"/>
        <v/>
      </c>
      <c r="R157" s="2" t="str">
        <f t="shared" si="2"/>
        <v/>
      </c>
      <c r="S157" s="2" t="str">
        <f>IF(OR($B157="",$O157=""),"",IF(AsOfDate-$O157&gt;StaleDays,"STALE","OK"))</f>
        <v/>
      </c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2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2" t="str">
        <f t="shared" si="1"/>
        <v/>
      </c>
      <c r="R158" s="2" t="str">
        <f t="shared" si="2"/>
        <v/>
      </c>
      <c r="S158" s="2" t="str">
        <f>IF(OR($B158="",$O158=""),"",IF(AsOfDate-$O158&gt;StaleDays,"STALE","OK"))</f>
        <v/>
      </c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2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2" t="str">
        <f t="shared" si="1"/>
        <v/>
      </c>
      <c r="R159" s="2" t="str">
        <f t="shared" si="2"/>
        <v/>
      </c>
      <c r="S159" s="2" t="str">
        <f>IF(OR($B159="",$O159=""),"",IF(AsOfDate-$O159&gt;StaleDays,"STALE","OK"))</f>
        <v/>
      </c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2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2" t="str">
        <f t="shared" si="1"/>
        <v/>
      </c>
      <c r="R160" s="2" t="str">
        <f t="shared" si="2"/>
        <v/>
      </c>
      <c r="S160" s="2" t="str">
        <f>IF(OR($B160="",$O160=""),"",IF(AsOfDate-$O160&gt;StaleDays,"STALE","OK"))</f>
        <v/>
      </c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2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2" t="str">
        <f t="shared" si="1"/>
        <v/>
      </c>
      <c r="R161" s="2" t="str">
        <f t="shared" si="2"/>
        <v/>
      </c>
      <c r="S161" s="2" t="str">
        <f>IF(OR($B161="",$O161=""),"",IF(AsOfDate-$O161&gt;StaleDays,"STALE","OK"))</f>
        <v/>
      </c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2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2" t="str">
        <f t="shared" si="1"/>
        <v/>
      </c>
      <c r="R162" s="2" t="str">
        <f t="shared" si="2"/>
        <v/>
      </c>
      <c r="S162" s="2" t="str">
        <f>IF(OR($B162="",$O162=""),"",IF(AsOfDate-$O162&gt;StaleDays,"STALE","OK"))</f>
        <v/>
      </c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2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2" t="str">
        <f t="shared" si="1"/>
        <v/>
      </c>
      <c r="R163" s="2" t="str">
        <f t="shared" si="2"/>
        <v/>
      </c>
      <c r="S163" s="2" t="str">
        <f>IF(OR($B163="",$O163=""),"",IF(AsOfDate-$O163&gt;StaleDays,"STALE","OK"))</f>
        <v/>
      </c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2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2" t="str">
        <f t="shared" si="1"/>
        <v/>
      </c>
      <c r="R164" s="2" t="str">
        <f t="shared" si="2"/>
        <v/>
      </c>
      <c r="S164" s="2" t="str">
        <f>IF(OR($B164="",$O164=""),"",IF(AsOfDate-$O164&gt;StaleDays,"STALE","OK"))</f>
        <v/>
      </c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2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2" t="str">
        <f t="shared" si="1"/>
        <v/>
      </c>
      <c r="R165" s="2" t="str">
        <f t="shared" si="2"/>
        <v/>
      </c>
      <c r="S165" s="2" t="str">
        <f>IF(OR($B165="",$O165=""),"",IF(AsOfDate-$O165&gt;StaleDays,"STALE","OK"))</f>
        <v/>
      </c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2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2" t="str">
        <f t="shared" si="1"/>
        <v/>
      </c>
      <c r="R166" s="2" t="str">
        <f t="shared" si="2"/>
        <v/>
      </c>
      <c r="S166" s="2" t="str">
        <f>IF(OR($B166="",$O166=""),"",IF(AsOfDate-$O166&gt;StaleDays,"STALE","OK"))</f>
        <v/>
      </c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2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2" t="str">
        <f t="shared" si="1"/>
        <v/>
      </c>
      <c r="R167" s="2" t="str">
        <f t="shared" si="2"/>
        <v/>
      </c>
      <c r="S167" s="2" t="str">
        <f>IF(OR($B167="",$O167=""),"",IF(AsOfDate-$O167&gt;StaleDays,"STALE","OK"))</f>
        <v/>
      </c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2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2" t="str">
        <f t="shared" si="1"/>
        <v/>
      </c>
      <c r="R168" s="2" t="str">
        <f t="shared" si="2"/>
        <v/>
      </c>
      <c r="S168" s="2" t="str">
        <f>IF(OR($B168="",$O168=""),"",IF(AsOfDate-$O168&gt;StaleDays,"STALE","OK"))</f>
        <v/>
      </c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2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2" t="str">
        <f t="shared" si="1"/>
        <v/>
      </c>
      <c r="R169" s="2" t="str">
        <f t="shared" si="2"/>
        <v/>
      </c>
      <c r="S169" s="2" t="str">
        <f>IF(OR($B169="",$O169=""),"",IF(AsOfDate-$O169&gt;StaleDays,"STALE","OK"))</f>
        <v/>
      </c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2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2" t="str">
        <f t="shared" si="1"/>
        <v/>
      </c>
      <c r="R170" s="2" t="str">
        <f t="shared" si="2"/>
        <v/>
      </c>
      <c r="S170" s="2" t="str">
        <f>IF(OR($B170="",$O170=""),"",IF(AsOfDate-$O170&gt;StaleDays,"STALE","OK"))</f>
        <v/>
      </c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2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2" t="str">
        <f t="shared" si="1"/>
        <v/>
      </c>
      <c r="R171" s="2" t="str">
        <f t="shared" si="2"/>
        <v/>
      </c>
      <c r="S171" s="2" t="str">
        <f>IF(OR($B171="",$O171=""),"",IF(AsOfDate-$O171&gt;StaleDays,"STALE","OK"))</f>
        <v/>
      </c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2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2" t="str">
        <f t="shared" si="1"/>
        <v/>
      </c>
      <c r="R172" s="2" t="str">
        <f t="shared" si="2"/>
        <v/>
      </c>
      <c r="S172" s="2" t="str">
        <f>IF(OR($B172="",$O172=""),"",IF(AsOfDate-$O172&gt;StaleDays,"STALE","OK"))</f>
        <v/>
      </c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2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2" t="str">
        <f t="shared" si="1"/>
        <v/>
      </c>
      <c r="R173" s="2" t="str">
        <f t="shared" si="2"/>
        <v/>
      </c>
      <c r="S173" s="2" t="str">
        <f>IF(OR($B173="",$O173=""),"",IF(AsOfDate-$O173&gt;StaleDays,"STALE","OK"))</f>
        <v/>
      </c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2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2" t="str">
        <f t="shared" si="1"/>
        <v/>
      </c>
      <c r="R174" s="2" t="str">
        <f t="shared" si="2"/>
        <v/>
      </c>
      <c r="S174" s="2" t="str">
        <f>IF(OR($B174="",$O174=""),"",IF(AsOfDate-$O174&gt;StaleDays,"STALE","OK"))</f>
        <v/>
      </c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2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2" t="str">
        <f t="shared" si="1"/>
        <v/>
      </c>
      <c r="R175" s="2" t="str">
        <f t="shared" si="2"/>
        <v/>
      </c>
      <c r="S175" s="2" t="str">
        <f>IF(OR($B175="",$O175=""),"",IF(AsOfDate-$O175&gt;StaleDays,"STALE","OK"))</f>
        <v/>
      </c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2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2" t="str">
        <f t="shared" si="1"/>
        <v/>
      </c>
      <c r="R176" s="2" t="str">
        <f t="shared" si="2"/>
        <v/>
      </c>
      <c r="S176" s="2" t="str">
        <f>IF(OR($B176="",$O176=""),"",IF(AsOfDate-$O176&gt;StaleDays,"STALE","OK"))</f>
        <v/>
      </c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2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2" t="str">
        <f t="shared" si="1"/>
        <v/>
      </c>
      <c r="R177" s="2" t="str">
        <f t="shared" si="2"/>
        <v/>
      </c>
      <c r="S177" s="2" t="str">
        <f>IF(OR($B177="",$O177=""),"",IF(AsOfDate-$O177&gt;StaleDays,"STALE","OK"))</f>
        <v/>
      </c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2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2" t="str">
        <f t="shared" si="1"/>
        <v/>
      </c>
      <c r="R178" s="2" t="str">
        <f t="shared" si="2"/>
        <v/>
      </c>
      <c r="S178" s="2" t="str">
        <f>IF(OR($B178="",$O178=""),"",IF(AsOfDate-$O178&gt;StaleDays,"STALE","OK"))</f>
        <v/>
      </c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2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2" t="str">
        <f t="shared" si="1"/>
        <v/>
      </c>
      <c r="R179" s="2" t="str">
        <f t="shared" si="2"/>
        <v/>
      </c>
      <c r="S179" s="2" t="str">
        <f>IF(OR($B179="",$O179=""),"",IF(AsOfDate-$O179&gt;StaleDays,"STALE","OK"))</f>
        <v/>
      </c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2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2" t="str">
        <f t="shared" si="1"/>
        <v/>
      </c>
      <c r="R180" s="2" t="str">
        <f t="shared" si="2"/>
        <v/>
      </c>
      <c r="S180" s="2" t="str">
        <f>IF(OR($B180="",$O180=""),"",IF(AsOfDate-$O180&gt;StaleDays,"STALE","OK"))</f>
        <v/>
      </c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2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2" t="str">
        <f t="shared" si="1"/>
        <v/>
      </c>
      <c r="R181" s="2" t="str">
        <f t="shared" si="2"/>
        <v/>
      </c>
      <c r="S181" s="2" t="str">
        <f>IF(OR($B181="",$O181=""),"",IF(AsOfDate-$O181&gt;StaleDays,"STALE","OK"))</f>
        <v/>
      </c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2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2" t="str">
        <f t="shared" si="1"/>
        <v/>
      </c>
      <c r="R182" s="2" t="str">
        <f t="shared" si="2"/>
        <v/>
      </c>
      <c r="S182" s="2" t="str">
        <f>IF(OR($B182="",$O182=""),"",IF(AsOfDate-$O182&gt;StaleDays,"STALE","OK"))</f>
        <v/>
      </c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2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2" t="str">
        <f t="shared" si="1"/>
        <v/>
      </c>
      <c r="R183" s="2" t="str">
        <f t="shared" si="2"/>
        <v/>
      </c>
      <c r="S183" s="2" t="str">
        <f>IF(OR($B183="",$O183=""),"",IF(AsOfDate-$O183&gt;StaleDays,"STALE","OK"))</f>
        <v/>
      </c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2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2" t="str">
        <f t="shared" si="1"/>
        <v/>
      </c>
      <c r="R184" s="2" t="str">
        <f t="shared" si="2"/>
        <v/>
      </c>
      <c r="S184" s="2" t="str">
        <f>IF(OR($B184="",$O184=""),"",IF(AsOfDate-$O184&gt;StaleDays,"STALE","OK"))</f>
        <v/>
      </c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2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2" t="str">
        <f t="shared" si="1"/>
        <v/>
      </c>
      <c r="R185" s="2" t="str">
        <f t="shared" si="2"/>
        <v/>
      </c>
      <c r="S185" s="2" t="str">
        <f>IF(OR($B185="",$O185=""),"",IF(AsOfDate-$O185&gt;StaleDays,"STALE","OK"))</f>
        <v/>
      </c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2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2" t="str">
        <f t="shared" si="1"/>
        <v/>
      </c>
      <c r="R186" s="2" t="str">
        <f t="shared" si="2"/>
        <v/>
      </c>
      <c r="S186" s="2" t="str">
        <f>IF(OR($B186="",$O186=""),"",IF(AsOfDate-$O186&gt;StaleDays,"STALE","OK"))</f>
        <v/>
      </c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2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2" t="str">
        <f t="shared" si="1"/>
        <v/>
      </c>
      <c r="R187" s="2" t="str">
        <f t="shared" si="2"/>
        <v/>
      </c>
      <c r="S187" s="2" t="str">
        <f>IF(OR($B187="",$O187=""),"",IF(AsOfDate-$O187&gt;StaleDays,"STALE","OK"))</f>
        <v/>
      </c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2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2" t="str">
        <f t="shared" si="1"/>
        <v/>
      </c>
      <c r="R188" s="2" t="str">
        <f t="shared" si="2"/>
        <v/>
      </c>
      <c r="S188" s="2" t="str">
        <f>IF(OR($B188="",$O188=""),"",IF(AsOfDate-$O188&gt;StaleDays,"STALE","OK"))</f>
        <v/>
      </c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2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2" t="str">
        <f t="shared" si="1"/>
        <v/>
      </c>
      <c r="R189" s="2" t="str">
        <f t="shared" si="2"/>
        <v/>
      </c>
      <c r="S189" s="2" t="str">
        <f>IF(OR($B189="",$O189=""),"",IF(AsOfDate-$O189&gt;StaleDays,"STALE","OK"))</f>
        <v/>
      </c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2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2" t="str">
        <f t="shared" si="1"/>
        <v/>
      </c>
      <c r="R190" s="2" t="str">
        <f t="shared" si="2"/>
        <v/>
      </c>
      <c r="S190" s="2" t="str">
        <f>IF(OR($B190="",$O190=""),"",IF(AsOfDate-$O190&gt;StaleDays,"STALE","OK"))</f>
        <v/>
      </c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2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2" t="str">
        <f t="shared" si="1"/>
        <v/>
      </c>
      <c r="R191" s="2" t="str">
        <f t="shared" si="2"/>
        <v/>
      </c>
      <c r="S191" s="2" t="str">
        <f>IF(OR($B191="",$O191=""),"",IF(AsOfDate-$O191&gt;StaleDays,"STALE","OK"))</f>
        <v/>
      </c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2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2" t="str">
        <f t="shared" si="1"/>
        <v/>
      </c>
      <c r="R192" s="2" t="str">
        <f t="shared" si="2"/>
        <v/>
      </c>
      <c r="S192" s="2" t="str">
        <f>IF(OR($B192="",$O192=""),"",IF(AsOfDate-$O192&gt;StaleDays,"STALE","OK"))</f>
        <v/>
      </c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2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2" t="str">
        <f t="shared" si="1"/>
        <v/>
      </c>
      <c r="R193" s="2" t="str">
        <f t="shared" si="2"/>
        <v/>
      </c>
      <c r="S193" s="2" t="str">
        <f>IF(OR($B193="",$O193=""),"",IF(AsOfDate-$O193&gt;StaleDays,"STALE","OK"))</f>
        <v/>
      </c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2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2" t="str">
        <f t="shared" si="1"/>
        <v/>
      </c>
      <c r="R194" s="2" t="str">
        <f t="shared" si="2"/>
        <v/>
      </c>
      <c r="S194" s="2" t="str">
        <f>IF(OR($B194="",$O194=""),"",IF(AsOfDate-$O194&gt;StaleDays,"STALE","OK"))</f>
        <v/>
      </c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2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2" t="str">
        <f t="shared" si="1"/>
        <v/>
      </c>
      <c r="R195" s="2" t="str">
        <f t="shared" si="2"/>
        <v/>
      </c>
      <c r="S195" s="2" t="str">
        <f>IF(OR($B195="",$O195=""),"",IF(AsOfDate-$O195&gt;StaleDays,"STALE","OK"))</f>
        <v/>
      </c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2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2" t="str">
        <f t="shared" si="1"/>
        <v/>
      </c>
      <c r="R196" s="2" t="str">
        <f t="shared" si="2"/>
        <v/>
      </c>
      <c r="S196" s="2" t="str">
        <f>IF(OR($B196="",$O196=""),"",IF(AsOfDate-$O196&gt;StaleDays,"STALE","OK"))</f>
        <v/>
      </c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2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2" t="str">
        <f t="shared" si="1"/>
        <v/>
      </c>
      <c r="R197" s="2" t="str">
        <f t="shared" si="2"/>
        <v/>
      </c>
      <c r="S197" s="2" t="str">
        <f>IF(OR($B197="",$O197=""),"",IF(AsOfDate-$O197&gt;StaleDays,"STALE","OK"))</f>
        <v/>
      </c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2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2" t="str">
        <f t="shared" si="1"/>
        <v/>
      </c>
      <c r="R198" s="2" t="str">
        <f t="shared" si="2"/>
        <v/>
      </c>
      <c r="S198" s="2" t="str">
        <f>IF(OR($B198="",$O198=""),"",IF(AsOfDate-$O198&gt;StaleDays,"STALE","OK"))</f>
        <v/>
      </c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2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2" t="str">
        <f t="shared" si="1"/>
        <v/>
      </c>
      <c r="R199" s="2" t="str">
        <f t="shared" si="2"/>
        <v/>
      </c>
      <c r="S199" s="2" t="str">
        <f>IF(OR($B199="",$O199=""),"",IF(AsOfDate-$O199&gt;StaleDays,"STALE","OK"))</f>
        <v/>
      </c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2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2" t="str">
        <f t="shared" si="1"/>
        <v/>
      </c>
      <c r="R200" s="2" t="str">
        <f t="shared" si="2"/>
        <v/>
      </c>
      <c r="S200" s="2" t="str">
        <f>IF(OR($B200="",$O200=""),"",IF(AsOfDate-$O200&gt;StaleDays,"STALE","OK"))</f>
        <v/>
      </c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2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2" t="str">
        <f t="shared" si="1"/>
        <v/>
      </c>
      <c r="R201" s="2" t="str">
        <f t="shared" si="2"/>
        <v/>
      </c>
      <c r="S201" s="2" t="str">
        <f>IF(OR($B201="",$O201=""),"",IF(AsOfDate-$O201&gt;StaleDays,"STALE","OK"))</f>
        <v/>
      </c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2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2" t="str">
        <f t="shared" si="1"/>
        <v/>
      </c>
      <c r="R202" s="2" t="str">
        <f t="shared" si="2"/>
        <v/>
      </c>
      <c r="S202" s="2" t="str">
        <f>IF(OR($B202="",$O202=""),"",IF(AsOfDate-$O202&gt;StaleDays,"STALE","OK"))</f>
        <v/>
      </c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2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2" t="str">
        <f t="shared" si="1"/>
        <v/>
      </c>
      <c r="R203" s="2" t="str">
        <f t="shared" si="2"/>
        <v/>
      </c>
      <c r="S203" s="2" t="str">
        <f>IF(OR($B203="",$O203=""),"",IF(AsOfDate-$O203&gt;StaleDays,"STALE","OK"))</f>
        <v/>
      </c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2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2" t="str">
        <f t="shared" si="1"/>
        <v/>
      </c>
      <c r="R204" s="2" t="str">
        <f t="shared" si="2"/>
        <v/>
      </c>
      <c r="S204" s="2" t="str">
        <f>IF(OR($B204="",$O204=""),"",IF(AsOfDate-$O204&gt;StaleDays,"STALE","OK"))</f>
        <v/>
      </c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2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2" t="str">
        <f t="shared" si="1"/>
        <v/>
      </c>
      <c r="R205" s="2" t="str">
        <f t="shared" si="2"/>
        <v/>
      </c>
      <c r="S205" s="2" t="str">
        <f>IF(OR($B205="",$O205=""),"",IF(AsOfDate-$O205&gt;StaleDays,"STALE","OK"))</f>
        <v/>
      </c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2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2" t="str">
        <f t="shared" si="1"/>
        <v/>
      </c>
      <c r="R206" s="2" t="str">
        <f t="shared" si="2"/>
        <v/>
      </c>
      <c r="S206" s="2" t="str">
        <f>IF(OR($B206="",$O206=""),"",IF(AsOfDate-$O206&gt;StaleDays,"STALE","OK"))</f>
        <v/>
      </c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2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2" t="str">
        <f t="shared" si="1"/>
        <v/>
      </c>
      <c r="R207" s="2" t="str">
        <f t="shared" si="2"/>
        <v/>
      </c>
      <c r="S207" s="2" t="str">
        <f>IF(OR($B207="",$O207=""),"",IF(AsOfDate-$O207&gt;StaleDays,"STALE","OK"))</f>
        <v/>
      </c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2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2" t="str">
        <f t="shared" si="1"/>
        <v/>
      </c>
      <c r="R208" s="2" t="str">
        <f t="shared" si="2"/>
        <v/>
      </c>
      <c r="S208" s="2" t="str">
        <f>IF(OR($B208="",$O208=""),"",IF(AsOfDate-$O208&gt;StaleDays,"STALE","OK"))</f>
        <v/>
      </c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2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2" t="str">
        <f t="shared" si="1"/>
        <v/>
      </c>
      <c r="R209" s="2" t="str">
        <f t="shared" si="2"/>
        <v/>
      </c>
      <c r="S209" s="2" t="str">
        <f>IF(OR($B209="",$O209=""),"",IF(AsOfDate-$O209&gt;StaleDays,"STALE","OK"))</f>
        <v/>
      </c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2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2" t="str">
        <f t="shared" si="1"/>
        <v/>
      </c>
      <c r="R210" s="2" t="str">
        <f t="shared" si="2"/>
        <v/>
      </c>
      <c r="S210" s="2" t="str">
        <f>IF(OR($B210="",$O210=""),"",IF(AsOfDate-$O210&gt;StaleDays,"STALE","OK"))</f>
        <v/>
      </c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2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2" t="str">
        <f t="shared" si="1"/>
        <v/>
      </c>
      <c r="R211" s="2" t="str">
        <f t="shared" si="2"/>
        <v/>
      </c>
      <c r="S211" s="2" t="str">
        <f>IF(OR($B211="",$O211=""),"",IF(AsOfDate-$O211&gt;StaleDays,"STALE","OK"))</f>
        <v/>
      </c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2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2" t="str">
        <f t="shared" si="1"/>
        <v/>
      </c>
      <c r="R212" s="2" t="str">
        <f t="shared" si="2"/>
        <v/>
      </c>
      <c r="S212" s="2" t="str">
        <f>IF(OR($B212="",$O212=""),"",IF(AsOfDate-$O212&gt;StaleDays,"STALE","OK"))</f>
        <v/>
      </c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2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2" t="str">
        <f t="shared" si="1"/>
        <v/>
      </c>
      <c r="R213" s="2" t="str">
        <f t="shared" si="2"/>
        <v/>
      </c>
      <c r="S213" s="2" t="str">
        <f>IF(OR($B213="",$O213=""),"",IF(AsOfDate-$O213&gt;StaleDays,"STALE","OK"))</f>
        <v/>
      </c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2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2" t="str">
        <f t="shared" si="1"/>
        <v/>
      </c>
      <c r="R214" s="2" t="str">
        <f t="shared" si="2"/>
        <v/>
      </c>
      <c r="S214" s="2" t="str">
        <f>IF(OR($B214="",$O214=""),"",IF(AsOfDate-$O214&gt;StaleDays,"STALE","OK"))</f>
        <v/>
      </c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2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2" t="str">
        <f t="shared" si="1"/>
        <v/>
      </c>
      <c r="R215" s="2" t="str">
        <f t="shared" si="2"/>
        <v/>
      </c>
      <c r="S215" s="2" t="str">
        <f>IF(OR($B215="",$O215=""),"",IF(AsOfDate-$O215&gt;StaleDays,"STALE","OK"))</f>
        <v/>
      </c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2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2" t="str">
        <f t="shared" si="1"/>
        <v/>
      </c>
      <c r="R216" s="2" t="str">
        <f t="shared" si="2"/>
        <v/>
      </c>
      <c r="S216" s="2" t="str">
        <f>IF(OR($B216="",$O216=""),"",IF(AsOfDate-$O216&gt;StaleDays,"STALE","OK"))</f>
        <v/>
      </c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2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2" t="str">
        <f t="shared" si="1"/>
        <v/>
      </c>
      <c r="R217" s="2" t="str">
        <f t="shared" si="2"/>
        <v/>
      </c>
      <c r="S217" s="2" t="str">
        <f>IF(OR($B217="",$O217=""),"",IF(AsOfDate-$O217&gt;StaleDays,"STALE","OK"))</f>
        <v/>
      </c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2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2" t="str">
        <f t="shared" si="1"/>
        <v/>
      </c>
      <c r="R218" s="2" t="str">
        <f t="shared" si="2"/>
        <v/>
      </c>
      <c r="S218" s="2" t="str">
        <f>IF(OR($B218="",$O218=""),"",IF(AsOfDate-$O218&gt;StaleDays,"STALE","OK"))</f>
        <v/>
      </c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2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2" t="str">
        <f t="shared" si="1"/>
        <v/>
      </c>
      <c r="R219" s="2" t="str">
        <f t="shared" si="2"/>
        <v/>
      </c>
      <c r="S219" s="2" t="str">
        <f>IF(OR($B219="",$O219=""),"",IF(AsOfDate-$O219&gt;StaleDays,"STALE","OK"))</f>
        <v/>
      </c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2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2" t="str">
        <f t="shared" si="1"/>
        <v/>
      </c>
      <c r="R220" s="2" t="str">
        <f t="shared" si="2"/>
        <v/>
      </c>
      <c r="S220" s="2" t="str">
        <f>IF(OR($B220="",$O220=""),"",IF(AsOfDate-$O220&gt;StaleDays,"STALE","OK"))</f>
        <v/>
      </c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2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2" t="str">
        <f t="shared" si="1"/>
        <v/>
      </c>
      <c r="R221" s="2" t="str">
        <f t="shared" si="2"/>
        <v/>
      </c>
      <c r="S221" s="2" t="str">
        <f>IF(OR($B221="",$O221=""),"",IF(AsOfDate-$O221&gt;StaleDays,"STALE","OK"))</f>
        <v/>
      </c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2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2" t="str">
        <f t="shared" si="1"/>
        <v/>
      </c>
      <c r="R222" s="2" t="str">
        <f t="shared" si="2"/>
        <v/>
      </c>
      <c r="S222" s="2" t="str">
        <f>IF(OR($B222="",$O222=""),"",IF(AsOfDate-$O222&gt;StaleDays,"STALE","OK"))</f>
        <v/>
      </c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2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2" t="str">
        <f t="shared" si="1"/>
        <v/>
      </c>
      <c r="R223" s="2" t="str">
        <f t="shared" si="2"/>
        <v/>
      </c>
      <c r="S223" s="2" t="str">
        <f>IF(OR($B223="",$O223=""),"",IF(AsOfDate-$O223&gt;StaleDays,"STALE","OK"))</f>
        <v/>
      </c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2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2" t="str">
        <f t="shared" si="1"/>
        <v/>
      </c>
      <c r="R224" s="2" t="str">
        <f t="shared" si="2"/>
        <v/>
      </c>
      <c r="S224" s="2" t="str">
        <f>IF(OR($B224="",$O224=""),"",IF(AsOfDate-$O224&gt;StaleDays,"STALE","OK"))</f>
        <v/>
      </c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2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2" t="str">
        <f t="shared" si="1"/>
        <v/>
      </c>
      <c r="R225" s="2" t="str">
        <f t="shared" si="2"/>
        <v/>
      </c>
      <c r="S225" s="2" t="str">
        <f>IF(OR($B225="",$O225=""),"",IF(AsOfDate-$O225&gt;StaleDays,"STALE","OK"))</f>
        <v/>
      </c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2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2" t="str">
        <f t="shared" si="1"/>
        <v/>
      </c>
      <c r="R226" s="2" t="str">
        <f t="shared" si="2"/>
        <v/>
      </c>
      <c r="S226" s="2" t="str">
        <f>IF(OR($B226="",$O226=""),"",IF(AsOfDate-$O226&gt;StaleDays,"STALE","OK"))</f>
        <v/>
      </c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2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2" t="str">
        <f t="shared" si="1"/>
        <v/>
      </c>
      <c r="R227" s="2" t="str">
        <f t="shared" si="2"/>
        <v/>
      </c>
      <c r="S227" s="2" t="str">
        <f>IF(OR($B227="",$O227=""),"",IF(AsOfDate-$O227&gt;StaleDays,"STALE","OK"))</f>
        <v/>
      </c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2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2" t="str">
        <f t="shared" si="1"/>
        <v/>
      </c>
      <c r="R228" s="2" t="str">
        <f t="shared" si="2"/>
        <v/>
      </c>
      <c r="S228" s="2" t="str">
        <f>IF(OR($B228="",$O228=""),"",IF(AsOfDate-$O228&gt;StaleDays,"STALE","OK"))</f>
        <v/>
      </c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2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2" t="str">
        <f t="shared" si="1"/>
        <v/>
      </c>
      <c r="R229" s="2" t="str">
        <f t="shared" si="2"/>
        <v/>
      </c>
      <c r="S229" s="2" t="str">
        <f>IF(OR($B229="",$O229=""),"",IF(AsOfDate-$O229&gt;StaleDays,"STALE","OK"))</f>
        <v/>
      </c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2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2" t="str">
        <f t="shared" si="1"/>
        <v/>
      </c>
      <c r="R230" s="2" t="str">
        <f t="shared" si="2"/>
        <v/>
      </c>
      <c r="S230" s="2" t="str">
        <f>IF(OR($B230="",$O230=""),"",IF(AsOfDate-$O230&gt;StaleDays,"STALE","OK"))</f>
        <v/>
      </c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2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2" t="str">
        <f t="shared" si="1"/>
        <v/>
      </c>
      <c r="R231" s="2" t="str">
        <f t="shared" si="2"/>
        <v/>
      </c>
      <c r="S231" s="2" t="str">
        <f>IF(OR($B231="",$O231=""),"",IF(AsOfDate-$O231&gt;StaleDays,"STALE","OK"))</f>
        <v/>
      </c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2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2" t="str">
        <f t="shared" si="1"/>
        <v/>
      </c>
      <c r="R232" s="2" t="str">
        <f t="shared" si="2"/>
        <v/>
      </c>
      <c r="S232" s="2" t="str">
        <f>IF(OR($B232="",$O232=""),"",IF(AsOfDate-$O232&gt;StaleDays,"STALE","OK"))</f>
        <v/>
      </c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2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2" t="str">
        <f t="shared" si="1"/>
        <v/>
      </c>
      <c r="R233" s="2" t="str">
        <f t="shared" si="2"/>
        <v/>
      </c>
      <c r="S233" s="2" t="str">
        <f>IF(OR($B233="",$O233=""),"",IF(AsOfDate-$O233&gt;StaleDays,"STALE","OK"))</f>
        <v/>
      </c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2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2" t="str">
        <f t="shared" si="1"/>
        <v/>
      </c>
      <c r="R234" s="2" t="str">
        <f t="shared" si="2"/>
        <v/>
      </c>
      <c r="S234" s="2" t="str">
        <f>IF(OR($B234="",$O234=""),"",IF(AsOfDate-$O234&gt;StaleDays,"STALE","OK"))</f>
        <v/>
      </c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2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2" t="str">
        <f t="shared" si="1"/>
        <v/>
      </c>
      <c r="R235" s="2" t="str">
        <f t="shared" si="2"/>
        <v/>
      </c>
      <c r="S235" s="2" t="str">
        <f>IF(OR($B235="",$O235=""),"",IF(AsOfDate-$O235&gt;StaleDays,"STALE","OK"))</f>
        <v/>
      </c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2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2" t="str">
        <f t="shared" si="1"/>
        <v/>
      </c>
      <c r="R236" s="2" t="str">
        <f t="shared" si="2"/>
        <v/>
      </c>
      <c r="S236" s="2" t="str">
        <f>IF(OR($B236="",$O236=""),"",IF(AsOfDate-$O236&gt;StaleDays,"STALE","OK"))</f>
        <v/>
      </c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2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2" t="str">
        <f t="shared" si="1"/>
        <v/>
      </c>
      <c r="R237" s="2" t="str">
        <f t="shared" si="2"/>
        <v/>
      </c>
      <c r="S237" s="2" t="str">
        <f>IF(OR($B237="",$O237=""),"",IF(AsOfDate-$O237&gt;StaleDays,"STALE","OK"))</f>
        <v/>
      </c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2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2" t="str">
        <f t="shared" si="1"/>
        <v/>
      </c>
      <c r="R238" s="2" t="str">
        <f t="shared" si="2"/>
        <v/>
      </c>
      <c r="S238" s="2" t="str">
        <f>IF(OR($B238="",$O238=""),"",IF(AsOfDate-$O238&gt;StaleDays,"STALE","OK"))</f>
        <v/>
      </c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2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2" t="str">
        <f t="shared" si="1"/>
        <v/>
      </c>
      <c r="R239" s="2" t="str">
        <f t="shared" si="2"/>
        <v/>
      </c>
      <c r="S239" s="2" t="str">
        <f>IF(OR($B239="",$O239=""),"",IF(AsOfDate-$O239&gt;StaleDays,"STALE","OK"))</f>
        <v/>
      </c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2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2" t="str">
        <f t="shared" si="1"/>
        <v/>
      </c>
      <c r="R240" s="2" t="str">
        <f t="shared" si="2"/>
        <v/>
      </c>
      <c r="S240" s="2" t="str">
        <f>IF(OR($B240="",$O240=""),"",IF(AsOfDate-$O240&gt;StaleDays,"STALE","OK"))</f>
        <v/>
      </c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2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2" t="str">
        <f t="shared" si="1"/>
        <v/>
      </c>
      <c r="R241" s="2" t="str">
        <f t="shared" si="2"/>
        <v/>
      </c>
      <c r="S241" s="2" t="str">
        <f>IF(OR($B241="",$O241=""),"",IF(AsOfDate-$O241&gt;StaleDays,"STALE","OK"))</f>
        <v/>
      </c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2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2" t="str">
        <f t="shared" si="1"/>
        <v/>
      </c>
      <c r="R242" s="2" t="str">
        <f t="shared" si="2"/>
        <v/>
      </c>
      <c r="S242" s="2" t="str">
        <f>IF(OR($B242="",$O242=""),"",IF(AsOfDate-$O242&gt;StaleDays,"STALE","OK"))</f>
        <v/>
      </c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2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2" t="str">
        <f t="shared" si="1"/>
        <v/>
      </c>
      <c r="R243" s="2" t="str">
        <f t="shared" si="2"/>
        <v/>
      </c>
      <c r="S243" s="2" t="str">
        <f>IF(OR($B243="",$O243=""),"",IF(AsOfDate-$O243&gt;StaleDays,"STALE","OK"))</f>
        <v/>
      </c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2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2" t="str">
        <f t="shared" si="1"/>
        <v/>
      </c>
      <c r="R244" s="2" t="str">
        <f t="shared" si="2"/>
        <v/>
      </c>
      <c r="S244" s="2" t="str">
        <f>IF(OR($B244="",$O244=""),"",IF(AsOfDate-$O244&gt;StaleDays,"STALE","OK"))</f>
        <v/>
      </c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2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2" t="str">
        <f t="shared" si="1"/>
        <v/>
      </c>
      <c r="R245" s="2" t="str">
        <f t="shared" si="2"/>
        <v/>
      </c>
      <c r="S245" s="2" t="str">
        <f>IF(OR($B245="",$O245=""),"",IF(AsOfDate-$O245&gt;StaleDays,"STALE","OK"))</f>
        <v/>
      </c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2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2" t="str">
        <f t="shared" si="1"/>
        <v/>
      </c>
      <c r="R246" s="2" t="str">
        <f t="shared" si="2"/>
        <v/>
      </c>
      <c r="S246" s="2" t="str">
        <f>IF(OR($B246="",$O246=""),"",IF(AsOfDate-$O246&gt;StaleDays,"STALE","OK"))</f>
        <v/>
      </c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2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2" t="str">
        <f t="shared" si="1"/>
        <v/>
      </c>
      <c r="R247" s="2" t="str">
        <f t="shared" si="2"/>
        <v/>
      </c>
      <c r="S247" s="2" t="str">
        <f>IF(OR($B247="",$O247=""),"",IF(AsOfDate-$O247&gt;StaleDays,"STALE","OK"))</f>
        <v/>
      </c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2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2" t="str">
        <f t="shared" si="1"/>
        <v/>
      </c>
      <c r="R248" s="2" t="str">
        <f t="shared" si="2"/>
        <v/>
      </c>
      <c r="S248" s="2" t="str">
        <f>IF(OR($B248="",$O248=""),"",IF(AsOfDate-$O248&gt;StaleDays,"STALE","OK"))</f>
        <v/>
      </c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2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2" t="str">
        <f t="shared" si="1"/>
        <v/>
      </c>
      <c r="R249" s="2" t="str">
        <f t="shared" si="2"/>
        <v/>
      </c>
      <c r="S249" s="2" t="str">
        <f>IF(OR($B249="",$O249=""),"",IF(AsOfDate-$O249&gt;StaleDays,"STALE","OK"))</f>
        <v/>
      </c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2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2" t="str">
        <f t="shared" si="1"/>
        <v/>
      </c>
      <c r="R250" s="2" t="str">
        <f t="shared" si="2"/>
        <v/>
      </c>
      <c r="S250" s="2" t="str">
        <f>IF(OR($B250="",$O250=""),"",IF(AsOfDate-$O250&gt;StaleDays,"STALE","OK"))</f>
        <v/>
      </c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2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2" t="str">
        <f t="shared" si="1"/>
        <v/>
      </c>
      <c r="R251" s="2" t="str">
        <f t="shared" si="2"/>
        <v/>
      </c>
      <c r="S251" s="2" t="str">
        <f>IF(OR($B251="",$O251=""),"",IF(AsOfDate-$O251&gt;StaleDays,"STALE","OK"))</f>
        <v/>
      </c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2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2" t="str">
        <f t="shared" si="1"/>
        <v/>
      </c>
      <c r="R252" s="2" t="str">
        <f t="shared" si="2"/>
        <v/>
      </c>
      <c r="S252" s="2" t="str">
        <f>IF(OR($B252="",$O252=""),"",IF(AsOfDate-$O252&gt;StaleDays,"STALE","OK"))</f>
        <v/>
      </c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2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2" t="str">
        <f t="shared" si="1"/>
        <v/>
      </c>
      <c r="R253" s="2" t="str">
        <f t="shared" si="2"/>
        <v/>
      </c>
      <c r="S253" s="2" t="str">
        <f>IF(OR($B253="",$O253=""),"",IF(AsOfDate-$O253&gt;StaleDays,"STALE","OK"))</f>
        <v/>
      </c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2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2" t="str">
        <f t="shared" si="1"/>
        <v/>
      </c>
      <c r="R254" s="2" t="str">
        <f t="shared" si="2"/>
        <v/>
      </c>
      <c r="S254" s="2" t="str">
        <f>IF(OR($B254="",$O254=""),"",IF(AsOfDate-$O254&gt;StaleDays,"STALE","OK"))</f>
        <v/>
      </c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2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2" t="str">
        <f t="shared" si="1"/>
        <v/>
      </c>
      <c r="R255" s="2" t="str">
        <f t="shared" si="2"/>
        <v/>
      </c>
      <c r="S255" s="2" t="str">
        <f>IF(OR($B255="",$O255=""),"",IF(AsOfDate-$O255&gt;StaleDays,"STALE","OK"))</f>
        <v/>
      </c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2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2" t="str">
        <f t="shared" si="1"/>
        <v/>
      </c>
      <c r="R256" s="2" t="str">
        <f t="shared" si="2"/>
        <v/>
      </c>
      <c r="S256" s="2" t="str">
        <f>IF(OR($B256="",$O256=""),"",IF(AsOfDate-$O256&gt;StaleDays,"STALE","OK"))</f>
        <v/>
      </c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2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2" t="str">
        <f t="shared" si="1"/>
        <v/>
      </c>
      <c r="R257" s="2" t="str">
        <f t="shared" si="2"/>
        <v/>
      </c>
      <c r="S257" s="2" t="str">
        <f>IF(OR($B257="",$O257=""),"",IF(AsOfDate-$O257&gt;StaleDays,"STALE","OK"))</f>
        <v/>
      </c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2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2" t="str">
        <f t="shared" si="1"/>
        <v/>
      </c>
      <c r="R258" s="2" t="str">
        <f t="shared" si="2"/>
        <v/>
      </c>
      <c r="S258" s="2" t="str">
        <f>IF(OR($B258="",$O258=""),"",IF(AsOfDate-$O258&gt;StaleDays,"STALE","OK"))</f>
        <v/>
      </c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2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2" t="str">
        <f t="shared" si="1"/>
        <v/>
      </c>
      <c r="R259" s="2" t="str">
        <f t="shared" si="2"/>
        <v/>
      </c>
      <c r="S259" s="2" t="str">
        <f>IF(OR($B259="",$O259=""),"",IF(AsOfDate-$O259&gt;StaleDays,"STALE","OK"))</f>
        <v/>
      </c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2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2" t="str">
        <f t="shared" si="1"/>
        <v/>
      </c>
      <c r="R260" s="2" t="str">
        <f t="shared" si="2"/>
        <v/>
      </c>
      <c r="S260" s="2" t="str">
        <f>IF(OR($B260="",$O260=""),"",IF(AsOfDate-$O260&gt;StaleDays,"STALE","OK"))</f>
        <v/>
      </c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2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1" t="s">
        <v>132</v>
      </c>
      <c r="H261" s="11">
        <v>4.5</v>
      </c>
      <c r="I261" s="11">
        <v>43.5</v>
      </c>
      <c r="J261" s="11"/>
      <c r="K261" s="11"/>
      <c r="L261" s="11"/>
      <c r="M261" s="11"/>
      <c r="N261" s="11" t="s">
        <v>133</v>
      </c>
      <c r="O261" s="11" t="s">
        <v>134</v>
      </c>
      <c r="P261" s="11" t="s">
        <v>135</v>
      </c>
      <c r="Q261" s="2" t="str">
        <f t="shared" si="1"/>
        <v/>
      </c>
      <c r="R261" s="2" t="str">
        <f t="shared" si="2"/>
        <v>⚠ FAVORITE NOT IN GAME</v>
      </c>
      <c r="S261" s="2" t="str">
        <f>IF(OR($B261="",$O261=""),"",IF(AsOfDate-$O261&gt;StaleDays,"STALE","OK"))</f>
        <v>STALE</v>
      </c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2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1" t="s">
        <v>136</v>
      </c>
      <c r="H262" s="11">
        <v>12.5</v>
      </c>
      <c r="I262" s="11">
        <v>39.5</v>
      </c>
      <c r="J262" s="11"/>
      <c r="K262" s="11"/>
      <c r="L262" s="11"/>
      <c r="M262" s="11"/>
      <c r="N262" s="11" t="s">
        <v>133</v>
      </c>
      <c r="O262" s="11" t="s">
        <v>134</v>
      </c>
      <c r="P262" s="11" t="s">
        <v>135</v>
      </c>
      <c r="Q262" s="2" t="str">
        <f t="shared" si="1"/>
        <v/>
      </c>
      <c r="R262" s="2" t="str">
        <f t="shared" si="2"/>
        <v>⚠ FAVORITE NOT IN GAME</v>
      </c>
      <c r="S262" s="2" t="str">
        <f>IF(OR($B262="",$O262=""),"",IF(AsOfDate-$O262&gt;StaleDays,"STALE","OK"))</f>
        <v>STALE</v>
      </c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2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1" t="s">
        <v>137</v>
      </c>
      <c r="H263" s="11">
        <v>3.5</v>
      </c>
      <c r="I263" s="11">
        <v>51.5</v>
      </c>
      <c r="J263" s="11"/>
      <c r="K263" s="11"/>
      <c r="L263" s="11"/>
      <c r="M263" s="11"/>
      <c r="N263" s="11" t="s">
        <v>133</v>
      </c>
      <c r="O263" s="11" t="s">
        <v>134</v>
      </c>
      <c r="P263" s="11" t="s">
        <v>135</v>
      </c>
      <c r="Q263" s="2" t="str">
        <f t="shared" si="1"/>
        <v/>
      </c>
      <c r="R263" s="2" t="str">
        <f t="shared" si="2"/>
        <v>⚠ FAVORITE NOT IN GAME</v>
      </c>
      <c r="S263" s="2" t="str">
        <f>IF(OR($B263="",$O263=""),"",IF(AsOfDate-$O263&gt;StaleDays,"STALE","OK"))</f>
        <v>STALE</v>
      </c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2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1" t="s">
        <v>138</v>
      </c>
      <c r="H264" s="11">
        <v>9.5</v>
      </c>
      <c r="I264" s="11">
        <v>47.5</v>
      </c>
      <c r="J264" s="11"/>
      <c r="K264" s="11"/>
      <c r="L264" s="11"/>
      <c r="M264" s="11"/>
      <c r="N264" s="11" t="s">
        <v>133</v>
      </c>
      <c r="O264" s="11" t="s">
        <v>134</v>
      </c>
      <c r="P264" s="11" t="s">
        <v>135</v>
      </c>
      <c r="Q264" s="2" t="str">
        <f t="shared" si="1"/>
        <v/>
      </c>
      <c r="R264" s="2" t="str">
        <f t="shared" si="2"/>
        <v>⚠ FAVORITE NOT IN GAME</v>
      </c>
      <c r="S264" s="2" t="str">
        <f>IF(OR($B264="",$O264=""),"",IF(AsOfDate-$O264&gt;StaleDays,"STALE","OK"))</f>
        <v>STALE</v>
      </c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2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1" t="s">
        <v>139</v>
      </c>
      <c r="H265" s="11">
        <v>14.5</v>
      </c>
      <c r="I265" s="11">
        <v>37.5</v>
      </c>
      <c r="J265" s="11"/>
      <c r="K265" s="11"/>
      <c r="L265" s="11"/>
      <c r="M265" s="11"/>
      <c r="N265" s="11" t="s">
        <v>133</v>
      </c>
      <c r="O265" s="11" t="s">
        <v>134</v>
      </c>
      <c r="P265" s="11" t="s">
        <v>135</v>
      </c>
      <c r="Q265" s="2" t="str">
        <f t="shared" si="1"/>
        <v/>
      </c>
      <c r="R265" s="2" t="str">
        <f t="shared" si="2"/>
        <v>⚠ FAVORITE NOT IN GAME</v>
      </c>
      <c r="S265" s="2" t="str">
        <f>IF(OR($B265="",$O265=""),"",IF(AsOfDate-$O265&gt;StaleDays,"STALE","OK"))</f>
        <v>STALE</v>
      </c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2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1" t="s">
        <v>140</v>
      </c>
      <c r="H266" s="11">
        <v>9.5</v>
      </c>
      <c r="I266" s="11">
        <v>37.5</v>
      </c>
      <c r="J266" s="11"/>
      <c r="K266" s="11"/>
      <c r="L266" s="11"/>
      <c r="M266" s="11"/>
      <c r="N266" s="11" t="s">
        <v>133</v>
      </c>
      <c r="O266" s="11" t="s">
        <v>134</v>
      </c>
      <c r="P266" s="11" t="s">
        <v>135</v>
      </c>
      <c r="Q266" s="2" t="str">
        <f t="shared" si="1"/>
        <v/>
      </c>
      <c r="R266" s="2" t="str">
        <f t="shared" si="2"/>
        <v>⚠ FAVORITE NOT IN GAME</v>
      </c>
      <c r="S266" s="2" t="str">
        <f>IF(OR($B266="",$O266=""),"",IF(AsOfDate-$O266&gt;StaleDays,"STALE","OK"))</f>
        <v>STALE</v>
      </c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2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1" t="s">
        <v>141</v>
      </c>
      <c r="H267" s="11">
        <v>12.5</v>
      </c>
      <c r="I267" s="11">
        <v>46.5</v>
      </c>
      <c r="J267" s="11"/>
      <c r="K267" s="11"/>
      <c r="L267" s="11"/>
      <c r="M267" s="11"/>
      <c r="N267" s="11" t="s">
        <v>133</v>
      </c>
      <c r="O267" s="11" t="s">
        <v>134</v>
      </c>
      <c r="P267" s="11" t="s">
        <v>135</v>
      </c>
      <c r="Q267" s="2" t="str">
        <f t="shared" si="1"/>
        <v/>
      </c>
      <c r="R267" s="2" t="str">
        <f t="shared" si="2"/>
        <v>⚠ FAVORITE NOT IN GAME</v>
      </c>
      <c r="S267" s="2" t="str">
        <f>IF(OR($B267="",$O267=""),"",IF(AsOfDate-$O267&gt;StaleDays,"STALE","OK"))</f>
        <v>STALE</v>
      </c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2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1" t="s">
        <v>142</v>
      </c>
      <c r="H268" s="11">
        <v>14.5</v>
      </c>
      <c r="I268" s="11">
        <v>49.5</v>
      </c>
      <c r="J268" s="11"/>
      <c r="K268" s="11"/>
      <c r="L268" s="11"/>
      <c r="M268" s="11"/>
      <c r="N268" s="11" t="s">
        <v>133</v>
      </c>
      <c r="O268" s="11" t="s">
        <v>134</v>
      </c>
      <c r="P268" s="11" t="s">
        <v>135</v>
      </c>
      <c r="Q268" s="2" t="str">
        <f t="shared" si="1"/>
        <v/>
      </c>
      <c r="R268" s="2" t="str">
        <f t="shared" si="2"/>
        <v>⚠ FAVORITE NOT IN GAME</v>
      </c>
      <c r="S268" s="2" t="str">
        <f>IF(OR($B268="",$O268=""),"",IF(AsOfDate-$O268&gt;StaleDays,"STALE","OK"))</f>
        <v>STALE</v>
      </c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2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1" t="s">
        <v>143</v>
      </c>
      <c r="H269" s="11">
        <v>3.5</v>
      </c>
      <c r="I269" s="11">
        <v>36.5</v>
      </c>
      <c r="J269" s="11"/>
      <c r="K269" s="11"/>
      <c r="L269" s="11"/>
      <c r="M269" s="11"/>
      <c r="N269" s="11" t="s">
        <v>133</v>
      </c>
      <c r="O269" s="11" t="s">
        <v>134</v>
      </c>
      <c r="P269" s="11" t="s">
        <v>135</v>
      </c>
      <c r="Q269" s="2" t="str">
        <f t="shared" si="1"/>
        <v/>
      </c>
      <c r="R269" s="2" t="str">
        <f t="shared" si="2"/>
        <v>⚠ FAVORITE NOT IN GAME</v>
      </c>
      <c r="S269" s="2" t="str">
        <f>IF(OR($B269="",$O269=""),"",IF(AsOfDate-$O269&gt;StaleDays,"STALE","OK"))</f>
        <v>STALE</v>
      </c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2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1" t="s">
        <v>144</v>
      </c>
      <c r="H270" s="11">
        <v>12.5</v>
      </c>
      <c r="I270" s="11">
        <v>37.5</v>
      </c>
      <c r="J270" s="11"/>
      <c r="K270" s="11"/>
      <c r="L270" s="11"/>
      <c r="M270" s="11"/>
      <c r="N270" s="11" t="s">
        <v>133</v>
      </c>
      <c r="O270" s="11" t="s">
        <v>134</v>
      </c>
      <c r="P270" s="11" t="s">
        <v>135</v>
      </c>
      <c r="Q270" s="2" t="str">
        <f t="shared" si="1"/>
        <v/>
      </c>
      <c r="R270" s="2" t="str">
        <f t="shared" si="2"/>
        <v>⚠ FAVORITE NOT IN GAME</v>
      </c>
      <c r="S270" s="2" t="str">
        <f>IF(OR($B270="",$O270=""),"",IF(AsOfDate-$O270&gt;StaleDays,"STALE","OK"))</f>
        <v>STALE</v>
      </c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2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1" t="s">
        <v>145</v>
      </c>
      <c r="H271" s="11">
        <v>14.0</v>
      </c>
      <c r="I271" s="11">
        <v>44.5</v>
      </c>
      <c r="J271" s="11"/>
      <c r="K271" s="11"/>
      <c r="L271" s="11"/>
      <c r="M271" s="11"/>
      <c r="N271" s="11" t="s">
        <v>133</v>
      </c>
      <c r="O271" s="11" t="s">
        <v>134</v>
      </c>
      <c r="P271" s="11" t="s">
        <v>135</v>
      </c>
      <c r="Q271" s="2" t="str">
        <f t="shared" si="1"/>
        <v/>
      </c>
      <c r="R271" s="2" t="str">
        <f t="shared" si="2"/>
        <v>⚠ FAVORITE NOT IN GAME</v>
      </c>
      <c r="S271" s="2" t="str">
        <f>IF(OR($B271="",$O271=""),"",IF(AsOfDate-$O271&gt;StaleDays,"STALE","OK"))</f>
        <v>STALE</v>
      </c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2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1" t="s">
        <v>146</v>
      </c>
      <c r="H272" s="11">
        <v>3.0</v>
      </c>
      <c r="I272" s="11">
        <v>50.5</v>
      </c>
      <c r="J272" s="11"/>
      <c r="K272" s="11"/>
      <c r="L272" s="11"/>
      <c r="M272" s="11"/>
      <c r="N272" s="11" t="s">
        <v>133</v>
      </c>
      <c r="O272" s="11" t="s">
        <v>134</v>
      </c>
      <c r="P272" s="11" t="s">
        <v>135</v>
      </c>
      <c r="Q272" s="2" t="str">
        <f t="shared" si="1"/>
        <v/>
      </c>
      <c r="R272" s="2" t="str">
        <f t="shared" si="2"/>
        <v>⚠ FAVORITE NOT IN GAME</v>
      </c>
      <c r="S272" s="2" t="str">
        <f>IF(OR($B272="",$O272=""),"",IF(AsOfDate-$O272&gt;StaleDays,"STALE","OK"))</f>
        <v>STALE</v>
      </c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2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1" t="s">
        <v>147</v>
      </c>
      <c r="H273" s="11">
        <v>3.0</v>
      </c>
      <c r="I273" s="11">
        <v>38.5</v>
      </c>
      <c r="J273" s="11"/>
      <c r="K273" s="11"/>
      <c r="L273" s="11"/>
      <c r="M273" s="11"/>
      <c r="N273" s="11" t="s">
        <v>133</v>
      </c>
      <c r="O273" s="11" t="s">
        <v>134</v>
      </c>
      <c r="P273" s="11" t="s">
        <v>135</v>
      </c>
      <c r="Q273" s="2" t="str">
        <f t="shared" si="1"/>
        <v/>
      </c>
      <c r="R273" s="2" t="str">
        <f t="shared" si="2"/>
        <v>⚠ FAVORITE NOT IN GAME</v>
      </c>
      <c r="S273" s="2" t="str">
        <f>IF(OR($B273="",$O273=""),"",IF(AsOfDate-$O273&gt;StaleDays,"STALE","OK"))</f>
        <v>STALE</v>
      </c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2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1" t="s">
        <v>148</v>
      </c>
      <c r="H274" s="11">
        <v>4.5</v>
      </c>
      <c r="I274" s="11">
        <v>41.5</v>
      </c>
      <c r="J274" s="11"/>
      <c r="K274" s="11"/>
      <c r="L274" s="11"/>
      <c r="M274" s="11"/>
      <c r="N274" s="11" t="s">
        <v>133</v>
      </c>
      <c r="O274" s="11" t="s">
        <v>134</v>
      </c>
      <c r="P274" s="11" t="s">
        <v>135</v>
      </c>
      <c r="Q274" s="2" t="str">
        <f t="shared" si="1"/>
        <v/>
      </c>
      <c r="R274" s="2" t="str">
        <f t="shared" si="2"/>
        <v>⚠ FAVORITE NOT IN GAME</v>
      </c>
      <c r="S274" s="2" t="str">
        <f>IF(OR($B274="",$O274=""),"",IF(AsOfDate-$O274&gt;StaleDays,"STALE","OK"))</f>
        <v>STALE</v>
      </c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2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1" t="s">
        <v>149</v>
      </c>
      <c r="H275" s="11">
        <v>2.5</v>
      </c>
      <c r="I275" s="11">
        <v>47.5</v>
      </c>
      <c r="J275" s="11"/>
      <c r="K275" s="11"/>
      <c r="L275" s="11"/>
      <c r="M275" s="11"/>
      <c r="N275" s="11" t="s">
        <v>133</v>
      </c>
      <c r="O275" s="11" t="s">
        <v>134</v>
      </c>
      <c r="P275" s="11" t="s">
        <v>135</v>
      </c>
      <c r="Q275" s="2" t="str">
        <f t="shared" si="1"/>
        <v/>
      </c>
      <c r="R275" s="2" t="str">
        <f t="shared" si="2"/>
        <v>⚠ FAVORITE NOT IN GAME</v>
      </c>
      <c r="S275" s="2" t="str">
        <f>IF(OR($B275="",$O275=""),"",IF(AsOfDate-$O275&gt;StaleDays,"STALE","OK"))</f>
        <v>STALE</v>
      </c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2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1" t="s">
        <v>150</v>
      </c>
      <c r="H276" s="11">
        <v>3.0</v>
      </c>
      <c r="I276" s="11">
        <v>43.5</v>
      </c>
      <c r="J276" s="11"/>
      <c r="K276" s="11"/>
      <c r="L276" s="11"/>
      <c r="M276" s="11"/>
      <c r="N276" s="11" t="s">
        <v>133</v>
      </c>
      <c r="O276" s="11" t="s">
        <v>134</v>
      </c>
      <c r="P276" s="11" t="s">
        <v>135</v>
      </c>
      <c r="Q276" s="2" t="str">
        <f t="shared" si="1"/>
        <v/>
      </c>
      <c r="R276" s="2" t="str">
        <f t="shared" si="2"/>
        <v>⚠ FAVORITE NOT IN GAME</v>
      </c>
      <c r="S276" s="2" t="str">
        <f>IF(OR($B276="",$O276=""),"",IF(AsOfDate-$O276&gt;StaleDays,"STALE","OK"))</f>
        <v>STALE</v>
      </c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2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2" t="str">
        <f t="shared" si="1"/>
        <v/>
      </c>
      <c r="R277" s="2" t="str">
        <f t="shared" si="2"/>
        <v/>
      </c>
      <c r="S277" s="2" t="str">
        <f>IF(OR($B277="",$O277=""),"",IF(AsOfDate-$O277&gt;StaleDays,"STALE","OK"))</f>
        <v/>
      </c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2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2" t="str">
        <f t="shared" si="1"/>
        <v/>
      </c>
      <c r="R278" s="2" t="str">
        <f t="shared" si="2"/>
        <v/>
      </c>
      <c r="S278" s="2" t="str">
        <f>IF(OR($B278="",$O278=""),"",IF(AsOfDate-$O278&gt;StaleDays,"STALE","OK"))</f>
        <v/>
      </c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2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2" t="str">
        <f t="shared" si="1"/>
        <v/>
      </c>
      <c r="R279" s="2" t="str">
        <f t="shared" si="2"/>
        <v/>
      </c>
      <c r="S279" s="2" t="str">
        <f>IF(OR($B279="",$O279=""),"",IF(AsOfDate-$O279&gt;StaleDays,"STALE","OK"))</f>
        <v/>
      </c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2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2" t="str">
        <f t="shared" si="1"/>
        <v/>
      </c>
      <c r="R280" s="2" t="str">
        <f t="shared" si="2"/>
        <v/>
      </c>
      <c r="S280" s="2" t="str">
        <f>IF(OR($B280="",$O280=""),"",IF(AsOfDate-$O280&gt;StaleDays,"STALE","OK"))</f>
        <v/>
      </c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2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2" t="str">
        <f t="shared" si="1"/>
        <v/>
      </c>
      <c r="R281" s="2" t="str">
        <f t="shared" si="2"/>
        <v/>
      </c>
      <c r="S281" s="2" t="str">
        <f>IF(OR($B281="",$O281=""),"",IF(AsOfDate-$O281&gt;StaleDays,"STALE","OK"))</f>
        <v/>
      </c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2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2" t="str">
        <f t="shared" si="1"/>
        <v/>
      </c>
      <c r="R282" s="2" t="str">
        <f t="shared" si="2"/>
        <v/>
      </c>
      <c r="S282" s="2" t="str">
        <f>IF(OR($B282="",$O282=""),"",IF(AsOfDate-$O282&gt;StaleDays,"STALE","OK"))</f>
        <v/>
      </c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2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2" t="str">
        <f t="shared" si="1"/>
        <v/>
      </c>
      <c r="R283" s="2" t="str">
        <f t="shared" si="2"/>
        <v/>
      </c>
      <c r="S283" s="2" t="str">
        <f>IF(OR($B283="",$O283=""),"",IF(AsOfDate-$O283&gt;StaleDays,"STALE","OK"))</f>
        <v/>
      </c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2" t="str">
        <f t="shared" si="1"/>
        <v/>
      </c>
      <c r="R284" s="2" t="str">
        <f t="shared" si="2"/>
        <v/>
      </c>
      <c r="S284" s="2" t="str">
        <f>IF(OR($B284="",$O284=""),"",IF(AsOfDate-$O284&gt;StaleDays,"STALE","OK"))</f>
        <v/>
      </c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2" t="str">
        <f t="shared" si="1"/>
        <v/>
      </c>
      <c r="R285" s="2" t="str">
        <f t="shared" si="2"/>
        <v/>
      </c>
      <c r="S285" s="2" t="str">
        <f>IF(OR($B285="",$O285=""),"",IF(AsOfDate-$O285&gt;StaleDays,"STALE","OK"))</f>
        <v/>
      </c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2" t="str">
        <f t="shared" si="1"/>
        <v/>
      </c>
      <c r="R286" s="2" t="str">
        <f t="shared" si="2"/>
        <v/>
      </c>
      <c r="S286" s="2" t="str">
        <f>IF(OR($B286="",$O286=""),"",IF(AsOfDate-$O286&gt;StaleDays,"STALE","OK"))</f>
        <v/>
      </c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2" t="str">
        <f t="shared" si="1"/>
        <v/>
      </c>
      <c r="R287" s="2" t="str">
        <f t="shared" si="2"/>
        <v/>
      </c>
      <c r="S287" s="2" t="str">
        <f>IF(OR($B287="",$O287=""),"",IF(AsOfDate-$O287&gt;StaleDays,"STALE","OK"))</f>
        <v/>
      </c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2" t="str">
        <f t="shared" si="1"/>
        <v/>
      </c>
      <c r="R288" s="2" t="str">
        <f t="shared" si="2"/>
        <v/>
      </c>
      <c r="S288" s="2" t="str">
        <f>IF(OR($B288="",$O288=""),"",IF(AsOfDate-$O288&gt;StaleDays,"STALE","OK"))</f>
        <v/>
      </c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2" t="str">
        <f t="shared" si="1"/>
        <v/>
      </c>
      <c r="R289" s="2" t="str">
        <f t="shared" si="2"/>
        <v/>
      </c>
      <c r="S289" s="2" t="str">
        <f>IF(OR($B289="",$O289=""),"",IF(AsOfDate-$O289&gt;StaleDays,"STALE","OK"))</f>
        <v/>
      </c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2" t="str">
        <f t="shared" si="1"/>
        <v/>
      </c>
      <c r="R290" s="2" t="str">
        <f t="shared" si="2"/>
        <v/>
      </c>
      <c r="S290" s="2" t="str">
        <f>IF(OR($B290="",$O290=""),"",IF(AsOfDate-$O290&gt;StaleDays,"STALE","OK"))</f>
        <v/>
      </c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2" t="str">
        <f t="shared" si="1"/>
        <v/>
      </c>
      <c r="R291" s="2" t="str">
        <f t="shared" si="2"/>
        <v/>
      </c>
      <c r="S291" s="2" t="str">
        <f>IF(OR($B291="",$O291=""),"",IF(AsOfDate-$O291&gt;StaleDays,"STALE","OK"))</f>
        <v/>
      </c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2" t="str">
        <f t="shared" si="1"/>
        <v/>
      </c>
      <c r="R292" s="2" t="str">
        <f t="shared" si="2"/>
        <v/>
      </c>
      <c r="S292" s="2" t="str">
        <f>IF(OR($B292="",$O292=""),"",IF(AsOfDate-$O292&gt;StaleDays,"STALE","OK"))</f>
        <v/>
      </c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2" t="str">
        <f t="shared" si="1"/>
        <v/>
      </c>
      <c r="R293" s="2" t="str">
        <f t="shared" si="2"/>
        <v/>
      </c>
      <c r="S293" s="2" t="str">
        <f>IF(OR($B293="",$O293=""),"",IF(AsOfDate-$O293&gt;StaleDays,"STALE","OK"))</f>
        <v/>
      </c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2" t="str">
        <f t="shared" si="1"/>
        <v/>
      </c>
      <c r="R294" s="2" t="str">
        <f t="shared" si="2"/>
        <v/>
      </c>
      <c r="S294" s="2" t="str">
        <f>IF(OR($B294="",$O294=""),"",IF(AsOfDate-$O294&gt;StaleDays,"STALE","OK"))</f>
        <v/>
      </c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2" t="str">
        <f t="shared" si="1"/>
        <v/>
      </c>
      <c r="R295" s="2" t="str">
        <f t="shared" si="2"/>
        <v/>
      </c>
      <c r="S295" s="2" t="str">
        <f>IF(OR($B295="",$O295=""),"",IF(AsOfDate-$O295&gt;StaleDays,"STALE","OK"))</f>
        <v/>
      </c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2" t="str">
        <f t="shared" si="1"/>
        <v/>
      </c>
      <c r="R296" s="2" t="str">
        <f t="shared" si="2"/>
        <v/>
      </c>
      <c r="S296" s="2" t="str">
        <f>IF(OR($B296="",$O296=""),"",IF(AsOfDate-$O296&gt;StaleDays,"STALE","OK"))</f>
        <v/>
      </c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2" t="str">
        <f t="shared" si="1"/>
        <v/>
      </c>
      <c r="R297" s="2" t="str">
        <f t="shared" si="2"/>
        <v/>
      </c>
      <c r="S297" s="2" t="str">
        <f>IF(OR($B297="",$O297=""),"",IF(AsOfDate-$O297&gt;StaleDays,"STALE","OK"))</f>
        <v/>
      </c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2" t="str">
        <f t="shared" si="1"/>
        <v/>
      </c>
      <c r="R298" s="2" t="str">
        <f t="shared" si="2"/>
        <v/>
      </c>
      <c r="S298" s="2" t="str">
        <f>IF(OR($B298="",$O298=""),"",IF(AsOfDate-$O298&gt;StaleDays,"STALE","OK"))</f>
        <v/>
      </c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2" t="str">
        <f t="shared" si="1"/>
        <v/>
      </c>
      <c r="R299" s="2" t="str">
        <f t="shared" si="2"/>
        <v/>
      </c>
      <c r="S299" s="2" t="str">
        <f>IF(OR($B299="",$O299=""),"",IF(AsOfDate-$O299&gt;StaleDays,"STALE","OK"))</f>
        <v/>
      </c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2" t="str">
        <f t="shared" si="1"/>
        <v/>
      </c>
      <c r="R300" s="2" t="str">
        <f t="shared" si="2"/>
        <v/>
      </c>
      <c r="S300" s="2" t="str">
        <f>IF(OR($B300="",$O300=""),"",IF(AsOfDate-$O300&gt;StaleDays,"STALE","OK"))</f>
        <v/>
      </c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2" t="str">
        <f t="shared" si="1"/>
        <v/>
      </c>
      <c r="R301" s="2" t="str">
        <f t="shared" si="2"/>
        <v/>
      </c>
      <c r="S301" s="2" t="str">
        <f>IF(OR($B301="",$O301=""),"",IF(AsOfDate-$O301&gt;StaleDays,"STALE","OK"))</f>
        <v/>
      </c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2" t="str">
        <f t="shared" si="1"/>
        <v/>
      </c>
      <c r="R302" s="2" t="str">
        <f t="shared" si="2"/>
        <v/>
      </c>
      <c r="S302" s="2" t="str">
        <f>IF(OR($B302="",$O302=""),"",IF(AsOfDate-$O302&gt;StaleDays,"STALE","OK"))</f>
        <v/>
      </c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2" t="str">
        <f t="shared" si="1"/>
        <v/>
      </c>
      <c r="R303" s="2" t="str">
        <f t="shared" si="2"/>
        <v/>
      </c>
      <c r="S303" s="2" t="str">
        <f>IF(OR($B303="",$O303=""),"",IF(AsOfDate-$O303&gt;StaleDays,"STALE","OK"))</f>
        <v/>
      </c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2" t="str">
        <f t="shared" si="1"/>
        <v/>
      </c>
      <c r="R304" s="2" t="str">
        <f t="shared" si="2"/>
        <v/>
      </c>
      <c r="S304" s="2" t="str">
        <f>IF(OR($B304="",$O304=""),"",IF(AsOfDate-$O304&gt;StaleDays,"STALE","OK"))</f>
        <v/>
      </c>
    </row>
    <row r="305" ht="15.75" customHeight="1">
      <c r="B305" s="2"/>
      <c r="G305" s="2"/>
      <c r="N305" s="2"/>
      <c r="O305" s="2"/>
      <c r="P305" s="2"/>
      <c r="Q305" s="2"/>
      <c r="R305" s="2"/>
    </row>
    <row r="306" ht="15.75" customHeight="1">
      <c r="B306" s="2"/>
      <c r="G306" s="2"/>
      <c r="N306" s="2"/>
      <c r="O306" s="2"/>
      <c r="P306" s="2"/>
      <c r="Q306" s="2"/>
      <c r="R306" s="2"/>
    </row>
    <row r="307" ht="15.75" customHeight="1">
      <c r="B307" s="2"/>
      <c r="G307" s="2"/>
      <c r="N307" s="2"/>
      <c r="O307" s="2"/>
      <c r="P307" s="2"/>
      <c r="Q307" s="2"/>
      <c r="R307" s="2"/>
    </row>
    <row r="308" ht="15.75" customHeight="1">
      <c r="B308" s="2"/>
      <c r="G308" s="2"/>
      <c r="N308" s="2"/>
      <c r="O308" s="2"/>
      <c r="P308" s="2"/>
      <c r="Q308" s="2"/>
      <c r="R308" s="2"/>
    </row>
    <row r="309" ht="15.75" customHeight="1">
      <c r="B309" s="2"/>
      <c r="G309" s="2"/>
      <c r="N309" s="2"/>
      <c r="O309" s="2"/>
      <c r="P309" s="2"/>
      <c r="Q309" s="2"/>
      <c r="R309" s="2"/>
    </row>
    <row r="310" ht="15.75" customHeight="1">
      <c r="B310" s="2"/>
      <c r="G310" s="2"/>
      <c r="N310" s="2"/>
      <c r="O310" s="2"/>
      <c r="P310" s="2"/>
      <c r="Q310" s="2"/>
      <c r="R310" s="2"/>
    </row>
    <row r="311" ht="15.75" customHeight="1">
      <c r="B311" s="2"/>
      <c r="G311" s="2"/>
      <c r="N311" s="2"/>
      <c r="O311" s="2"/>
      <c r="P311" s="2"/>
      <c r="Q311" s="2"/>
      <c r="R311" s="2"/>
    </row>
    <row r="312" ht="15.75" customHeight="1">
      <c r="B312" s="2"/>
      <c r="G312" s="2"/>
      <c r="N312" s="2"/>
      <c r="O312" s="2"/>
      <c r="P312" s="2"/>
      <c r="Q312" s="2"/>
      <c r="R312" s="2"/>
    </row>
    <row r="313" ht="15.75" customHeight="1">
      <c r="B313" s="2"/>
      <c r="G313" s="2"/>
      <c r="N313" s="2"/>
      <c r="O313" s="2"/>
      <c r="P313" s="2"/>
      <c r="Q313" s="2"/>
      <c r="R313" s="2"/>
    </row>
    <row r="314" ht="15.75" customHeight="1">
      <c r="B314" s="2"/>
      <c r="G314" s="2"/>
      <c r="N314" s="2"/>
      <c r="O314" s="2"/>
      <c r="P314" s="2"/>
      <c r="Q314" s="2"/>
      <c r="R314" s="2"/>
    </row>
    <row r="315" ht="15.75" customHeight="1">
      <c r="B315" s="2"/>
      <c r="G315" s="2"/>
      <c r="N315" s="2"/>
      <c r="O315" s="2"/>
      <c r="P315" s="2"/>
      <c r="Q315" s="2"/>
      <c r="R315" s="2"/>
    </row>
    <row r="316" ht="15.75" customHeight="1">
      <c r="B316" s="2"/>
      <c r="G316" s="2"/>
      <c r="N316" s="2"/>
      <c r="O316" s="2"/>
      <c r="P316" s="2"/>
      <c r="Q316" s="2"/>
      <c r="R316" s="2"/>
    </row>
    <row r="317" ht="15.75" customHeight="1">
      <c r="B317" s="2"/>
      <c r="G317" s="2"/>
      <c r="N317" s="2"/>
      <c r="O317" s="2"/>
      <c r="P317" s="2"/>
      <c r="Q317" s="2"/>
      <c r="R317" s="2"/>
    </row>
    <row r="318" ht="15.75" customHeight="1">
      <c r="B318" s="2"/>
      <c r="G318" s="2"/>
      <c r="N318" s="2"/>
      <c r="O318" s="2"/>
      <c r="P318" s="2"/>
      <c r="Q318" s="2"/>
      <c r="R318" s="2"/>
    </row>
    <row r="319" ht="15.75" customHeight="1">
      <c r="B319" s="2"/>
      <c r="G319" s="2"/>
      <c r="N319" s="2"/>
      <c r="O319" s="2"/>
      <c r="P319" s="2"/>
      <c r="Q319" s="2"/>
      <c r="R319" s="2"/>
    </row>
    <row r="320" ht="15.75" customHeight="1">
      <c r="B320" s="2"/>
      <c r="G320" s="2"/>
      <c r="N320" s="2"/>
      <c r="O320" s="2"/>
      <c r="P320" s="2"/>
      <c r="Q320" s="2"/>
      <c r="R320" s="2"/>
    </row>
    <row r="321" ht="15.75" customHeight="1">
      <c r="B321" s="2"/>
      <c r="G321" s="2"/>
      <c r="N321" s="2"/>
      <c r="O321" s="2"/>
      <c r="P321" s="2"/>
      <c r="Q321" s="2"/>
      <c r="R321" s="2"/>
    </row>
    <row r="322" ht="15.75" customHeight="1">
      <c r="B322" s="2"/>
      <c r="G322" s="2"/>
      <c r="N322" s="2"/>
      <c r="O322" s="2"/>
      <c r="P322" s="2"/>
      <c r="Q322" s="2"/>
      <c r="R322" s="2"/>
    </row>
    <row r="323" ht="15.75" customHeight="1">
      <c r="B323" s="2"/>
      <c r="G323" s="2"/>
      <c r="N323" s="2"/>
      <c r="O323" s="2"/>
      <c r="P323" s="2"/>
      <c r="Q323" s="2"/>
      <c r="R323" s="2"/>
    </row>
    <row r="324" ht="15.75" customHeight="1">
      <c r="B324" s="2"/>
      <c r="G324" s="2"/>
      <c r="N324" s="2"/>
      <c r="O324" s="2"/>
      <c r="P324" s="2"/>
      <c r="Q324" s="2"/>
      <c r="R324" s="2"/>
    </row>
    <row r="325" ht="15.75" customHeight="1">
      <c r="B325" s="2"/>
      <c r="G325" s="2"/>
      <c r="N325" s="2"/>
      <c r="O325" s="2"/>
      <c r="P325" s="2"/>
      <c r="Q325" s="2"/>
      <c r="R325" s="2"/>
    </row>
    <row r="326" ht="15.75" customHeight="1">
      <c r="B326" s="2"/>
      <c r="G326" s="2"/>
      <c r="N326" s="2"/>
      <c r="O326" s="2"/>
      <c r="P326" s="2"/>
      <c r="Q326" s="2"/>
      <c r="R326" s="2"/>
    </row>
    <row r="327" ht="15.75" customHeight="1">
      <c r="B327" s="2"/>
      <c r="G327" s="2"/>
      <c r="N327" s="2"/>
      <c r="O327" s="2"/>
      <c r="P327" s="2"/>
      <c r="Q327" s="2"/>
      <c r="R327" s="2"/>
    </row>
    <row r="328" ht="15.75" customHeight="1">
      <c r="B328" s="2"/>
      <c r="G328" s="2"/>
      <c r="N328" s="2"/>
      <c r="O328" s="2"/>
      <c r="P328" s="2"/>
      <c r="Q328" s="2"/>
      <c r="R328" s="2"/>
    </row>
    <row r="329" ht="15.75" customHeight="1">
      <c r="B329" s="2"/>
      <c r="G329" s="2"/>
      <c r="N329" s="2"/>
      <c r="O329" s="2"/>
      <c r="P329" s="2"/>
      <c r="Q329" s="2"/>
      <c r="R329" s="2"/>
    </row>
    <row r="330" ht="15.75" customHeight="1">
      <c r="B330" s="2"/>
      <c r="G330" s="2"/>
      <c r="N330" s="2"/>
      <c r="O330" s="2"/>
      <c r="P330" s="2"/>
      <c r="Q330" s="2"/>
      <c r="R330" s="2"/>
    </row>
    <row r="331" ht="15.75" customHeight="1">
      <c r="B331" s="2"/>
      <c r="G331" s="2"/>
      <c r="N331" s="2"/>
      <c r="O331" s="2"/>
      <c r="P331" s="2"/>
      <c r="Q331" s="2"/>
      <c r="R331" s="2"/>
    </row>
    <row r="332" ht="15.75" customHeight="1">
      <c r="B332" s="2"/>
      <c r="G332" s="2"/>
      <c r="N332" s="2"/>
      <c r="O332" s="2"/>
      <c r="P332" s="2"/>
      <c r="Q332" s="2"/>
      <c r="R332" s="2"/>
    </row>
    <row r="333" ht="15.75" customHeight="1">
      <c r="B333" s="2"/>
      <c r="G333" s="2"/>
      <c r="N333" s="2"/>
      <c r="O333" s="2"/>
      <c r="P333" s="2"/>
      <c r="Q333" s="2"/>
      <c r="R333" s="2"/>
    </row>
    <row r="334" ht="15.75" customHeight="1">
      <c r="B334" s="2"/>
      <c r="G334" s="2"/>
      <c r="N334" s="2"/>
      <c r="O334" s="2"/>
      <c r="P334" s="2"/>
      <c r="Q334" s="2"/>
      <c r="R334" s="2"/>
    </row>
    <row r="335" ht="15.75" customHeight="1">
      <c r="B335" s="2"/>
      <c r="G335" s="2"/>
      <c r="N335" s="2"/>
      <c r="O335" s="2"/>
      <c r="P335" s="2"/>
      <c r="Q335" s="2"/>
      <c r="R335" s="2"/>
    </row>
    <row r="336" ht="15.75" customHeight="1">
      <c r="B336" s="2"/>
      <c r="G336" s="2"/>
      <c r="N336" s="2"/>
      <c r="O336" s="2"/>
      <c r="P336" s="2"/>
      <c r="Q336" s="2"/>
      <c r="R336" s="2"/>
    </row>
    <row r="337" ht="15.75" customHeight="1">
      <c r="B337" s="2"/>
      <c r="G337" s="2"/>
      <c r="N337" s="2"/>
      <c r="O337" s="2"/>
      <c r="P337" s="2"/>
      <c r="Q337" s="2"/>
      <c r="R337" s="2"/>
    </row>
    <row r="338" ht="15.75" customHeight="1">
      <c r="B338" s="2"/>
      <c r="G338" s="2"/>
      <c r="N338" s="2"/>
      <c r="O338" s="2"/>
      <c r="P338" s="2"/>
      <c r="Q338" s="2"/>
      <c r="R338" s="2"/>
    </row>
    <row r="339" ht="15.75" customHeight="1">
      <c r="B339" s="2"/>
      <c r="G339" s="2"/>
      <c r="N339" s="2"/>
      <c r="O339" s="2"/>
      <c r="P339" s="2"/>
      <c r="Q339" s="2"/>
      <c r="R339" s="2"/>
    </row>
    <row r="340" ht="15.75" customHeight="1">
      <c r="B340" s="2"/>
      <c r="G340" s="2"/>
      <c r="N340" s="2"/>
      <c r="O340" s="2"/>
      <c r="P340" s="2"/>
      <c r="Q340" s="2"/>
      <c r="R340" s="2"/>
    </row>
    <row r="341" ht="15.75" customHeight="1">
      <c r="B341" s="2"/>
      <c r="G341" s="2"/>
      <c r="N341" s="2"/>
      <c r="O341" s="2"/>
      <c r="P341" s="2"/>
      <c r="Q341" s="2"/>
      <c r="R341" s="2"/>
    </row>
    <row r="342" ht="15.75" customHeight="1">
      <c r="B342" s="2"/>
      <c r="G342" s="2"/>
      <c r="N342" s="2"/>
      <c r="O342" s="2"/>
      <c r="P342" s="2"/>
      <c r="Q342" s="2"/>
      <c r="R342" s="2"/>
    </row>
    <row r="343" ht="15.75" customHeight="1">
      <c r="B343" s="2"/>
      <c r="G343" s="2"/>
      <c r="N343" s="2"/>
      <c r="O343" s="2"/>
      <c r="P343" s="2"/>
      <c r="Q343" s="2"/>
      <c r="R343" s="2"/>
    </row>
    <row r="344" ht="15.75" customHeight="1">
      <c r="B344" s="2"/>
      <c r="G344" s="2"/>
      <c r="N344" s="2"/>
      <c r="O344" s="2"/>
      <c r="P344" s="2"/>
      <c r="Q344" s="2"/>
      <c r="R344" s="2"/>
    </row>
    <row r="345" ht="15.75" customHeight="1">
      <c r="B345" s="2"/>
      <c r="G345" s="2"/>
      <c r="N345" s="2"/>
      <c r="O345" s="2"/>
      <c r="P345" s="2"/>
      <c r="Q345" s="2"/>
      <c r="R345" s="2"/>
    </row>
    <row r="346" ht="15.75" customHeight="1">
      <c r="B346" s="2"/>
      <c r="G346" s="2"/>
      <c r="N346" s="2"/>
      <c r="O346" s="2"/>
      <c r="P346" s="2"/>
      <c r="Q346" s="2"/>
      <c r="R346" s="2"/>
    </row>
    <row r="347" ht="15.75" customHeight="1">
      <c r="B347" s="2"/>
      <c r="G347" s="2"/>
      <c r="N347" s="2"/>
      <c r="O347" s="2"/>
      <c r="P347" s="2"/>
      <c r="Q347" s="2"/>
      <c r="R347" s="2"/>
    </row>
    <row r="348" ht="15.75" customHeight="1">
      <c r="B348" s="2"/>
      <c r="G348" s="2"/>
      <c r="N348" s="2"/>
      <c r="O348" s="2"/>
      <c r="P348" s="2"/>
      <c r="Q348" s="2"/>
      <c r="R348" s="2"/>
    </row>
    <row r="349" ht="15.75" customHeight="1">
      <c r="B349" s="2"/>
      <c r="G349" s="2"/>
      <c r="N349" s="2"/>
      <c r="O349" s="2"/>
      <c r="P349" s="2"/>
      <c r="Q349" s="2"/>
      <c r="R349" s="2"/>
    </row>
    <row r="350" ht="15.75" customHeight="1">
      <c r="B350" s="2"/>
      <c r="G350" s="2"/>
      <c r="N350" s="2"/>
      <c r="O350" s="2"/>
      <c r="P350" s="2"/>
      <c r="Q350" s="2"/>
      <c r="R350" s="2"/>
    </row>
    <row r="351" ht="15.75" customHeight="1">
      <c r="B351" s="2"/>
      <c r="G351" s="2"/>
      <c r="N351" s="2"/>
      <c r="O351" s="2"/>
      <c r="P351" s="2"/>
      <c r="Q351" s="2"/>
      <c r="R351" s="2"/>
    </row>
    <row r="352" ht="15.75" customHeight="1">
      <c r="B352" s="2"/>
      <c r="G352" s="2"/>
      <c r="N352" s="2"/>
      <c r="O352" s="2"/>
      <c r="P352" s="2"/>
      <c r="Q352" s="2"/>
      <c r="R352" s="2"/>
    </row>
    <row r="353" ht="15.75" customHeight="1">
      <c r="B353" s="2"/>
      <c r="G353" s="2"/>
      <c r="N353" s="2"/>
      <c r="O353" s="2"/>
      <c r="P353" s="2"/>
      <c r="Q353" s="2"/>
      <c r="R353" s="2"/>
    </row>
    <row r="354" ht="15.75" customHeight="1">
      <c r="B354" s="2"/>
      <c r="G354" s="2"/>
      <c r="N354" s="2"/>
      <c r="O354" s="2"/>
      <c r="P354" s="2"/>
      <c r="Q354" s="2"/>
      <c r="R354" s="2"/>
    </row>
    <row r="355" ht="15.75" customHeight="1">
      <c r="B355" s="2"/>
      <c r="G355" s="2"/>
      <c r="N355" s="2"/>
      <c r="O355" s="2"/>
      <c r="P355" s="2"/>
      <c r="Q355" s="2"/>
      <c r="R355" s="2"/>
    </row>
    <row r="356" ht="15.75" customHeight="1">
      <c r="B356" s="2"/>
      <c r="G356" s="2"/>
      <c r="N356" s="2"/>
      <c r="O356" s="2"/>
      <c r="P356" s="2"/>
      <c r="Q356" s="2"/>
      <c r="R356" s="2"/>
    </row>
    <row r="357" ht="15.75" customHeight="1">
      <c r="B357" s="2"/>
      <c r="G357" s="2"/>
      <c r="N357" s="2"/>
      <c r="O357" s="2"/>
      <c r="P357" s="2"/>
      <c r="Q357" s="2"/>
      <c r="R357" s="2"/>
    </row>
    <row r="358" ht="15.75" customHeight="1">
      <c r="B358" s="2"/>
      <c r="G358" s="2"/>
      <c r="N358" s="2"/>
      <c r="O358" s="2"/>
      <c r="P358" s="2"/>
      <c r="Q358" s="2"/>
      <c r="R358" s="2"/>
    </row>
    <row r="359" ht="15.75" customHeight="1">
      <c r="B359" s="2"/>
      <c r="G359" s="2"/>
      <c r="N359" s="2"/>
      <c r="O359" s="2"/>
      <c r="P359" s="2"/>
      <c r="Q359" s="2"/>
      <c r="R359" s="2"/>
    </row>
    <row r="360" ht="15.75" customHeight="1">
      <c r="B360" s="2"/>
      <c r="G360" s="2"/>
      <c r="N360" s="2"/>
      <c r="O360" s="2"/>
      <c r="P360" s="2"/>
      <c r="Q360" s="2"/>
      <c r="R360" s="2"/>
    </row>
    <row r="361" ht="15.75" customHeight="1">
      <c r="B361" s="2"/>
      <c r="G361" s="2"/>
      <c r="N361" s="2"/>
      <c r="O361" s="2"/>
      <c r="P361" s="2"/>
      <c r="Q361" s="2"/>
      <c r="R361" s="2"/>
    </row>
    <row r="362" ht="15.75" customHeight="1">
      <c r="B362" s="2"/>
      <c r="G362" s="2"/>
      <c r="N362" s="2"/>
      <c r="O362" s="2"/>
      <c r="P362" s="2"/>
      <c r="Q362" s="2"/>
      <c r="R362" s="2"/>
    </row>
    <row r="363" ht="15.75" customHeight="1">
      <c r="B363" s="2"/>
      <c r="G363" s="2"/>
      <c r="N363" s="2"/>
      <c r="O363" s="2"/>
      <c r="P363" s="2"/>
      <c r="Q363" s="2"/>
      <c r="R363" s="2"/>
    </row>
    <row r="364" ht="15.75" customHeight="1">
      <c r="B364" s="2"/>
      <c r="G364" s="2"/>
      <c r="N364" s="2"/>
      <c r="O364" s="2"/>
      <c r="P364" s="2"/>
      <c r="Q364" s="2"/>
      <c r="R364" s="2"/>
    </row>
    <row r="365" ht="15.75" customHeight="1">
      <c r="B365" s="2"/>
      <c r="G365" s="2"/>
      <c r="N365" s="2"/>
      <c r="O365" s="2"/>
      <c r="P365" s="2"/>
      <c r="Q365" s="2"/>
      <c r="R365" s="2"/>
    </row>
    <row r="366" ht="15.75" customHeight="1">
      <c r="B366" s="2"/>
      <c r="G366" s="2"/>
      <c r="N366" s="2"/>
      <c r="O366" s="2"/>
      <c r="P366" s="2"/>
      <c r="Q366" s="2"/>
      <c r="R366" s="2"/>
    </row>
    <row r="367" ht="15.75" customHeight="1">
      <c r="B367" s="2"/>
      <c r="G367" s="2"/>
      <c r="N367" s="2"/>
      <c r="O367" s="2"/>
      <c r="P367" s="2"/>
      <c r="Q367" s="2"/>
      <c r="R367" s="2"/>
    </row>
    <row r="368" ht="15.75" customHeight="1">
      <c r="B368" s="2"/>
      <c r="G368" s="2"/>
      <c r="N368" s="2"/>
      <c r="O368" s="2"/>
      <c r="P368" s="2"/>
      <c r="Q368" s="2"/>
      <c r="R368" s="2"/>
    </row>
    <row r="369" ht="15.75" customHeight="1">
      <c r="B369" s="2"/>
      <c r="G369" s="2"/>
      <c r="N369" s="2"/>
      <c r="O369" s="2"/>
      <c r="P369" s="2"/>
      <c r="Q369" s="2"/>
      <c r="R369" s="2"/>
    </row>
    <row r="370" ht="15.75" customHeight="1">
      <c r="B370" s="2"/>
      <c r="G370" s="2"/>
      <c r="N370" s="2"/>
      <c r="O370" s="2"/>
      <c r="P370" s="2"/>
      <c r="Q370" s="2"/>
      <c r="R370" s="2"/>
    </row>
    <row r="371" ht="15.75" customHeight="1">
      <c r="B371" s="2"/>
      <c r="G371" s="2"/>
      <c r="N371" s="2"/>
      <c r="O371" s="2"/>
      <c r="P371" s="2"/>
      <c r="Q371" s="2"/>
      <c r="R371" s="2"/>
    </row>
    <row r="372" ht="15.75" customHeight="1">
      <c r="B372" s="2"/>
      <c r="G372" s="2"/>
      <c r="N372" s="2"/>
      <c r="O372" s="2"/>
      <c r="P372" s="2"/>
      <c r="Q372" s="2"/>
      <c r="R372" s="2"/>
    </row>
    <row r="373" ht="15.75" customHeight="1">
      <c r="B373" s="2"/>
      <c r="G373" s="2"/>
      <c r="N373" s="2"/>
      <c r="O373" s="2"/>
      <c r="P373" s="2"/>
      <c r="Q373" s="2"/>
      <c r="R373" s="2"/>
    </row>
    <row r="374" ht="15.75" customHeight="1">
      <c r="B374" s="2"/>
      <c r="G374" s="2"/>
      <c r="N374" s="2"/>
      <c r="O374" s="2"/>
      <c r="P374" s="2"/>
      <c r="Q374" s="2"/>
      <c r="R374" s="2"/>
    </row>
    <row r="375" ht="15.75" customHeight="1">
      <c r="B375" s="2"/>
      <c r="G375" s="2"/>
      <c r="N375" s="2"/>
      <c r="O375" s="2"/>
      <c r="P375" s="2"/>
      <c r="Q375" s="2"/>
      <c r="R375" s="2"/>
    </row>
    <row r="376" ht="15.75" customHeight="1">
      <c r="B376" s="2"/>
      <c r="G376" s="2"/>
      <c r="N376" s="2"/>
      <c r="O376" s="2"/>
      <c r="P376" s="2"/>
      <c r="Q376" s="2"/>
      <c r="R376" s="2"/>
    </row>
    <row r="377" ht="15.75" customHeight="1">
      <c r="B377" s="2"/>
      <c r="G377" s="2"/>
      <c r="N377" s="2"/>
      <c r="O377" s="2"/>
      <c r="P377" s="2"/>
      <c r="Q377" s="2"/>
      <c r="R377" s="2"/>
    </row>
    <row r="378" ht="15.75" customHeight="1">
      <c r="B378" s="2"/>
      <c r="G378" s="2"/>
      <c r="N378" s="2"/>
      <c r="O378" s="2"/>
      <c r="P378" s="2"/>
      <c r="Q378" s="2"/>
      <c r="R378" s="2"/>
    </row>
    <row r="379" ht="15.75" customHeight="1">
      <c r="B379" s="2"/>
      <c r="G379" s="2"/>
      <c r="N379" s="2"/>
      <c r="O379" s="2"/>
      <c r="P379" s="2"/>
      <c r="Q379" s="2"/>
      <c r="R379" s="2"/>
    </row>
    <row r="380" ht="15.75" customHeight="1">
      <c r="B380" s="2"/>
      <c r="G380" s="2"/>
      <c r="N380" s="2"/>
      <c r="O380" s="2"/>
      <c r="P380" s="2"/>
      <c r="Q380" s="2"/>
      <c r="R380" s="2"/>
    </row>
    <row r="381" ht="15.75" customHeight="1">
      <c r="B381" s="2"/>
      <c r="G381" s="2"/>
      <c r="N381" s="2"/>
      <c r="O381" s="2"/>
      <c r="P381" s="2"/>
      <c r="Q381" s="2"/>
      <c r="R381" s="2"/>
    </row>
    <row r="382" ht="15.75" customHeight="1">
      <c r="B382" s="2"/>
      <c r="G382" s="2"/>
      <c r="N382" s="2"/>
      <c r="O382" s="2"/>
      <c r="P382" s="2"/>
      <c r="Q382" s="2"/>
      <c r="R382" s="2"/>
    </row>
    <row r="383" ht="15.75" customHeight="1">
      <c r="B383" s="2"/>
      <c r="G383" s="2"/>
      <c r="N383" s="2"/>
      <c r="O383" s="2"/>
      <c r="P383" s="2"/>
      <c r="Q383" s="2"/>
      <c r="R383" s="2"/>
    </row>
    <row r="384" ht="15.75" customHeight="1">
      <c r="B384" s="2"/>
      <c r="G384" s="2"/>
      <c r="N384" s="2"/>
      <c r="O384" s="2"/>
      <c r="P384" s="2"/>
      <c r="Q384" s="2"/>
      <c r="R384" s="2"/>
    </row>
    <row r="385" ht="15.75" customHeight="1">
      <c r="B385" s="2"/>
      <c r="G385" s="2"/>
      <c r="N385" s="2"/>
      <c r="O385" s="2"/>
      <c r="P385" s="2"/>
      <c r="Q385" s="2"/>
      <c r="R385" s="2"/>
    </row>
    <row r="386" ht="15.75" customHeight="1">
      <c r="B386" s="2"/>
      <c r="G386" s="2"/>
      <c r="N386" s="2"/>
      <c r="O386" s="2"/>
      <c r="P386" s="2"/>
      <c r="Q386" s="2"/>
      <c r="R386" s="2"/>
    </row>
    <row r="387" ht="15.75" customHeight="1">
      <c r="B387" s="2"/>
      <c r="G387" s="2"/>
      <c r="N387" s="2"/>
      <c r="O387" s="2"/>
      <c r="P387" s="2"/>
      <c r="Q387" s="2"/>
      <c r="R387" s="2"/>
    </row>
    <row r="388" ht="15.75" customHeight="1">
      <c r="B388" s="2"/>
      <c r="G388" s="2"/>
      <c r="N388" s="2"/>
      <c r="O388" s="2"/>
      <c r="P388" s="2"/>
      <c r="Q388" s="2"/>
      <c r="R388" s="2"/>
    </row>
    <row r="389" ht="15.75" customHeight="1">
      <c r="B389" s="2"/>
      <c r="G389" s="2"/>
      <c r="N389" s="2"/>
      <c r="O389" s="2"/>
      <c r="P389" s="2"/>
      <c r="Q389" s="2"/>
      <c r="R389" s="2"/>
    </row>
    <row r="390" ht="15.75" customHeight="1">
      <c r="B390" s="2"/>
      <c r="G390" s="2"/>
      <c r="N390" s="2"/>
      <c r="O390" s="2"/>
      <c r="P390" s="2"/>
      <c r="Q390" s="2"/>
      <c r="R390" s="2"/>
    </row>
    <row r="391" ht="15.75" customHeight="1">
      <c r="B391" s="2"/>
      <c r="G391" s="2"/>
      <c r="N391" s="2"/>
      <c r="O391" s="2"/>
      <c r="P391" s="2"/>
      <c r="Q391" s="2"/>
      <c r="R391" s="2"/>
    </row>
    <row r="392" ht="15.75" customHeight="1">
      <c r="B392" s="2"/>
      <c r="G392" s="2"/>
      <c r="N392" s="2"/>
      <c r="O392" s="2"/>
      <c r="P392" s="2"/>
      <c r="Q392" s="2"/>
      <c r="R392" s="2"/>
    </row>
    <row r="393" ht="15.75" customHeight="1">
      <c r="B393" s="2"/>
      <c r="G393" s="2"/>
      <c r="N393" s="2"/>
      <c r="O393" s="2"/>
      <c r="P393" s="2"/>
      <c r="Q393" s="2"/>
      <c r="R393" s="2"/>
    </row>
    <row r="394" ht="15.75" customHeight="1">
      <c r="B394" s="2"/>
      <c r="G394" s="2"/>
      <c r="N394" s="2"/>
      <c r="O394" s="2"/>
      <c r="P394" s="2"/>
      <c r="Q394" s="2"/>
      <c r="R394" s="2"/>
    </row>
    <row r="395" ht="15.75" customHeight="1">
      <c r="B395" s="2"/>
      <c r="G395" s="2"/>
      <c r="N395" s="2"/>
      <c r="O395" s="2"/>
      <c r="P395" s="2"/>
      <c r="Q395" s="2"/>
      <c r="R395" s="2"/>
    </row>
    <row r="396" ht="15.75" customHeight="1">
      <c r="B396" s="2"/>
      <c r="G396" s="2"/>
      <c r="N396" s="2"/>
      <c r="O396" s="2"/>
      <c r="P396" s="2"/>
      <c r="Q396" s="2"/>
      <c r="R396" s="2"/>
    </row>
    <row r="397" ht="15.75" customHeight="1">
      <c r="B397" s="2"/>
      <c r="G397" s="2"/>
      <c r="N397" s="2"/>
      <c r="O397" s="2"/>
      <c r="P397" s="2"/>
      <c r="Q397" s="2"/>
      <c r="R397" s="2"/>
    </row>
    <row r="398" ht="15.75" customHeight="1">
      <c r="B398" s="2"/>
      <c r="G398" s="2"/>
      <c r="N398" s="2"/>
      <c r="O398" s="2"/>
      <c r="P398" s="2"/>
      <c r="Q398" s="2"/>
      <c r="R398" s="2"/>
    </row>
    <row r="399" ht="15.75" customHeight="1">
      <c r="B399" s="2"/>
      <c r="G399" s="2"/>
      <c r="N399" s="2"/>
      <c r="O399" s="2"/>
      <c r="P399" s="2"/>
      <c r="Q399" s="2"/>
      <c r="R399" s="2"/>
    </row>
    <row r="400" ht="15.75" customHeight="1">
      <c r="B400" s="2"/>
      <c r="G400" s="2"/>
      <c r="N400" s="2"/>
      <c r="O400" s="2"/>
      <c r="P400" s="2"/>
      <c r="Q400" s="2"/>
      <c r="R400" s="2"/>
    </row>
    <row r="401" ht="15.75" customHeight="1">
      <c r="B401" s="2"/>
      <c r="G401" s="2"/>
      <c r="N401" s="2"/>
      <c r="O401" s="2"/>
      <c r="P401" s="2"/>
      <c r="Q401" s="2"/>
      <c r="R401" s="2"/>
    </row>
    <row r="402" ht="15.75" customHeight="1">
      <c r="B402" s="2"/>
      <c r="G402" s="2"/>
      <c r="N402" s="2"/>
      <c r="O402" s="2"/>
      <c r="P402" s="2"/>
      <c r="Q402" s="2"/>
      <c r="R402" s="2"/>
    </row>
    <row r="403" ht="15.75" customHeight="1">
      <c r="B403" s="2"/>
      <c r="G403" s="2"/>
      <c r="N403" s="2"/>
      <c r="O403" s="2"/>
      <c r="P403" s="2"/>
      <c r="Q403" s="2"/>
      <c r="R403" s="2"/>
    </row>
    <row r="404" ht="15.75" customHeight="1">
      <c r="B404" s="2"/>
      <c r="G404" s="2"/>
      <c r="N404" s="2"/>
      <c r="O404" s="2"/>
      <c r="P404" s="2"/>
      <c r="Q404" s="2"/>
      <c r="R404" s="2"/>
    </row>
    <row r="405" ht="15.75" customHeight="1">
      <c r="B405" s="2"/>
      <c r="G405" s="2"/>
      <c r="N405" s="2"/>
      <c r="O405" s="2"/>
      <c r="P405" s="2"/>
      <c r="Q405" s="2"/>
      <c r="R405" s="2"/>
    </row>
    <row r="406" ht="15.75" customHeight="1">
      <c r="B406" s="2"/>
      <c r="G406" s="2"/>
      <c r="N406" s="2"/>
      <c r="O406" s="2"/>
      <c r="P406" s="2"/>
      <c r="Q406" s="2"/>
      <c r="R406" s="2"/>
    </row>
    <row r="407" ht="15.75" customHeight="1">
      <c r="B407" s="2"/>
      <c r="G407" s="2"/>
      <c r="N407" s="2"/>
      <c r="O407" s="2"/>
      <c r="P407" s="2"/>
      <c r="Q407" s="2"/>
      <c r="R407" s="2"/>
    </row>
    <row r="408" ht="15.75" customHeight="1">
      <c r="B408" s="2"/>
      <c r="G408" s="2"/>
      <c r="N408" s="2"/>
      <c r="O408" s="2"/>
      <c r="P408" s="2"/>
      <c r="Q408" s="2"/>
      <c r="R408" s="2"/>
    </row>
    <row r="409" ht="15.75" customHeight="1">
      <c r="B409" s="2"/>
      <c r="G409" s="2"/>
      <c r="N409" s="2"/>
      <c r="O409" s="2"/>
      <c r="P409" s="2"/>
      <c r="Q409" s="2"/>
      <c r="R409" s="2"/>
    </row>
    <row r="410" ht="15.75" customHeight="1">
      <c r="B410" s="2"/>
      <c r="G410" s="2"/>
      <c r="N410" s="2"/>
      <c r="O410" s="2"/>
      <c r="P410" s="2"/>
      <c r="Q410" s="2"/>
      <c r="R410" s="2"/>
    </row>
    <row r="411" ht="15.75" customHeight="1">
      <c r="B411" s="2"/>
      <c r="G411" s="2"/>
      <c r="N411" s="2"/>
      <c r="O411" s="2"/>
      <c r="P411" s="2"/>
      <c r="Q411" s="2"/>
      <c r="R411" s="2"/>
    </row>
    <row r="412" ht="15.75" customHeight="1">
      <c r="B412" s="2"/>
      <c r="G412" s="2"/>
      <c r="N412" s="2"/>
      <c r="O412" s="2"/>
      <c r="P412" s="2"/>
      <c r="Q412" s="2"/>
      <c r="R412" s="2"/>
    </row>
    <row r="413" ht="15.75" customHeight="1">
      <c r="B413" s="2"/>
      <c r="G413" s="2"/>
      <c r="N413" s="2"/>
      <c r="O413" s="2"/>
      <c r="P413" s="2"/>
      <c r="Q413" s="2"/>
      <c r="R413" s="2"/>
    </row>
    <row r="414" ht="15.75" customHeight="1">
      <c r="B414" s="2"/>
      <c r="G414" s="2"/>
      <c r="N414" s="2"/>
      <c r="O414" s="2"/>
      <c r="P414" s="2"/>
      <c r="Q414" s="2"/>
      <c r="R414" s="2"/>
    </row>
    <row r="415" ht="15.75" customHeight="1">
      <c r="B415" s="2"/>
      <c r="G415" s="2"/>
      <c r="N415" s="2"/>
      <c r="O415" s="2"/>
      <c r="P415" s="2"/>
      <c r="Q415" s="2"/>
      <c r="R415" s="2"/>
    </row>
    <row r="416" ht="15.75" customHeight="1">
      <c r="B416" s="2"/>
      <c r="G416" s="2"/>
      <c r="N416" s="2"/>
      <c r="O416" s="2"/>
      <c r="P416" s="2"/>
      <c r="Q416" s="2"/>
      <c r="R416" s="2"/>
    </row>
    <row r="417" ht="15.75" customHeight="1">
      <c r="B417" s="2"/>
      <c r="G417" s="2"/>
      <c r="N417" s="2"/>
      <c r="O417" s="2"/>
      <c r="P417" s="2"/>
      <c r="Q417" s="2"/>
      <c r="R417" s="2"/>
    </row>
    <row r="418" ht="15.75" customHeight="1">
      <c r="B418" s="2"/>
      <c r="G418" s="2"/>
      <c r="N418" s="2"/>
      <c r="O418" s="2"/>
      <c r="P418" s="2"/>
      <c r="Q418" s="2"/>
      <c r="R418" s="2"/>
    </row>
    <row r="419" ht="15.75" customHeight="1">
      <c r="B419" s="2"/>
      <c r="G419" s="2"/>
      <c r="N419" s="2"/>
      <c r="O419" s="2"/>
      <c r="P419" s="2"/>
      <c r="Q419" s="2"/>
      <c r="R419" s="2"/>
    </row>
    <row r="420" ht="15.75" customHeight="1">
      <c r="B420" s="2"/>
      <c r="G420" s="2"/>
      <c r="N420" s="2"/>
      <c r="O420" s="2"/>
      <c r="P420" s="2"/>
      <c r="Q420" s="2"/>
      <c r="R420" s="2"/>
    </row>
    <row r="421" ht="15.75" customHeight="1">
      <c r="B421" s="2"/>
      <c r="G421" s="2"/>
      <c r="N421" s="2"/>
      <c r="O421" s="2"/>
      <c r="P421" s="2"/>
      <c r="Q421" s="2"/>
      <c r="R421" s="2"/>
    </row>
    <row r="422" ht="15.75" customHeight="1">
      <c r="B422" s="2"/>
      <c r="G422" s="2"/>
      <c r="N422" s="2"/>
      <c r="O422" s="2"/>
      <c r="P422" s="2"/>
      <c r="Q422" s="2"/>
      <c r="R422" s="2"/>
    </row>
    <row r="423" ht="15.75" customHeight="1">
      <c r="B423" s="2"/>
      <c r="G423" s="2"/>
      <c r="N423" s="2"/>
      <c r="O423" s="2"/>
      <c r="P423" s="2"/>
      <c r="Q423" s="2"/>
      <c r="R423" s="2"/>
    </row>
    <row r="424" ht="15.75" customHeight="1">
      <c r="B424" s="2"/>
      <c r="G424" s="2"/>
      <c r="N424" s="2"/>
      <c r="O424" s="2"/>
      <c r="P424" s="2"/>
      <c r="Q424" s="2"/>
      <c r="R424" s="2"/>
    </row>
    <row r="425" ht="15.75" customHeight="1">
      <c r="B425" s="2"/>
      <c r="G425" s="2"/>
      <c r="N425" s="2"/>
      <c r="O425" s="2"/>
      <c r="P425" s="2"/>
      <c r="Q425" s="2"/>
      <c r="R425" s="2"/>
    </row>
    <row r="426" ht="15.75" customHeight="1">
      <c r="B426" s="2"/>
      <c r="G426" s="2"/>
      <c r="N426" s="2"/>
      <c r="O426" s="2"/>
      <c r="P426" s="2"/>
      <c r="Q426" s="2"/>
      <c r="R426" s="2"/>
    </row>
    <row r="427" ht="15.75" customHeight="1">
      <c r="B427" s="2"/>
      <c r="G427" s="2"/>
      <c r="N427" s="2"/>
      <c r="O427" s="2"/>
      <c r="P427" s="2"/>
      <c r="Q427" s="2"/>
      <c r="R427" s="2"/>
    </row>
    <row r="428" ht="15.75" customHeight="1">
      <c r="B428" s="2"/>
      <c r="G428" s="2"/>
      <c r="N428" s="2"/>
      <c r="O428" s="2"/>
      <c r="P428" s="2"/>
      <c r="Q428" s="2"/>
      <c r="R428" s="2"/>
    </row>
    <row r="429" ht="15.75" customHeight="1">
      <c r="B429" s="2"/>
      <c r="G429" s="2"/>
      <c r="N429" s="2"/>
      <c r="O429" s="2"/>
      <c r="P429" s="2"/>
      <c r="Q429" s="2"/>
      <c r="R429" s="2"/>
    </row>
    <row r="430" ht="15.75" customHeight="1">
      <c r="B430" s="2"/>
      <c r="G430" s="2"/>
      <c r="N430" s="2"/>
      <c r="O430" s="2"/>
      <c r="P430" s="2"/>
      <c r="Q430" s="2"/>
      <c r="R430" s="2"/>
    </row>
    <row r="431" ht="15.75" customHeight="1">
      <c r="B431" s="2"/>
      <c r="G431" s="2"/>
      <c r="N431" s="2"/>
      <c r="O431" s="2"/>
      <c r="P431" s="2"/>
      <c r="Q431" s="2"/>
      <c r="R431" s="2"/>
    </row>
    <row r="432" ht="15.75" customHeight="1">
      <c r="B432" s="2"/>
      <c r="G432" s="2"/>
      <c r="N432" s="2"/>
      <c r="O432" s="2"/>
      <c r="P432" s="2"/>
      <c r="Q432" s="2"/>
      <c r="R432" s="2"/>
    </row>
    <row r="433" ht="15.75" customHeight="1">
      <c r="B433" s="2"/>
      <c r="G433" s="2"/>
      <c r="N433" s="2"/>
      <c r="O433" s="2"/>
      <c r="P433" s="2"/>
      <c r="Q433" s="2"/>
      <c r="R433" s="2"/>
    </row>
    <row r="434" ht="15.75" customHeight="1">
      <c r="B434" s="2"/>
      <c r="G434" s="2"/>
      <c r="N434" s="2"/>
      <c r="O434" s="2"/>
      <c r="P434" s="2"/>
      <c r="Q434" s="2"/>
      <c r="R434" s="2"/>
    </row>
    <row r="435" ht="15.75" customHeight="1">
      <c r="B435" s="2"/>
      <c r="G435" s="2"/>
      <c r="N435" s="2"/>
      <c r="O435" s="2"/>
      <c r="P435" s="2"/>
      <c r="Q435" s="2"/>
      <c r="R435" s="2"/>
    </row>
    <row r="436" ht="15.75" customHeight="1">
      <c r="B436" s="2"/>
      <c r="G436" s="2"/>
      <c r="N436" s="2"/>
      <c r="O436" s="2"/>
      <c r="P436" s="2"/>
      <c r="Q436" s="2"/>
      <c r="R436" s="2"/>
    </row>
    <row r="437" ht="15.75" customHeight="1">
      <c r="B437" s="2"/>
      <c r="G437" s="2"/>
      <c r="N437" s="2"/>
      <c r="O437" s="2"/>
      <c r="P437" s="2"/>
      <c r="Q437" s="2"/>
      <c r="R437" s="2"/>
    </row>
    <row r="438" ht="15.75" customHeight="1">
      <c r="B438" s="2"/>
      <c r="G438" s="2"/>
      <c r="N438" s="2"/>
      <c r="O438" s="2"/>
      <c r="P438" s="2"/>
      <c r="Q438" s="2"/>
      <c r="R438" s="2"/>
    </row>
    <row r="439" ht="15.75" customHeight="1">
      <c r="B439" s="2"/>
      <c r="G439" s="2"/>
      <c r="N439" s="2"/>
      <c r="O439" s="2"/>
      <c r="P439" s="2"/>
      <c r="Q439" s="2"/>
      <c r="R439" s="2"/>
    </row>
    <row r="440" ht="15.75" customHeight="1">
      <c r="B440" s="2"/>
      <c r="G440" s="2"/>
      <c r="N440" s="2"/>
      <c r="O440" s="2"/>
      <c r="P440" s="2"/>
      <c r="Q440" s="2"/>
      <c r="R440" s="2"/>
    </row>
    <row r="441" ht="15.75" customHeight="1">
      <c r="B441" s="2"/>
      <c r="G441" s="2"/>
      <c r="N441" s="2"/>
      <c r="O441" s="2"/>
      <c r="P441" s="2"/>
      <c r="Q441" s="2"/>
      <c r="R441" s="2"/>
    </row>
    <row r="442" ht="15.75" customHeight="1">
      <c r="B442" s="2"/>
      <c r="G442" s="2"/>
      <c r="N442" s="2"/>
      <c r="O442" s="2"/>
      <c r="P442" s="2"/>
      <c r="Q442" s="2"/>
      <c r="R442" s="2"/>
    </row>
    <row r="443" ht="15.75" customHeight="1">
      <c r="B443" s="2"/>
      <c r="G443" s="2"/>
      <c r="N443" s="2"/>
      <c r="O443" s="2"/>
      <c r="P443" s="2"/>
      <c r="Q443" s="2"/>
      <c r="R443" s="2"/>
    </row>
    <row r="444" ht="15.75" customHeight="1">
      <c r="B444" s="2"/>
      <c r="G444" s="2"/>
      <c r="N444" s="2"/>
      <c r="O444" s="2"/>
      <c r="P444" s="2"/>
      <c r="Q444" s="2"/>
      <c r="R444" s="2"/>
    </row>
    <row r="445" ht="15.75" customHeight="1">
      <c r="B445" s="2"/>
      <c r="G445" s="2"/>
      <c r="N445" s="2"/>
      <c r="O445" s="2"/>
      <c r="P445" s="2"/>
      <c r="Q445" s="2"/>
      <c r="R445" s="2"/>
    </row>
    <row r="446" ht="15.75" customHeight="1">
      <c r="B446" s="2"/>
      <c r="G446" s="2"/>
      <c r="N446" s="2"/>
      <c r="O446" s="2"/>
      <c r="P446" s="2"/>
      <c r="Q446" s="2"/>
      <c r="R446" s="2"/>
    </row>
    <row r="447" ht="15.75" customHeight="1">
      <c r="B447" s="2"/>
      <c r="G447" s="2"/>
      <c r="N447" s="2"/>
      <c r="O447" s="2"/>
      <c r="P447" s="2"/>
      <c r="Q447" s="2"/>
      <c r="R447" s="2"/>
    </row>
    <row r="448" ht="15.75" customHeight="1">
      <c r="B448" s="2"/>
      <c r="G448" s="2"/>
      <c r="N448" s="2"/>
      <c r="O448" s="2"/>
      <c r="P448" s="2"/>
      <c r="Q448" s="2"/>
      <c r="R448" s="2"/>
    </row>
    <row r="449" ht="15.75" customHeight="1">
      <c r="B449" s="2"/>
      <c r="G449" s="2"/>
      <c r="N449" s="2"/>
      <c r="O449" s="2"/>
      <c r="P449" s="2"/>
      <c r="Q449" s="2"/>
      <c r="R449" s="2"/>
    </row>
    <row r="450" ht="15.75" customHeight="1">
      <c r="B450" s="2"/>
      <c r="G450" s="2"/>
      <c r="N450" s="2"/>
      <c r="O450" s="2"/>
      <c r="P450" s="2"/>
      <c r="Q450" s="2"/>
      <c r="R450" s="2"/>
    </row>
    <row r="451" ht="15.75" customHeight="1">
      <c r="B451" s="2"/>
      <c r="G451" s="2"/>
      <c r="N451" s="2"/>
      <c r="O451" s="2"/>
      <c r="P451" s="2"/>
      <c r="Q451" s="2"/>
      <c r="R451" s="2"/>
    </row>
    <row r="452" ht="15.75" customHeight="1">
      <c r="B452" s="2"/>
      <c r="G452" s="2"/>
      <c r="N452" s="2"/>
      <c r="O452" s="2"/>
      <c r="P452" s="2"/>
      <c r="Q452" s="2"/>
      <c r="R452" s="2"/>
    </row>
    <row r="453" ht="15.75" customHeight="1">
      <c r="B453" s="2"/>
      <c r="G453" s="2"/>
      <c r="N453" s="2"/>
      <c r="O453" s="2"/>
      <c r="P453" s="2"/>
      <c r="Q453" s="2"/>
      <c r="R453" s="2"/>
    </row>
    <row r="454" ht="15.75" customHeight="1">
      <c r="B454" s="2"/>
      <c r="G454" s="2"/>
      <c r="N454" s="2"/>
      <c r="O454" s="2"/>
      <c r="P454" s="2"/>
      <c r="Q454" s="2"/>
      <c r="R454" s="2"/>
    </row>
    <row r="455" ht="15.75" customHeight="1">
      <c r="B455" s="2"/>
      <c r="G455" s="2"/>
      <c r="N455" s="2"/>
      <c r="O455" s="2"/>
      <c r="P455" s="2"/>
      <c r="Q455" s="2"/>
      <c r="R455" s="2"/>
    </row>
    <row r="456" ht="15.75" customHeight="1">
      <c r="B456" s="2"/>
      <c r="G456" s="2"/>
      <c r="N456" s="2"/>
      <c r="O456" s="2"/>
      <c r="P456" s="2"/>
      <c r="Q456" s="2"/>
      <c r="R456" s="2"/>
    </row>
    <row r="457" ht="15.75" customHeight="1">
      <c r="B457" s="2"/>
      <c r="G457" s="2"/>
      <c r="N457" s="2"/>
      <c r="O457" s="2"/>
      <c r="P457" s="2"/>
      <c r="Q457" s="2"/>
      <c r="R457" s="2"/>
    </row>
    <row r="458" ht="15.75" customHeight="1">
      <c r="B458" s="2"/>
      <c r="G458" s="2"/>
      <c r="N458" s="2"/>
      <c r="O458" s="2"/>
      <c r="P458" s="2"/>
      <c r="Q458" s="2"/>
      <c r="R458" s="2"/>
    </row>
    <row r="459" ht="15.75" customHeight="1">
      <c r="B459" s="2"/>
      <c r="G459" s="2"/>
      <c r="N459" s="2"/>
      <c r="O459" s="2"/>
      <c r="P459" s="2"/>
      <c r="Q459" s="2"/>
      <c r="R459" s="2"/>
    </row>
    <row r="460" ht="15.75" customHeight="1">
      <c r="B460" s="2"/>
      <c r="G460" s="2"/>
      <c r="N460" s="2"/>
      <c r="O460" s="2"/>
      <c r="P460" s="2"/>
      <c r="Q460" s="2"/>
      <c r="R460" s="2"/>
    </row>
    <row r="461" ht="15.75" customHeight="1">
      <c r="B461" s="2"/>
      <c r="G461" s="2"/>
      <c r="N461" s="2"/>
      <c r="O461" s="2"/>
      <c r="P461" s="2"/>
      <c r="Q461" s="2"/>
      <c r="R461" s="2"/>
    </row>
    <row r="462" ht="15.75" customHeight="1">
      <c r="B462" s="2"/>
      <c r="G462" s="2"/>
      <c r="N462" s="2"/>
      <c r="O462" s="2"/>
      <c r="P462" s="2"/>
      <c r="Q462" s="2"/>
      <c r="R462" s="2"/>
    </row>
    <row r="463" ht="15.75" customHeight="1">
      <c r="B463" s="2"/>
      <c r="G463" s="2"/>
      <c r="N463" s="2"/>
      <c r="O463" s="2"/>
      <c r="P463" s="2"/>
      <c r="Q463" s="2"/>
      <c r="R463" s="2"/>
    </row>
    <row r="464" ht="15.75" customHeight="1">
      <c r="B464" s="2"/>
      <c r="G464" s="2"/>
      <c r="N464" s="2"/>
      <c r="O464" s="2"/>
      <c r="P464" s="2"/>
      <c r="Q464" s="2"/>
      <c r="R464" s="2"/>
    </row>
    <row r="465" ht="15.75" customHeight="1">
      <c r="B465" s="2"/>
      <c r="G465" s="2"/>
      <c r="N465" s="2"/>
      <c r="O465" s="2"/>
      <c r="P465" s="2"/>
      <c r="Q465" s="2"/>
      <c r="R465" s="2"/>
    </row>
    <row r="466" ht="15.75" customHeight="1">
      <c r="B466" s="2"/>
      <c r="G466" s="2"/>
      <c r="N466" s="2"/>
      <c r="O466" s="2"/>
      <c r="P466" s="2"/>
      <c r="Q466" s="2"/>
      <c r="R466" s="2"/>
    </row>
    <row r="467" ht="15.75" customHeight="1">
      <c r="B467" s="2"/>
      <c r="G467" s="2"/>
      <c r="N467" s="2"/>
      <c r="O467" s="2"/>
      <c r="P467" s="2"/>
      <c r="Q467" s="2"/>
      <c r="R467" s="2"/>
    </row>
    <row r="468" ht="15.75" customHeight="1">
      <c r="B468" s="2"/>
      <c r="G468" s="2"/>
      <c r="N468" s="2"/>
      <c r="O468" s="2"/>
      <c r="P468" s="2"/>
      <c r="Q468" s="2"/>
      <c r="R468" s="2"/>
    </row>
    <row r="469" ht="15.75" customHeight="1">
      <c r="B469" s="2"/>
      <c r="G469" s="2"/>
      <c r="N469" s="2"/>
      <c r="O469" s="2"/>
      <c r="P469" s="2"/>
      <c r="Q469" s="2"/>
      <c r="R469" s="2"/>
    </row>
    <row r="470" ht="15.75" customHeight="1">
      <c r="B470" s="2"/>
      <c r="G470" s="2"/>
      <c r="N470" s="2"/>
      <c r="O470" s="2"/>
      <c r="P470" s="2"/>
      <c r="Q470" s="2"/>
      <c r="R470" s="2"/>
    </row>
    <row r="471" ht="15.75" customHeight="1">
      <c r="B471" s="2"/>
      <c r="G471" s="2"/>
      <c r="N471" s="2"/>
      <c r="O471" s="2"/>
      <c r="P471" s="2"/>
      <c r="Q471" s="2"/>
      <c r="R471" s="2"/>
    </row>
    <row r="472" ht="15.75" customHeight="1">
      <c r="B472" s="2"/>
      <c r="G472" s="2"/>
      <c r="N472" s="2"/>
      <c r="O472" s="2"/>
      <c r="P472" s="2"/>
      <c r="Q472" s="2"/>
      <c r="R472" s="2"/>
    </row>
    <row r="473" ht="15.75" customHeight="1">
      <c r="B473" s="2"/>
      <c r="G473" s="2"/>
      <c r="N473" s="2"/>
      <c r="O473" s="2"/>
      <c r="P473" s="2"/>
      <c r="Q473" s="2"/>
      <c r="R473" s="2"/>
    </row>
    <row r="474" ht="15.75" customHeight="1">
      <c r="B474" s="2"/>
      <c r="G474" s="2"/>
      <c r="N474" s="2"/>
      <c r="O474" s="2"/>
      <c r="P474" s="2"/>
      <c r="Q474" s="2"/>
      <c r="R474" s="2"/>
    </row>
    <row r="475" ht="15.75" customHeight="1">
      <c r="B475" s="2"/>
      <c r="G475" s="2"/>
      <c r="N475" s="2"/>
      <c r="O475" s="2"/>
      <c r="P475" s="2"/>
      <c r="Q475" s="2"/>
      <c r="R475" s="2"/>
    </row>
    <row r="476" ht="15.75" customHeight="1">
      <c r="B476" s="2"/>
      <c r="G476" s="2"/>
      <c r="N476" s="2"/>
      <c r="O476" s="2"/>
      <c r="P476" s="2"/>
      <c r="Q476" s="2"/>
      <c r="R476" s="2"/>
    </row>
    <row r="477" ht="15.75" customHeight="1">
      <c r="B477" s="2"/>
      <c r="G477" s="2"/>
      <c r="N477" s="2"/>
      <c r="O477" s="2"/>
      <c r="P477" s="2"/>
      <c r="Q477" s="2"/>
      <c r="R477" s="2"/>
    </row>
    <row r="478" ht="15.75" customHeight="1">
      <c r="B478" s="2"/>
      <c r="G478" s="2"/>
      <c r="N478" s="2"/>
      <c r="O478" s="2"/>
      <c r="P478" s="2"/>
      <c r="Q478" s="2"/>
      <c r="R478" s="2"/>
    </row>
    <row r="479" ht="15.75" customHeight="1">
      <c r="B479" s="2"/>
      <c r="G479" s="2"/>
      <c r="N479" s="2"/>
      <c r="O479" s="2"/>
      <c r="P479" s="2"/>
      <c r="Q479" s="2"/>
      <c r="R479" s="2"/>
    </row>
    <row r="480" ht="15.75" customHeight="1">
      <c r="B480" s="2"/>
      <c r="G480" s="2"/>
      <c r="N480" s="2"/>
      <c r="O480" s="2"/>
      <c r="P480" s="2"/>
      <c r="Q480" s="2"/>
      <c r="R480" s="2"/>
    </row>
    <row r="481" ht="15.75" customHeight="1">
      <c r="B481" s="2"/>
      <c r="G481" s="2"/>
      <c r="N481" s="2"/>
      <c r="O481" s="2"/>
      <c r="P481" s="2"/>
      <c r="Q481" s="2"/>
      <c r="R481" s="2"/>
    </row>
    <row r="482" ht="15.75" customHeight="1">
      <c r="B482" s="2"/>
      <c r="G482" s="2"/>
      <c r="N482" s="2"/>
      <c r="O482" s="2"/>
      <c r="P482" s="2"/>
      <c r="Q482" s="2"/>
      <c r="R482" s="2"/>
    </row>
    <row r="483" ht="15.75" customHeight="1">
      <c r="B483" s="2"/>
      <c r="G483" s="2"/>
      <c r="N483" s="2"/>
      <c r="O483" s="2"/>
      <c r="P483" s="2"/>
      <c r="Q483" s="2"/>
      <c r="R483" s="2"/>
    </row>
    <row r="484" ht="15.75" customHeight="1">
      <c r="B484" s="2"/>
      <c r="G484" s="2"/>
      <c r="N484" s="2"/>
      <c r="O484" s="2"/>
      <c r="P484" s="2"/>
      <c r="Q484" s="2"/>
      <c r="R484" s="2"/>
    </row>
    <row r="485" ht="15.75" customHeight="1">
      <c r="B485" s="2"/>
      <c r="G485" s="2"/>
      <c r="N485" s="2"/>
      <c r="O485" s="2"/>
      <c r="P485" s="2"/>
      <c r="Q485" s="2"/>
      <c r="R485" s="2"/>
    </row>
    <row r="486" ht="15.75" customHeight="1">
      <c r="B486" s="2"/>
      <c r="G486" s="2"/>
      <c r="N486" s="2"/>
      <c r="O486" s="2"/>
      <c r="P486" s="2"/>
      <c r="Q486" s="2"/>
      <c r="R486" s="2"/>
    </row>
    <row r="487" ht="15.75" customHeight="1">
      <c r="B487" s="2"/>
      <c r="G487" s="2"/>
      <c r="N487" s="2"/>
      <c r="O487" s="2"/>
      <c r="P487" s="2"/>
      <c r="Q487" s="2"/>
      <c r="R487" s="2"/>
    </row>
    <row r="488" ht="15.75" customHeight="1">
      <c r="B488" s="2"/>
      <c r="G488" s="2"/>
      <c r="N488" s="2"/>
      <c r="O488" s="2"/>
      <c r="P488" s="2"/>
      <c r="Q488" s="2"/>
      <c r="R488" s="2"/>
    </row>
    <row r="489" ht="15.75" customHeight="1">
      <c r="B489" s="2"/>
      <c r="G489" s="2"/>
      <c r="N489" s="2"/>
      <c r="O489" s="2"/>
      <c r="P489" s="2"/>
      <c r="Q489" s="2"/>
      <c r="R489" s="2"/>
    </row>
    <row r="490" ht="15.75" customHeight="1">
      <c r="B490" s="2"/>
      <c r="G490" s="2"/>
      <c r="N490" s="2"/>
      <c r="O490" s="2"/>
      <c r="P490" s="2"/>
      <c r="Q490" s="2"/>
      <c r="R490" s="2"/>
    </row>
    <row r="491" ht="15.75" customHeight="1">
      <c r="B491" s="2"/>
      <c r="G491" s="2"/>
      <c r="N491" s="2"/>
      <c r="O491" s="2"/>
      <c r="P491" s="2"/>
      <c r="Q491" s="2"/>
      <c r="R491" s="2"/>
    </row>
    <row r="492" ht="15.75" customHeight="1">
      <c r="B492" s="2"/>
      <c r="G492" s="2"/>
      <c r="N492" s="2"/>
      <c r="O492" s="2"/>
      <c r="P492" s="2"/>
      <c r="Q492" s="2"/>
      <c r="R492" s="2"/>
    </row>
    <row r="493" ht="15.75" customHeight="1">
      <c r="B493" s="2"/>
      <c r="G493" s="2"/>
      <c r="N493" s="2"/>
      <c r="O493" s="2"/>
      <c r="P493" s="2"/>
      <c r="Q493" s="2"/>
      <c r="R493" s="2"/>
    </row>
    <row r="494" ht="15.75" customHeight="1">
      <c r="B494" s="2"/>
      <c r="G494" s="2"/>
      <c r="N494" s="2"/>
      <c r="O494" s="2"/>
      <c r="P494" s="2"/>
      <c r="Q494" s="2"/>
      <c r="R494" s="2"/>
    </row>
    <row r="495" ht="15.75" customHeight="1">
      <c r="B495" s="2"/>
      <c r="G495" s="2"/>
      <c r="N495" s="2"/>
      <c r="O495" s="2"/>
      <c r="P495" s="2"/>
      <c r="Q495" s="2"/>
      <c r="R495" s="2"/>
    </row>
    <row r="496" ht="15.75" customHeight="1">
      <c r="B496" s="2"/>
      <c r="G496" s="2"/>
      <c r="N496" s="2"/>
      <c r="O496" s="2"/>
      <c r="P496" s="2"/>
      <c r="Q496" s="2"/>
      <c r="R496" s="2"/>
    </row>
    <row r="497" ht="15.75" customHeight="1">
      <c r="B497" s="2"/>
      <c r="G497" s="2"/>
      <c r="N497" s="2"/>
      <c r="O497" s="2"/>
      <c r="P497" s="2"/>
      <c r="Q497" s="2"/>
      <c r="R497" s="2"/>
    </row>
    <row r="498" ht="15.75" customHeight="1">
      <c r="B498" s="2"/>
      <c r="G498" s="2"/>
      <c r="N498" s="2"/>
      <c r="O498" s="2"/>
      <c r="P498" s="2"/>
      <c r="Q498" s="2"/>
      <c r="R498" s="2"/>
    </row>
    <row r="499" ht="15.75" customHeight="1">
      <c r="B499" s="2"/>
      <c r="G499" s="2"/>
      <c r="N499" s="2"/>
      <c r="O499" s="2"/>
      <c r="P499" s="2"/>
      <c r="Q499" s="2"/>
      <c r="R499" s="2"/>
    </row>
    <row r="500" ht="15.75" customHeight="1">
      <c r="B500" s="2"/>
      <c r="G500" s="2"/>
      <c r="N500" s="2"/>
      <c r="O500" s="2"/>
      <c r="P500" s="2"/>
      <c r="Q500" s="2"/>
      <c r="R500" s="2"/>
    </row>
    <row r="501" ht="15.75" customHeight="1">
      <c r="B501" s="2"/>
      <c r="G501" s="2"/>
      <c r="N501" s="2"/>
      <c r="O501" s="2"/>
      <c r="P501" s="2"/>
      <c r="Q501" s="2"/>
      <c r="R501" s="2"/>
    </row>
    <row r="502" ht="15.75" customHeight="1">
      <c r="B502" s="2"/>
      <c r="G502" s="2"/>
      <c r="N502" s="2"/>
      <c r="O502" s="2"/>
      <c r="P502" s="2"/>
      <c r="Q502" s="2"/>
      <c r="R502" s="2"/>
    </row>
    <row r="503" ht="15.75" customHeight="1">
      <c r="B503" s="2"/>
      <c r="G503" s="2"/>
      <c r="N503" s="2"/>
      <c r="O503" s="2"/>
      <c r="P503" s="2"/>
      <c r="Q503" s="2"/>
      <c r="R503" s="2"/>
    </row>
    <row r="504" ht="15.75" customHeight="1">
      <c r="B504" s="2"/>
      <c r="G504" s="2"/>
      <c r="N504" s="2"/>
      <c r="O504" s="2"/>
      <c r="P504" s="2"/>
      <c r="Q504" s="2"/>
      <c r="R504" s="2"/>
    </row>
    <row r="505" ht="15.75" customHeight="1">
      <c r="B505" s="2"/>
      <c r="G505" s="2"/>
      <c r="N505" s="2"/>
      <c r="O505" s="2"/>
      <c r="P505" s="2"/>
      <c r="Q505" s="2"/>
      <c r="R505" s="2"/>
    </row>
    <row r="506" ht="15.75" customHeight="1">
      <c r="B506" s="2"/>
      <c r="G506" s="2"/>
      <c r="N506" s="2"/>
      <c r="O506" s="2"/>
      <c r="P506" s="2"/>
      <c r="Q506" s="2"/>
      <c r="R506" s="2"/>
    </row>
    <row r="507" ht="15.75" customHeight="1">
      <c r="B507" s="2"/>
      <c r="G507" s="2"/>
      <c r="N507" s="2"/>
      <c r="O507" s="2"/>
      <c r="P507" s="2"/>
      <c r="Q507" s="2"/>
      <c r="R507" s="2"/>
    </row>
    <row r="508" ht="15.75" customHeight="1">
      <c r="B508" s="2"/>
      <c r="G508" s="2"/>
      <c r="N508" s="2"/>
      <c r="O508" s="2"/>
      <c r="P508" s="2"/>
      <c r="Q508" s="2"/>
      <c r="R508" s="2"/>
    </row>
    <row r="509" ht="15.75" customHeight="1">
      <c r="B509" s="2"/>
      <c r="G509" s="2"/>
      <c r="N509" s="2"/>
      <c r="O509" s="2"/>
      <c r="P509" s="2"/>
      <c r="Q509" s="2"/>
      <c r="R509" s="2"/>
    </row>
    <row r="510" ht="15.75" customHeight="1">
      <c r="B510" s="2"/>
      <c r="G510" s="2"/>
      <c r="N510" s="2"/>
      <c r="O510" s="2"/>
      <c r="P510" s="2"/>
      <c r="Q510" s="2"/>
      <c r="R510" s="2"/>
    </row>
    <row r="511" ht="15.75" customHeight="1">
      <c r="B511" s="2"/>
      <c r="G511" s="2"/>
      <c r="N511" s="2"/>
      <c r="O511" s="2"/>
      <c r="P511" s="2"/>
      <c r="Q511" s="2"/>
      <c r="R511" s="2"/>
    </row>
    <row r="512" ht="15.75" customHeight="1">
      <c r="B512" s="2"/>
      <c r="G512" s="2"/>
      <c r="N512" s="2"/>
      <c r="O512" s="2"/>
      <c r="P512" s="2"/>
      <c r="Q512" s="2"/>
      <c r="R512" s="2"/>
    </row>
    <row r="513" ht="15.75" customHeight="1">
      <c r="B513" s="2"/>
      <c r="G513" s="2"/>
      <c r="N513" s="2"/>
      <c r="O513" s="2"/>
      <c r="P513" s="2"/>
      <c r="Q513" s="2"/>
      <c r="R513" s="2"/>
    </row>
    <row r="514" ht="15.75" customHeight="1">
      <c r="B514" s="2"/>
      <c r="G514" s="2"/>
      <c r="N514" s="2"/>
      <c r="O514" s="2"/>
      <c r="P514" s="2"/>
      <c r="Q514" s="2"/>
      <c r="R514" s="2"/>
    </row>
    <row r="515" ht="15.75" customHeight="1">
      <c r="B515" s="2"/>
      <c r="G515" s="2"/>
      <c r="N515" s="2"/>
      <c r="O515" s="2"/>
      <c r="P515" s="2"/>
      <c r="Q515" s="2"/>
      <c r="R515" s="2"/>
    </row>
    <row r="516" ht="15.75" customHeight="1">
      <c r="B516" s="2"/>
      <c r="G516" s="2"/>
      <c r="N516" s="2"/>
      <c r="O516" s="2"/>
      <c r="P516" s="2"/>
      <c r="Q516" s="2"/>
      <c r="R516" s="2"/>
    </row>
    <row r="517" ht="15.75" customHeight="1">
      <c r="B517" s="2"/>
      <c r="G517" s="2"/>
      <c r="N517" s="2"/>
      <c r="O517" s="2"/>
      <c r="P517" s="2"/>
      <c r="Q517" s="2"/>
      <c r="R517" s="2"/>
    </row>
    <row r="518" ht="15.75" customHeight="1">
      <c r="B518" s="2"/>
      <c r="G518" s="2"/>
      <c r="N518" s="2"/>
      <c r="O518" s="2"/>
      <c r="P518" s="2"/>
      <c r="Q518" s="2"/>
      <c r="R518" s="2"/>
    </row>
    <row r="519" ht="15.75" customHeight="1">
      <c r="B519" s="2"/>
      <c r="G519" s="2"/>
      <c r="N519" s="2"/>
      <c r="O519" s="2"/>
      <c r="P519" s="2"/>
      <c r="Q519" s="2"/>
      <c r="R519" s="2"/>
    </row>
    <row r="520" ht="15.75" customHeight="1">
      <c r="B520" s="2"/>
      <c r="G520" s="2"/>
      <c r="N520" s="2"/>
      <c r="O520" s="2"/>
      <c r="P520" s="2"/>
      <c r="Q520" s="2"/>
      <c r="R520" s="2"/>
    </row>
    <row r="521" ht="15.75" customHeight="1">
      <c r="B521" s="2"/>
      <c r="G521" s="2"/>
      <c r="N521" s="2"/>
      <c r="O521" s="2"/>
      <c r="P521" s="2"/>
      <c r="Q521" s="2"/>
      <c r="R521" s="2"/>
    </row>
    <row r="522" ht="15.75" customHeight="1">
      <c r="B522" s="2"/>
      <c r="G522" s="2"/>
      <c r="N522" s="2"/>
      <c r="O522" s="2"/>
      <c r="P522" s="2"/>
      <c r="Q522" s="2"/>
      <c r="R522" s="2"/>
    </row>
    <row r="523" ht="15.75" customHeight="1">
      <c r="B523" s="2"/>
      <c r="G523" s="2"/>
      <c r="N523" s="2"/>
      <c r="O523" s="2"/>
      <c r="P523" s="2"/>
      <c r="Q523" s="2"/>
      <c r="R523" s="2"/>
    </row>
    <row r="524" ht="15.75" customHeight="1">
      <c r="B524" s="2"/>
      <c r="G524" s="2"/>
      <c r="N524" s="2"/>
      <c r="O524" s="2"/>
      <c r="P524" s="2"/>
      <c r="Q524" s="2"/>
      <c r="R524" s="2"/>
    </row>
    <row r="525" ht="15.75" customHeight="1">
      <c r="B525" s="2"/>
      <c r="G525" s="2"/>
      <c r="N525" s="2"/>
      <c r="O525" s="2"/>
      <c r="P525" s="2"/>
      <c r="Q525" s="2"/>
      <c r="R525" s="2"/>
    </row>
    <row r="526" ht="15.75" customHeight="1">
      <c r="B526" s="2"/>
      <c r="G526" s="2"/>
      <c r="N526" s="2"/>
      <c r="O526" s="2"/>
      <c r="P526" s="2"/>
      <c r="Q526" s="2"/>
      <c r="R526" s="2"/>
    </row>
    <row r="527" ht="15.75" customHeight="1">
      <c r="B527" s="2"/>
      <c r="G527" s="2"/>
      <c r="N527" s="2"/>
      <c r="O527" s="2"/>
      <c r="P527" s="2"/>
      <c r="Q527" s="2"/>
      <c r="R527" s="2"/>
    </row>
    <row r="528" ht="15.75" customHeight="1">
      <c r="B528" s="2"/>
      <c r="G528" s="2"/>
      <c r="N528" s="2"/>
      <c r="O528" s="2"/>
      <c r="P528" s="2"/>
      <c r="Q528" s="2"/>
      <c r="R528" s="2"/>
    </row>
    <row r="529" ht="15.75" customHeight="1">
      <c r="B529" s="2"/>
      <c r="G529" s="2"/>
      <c r="N529" s="2"/>
      <c r="O529" s="2"/>
      <c r="P529" s="2"/>
      <c r="Q529" s="2"/>
      <c r="R529" s="2"/>
    </row>
    <row r="530" ht="15.75" customHeight="1">
      <c r="B530" s="2"/>
      <c r="G530" s="2"/>
      <c r="N530" s="2"/>
      <c r="O530" s="2"/>
      <c r="P530" s="2"/>
      <c r="Q530" s="2"/>
      <c r="R530" s="2"/>
    </row>
    <row r="531" ht="15.75" customHeight="1">
      <c r="B531" s="2"/>
      <c r="G531" s="2"/>
      <c r="N531" s="2"/>
      <c r="O531" s="2"/>
      <c r="P531" s="2"/>
      <c r="Q531" s="2"/>
      <c r="R531" s="2"/>
    </row>
    <row r="532" ht="15.75" customHeight="1">
      <c r="B532" s="2"/>
      <c r="G532" s="2"/>
      <c r="N532" s="2"/>
      <c r="O532" s="2"/>
      <c r="P532" s="2"/>
      <c r="Q532" s="2"/>
      <c r="R532" s="2"/>
    </row>
    <row r="533" ht="15.75" customHeight="1">
      <c r="B533" s="2"/>
      <c r="G533" s="2"/>
      <c r="N533" s="2"/>
      <c r="O533" s="2"/>
      <c r="P533" s="2"/>
      <c r="Q533" s="2"/>
      <c r="R533" s="2"/>
    </row>
    <row r="534" ht="15.75" customHeight="1">
      <c r="B534" s="2"/>
      <c r="G534" s="2"/>
      <c r="N534" s="2"/>
      <c r="O534" s="2"/>
      <c r="P534" s="2"/>
      <c r="Q534" s="2"/>
      <c r="R534" s="2"/>
    </row>
    <row r="535" ht="15.75" customHeight="1">
      <c r="B535" s="2"/>
      <c r="G535" s="2"/>
      <c r="N535" s="2"/>
      <c r="O535" s="2"/>
      <c r="P535" s="2"/>
      <c r="Q535" s="2"/>
      <c r="R535" s="2"/>
    </row>
    <row r="536" ht="15.75" customHeight="1">
      <c r="B536" s="2"/>
      <c r="G536" s="2"/>
      <c r="N536" s="2"/>
      <c r="O536" s="2"/>
      <c r="P536" s="2"/>
      <c r="Q536" s="2"/>
      <c r="R536" s="2"/>
    </row>
    <row r="537" ht="15.75" customHeight="1">
      <c r="B537" s="2"/>
      <c r="G537" s="2"/>
      <c r="N537" s="2"/>
      <c r="O537" s="2"/>
      <c r="P537" s="2"/>
      <c r="Q537" s="2"/>
      <c r="R537" s="2"/>
    </row>
    <row r="538" ht="15.75" customHeight="1">
      <c r="B538" s="2"/>
      <c r="G538" s="2"/>
      <c r="N538" s="2"/>
      <c r="O538" s="2"/>
      <c r="P538" s="2"/>
      <c r="Q538" s="2"/>
      <c r="R538" s="2"/>
    </row>
    <row r="539" ht="15.75" customHeight="1">
      <c r="B539" s="2"/>
      <c r="G539" s="2"/>
      <c r="N539" s="2"/>
      <c r="O539" s="2"/>
      <c r="P539" s="2"/>
      <c r="Q539" s="2"/>
      <c r="R539" s="2"/>
    </row>
    <row r="540" ht="15.75" customHeight="1">
      <c r="B540" s="2"/>
      <c r="G540" s="2"/>
      <c r="N540" s="2"/>
      <c r="O540" s="2"/>
      <c r="P540" s="2"/>
      <c r="Q540" s="2"/>
      <c r="R540" s="2"/>
    </row>
    <row r="541" ht="15.75" customHeight="1">
      <c r="B541" s="2"/>
      <c r="G541" s="2"/>
      <c r="N541" s="2"/>
      <c r="O541" s="2"/>
      <c r="P541" s="2"/>
      <c r="Q541" s="2"/>
      <c r="R541" s="2"/>
    </row>
    <row r="542" ht="15.75" customHeight="1">
      <c r="B542" s="2"/>
      <c r="G542" s="2"/>
      <c r="N542" s="2"/>
      <c r="O542" s="2"/>
      <c r="P542" s="2"/>
      <c r="Q542" s="2"/>
      <c r="R542" s="2"/>
    </row>
    <row r="543" ht="15.75" customHeight="1">
      <c r="B543" s="2"/>
      <c r="G543" s="2"/>
      <c r="N543" s="2"/>
      <c r="O543" s="2"/>
      <c r="P543" s="2"/>
      <c r="Q543" s="2"/>
      <c r="R543" s="2"/>
    </row>
    <row r="544" ht="15.75" customHeight="1">
      <c r="B544" s="2"/>
      <c r="G544" s="2"/>
      <c r="N544" s="2"/>
      <c r="O544" s="2"/>
      <c r="P544" s="2"/>
      <c r="Q544" s="2"/>
      <c r="R544" s="2"/>
    </row>
    <row r="545" ht="15.75" customHeight="1">
      <c r="B545" s="2"/>
      <c r="G545" s="2"/>
      <c r="N545" s="2"/>
      <c r="O545" s="2"/>
      <c r="P545" s="2"/>
      <c r="Q545" s="2"/>
      <c r="R545" s="2"/>
    </row>
    <row r="546" ht="15.75" customHeight="1">
      <c r="B546" s="2"/>
      <c r="G546" s="2"/>
      <c r="N546" s="2"/>
      <c r="O546" s="2"/>
      <c r="P546" s="2"/>
      <c r="Q546" s="2"/>
      <c r="R546" s="2"/>
    </row>
    <row r="547" ht="15.75" customHeight="1">
      <c r="B547" s="2"/>
      <c r="G547" s="2"/>
      <c r="N547" s="2"/>
      <c r="O547" s="2"/>
      <c r="P547" s="2"/>
      <c r="Q547" s="2"/>
      <c r="R547" s="2"/>
    </row>
    <row r="548" ht="15.75" customHeight="1">
      <c r="B548" s="2"/>
      <c r="G548" s="2"/>
      <c r="N548" s="2"/>
      <c r="O548" s="2"/>
      <c r="P548" s="2"/>
      <c r="Q548" s="2"/>
      <c r="R548" s="2"/>
    </row>
    <row r="549" ht="15.75" customHeight="1">
      <c r="B549" s="2"/>
      <c r="G549" s="2"/>
      <c r="N549" s="2"/>
      <c r="O549" s="2"/>
      <c r="P549" s="2"/>
      <c r="Q549" s="2"/>
      <c r="R549" s="2"/>
    </row>
    <row r="550" ht="15.75" customHeight="1">
      <c r="B550" s="2"/>
      <c r="G550" s="2"/>
      <c r="N550" s="2"/>
      <c r="O550" s="2"/>
      <c r="P550" s="2"/>
      <c r="Q550" s="2"/>
      <c r="R550" s="2"/>
    </row>
    <row r="551" ht="15.75" customHeight="1">
      <c r="B551" s="2"/>
      <c r="G551" s="2"/>
      <c r="N551" s="2"/>
      <c r="O551" s="2"/>
      <c r="P551" s="2"/>
      <c r="Q551" s="2"/>
      <c r="R551" s="2"/>
    </row>
    <row r="552" ht="15.75" customHeight="1">
      <c r="B552" s="2"/>
      <c r="G552" s="2"/>
      <c r="N552" s="2"/>
      <c r="O552" s="2"/>
      <c r="P552" s="2"/>
      <c r="Q552" s="2"/>
      <c r="R552" s="2"/>
    </row>
    <row r="553" ht="15.75" customHeight="1">
      <c r="B553" s="2"/>
      <c r="G553" s="2"/>
      <c r="N553" s="2"/>
      <c r="O553" s="2"/>
      <c r="P553" s="2"/>
      <c r="Q553" s="2"/>
      <c r="R553" s="2"/>
    </row>
    <row r="554" ht="15.75" customHeight="1">
      <c r="B554" s="2"/>
      <c r="G554" s="2"/>
      <c r="N554" s="2"/>
      <c r="O554" s="2"/>
      <c r="P554" s="2"/>
      <c r="Q554" s="2"/>
      <c r="R554" s="2"/>
    </row>
    <row r="555" ht="15.75" customHeight="1">
      <c r="B555" s="2"/>
      <c r="G555" s="2"/>
      <c r="N555" s="2"/>
      <c r="O555" s="2"/>
      <c r="P555" s="2"/>
      <c r="Q555" s="2"/>
      <c r="R555" s="2"/>
    </row>
    <row r="556" ht="15.75" customHeight="1">
      <c r="B556" s="2"/>
      <c r="G556" s="2"/>
      <c r="N556" s="2"/>
      <c r="O556" s="2"/>
      <c r="P556" s="2"/>
      <c r="Q556" s="2"/>
      <c r="R556" s="2"/>
    </row>
    <row r="557" ht="15.75" customHeight="1">
      <c r="B557" s="2"/>
      <c r="G557" s="2"/>
      <c r="N557" s="2"/>
      <c r="O557" s="2"/>
      <c r="P557" s="2"/>
      <c r="Q557" s="2"/>
      <c r="R557" s="2"/>
    </row>
    <row r="558" ht="15.75" customHeight="1">
      <c r="B558" s="2"/>
      <c r="G558" s="2"/>
      <c r="N558" s="2"/>
      <c r="O558" s="2"/>
      <c r="P558" s="2"/>
      <c r="Q558" s="2"/>
      <c r="R558" s="2"/>
    </row>
    <row r="559" ht="15.75" customHeight="1">
      <c r="B559" s="2"/>
      <c r="G559" s="2"/>
      <c r="N559" s="2"/>
      <c r="O559" s="2"/>
      <c r="P559" s="2"/>
      <c r="Q559" s="2"/>
      <c r="R559" s="2"/>
    </row>
    <row r="560" ht="15.75" customHeight="1">
      <c r="B560" s="2"/>
      <c r="G560" s="2"/>
      <c r="N560" s="2"/>
      <c r="O560" s="2"/>
      <c r="P560" s="2"/>
      <c r="Q560" s="2"/>
      <c r="R560" s="2"/>
    </row>
    <row r="561" ht="15.75" customHeight="1">
      <c r="B561" s="2"/>
      <c r="G561" s="2"/>
      <c r="N561" s="2"/>
      <c r="O561" s="2"/>
      <c r="P561" s="2"/>
      <c r="Q561" s="2"/>
      <c r="R561" s="2"/>
    </row>
    <row r="562" ht="15.75" customHeight="1">
      <c r="B562" s="2"/>
      <c r="G562" s="2"/>
      <c r="N562" s="2"/>
      <c r="O562" s="2"/>
      <c r="P562" s="2"/>
      <c r="Q562" s="2"/>
      <c r="R562" s="2"/>
    </row>
    <row r="563" ht="15.75" customHeight="1">
      <c r="B563" s="2"/>
      <c r="G563" s="2"/>
      <c r="N563" s="2"/>
      <c r="O563" s="2"/>
      <c r="P563" s="2"/>
      <c r="Q563" s="2"/>
      <c r="R563" s="2"/>
    </row>
    <row r="564" ht="15.75" customHeight="1">
      <c r="B564" s="2"/>
      <c r="G564" s="2"/>
      <c r="N564" s="2"/>
      <c r="O564" s="2"/>
      <c r="P564" s="2"/>
      <c r="Q564" s="2"/>
      <c r="R564" s="2"/>
    </row>
    <row r="565" ht="15.75" customHeight="1">
      <c r="B565" s="2"/>
      <c r="G565" s="2"/>
      <c r="N565" s="2"/>
      <c r="O565" s="2"/>
      <c r="P565" s="2"/>
      <c r="Q565" s="2"/>
      <c r="R565" s="2"/>
    </row>
    <row r="566" ht="15.75" customHeight="1">
      <c r="B566" s="2"/>
      <c r="G566" s="2"/>
      <c r="N566" s="2"/>
      <c r="O566" s="2"/>
      <c r="P566" s="2"/>
      <c r="Q566" s="2"/>
      <c r="R566" s="2"/>
    </row>
    <row r="567" ht="15.75" customHeight="1">
      <c r="B567" s="2"/>
      <c r="G567" s="2"/>
      <c r="N567" s="2"/>
      <c r="O567" s="2"/>
      <c r="P567" s="2"/>
      <c r="Q567" s="2"/>
      <c r="R567" s="2"/>
    </row>
    <row r="568" ht="15.75" customHeight="1">
      <c r="B568" s="2"/>
      <c r="G568" s="2"/>
      <c r="N568" s="2"/>
      <c r="O568" s="2"/>
      <c r="P568" s="2"/>
      <c r="Q568" s="2"/>
      <c r="R568" s="2"/>
    </row>
    <row r="569" ht="15.75" customHeight="1">
      <c r="B569" s="2"/>
      <c r="G569" s="2"/>
      <c r="N569" s="2"/>
      <c r="O569" s="2"/>
      <c r="P569" s="2"/>
      <c r="Q569" s="2"/>
      <c r="R569" s="2"/>
    </row>
    <row r="570" ht="15.75" customHeight="1">
      <c r="B570" s="2"/>
      <c r="G570" s="2"/>
      <c r="N570" s="2"/>
      <c r="O570" s="2"/>
      <c r="P570" s="2"/>
      <c r="Q570" s="2"/>
      <c r="R570" s="2"/>
    </row>
    <row r="571" ht="15.75" customHeight="1">
      <c r="B571" s="2"/>
      <c r="G571" s="2"/>
      <c r="N571" s="2"/>
      <c r="O571" s="2"/>
      <c r="P571" s="2"/>
      <c r="Q571" s="2"/>
      <c r="R571" s="2"/>
    </row>
    <row r="572" ht="15.75" customHeight="1">
      <c r="B572" s="2"/>
      <c r="G572" s="2"/>
      <c r="N572" s="2"/>
      <c r="O572" s="2"/>
      <c r="P572" s="2"/>
      <c r="Q572" s="2"/>
      <c r="R572" s="2"/>
    </row>
    <row r="573" ht="15.75" customHeight="1">
      <c r="B573" s="2"/>
      <c r="G573" s="2"/>
      <c r="N573" s="2"/>
      <c r="O573" s="2"/>
      <c r="P573" s="2"/>
      <c r="Q573" s="2"/>
      <c r="R573" s="2"/>
    </row>
    <row r="574" ht="15.75" customHeight="1">
      <c r="B574" s="2"/>
      <c r="G574" s="2"/>
      <c r="N574" s="2"/>
      <c r="O574" s="2"/>
      <c r="P574" s="2"/>
      <c r="Q574" s="2"/>
      <c r="R574" s="2"/>
    </row>
    <row r="575" ht="15.75" customHeight="1">
      <c r="B575" s="2"/>
      <c r="G575" s="2"/>
      <c r="N575" s="2"/>
      <c r="O575" s="2"/>
      <c r="P575" s="2"/>
      <c r="Q575" s="2"/>
      <c r="R575" s="2"/>
    </row>
    <row r="576" ht="15.75" customHeight="1">
      <c r="B576" s="2"/>
      <c r="G576" s="2"/>
      <c r="N576" s="2"/>
      <c r="O576" s="2"/>
      <c r="P576" s="2"/>
      <c r="Q576" s="2"/>
      <c r="R576" s="2"/>
    </row>
    <row r="577" ht="15.75" customHeight="1">
      <c r="B577" s="2"/>
      <c r="G577" s="2"/>
      <c r="N577" s="2"/>
      <c r="O577" s="2"/>
      <c r="P577" s="2"/>
      <c r="Q577" s="2"/>
      <c r="R577" s="2"/>
    </row>
    <row r="578" ht="15.75" customHeight="1">
      <c r="B578" s="2"/>
      <c r="G578" s="2"/>
      <c r="N578" s="2"/>
      <c r="O578" s="2"/>
      <c r="P578" s="2"/>
      <c r="Q578" s="2"/>
      <c r="R578" s="2"/>
    </row>
    <row r="579" ht="15.75" customHeight="1">
      <c r="B579" s="2"/>
      <c r="G579" s="2"/>
      <c r="N579" s="2"/>
      <c r="O579" s="2"/>
      <c r="P579" s="2"/>
      <c r="Q579" s="2"/>
      <c r="R579" s="2"/>
    </row>
    <row r="580" ht="15.75" customHeight="1">
      <c r="B580" s="2"/>
      <c r="G580" s="2"/>
      <c r="N580" s="2"/>
      <c r="O580" s="2"/>
      <c r="P580" s="2"/>
      <c r="Q580" s="2"/>
      <c r="R580" s="2"/>
    </row>
    <row r="581" ht="15.75" customHeight="1">
      <c r="B581" s="2"/>
      <c r="G581" s="2"/>
      <c r="N581" s="2"/>
      <c r="O581" s="2"/>
      <c r="P581" s="2"/>
      <c r="Q581" s="2"/>
      <c r="R581" s="2"/>
    </row>
    <row r="582" ht="15.75" customHeight="1">
      <c r="B582" s="2"/>
      <c r="G582" s="2"/>
      <c r="N582" s="2"/>
      <c r="O582" s="2"/>
      <c r="P582" s="2"/>
      <c r="Q582" s="2"/>
      <c r="R582" s="2"/>
    </row>
    <row r="583" ht="15.75" customHeight="1">
      <c r="B583" s="2"/>
      <c r="G583" s="2"/>
      <c r="N583" s="2"/>
      <c r="O583" s="2"/>
      <c r="P583" s="2"/>
      <c r="Q583" s="2"/>
      <c r="R583" s="2"/>
    </row>
    <row r="584" ht="15.75" customHeight="1">
      <c r="B584" s="2"/>
      <c r="G584" s="2"/>
      <c r="N584" s="2"/>
      <c r="O584" s="2"/>
      <c r="P584" s="2"/>
      <c r="Q584" s="2"/>
      <c r="R584" s="2"/>
    </row>
    <row r="585" ht="15.75" customHeight="1">
      <c r="B585" s="2"/>
      <c r="G585" s="2"/>
      <c r="N585" s="2"/>
      <c r="O585" s="2"/>
      <c r="P585" s="2"/>
      <c r="Q585" s="2"/>
      <c r="R585" s="2"/>
    </row>
    <row r="586" ht="15.75" customHeight="1">
      <c r="B586" s="2"/>
      <c r="G586" s="2"/>
      <c r="N586" s="2"/>
      <c r="O586" s="2"/>
      <c r="P586" s="2"/>
      <c r="Q586" s="2"/>
      <c r="R586" s="2"/>
    </row>
    <row r="587" ht="15.75" customHeight="1">
      <c r="B587" s="2"/>
      <c r="G587" s="2"/>
      <c r="N587" s="2"/>
      <c r="O587" s="2"/>
      <c r="P587" s="2"/>
      <c r="Q587" s="2"/>
      <c r="R587" s="2"/>
    </row>
    <row r="588" ht="15.75" customHeight="1">
      <c r="B588" s="2"/>
      <c r="G588" s="2"/>
      <c r="N588" s="2"/>
      <c r="O588" s="2"/>
      <c r="P588" s="2"/>
      <c r="Q588" s="2"/>
      <c r="R588" s="2"/>
    </row>
    <row r="589" ht="15.75" customHeight="1">
      <c r="B589" s="2"/>
      <c r="G589" s="2"/>
      <c r="N589" s="2"/>
      <c r="O589" s="2"/>
      <c r="P589" s="2"/>
      <c r="Q589" s="2"/>
      <c r="R589" s="2"/>
    </row>
    <row r="590" ht="15.75" customHeight="1">
      <c r="B590" s="2"/>
      <c r="G590" s="2"/>
      <c r="N590" s="2"/>
      <c r="O590" s="2"/>
      <c r="P590" s="2"/>
      <c r="Q590" s="2"/>
      <c r="R590" s="2"/>
    </row>
    <row r="591" ht="15.75" customHeight="1">
      <c r="B591" s="2"/>
      <c r="G591" s="2"/>
      <c r="N591" s="2"/>
      <c r="O591" s="2"/>
      <c r="P591" s="2"/>
      <c r="Q591" s="2"/>
      <c r="R591" s="2"/>
    </row>
    <row r="592" ht="15.75" customHeight="1">
      <c r="B592" s="2"/>
      <c r="G592" s="2"/>
      <c r="N592" s="2"/>
      <c r="O592" s="2"/>
      <c r="P592" s="2"/>
      <c r="Q592" s="2"/>
      <c r="R592" s="2"/>
    </row>
    <row r="593" ht="15.75" customHeight="1">
      <c r="B593" s="2"/>
      <c r="G593" s="2"/>
      <c r="N593" s="2"/>
      <c r="O593" s="2"/>
      <c r="P593" s="2"/>
      <c r="Q593" s="2"/>
      <c r="R593" s="2"/>
    </row>
    <row r="594" ht="15.75" customHeight="1">
      <c r="B594" s="2"/>
      <c r="G594" s="2"/>
      <c r="N594" s="2"/>
      <c r="O594" s="2"/>
      <c r="P594" s="2"/>
      <c r="Q594" s="2"/>
      <c r="R594" s="2"/>
    </row>
    <row r="595" ht="15.75" customHeight="1">
      <c r="B595" s="2"/>
      <c r="G595" s="2"/>
      <c r="N595" s="2"/>
      <c r="O595" s="2"/>
      <c r="P595" s="2"/>
      <c r="Q595" s="2"/>
      <c r="R595" s="2"/>
    </row>
    <row r="596" ht="15.75" customHeight="1">
      <c r="B596" s="2"/>
      <c r="G596" s="2"/>
      <c r="N596" s="2"/>
      <c r="O596" s="2"/>
      <c r="P596" s="2"/>
      <c r="Q596" s="2"/>
      <c r="R596" s="2"/>
    </row>
    <row r="597" ht="15.75" customHeight="1">
      <c r="B597" s="2"/>
      <c r="G597" s="2"/>
      <c r="N597" s="2"/>
      <c r="O597" s="2"/>
      <c r="P597" s="2"/>
      <c r="Q597" s="2"/>
      <c r="R597" s="2"/>
    </row>
    <row r="598" ht="15.75" customHeight="1">
      <c r="B598" s="2"/>
      <c r="G598" s="2"/>
      <c r="N598" s="2"/>
      <c r="O598" s="2"/>
      <c r="P598" s="2"/>
      <c r="Q598" s="2"/>
      <c r="R598" s="2"/>
    </row>
    <row r="599" ht="15.75" customHeight="1">
      <c r="B599" s="2"/>
      <c r="G599" s="2"/>
      <c r="N599" s="2"/>
      <c r="O599" s="2"/>
      <c r="P599" s="2"/>
      <c r="Q599" s="2"/>
      <c r="R599" s="2"/>
    </row>
    <row r="600" ht="15.75" customHeight="1">
      <c r="B600" s="2"/>
      <c r="G600" s="2"/>
      <c r="N600" s="2"/>
      <c r="O600" s="2"/>
      <c r="P600" s="2"/>
      <c r="Q600" s="2"/>
      <c r="R600" s="2"/>
    </row>
    <row r="601" ht="15.75" customHeight="1">
      <c r="B601" s="2"/>
      <c r="G601" s="2"/>
      <c r="N601" s="2"/>
      <c r="O601" s="2"/>
      <c r="P601" s="2"/>
      <c r="Q601" s="2"/>
      <c r="R601" s="2"/>
    </row>
    <row r="602" ht="15.75" customHeight="1">
      <c r="B602" s="2"/>
      <c r="G602" s="2"/>
      <c r="N602" s="2"/>
      <c r="O602" s="2"/>
      <c r="P602" s="2"/>
      <c r="Q602" s="2"/>
      <c r="R602" s="2"/>
    </row>
    <row r="603" ht="15.75" customHeight="1">
      <c r="B603" s="2"/>
      <c r="G603" s="2"/>
      <c r="N603" s="2"/>
      <c r="O603" s="2"/>
      <c r="P603" s="2"/>
      <c r="Q603" s="2"/>
      <c r="R603" s="2"/>
    </row>
    <row r="604" ht="15.75" customHeight="1">
      <c r="B604" s="2"/>
      <c r="G604" s="2"/>
      <c r="N604" s="2"/>
      <c r="O604" s="2"/>
      <c r="P604" s="2"/>
      <c r="Q604" s="2"/>
      <c r="R604" s="2"/>
    </row>
    <row r="605" ht="15.75" customHeight="1">
      <c r="B605" s="2"/>
      <c r="G605" s="2"/>
      <c r="N605" s="2"/>
      <c r="O605" s="2"/>
      <c r="P605" s="2"/>
      <c r="Q605" s="2"/>
      <c r="R605" s="2"/>
    </row>
    <row r="606" ht="15.75" customHeight="1">
      <c r="B606" s="2"/>
      <c r="G606" s="2"/>
      <c r="N606" s="2"/>
      <c r="O606" s="2"/>
      <c r="P606" s="2"/>
      <c r="Q606" s="2"/>
      <c r="R606" s="2"/>
    </row>
    <row r="607" ht="15.75" customHeight="1">
      <c r="B607" s="2"/>
      <c r="G607" s="2"/>
      <c r="N607" s="2"/>
      <c r="O607" s="2"/>
      <c r="P607" s="2"/>
      <c r="Q607" s="2"/>
      <c r="R607" s="2"/>
    </row>
    <row r="608" ht="15.75" customHeight="1">
      <c r="B608" s="2"/>
      <c r="G608" s="2"/>
      <c r="N608" s="2"/>
      <c r="O608" s="2"/>
      <c r="P608" s="2"/>
      <c r="Q608" s="2"/>
      <c r="R608" s="2"/>
    </row>
    <row r="609" ht="15.75" customHeight="1">
      <c r="B609" s="2"/>
      <c r="G609" s="2"/>
      <c r="N609" s="2"/>
      <c r="O609" s="2"/>
      <c r="P609" s="2"/>
      <c r="Q609" s="2"/>
      <c r="R609" s="2"/>
    </row>
    <row r="610" ht="15.75" customHeight="1">
      <c r="B610" s="2"/>
      <c r="G610" s="2"/>
      <c r="N610" s="2"/>
      <c r="O610" s="2"/>
      <c r="P610" s="2"/>
      <c r="Q610" s="2"/>
      <c r="R610" s="2"/>
    </row>
    <row r="611" ht="15.75" customHeight="1">
      <c r="B611" s="2"/>
      <c r="G611" s="2"/>
      <c r="N611" s="2"/>
      <c r="O611" s="2"/>
      <c r="P611" s="2"/>
      <c r="Q611" s="2"/>
      <c r="R611" s="2"/>
    </row>
    <row r="612" ht="15.75" customHeight="1">
      <c r="B612" s="2"/>
      <c r="G612" s="2"/>
      <c r="N612" s="2"/>
      <c r="O612" s="2"/>
      <c r="P612" s="2"/>
      <c r="Q612" s="2"/>
      <c r="R612" s="2"/>
    </row>
    <row r="613" ht="15.75" customHeight="1">
      <c r="B613" s="2"/>
      <c r="G613" s="2"/>
      <c r="N613" s="2"/>
      <c r="O613" s="2"/>
      <c r="P613" s="2"/>
      <c r="Q613" s="2"/>
      <c r="R613" s="2"/>
    </row>
    <row r="614" ht="15.75" customHeight="1">
      <c r="B614" s="2"/>
      <c r="G614" s="2"/>
      <c r="N614" s="2"/>
      <c r="O614" s="2"/>
      <c r="P614" s="2"/>
      <c r="Q614" s="2"/>
      <c r="R614" s="2"/>
    </row>
    <row r="615" ht="15.75" customHeight="1">
      <c r="B615" s="2"/>
      <c r="G615" s="2"/>
      <c r="N615" s="2"/>
      <c r="O615" s="2"/>
      <c r="P615" s="2"/>
      <c r="Q615" s="2"/>
      <c r="R615" s="2"/>
    </row>
    <row r="616" ht="15.75" customHeight="1">
      <c r="B616" s="2"/>
      <c r="G616" s="2"/>
      <c r="N616" s="2"/>
      <c r="O616" s="2"/>
      <c r="P616" s="2"/>
      <c r="Q616" s="2"/>
      <c r="R616" s="2"/>
    </row>
    <row r="617" ht="15.75" customHeight="1">
      <c r="B617" s="2"/>
      <c r="G617" s="2"/>
      <c r="N617" s="2"/>
      <c r="O617" s="2"/>
      <c r="P617" s="2"/>
      <c r="Q617" s="2"/>
      <c r="R617" s="2"/>
    </row>
    <row r="618" ht="15.75" customHeight="1">
      <c r="B618" s="2"/>
      <c r="G618" s="2"/>
      <c r="N618" s="2"/>
      <c r="O618" s="2"/>
      <c r="P618" s="2"/>
      <c r="Q618" s="2"/>
      <c r="R618" s="2"/>
    </row>
    <row r="619" ht="15.75" customHeight="1">
      <c r="B619" s="2"/>
      <c r="G619" s="2"/>
      <c r="N619" s="2"/>
      <c r="O619" s="2"/>
      <c r="P619" s="2"/>
      <c r="Q619" s="2"/>
      <c r="R619" s="2"/>
    </row>
    <row r="620" ht="15.75" customHeight="1">
      <c r="B620" s="2"/>
      <c r="G620" s="2"/>
      <c r="N620" s="2"/>
      <c r="O620" s="2"/>
      <c r="P620" s="2"/>
      <c r="Q620" s="2"/>
      <c r="R620" s="2"/>
    </row>
    <row r="621" ht="15.75" customHeight="1">
      <c r="B621" s="2"/>
      <c r="G621" s="2"/>
      <c r="N621" s="2"/>
      <c r="O621" s="2"/>
      <c r="P621" s="2"/>
      <c r="Q621" s="2"/>
      <c r="R621" s="2"/>
    </row>
    <row r="622" ht="15.75" customHeight="1">
      <c r="B622" s="2"/>
      <c r="G622" s="2"/>
      <c r="N622" s="2"/>
      <c r="O622" s="2"/>
      <c r="P622" s="2"/>
      <c r="Q622" s="2"/>
      <c r="R622" s="2"/>
    </row>
    <row r="623" ht="15.75" customHeight="1">
      <c r="B623" s="2"/>
      <c r="G623" s="2"/>
      <c r="N623" s="2"/>
      <c r="O623" s="2"/>
      <c r="P623" s="2"/>
      <c r="Q623" s="2"/>
      <c r="R623" s="2"/>
    </row>
    <row r="624" ht="15.75" customHeight="1">
      <c r="B624" s="2"/>
      <c r="G624" s="2"/>
      <c r="N624" s="2"/>
      <c r="O624" s="2"/>
      <c r="P624" s="2"/>
      <c r="Q624" s="2"/>
      <c r="R624" s="2"/>
    </row>
    <row r="625" ht="15.75" customHeight="1">
      <c r="B625" s="2"/>
      <c r="G625" s="2"/>
      <c r="N625" s="2"/>
      <c r="O625" s="2"/>
      <c r="P625" s="2"/>
      <c r="Q625" s="2"/>
      <c r="R625" s="2"/>
    </row>
    <row r="626" ht="15.75" customHeight="1">
      <c r="B626" s="2"/>
      <c r="G626" s="2"/>
      <c r="N626" s="2"/>
      <c r="O626" s="2"/>
      <c r="P626" s="2"/>
      <c r="Q626" s="2"/>
      <c r="R626" s="2"/>
    </row>
    <row r="627" ht="15.75" customHeight="1">
      <c r="B627" s="2"/>
      <c r="G627" s="2"/>
      <c r="N627" s="2"/>
      <c r="O627" s="2"/>
      <c r="P627" s="2"/>
      <c r="Q627" s="2"/>
      <c r="R627" s="2"/>
    </row>
    <row r="628" ht="15.75" customHeight="1">
      <c r="B628" s="2"/>
      <c r="G628" s="2"/>
      <c r="N628" s="2"/>
      <c r="O628" s="2"/>
      <c r="P628" s="2"/>
      <c r="Q628" s="2"/>
      <c r="R628" s="2"/>
    </row>
    <row r="629" ht="15.75" customHeight="1">
      <c r="B629" s="2"/>
      <c r="G629" s="2"/>
      <c r="N629" s="2"/>
      <c r="O629" s="2"/>
      <c r="P629" s="2"/>
      <c r="Q629" s="2"/>
      <c r="R629" s="2"/>
    </row>
    <row r="630" ht="15.75" customHeight="1">
      <c r="B630" s="2"/>
      <c r="G630" s="2"/>
      <c r="N630" s="2"/>
      <c r="O630" s="2"/>
      <c r="P630" s="2"/>
      <c r="Q630" s="2"/>
      <c r="R630" s="2"/>
    </row>
    <row r="631" ht="15.75" customHeight="1">
      <c r="B631" s="2"/>
      <c r="G631" s="2"/>
      <c r="N631" s="2"/>
      <c r="O631" s="2"/>
      <c r="P631" s="2"/>
      <c r="Q631" s="2"/>
      <c r="R631" s="2"/>
    </row>
    <row r="632" ht="15.75" customHeight="1">
      <c r="B632" s="2"/>
      <c r="G632" s="2"/>
      <c r="N632" s="2"/>
      <c r="O632" s="2"/>
      <c r="P632" s="2"/>
      <c r="Q632" s="2"/>
      <c r="R632" s="2"/>
    </row>
    <row r="633" ht="15.75" customHeight="1">
      <c r="B633" s="2"/>
      <c r="G633" s="2"/>
      <c r="N633" s="2"/>
      <c r="O633" s="2"/>
      <c r="P633" s="2"/>
      <c r="Q633" s="2"/>
      <c r="R633" s="2"/>
    </row>
    <row r="634" ht="15.75" customHeight="1">
      <c r="B634" s="2"/>
      <c r="G634" s="2"/>
      <c r="N634" s="2"/>
      <c r="O634" s="2"/>
      <c r="P634" s="2"/>
      <c r="Q634" s="2"/>
      <c r="R634" s="2"/>
    </row>
    <row r="635" ht="15.75" customHeight="1">
      <c r="B635" s="2"/>
      <c r="G635" s="2"/>
      <c r="N635" s="2"/>
      <c r="O635" s="2"/>
      <c r="P635" s="2"/>
      <c r="Q635" s="2"/>
      <c r="R635" s="2"/>
    </row>
    <row r="636" ht="15.75" customHeight="1">
      <c r="B636" s="2"/>
      <c r="G636" s="2"/>
      <c r="N636" s="2"/>
      <c r="O636" s="2"/>
      <c r="P636" s="2"/>
      <c r="Q636" s="2"/>
      <c r="R636" s="2"/>
    </row>
    <row r="637" ht="15.75" customHeight="1">
      <c r="B637" s="2"/>
      <c r="G637" s="2"/>
      <c r="N637" s="2"/>
      <c r="O637" s="2"/>
      <c r="P637" s="2"/>
      <c r="Q637" s="2"/>
      <c r="R637" s="2"/>
    </row>
    <row r="638" ht="15.75" customHeight="1">
      <c r="B638" s="2"/>
      <c r="G638" s="2"/>
      <c r="N638" s="2"/>
      <c r="O638" s="2"/>
      <c r="P638" s="2"/>
      <c r="Q638" s="2"/>
      <c r="R638" s="2"/>
    </row>
    <row r="639" ht="15.75" customHeight="1">
      <c r="B639" s="2"/>
      <c r="G639" s="2"/>
      <c r="N639" s="2"/>
      <c r="O639" s="2"/>
      <c r="P639" s="2"/>
      <c r="Q639" s="2"/>
      <c r="R639" s="2"/>
    </row>
    <row r="640" ht="15.75" customHeight="1">
      <c r="B640" s="2"/>
      <c r="G640" s="2"/>
      <c r="N640" s="2"/>
      <c r="O640" s="2"/>
      <c r="P640" s="2"/>
      <c r="Q640" s="2"/>
      <c r="R640" s="2"/>
    </row>
    <row r="641" ht="15.75" customHeight="1">
      <c r="B641" s="2"/>
      <c r="G641" s="2"/>
      <c r="N641" s="2"/>
      <c r="O641" s="2"/>
      <c r="P641" s="2"/>
      <c r="Q641" s="2"/>
      <c r="R641" s="2"/>
    </row>
    <row r="642" ht="15.75" customHeight="1">
      <c r="B642" s="2"/>
      <c r="G642" s="2"/>
      <c r="N642" s="2"/>
      <c r="O642" s="2"/>
      <c r="P642" s="2"/>
      <c r="Q642" s="2"/>
      <c r="R642" s="2"/>
    </row>
    <row r="643" ht="15.75" customHeight="1">
      <c r="B643" s="2"/>
      <c r="G643" s="2"/>
      <c r="N643" s="2"/>
      <c r="O643" s="2"/>
      <c r="P643" s="2"/>
      <c r="Q643" s="2"/>
      <c r="R643" s="2"/>
    </row>
    <row r="644" ht="15.75" customHeight="1">
      <c r="B644" s="2"/>
      <c r="G644" s="2"/>
      <c r="N644" s="2"/>
      <c r="O644" s="2"/>
      <c r="P644" s="2"/>
      <c r="Q644" s="2"/>
      <c r="R644" s="2"/>
    </row>
    <row r="645" ht="15.75" customHeight="1">
      <c r="B645" s="2"/>
      <c r="G645" s="2"/>
      <c r="N645" s="2"/>
      <c r="O645" s="2"/>
      <c r="P645" s="2"/>
      <c r="Q645" s="2"/>
      <c r="R645" s="2"/>
    </row>
    <row r="646" ht="15.75" customHeight="1">
      <c r="B646" s="2"/>
      <c r="G646" s="2"/>
      <c r="N646" s="2"/>
      <c r="O646" s="2"/>
      <c r="P646" s="2"/>
      <c r="Q646" s="2"/>
      <c r="R646" s="2"/>
    </row>
    <row r="647" ht="15.75" customHeight="1">
      <c r="B647" s="2"/>
      <c r="G647" s="2"/>
      <c r="N647" s="2"/>
      <c r="O647" s="2"/>
      <c r="P647" s="2"/>
      <c r="Q647" s="2"/>
      <c r="R647" s="2"/>
    </row>
    <row r="648" ht="15.75" customHeight="1">
      <c r="B648" s="2"/>
      <c r="G648" s="2"/>
      <c r="N648" s="2"/>
      <c r="O648" s="2"/>
      <c r="P648" s="2"/>
      <c r="Q648" s="2"/>
      <c r="R648" s="2"/>
    </row>
    <row r="649" ht="15.75" customHeight="1">
      <c r="B649" s="2"/>
      <c r="G649" s="2"/>
      <c r="N649" s="2"/>
      <c r="O649" s="2"/>
      <c r="P649" s="2"/>
      <c r="Q649" s="2"/>
      <c r="R649" s="2"/>
    </row>
    <row r="650" ht="15.75" customHeight="1">
      <c r="B650" s="2"/>
      <c r="G650" s="2"/>
      <c r="N650" s="2"/>
      <c r="O650" s="2"/>
      <c r="P650" s="2"/>
      <c r="Q650" s="2"/>
      <c r="R650" s="2"/>
    </row>
    <row r="651" ht="15.75" customHeight="1">
      <c r="B651" s="2"/>
      <c r="G651" s="2"/>
      <c r="N651" s="2"/>
      <c r="O651" s="2"/>
      <c r="P651" s="2"/>
      <c r="Q651" s="2"/>
      <c r="R651" s="2"/>
    </row>
    <row r="652" ht="15.75" customHeight="1">
      <c r="B652" s="2"/>
      <c r="G652" s="2"/>
      <c r="N652" s="2"/>
      <c r="O652" s="2"/>
      <c r="P652" s="2"/>
      <c r="Q652" s="2"/>
      <c r="R652" s="2"/>
    </row>
    <row r="653" ht="15.75" customHeight="1">
      <c r="B653" s="2"/>
      <c r="G653" s="2"/>
      <c r="N653" s="2"/>
      <c r="O653" s="2"/>
      <c r="P653" s="2"/>
      <c r="Q653" s="2"/>
      <c r="R653" s="2"/>
    </row>
    <row r="654" ht="15.75" customHeight="1">
      <c r="B654" s="2"/>
      <c r="G654" s="2"/>
      <c r="N654" s="2"/>
      <c r="O654" s="2"/>
      <c r="P654" s="2"/>
      <c r="Q654" s="2"/>
      <c r="R654" s="2"/>
    </row>
    <row r="655" ht="15.75" customHeight="1">
      <c r="B655" s="2"/>
      <c r="G655" s="2"/>
      <c r="N655" s="2"/>
      <c r="O655" s="2"/>
      <c r="P655" s="2"/>
      <c r="Q655" s="2"/>
      <c r="R655" s="2"/>
    </row>
    <row r="656" ht="15.75" customHeight="1">
      <c r="B656" s="2"/>
      <c r="G656" s="2"/>
      <c r="N656" s="2"/>
      <c r="O656" s="2"/>
      <c r="P656" s="2"/>
      <c r="Q656" s="2"/>
      <c r="R656" s="2"/>
    </row>
    <row r="657" ht="15.75" customHeight="1">
      <c r="B657" s="2"/>
      <c r="G657" s="2"/>
      <c r="N657" s="2"/>
      <c r="O657" s="2"/>
      <c r="P657" s="2"/>
      <c r="Q657" s="2"/>
      <c r="R657" s="2"/>
    </row>
    <row r="658" ht="15.75" customHeight="1">
      <c r="B658" s="2"/>
      <c r="G658" s="2"/>
      <c r="N658" s="2"/>
      <c r="O658" s="2"/>
      <c r="P658" s="2"/>
      <c r="Q658" s="2"/>
      <c r="R658" s="2"/>
    </row>
    <row r="659" ht="15.75" customHeight="1">
      <c r="B659" s="2"/>
      <c r="G659" s="2"/>
      <c r="N659" s="2"/>
      <c r="O659" s="2"/>
      <c r="P659" s="2"/>
      <c r="Q659" s="2"/>
      <c r="R659" s="2"/>
    </row>
    <row r="660" ht="15.75" customHeight="1">
      <c r="B660" s="2"/>
      <c r="G660" s="2"/>
      <c r="N660" s="2"/>
      <c r="O660" s="2"/>
      <c r="P660" s="2"/>
      <c r="Q660" s="2"/>
      <c r="R660" s="2"/>
    </row>
    <row r="661" ht="15.75" customHeight="1">
      <c r="B661" s="2"/>
      <c r="G661" s="2"/>
      <c r="N661" s="2"/>
      <c r="O661" s="2"/>
      <c r="P661" s="2"/>
      <c r="Q661" s="2"/>
      <c r="R661" s="2"/>
    </row>
    <row r="662" ht="15.75" customHeight="1">
      <c r="B662" s="2"/>
      <c r="G662" s="2"/>
      <c r="N662" s="2"/>
      <c r="O662" s="2"/>
      <c r="P662" s="2"/>
      <c r="Q662" s="2"/>
      <c r="R662" s="2"/>
    </row>
    <row r="663" ht="15.75" customHeight="1">
      <c r="B663" s="2"/>
      <c r="G663" s="2"/>
      <c r="N663" s="2"/>
      <c r="O663" s="2"/>
      <c r="P663" s="2"/>
      <c r="Q663" s="2"/>
      <c r="R663" s="2"/>
    </row>
    <row r="664" ht="15.75" customHeight="1">
      <c r="B664" s="2"/>
      <c r="G664" s="2"/>
      <c r="N664" s="2"/>
      <c r="O664" s="2"/>
      <c r="P664" s="2"/>
      <c r="Q664" s="2"/>
      <c r="R664" s="2"/>
    </row>
    <row r="665" ht="15.75" customHeight="1">
      <c r="B665" s="2"/>
      <c r="G665" s="2"/>
      <c r="N665" s="2"/>
      <c r="O665" s="2"/>
      <c r="P665" s="2"/>
      <c r="Q665" s="2"/>
      <c r="R665" s="2"/>
    </row>
    <row r="666" ht="15.75" customHeight="1">
      <c r="B666" s="2"/>
      <c r="G666" s="2"/>
      <c r="N666" s="2"/>
      <c r="O666" s="2"/>
      <c r="P666" s="2"/>
      <c r="Q666" s="2"/>
      <c r="R666" s="2"/>
    </row>
    <row r="667" ht="15.75" customHeight="1">
      <c r="B667" s="2"/>
      <c r="G667" s="2"/>
      <c r="N667" s="2"/>
      <c r="O667" s="2"/>
      <c r="P667" s="2"/>
      <c r="Q667" s="2"/>
      <c r="R667" s="2"/>
    </row>
    <row r="668" ht="15.75" customHeight="1">
      <c r="B668" s="2"/>
      <c r="G668" s="2"/>
      <c r="N668" s="2"/>
      <c r="O668" s="2"/>
      <c r="P668" s="2"/>
      <c r="Q668" s="2"/>
      <c r="R668" s="2"/>
    </row>
    <row r="669" ht="15.75" customHeight="1">
      <c r="B669" s="2"/>
      <c r="G669" s="2"/>
      <c r="N669" s="2"/>
      <c r="O669" s="2"/>
      <c r="P669" s="2"/>
      <c r="Q669" s="2"/>
      <c r="R669" s="2"/>
    </row>
    <row r="670" ht="15.75" customHeight="1">
      <c r="B670" s="2"/>
      <c r="G670" s="2"/>
      <c r="N670" s="2"/>
      <c r="O670" s="2"/>
      <c r="P670" s="2"/>
      <c r="Q670" s="2"/>
      <c r="R670" s="2"/>
    </row>
    <row r="671" ht="15.75" customHeight="1">
      <c r="B671" s="2"/>
      <c r="G671" s="2"/>
      <c r="N671" s="2"/>
      <c r="O671" s="2"/>
      <c r="P671" s="2"/>
      <c r="Q671" s="2"/>
      <c r="R671" s="2"/>
    </row>
    <row r="672" ht="15.75" customHeight="1">
      <c r="B672" s="2"/>
      <c r="G672" s="2"/>
      <c r="N672" s="2"/>
      <c r="O672" s="2"/>
      <c r="P672" s="2"/>
      <c r="Q672" s="2"/>
      <c r="R672" s="2"/>
    </row>
    <row r="673" ht="15.75" customHeight="1">
      <c r="B673" s="2"/>
      <c r="G673" s="2"/>
      <c r="N673" s="2"/>
      <c r="O673" s="2"/>
      <c r="P673" s="2"/>
      <c r="Q673" s="2"/>
      <c r="R673" s="2"/>
    </row>
    <row r="674" ht="15.75" customHeight="1">
      <c r="B674" s="2"/>
      <c r="G674" s="2"/>
      <c r="N674" s="2"/>
      <c r="O674" s="2"/>
      <c r="P674" s="2"/>
      <c r="Q674" s="2"/>
      <c r="R674" s="2"/>
    </row>
    <row r="675" ht="15.75" customHeight="1">
      <c r="B675" s="2"/>
      <c r="G675" s="2"/>
      <c r="N675" s="2"/>
      <c r="O675" s="2"/>
      <c r="P675" s="2"/>
      <c r="Q675" s="2"/>
      <c r="R675" s="2"/>
    </row>
    <row r="676" ht="15.75" customHeight="1">
      <c r="B676" s="2"/>
      <c r="G676" s="2"/>
      <c r="N676" s="2"/>
      <c r="O676" s="2"/>
      <c r="P676" s="2"/>
      <c r="Q676" s="2"/>
      <c r="R676" s="2"/>
    </row>
    <row r="677" ht="15.75" customHeight="1">
      <c r="B677" s="2"/>
      <c r="G677" s="2"/>
      <c r="N677" s="2"/>
      <c r="O677" s="2"/>
      <c r="P677" s="2"/>
      <c r="Q677" s="2"/>
      <c r="R677" s="2"/>
    </row>
    <row r="678" ht="15.75" customHeight="1">
      <c r="B678" s="2"/>
      <c r="G678" s="2"/>
      <c r="N678" s="2"/>
      <c r="O678" s="2"/>
      <c r="P678" s="2"/>
      <c r="Q678" s="2"/>
      <c r="R678" s="2"/>
    </row>
    <row r="679" ht="15.75" customHeight="1">
      <c r="B679" s="2"/>
      <c r="G679" s="2"/>
      <c r="N679" s="2"/>
      <c r="O679" s="2"/>
      <c r="P679" s="2"/>
      <c r="Q679" s="2"/>
      <c r="R679" s="2"/>
    </row>
    <row r="680" ht="15.75" customHeight="1">
      <c r="B680" s="2"/>
      <c r="G680" s="2"/>
      <c r="N680" s="2"/>
      <c r="O680" s="2"/>
      <c r="P680" s="2"/>
      <c r="Q680" s="2"/>
      <c r="R680" s="2"/>
    </row>
    <row r="681" ht="15.75" customHeight="1">
      <c r="B681" s="2"/>
      <c r="G681" s="2"/>
      <c r="N681" s="2"/>
      <c r="O681" s="2"/>
      <c r="P681" s="2"/>
      <c r="Q681" s="2"/>
      <c r="R681" s="2"/>
    </row>
    <row r="682" ht="15.75" customHeight="1">
      <c r="B682" s="2"/>
      <c r="G682" s="2"/>
      <c r="N682" s="2"/>
      <c r="O682" s="2"/>
      <c r="P682" s="2"/>
      <c r="Q682" s="2"/>
      <c r="R682" s="2"/>
    </row>
    <row r="683" ht="15.75" customHeight="1">
      <c r="B683" s="2"/>
      <c r="G683" s="2"/>
      <c r="N683" s="2"/>
      <c r="O683" s="2"/>
      <c r="P683" s="2"/>
      <c r="Q683" s="2"/>
      <c r="R683" s="2"/>
    </row>
    <row r="684" ht="15.75" customHeight="1">
      <c r="B684" s="2"/>
      <c r="G684" s="2"/>
      <c r="N684" s="2"/>
      <c r="O684" s="2"/>
      <c r="P684" s="2"/>
      <c r="Q684" s="2"/>
      <c r="R684" s="2"/>
    </row>
    <row r="685" ht="15.75" customHeight="1">
      <c r="B685" s="2"/>
      <c r="G685" s="2"/>
      <c r="N685" s="2"/>
      <c r="O685" s="2"/>
      <c r="P685" s="2"/>
      <c r="Q685" s="2"/>
      <c r="R685" s="2"/>
    </row>
    <row r="686" ht="15.75" customHeight="1">
      <c r="B686" s="2"/>
      <c r="G686" s="2"/>
      <c r="N686" s="2"/>
      <c r="O686" s="2"/>
      <c r="P686" s="2"/>
      <c r="Q686" s="2"/>
      <c r="R686" s="2"/>
    </row>
    <row r="687" ht="15.75" customHeight="1">
      <c r="B687" s="2"/>
      <c r="G687" s="2"/>
      <c r="N687" s="2"/>
      <c r="O687" s="2"/>
      <c r="P687" s="2"/>
      <c r="Q687" s="2"/>
      <c r="R687" s="2"/>
    </row>
    <row r="688" ht="15.75" customHeight="1">
      <c r="B688" s="2"/>
      <c r="G688" s="2"/>
      <c r="N688" s="2"/>
      <c r="O688" s="2"/>
      <c r="P688" s="2"/>
      <c r="Q688" s="2"/>
      <c r="R688" s="2"/>
    </row>
    <row r="689" ht="15.75" customHeight="1">
      <c r="B689" s="2"/>
      <c r="G689" s="2"/>
      <c r="N689" s="2"/>
      <c r="O689" s="2"/>
      <c r="P689" s="2"/>
      <c r="Q689" s="2"/>
      <c r="R689" s="2"/>
    </row>
    <row r="690" ht="15.75" customHeight="1">
      <c r="B690" s="2"/>
      <c r="G690" s="2"/>
      <c r="N690" s="2"/>
      <c r="O690" s="2"/>
      <c r="P690" s="2"/>
      <c r="Q690" s="2"/>
      <c r="R690" s="2"/>
    </row>
    <row r="691" ht="15.75" customHeight="1">
      <c r="B691" s="2"/>
      <c r="G691" s="2"/>
      <c r="N691" s="2"/>
      <c r="O691" s="2"/>
      <c r="P691" s="2"/>
      <c r="Q691" s="2"/>
      <c r="R691" s="2"/>
    </row>
    <row r="692" ht="15.75" customHeight="1">
      <c r="B692" s="2"/>
      <c r="G692" s="2"/>
      <c r="N692" s="2"/>
      <c r="O692" s="2"/>
      <c r="P692" s="2"/>
      <c r="Q692" s="2"/>
      <c r="R692" s="2"/>
    </row>
    <row r="693" ht="15.75" customHeight="1">
      <c r="B693" s="2"/>
      <c r="G693" s="2"/>
      <c r="N693" s="2"/>
      <c r="O693" s="2"/>
      <c r="P693" s="2"/>
      <c r="Q693" s="2"/>
      <c r="R693" s="2"/>
    </row>
    <row r="694" ht="15.75" customHeight="1">
      <c r="B694" s="2"/>
      <c r="G694" s="2"/>
      <c r="N694" s="2"/>
      <c r="O694" s="2"/>
      <c r="P694" s="2"/>
      <c r="Q694" s="2"/>
      <c r="R694" s="2"/>
    </row>
    <row r="695" ht="15.75" customHeight="1">
      <c r="B695" s="2"/>
      <c r="G695" s="2"/>
      <c r="N695" s="2"/>
      <c r="O695" s="2"/>
      <c r="P695" s="2"/>
      <c r="Q695" s="2"/>
      <c r="R695" s="2"/>
    </row>
    <row r="696" ht="15.75" customHeight="1">
      <c r="B696" s="2"/>
      <c r="G696" s="2"/>
      <c r="N696" s="2"/>
      <c r="O696" s="2"/>
      <c r="P696" s="2"/>
      <c r="Q696" s="2"/>
      <c r="R696" s="2"/>
    </row>
    <row r="697" ht="15.75" customHeight="1">
      <c r="B697" s="2"/>
      <c r="G697" s="2"/>
      <c r="N697" s="2"/>
      <c r="O697" s="2"/>
      <c r="P697" s="2"/>
      <c r="Q697" s="2"/>
      <c r="R697" s="2"/>
    </row>
    <row r="698" ht="15.75" customHeight="1">
      <c r="B698" s="2"/>
      <c r="G698" s="2"/>
      <c r="N698" s="2"/>
      <c r="O698" s="2"/>
      <c r="P698" s="2"/>
      <c r="Q698" s="2"/>
      <c r="R698" s="2"/>
    </row>
    <row r="699" ht="15.75" customHeight="1">
      <c r="B699" s="2"/>
      <c r="G699" s="2"/>
      <c r="N699" s="2"/>
      <c r="O699" s="2"/>
      <c r="P699" s="2"/>
      <c r="Q699" s="2"/>
      <c r="R699" s="2"/>
    </row>
    <row r="700" ht="15.75" customHeight="1">
      <c r="B700" s="2"/>
      <c r="G700" s="2"/>
      <c r="N700" s="2"/>
      <c r="O700" s="2"/>
      <c r="P700" s="2"/>
      <c r="Q700" s="2"/>
      <c r="R700" s="2"/>
    </row>
    <row r="701" ht="15.75" customHeight="1">
      <c r="B701" s="2"/>
      <c r="G701" s="2"/>
      <c r="N701" s="2"/>
      <c r="O701" s="2"/>
      <c r="P701" s="2"/>
      <c r="Q701" s="2"/>
      <c r="R701" s="2"/>
    </row>
    <row r="702" ht="15.75" customHeight="1">
      <c r="B702" s="2"/>
      <c r="G702" s="2"/>
      <c r="N702" s="2"/>
      <c r="O702" s="2"/>
      <c r="P702" s="2"/>
      <c r="Q702" s="2"/>
      <c r="R702" s="2"/>
    </row>
    <row r="703" ht="15.75" customHeight="1">
      <c r="B703" s="2"/>
      <c r="G703" s="2"/>
      <c r="N703" s="2"/>
      <c r="O703" s="2"/>
      <c r="P703" s="2"/>
      <c r="Q703" s="2"/>
      <c r="R703" s="2"/>
    </row>
    <row r="704" ht="15.75" customHeight="1">
      <c r="B704" s="2"/>
      <c r="G704" s="2"/>
      <c r="N704" s="2"/>
      <c r="O704" s="2"/>
      <c r="P704" s="2"/>
      <c r="Q704" s="2"/>
      <c r="R704" s="2"/>
    </row>
    <row r="705" ht="15.75" customHeight="1">
      <c r="B705" s="2"/>
      <c r="G705" s="2"/>
      <c r="N705" s="2"/>
      <c r="O705" s="2"/>
      <c r="P705" s="2"/>
      <c r="Q705" s="2"/>
      <c r="R705" s="2"/>
    </row>
    <row r="706" ht="15.75" customHeight="1">
      <c r="B706" s="2"/>
      <c r="G706" s="2"/>
      <c r="N706" s="2"/>
      <c r="O706" s="2"/>
      <c r="P706" s="2"/>
      <c r="Q706" s="2"/>
      <c r="R706" s="2"/>
    </row>
    <row r="707" ht="15.75" customHeight="1">
      <c r="B707" s="2"/>
      <c r="G707" s="2"/>
      <c r="N707" s="2"/>
      <c r="O707" s="2"/>
      <c r="P707" s="2"/>
      <c r="Q707" s="2"/>
      <c r="R707" s="2"/>
    </row>
    <row r="708" ht="15.75" customHeight="1">
      <c r="B708" s="2"/>
      <c r="G708" s="2"/>
      <c r="N708" s="2"/>
      <c r="O708" s="2"/>
      <c r="P708" s="2"/>
      <c r="Q708" s="2"/>
      <c r="R708" s="2"/>
    </row>
    <row r="709" ht="15.75" customHeight="1">
      <c r="B709" s="2"/>
      <c r="G709" s="2"/>
      <c r="N709" s="2"/>
      <c r="O709" s="2"/>
      <c r="P709" s="2"/>
      <c r="Q709" s="2"/>
      <c r="R709" s="2"/>
    </row>
    <row r="710" ht="15.75" customHeight="1">
      <c r="B710" s="2"/>
      <c r="G710" s="2"/>
      <c r="N710" s="2"/>
      <c r="O710" s="2"/>
      <c r="P710" s="2"/>
      <c r="Q710" s="2"/>
      <c r="R710" s="2"/>
    </row>
    <row r="711" ht="15.75" customHeight="1">
      <c r="B711" s="2"/>
      <c r="G711" s="2"/>
      <c r="N711" s="2"/>
      <c r="O711" s="2"/>
      <c r="P711" s="2"/>
      <c r="Q711" s="2"/>
      <c r="R711" s="2"/>
    </row>
    <row r="712" ht="15.75" customHeight="1">
      <c r="B712" s="2"/>
      <c r="G712" s="2"/>
      <c r="N712" s="2"/>
      <c r="O712" s="2"/>
      <c r="P712" s="2"/>
      <c r="Q712" s="2"/>
      <c r="R712" s="2"/>
    </row>
    <row r="713" ht="15.75" customHeight="1">
      <c r="B713" s="2"/>
      <c r="G713" s="2"/>
      <c r="N713" s="2"/>
      <c r="O713" s="2"/>
      <c r="P713" s="2"/>
      <c r="Q713" s="2"/>
      <c r="R713" s="2"/>
    </row>
    <row r="714" ht="15.75" customHeight="1">
      <c r="B714" s="2"/>
      <c r="G714" s="2"/>
      <c r="N714" s="2"/>
      <c r="O714" s="2"/>
      <c r="P714" s="2"/>
      <c r="Q714" s="2"/>
      <c r="R714" s="2"/>
    </row>
    <row r="715" ht="15.75" customHeight="1">
      <c r="B715" s="2"/>
      <c r="G715" s="2"/>
      <c r="N715" s="2"/>
      <c r="O715" s="2"/>
      <c r="P715" s="2"/>
      <c r="Q715" s="2"/>
      <c r="R715" s="2"/>
    </row>
    <row r="716" ht="15.75" customHeight="1">
      <c r="B716" s="2"/>
      <c r="G716" s="2"/>
      <c r="N716" s="2"/>
      <c r="O716" s="2"/>
      <c r="P716" s="2"/>
      <c r="Q716" s="2"/>
      <c r="R716" s="2"/>
    </row>
    <row r="717" ht="15.75" customHeight="1">
      <c r="B717" s="2"/>
      <c r="G717" s="2"/>
      <c r="N717" s="2"/>
      <c r="O717" s="2"/>
      <c r="P717" s="2"/>
      <c r="Q717" s="2"/>
      <c r="R717" s="2"/>
    </row>
    <row r="718" ht="15.75" customHeight="1">
      <c r="B718" s="2"/>
      <c r="G718" s="2"/>
      <c r="N718" s="2"/>
      <c r="O718" s="2"/>
      <c r="P718" s="2"/>
      <c r="Q718" s="2"/>
      <c r="R718" s="2"/>
    </row>
    <row r="719" ht="15.75" customHeight="1">
      <c r="B719" s="2"/>
      <c r="G719" s="2"/>
      <c r="N719" s="2"/>
      <c r="O719" s="2"/>
      <c r="P719" s="2"/>
      <c r="Q719" s="2"/>
      <c r="R719" s="2"/>
    </row>
    <row r="720" ht="15.75" customHeight="1">
      <c r="B720" s="2"/>
      <c r="G720" s="2"/>
      <c r="N720" s="2"/>
      <c r="O720" s="2"/>
      <c r="P720" s="2"/>
      <c r="Q720" s="2"/>
      <c r="R720" s="2"/>
    </row>
    <row r="721" ht="15.75" customHeight="1">
      <c r="B721" s="2"/>
      <c r="G721" s="2"/>
      <c r="N721" s="2"/>
      <c r="O721" s="2"/>
      <c r="P721" s="2"/>
      <c r="Q721" s="2"/>
      <c r="R721" s="2"/>
    </row>
    <row r="722" ht="15.75" customHeight="1">
      <c r="B722" s="2"/>
      <c r="G722" s="2"/>
      <c r="N722" s="2"/>
      <c r="O722" s="2"/>
      <c r="P722" s="2"/>
      <c r="Q722" s="2"/>
      <c r="R722" s="2"/>
    </row>
    <row r="723" ht="15.75" customHeight="1">
      <c r="B723" s="2"/>
      <c r="G723" s="2"/>
      <c r="N723" s="2"/>
      <c r="O723" s="2"/>
      <c r="P723" s="2"/>
      <c r="Q723" s="2"/>
      <c r="R723" s="2"/>
    </row>
    <row r="724" ht="15.75" customHeight="1">
      <c r="B724" s="2"/>
      <c r="G724" s="2"/>
      <c r="N724" s="2"/>
      <c r="O724" s="2"/>
      <c r="P724" s="2"/>
      <c r="Q724" s="2"/>
      <c r="R724" s="2"/>
    </row>
    <row r="725" ht="15.75" customHeight="1">
      <c r="B725" s="2"/>
      <c r="G725" s="2"/>
      <c r="N725" s="2"/>
      <c r="O725" s="2"/>
      <c r="P725" s="2"/>
      <c r="Q725" s="2"/>
      <c r="R725" s="2"/>
    </row>
    <row r="726" ht="15.75" customHeight="1">
      <c r="B726" s="2"/>
      <c r="G726" s="2"/>
      <c r="N726" s="2"/>
      <c r="O726" s="2"/>
      <c r="P726" s="2"/>
      <c r="Q726" s="2"/>
      <c r="R726" s="2"/>
    </row>
    <row r="727" ht="15.75" customHeight="1">
      <c r="B727" s="2"/>
      <c r="G727" s="2"/>
      <c r="N727" s="2"/>
      <c r="O727" s="2"/>
      <c r="P727" s="2"/>
      <c r="Q727" s="2"/>
      <c r="R727" s="2"/>
    </row>
    <row r="728" ht="15.75" customHeight="1">
      <c r="B728" s="2"/>
      <c r="G728" s="2"/>
      <c r="N728" s="2"/>
      <c r="O728" s="2"/>
      <c r="P728" s="2"/>
      <c r="Q728" s="2"/>
      <c r="R728" s="2"/>
    </row>
    <row r="729" ht="15.75" customHeight="1">
      <c r="B729" s="2"/>
      <c r="G729" s="2"/>
      <c r="N729" s="2"/>
      <c r="O729" s="2"/>
      <c r="P729" s="2"/>
      <c r="Q729" s="2"/>
      <c r="R729" s="2"/>
    </row>
    <row r="730" ht="15.75" customHeight="1">
      <c r="B730" s="2"/>
      <c r="G730" s="2"/>
      <c r="N730" s="2"/>
      <c r="O730" s="2"/>
      <c r="P730" s="2"/>
      <c r="Q730" s="2"/>
      <c r="R730" s="2"/>
    </row>
    <row r="731" ht="15.75" customHeight="1">
      <c r="B731" s="2"/>
      <c r="G731" s="2"/>
      <c r="N731" s="2"/>
      <c r="O731" s="2"/>
      <c r="P731" s="2"/>
      <c r="Q731" s="2"/>
      <c r="R731" s="2"/>
    </row>
    <row r="732" ht="15.75" customHeight="1">
      <c r="B732" s="2"/>
      <c r="G732" s="2"/>
      <c r="N732" s="2"/>
      <c r="O732" s="2"/>
      <c r="P732" s="2"/>
      <c r="Q732" s="2"/>
      <c r="R732" s="2"/>
    </row>
    <row r="733" ht="15.75" customHeight="1">
      <c r="B733" s="2"/>
      <c r="G733" s="2"/>
      <c r="N733" s="2"/>
      <c r="O733" s="2"/>
      <c r="P733" s="2"/>
      <c r="Q733" s="2"/>
      <c r="R733" s="2"/>
    </row>
    <row r="734" ht="15.75" customHeight="1">
      <c r="B734" s="2"/>
      <c r="G734" s="2"/>
      <c r="N734" s="2"/>
      <c r="O734" s="2"/>
      <c r="P734" s="2"/>
      <c r="Q734" s="2"/>
      <c r="R734" s="2"/>
    </row>
    <row r="735" ht="15.75" customHeight="1">
      <c r="B735" s="2"/>
      <c r="G735" s="2"/>
      <c r="N735" s="2"/>
      <c r="O735" s="2"/>
      <c r="P735" s="2"/>
      <c r="Q735" s="2"/>
      <c r="R735" s="2"/>
    </row>
    <row r="736" ht="15.75" customHeight="1">
      <c r="B736" s="2"/>
      <c r="G736" s="2"/>
      <c r="N736" s="2"/>
      <c r="O736" s="2"/>
      <c r="P736" s="2"/>
      <c r="Q736" s="2"/>
      <c r="R736" s="2"/>
    </row>
    <row r="737" ht="15.75" customHeight="1">
      <c r="B737" s="2"/>
      <c r="G737" s="2"/>
      <c r="N737" s="2"/>
      <c r="O737" s="2"/>
      <c r="P737" s="2"/>
      <c r="Q737" s="2"/>
      <c r="R737" s="2"/>
    </row>
    <row r="738" ht="15.75" customHeight="1">
      <c r="B738" s="2"/>
      <c r="G738" s="2"/>
      <c r="N738" s="2"/>
      <c r="O738" s="2"/>
      <c r="P738" s="2"/>
      <c r="Q738" s="2"/>
      <c r="R738" s="2"/>
    </row>
    <row r="739" ht="15.75" customHeight="1">
      <c r="B739" s="2"/>
      <c r="G739" s="2"/>
      <c r="N739" s="2"/>
      <c r="O739" s="2"/>
      <c r="P739" s="2"/>
      <c r="Q739" s="2"/>
      <c r="R739" s="2"/>
    </row>
    <row r="740" ht="15.75" customHeight="1">
      <c r="B740" s="2"/>
      <c r="G740" s="2"/>
      <c r="N740" s="2"/>
      <c r="O740" s="2"/>
      <c r="P740" s="2"/>
      <c r="Q740" s="2"/>
      <c r="R740" s="2"/>
    </row>
    <row r="741" ht="15.75" customHeight="1">
      <c r="B741" s="2"/>
      <c r="G741" s="2"/>
      <c r="N741" s="2"/>
      <c r="O741" s="2"/>
      <c r="P741" s="2"/>
      <c r="Q741" s="2"/>
      <c r="R741" s="2"/>
    </row>
    <row r="742" ht="15.75" customHeight="1">
      <c r="B742" s="2"/>
      <c r="G742" s="2"/>
      <c r="N742" s="2"/>
      <c r="O742" s="2"/>
      <c r="P742" s="2"/>
      <c r="Q742" s="2"/>
      <c r="R742" s="2"/>
    </row>
    <row r="743" ht="15.75" customHeight="1">
      <c r="B743" s="2"/>
      <c r="G743" s="2"/>
      <c r="N743" s="2"/>
      <c r="O743" s="2"/>
      <c r="P743" s="2"/>
      <c r="Q743" s="2"/>
      <c r="R743" s="2"/>
    </row>
    <row r="744" ht="15.75" customHeight="1">
      <c r="B744" s="2"/>
      <c r="G744" s="2"/>
      <c r="N744" s="2"/>
      <c r="O744" s="2"/>
      <c r="P744" s="2"/>
      <c r="Q744" s="2"/>
      <c r="R744" s="2"/>
    </row>
    <row r="745" ht="15.75" customHeight="1">
      <c r="B745" s="2"/>
      <c r="G745" s="2"/>
      <c r="N745" s="2"/>
      <c r="O745" s="2"/>
      <c r="P745" s="2"/>
      <c r="Q745" s="2"/>
      <c r="R745" s="2"/>
    </row>
    <row r="746" ht="15.75" customHeight="1">
      <c r="B746" s="2"/>
      <c r="G746" s="2"/>
      <c r="N746" s="2"/>
      <c r="O746" s="2"/>
      <c r="P746" s="2"/>
      <c r="Q746" s="2"/>
      <c r="R746" s="2"/>
    </row>
    <row r="747" ht="15.75" customHeight="1">
      <c r="B747" s="2"/>
      <c r="G747" s="2"/>
      <c r="N747" s="2"/>
      <c r="O747" s="2"/>
      <c r="P747" s="2"/>
      <c r="Q747" s="2"/>
      <c r="R747" s="2"/>
    </row>
    <row r="748" ht="15.75" customHeight="1">
      <c r="B748" s="2"/>
      <c r="G748" s="2"/>
      <c r="N748" s="2"/>
      <c r="O748" s="2"/>
      <c r="P748" s="2"/>
      <c r="Q748" s="2"/>
      <c r="R748" s="2"/>
    </row>
    <row r="749" ht="15.75" customHeight="1">
      <c r="B749" s="2"/>
      <c r="G749" s="2"/>
      <c r="N749" s="2"/>
      <c r="O749" s="2"/>
      <c r="P749" s="2"/>
      <c r="Q749" s="2"/>
      <c r="R749" s="2"/>
    </row>
    <row r="750" ht="15.75" customHeight="1">
      <c r="B750" s="2"/>
      <c r="G750" s="2"/>
      <c r="N750" s="2"/>
      <c r="O750" s="2"/>
      <c r="P750" s="2"/>
      <c r="Q750" s="2"/>
      <c r="R750" s="2"/>
    </row>
    <row r="751" ht="15.75" customHeight="1">
      <c r="B751" s="2"/>
      <c r="G751" s="2"/>
      <c r="N751" s="2"/>
      <c r="O751" s="2"/>
      <c r="P751" s="2"/>
      <c r="Q751" s="2"/>
      <c r="R751" s="2"/>
    </row>
    <row r="752" ht="15.75" customHeight="1">
      <c r="B752" s="2"/>
      <c r="G752" s="2"/>
      <c r="N752" s="2"/>
      <c r="O752" s="2"/>
      <c r="P752" s="2"/>
      <c r="Q752" s="2"/>
      <c r="R752" s="2"/>
    </row>
    <row r="753" ht="15.75" customHeight="1">
      <c r="B753" s="2"/>
      <c r="G753" s="2"/>
      <c r="N753" s="2"/>
      <c r="O753" s="2"/>
      <c r="P753" s="2"/>
      <c r="Q753" s="2"/>
      <c r="R753" s="2"/>
    </row>
    <row r="754" ht="15.75" customHeight="1">
      <c r="B754" s="2"/>
      <c r="G754" s="2"/>
      <c r="N754" s="2"/>
      <c r="O754" s="2"/>
      <c r="P754" s="2"/>
      <c r="Q754" s="2"/>
      <c r="R754" s="2"/>
    </row>
    <row r="755" ht="15.75" customHeight="1">
      <c r="B755" s="2"/>
      <c r="G755" s="2"/>
      <c r="N755" s="2"/>
      <c r="O755" s="2"/>
      <c r="P755" s="2"/>
      <c r="Q755" s="2"/>
      <c r="R755" s="2"/>
    </row>
    <row r="756" ht="15.75" customHeight="1">
      <c r="B756" s="2"/>
      <c r="G756" s="2"/>
      <c r="N756" s="2"/>
      <c r="O756" s="2"/>
      <c r="P756" s="2"/>
      <c r="Q756" s="2"/>
      <c r="R756" s="2"/>
    </row>
    <row r="757" ht="15.75" customHeight="1">
      <c r="B757" s="2"/>
      <c r="G757" s="2"/>
      <c r="N757" s="2"/>
      <c r="O757" s="2"/>
      <c r="P757" s="2"/>
      <c r="Q757" s="2"/>
      <c r="R757" s="2"/>
    </row>
    <row r="758" ht="15.75" customHeight="1">
      <c r="B758" s="2"/>
      <c r="G758" s="2"/>
      <c r="N758" s="2"/>
      <c r="O758" s="2"/>
      <c r="P758" s="2"/>
      <c r="Q758" s="2"/>
      <c r="R758" s="2"/>
    </row>
    <row r="759" ht="15.75" customHeight="1">
      <c r="B759" s="2"/>
      <c r="G759" s="2"/>
      <c r="N759" s="2"/>
      <c r="O759" s="2"/>
      <c r="P759" s="2"/>
      <c r="Q759" s="2"/>
      <c r="R759" s="2"/>
    </row>
    <row r="760" ht="15.75" customHeight="1">
      <c r="B760" s="2"/>
      <c r="G760" s="2"/>
      <c r="N760" s="2"/>
      <c r="O760" s="2"/>
      <c r="P760" s="2"/>
      <c r="Q760" s="2"/>
      <c r="R760" s="2"/>
    </row>
    <row r="761" ht="15.75" customHeight="1">
      <c r="B761" s="2"/>
      <c r="G761" s="2"/>
      <c r="N761" s="2"/>
      <c r="O761" s="2"/>
      <c r="P761" s="2"/>
      <c r="Q761" s="2"/>
      <c r="R761" s="2"/>
    </row>
    <row r="762" ht="15.75" customHeight="1">
      <c r="B762" s="2"/>
      <c r="G762" s="2"/>
      <c r="N762" s="2"/>
      <c r="O762" s="2"/>
      <c r="P762" s="2"/>
      <c r="Q762" s="2"/>
      <c r="R762" s="2"/>
    </row>
    <row r="763" ht="15.75" customHeight="1">
      <c r="B763" s="2"/>
      <c r="G763" s="2"/>
      <c r="N763" s="2"/>
      <c r="O763" s="2"/>
      <c r="P763" s="2"/>
      <c r="Q763" s="2"/>
      <c r="R763" s="2"/>
    </row>
    <row r="764" ht="15.75" customHeight="1">
      <c r="B764" s="2"/>
      <c r="G764" s="2"/>
      <c r="N764" s="2"/>
      <c r="O764" s="2"/>
      <c r="P764" s="2"/>
      <c r="Q764" s="2"/>
      <c r="R764" s="2"/>
    </row>
    <row r="765" ht="15.75" customHeight="1">
      <c r="B765" s="2"/>
      <c r="G765" s="2"/>
      <c r="N765" s="2"/>
      <c r="O765" s="2"/>
      <c r="P765" s="2"/>
      <c r="Q765" s="2"/>
      <c r="R765" s="2"/>
    </row>
    <row r="766" ht="15.75" customHeight="1">
      <c r="B766" s="2"/>
      <c r="G766" s="2"/>
      <c r="N766" s="2"/>
      <c r="O766" s="2"/>
      <c r="P766" s="2"/>
      <c r="Q766" s="2"/>
      <c r="R766" s="2"/>
    </row>
    <row r="767" ht="15.75" customHeight="1">
      <c r="B767" s="2"/>
      <c r="G767" s="2"/>
      <c r="N767" s="2"/>
      <c r="O767" s="2"/>
      <c r="P767" s="2"/>
      <c r="Q767" s="2"/>
      <c r="R767" s="2"/>
    </row>
    <row r="768" ht="15.75" customHeight="1">
      <c r="B768" s="2"/>
      <c r="G768" s="2"/>
      <c r="N768" s="2"/>
      <c r="O768" s="2"/>
      <c r="P768" s="2"/>
      <c r="Q768" s="2"/>
      <c r="R768" s="2"/>
    </row>
    <row r="769" ht="15.75" customHeight="1">
      <c r="B769" s="2"/>
      <c r="G769" s="2"/>
      <c r="N769" s="2"/>
      <c r="O769" s="2"/>
      <c r="P769" s="2"/>
      <c r="Q769" s="2"/>
      <c r="R769" s="2"/>
    </row>
    <row r="770" ht="15.75" customHeight="1">
      <c r="B770" s="2"/>
      <c r="G770" s="2"/>
      <c r="N770" s="2"/>
      <c r="O770" s="2"/>
      <c r="P770" s="2"/>
      <c r="Q770" s="2"/>
      <c r="R770" s="2"/>
    </row>
    <row r="771" ht="15.75" customHeight="1">
      <c r="B771" s="2"/>
      <c r="G771" s="2"/>
      <c r="N771" s="2"/>
      <c r="O771" s="2"/>
      <c r="P771" s="2"/>
      <c r="Q771" s="2"/>
      <c r="R771" s="2"/>
    </row>
    <row r="772" ht="15.75" customHeight="1">
      <c r="B772" s="2"/>
      <c r="G772" s="2"/>
      <c r="N772" s="2"/>
      <c r="O772" s="2"/>
      <c r="P772" s="2"/>
      <c r="Q772" s="2"/>
      <c r="R772" s="2"/>
    </row>
    <row r="773" ht="15.75" customHeight="1">
      <c r="B773" s="2"/>
      <c r="G773" s="2"/>
      <c r="N773" s="2"/>
      <c r="O773" s="2"/>
      <c r="P773" s="2"/>
      <c r="Q773" s="2"/>
      <c r="R773" s="2"/>
    </row>
    <row r="774" ht="15.75" customHeight="1">
      <c r="B774" s="2"/>
      <c r="G774" s="2"/>
      <c r="N774" s="2"/>
      <c r="O774" s="2"/>
      <c r="P774" s="2"/>
      <c r="Q774" s="2"/>
      <c r="R774" s="2"/>
    </row>
    <row r="775" ht="15.75" customHeight="1">
      <c r="B775" s="2"/>
      <c r="G775" s="2"/>
      <c r="N775" s="2"/>
      <c r="O775" s="2"/>
      <c r="P775" s="2"/>
      <c r="Q775" s="2"/>
      <c r="R775" s="2"/>
    </row>
    <row r="776" ht="15.75" customHeight="1">
      <c r="B776" s="2"/>
      <c r="G776" s="2"/>
      <c r="N776" s="2"/>
      <c r="O776" s="2"/>
      <c r="P776" s="2"/>
      <c r="Q776" s="2"/>
      <c r="R776" s="2"/>
    </row>
    <row r="777" ht="15.75" customHeight="1">
      <c r="B777" s="2"/>
      <c r="G777" s="2"/>
      <c r="N777" s="2"/>
      <c r="O777" s="2"/>
      <c r="P777" s="2"/>
      <c r="Q777" s="2"/>
      <c r="R777" s="2"/>
    </row>
    <row r="778" ht="15.75" customHeight="1">
      <c r="B778" s="2"/>
      <c r="G778" s="2"/>
      <c r="N778" s="2"/>
      <c r="O778" s="2"/>
      <c r="P778" s="2"/>
      <c r="Q778" s="2"/>
      <c r="R778" s="2"/>
    </row>
    <row r="779" ht="15.75" customHeight="1">
      <c r="B779" s="2"/>
      <c r="G779" s="2"/>
      <c r="N779" s="2"/>
      <c r="O779" s="2"/>
      <c r="P779" s="2"/>
      <c r="Q779" s="2"/>
      <c r="R779" s="2"/>
    </row>
    <row r="780" ht="15.75" customHeight="1">
      <c r="B780" s="2"/>
      <c r="G780" s="2"/>
      <c r="N780" s="2"/>
      <c r="O780" s="2"/>
      <c r="P780" s="2"/>
      <c r="Q780" s="2"/>
      <c r="R780" s="2"/>
    </row>
    <row r="781" ht="15.75" customHeight="1">
      <c r="B781" s="2"/>
      <c r="G781" s="2"/>
      <c r="N781" s="2"/>
      <c r="O781" s="2"/>
      <c r="P781" s="2"/>
      <c r="Q781" s="2"/>
      <c r="R781" s="2"/>
    </row>
    <row r="782" ht="15.75" customHeight="1">
      <c r="B782" s="2"/>
      <c r="G782" s="2"/>
      <c r="N782" s="2"/>
      <c r="O782" s="2"/>
      <c r="P782" s="2"/>
      <c r="Q782" s="2"/>
      <c r="R782" s="2"/>
    </row>
    <row r="783" ht="15.75" customHeight="1">
      <c r="B783" s="2"/>
      <c r="G783" s="2"/>
      <c r="N783" s="2"/>
      <c r="O783" s="2"/>
      <c r="P783" s="2"/>
      <c r="Q783" s="2"/>
      <c r="R783" s="2"/>
    </row>
    <row r="784" ht="15.75" customHeight="1">
      <c r="B784" s="2"/>
      <c r="G784" s="2"/>
      <c r="N784" s="2"/>
      <c r="O784" s="2"/>
      <c r="P784" s="2"/>
      <c r="Q784" s="2"/>
      <c r="R784" s="2"/>
    </row>
    <row r="785" ht="15.75" customHeight="1">
      <c r="B785" s="2"/>
      <c r="G785" s="2"/>
      <c r="N785" s="2"/>
      <c r="O785" s="2"/>
      <c r="P785" s="2"/>
      <c r="Q785" s="2"/>
      <c r="R785" s="2"/>
    </row>
    <row r="786" ht="15.75" customHeight="1">
      <c r="B786" s="2"/>
      <c r="G786" s="2"/>
      <c r="N786" s="2"/>
      <c r="O786" s="2"/>
      <c r="P786" s="2"/>
      <c r="Q786" s="2"/>
      <c r="R786" s="2"/>
    </row>
    <row r="787" ht="15.75" customHeight="1">
      <c r="B787" s="2"/>
      <c r="G787" s="2"/>
      <c r="N787" s="2"/>
      <c r="O787" s="2"/>
      <c r="P787" s="2"/>
      <c r="Q787" s="2"/>
      <c r="R787" s="2"/>
    </row>
    <row r="788" ht="15.75" customHeight="1">
      <c r="B788" s="2"/>
      <c r="G788" s="2"/>
      <c r="N788" s="2"/>
      <c r="O788" s="2"/>
      <c r="P788" s="2"/>
      <c r="Q788" s="2"/>
      <c r="R788" s="2"/>
    </row>
    <row r="789" ht="15.75" customHeight="1">
      <c r="B789" s="2"/>
      <c r="G789" s="2"/>
      <c r="N789" s="2"/>
      <c r="O789" s="2"/>
      <c r="P789" s="2"/>
      <c r="Q789" s="2"/>
      <c r="R789" s="2"/>
    </row>
    <row r="790" ht="15.75" customHeight="1">
      <c r="B790" s="2"/>
      <c r="G790" s="2"/>
      <c r="N790" s="2"/>
      <c r="O790" s="2"/>
      <c r="P790" s="2"/>
      <c r="Q790" s="2"/>
      <c r="R790" s="2"/>
    </row>
    <row r="791" ht="15.75" customHeight="1">
      <c r="B791" s="2"/>
      <c r="G791" s="2"/>
      <c r="N791" s="2"/>
      <c r="O791" s="2"/>
      <c r="P791" s="2"/>
      <c r="Q791" s="2"/>
      <c r="R791" s="2"/>
    </row>
    <row r="792" ht="15.75" customHeight="1">
      <c r="B792" s="2"/>
      <c r="G792" s="2"/>
      <c r="N792" s="2"/>
      <c r="O792" s="2"/>
      <c r="P792" s="2"/>
      <c r="Q792" s="2"/>
      <c r="R792" s="2"/>
    </row>
    <row r="793" ht="15.75" customHeight="1">
      <c r="B793" s="2"/>
      <c r="G793" s="2"/>
      <c r="N793" s="2"/>
      <c r="O793" s="2"/>
      <c r="P793" s="2"/>
      <c r="Q793" s="2"/>
      <c r="R793" s="2"/>
    </row>
    <row r="794" ht="15.75" customHeight="1">
      <c r="B794" s="2"/>
      <c r="G794" s="2"/>
      <c r="N794" s="2"/>
      <c r="O794" s="2"/>
      <c r="P794" s="2"/>
      <c r="Q794" s="2"/>
      <c r="R794" s="2"/>
    </row>
    <row r="795" ht="15.75" customHeight="1">
      <c r="B795" s="2"/>
      <c r="G795" s="2"/>
      <c r="N795" s="2"/>
      <c r="O795" s="2"/>
      <c r="P795" s="2"/>
      <c r="Q795" s="2"/>
      <c r="R795" s="2"/>
    </row>
    <row r="796" ht="15.75" customHeight="1">
      <c r="B796" s="2"/>
      <c r="G796" s="2"/>
      <c r="N796" s="2"/>
      <c r="O796" s="2"/>
      <c r="P796" s="2"/>
      <c r="Q796" s="2"/>
      <c r="R796" s="2"/>
    </row>
    <row r="797" ht="15.75" customHeight="1">
      <c r="B797" s="2"/>
      <c r="G797" s="2"/>
      <c r="N797" s="2"/>
      <c r="O797" s="2"/>
      <c r="P797" s="2"/>
      <c r="Q797" s="2"/>
      <c r="R797" s="2"/>
    </row>
    <row r="798" ht="15.75" customHeight="1">
      <c r="B798" s="2"/>
      <c r="G798" s="2"/>
      <c r="N798" s="2"/>
      <c r="O798" s="2"/>
      <c r="P798" s="2"/>
      <c r="Q798" s="2"/>
      <c r="R798" s="2"/>
    </row>
    <row r="799" ht="15.75" customHeight="1">
      <c r="B799" s="2"/>
      <c r="G799" s="2"/>
      <c r="N799" s="2"/>
      <c r="O799" s="2"/>
      <c r="P799" s="2"/>
      <c r="Q799" s="2"/>
      <c r="R799" s="2"/>
    </row>
    <row r="800" ht="15.75" customHeight="1">
      <c r="B800" s="2"/>
      <c r="G800" s="2"/>
      <c r="N800" s="2"/>
      <c r="O800" s="2"/>
      <c r="P800" s="2"/>
      <c r="Q800" s="2"/>
      <c r="R800" s="2"/>
    </row>
    <row r="801" ht="15.75" customHeight="1">
      <c r="B801" s="2"/>
      <c r="G801" s="2"/>
      <c r="N801" s="2"/>
      <c r="O801" s="2"/>
      <c r="P801" s="2"/>
      <c r="Q801" s="2"/>
      <c r="R801" s="2"/>
    </row>
    <row r="802" ht="15.75" customHeight="1">
      <c r="B802" s="2"/>
      <c r="G802" s="2"/>
      <c r="N802" s="2"/>
      <c r="O802" s="2"/>
      <c r="P802" s="2"/>
      <c r="Q802" s="2"/>
      <c r="R802" s="2"/>
    </row>
    <row r="803" ht="15.75" customHeight="1">
      <c r="B803" s="2"/>
      <c r="G803" s="2"/>
      <c r="N803" s="2"/>
      <c r="O803" s="2"/>
      <c r="P803" s="2"/>
      <c r="Q803" s="2"/>
      <c r="R803" s="2"/>
    </row>
    <row r="804" ht="15.75" customHeight="1">
      <c r="B804" s="2"/>
      <c r="G804" s="2"/>
      <c r="N804" s="2"/>
      <c r="O804" s="2"/>
      <c r="P804" s="2"/>
      <c r="Q804" s="2"/>
      <c r="R804" s="2"/>
    </row>
    <row r="805" ht="15.75" customHeight="1">
      <c r="B805" s="2"/>
      <c r="G805" s="2"/>
      <c r="N805" s="2"/>
      <c r="O805" s="2"/>
      <c r="P805" s="2"/>
      <c r="Q805" s="2"/>
      <c r="R805" s="2"/>
    </row>
    <row r="806" ht="15.75" customHeight="1">
      <c r="B806" s="2"/>
      <c r="G806" s="2"/>
      <c r="N806" s="2"/>
      <c r="O806" s="2"/>
      <c r="P806" s="2"/>
      <c r="Q806" s="2"/>
      <c r="R806" s="2"/>
    </row>
    <row r="807" ht="15.75" customHeight="1">
      <c r="B807" s="2"/>
      <c r="G807" s="2"/>
      <c r="N807" s="2"/>
      <c r="O807" s="2"/>
      <c r="P807" s="2"/>
      <c r="Q807" s="2"/>
      <c r="R807" s="2"/>
    </row>
    <row r="808" ht="15.75" customHeight="1">
      <c r="B808" s="2"/>
      <c r="G808" s="2"/>
      <c r="N808" s="2"/>
      <c r="O808" s="2"/>
      <c r="P808" s="2"/>
      <c r="Q808" s="2"/>
      <c r="R808" s="2"/>
    </row>
    <row r="809" ht="15.75" customHeight="1">
      <c r="B809" s="2"/>
      <c r="G809" s="2"/>
      <c r="N809" s="2"/>
      <c r="O809" s="2"/>
      <c r="P809" s="2"/>
      <c r="Q809" s="2"/>
      <c r="R809" s="2"/>
    </row>
    <row r="810" ht="15.75" customHeight="1">
      <c r="B810" s="2"/>
      <c r="G810" s="2"/>
      <c r="N810" s="2"/>
      <c r="O810" s="2"/>
      <c r="P810" s="2"/>
      <c r="Q810" s="2"/>
      <c r="R810" s="2"/>
    </row>
    <row r="811" ht="15.75" customHeight="1">
      <c r="B811" s="2"/>
      <c r="G811" s="2"/>
      <c r="N811" s="2"/>
      <c r="O811" s="2"/>
      <c r="P811" s="2"/>
      <c r="Q811" s="2"/>
      <c r="R811" s="2"/>
    </row>
    <row r="812" ht="15.75" customHeight="1">
      <c r="B812" s="2"/>
      <c r="G812" s="2"/>
      <c r="N812" s="2"/>
      <c r="O812" s="2"/>
      <c r="P812" s="2"/>
      <c r="Q812" s="2"/>
      <c r="R812" s="2"/>
    </row>
    <row r="813" ht="15.75" customHeight="1">
      <c r="B813" s="2"/>
      <c r="G813" s="2"/>
      <c r="N813" s="2"/>
      <c r="O813" s="2"/>
      <c r="P813" s="2"/>
      <c r="Q813" s="2"/>
      <c r="R813" s="2"/>
    </row>
    <row r="814" ht="15.75" customHeight="1">
      <c r="B814" s="2"/>
      <c r="G814" s="2"/>
      <c r="N814" s="2"/>
      <c r="O814" s="2"/>
      <c r="P814" s="2"/>
      <c r="Q814" s="2"/>
      <c r="R814" s="2"/>
    </row>
    <row r="815" ht="15.75" customHeight="1">
      <c r="B815" s="2"/>
      <c r="G815" s="2"/>
      <c r="N815" s="2"/>
      <c r="O815" s="2"/>
      <c r="P815" s="2"/>
      <c r="Q815" s="2"/>
      <c r="R815" s="2"/>
    </row>
    <row r="816" ht="15.75" customHeight="1">
      <c r="B816" s="2"/>
      <c r="G816" s="2"/>
      <c r="N816" s="2"/>
      <c r="O816" s="2"/>
      <c r="P816" s="2"/>
      <c r="Q816" s="2"/>
      <c r="R816" s="2"/>
    </row>
    <row r="817" ht="15.75" customHeight="1">
      <c r="B817" s="2"/>
      <c r="G817" s="2"/>
      <c r="N817" s="2"/>
      <c r="O817" s="2"/>
      <c r="P817" s="2"/>
      <c r="Q817" s="2"/>
      <c r="R817" s="2"/>
    </row>
    <row r="818" ht="15.75" customHeight="1">
      <c r="B818" s="2"/>
      <c r="G818" s="2"/>
      <c r="N818" s="2"/>
      <c r="O818" s="2"/>
      <c r="P818" s="2"/>
      <c r="Q818" s="2"/>
      <c r="R818" s="2"/>
    </row>
    <row r="819" ht="15.75" customHeight="1">
      <c r="B819" s="2"/>
      <c r="G819" s="2"/>
      <c r="N819" s="2"/>
      <c r="O819" s="2"/>
      <c r="P819" s="2"/>
      <c r="Q819" s="2"/>
      <c r="R819" s="2"/>
    </row>
    <row r="820" ht="15.75" customHeight="1">
      <c r="B820" s="2"/>
      <c r="G820" s="2"/>
      <c r="N820" s="2"/>
      <c r="O820" s="2"/>
      <c r="P820" s="2"/>
      <c r="Q820" s="2"/>
      <c r="R820" s="2"/>
    </row>
    <row r="821" ht="15.75" customHeight="1">
      <c r="B821" s="2"/>
      <c r="G821" s="2"/>
      <c r="N821" s="2"/>
      <c r="O821" s="2"/>
      <c r="P821" s="2"/>
      <c r="Q821" s="2"/>
      <c r="R821" s="2"/>
    </row>
    <row r="822" ht="15.75" customHeight="1">
      <c r="B822" s="2"/>
      <c r="G822" s="2"/>
      <c r="N822" s="2"/>
      <c r="O822" s="2"/>
      <c r="P822" s="2"/>
      <c r="Q822" s="2"/>
      <c r="R822" s="2"/>
    </row>
    <row r="823" ht="15.75" customHeight="1">
      <c r="B823" s="2"/>
      <c r="G823" s="2"/>
      <c r="N823" s="2"/>
      <c r="O823" s="2"/>
      <c r="P823" s="2"/>
      <c r="Q823" s="2"/>
      <c r="R823" s="2"/>
    </row>
    <row r="824" ht="15.75" customHeight="1">
      <c r="B824" s="2"/>
      <c r="G824" s="2"/>
      <c r="N824" s="2"/>
      <c r="O824" s="2"/>
      <c r="P824" s="2"/>
      <c r="Q824" s="2"/>
      <c r="R824" s="2"/>
    </row>
    <row r="825" ht="15.75" customHeight="1">
      <c r="B825" s="2"/>
      <c r="G825" s="2"/>
      <c r="N825" s="2"/>
      <c r="O825" s="2"/>
      <c r="P825" s="2"/>
      <c r="Q825" s="2"/>
      <c r="R825" s="2"/>
    </row>
    <row r="826" ht="15.75" customHeight="1">
      <c r="B826" s="2"/>
      <c r="G826" s="2"/>
      <c r="N826" s="2"/>
      <c r="O826" s="2"/>
      <c r="P826" s="2"/>
      <c r="Q826" s="2"/>
      <c r="R826" s="2"/>
    </row>
    <row r="827" ht="15.75" customHeight="1">
      <c r="B827" s="2"/>
      <c r="G827" s="2"/>
      <c r="N827" s="2"/>
      <c r="O827" s="2"/>
      <c r="P827" s="2"/>
      <c r="Q827" s="2"/>
      <c r="R827" s="2"/>
    </row>
    <row r="828" ht="15.75" customHeight="1">
      <c r="B828" s="2"/>
      <c r="G828" s="2"/>
      <c r="N828" s="2"/>
      <c r="O828" s="2"/>
      <c r="P828" s="2"/>
      <c r="Q828" s="2"/>
      <c r="R828" s="2"/>
    </row>
    <row r="829" ht="15.75" customHeight="1">
      <c r="B829" s="2"/>
      <c r="G829" s="2"/>
      <c r="N829" s="2"/>
      <c r="O829" s="2"/>
      <c r="P829" s="2"/>
      <c r="Q829" s="2"/>
      <c r="R829" s="2"/>
    </row>
    <row r="830" ht="15.75" customHeight="1">
      <c r="B830" s="2"/>
      <c r="G830" s="2"/>
      <c r="N830" s="2"/>
      <c r="O830" s="2"/>
      <c r="P830" s="2"/>
      <c r="Q830" s="2"/>
      <c r="R830" s="2"/>
    </row>
    <row r="831" ht="15.75" customHeight="1">
      <c r="B831" s="2"/>
      <c r="G831" s="2"/>
      <c r="N831" s="2"/>
      <c r="O831" s="2"/>
      <c r="P831" s="2"/>
      <c r="Q831" s="2"/>
      <c r="R831" s="2"/>
    </row>
    <row r="832" ht="15.75" customHeight="1">
      <c r="B832" s="2"/>
      <c r="G832" s="2"/>
      <c r="N832" s="2"/>
      <c r="O832" s="2"/>
      <c r="P832" s="2"/>
      <c r="Q832" s="2"/>
      <c r="R832" s="2"/>
    </row>
    <row r="833" ht="15.75" customHeight="1">
      <c r="B833" s="2"/>
      <c r="G833" s="2"/>
      <c r="N833" s="2"/>
      <c r="O833" s="2"/>
      <c r="P833" s="2"/>
      <c r="Q833" s="2"/>
      <c r="R833" s="2"/>
    </row>
    <row r="834" ht="15.75" customHeight="1">
      <c r="B834" s="2"/>
      <c r="G834" s="2"/>
      <c r="N834" s="2"/>
      <c r="O834" s="2"/>
      <c r="P834" s="2"/>
      <c r="Q834" s="2"/>
      <c r="R834" s="2"/>
    </row>
    <row r="835" ht="15.75" customHeight="1">
      <c r="B835" s="2"/>
      <c r="G835" s="2"/>
      <c r="N835" s="2"/>
      <c r="O835" s="2"/>
      <c r="P835" s="2"/>
      <c r="Q835" s="2"/>
      <c r="R835" s="2"/>
    </row>
    <row r="836" ht="15.75" customHeight="1">
      <c r="B836" s="2"/>
      <c r="G836" s="2"/>
      <c r="N836" s="2"/>
      <c r="O836" s="2"/>
      <c r="P836" s="2"/>
      <c r="Q836" s="2"/>
      <c r="R836" s="2"/>
    </row>
    <row r="837" ht="15.75" customHeight="1">
      <c r="B837" s="2"/>
      <c r="G837" s="2"/>
      <c r="N837" s="2"/>
      <c r="O837" s="2"/>
      <c r="P837" s="2"/>
      <c r="Q837" s="2"/>
      <c r="R837" s="2"/>
    </row>
    <row r="838" ht="15.75" customHeight="1">
      <c r="B838" s="2"/>
      <c r="G838" s="2"/>
      <c r="N838" s="2"/>
      <c r="O838" s="2"/>
      <c r="P838" s="2"/>
      <c r="Q838" s="2"/>
      <c r="R838" s="2"/>
    </row>
    <row r="839" ht="15.75" customHeight="1">
      <c r="B839" s="2"/>
      <c r="G839" s="2"/>
      <c r="N839" s="2"/>
      <c r="O839" s="2"/>
      <c r="P839" s="2"/>
      <c r="Q839" s="2"/>
      <c r="R839" s="2"/>
    </row>
    <row r="840" ht="15.75" customHeight="1">
      <c r="B840" s="2"/>
      <c r="G840" s="2"/>
      <c r="N840" s="2"/>
      <c r="O840" s="2"/>
      <c r="P840" s="2"/>
      <c r="Q840" s="2"/>
      <c r="R840" s="2"/>
    </row>
    <row r="841" ht="15.75" customHeight="1">
      <c r="B841" s="2"/>
      <c r="G841" s="2"/>
      <c r="N841" s="2"/>
      <c r="O841" s="2"/>
      <c r="P841" s="2"/>
      <c r="Q841" s="2"/>
      <c r="R841" s="2"/>
    </row>
    <row r="842" ht="15.75" customHeight="1">
      <c r="B842" s="2"/>
      <c r="G842" s="2"/>
      <c r="N842" s="2"/>
      <c r="O842" s="2"/>
      <c r="P842" s="2"/>
      <c r="Q842" s="2"/>
      <c r="R842" s="2"/>
    </row>
    <row r="843" ht="15.75" customHeight="1">
      <c r="B843" s="2"/>
      <c r="G843" s="2"/>
      <c r="N843" s="2"/>
      <c r="O843" s="2"/>
      <c r="P843" s="2"/>
      <c r="Q843" s="2"/>
      <c r="R843" s="2"/>
    </row>
    <row r="844" ht="15.75" customHeight="1">
      <c r="B844" s="2"/>
      <c r="G844" s="2"/>
      <c r="N844" s="2"/>
      <c r="O844" s="2"/>
      <c r="P844" s="2"/>
      <c r="Q844" s="2"/>
      <c r="R844" s="2"/>
    </row>
    <row r="845" ht="15.75" customHeight="1">
      <c r="B845" s="2"/>
      <c r="G845" s="2"/>
      <c r="N845" s="2"/>
      <c r="O845" s="2"/>
      <c r="P845" s="2"/>
      <c r="Q845" s="2"/>
      <c r="R845" s="2"/>
    </row>
    <row r="846" ht="15.75" customHeight="1">
      <c r="B846" s="2"/>
      <c r="G846" s="2"/>
      <c r="N846" s="2"/>
      <c r="O846" s="2"/>
      <c r="P846" s="2"/>
      <c r="Q846" s="2"/>
      <c r="R846" s="2"/>
    </row>
    <row r="847" ht="15.75" customHeight="1">
      <c r="B847" s="2"/>
      <c r="G847" s="2"/>
      <c r="N847" s="2"/>
      <c r="O847" s="2"/>
      <c r="P847" s="2"/>
      <c r="Q847" s="2"/>
      <c r="R847" s="2"/>
    </row>
    <row r="848" ht="15.75" customHeight="1">
      <c r="B848" s="2"/>
      <c r="G848" s="2"/>
      <c r="N848" s="2"/>
      <c r="O848" s="2"/>
      <c r="P848" s="2"/>
      <c r="Q848" s="2"/>
      <c r="R848" s="2"/>
    </row>
    <row r="849" ht="15.75" customHeight="1">
      <c r="B849" s="2"/>
      <c r="G849" s="2"/>
      <c r="N849" s="2"/>
      <c r="O849" s="2"/>
      <c r="P849" s="2"/>
      <c r="Q849" s="2"/>
      <c r="R849" s="2"/>
    </row>
    <row r="850" ht="15.75" customHeight="1">
      <c r="B850" s="2"/>
      <c r="G850" s="2"/>
      <c r="N850" s="2"/>
      <c r="O850" s="2"/>
      <c r="P850" s="2"/>
      <c r="Q850" s="2"/>
      <c r="R850" s="2"/>
    </row>
    <row r="851" ht="15.75" customHeight="1">
      <c r="B851" s="2"/>
      <c r="G851" s="2"/>
      <c r="N851" s="2"/>
      <c r="O851" s="2"/>
      <c r="P851" s="2"/>
      <c r="Q851" s="2"/>
      <c r="R851" s="2"/>
    </row>
    <row r="852" ht="15.75" customHeight="1">
      <c r="B852" s="2"/>
      <c r="G852" s="2"/>
      <c r="N852" s="2"/>
      <c r="O852" s="2"/>
      <c r="P852" s="2"/>
      <c r="Q852" s="2"/>
      <c r="R852" s="2"/>
    </row>
    <row r="853" ht="15.75" customHeight="1">
      <c r="B853" s="2"/>
      <c r="G853" s="2"/>
      <c r="N853" s="2"/>
      <c r="O853" s="2"/>
      <c r="P853" s="2"/>
      <c r="Q853" s="2"/>
      <c r="R853" s="2"/>
    </row>
    <row r="854" ht="15.75" customHeight="1">
      <c r="B854" s="2"/>
      <c r="G854" s="2"/>
      <c r="N854" s="2"/>
      <c r="O854" s="2"/>
      <c r="P854" s="2"/>
      <c r="Q854" s="2"/>
      <c r="R854" s="2"/>
    </row>
    <row r="855" ht="15.75" customHeight="1">
      <c r="B855" s="2"/>
      <c r="G855" s="2"/>
      <c r="N855" s="2"/>
      <c r="O855" s="2"/>
      <c r="P855" s="2"/>
      <c r="Q855" s="2"/>
      <c r="R855" s="2"/>
    </row>
    <row r="856" ht="15.75" customHeight="1">
      <c r="B856" s="2"/>
      <c r="G856" s="2"/>
      <c r="N856" s="2"/>
      <c r="O856" s="2"/>
      <c r="P856" s="2"/>
      <c r="Q856" s="2"/>
      <c r="R856" s="2"/>
    </row>
    <row r="857" ht="15.75" customHeight="1">
      <c r="B857" s="2"/>
      <c r="G857" s="2"/>
      <c r="N857" s="2"/>
      <c r="O857" s="2"/>
      <c r="P857" s="2"/>
      <c r="Q857" s="2"/>
      <c r="R857" s="2"/>
    </row>
    <row r="858" ht="15.75" customHeight="1">
      <c r="B858" s="2"/>
      <c r="G858" s="2"/>
      <c r="N858" s="2"/>
      <c r="O858" s="2"/>
      <c r="P858" s="2"/>
      <c r="Q858" s="2"/>
      <c r="R858" s="2"/>
    </row>
    <row r="859" ht="15.75" customHeight="1">
      <c r="B859" s="2"/>
      <c r="G859" s="2"/>
      <c r="N859" s="2"/>
      <c r="O859" s="2"/>
      <c r="P859" s="2"/>
      <c r="Q859" s="2"/>
      <c r="R859" s="2"/>
    </row>
    <row r="860" ht="15.75" customHeight="1">
      <c r="B860" s="2"/>
      <c r="G860" s="2"/>
      <c r="N860" s="2"/>
      <c r="O860" s="2"/>
      <c r="P860" s="2"/>
      <c r="Q860" s="2"/>
      <c r="R860" s="2"/>
    </row>
    <row r="861" ht="15.75" customHeight="1">
      <c r="B861" s="2"/>
      <c r="G861" s="2"/>
      <c r="N861" s="2"/>
      <c r="O861" s="2"/>
      <c r="P861" s="2"/>
      <c r="Q861" s="2"/>
      <c r="R861" s="2"/>
    </row>
    <row r="862" ht="15.75" customHeight="1">
      <c r="B862" s="2"/>
      <c r="G862" s="2"/>
      <c r="N862" s="2"/>
      <c r="O862" s="2"/>
      <c r="P862" s="2"/>
      <c r="Q862" s="2"/>
      <c r="R862" s="2"/>
    </row>
    <row r="863" ht="15.75" customHeight="1">
      <c r="B863" s="2"/>
      <c r="G863" s="2"/>
      <c r="N863" s="2"/>
      <c r="O863" s="2"/>
      <c r="P863" s="2"/>
      <c r="Q863" s="2"/>
      <c r="R863" s="2"/>
    </row>
    <row r="864" ht="15.75" customHeight="1">
      <c r="B864" s="2"/>
      <c r="G864" s="2"/>
      <c r="N864" s="2"/>
      <c r="O864" s="2"/>
      <c r="P864" s="2"/>
      <c r="Q864" s="2"/>
      <c r="R864" s="2"/>
    </row>
    <row r="865" ht="15.75" customHeight="1">
      <c r="B865" s="2"/>
      <c r="G865" s="2"/>
      <c r="N865" s="2"/>
      <c r="O865" s="2"/>
      <c r="P865" s="2"/>
      <c r="Q865" s="2"/>
      <c r="R865" s="2"/>
    </row>
    <row r="866" ht="15.75" customHeight="1">
      <c r="B866" s="2"/>
      <c r="G866" s="2"/>
      <c r="N866" s="2"/>
      <c r="O866" s="2"/>
      <c r="P866" s="2"/>
      <c r="Q866" s="2"/>
      <c r="R866" s="2"/>
    </row>
    <row r="867" ht="15.75" customHeight="1">
      <c r="B867" s="2"/>
      <c r="G867" s="2"/>
      <c r="N867" s="2"/>
      <c r="O867" s="2"/>
      <c r="P867" s="2"/>
      <c r="Q867" s="2"/>
      <c r="R867" s="2"/>
    </row>
    <row r="868" ht="15.75" customHeight="1">
      <c r="B868" s="2"/>
      <c r="G868" s="2"/>
      <c r="N868" s="2"/>
      <c r="O868" s="2"/>
      <c r="P868" s="2"/>
      <c r="Q868" s="2"/>
      <c r="R868" s="2"/>
    </row>
    <row r="869" ht="15.75" customHeight="1">
      <c r="B869" s="2"/>
      <c r="G869" s="2"/>
      <c r="N869" s="2"/>
      <c r="O869" s="2"/>
      <c r="P869" s="2"/>
      <c r="Q869" s="2"/>
      <c r="R869" s="2"/>
    </row>
    <row r="870" ht="15.75" customHeight="1">
      <c r="B870" s="2"/>
      <c r="G870" s="2"/>
      <c r="N870" s="2"/>
      <c r="O870" s="2"/>
      <c r="P870" s="2"/>
      <c r="Q870" s="2"/>
      <c r="R870" s="2"/>
    </row>
    <row r="871" ht="15.75" customHeight="1">
      <c r="B871" s="2"/>
      <c r="G871" s="2"/>
      <c r="N871" s="2"/>
      <c r="O871" s="2"/>
      <c r="P871" s="2"/>
      <c r="Q871" s="2"/>
      <c r="R871" s="2"/>
    </row>
    <row r="872" ht="15.75" customHeight="1">
      <c r="B872" s="2"/>
      <c r="G872" s="2"/>
      <c r="N872" s="2"/>
      <c r="O872" s="2"/>
      <c r="P872" s="2"/>
      <c r="Q872" s="2"/>
      <c r="R872" s="2"/>
    </row>
    <row r="873" ht="15.75" customHeight="1">
      <c r="B873" s="2"/>
      <c r="G873" s="2"/>
      <c r="N873" s="2"/>
      <c r="O873" s="2"/>
      <c r="P873" s="2"/>
      <c r="Q873" s="2"/>
      <c r="R873" s="2"/>
    </row>
    <row r="874" ht="15.75" customHeight="1">
      <c r="B874" s="2"/>
      <c r="G874" s="2"/>
      <c r="N874" s="2"/>
      <c r="O874" s="2"/>
      <c r="P874" s="2"/>
      <c r="Q874" s="2"/>
      <c r="R874" s="2"/>
    </row>
    <row r="875" ht="15.75" customHeight="1">
      <c r="B875" s="2"/>
      <c r="G875" s="2"/>
      <c r="N875" s="2"/>
      <c r="O875" s="2"/>
      <c r="P875" s="2"/>
      <c r="Q875" s="2"/>
      <c r="R875" s="2"/>
    </row>
    <row r="876" ht="15.75" customHeight="1">
      <c r="B876" s="2"/>
      <c r="G876" s="2"/>
      <c r="N876" s="2"/>
      <c r="O876" s="2"/>
      <c r="P876" s="2"/>
      <c r="Q876" s="2"/>
      <c r="R876" s="2"/>
    </row>
    <row r="877" ht="15.75" customHeight="1">
      <c r="B877" s="2"/>
      <c r="G877" s="2"/>
      <c r="N877" s="2"/>
      <c r="O877" s="2"/>
      <c r="P877" s="2"/>
      <c r="Q877" s="2"/>
      <c r="R877" s="2"/>
    </row>
    <row r="878" ht="15.75" customHeight="1">
      <c r="B878" s="2"/>
      <c r="G878" s="2"/>
      <c r="N878" s="2"/>
      <c r="O878" s="2"/>
      <c r="P878" s="2"/>
      <c r="Q878" s="2"/>
      <c r="R878" s="2"/>
    </row>
    <row r="879" ht="15.75" customHeight="1">
      <c r="B879" s="2"/>
      <c r="G879" s="2"/>
      <c r="N879" s="2"/>
      <c r="O879" s="2"/>
      <c r="P879" s="2"/>
      <c r="Q879" s="2"/>
      <c r="R879" s="2"/>
    </row>
    <row r="880" ht="15.75" customHeight="1">
      <c r="B880" s="2"/>
      <c r="G880" s="2"/>
      <c r="N880" s="2"/>
      <c r="O880" s="2"/>
      <c r="P880" s="2"/>
      <c r="Q880" s="2"/>
      <c r="R880" s="2"/>
    </row>
    <row r="881" ht="15.75" customHeight="1">
      <c r="B881" s="2"/>
      <c r="G881" s="2"/>
      <c r="N881" s="2"/>
      <c r="O881" s="2"/>
      <c r="P881" s="2"/>
      <c r="Q881" s="2"/>
      <c r="R881" s="2"/>
    </row>
    <row r="882" ht="15.75" customHeight="1">
      <c r="B882" s="2"/>
      <c r="G882" s="2"/>
      <c r="N882" s="2"/>
      <c r="O882" s="2"/>
      <c r="P882" s="2"/>
      <c r="Q882" s="2"/>
      <c r="R882" s="2"/>
    </row>
    <row r="883" ht="15.75" customHeight="1">
      <c r="B883" s="2"/>
      <c r="G883" s="2"/>
      <c r="N883" s="2"/>
      <c r="O883" s="2"/>
      <c r="P883" s="2"/>
      <c r="Q883" s="2"/>
      <c r="R883" s="2"/>
    </row>
    <row r="884" ht="15.75" customHeight="1">
      <c r="B884" s="2"/>
      <c r="G884" s="2"/>
      <c r="N884" s="2"/>
      <c r="O884" s="2"/>
      <c r="P884" s="2"/>
      <c r="Q884" s="2"/>
      <c r="R884" s="2"/>
    </row>
    <row r="885" ht="15.75" customHeight="1">
      <c r="B885" s="2"/>
      <c r="G885" s="2"/>
      <c r="N885" s="2"/>
      <c r="O885" s="2"/>
      <c r="P885" s="2"/>
      <c r="Q885" s="2"/>
      <c r="R885" s="2"/>
    </row>
    <row r="886" ht="15.75" customHeight="1">
      <c r="B886" s="2"/>
      <c r="G886" s="2"/>
      <c r="N886" s="2"/>
      <c r="O886" s="2"/>
      <c r="P886" s="2"/>
      <c r="Q886" s="2"/>
      <c r="R886" s="2"/>
    </row>
    <row r="887" ht="15.75" customHeight="1">
      <c r="B887" s="2"/>
      <c r="G887" s="2"/>
      <c r="N887" s="2"/>
      <c r="O887" s="2"/>
      <c r="P887" s="2"/>
      <c r="Q887" s="2"/>
      <c r="R887" s="2"/>
    </row>
    <row r="888" ht="15.75" customHeight="1">
      <c r="B888" s="2"/>
      <c r="G888" s="2"/>
      <c r="N888" s="2"/>
      <c r="O888" s="2"/>
      <c r="P888" s="2"/>
      <c r="Q888" s="2"/>
      <c r="R888" s="2"/>
    </row>
    <row r="889" ht="15.75" customHeight="1">
      <c r="B889" s="2"/>
      <c r="G889" s="2"/>
      <c r="N889" s="2"/>
      <c r="O889" s="2"/>
      <c r="P889" s="2"/>
      <c r="Q889" s="2"/>
      <c r="R889" s="2"/>
    </row>
    <row r="890" ht="15.75" customHeight="1">
      <c r="B890" s="2"/>
      <c r="G890" s="2"/>
      <c r="N890" s="2"/>
      <c r="O890" s="2"/>
      <c r="P890" s="2"/>
      <c r="Q890" s="2"/>
      <c r="R890" s="2"/>
    </row>
    <row r="891" ht="15.75" customHeight="1">
      <c r="B891" s="2"/>
      <c r="G891" s="2"/>
      <c r="N891" s="2"/>
      <c r="O891" s="2"/>
      <c r="P891" s="2"/>
      <c r="Q891" s="2"/>
      <c r="R891" s="2"/>
    </row>
    <row r="892" ht="15.75" customHeight="1">
      <c r="B892" s="2"/>
      <c r="G892" s="2"/>
      <c r="N892" s="2"/>
      <c r="O892" s="2"/>
      <c r="P892" s="2"/>
      <c r="Q892" s="2"/>
      <c r="R892" s="2"/>
    </row>
    <row r="893" ht="15.75" customHeight="1">
      <c r="B893" s="2"/>
      <c r="G893" s="2"/>
      <c r="N893" s="2"/>
      <c r="O893" s="2"/>
      <c r="P893" s="2"/>
      <c r="Q893" s="2"/>
      <c r="R893" s="2"/>
    </row>
    <row r="894" ht="15.75" customHeight="1">
      <c r="B894" s="2"/>
      <c r="G894" s="2"/>
      <c r="N894" s="2"/>
      <c r="O894" s="2"/>
      <c r="P894" s="2"/>
      <c r="Q894" s="2"/>
      <c r="R894" s="2"/>
    </row>
    <row r="895" ht="15.75" customHeight="1">
      <c r="B895" s="2"/>
      <c r="G895" s="2"/>
      <c r="N895" s="2"/>
      <c r="O895" s="2"/>
      <c r="P895" s="2"/>
      <c r="Q895" s="2"/>
      <c r="R895" s="2"/>
    </row>
    <row r="896" ht="15.75" customHeight="1">
      <c r="B896" s="2"/>
      <c r="G896" s="2"/>
      <c r="N896" s="2"/>
      <c r="O896" s="2"/>
      <c r="P896" s="2"/>
      <c r="Q896" s="2"/>
      <c r="R896" s="2"/>
    </row>
    <row r="897" ht="15.75" customHeight="1">
      <c r="B897" s="2"/>
      <c r="G897" s="2"/>
      <c r="N897" s="2"/>
      <c r="O897" s="2"/>
      <c r="P897" s="2"/>
      <c r="Q897" s="2"/>
      <c r="R897" s="2"/>
    </row>
    <row r="898" ht="15.75" customHeight="1">
      <c r="B898" s="2"/>
      <c r="G898" s="2"/>
      <c r="N898" s="2"/>
      <c r="O898" s="2"/>
      <c r="P898" s="2"/>
      <c r="Q898" s="2"/>
      <c r="R898" s="2"/>
    </row>
    <row r="899" ht="15.75" customHeight="1">
      <c r="B899" s="2"/>
      <c r="G899" s="2"/>
      <c r="N899" s="2"/>
      <c r="O899" s="2"/>
      <c r="P899" s="2"/>
      <c r="Q899" s="2"/>
      <c r="R899" s="2"/>
    </row>
    <row r="900" ht="15.75" customHeight="1">
      <c r="B900" s="2"/>
      <c r="G900" s="2"/>
      <c r="N900" s="2"/>
      <c r="O900" s="2"/>
      <c r="P900" s="2"/>
      <c r="Q900" s="2"/>
      <c r="R900" s="2"/>
    </row>
    <row r="901" ht="15.75" customHeight="1">
      <c r="B901" s="2"/>
      <c r="G901" s="2"/>
      <c r="N901" s="2"/>
      <c r="O901" s="2"/>
      <c r="P901" s="2"/>
      <c r="Q901" s="2"/>
      <c r="R901" s="2"/>
    </row>
    <row r="902" ht="15.75" customHeight="1">
      <c r="B902" s="2"/>
      <c r="G902" s="2"/>
      <c r="N902" s="2"/>
      <c r="O902" s="2"/>
      <c r="P902" s="2"/>
      <c r="Q902" s="2"/>
      <c r="R902" s="2"/>
    </row>
    <row r="903" ht="15.75" customHeight="1">
      <c r="B903" s="2"/>
      <c r="G903" s="2"/>
      <c r="N903" s="2"/>
      <c r="O903" s="2"/>
      <c r="P903" s="2"/>
      <c r="Q903" s="2"/>
      <c r="R903" s="2"/>
    </row>
    <row r="904" ht="15.75" customHeight="1">
      <c r="B904" s="2"/>
      <c r="G904" s="2"/>
      <c r="N904" s="2"/>
      <c r="O904" s="2"/>
      <c r="P904" s="2"/>
      <c r="Q904" s="2"/>
      <c r="R904" s="2"/>
    </row>
    <row r="905" ht="15.75" customHeight="1">
      <c r="B905" s="2"/>
      <c r="G905" s="2"/>
      <c r="N905" s="2"/>
      <c r="O905" s="2"/>
      <c r="P905" s="2"/>
      <c r="Q905" s="2"/>
      <c r="R905" s="2"/>
    </row>
    <row r="906" ht="15.75" customHeight="1">
      <c r="B906" s="2"/>
      <c r="G906" s="2"/>
      <c r="N906" s="2"/>
      <c r="O906" s="2"/>
      <c r="P906" s="2"/>
      <c r="Q906" s="2"/>
      <c r="R906" s="2"/>
    </row>
    <row r="907" ht="15.75" customHeight="1">
      <c r="B907" s="2"/>
      <c r="G907" s="2"/>
      <c r="N907" s="2"/>
      <c r="O907" s="2"/>
      <c r="P907" s="2"/>
      <c r="Q907" s="2"/>
      <c r="R907" s="2"/>
    </row>
    <row r="908" ht="15.75" customHeight="1">
      <c r="B908" s="2"/>
      <c r="G908" s="2"/>
      <c r="N908" s="2"/>
      <c r="O908" s="2"/>
      <c r="P908" s="2"/>
      <c r="Q908" s="2"/>
      <c r="R908" s="2"/>
    </row>
    <row r="909" ht="15.75" customHeight="1">
      <c r="B909" s="2"/>
      <c r="G909" s="2"/>
      <c r="N909" s="2"/>
      <c r="O909" s="2"/>
      <c r="P909" s="2"/>
      <c r="Q909" s="2"/>
      <c r="R909" s="2"/>
    </row>
    <row r="910" ht="15.75" customHeight="1">
      <c r="B910" s="2"/>
      <c r="G910" s="2"/>
      <c r="N910" s="2"/>
      <c r="O910" s="2"/>
      <c r="P910" s="2"/>
      <c r="Q910" s="2"/>
      <c r="R910" s="2"/>
    </row>
    <row r="911" ht="15.75" customHeight="1">
      <c r="B911" s="2"/>
      <c r="G911" s="2"/>
      <c r="N911" s="2"/>
      <c r="O911" s="2"/>
      <c r="P911" s="2"/>
      <c r="Q911" s="2"/>
      <c r="R911" s="2"/>
    </row>
    <row r="912" ht="15.75" customHeight="1">
      <c r="B912" s="2"/>
      <c r="G912" s="2"/>
      <c r="N912" s="2"/>
      <c r="O912" s="2"/>
      <c r="P912" s="2"/>
      <c r="Q912" s="2"/>
      <c r="R912" s="2"/>
    </row>
    <row r="913" ht="15.75" customHeight="1">
      <c r="B913" s="2"/>
      <c r="G913" s="2"/>
      <c r="N913" s="2"/>
      <c r="O913" s="2"/>
      <c r="P913" s="2"/>
      <c r="Q913" s="2"/>
      <c r="R913" s="2"/>
    </row>
    <row r="914" ht="15.75" customHeight="1">
      <c r="B914" s="2"/>
      <c r="G914" s="2"/>
      <c r="N914" s="2"/>
      <c r="O914" s="2"/>
      <c r="P914" s="2"/>
      <c r="Q914" s="2"/>
      <c r="R914" s="2"/>
    </row>
    <row r="915" ht="15.75" customHeight="1">
      <c r="B915" s="2"/>
      <c r="G915" s="2"/>
      <c r="N915" s="2"/>
      <c r="O915" s="2"/>
      <c r="P915" s="2"/>
      <c r="Q915" s="2"/>
      <c r="R915" s="2"/>
    </row>
    <row r="916" ht="15.75" customHeight="1">
      <c r="B916" s="2"/>
      <c r="G916" s="2"/>
      <c r="N916" s="2"/>
      <c r="O916" s="2"/>
      <c r="P916" s="2"/>
      <c r="Q916" s="2"/>
      <c r="R916" s="2"/>
    </row>
    <row r="917" ht="15.75" customHeight="1">
      <c r="B917" s="2"/>
      <c r="G917" s="2"/>
      <c r="N917" s="2"/>
      <c r="O917" s="2"/>
      <c r="P917" s="2"/>
      <c r="Q917" s="2"/>
      <c r="R917" s="2"/>
    </row>
    <row r="918" ht="15.75" customHeight="1">
      <c r="B918" s="2"/>
      <c r="G918" s="2"/>
      <c r="N918" s="2"/>
      <c r="O918" s="2"/>
      <c r="P918" s="2"/>
      <c r="Q918" s="2"/>
      <c r="R918" s="2"/>
    </row>
    <row r="919" ht="15.75" customHeight="1">
      <c r="B919" s="2"/>
      <c r="G919" s="2"/>
      <c r="N919" s="2"/>
      <c r="O919" s="2"/>
      <c r="P919" s="2"/>
      <c r="Q919" s="2"/>
      <c r="R919" s="2"/>
    </row>
    <row r="920" ht="15.75" customHeight="1">
      <c r="B920" s="2"/>
      <c r="G920" s="2"/>
      <c r="N920" s="2"/>
      <c r="O920" s="2"/>
      <c r="P920" s="2"/>
      <c r="Q920" s="2"/>
      <c r="R920" s="2"/>
    </row>
    <row r="921" ht="15.75" customHeight="1">
      <c r="B921" s="2"/>
      <c r="G921" s="2"/>
      <c r="N921" s="2"/>
      <c r="O921" s="2"/>
      <c r="P921" s="2"/>
      <c r="Q921" s="2"/>
      <c r="R921" s="2"/>
    </row>
    <row r="922" ht="15.75" customHeight="1">
      <c r="B922" s="2"/>
      <c r="G922" s="2"/>
      <c r="N922" s="2"/>
      <c r="O922" s="2"/>
      <c r="P922" s="2"/>
      <c r="Q922" s="2"/>
      <c r="R922" s="2"/>
    </row>
    <row r="923" ht="15.75" customHeight="1">
      <c r="B923" s="2"/>
      <c r="G923" s="2"/>
      <c r="N923" s="2"/>
      <c r="O923" s="2"/>
      <c r="P923" s="2"/>
      <c r="Q923" s="2"/>
      <c r="R923" s="2"/>
    </row>
    <row r="924" ht="15.75" customHeight="1">
      <c r="B924" s="2"/>
      <c r="G924" s="2"/>
      <c r="N924" s="2"/>
      <c r="O924" s="2"/>
      <c r="P924" s="2"/>
      <c r="Q924" s="2"/>
      <c r="R924" s="2"/>
    </row>
    <row r="925" ht="15.75" customHeight="1">
      <c r="B925" s="2"/>
      <c r="G925" s="2"/>
      <c r="N925" s="2"/>
      <c r="O925" s="2"/>
      <c r="P925" s="2"/>
      <c r="Q925" s="2"/>
      <c r="R925" s="2"/>
    </row>
    <row r="926" ht="15.75" customHeight="1">
      <c r="B926" s="2"/>
      <c r="G926" s="2"/>
      <c r="N926" s="2"/>
      <c r="O926" s="2"/>
      <c r="P926" s="2"/>
      <c r="Q926" s="2"/>
      <c r="R926" s="2"/>
    </row>
    <row r="927" ht="15.75" customHeight="1">
      <c r="B927" s="2"/>
      <c r="G927" s="2"/>
      <c r="N927" s="2"/>
      <c r="O927" s="2"/>
      <c r="P927" s="2"/>
      <c r="Q927" s="2"/>
      <c r="R927" s="2"/>
    </row>
    <row r="928" ht="15.75" customHeight="1">
      <c r="B928" s="2"/>
      <c r="G928" s="2"/>
      <c r="N928" s="2"/>
      <c r="O928" s="2"/>
      <c r="P928" s="2"/>
      <c r="Q928" s="2"/>
      <c r="R928" s="2"/>
    </row>
    <row r="929" ht="15.75" customHeight="1">
      <c r="B929" s="2"/>
      <c r="G929" s="2"/>
      <c r="N929" s="2"/>
      <c r="O929" s="2"/>
      <c r="P929" s="2"/>
      <c r="Q929" s="2"/>
      <c r="R929" s="2"/>
    </row>
    <row r="930" ht="15.75" customHeight="1">
      <c r="B930" s="2"/>
      <c r="G930" s="2"/>
      <c r="N930" s="2"/>
      <c r="O930" s="2"/>
      <c r="P930" s="2"/>
      <c r="Q930" s="2"/>
      <c r="R930" s="2"/>
    </row>
    <row r="931" ht="15.75" customHeight="1">
      <c r="B931" s="2"/>
      <c r="G931" s="2"/>
      <c r="N931" s="2"/>
      <c r="O931" s="2"/>
      <c r="P931" s="2"/>
      <c r="Q931" s="2"/>
      <c r="R931" s="2"/>
    </row>
    <row r="932" ht="15.75" customHeight="1">
      <c r="B932" s="2"/>
      <c r="G932" s="2"/>
      <c r="N932" s="2"/>
      <c r="O932" s="2"/>
      <c r="P932" s="2"/>
      <c r="Q932" s="2"/>
      <c r="R932" s="2"/>
    </row>
    <row r="933" ht="15.75" customHeight="1">
      <c r="B933" s="2"/>
      <c r="G933" s="2"/>
      <c r="N933" s="2"/>
      <c r="O933" s="2"/>
      <c r="P933" s="2"/>
      <c r="Q933" s="2"/>
      <c r="R933" s="2"/>
    </row>
    <row r="934" ht="15.75" customHeight="1">
      <c r="B934" s="2"/>
      <c r="G934" s="2"/>
      <c r="N934" s="2"/>
      <c r="O934" s="2"/>
      <c r="P934" s="2"/>
      <c r="Q934" s="2"/>
      <c r="R934" s="2"/>
    </row>
    <row r="935" ht="15.75" customHeight="1">
      <c r="B935" s="2"/>
      <c r="G935" s="2"/>
      <c r="N935" s="2"/>
      <c r="O935" s="2"/>
      <c r="P935" s="2"/>
      <c r="Q935" s="2"/>
      <c r="R935" s="2"/>
    </row>
    <row r="936" ht="15.75" customHeight="1">
      <c r="B936" s="2"/>
      <c r="G936" s="2"/>
      <c r="N936" s="2"/>
      <c r="O936" s="2"/>
      <c r="P936" s="2"/>
      <c r="Q936" s="2"/>
      <c r="R936" s="2"/>
    </row>
    <row r="937" ht="15.75" customHeight="1">
      <c r="B937" s="2"/>
      <c r="G937" s="2"/>
      <c r="N937" s="2"/>
      <c r="O937" s="2"/>
      <c r="P937" s="2"/>
      <c r="Q937" s="2"/>
      <c r="R937" s="2"/>
    </row>
    <row r="938" ht="15.75" customHeight="1">
      <c r="B938" s="2"/>
      <c r="G938" s="2"/>
      <c r="N938" s="2"/>
      <c r="O938" s="2"/>
      <c r="P938" s="2"/>
      <c r="Q938" s="2"/>
      <c r="R938" s="2"/>
    </row>
    <row r="939" ht="15.75" customHeight="1">
      <c r="B939" s="2"/>
      <c r="G939" s="2"/>
      <c r="N939" s="2"/>
      <c r="O939" s="2"/>
      <c r="P939" s="2"/>
      <c r="Q939" s="2"/>
      <c r="R939" s="2"/>
    </row>
    <row r="940" ht="15.75" customHeight="1">
      <c r="B940" s="2"/>
      <c r="G940" s="2"/>
      <c r="N940" s="2"/>
      <c r="O940" s="2"/>
      <c r="P940" s="2"/>
      <c r="Q940" s="2"/>
      <c r="R940" s="2"/>
    </row>
    <row r="941" ht="15.75" customHeight="1">
      <c r="B941" s="2"/>
      <c r="G941" s="2"/>
      <c r="N941" s="2"/>
      <c r="O941" s="2"/>
      <c r="P941" s="2"/>
      <c r="Q941" s="2"/>
      <c r="R941" s="2"/>
    </row>
    <row r="942" ht="15.75" customHeight="1">
      <c r="B942" s="2"/>
      <c r="G942" s="2"/>
      <c r="N942" s="2"/>
      <c r="O942" s="2"/>
      <c r="P942" s="2"/>
      <c r="Q942" s="2"/>
      <c r="R942" s="2"/>
    </row>
    <row r="943" ht="15.75" customHeight="1">
      <c r="B943" s="2"/>
      <c r="G943" s="2"/>
      <c r="N943" s="2"/>
      <c r="O943" s="2"/>
      <c r="P943" s="2"/>
      <c r="Q943" s="2"/>
      <c r="R943" s="2"/>
    </row>
    <row r="944" ht="15.75" customHeight="1">
      <c r="B944" s="2"/>
      <c r="G944" s="2"/>
      <c r="N944" s="2"/>
      <c r="O944" s="2"/>
      <c r="P944" s="2"/>
      <c r="Q944" s="2"/>
      <c r="R944" s="2"/>
    </row>
    <row r="945" ht="15.75" customHeight="1">
      <c r="B945" s="2"/>
      <c r="G945" s="2"/>
      <c r="N945" s="2"/>
      <c r="O945" s="2"/>
      <c r="P945" s="2"/>
      <c r="Q945" s="2"/>
      <c r="R945" s="2"/>
    </row>
    <row r="946" ht="15.75" customHeight="1">
      <c r="B946" s="2"/>
      <c r="G946" s="2"/>
      <c r="N946" s="2"/>
      <c r="O946" s="2"/>
      <c r="P946" s="2"/>
      <c r="Q946" s="2"/>
      <c r="R946" s="2"/>
    </row>
    <row r="947" ht="15.75" customHeight="1">
      <c r="B947" s="2"/>
      <c r="G947" s="2"/>
      <c r="N947" s="2"/>
      <c r="O947" s="2"/>
      <c r="P947" s="2"/>
      <c r="Q947" s="2"/>
      <c r="R947" s="2"/>
    </row>
    <row r="948" ht="15.75" customHeight="1">
      <c r="B948" s="2"/>
      <c r="G948" s="2"/>
      <c r="N948" s="2"/>
      <c r="O948" s="2"/>
      <c r="P948" s="2"/>
      <c r="Q948" s="2"/>
      <c r="R948" s="2"/>
    </row>
    <row r="949" ht="15.75" customHeight="1">
      <c r="B949" s="2"/>
      <c r="G949" s="2"/>
      <c r="N949" s="2"/>
      <c r="O949" s="2"/>
      <c r="P949" s="2"/>
      <c r="Q949" s="2"/>
      <c r="R949" s="2"/>
    </row>
    <row r="950" ht="15.75" customHeight="1">
      <c r="B950" s="2"/>
      <c r="G950" s="2"/>
      <c r="N950" s="2"/>
      <c r="O950" s="2"/>
      <c r="P950" s="2"/>
      <c r="Q950" s="2"/>
      <c r="R950" s="2"/>
    </row>
    <row r="951" ht="15.75" customHeight="1">
      <c r="B951" s="2"/>
      <c r="G951" s="2"/>
      <c r="N951" s="2"/>
      <c r="O951" s="2"/>
      <c r="P951" s="2"/>
      <c r="Q951" s="2"/>
      <c r="R951" s="2"/>
    </row>
    <row r="952" ht="15.75" customHeight="1">
      <c r="B952" s="2"/>
      <c r="G952" s="2"/>
      <c r="N952" s="2"/>
      <c r="O952" s="2"/>
      <c r="P952" s="2"/>
      <c r="Q952" s="2"/>
      <c r="R952" s="2"/>
    </row>
    <row r="953" ht="15.75" customHeight="1">
      <c r="B953" s="2"/>
      <c r="G953" s="2"/>
      <c r="N953" s="2"/>
      <c r="O953" s="2"/>
      <c r="P953" s="2"/>
      <c r="Q953" s="2"/>
      <c r="R953" s="2"/>
    </row>
    <row r="954" ht="15.75" customHeight="1">
      <c r="B954" s="2"/>
      <c r="G954" s="2"/>
      <c r="N954" s="2"/>
      <c r="O954" s="2"/>
      <c r="P954" s="2"/>
      <c r="Q954" s="2"/>
      <c r="R954" s="2"/>
    </row>
    <row r="955" ht="15.75" customHeight="1">
      <c r="B955" s="2"/>
      <c r="G955" s="2"/>
      <c r="N955" s="2"/>
      <c r="O955" s="2"/>
      <c r="P955" s="2"/>
      <c r="Q955" s="2"/>
      <c r="R955" s="2"/>
    </row>
    <row r="956" ht="15.75" customHeight="1">
      <c r="B956" s="2"/>
      <c r="G956" s="2"/>
      <c r="N956" s="2"/>
      <c r="O956" s="2"/>
      <c r="P956" s="2"/>
      <c r="Q956" s="2"/>
      <c r="R956" s="2"/>
    </row>
    <row r="957" ht="15.75" customHeight="1">
      <c r="B957" s="2"/>
      <c r="G957" s="2"/>
      <c r="N957" s="2"/>
      <c r="O957" s="2"/>
      <c r="P957" s="2"/>
      <c r="Q957" s="2"/>
      <c r="R957" s="2"/>
    </row>
    <row r="958" ht="15.75" customHeight="1">
      <c r="B958" s="2"/>
      <c r="G958" s="2"/>
      <c r="N958" s="2"/>
      <c r="O958" s="2"/>
      <c r="P958" s="2"/>
      <c r="Q958" s="2"/>
      <c r="R958" s="2"/>
    </row>
    <row r="959" ht="15.75" customHeight="1">
      <c r="B959" s="2"/>
      <c r="G959" s="2"/>
      <c r="N959" s="2"/>
      <c r="O959" s="2"/>
      <c r="P959" s="2"/>
      <c r="Q959" s="2"/>
      <c r="R959" s="2"/>
    </row>
    <row r="960" ht="15.75" customHeight="1">
      <c r="B960" s="2"/>
      <c r="G960" s="2"/>
      <c r="N960" s="2"/>
      <c r="O960" s="2"/>
      <c r="P960" s="2"/>
      <c r="Q960" s="2"/>
      <c r="R960" s="2"/>
    </row>
    <row r="961" ht="15.75" customHeight="1">
      <c r="B961" s="2"/>
      <c r="G961" s="2"/>
      <c r="N961" s="2"/>
      <c r="O961" s="2"/>
      <c r="P961" s="2"/>
      <c r="Q961" s="2"/>
      <c r="R961" s="2"/>
    </row>
    <row r="962" ht="15.75" customHeight="1">
      <c r="B962" s="2"/>
      <c r="G962" s="2"/>
      <c r="N962" s="2"/>
      <c r="O962" s="2"/>
      <c r="P962" s="2"/>
      <c r="Q962" s="2"/>
      <c r="R962" s="2"/>
    </row>
    <row r="963" ht="15.75" customHeight="1">
      <c r="B963" s="2"/>
      <c r="G963" s="2"/>
      <c r="N963" s="2"/>
      <c r="O963" s="2"/>
      <c r="P963" s="2"/>
      <c r="Q963" s="2"/>
      <c r="R963" s="2"/>
    </row>
    <row r="964" ht="15.75" customHeight="1">
      <c r="B964" s="2"/>
      <c r="G964" s="2"/>
      <c r="N964" s="2"/>
      <c r="O964" s="2"/>
      <c r="P964" s="2"/>
      <c r="Q964" s="2"/>
      <c r="R964" s="2"/>
    </row>
    <row r="965" ht="15.75" customHeight="1">
      <c r="B965" s="2"/>
      <c r="G965" s="2"/>
      <c r="N965" s="2"/>
      <c r="O965" s="2"/>
      <c r="P965" s="2"/>
      <c r="Q965" s="2"/>
      <c r="R965" s="2"/>
    </row>
    <row r="966" ht="15.75" customHeight="1">
      <c r="B966" s="2"/>
      <c r="G966" s="2"/>
      <c r="N966" s="2"/>
      <c r="O966" s="2"/>
      <c r="P966" s="2"/>
      <c r="Q966" s="2"/>
      <c r="R966" s="2"/>
    </row>
    <row r="967" ht="15.75" customHeight="1">
      <c r="B967" s="2"/>
      <c r="G967" s="2"/>
      <c r="N967" s="2"/>
      <c r="O967" s="2"/>
      <c r="P967" s="2"/>
      <c r="Q967" s="2"/>
      <c r="R967" s="2"/>
    </row>
    <row r="968" ht="15.75" customHeight="1">
      <c r="B968" s="2"/>
      <c r="G968" s="2"/>
      <c r="N968" s="2"/>
      <c r="O968" s="2"/>
      <c r="P968" s="2"/>
      <c r="Q968" s="2"/>
      <c r="R968" s="2"/>
    </row>
    <row r="969" ht="15.75" customHeight="1">
      <c r="B969" s="2"/>
      <c r="G969" s="2"/>
      <c r="N969" s="2"/>
      <c r="O969" s="2"/>
      <c r="P969" s="2"/>
      <c r="Q969" s="2"/>
      <c r="R969" s="2"/>
    </row>
    <row r="970" ht="15.75" customHeight="1">
      <c r="B970" s="2"/>
      <c r="G970" s="2"/>
      <c r="N970" s="2"/>
      <c r="O970" s="2"/>
      <c r="P970" s="2"/>
      <c r="Q970" s="2"/>
      <c r="R970" s="2"/>
    </row>
    <row r="971" ht="15.75" customHeight="1">
      <c r="B971" s="2"/>
      <c r="G971" s="2"/>
      <c r="N971" s="2"/>
      <c r="O971" s="2"/>
      <c r="P971" s="2"/>
      <c r="Q971" s="2"/>
      <c r="R971" s="2"/>
    </row>
    <row r="972" ht="15.75" customHeight="1">
      <c r="B972" s="2"/>
      <c r="G972" s="2"/>
      <c r="N972" s="2"/>
      <c r="O972" s="2"/>
      <c r="P972" s="2"/>
      <c r="Q972" s="2"/>
      <c r="R972" s="2"/>
    </row>
    <row r="973" ht="15.75" customHeight="1">
      <c r="B973" s="2"/>
      <c r="G973" s="2"/>
      <c r="N973" s="2"/>
      <c r="O973" s="2"/>
      <c r="P973" s="2"/>
      <c r="Q973" s="2"/>
      <c r="R973" s="2"/>
    </row>
    <row r="974" ht="15.75" customHeight="1">
      <c r="B974" s="2"/>
      <c r="G974" s="2"/>
      <c r="N974" s="2"/>
      <c r="O974" s="2"/>
      <c r="P974" s="2"/>
      <c r="Q974" s="2"/>
      <c r="R974" s="2"/>
    </row>
    <row r="975" ht="15.75" customHeight="1">
      <c r="B975" s="2"/>
      <c r="G975" s="2"/>
      <c r="N975" s="2"/>
      <c r="O975" s="2"/>
      <c r="P975" s="2"/>
      <c r="Q975" s="2"/>
      <c r="R975" s="2"/>
    </row>
    <row r="976" ht="15.75" customHeight="1">
      <c r="B976" s="2"/>
      <c r="G976" s="2"/>
      <c r="N976" s="2"/>
      <c r="O976" s="2"/>
      <c r="P976" s="2"/>
      <c r="Q976" s="2"/>
      <c r="R976" s="2"/>
    </row>
    <row r="977" ht="15.75" customHeight="1">
      <c r="B977" s="2"/>
      <c r="G977" s="2"/>
      <c r="N977" s="2"/>
      <c r="O977" s="2"/>
      <c r="P977" s="2"/>
      <c r="Q977" s="2"/>
      <c r="R977" s="2"/>
    </row>
    <row r="978" ht="15.75" customHeight="1">
      <c r="B978" s="2"/>
      <c r="G978" s="2"/>
      <c r="N978" s="2"/>
      <c r="O978" s="2"/>
      <c r="P978" s="2"/>
      <c r="Q978" s="2"/>
      <c r="R978" s="2"/>
    </row>
    <row r="979" ht="15.75" customHeight="1">
      <c r="B979" s="2"/>
      <c r="G979" s="2"/>
      <c r="N979" s="2"/>
      <c r="O979" s="2"/>
      <c r="P979" s="2"/>
      <c r="Q979" s="2"/>
      <c r="R979" s="2"/>
    </row>
    <row r="980" ht="15.75" customHeight="1">
      <c r="B980" s="2"/>
      <c r="G980" s="2"/>
      <c r="N980" s="2"/>
      <c r="O980" s="2"/>
      <c r="P980" s="2"/>
      <c r="Q980" s="2"/>
      <c r="R980" s="2"/>
    </row>
    <row r="981" ht="15.75" customHeight="1">
      <c r="B981" s="2"/>
      <c r="G981" s="2"/>
      <c r="N981" s="2"/>
      <c r="O981" s="2"/>
      <c r="P981" s="2"/>
      <c r="Q981" s="2"/>
      <c r="R981" s="2"/>
    </row>
    <row r="982" ht="15.75" customHeight="1">
      <c r="B982" s="2"/>
      <c r="G982" s="2"/>
      <c r="N982" s="2"/>
      <c r="O982" s="2"/>
      <c r="P982" s="2"/>
      <c r="Q982" s="2"/>
      <c r="R982" s="2"/>
    </row>
    <row r="983" ht="15.75" customHeight="1">
      <c r="B983" s="2"/>
      <c r="G983" s="2"/>
      <c r="N983" s="2"/>
      <c r="O983" s="2"/>
      <c r="P983" s="2"/>
      <c r="Q983" s="2"/>
      <c r="R983" s="2"/>
    </row>
    <row r="984" ht="15.75" customHeight="1">
      <c r="B984" s="2"/>
      <c r="G984" s="2"/>
      <c r="N984" s="2"/>
      <c r="O984" s="2"/>
      <c r="P984" s="2"/>
      <c r="Q984" s="2"/>
      <c r="R984" s="2"/>
    </row>
    <row r="985" ht="15.75" customHeight="1">
      <c r="B985" s="2"/>
      <c r="G985" s="2"/>
      <c r="N985" s="2"/>
      <c r="O985" s="2"/>
      <c r="P985" s="2"/>
      <c r="Q985" s="2"/>
      <c r="R985" s="2"/>
    </row>
    <row r="986" ht="15.75" customHeight="1">
      <c r="B986" s="2"/>
      <c r="G986" s="2"/>
      <c r="N986" s="2"/>
      <c r="O986" s="2"/>
      <c r="P986" s="2"/>
      <c r="Q986" s="2"/>
      <c r="R986" s="2"/>
    </row>
    <row r="987" ht="15.75" customHeight="1">
      <c r="B987" s="2"/>
      <c r="G987" s="2"/>
      <c r="N987" s="2"/>
      <c r="O987" s="2"/>
      <c r="P987" s="2"/>
      <c r="Q987" s="2"/>
      <c r="R987" s="2"/>
    </row>
    <row r="988" ht="15.75" customHeight="1">
      <c r="B988" s="2"/>
      <c r="G988" s="2"/>
      <c r="N988" s="2"/>
      <c r="O988" s="2"/>
      <c r="P988" s="2"/>
      <c r="Q988" s="2"/>
      <c r="R988" s="2"/>
    </row>
    <row r="989" ht="15.75" customHeight="1">
      <c r="B989" s="2"/>
      <c r="G989" s="2"/>
      <c r="N989" s="2"/>
      <c r="O989" s="2"/>
      <c r="P989" s="2"/>
      <c r="Q989" s="2"/>
      <c r="R989" s="2"/>
    </row>
    <row r="990" ht="15.75" customHeight="1">
      <c r="B990" s="2"/>
      <c r="G990" s="2"/>
      <c r="N990" s="2"/>
      <c r="O990" s="2"/>
      <c r="P990" s="2"/>
      <c r="Q990" s="2"/>
      <c r="R990" s="2"/>
    </row>
    <row r="991" ht="15.75" customHeight="1">
      <c r="B991" s="2"/>
      <c r="G991" s="2"/>
      <c r="N991" s="2"/>
      <c r="O991" s="2"/>
      <c r="P991" s="2"/>
      <c r="Q991" s="2"/>
      <c r="R991" s="2"/>
    </row>
    <row r="992" ht="15.75" customHeight="1">
      <c r="B992" s="2"/>
      <c r="G992" s="2"/>
      <c r="N992" s="2"/>
      <c r="O992" s="2"/>
      <c r="P992" s="2"/>
      <c r="Q992" s="2"/>
      <c r="R992" s="2"/>
    </row>
    <row r="993" ht="15.75" customHeight="1">
      <c r="B993" s="2"/>
      <c r="G993" s="2"/>
      <c r="N993" s="2"/>
      <c r="O993" s="2"/>
      <c r="P993" s="2"/>
      <c r="Q993" s="2"/>
      <c r="R993" s="2"/>
    </row>
    <row r="994" ht="15.75" customHeight="1">
      <c r="B994" s="2"/>
      <c r="G994" s="2"/>
      <c r="N994" s="2"/>
      <c r="O994" s="2"/>
      <c r="P994" s="2"/>
      <c r="Q994" s="2"/>
      <c r="R994" s="2"/>
    </row>
    <row r="995" ht="15.75" customHeight="1">
      <c r="B995" s="2"/>
      <c r="G995" s="2"/>
      <c r="N995" s="2"/>
      <c r="O995" s="2"/>
      <c r="P995" s="2"/>
      <c r="Q995" s="2"/>
      <c r="R995" s="2"/>
    </row>
    <row r="996" ht="15.75" customHeight="1">
      <c r="B996" s="2"/>
      <c r="G996" s="2"/>
      <c r="N996" s="2"/>
      <c r="O996" s="2"/>
      <c r="P996" s="2"/>
      <c r="Q996" s="2"/>
      <c r="R996" s="2"/>
    </row>
    <row r="997" ht="15.75" customHeight="1">
      <c r="B997" s="2"/>
      <c r="G997" s="2"/>
      <c r="N997" s="2"/>
      <c r="O997" s="2"/>
      <c r="P997" s="2"/>
      <c r="Q997" s="2"/>
      <c r="R997" s="2"/>
    </row>
    <row r="998" ht="15.75" customHeight="1">
      <c r="B998" s="2"/>
      <c r="G998" s="2"/>
      <c r="N998" s="2"/>
      <c r="O998" s="2"/>
      <c r="P998" s="2"/>
      <c r="Q998" s="2"/>
      <c r="R998" s="2"/>
    </row>
    <row r="999" ht="15.75" customHeight="1">
      <c r="B999" s="2"/>
      <c r="G999" s="2"/>
      <c r="N999" s="2"/>
      <c r="O999" s="2"/>
      <c r="P999" s="2"/>
      <c r="Q999" s="2"/>
      <c r="R999" s="2"/>
    </row>
    <row r="1000" ht="15.75" customHeight="1">
      <c r="B1000" s="2"/>
      <c r="G1000" s="2"/>
      <c r="N1000" s="2"/>
      <c r="O1000" s="2"/>
      <c r="P1000" s="2"/>
      <c r="Q1000" s="2"/>
      <c r="R1000" s="2"/>
    </row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  <col customWidth="1" min="15" max="26" width="8.71"/>
  </cols>
  <sheetData>
    <row r="1" ht="17.25" customHeight="1">
      <c r="A1" s="7" t="s">
        <v>151</v>
      </c>
      <c r="C1" s="2"/>
      <c r="G1" s="2"/>
      <c r="H1" s="2"/>
      <c r="N1" s="2"/>
    </row>
    <row r="2" ht="48.0" customHeight="1">
      <c r="A2" s="10" t="s">
        <v>152</v>
      </c>
      <c r="C2" s="2"/>
      <c r="G2" s="2"/>
      <c r="H2" s="2"/>
      <c r="N2" s="2"/>
    </row>
    <row r="3">
      <c r="A3" s="2"/>
      <c r="C3" s="2"/>
      <c r="G3" s="2"/>
      <c r="H3" s="2"/>
      <c r="N3" s="2"/>
    </row>
    <row r="4" ht="42.75" customHeight="1">
      <c r="A4" s="5" t="s">
        <v>153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127</v>
      </c>
      <c r="I4" s="5" t="s">
        <v>160</v>
      </c>
      <c r="J4" s="5" t="s">
        <v>56</v>
      </c>
      <c r="K4" s="5" t="s">
        <v>161</v>
      </c>
      <c r="L4" s="5" t="s">
        <v>162</v>
      </c>
      <c r="M4" s="5" t="s">
        <v>163</v>
      </c>
      <c r="N4" s="5" t="s">
        <v>164</v>
      </c>
    </row>
    <row r="5" ht="15.0" customHeight="1">
      <c r="A5" s="11"/>
      <c r="B5" s="11"/>
      <c r="C5" s="11"/>
      <c r="D5" s="11"/>
      <c r="E5" s="2">
        <f t="shared" ref="E5:E104" si="1">IF(OR($A5="",$D5=""),0,$D5)</f>
        <v>0</v>
      </c>
      <c r="F5" s="11"/>
      <c r="G5" s="11"/>
      <c r="H5" s="11"/>
      <c r="I5" s="11"/>
      <c r="J5" s="11"/>
      <c r="K5" s="11"/>
      <c r="L5" s="11"/>
      <c r="M5" s="2">
        <f t="array" ref="M5">IF(OR($A5="",$L5&lt;&gt;"Y"),0,IF($K5="",1,IF(IFERROR(INDEX(SchedZone,MATCH($A5,INDEX(SchedZone,0,MAP!$B$6),0),MAP!$B$4),999)&lt;=$K5,1,0)))</f>
        <v>0</v>
      </c>
      <c r="N5" s="2" t="str">
        <f>IF($A5="","",IF($G5="","⚠ EXPLANATION REQUIRED",IF(AND($D5&lt;&gt;"",ABS($D5)&gt;AdjCap),"⚠ LARGE — VERIFY","")))</f>
        <v/>
      </c>
    </row>
    <row r="6" ht="15.0" customHeight="1">
      <c r="A6" s="11"/>
      <c r="B6" s="11"/>
      <c r="C6" s="11"/>
      <c r="D6" s="11"/>
      <c r="E6" s="2">
        <f t="shared" si="1"/>
        <v>0</v>
      </c>
      <c r="F6" s="11"/>
      <c r="G6" s="11"/>
      <c r="H6" s="11"/>
      <c r="I6" s="11"/>
      <c r="J6" s="11"/>
      <c r="K6" s="11"/>
      <c r="L6" s="11"/>
      <c r="M6" s="2">
        <f t="array" ref="M6">IF(OR($A6="",$L6&lt;&gt;"Y"),0,IF($K6="",1,IF(IFERROR(INDEX(SchedZone,MATCH($A6,INDEX(SchedZone,0,MAP!$B$6),0),MAP!$B$4),999)&lt;=$K6,1,0)))</f>
        <v>0</v>
      </c>
      <c r="N6" s="2" t="str">
        <f>IF($A6="","",IF($G6="","⚠ EXPLANATION REQUIRED",IF(AND($D6&lt;&gt;"",ABS($D6)&gt;AdjCap),"⚠ LARGE — VERIFY","")))</f>
        <v/>
      </c>
    </row>
    <row r="7" ht="15.0" customHeight="1">
      <c r="A7" s="11"/>
      <c r="B7" s="11"/>
      <c r="C7" s="11"/>
      <c r="D7" s="11"/>
      <c r="E7" s="2">
        <f t="shared" si="1"/>
        <v>0</v>
      </c>
      <c r="F7" s="11"/>
      <c r="G7" s="11"/>
      <c r="H7" s="11"/>
      <c r="I7" s="11"/>
      <c r="J7" s="11"/>
      <c r="K7" s="11"/>
      <c r="L7" s="11"/>
      <c r="M7" s="2">
        <f t="array" ref="M7">IF(OR($A7="",$L7&lt;&gt;"Y"),0,IF($K7="",1,IF(IFERROR(INDEX(SchedZone,MATCH($A7,INDEX(SchedZone,0,MAP!$B$6),0),MAP!$B$4),999)&lt;=$K7,1,0)))</f>
        <v>0</v>
      </c>
      <c r="N7" s="2" t="str">
        <f>IF($A7="","",IF($G7="","⚠ EXPLANATION REQUIRED",IF(AND($D7&lt;&gt;"",ABS($D7)&gt;AdjCap),"⚠ LARGE — VERIFY","")))</f>
        <v/>
      </c>
    </row>
    <row r="8" ht="15.0" customHeight="1">
      <c r="A8" s="11"/>
      <c r="B8" s="11"/>
      <c r="C8" s="11"/>
      <c r="D8" s="11"/>
      <c r="E8" s="2">
        <f t="shared" si="1"/>
        <v>0</v>
      </c>
      <c r="F8" s="11"/>
      <c r="G8" s="11"/>
      <c r="H8" s="11"/>
      <c r="I8" s="11"/>
      <c r="J8" s="11"/>
      <c r="K8" s="11"/>
      <c r="L8" s="11"/>
      <c r="M8" s="2">
        <f t="array" ref="M8">IF(OR($A8="",$L8&lt;&gt;"Y"),0,IF($K8="",1,IF(IFERROR(INDEX(SchedZone,MATCH($A8,INDEX(SchedZone,0,MAP!$B$6),0),MAP!$B$4),999)&lt;=$K8,1,0)))</f>
        <v>0</v>
      </c>
      <c r="N8" s="2" t="str">
        <f>IF($A8="","",IF($G8="","⚠ EXPLANATION REQUIRED",IF(AND($D8&lt;&gt;"",ABS($D8)&gt;AdjCap),"⚠ LARGE — VERIFY","")))</f>
        <v/>
      </c>
    </row>
    <row r="9" ht="15.0" customHeight="1">
      <c r="A9" s="11"/>
      <c r="B9" s="11"/>
      <c r="C9" s="11"/>
      <c r="D9" s="11"/>
      <c r="E9" s="2">
        <f t="shared" si="1"/>
        <v>0</v>
      </c>
      <c r="F9" s="11"/>
      <c r="G9" s="11"/>
      <c r="H9" s="11"/>
      <c r="I9" s="11"/>
      <c r="J9" s="11"/>
      <c r="K9" s="11"/>
      <c r="L9" s="11"/>
      <c r="M9" s="2">
        <f t="array" ref="M9">IF(OR($A9="",$L9&lt;&gt;"Y"),0,IF($K9="",1,IF(IFERROR(INDEX(SchedZone,MATCH($A9,INDEX(SchedZone,0,MAP!$B$6),0),MAP!$B$4),999)&lt;=$K9,1,0)))</f>
        <v>0</v>
      </c>
      <c r="N9" s="2" t="str">
        <f>IF($A9="","",IF($G9="","⚠ EXPLANATION REQUIRED",IF(AND($D9&lt;&gt;"",ABS($D9)&gt;AdjCap),"⚠ LARGE — VERIFY","")))</f>
        <v/>
      </c>
    </row>
    <row r="10" ht="15.0" customHeight="1">
      <c r="A10" s="11"/>
      <c r="B10" s="11"/>
      <c r="C10" s="11"/>
      <c r="D10" s="11"/>
      <c r="E10" s="2">
        <f t="shared" si="1"/>
        <v>0</v>
      </c>
      <c r="F10" s="11"/>
      <c r="G10" s="11"/>
      <c r="H10" s="11"/>
      <c r="I10" s="11"/>
      <c r="J10" s="11"/>
      <c r="K10" s="11"/>
      <c r="L10" s="11"/>
      <c r="M10" s="2">
        <f t="array" ref="M10">IF(OR($A10="",$L10&lt;&gt;"Y"),0,IF($K10="",1,IF(IFERROR(INDEX(SchedZone,MATCH($A10,INDEX(SchedZone,0,MAP!$B$6),0),MAP!$B$4),999)&lt;=$K10,1,0)))</f>
        <v>0</v>
      </c>
      <c r="N10" s="2" t="str">
        <f>IF($A10="","",IF($G10="","⚠ EXPLANATION REQUIRED",IF(AND($D10&lt;&gt;"",ABS($D10)&gt;AdjCap),"⚠ LARGE — VERIFY","")))</f>
        <v/>
      </c>
    </row>
    <row r="11" ht="15.0" customHeight="1">
      <c r="A11" s="11"/>
      <c r="B11" s="11"/>
      <c r="C11" s="11"/>
      <c r="D11" s="11"/>
      <c r="E11" s="2">
        <f t="shared" si="1"/>
        <v>0</v>
      </c>
      <c r="F11" s="11"/>
      <c r="G11" s="11"/>
      <c r="H11" s="11"/>
      <c r="I11" s="11"/>
      <c r="J11" s="11"/>
      <c r="K11" s="11"/>
      <c r="L11" s="11"/>
      <c r="M11" s="2">
        <f t="array" ref="M11">IF(OR($A11="",$L11&lt;&gt;"Y"),0,IF($K11="",1,IF(IFERROR(INDEX(SchedZone,MATCH($A11,INDEX(SchedZone,0,MAP!$B$6),0),MAP!$B$4),999)&lt;=$K11,1,0)))</f>
        <v>0</v>
      </c>
      <c r="N11" s="2" t="str">
        <f>IF($A11="","",IF($G11="","⚠ EXPLANATION REQUIRED",IF(AND($D11&lt;&gt;"",ABS($D11)&gt;AdjCap),"⚠ LARGE — VERIFY","")))</f>
        <v/>
      </c>
    </row>
    <row r="12" ht="15.0" customHeight="1">
      <c r="A12" s="11"/>
      <c r="B12" s="11"/>
      <c r="C12" s="11"/>
      <c r="D12" s="11"/>
      <c r="E12" s="2">
        <f t="shared" si="1"/>
        <v>0</v>
      </c>
      <c r="F12" s="11"/>
      <c r="G12" s="11"/>
      <c r="H12" s="11"/>
      <c r="I12" s="11"/>
      <c r="J12" s="11"/>
      <c r="K12" s="11"/>
      <c r="L12" s="11"/>
      <c r="M12" s="2">
        <f t="array" ref="M12">IF(OR($A12="",$L12&lt;&gt;"Y"),0,IF($K12="",1,IF(IFERROR(INDEX(SchedZone,MATCH($A12,INDEX(SchedZone,0,MAP!$B$6),0),MAP!$B$4),999)&lt;=$K12,1,0)))</f>
        <v>0</v>
      </c>
      <c r="N12" s="2" t="str">
        <f>IF($A12="","",IF($G12="","⚠ EXPLANATION REQUIRED",IF(AND($D12&lt;&gt;"",ABS($D12)&gt;AdjCap),"⚠ LARGE — VERIFY","")))</f>
        <v/>
      </c>
    </row>
    <row r="13" ht="15.0" customHeight="1">
      <c r="A13" s="11"/>
      <c r="B13" s="11"/>
      <c r="C13" s="11"/>
      <c r="D13" s="11"/>
      <c r="E13" s="2">
        <f t="shared" si="1"/>
        <v>0</v>
      </c>
      <c r="F13" s="11"/>
      <c r="G13" s="11"/>
      <c r="H13" s="11"/>
      <c r="I13" s="11"/>
      <c r="J13" s="11"/>
      <c r="K13" s="11"/>
      <c r="L13" s="11"/>
      <c r="M13" s="2">
        <f t="array" ref="M13">IF(OR($A13="",$L13&lt;&gt;"Y"),0,IF($K13="",1,IF(IFERROR(INDEX(SchedZone,MATCH($A13,INDEX(SchedZone,0,MAP!$B$6),0),MAP!$B$4),999)&lt;=$K13,1,0)))</f>
        <v>0</v>
      </c>
      <c r="N13" s="2" t="str">
        <f>IF($A13="","",IF($G13="","⚠ EXPLANATION REQUIRED",IF(AND($D13&lt;&gt;"",ABS($D13)&gt;AdjCap),"⚠ LARGE — VERIFY","")))</f>
        <v/>
      </c>
    </row>
    <row r="14" ht="15.0" customHeight="1">
      <c r="A14" s="11"/>
      <c r="B14" s="11"/>
      <c r="C14" s="11"/>
      <c r="D14" s="11"/>
      <c r="E14" s="2">
        <f t="shared" si="1"/>
        <v>0</v>
      </c>
      <c r="F14" s="11"/>
      <c r="G14" s="11"/>
      <c r="H14" s="11"/>
      <c r="I14" s="11"/>
      <c r="J14" s="11"/>
      <c r="K14" s="11"/>
      <c r="L14" s="11"/>
      <c r="M14" s="2">
        <f t="array" ref="M14">IF(OR($A14="",$L14&lt;&gt;"Y"),0,IF($K14="",1,IF(IFERROR(INDEX(SchedZone,MATCH($A14,INDEX(SchedZone,0,MAP!$B$6),0),MAP!$B$4),999)&lt;=$K14,1,0)))</f>
        <v>0</v>
      </c>
      <c r="N14" s="2" t="str">
        <f>IF($A14="","",IF($G14="","⚠ EXPLANATION REQUIRED",IF(AND($D14&lt;&gt;"",ABS($D14)&gt;AdjCap),"⚠ LARGE — VERIFY","")))</f>
        <v/>
      </c>
    </row>
    <row r="15" ht="15.0" customHeight="1">
      <c r="A15" s="11"/>
      <c r="B15" s="11"/>
      <c r="C15" s="11"/>
      <c r="D15" s="11"/>
      <c r="E15" s="2">
        <f t="shared" si="1"/>
        <v>0</v>
      </c>
      <c r="F15" s="11"/>
      <c r="G15" s="11"/>
      <c r="H15" s="11"/>
      <c r="I15" s="11"/>
      <c r="J15" s="11"/>
      <c r="K15" s="11"/>
      <c r="L15" s="11"/>
      <c r="M15" s="2">
        <f t="array" ref="M15">IF(OR($A15="",$L15&lt;&gt;"Y"),0,IF($K15="",1,IF(IFERROR(INDEX(SchedZone,MATCH($A15,INDEX(SchedZone,0,MAP!$B$6),0),MAP!$B$4),999)&lt;=$K15,1,0)))</f>
        <v>0</v>
      </c>
      <c r="N15" s="2" t="str">
        <f>IF($A15="","",IF($G15="","⚠ EXPLANATION REQUIRED",IF(AND($D15&lt;&gt;"",ABS($D15)&gt;AdjCap),"⚠ LARGE — VERIFY","")))</f>
        <v/>
      </c>
    </row>
    <row r="16" ht="15.0" customHeight="1">
      <c r="A16" s="11"/>
      <c r="B16" s="11"/>
      <c r="C16" s="11"/>
      <c r="D16" s="11"/>
      <c r="E16" s="2">
        <f t="shared" si="1"/>
        <v>0</v>
      </c>
      <c r="F16" s="11"/>
      <c r="G16" s="11"/>
      <c r="H16" s="11"/>
      <c r="I16" s="11"/>
      <c r="J16" s="11"/>
      <c r="K16" s="11"/>
      <c r="L16" s="11"/>
      <c r="M16" s="2">
        <f t="array" ref="M16">IF(OR($A16="",$L16&lt;&gt;"Y"),0,IF($K16="",1,IF(IFERROR(INDEX(SchedZone,MATCH($A16,INDEX(SchedZone,0,MAP!$B$6),0),MAP!$B$4),999)&lt;=$K16,1,0)))</f>
        <v>0</v>
      </c>
      <c r="N16" s="2" t="str">
        <f>IF($A16="","",IF($G16="","⚠ EXPLANATION REQUIRED",IF(AND($D16&lt;&gt;"",ABS($D16)&gt;AdjCap),"⚠ LARGE — VERIFY","")))</f>
        <v/>
      </c>
    </row>
    <row r="17" ht="15.0" customHeight="1">
      <c r="A17" s="11"/>
      <c r="B17" s="11"/>
      <c r="C17" s="11"/>
      <c r="D17" s="11"/>
      <c r="E17" s="2">
        <f t="shared" si="1"/>
        <v>0</v>
      </c>
      <c r="F17" s="11"/>
      <c r="G17" s="11"/>
      <c r="H17" s="11"/>
      <c r="I17" s="11"/>
      <c r="J17" s="11"/>
      <c r="K17" s="11"/>
      <c r="L17" s="11"/>
      <c r="M17" s="2">
        <f t="array" ref="M17">IF(OR($A17="",$L17&lt;&gt;"Y"),0,IF($K17="",1,IF(IFERROR(INDEX(SchedZone,MATCH($A17,INDEX(SchedZone,0,MAP!$B$6),0),MAP!$B$4),999)&lt;=$K17,1,0)))</f>
        <v>0</v>
      </c>
      <c r="N17" s="2" t="str">
        <f>IF($A17="","",IF($G17="","⚠ EXPLANATION REQUIRED",IF(AND($D17&lt;&gt;"",ABS($D17)&gt;AdjCap),"⚠ LARGE — VERIFY","")))</f>
        <v/>
      </c>
    </row>
    <row r="18" ht="15.0" customHeight="1">
      <c r="A18" s="11"/>
      <c r="B18" s="11"/>
      <c r="C18" s="11"/>
      <c r="D18" s="11"/>
      <c r="E18" s="2">
        <f t="shared" si="1"/>
        <v>0</v>
      </c>
      <c r="F18" s="11"/>
      <c r="G18" s="11"/>
      <c r="H18" s="11"/>
      <c r="I18" s="11"/>
      <c r="J18" s="11"/>
      <c r="K18" s="11"/>
      <c r="L18" s="11"/>
      <c r="M18" s="2">
        <f t="array" ref="M18">IF(OR($A18="",$L18&lt;&gt;"Y"),0,IF($K18="",1,IF(IFERROR(INDEX(SchedZone,MATCH($A18,INDEX(SchedZone,0,MAP!$B$6),0),MAP!$B$4),999)&lt;=$K18,1,0)))</f>
        <v>0</v>
      </c>
      <c r="N18" s="2" t="str">
        <f>IF($A18="","",IF($G18="","⚠ EXPLANATION REQUIRED",IF(AND($D18&lt;&gt;"",ABS($D18)&gt;AdjCap),"⚠ LARGE — VERIFY","")))</f>
        <v/>
      </c>
    </row>
    <row r="19" ht="15.0" customHeight="1">
      <c r="A19" s="11"/>
      <c r="B19" s="11"/>
      <c r="C19" s="11"/>
      <c r="D19" s="11"/>
      <c r="E19" s="2">
        <f t="shared" si="1"/>
        <v>0</v>
      </c>
      <c r="F19" s="11"/>
      <c r="G19" s="11"/>
      <c r="H19" s="11"/>
      <c r="I19" s="11"/>
      <c r="J19" s="11"/>
      <c r="K19" s="11"/>
      <c r="L19" s="11"/>
      <c r="M19" s="2">
        <f t="array" ref="M19">IF(OR($A19="",$L19&lt;&gt;"Y"),0,IF($K19="",1,IF(IFERROR(INDEX(SchedZone,MATCH($A19,INDEX(SchedZone,0,MAP!$B$6),0),MAP!$B$4),999)&lt;=$K19,1,0)))</f>
        <v>0</v>
      </c>
      <c r="N19" s="2" t="str">
        <f>IF($A19="","",IF($G19="","⚠ EXPLANATION REQUIRED",IF(AND($D19&lt;&gt;"",ABS($D19)&gt;AdjCap),"⚠ LARGE — VERIFY","")))</f>
        <v/>
      </c>
    </row>
    <row r="20" ht="15.0" customHeight="1">
      <c r="A20" s="11"/>
      <c r="B20" s="11"/>
      <c r="C20" s="11"/>
      <c r="D20" s="11"/>
      <c r="E20" s="2">
        <f t="shared" si="1"/>
        <v>0</v>
      </c>
      <c r="F20" s="11"/>
      <c r="G20" s="11"/>
      <c r="H20" s="11"/>
      <c r="I20" s="11"/>
      <c r="J20" s="11"/>
      <c r="K20" s="11"/>
      <c r="L20" s="11"/>
      <c r="M20" s="2">
        <f t="array" ref="M20">IF(OR($A20="",$L20&lt;&gt;"Y"),0,IF($K20="",1,IF(IFERROR(INDEX(SchedZone,MATCH($A20,INDEX(SchedZone,0,MAP!$B$6),0),MAP!$B$4),999)&lt;=$K20,1,0)))</f>
        <v>0</v>
      </c>
      <c r="N20" s="2" t="str">
        <f>IF($A20="","",IF($G20="","⚠ EXPLANATION REQUIRED",IF(AND($D20&lt;&gt;"",ABS($D20)&gt;AdjCap),"⚠ LARGE — VERIFY","")))</f>
        <v/>
      </c>
    </row>
    <row r="21" ht="15.0" customHeight="1">
      <c r="A21" s="11"/>
      <c r="B21" s="11"/>
      <c r="C21" s="11"/>
      <c r="D21" s="11"/>
      <c r="E21" s="2">
        <f t="shared" si="1"/>
        <v>0</v>
      </c>
      <c r="F21" s="11"/>
      <c r="G21" s="11"/>
      <c r="H21" s="11"/>
      <c r="I21" s="11"/>
      <c r="J21" s="11"/>
      <c r="K21" s="11"/>
      <c r="L21" s="11"/>
      <c r="M21" s="2">
        <f t="array" ref="M21">IF(OR($A21="",$L21&lt;&gt;"Y"),0,IF($K21="",1,IF(IFERROR(INDEX(SchedZone,MATCH($A21,INDEX(SchedZone,0,MAP!$B$6),0),MAP!$B$4),999)&lt;=$K21,1,0)))</f>
        <v>0</v>
      </c>
      <c r="N21" s="2" t="str">
        <f>IF($A21="","",IF($G21="","⚠ EXPLANATION REQUIRED",IF(AND($D21&lt;&gt;"",ABS($D21)&gt;AdjCap),"⚠ LARGE — VERIFY","")))</f>
        <v/>
      </c>
    </row>
    <row r="22" ht="15.0" customHeight="1">
      <c r="A22" s="11"/>
      <c r="B22" s="11"/>
      <c r="C22" s="11"/>
      <c r="D22" s="11"/>
      <c r="E22" s="2">
        <f t="shared" si="1"/>
        <v>0</v>
      </c>
      <c r="F22" s="11"/>
      <c r="G22" s="11"/>
      <c r="H22" s="11"/>
      <c r="I22" s="11"/>
      <c r="J22" s="11"/>
      <c r="K22" s="11"/>
      <c r="L22" s="11"/>
      <c r="M22" s="2">
        <f t="array" ref="M22">IF(OR($A22="",$L22&lt;&gt;"Y"),0,IF($K22="",1,IF(IFERROR(INDEX(SchedZone,MATCH($A22,INDEX(SchedZone,0,MAP!$B$6),0),MAP!$B$4),999)&lt;=$K22,1,0)))</f>
        <v>0</v>
      </c>
      <c r="N22" s="2" t="str">
        <f>IF($A22="","",IF($G22="","⚠ EXPLANATION REQUIRED",IF(AND($D22&lt;&gt;"",ABS($D22)&gt;AdjCap),"⚠ LARGE — VERIFY","")))</f>
        <v/>
      </c>
    </row>
    <row r="23" ht="15.0" customHeight="1">
      <c r="A23" s="11"/>
      <c r="B23" s="11"/>
      <c r="C23" s="11"/>
      <c r="D23" s="11"/>
      <c r="E23" s="2">
        <f t="shared" si="1"/>
        <v>0</v>
      </c>
      <c r="F23" s="11"/>
      <c r="G23" s="11"/>
      <c r="H23" s="11"/>
      <c r="I23" s="11"/>
      <c r="J23" s="11"/>
      <c r="K23" s="11"/>
      <c r="L23" s="11"/>
      <c r="M23" s="2">
        <f t="array" ref="M23">IF(OR($A23="",$L23&lt;&gt;"Y"),0,IF($K23="",1,IF(IFERROR(INDEX(SchedZone,MATCH($A23,INDEX(SchedZone,0,MAP!$B$6),0),MAP!$B$4),999)&lt;=$K23,1,0)))</f>
        <v>0</v>
      </c>
      <c r="N23" s="2" t="str">
        <f>IF($A23="","",IF($G23="","⚠ EXPLANATION REQUIRED",IF(AND($D23&lt;&gt;"",ABS($D23)&gt;AdjCap),"⚠ LARGE — VERIFY","")))</f>
        <v/>
      </c>
    </row>
    <row r="24" ht="15.0" customHeight="1">
      <c r="A24" s="11"/>
      <c r="B24" s="11"/>
      <c r="C24" s="11"/>
      <c r="D24" s="11"/>
      <c r="E24" s="2">
        <f t="shared" si="1"/>
        <v>0</v>
      </c>
      <c r="F24" s="11"/>
      <c r="G24" s="11"/>
      <c r="H24" s="11"/>
      <c r="I24" s="11"/>
      <c r="J24" s="11"/>
      <c r="K24" s="11"/>
      <c r="L24" s="11"/>
      <c r="M24" s="2">
        <f t="array" ref="M24">IF(OR($A24="",$L24&lt;&gt;"Y"),0,IF($K24="",1,IF(IFERROR(INDEX(SchedZone,MATCH($A24,INDEX(SchedZone,0,MAP!$B$6),0),MAP!$B$4),999)&lt;=$K24,1,0)))</f>
        <v>0</v>
      </c>
      <c r="N24" s="2" t="str">
        <f>IF($A24="","",IF($G24="","⚠ EXPLANATION REQUIRED",IF(AND($D24&lt;&gt;"",ABS($D24)&gt;AdjCap),"⚠ LARGE — VERIFY","")))</f>
        <v/>
      </c>
    </row>
    <row r="25" ht="15.0" customHeight="1">
      <c r="A25" s="11"/>
      <c r="B25" s="11"/>
      <c r="C25" s="11"/>
      <c r="D25" s="11"/>
      <c r="E25" s="2">
        <f t="shared" si="1"/>
        <v>0</v>
      </c>
      <c r="F25" s="11"/>
      <c r="G25" s="11"/>
      <c r="H25" s="11"/>
      <c r="I25" s="11"/>
      <c r="J25" s="11"/>
      <c r="K25" s="11"/>
      <c r="L25" s="11"/>
      <c r="M25" s="2">
        <f t="array" ref="M25">IF(OR($A25="",$L25&lt;&gt;"Y"),0,IF($K25="",1,IF(IFERROR(INDEX(SchedZone,MATCH($A25,INDEX(SchedZone,0,MAP!$B$6),0),MAP!$B$4),999)&lt;=$K25,1,0)))</f>
        <v>0</v>
      </c>
      <c r="N25" s="2" t="str">
        <f>IF($A25="","",IF($G25="","⚠ EXPLANATION REQUIRED",IF(AND($D25&lt;&gt;"",ABS($D25)&gt;AdjCap),"⚠ LARGE — VERIFY","")))</f>
        <v/>
      </c>
    </row>
    <row r="26" ht="15.0" customHeight="1">
      <c r="A26" s="11"/>
      <c r="B26" s="11"/>
      <c r="C26" s="11"/>
      <c r="D26" s="11"/>
      <c r="E26" s="2">
        <f t="shared" si="1"/>
        <v>0</v>
      </c>
      <c r="F26" s="11"/>
      <c r="G26" s="11"/>
      <c r="H26" s="11"/>
      <c r="I26" s="11"/>
      <c r="J26" s="11"/>
      <c r="K26" s="11"/>
      <c r="L26" s="11"/>
      <c r="M26" s="2">
        <f t="array" ref="M26">IF(OR($A26="",$L26&lt;&gt;"Y"),0,IF($K26="",1,IF(IFERROR(INDEX(SchedZone,MATCH($A26,INDEX(SchedZone,0,MAP!$B$6),0),MAP!$B$4),999)&lt;=$K26,1,0)))</f>
        <v>0</v>
      </c>
      <c r="N26" s="2" t="str">
        <f>IF($A26="","",IF($G26="","⚠ EXPLANATION REQUIRED",IF(AND($D26&lt;&gt;"",ABS($D26)&gt;AdjCap),"⚠ LARGE — VERIFY","")))</f>
        <v/>
      </c>
    </row>
    <row r="27" ht="15.0" customHeight="1">
      <c r="A27" s="11"/>
      <c r="B27" s="11"/>
      <c r="C27" s="11"/>
      <c r="D27" s="11"/>
      <c r="E27" s="2">
        <f t="shared" si="1"/>
        <v>0</v>
      </c>
      <c r="F27" s="11"/>
      <c r="G27" s="11"/>
      <c r="H27" s="11"/>
      <c r="I27" s="11"/>
      <c r="J27" s="11"/>
      <c r="K27" s="11"/>
      <c r="L27" s="11"/>
      <c r="M27" s="2">
        <f t="array" ref="M27">IF(OR($A27="",$L27&lt;&gt;"Y"),0,IF($K27="",1,IF(IFERROR(INDEX(SchedZone,MATCH($A27,INDEX(SchedZone,0,MAP!$B$6),0),MAP!$B$4),999)&lt;=$K27,1,0)))</f>
        <v>0</v>
      </c>
      <c r="N27" s="2" t="str">
        <f>IF($A27="","",IF($G27="","⚠ EXPLANATION REQUIRED",IF(AND($D27&lt;&gt;"",ABS($D27)&gt;AdjCap),"⚠ LARGE — VERIFY","")))</f>
        <v/>
      </c>
    </row>
    <row r="28" ht="15.0" customHeight="1">
      <c r="A28" s="11"/>
      <c r="B28" s="11"/>
      <c r="C28" s="11"/>
      <c r="D28" s="11"/>
      <c r="E28" s="2">
        <f t="shared" si="1"/>
        <v>0</v>
      </c>
      <c r="F28" s="11"/>
      <c r="G28" s="11"/>
      <c r="H28" s="11"/>
      <c r="I28" s="11"/>
      <c r="J28" s="11"/>
      <c r="K28" s="11"/>
      <c r="L28" s="11"/>
      <c r="M28" s="2">
        <f t="array" ref="M28">IF(OR($A28="",$L28&lt;&gt;"Y"),0,IF($K28="",1,IF(IFERROR(INDEX(SchedZone,MATCH($A28,INDEX(SchedZone,0,MAP!$B$6),0),MAP!$B$4),999)&lt;=$K28,1,0)))</f>
        <v>0</v>
      </c>
      <c r="N28" s="2" t="str">
        <f>IF($A28="","",IF($G28="","⚠ EXPLANATION REQUIRED",IF(AND($D28&lt;&gt;"",ABS($D28)&gt;AdjCap),"⚠ LARGE — VERIFY","")))</f>
        <v/>
      </c>
    </row>
    <row r="29" ht="15.0" customHeight="1">
      <c r="A29" s="11"/>
      <c r="B29" s="11"/>
      <c r="C29" s="11"/>
      <c r="D29" s="11"/>
      <c r="E29" s="2">
        <f t="shared" si="1"/>
        <v>0</v>
      </c>
      <c r="F29" s="11"/>
      <c r="G29" s="11"/>
      <c r="H29" s="11"/>
      <c r="I29" s="11"/>
      <c r="J29" s="11"/>
      <c r="K29" s="11"/>
      <c r="L29" s="11"/>
      <c r="M29" s="2">
        <f t="array" ref="M29">IF(OR($A29="",$L29&lt;&gt;"Y"),0,IF($K29="",1,IF(IFERROR(INDEX(SchedZone,MATCH($A29,INDEX(SchedZone,0,MAP!$B$6),0),MAP!$B$4),999)&lt;=$K29,1,0)))</f>
        <v>0</v>
      </c>
      <c r="N29" s="2" t="str">
        <f>IF($A29="","",IF($G29="","⚠ EXPLANATION REQUIRED",IF(AND($D29&lt;&gt;"",ABS($D29)&gt;AdjCap),"⚠ LARGE — VERIFY","")))</f>
        <v/>
      </c>
    </row>
    <row r="30" ht="15.0" customHeight="1">
      <c r="A30" s="11"/>
      <c r="B30" s="11"/>
      <c r="C30" s="11"/>
      <c r="D30" s="11"/>
      <c r="E30" s="2">
        <f t="shared" si="1"/>
        <v>0</v>
      </c>
      <c r="F30" s="11"/>
      <c r="G30" s="11"/>
      <c r="H30" s="11"/>
      <c r="I30" s="11"/>
      <c r="J30" s="11"/>
      <c r="K30" s="11"/>
      <c r="L30" s="11"/>
      <c r="M30" s="2">
        <f t="array" ref="M30">IF(OR($A30="",$L30&lt;&gt;"Y"),0,IF($K30="",1,IF(IFERROR(INDEX(SchedZone,MATCH($A30,INDEX(SchedZone,0,MAP!$B$6),0),MAP!$B$4),999)&lt;=$K30,1,0)))</f>
        <v>0</v>
      </c>
      <c r="N30" s="2" t="str">
        <f>IF($A30="","",IF($G30="","⚠ EXPLANATION REQUIRED",IF(AND($D30&lt;&gt;"",ABS($D30)&gt;AdjCap),"⚠ LARGE — VERIFY","")))</f>
        <v/>
      </c>
    </row>
    <row r="31" ht="15.0" customHeight="1">
      <c r="A31" s="11"/>
      <c r="B31" s="11"/>
      <c r="C31" s="11"/>
      <c r="D31" s="11"/>
      <c r="E31" s="2">
        <f t="shared" si="1"/>
        <v>0</v>
      </c>
      <c r="F31" s="11"/>
      <c r="G31" s="11"/>
      <c r="H31" s="11"/>
      <c r="I31" s="11"/>
      <c r="J31" s="11"/>
      <c r="K31" s="11"/>
      <c r="L31" s="11"/>
      <c r="M31" s="2">
        <f t="array" ref="M31">IF(OR($A31="",$L31&lt;&gt;"Y"),0,IF($K31="",1,IF(IFERROR(INDEX(SchedZone,MATCH($A31,INDEX(SchedZone,0,MAP!$B$6),0),MAP!$B$4),999)&lt;=$K31,1,0)))</f>
        <v>0</v>
      </c>
      <c r="N31" s="2" t="str">
        <f>IF($A31="","",IF($G31="","⚠ EXPLANATION REQUIRED",IF(AND($D31&lt;&gt;"",ABS($D31)&gt;AdjCap),"⚠ LARGE — VERIFY","")))</f>
        <v/>
      </c>
    </row>
    <row r="32" ht="15.0" customHeight="1">
      <c r="A32" s="11"/>
      <c r="B32" s="11"/>
      <c r="C32" s="11"/>
      <c r="D32" s="11"/>
      <c r="E32" s="2">
        <f t="shared" si="1"/>
        <v>0</v>
      </c>
      <c r="F32" s="11"/>
      <c r="G32" s="11"/>
      <c r="H32" s="11"/>
      <c r="I32" s="11"/>
      <c r="J32" s="11"/>
      <c r="K32" s="11"/>
      <c r="L32" s="11"/>
      <c r="M32" s="2">
        <f t="array" ref="M32">IF(OR($A32="",$L32&lt;&gt;"Y"),0,IF($K32="",1,IF(IFERROR(INDEX(SchedZone,MATCH($A32,INDEX(SchedZone,0,MAP!$B$6),0),MAP!$B$4),999)&lt;=$K32,1,0)))</f>
        <v>0</v>
      </c>
      <c r="N32" s="2" t="str">
        <f>IF($A32="","",IF($G32="","⚠ EXPLANATION REQUIRED",IF(AND($D32&lt;&gt;"",ABS($D32)&gt;AdjCap),"⚠ LARGE — VERIFY","")))</f>
        <v/>
      </c>
    </row>
    <row r="33" ht="15.0" customHeight="1">
      <c r="A33" s="11"/>
      <c r="B33" s="11"/>
      <c r="C33" s="11"/>
      <c r="D33" s="11"/>
      <c r="E33" s="2">
        <f t="shared" si="1"/>
        <v>0</v>
      </c>
      <c r="F33" s="11"/>
      <c r="G33" s="11"/>
      <c r="H33" s="11"/>
      <c r="I33" s="11"/>
      <c r="J33" s="11"/>
      <c r="K33" s="11"/>
      <c r="L33" s="11"/>
      <c r="M33" s="2">
        <f t="array" ref="M33">IF(OR($A33="",$L33&lt;&gt;"Y"),0,IF($K33="",1,IF(IFERROR(INDEX(SchedZone,MATCH($A33,INDEX(SchedZone,0,MAP!$B$6),0),MAP!$B$4),999)&lt;=$K33,1,0)))</f>
        <v>0</v>
      </c>
      <c r="N33" s="2" t="str">
        <f>IF($A33="","",IF($G33="","⚠ EXPLANATION REQUIRED",IF(AND($D33&lt;&gt;"",ABS($D33)&gt;AdjCap),"⚠ LARGE — VERIFY","")))</f>
        <v/>
      </c>
    </row>
    <row r="34" ht="15.0" customHeight="1">
      <c r="A34" s="11"/>
      <c r="B34" s="11"/>
      <c r="C34" s="11"/>
      <c r="D34" s="11"/>
      <c r="E34" s="2">
        <f t="shared" si="1"/>
        <v>0</v>
      </c>
      <c r="F34" s="11"/>
      <c r="G34" s="11"/>
      <c r="H34" s="11"/>
      <c r="I34" s="11"/>
      <c r="J34" s="11"/>
      <c r="K34" s="11"/>
      <c r="L34" s="11"/>
      <c r="M34" s="2">
        <f t="array" ref="M34">IF(OR($A34="",$L34&lt;&gt;"Y"),0,IF($K34="",1,IF(IFERROR(INDEX(SchedZone,MATCH($A34,INDEX(SchedZone,0,MAP!$B$6),0),MAP!$B$4),999)&lt;=$K34,1,0)))</f>
        <v>0</v>
      </c>
      <c r="N34" s="2" t="str">
        <f>IF($A34="","",IF($G34="","⚠ EXPLANATION REQUIRED",IF(AND($D34&lt;&gt;"",ABS($D34)&gt;AdjCap),"⚠ LARGE — VERIFY","")))</f>
        <v/>
      </c>
    </row>
    <row r="35" ht="15.0" customHeight="1">
      <c r="A35" s="11"/>
      <c r="B35" s="11"/>
      <c r="C35" s="11"/>
      <c r="D35" s="11"/>
      <c r="E35" s="2">
        <f t="shared" si="1"/>
        <v>0</v>
      </c>
      <c r="F35" s="11"/>
      <c r="G35" s="11"/>
      <c r="H35" s="11"/>
      <c r="I35" s="11"/>
      <c r="J35" s="11"/>
      <c r="K35" s="11"/>
      <c r="L35" s="11"/>
      <c r="M35" s="2">
        <f t="array" ref="M35">IF(OR($A35="",$L35&lt;&gt;"Y"),0,IF($K35="",1,IF(IFERROR(INDEX(SchedZone,MATCH($A35,INDEX(SchedZone,0,MAP!$B$6),0),MAP!$B$4),999)&lt;=$K35,1,0)))</f>
        <v>0</v>
      </c>
      <c r="N35" s="2" t="str">
        <f>IF($A35="","",IF($G35="","⚠ EXPLANATION REQUIRED",IF(AND($D35&lt;&gt;"",ABS($D35)&gt;AdjCap),"⚠ LARGE — VERIFY","")))</f>
        <v/>
      </c>
    </row>
    <row r="36" ht="15.0" customHeight="1">
      <c r="A36" s="11"/>
      <c r="B36" s="11"/>
      <c r="C36" s="11"/>
      <c r="D36" s="11"/>
      <c r="E36" s="2">
        <f t="shared" si="1"/>
        <v>0</v>
      </c>
      <c r="F36" s="11"/>
      <c r="G36" s="11"/>
      <c r="H36" s="11"/>
      <c r="I36" s="11"/>
      <c r="J36" s="11"/>
      <c r="K36" s="11"/>
      <c r="L36" s="11"/>
      <c r="M36" s="2">
        <f t="array" ref="M36">IF(OR($A36="",$L36&lt;&gt;"Y"),0,IF($K36="",1,IF(IFERROR(INDEX(SchedZone,MATCH($A36,INDEX(SchedZone,0,MAP!$B$6),0),MAP!$B$4),999)&lt;=$K36,1,0)))</f>
        <v>0</v>
      </c>
      <c r="N36" s="2" t="str">
        <f>IF($A36="","",IF($G36="","⚠ EXPLANATION REQUIRED",IF(AND($D36&lt;&gt;"",ABS($D36)&gt;AdjCap),"⚠ LARGE — VERIFY","")))</f>
        <v/>
      </c>
    </row>
    <row r="37" ht="15.0" customHeight="1">
      <c r="A37" s="11"/>
      <c r="B37" s="11"/>
      <c r="C37" s="11"/>
      <c r="D37" s="11"/>
      <c r="E37" s="2">
        <f t="shared" si="1"/>
        <v>0</v>
      </c>
      <c r="F37" s="11"/>
      <c r="G37" s="11"/>
      <c r="H37" s="11"/>
      <c r="I37" s="11"/>
      <c r="J37" s="11"/>
      <c r="K37" s="11"/>
      <c r="L37" s="11"/>
      <c r="M37" s="2">
        <f t="array" ref="M37">IF(OR($A37="",$L37&lt;&gt;"Y"),0,IF($K37="",1,IF(IFERROR(INDEX(SchedZone,MATCH($A37,INDEX(SchedZone,0,MAP!$B$6),0),MAP!$B$4),999)&lt;=$K37,1,0)))</f>
        <v>0</v>
      </c>
      <c r="N37" s="2" t="str">
        <f>IF($A37="","",IF($G37="","⚠ EXPLANATION REQUIRED",IF(AND($D37&lt;&gt;"",ABS($D37)&gt;AdjCap),"⚠ LARGE — VERIFY","")))</f>
        <v/>
      </c>
    </row>
    <row r="38" ht="15.0" customHeight="1">
      <c r="A38" s="11"/>
      <c r="B38" s="11"/>
      <c r="C38" s="11"/>
      <c r="D38" s="11"/>
      <c r="E38" s="2">
        <f t="shared" si="1"/>
        <v>0</v>
      </c>
      <c r="F38" s="11"/>
      <c r="G38" s="11"/>
      <c r="H38" s="11"/>
      <c r="I38" s="11"/>
      <c r="J38" s="11"/>
      <c r="K38" s="11"/>
      <c r="L38" s="11"/>
      <c r="M38" s="2">
        <f t="array" ref="M38">IF(OR($A38="",$L38&lt;&gt;"Y"),0,IF($K38="",1,IF(IFERROR(INDEX(SchedZone,MATCH($A38,INDEX(SchedZone,0,MAP!$B$6),0),MAP!$B$4),999)&lt;=$K38,1,0)))</f>
        <v>0</v>
      </c>
      <c r="N38" s="2" t="str">
        <f>IF($A38="","",IF($G38="","⚠ EXPLANATION REQUIRED",IF(AND($D38&lt;&gt;"",ABS($D38)&gt;AdjCap),"⚠ LARGE — VERIFY","")))</f>
        <v/>
      </c>
    </row>
    <row r="39" ht="15.0" customHeight="1">
      <c r="A39" s="11"/>
      <c r="B39" s="11"/>
      <c r="C39" s="11"/>
      <c r="D39" s="11"/>
      <c r="E39" s="2">
        <f t="shared" si="1"/>
        <v>0</v>
      </c>
      <c r="F39" s="11"/>
      <c r="G39" s="11"/>
      <c r="H39" s="11"/>
      <c r="I39" s="11"/>
      <c r="J39" s="11"/>
      <c r="K39" s="11"/>
      <c r="L39" s="11"/>
      <c r="M39" s="2">
        <f t="array" ref="M39">IF(OR($A39="",$L39&lt;&gt;"Y"),0,IF($K39="",1,IF(IFERROR(INDEX(SchedZone,MATCH($A39,INDEX(SchedZone,0,MAP!$B$6),0),MAP!$B$4),999)&lt;=$K39,1,0)))</f>
        <v>0</v>
      </c>
      <c r="N39" s="2" t="str">
        <f>IF($A39="","",IF($G39="","⚠ EXPLANATION REQUIRED",IF(AND($D39&lt;&gt;"",ABS($D39)&gt;AdjCap),"⚠ LARGE — VERIFY","")))</f>
        <v/>
      </c>
    </row>
    <row r="40" ht="15.0" customHeight="1">
      <c r="A40" s="11"/>
      <c r="B40" s="11"/>
      <c r="C40" s="11"/>
      <c r="D40" s="11"/>
      <c r="E40" s="2">
        <f t="shared" si="1"/>
        <v>0</v>
      </c>
      <c r="F40" s="11"/>
      <c r="G40" s="11"/>
      <c r="H40" s="11"/>
      <c r="I40" s="11"/>
      <c r="J40" s="11"/>
      <c r="K40" s="11"/>
      <c r="L40" s="11"/>
      <c r="M40" s="2">
        <f t="array" ref="M40">IF(OR($A40="",$L40&lt;&gt;"Y"),0,IF($K40="",1,IF(IFERROR(INDEX(SchedZone,MATCH($A40,INDEX(SchedZone,0,MAP!$B$6),0),MAP!$B$4),999)&lt;=$K40,1,0)))</f>
        <v>0</v>
      </c>
      <c r="N40" s="2" t="str">
        <f>IF($A40="","",IF($G40="","⚠ EXPLANATION REQUIRED",IF(AND($D40&lt;&gt;"",ABS($D40)&gt;AdjCap),"⚠ LARGE — VERIFY","")))</f>
        <v/>
      </c>
    </row>
    <row r="41" ht="15.0" customHeight="1">
      <c r="A41" s="11"/>
      <c r="B41" s="11"/>
      <c r="C41" s="11"/>
      <c r="D41" s="11"/>
      <c r="E41" s="2">
        <f t="shared" si="1"/>
        <v>0</v>
      </c>
      <c r="F41" s="11"/>
      <c r="G41" s="11"/>
      <c r="H41" s="11"/>
      <c r="I41" s="11"/>
      <c r="J41" s="11"/>
      <c r="K41" s="11"/>
      <c r="L41" s="11"/>
      <c r="M41" s="2">
        <f t="array" ref="M41">IF(OR($A41="",$L41&lt;&gt;"Y"),0,IF($K41="",1,IF(IFERROR(INDEX(SchedZone,MATCH($A41,INDEX(SchedZone,0,MAP!$B$6),0),MAP!$B$4),999)&lt;=$K41,1,0)))</f>
        <v>0</v>
      </c>
      <c r="N41" s="2" t="str">
        <f>IF($A41="","",IF($G41="","⚠ EXPLANATION REQUIRED",IF(AND($D41&lt;&gt;"",ABS($D41)&gt;AdjCap),"⚠ LARGE — VERIFY","")))</f>
        <v/>
      </c>
    </row>
    <row r="42" ht="15.0" customHeight="1">
      <c r="A42" s="11"/>
      <c r="B42" s="11"/>
      <c r="C42" s="11"/>
      <c r="D42" s="11"/>
      <c r="E42" s="2">
        <f t="shared" si="1"/>
        <v>0</v>
      </c>
      <c r="F42" s="11"/>
      <c r="G42" s="11"/>
      <c r="H42" s="11"/>
      <c r="I42" s="11"/>
      <c r="J42" s="11"/>
      <c r="K42" s="11"/>
      <c r="L42" s="11"/>
      <c r="M42" s="2">
        <f t="array" ref="M42">IF(OR($A42="",$L42&lt;&gt;"Y"),0,IF($K42="",1,IF(IFERROR(INDEX(SchedZone,MATCH($A42,INDEX(SchedZone,0,MAP!$B$6),0),MAP!$B$4),999)&lt;=$K42,1,0)))</f>
        <v>0</v>
      </c>
      <c r="N42" s="2" t="str">
        <f>IF($A42="","",IF($G42="","⚠ EXPLANATION REQUIRED",IF(AND($D42&lt;&gt;"",ABS($D42)&gt;AdjCap),"⚠ LARGE — VERIFY","")))</f>
        <v/>
      </c>
    </row>
    <row r="43" ht="15.0" customHeight="1">
      <c r="A43" s="11"/>
      <c r="B43" s="11"/>
      <c r="C43" s="11"/>
      <c r="D43" s="11"/>
      <c r="E43" s="2">
        <f t="shared" si="1"/>
        <v>0</v>
      </c>
      <c r="F43" s="11"/>
      <c r="G43" s="11"/>
      <c r="H43" s="11"/>
      <c r="I43" s="11"/>
      <c r="J43" s="11"/>
      <c r="K43" s="11"/>
      <c r="L43" s="11"/>
      <c r="M43" s="2">
        <f t="array" ref="M43">IF(OR($A43="",$L43&lt;&gt;"Y"),0,IF($K43="",1,IF(IFERROR(INDEX(SchedZone,MATCH($A43,INDEX(SchedZone,0,MAP!$B$6),0),MAP!$B$4),999)&lt;=$K43,1,0)))</f>
        <v>0</v>
      </c>
      <c r="N43" s="2" t="str">
        <f>IF($A43="","",IF($G43="","⚠ EXPLANATION REQUIRED",IF(AND($D43&lt;&gt;"",ABS($D43)&gt;AdjCap),"⚠ LARGE — VERIFY","")))</f>
        <v/>
      </c>
    </row>
    <row r="44" ht="15.0" customHeight="1">
      <c r="A44" s="11"/>
      <c r="B44" s="11"/>
      <c r="C44" s="11"/>
      <c r="D44" s="11"/>
      <c r="E44" s="2">
        <f t="shared" si="1"/>
        <v>0</v>
      </c>
      <c r="F44" s="11"/>
      <c r="G44" s="11"/>
      <c r="H44" s="11"/>
      <c r="I44" s="11"/>
      <c r="J44" s="11"/>
      <c r="K44" s="11"/>
      <c r="L44" s="11"/>
      <c r="M44" s="2">
        <f t="array" ref="M44">IF(OR($A44="",$L44&lt;&gt;"Y"),0,IF($K44="",1,IF(IFERROR(INDEX(SchedZone,MATCH($A44,INDEX(SchedZone,0,MAP!$B$6),0),MAP!$B$4),999)&lt;=$K44,1,0)))</f>
        <v>0</v>
      </c>
      <c r="N44" s="2" t="str">
        <f>IF($A44="","",IF($G44="","⚠ EXPLANATION REQUIRED",IF(AND($D44&lt;&gt;"",ABS($D44)&gt;AdjCap),"⚠ LARGE — VERIFY","")))</f>
        <v/>
      </c>
    </row>
    <row r="45" ht="15.0" customHeight="1">
      <c r="A45" s="11"/>
      <c r="B45" s="11"/>
      <c r="C45" s="11"/>
      <c r="D45" s="11"/>
      <c r="E45" s="2">
        <f t="shared" si="1"/>
        <v>0</v>
      </c>
      <c r="F45" s="11"/>
      <c r="G45" s="11"/>
      <c r="H45" s="11"/>
      <c r="I45" s="11"/>
      <c r="J45" s="11"/>
      <c r="K45" s="11"/>
      <c r="L45" s="11"/>
      <c r="M45" s="2">
        <f t="array" ref="M45">IF(OR($A45="",$L45&lt;&gt;"Y"),0,IF($K45="",1,IF(IFERROR(INDEX(SchedZone,MATCH($A45,INDEX(SchedZone,0,MAP!$B$6),0),MAP!$B$4),999)&lt;=$K45,1,0)))</f>
        <v>0</v>
      </c>
      <c r="N45" s="2" t="str">
        <f>IF($A45="","",IF($G45="","⚠ EXPLANATION REQUIRED",IF(AND($D45&lt;&gt;"",ABS($D45)&gt;AdjCap),"⚠ LARGE — VERIFY","")))</f>
        <v/>
      </c>
    </row>
    <row r="46" ht="15.0" customHeight="1">
      <c r="A46" s="11"/>
      <c r="B46" s="11"/>
      <c r="C46" s="11"/>
      <c r="D46" s="11"/>
      <c r="E46" s="2">
        <f t="shared" si="1"/>
        <v>0</v>
      </c>
      <c r="F46" s="11"/>
      <c r="G46" s="11"/>
      <c r="H46" s="11"/>
      <c r="I46" s="11"/>
      <c r="J46" s="11"/>
      <c r="K46" s="11"/>
      <c r="L46" s="11"/>
      <c r="M46" s="2">
        <f t="array" ref="M46">IF(OR($A46="",$L46&lt;&gt;"Y"),0,IF($K46="",1,IF(IFERROR(INDEX(SchedZone,MATCH($A46,INDEX(SchedZone,0,MAP!$B$6),0),MAP!$B$4),999)&lt;=$K46,1,0)))</f>
        <v>0</v>
      </c>
      <c r="N46" s="2" t="str">
        <f>IF($A46="","",IF($G46="","⚠ EXPLANATION REQUIRED",IF(AND($D46&lt;&gt;"",ABS($D46)&gt;AdjCap),"⚠ LARGE — VERIFY","")))</f>
        <v/>
      </c>
    </row>
    <row r="47" ht="15.0" customHeight="1">
      <c r="A47" s="11"/>
      <c r="B47" s="11"/>
      <c r="C47" s="11"/>
      <c r="D47" s="11"/>
      <c r="E47" s="2">
        <f t="shared" si="1"/>
        <v>0</v>
      </c>
      <c r="F47" s="11"/>
      <c r="G47" s="11"/>
      <c r="H47" s="11"/>
      <c r="I47" s="11"/>
      <c r="J47" s="11"/>
      <c r="K47" s="11"/>
      <c r="L47" s="11"/>
      <c r="M47" s="2">
        <f t="array" ref="M47">IF(OR($A47="",$L47&lt;&gt;"Y"),0,IF($K47="",1,IF(IFERROR(INDEX(SchedZone,MATCH($A47,INDEX(SchedZone,0,MAP!$B$6),0),MAP!$B$4),999)&lt;=$K47,1,0)))</f>
        <v>0</v>
      </c>
      <c r="N47" s="2" t="str">
        <f>IF($A47="","",IF($G47="","⚠ EXPLANATION REQUIRED",IF(AND($D47&lt;&gt;"",ABS($D47)&gt;AdjCap),"⚠ LARGE — VERIFY","")))</f>
        <v/>
      </c>
    </row>
    <row r="48" ht="15.0" customHeight="1">
      <c r="A48" s="11"/>
      <c r="B48" s="11"/>
      <c r="C48" s="11"/>
      <c r="D48" s="11"/>
      <c r="E48" s="2">
        <f t="shared" si="1"/>
        <v>0</v>
      </c>
      <c r="F48" s="11"/>
      <c r="G48" s="11"/>
      <c r="H48" s="11"/>
      <c r="I48" s="11"/>
      <c r="J48" s="11"/>
      <c r="K48" s="11"/>
      <c r="L48" s="11"/>
      <c r="M48" s="2">
        <f t="array" ref="M48">IF(OR($A48="",$L48&lt;&gt;"Y"),0,IF($K48="",1,IF(IFERROR(INDEX(SchedZone,MATCH($A48,INDEX(SchedZone,0,MAP!$B$6),0),MAP!$B$4),999)&lt;=$K48,1,0)))</f>
        <v>0</v>
      </c>
      <c r="N48" s="2" t="str">
        <f>IF($A48="","",IF($G48="","⚠ EXPLANATION REQUIRED",IF(AND($D48&lt;&gt;"",ABS($D48)&gt;AdjCap),"⚠ LARGE — VERIFY","")))</f>
        <v/>
      </c>
    </row>
    <row r="49" ht="15.0" customHeight="1">
      <c r="A49" s="11"/>
      <c r="B49" s="11"/>
      <c r="C49" s="11"/>
      <c r="D49" s="11"/>
      <c r="E49" s="2">
        <f t="shared" si="1"/>
        <v>0</v>
      </c>
      <c r="F49" s="11"/>
      <c r="G49" s="11"/>
      <c r="H49" s="11"/>
      <c r="I49" s="11"/>
      <c r="J49" s="11"/>
      <c r="K49" s="11"/>
      <c r="L49" s="11"/>
      <c r="M49" s="2">
        <f t="array" ref="M49">IF(OR($A49="",$L49&lt;&gt;"Y"),0,IF($K49="",1,IF(IFERROR(INDEX(SchedZone,MATCH($A49,INDEX(SchedZone,0,MAP!$B$6),0),MAP!$B$4),999)&lt;=$K49,1,0)))</f>
        <v>0</v>
      </c>
      <c r="N49" s="2" t="str">
        <f>IF($A49="","",IF($G49="","⚠ EXPLANATION REQUIRED",IF(AND($D49&lt;&gt;"",ABS($D49)&gt;AdjCap),"⚠ LARGE — VERIFY","")))</f>
        <v/>
      </c>
    </row>
    <row r="50" ht="15.0" customHeight="1">
      <c r="A50" s="11"/>
      <c r="B50" s="11"/>
      <c r="C50" s="11"/>
      <c r="D50" s="11"/>
      <c r="E50" s="2">
        <f t="shared" si="1"/>
        <v>0</v>
      </c>
      <c r="F50" s="11"/>
      <c r="G50" s="11"/>
      <c r="H50" s="11"/>
      <c r="I50" s="11"/>
      <c r="J50" s="11"/>
      <c r="K50" s="11"/>
      <c r="L50" s="11"/>
      <c r="M50" s="2">
        <f t="array" ref="M50">IF(OR($A50="",$L50&lt;&gt;"Y"),0,IF($K50="",1,IF(IFERROR(INDEX(SchedZone,MATCH($A50,INDEX(SchedZone,0,MAP!$B$6),0),MAP!$B$4),999)&lt;=$K50,1,0)))</f>
        <v>0</v>
      </c>
      <c r="N50" s="2" t="str">
        <f>IF($A50="","",IF($G50="","⚠ EXPLANATION REQUIRED",IF(AND($D50&lt;&gt;"",ABS($D50)&gt;AdjCap),"⚠ LARGE — VERIFY","")))</f>
        <v/>
      </c>
    </row>
    <row r="51" ht="15.0" customHeight="1">
      <c r="A51" s="11"/>
      <c r="B51" s="11"/>
      <c r="C51" s="11"/>
      <c r="D51" s="11"/>
      <c r="E51" s="2">
        <f t="shared" si="1"/>
        <v>0</v>
      </c>
      <c r="F51" s="11"/>
      <c r="G51" s="11"/>
      <c r="H51" s="11"/>
      <c r="I51" s="11"/>
      <c r="J51" s="11"/>
      <c r="K51" s="11"/>
      <c r="L51" s="11"/>
      <c r="M51" s="2">
        <f t="array" ref="M51">IF(OR($A51="",$L51&lt;&gt;"Y"),0,IF($K51="",1,IF(IFERROR(INDEX(SchedZone,MATCH($A51,INDEX(SchedZone,0,MAP!$B$6),0),MAP!$B$4),999)&lt;=$K51,1,0)))</f>
        <v>0</v>
      </c>
      <c r="N51" s="2" t="str">
        <f>IF($A51="","",IF($G51="","⚠ EXPLANATION REQUIRED",IF(AND($D51&lt;&gt;"",ABS($D51)&gt;AdjCap),"⚠ LARGE — VERIFY","")))</f>
        <v/>
      </c>
    </row>
    <row r="52" ht="15.0" customHeight="1">
      <c r="A52" s="11"/>
      <c r="B52" s="11"/>
      <c r="C52" s="11"/>
      <c r="D52" s="11"/>
      <c r="E52" s="2">
        <f t="shared" si="1"/>
        <v>0</v>
      </c>
      <c r="F52" s="11"/>
      <c r="G52" s="11"/>
      <c r="H52" s="11"/>
      <c r="I52" s="11"/>
      <c r="J52" s="11"/>
      <c r="K52" s="11"/>
      <c r="L52" s="11"/>
      <c r="M52" s="2">
        <f t="array" ref="M52">IF(OR($A52="",$L52&lt;&gt;"Y"),0,IF($K52="",1,IF(IFERROR(INDEX(SchedZone,MATCH($A52,INDEX(SchedZone,0,MAP!$B$6),0),MAP!$B$4),999)&lt;=$K52,1,0)))</f>
        <v>0</v>
      </c>
      <c r="N52" s="2" t="str">
        <f>IF($A52="","",IF($G52="","⚠ EXPLANATION REQUIRED",IF(AND($D52&lt;&gt;"",ABS($D52)&gt;AdjCap),"⚠ LARGE — VERIFY","")))</f>
        <v/>
      </c>
    </row>
    <row r="53" ht="15.0" customHeight="1">
      <c r="A53" s="11"/>
      <c r="B53" s="11"/>
      <c r="C53" s="11"/>
      <c r="D53" s="11"/>
      <c r="E53" s="2">
        <f t="shared" si="1"/>
        <v>0</v>
      </c>
      <c r="F53" s="11"/>
      <c r="G53" s="11"/>
      <c r="H53" s="11"/>
      <c r="I53" s="11"/>
      <c r="J53" s="11"/>
      <c r="K53" s="11"/>
      <c r="L53" s="11"/>
      <c r="M53" s="2">
        <f t="array" ref="M53">IF(OR($A53="",$L53&lt;&gt;"Y"),0,IF($K53="",1,IF(IFERROR(INDEX(SchedZone,MATCH($A53,INDEX(SchedZone,0,MAP!$B$6),0),MAP!$B$4),999)&lt;=$K53,1,0)))</f>
        <v>0</v>
      </c>
      <c r="N53" s="2" t="str">
        <f>IF($A53="","",IF($G53="","⚠ EXPLANATION REQUIRED",IF(AND($D53&lt;&gt;"",ABS($D53)&gt;AdjCap),"⚠ LARGE — VERIFY","")))</f>
        <v/>
      </c>
    </row>
    <row r="54" ht="15.0" customHeight="1">
      <c r="A54" s="11"/>
      <c r="B54" s="11"/>
      <c r="C54" s="11"/>
      <c r="D54" s="11"/>
      <c r="E54" s="2">
        <f t="shared" si="1"/>
        <v>0</v>
      </c>
      <c r="F54" s="11"/>
      <c r="G54" s="11"/>
      <c r="H54" s="11"/>
      <c r="I54" s="11"/>
      <c r="J54" s="11"/>
      <c r="K54" s="11"/>
      <c r="L54" s="11"/>
      <c r="M54" s="2">
        <f t="array" ref="M54">IF(OR($A54="",$L54&lt;&gt;"Y"),0,IF($K54="",1,IF(IFERROR(INDEX(SchedZone,MATCH($A54,INDEX(SchedZone,0,MAP!$B$6),0),MAP!$B$4),999)&lt;=$K54,1,0)))</f>
        <v>0</v>
      </c>
      <c r="N54" s="2" t="str">
        <f>IF($A54="","",IF($G54="","⚠ EXPLANATION REQUIRED",IF(AND($D54&lt;&gt;"",ABS($D54)&gt;AdjCap),"⚠ LARGE — VERIFY","")))</f>
        <v/>
      </c>
    </row>
    <row r="55" ht="15.0" customHeight="1">
      <c r="A55" s="11"/>
      <c r="B55" s="11"/>
      <c r="C55" s="11"/>
      <c r="D55" s="11"/>
      <c r="E55" s="2">
        <f t="shared" si="1"/>
        <v>0</v>
      </c>
      <c r="F55" s="11"/>
      <c r="G55" s="11"/>
      <c r="H55" s="11"/>
      <c r="I55" s="11"/>
      <c r="J55" s="11"/>
      <c r="K55" s="11"/>
      <c r="L55" s="11"/>
      <c r="M55" s="2">
        <f t="array" ref="M55">IF(OR($A55="",$L55&lt;&gt;"Y"),0,IF($K55="",1,IF(IFERROR(INDEX(SchedZone,MATCH($A55,INDEX(SchedZone,0,MAP!$B$6),0),MAP!$B$4),999)&lt;=$K55,1,0)))</f>
        <v>0</v>
      </c>
      <c r="N55" s="2" t="str">
        <f>IF($A55="","",IF($G55="","⚠ EXPLANATION REQUIRED",IF(AND($D55&lt;&gt;"",ABS($D55)&gt;AdjCap),"⚠ LARGE — VERIFY","")))</f>
        <v/>
      </c>
    </row>
    <row r="56" ht="15.0" customHeight="1">
      <c r="A56" s="11"/>
      <c r="B56" s="11"/>
      <c r="C56" s="11"/>
      <c r="D56" s="11"/>
      <c r="E56" s="2">
        <f t="shared" si="1"/>
        <v>0</v>
      </c>
      <c r="F56" s="11"/>
      <c r="G56" s="11"/>
      <c r="H56" s="11"/>
      <c r="I56" s="11"/>
      <c r="J56" s="11"/>
      <c r="K56" s="11"/>
      <c r="L56" s="11"/>
      <c r="M56" s="2">
        <f t="array" ref="M56">IF(OR($A56="",$L56&lt;&gt;"Y"),0,IF($K56="",1,IF(IFERROR(INDEX(SchedZone,MATCH($A56,INDEX(SchedZone,0,MAP!$B$6),0),MAP!$B$4),999)&lt;=$K56,1,0)))</f>
        <v>0</v>
      </c>
      <c r="N56" s="2" t="str">
        <f>IF($A56="","",IF($G56="","⚠ EXPLANATION REQUIRED",IF(AND($D56&lt;&gt;"",ABS($D56)&gt;AdjCap),"⚠ LARGE — VERIFY","")))</f>
        <v/>
      </c>
    </row>
    <row r="57" ht="15.0" customHeight="1">
      <c r="A57" s="11"/>
      <c r="B57" s="11"/>
      <c r="C57" s="11"/>
      <c r="D57" s="11"/>
      <c r="E57" s="2">
        <f t="shared" si="1"/>
        <v>0</v>
      </c>
      <c r="F57" s="11"/>
      <c r="G57" s="11"/>
      <c r="H57" s="11"/>
      <c r="I57" s="11"/>
      <c r="J57" s="11"/>
      <c r="K57" s="11"/>
      <c r="L57" s="11"/>
      <c r="M57" s="2">
        <f t="array" ref="M57">IF(OR($A57="",$L57&lt;&gt;"Y"),0,IF($K57="",1,IF(IFERROR(INDEX(SchedZone,MATCH($A57,INDEX(SchedZone,0,MAP!$B$6),0),MAP!$B$4),999)&lt;=$K57,1,0)))</f>
        <v>0</v>
      </c>
      <c r="N57" s="2" t="str">
        <f>IF($A57="","",IF($G57="","⚠ EXPLANATION REQUIRED",IF(AND($D57&lt;&gt;"",ABS($D57)&gt;AdjCap),"⚠ LARGE — VERIFY","")))</f>
        <v/>
      </c>
    </row>
    <row r="58" ht="15.0" customHeight="1">
      <c r="A58" s="11"/>
      <c r="B58" s="11"/>
      <c r="C58" s="11"/>
      <c r="D58" s="11"/>
      <c r="E58" s="2">
        <f t="shared" si="1"/>
        <v>0</v>
      </c>
      <c r="F58" s="11"/>
      <c r="G58" s="11"/>
      <c r="H58" s="11"/>
      <c r="I58" s="11"/>
      <c r="J58" s="11"/>
      <c r="K58" s="11"/>
      <c r="L58" s="11"/>
      <c r="M58" s="2">
        <f t="array" ref="M58">IF(OR($A58="",$L58&lt;&gt;"Y"),0,IF($K58="",1,IF(IFERROR(INDEX(SchedZone,MATCH($A58,INDEX(SchedZone,0,MAP!$B$6),0),MAP!$B$4),999)&lt;=$K58,1,0)))</f>
        <v>0</v>
      </c>
      <c r="N58" s="2" t="str">
        <f>IF($A58="","",IF($G58="","⚠ EXPLANATION REQUIRED",IF(AND($D58&lt;&gt;"",ABS($D58)&gt;AdjCap),"⚠ LARGE — VERIFY","")))</f>
        <v/>
      </c>
    </row>
    <row r="59" ht="15.0" customHeight="1">
      <c r="A59" s="11"/>
      <c r="B59" s="11"/>
      <c r="C59" s="11"/>
      <c r="D59" s="11"/>
      <c r="E59" s="2">
        <f t="shared" si="1"/>
        <v>0</v>
      </c>
      <c r="F59" s="11"/>
      <c r="G59" s="11"/>
      <c r="H59" s="11"/>
      <c r="I59" s="11"/>
      <c r="J59" s="11"/>
      <c r="K59" s="11"/>
      <c r="L59" s="11"/>
      <c r="M59" s="2">
        <f t="array" ref="M59">IF(OR($A59="",$L59&lt;&gt;"Y"),0,IF($K59="",1,IF(IFERROR(INDEX(SchedZone,MATCH($A59,INDEX(SchedZone,0,MAP!$B$6),0),MAP!$B$4),999)&lt;=$K59,1,0)))</f>
        <v>0</v>
      </c>
      <c r="N59" s="2" t="str">
        <f>IF($A59="","",IF($G59="","⚠ EXPLANATION REQUIRED",IF(AND($D59&lt;&gt;"",ABS($D59)&gt;AdjCap),"⚠ LARGE — VERIFY","")))</f>
        <v/>
      </c>
    </row>
    <row r="60" ht="15.0" customHeight="1">
      <c r="A60" s="11"/>
      <c r="B60" s="11"/>
      <c r="C60" s="11"/>
      <c r="D60" s="11"/>
      <c r="E60" s="2">
        <f t="shared" si="1"/>
        <v>0</v>
      </c>
      <c r="F60" s="11"/>
      <c r="G60" s="11"/>
      <c r="H60" s="11"/>
      <c r="I60" s="11"/>
      <c r="J60" s="11"/>
      <c r="K60" s="11"/>
      <c r="L60" s="11"/>
      <c r="M60" s="2">
        <f t="array" ref="M60">IF(OR($A60="",$L60&lt;&gt;"Y"),0,IF($K60="",1,IF(IFERROR(INDEX(SchedZone,MATCH($A60,INDEX(SchedZone,0,MAP!$B$6),0),MAP!$B$4),999)&lt;=$K60,1,0)))</f>
        <v>0</v>
      </c>
      <c r="N60" s="2" t="str">
        <f>IF($A60="","",IF($G60="","⚠ EXPLANATION REQUIRED",IF(AND($D60&lt;&gt;"",ABS($D60)&gt;AdjCap),"⚠ LARGE — VERIFY","")))</f>
        <v/>
      </c>
    </row>
    <row r="61" ht="15.0" customHeight="1">
      <c r="A61" s="11"/>
      <c r="B61" s="11"/>
      <c r="C61" s="11"/>
      <c r="D61" s="11"/>
      <c r="E61" s="2">
        <f t="shared" si="1"/>
        <v>0</v>
      </c>
      <c r="F61" s="11"/>
      <c r="G61" s="11"/>
      <c r="H61" s="11"/>
      <c r="I61" s="11"/>
      <c r="J61" s="11"/>
      <c r="K61" s="11"/>
      <c r="L61" s="11"/>
      <c r="M61" s="2">
        <f t="array" ref="M61">IF(OR($A61="",$L61&lt;&gt;"Y"),0,IF($K61="",1,IF(IFERROR(INDEX(SchedZone,MATCH($A61,INDEX(SchedZone,0,MAP!$B$6),0),MAP!$B$4),999)&lt;=$K61,1,0)))</f>
        <v>0</v>
      </c>
      <c r="N61" s="2" t="str">
        <f>IF($A61="","",IF($G61="","⚠ EXPLANATION REQUIRED",IF(AND($D61&lt;&gt;"",ABS($D61)&gt;AdjCap),"⚠ LARGE — VERIFY","")))</f>
        <v/>
      </c>
    </row>
    <row r="62" ht="15.0" customHeight="1">
      <c r="A62" s="11"/>
      <c r="B62" s="11"/>
      <c r="C62" s="11"/>
      <c r="D62" s="11"/>
      <c r="E62" s="2">
        <f t="shared" si="1"/>
        <v>0</v>
      </c>
      <c r="F62" s="11"/>
      <c r="G62" s="11"/>
      <c r="H62" s="11"/>
      <c r="I62" s="11"/>
      <c r="J62" s="11"/>
      <c r="K62" s="11"/>
      <c r="L62" s="11"/>
      <c r="M62" s="2">
        <f t="array" ref="M62">IF(OR($A62="",$L62&lt;&gt;"Y"),0,IF($K62="",1,IF(IFERROR(INDEX(SchedZone,MATCH($A62,INDEX(SchedZone,0,MAP!$B$6),0),MAP!$B$4),999)&lt;=$K62,1,0)))</f>
        <v>0</v>
      </c>
      <c r="N62" s="2" t="str">
        <f>IF($A62="","",IF($G62="","⚠ EXPLANATION REQUIRED",IF(AND($D62&lt;&gt;"",ABS($D62)&gt;AdjCap),"⚠ LARGE — VERIFY","")))</f>
        <v/>
      </c>
    </row>
    <row r="63" ht="15.0" customHeight="1">
      <c r="A63" s="11"/>
      <c r="B63" s="11"/>
      <c r="C63" s="11"/>
      <c r="D63" s="11"/>
      <c r="E63" s="2">
        <f t="shared" si="1"/>
        <v>0</v>
      </c>
      <c r="F63" s="11"/>
      <c r="G63" s="11"/>
      <c r="H63" s="11"/>
      <c r="I63" s="11"/>
      <c r="J63" s="11"/>
      <c r="K63" s="11"/>
      <c r="L63" s="11"/>
      <c r="M63" s="2">
        <f t="array" ref="M63">IF(OR($A63="",$L63&lt;&gt;"Y"),0,IF($K63="",1,IF(IFERROR(INDEX(SchedZone,MATCH($A63,INDEX(SchedZone,0,MAP!$B$6),0),MAP!$B$4),999)&lt;=$K63,1,0)))</f>
        <v>0</v>
      </c>
      <c r="N63" s="2" t="str">
        <f>IF($A63="","",IF($G63="","⚠ EXPLANATION REQUIRED",IF(AND($D63&lt;&gt;"",ABS($D63)&gt;AdjCap),"⚠ LARGE — VERIFY","")))</f>
        <v/>
      </c>
    </row>
    <row r="64" ht="15.0" customHeight="1">
      <c r="A64" s="11"/>
      <c r="B64" s="11"/>
      <c r="C64" s="11"/>
      <c r="D64" s="11"/>
      <c r="E64" s="2">
        <f t="shared" si="1"/>
        <v>0</v>
      </c>
      <c r="F64" s="11"/>
      <c r="G64" s="11"/>
      <c r="H64" s="11"/>
      <c r="I64" s="11"/>
      <c r="J64" s="11"/>
      <c r="K64" s="11"/>
      <c r="L64" s="11"/>
      <c r="M64" s="2">
        <f t="array" ref="M64">IF(OR($A64="",$L64&lt;&gt;"Y"),0,IF($K64="",1,IF(IFERROR(INDEX(SchedZone,MATCH($A64,INDEX(SchedZone,0,MAP!$B$6),0),MAP!$B$4),999)&lt;=$K64,1,0)))</f>
        <v>0</v>
      </c>
      <c r="N64" s="2" t="str">
        <f>IF($A64="","",IF($G64="","⚠ EXPLANATION REQUIRED",IF(AND($D64&lt;&gt;"",ABS($D64)&gt;AdjCap),"⚠ LARGE — VERIFY","")))</f>
        <v/>
      </c>
    </row>
    <row r="65" ht="15.0" customHeight="1">
      <c r="A65" s="11"/>
      <c r="B65" s="11"/>
      <c r="C65" s="11"/>
      <c r="D65" s="11"/>
      <c r="E65" s="2">
        <f t="shared" si="1"/>
        <v>0</v>
      </c>
      <c r="F65" s="11"/>
      <c r="G65" s="11"/>
      <c r="H65" s="11"/>
      <c r="I65" s="11"/>
      <c r="J65" s="11"/>
      <c r="K65" s="11"/>
      <c r="L65" s="11"/>
      <c r="M65" s="2">
        <f t="array" ref="M65">IF(OR($A65="",$L65&lt;&gt;"Y"),0,IF($K65="",1,IF(IFERROR(INDEX(SchedZone,MATCH($A65,INDEX(SchedZone,0,MAP!$B$6),0),MAP!$B$4),999)&lt;=$K65,1,0)))</f>
        <v>0</v>
      </c>
      <c r="N65" s="2" t="str">
        <f>IF($A65="","",IF($G65="","⚠ EXPLANATION REQUIRED",IF(AND($D65&lt;&gt;"",ABS($D65)&gt;AdjCap),"⚠ LARGE — VERIFY","")))</f>
        <v/>
      </c>
    </row>
    <row r="66" ht="15.0" customHeight="1">
      <c r="A66" s="11"/>
      <c r="B66" s="11"/>
      <c r="C66" s="11"/>
      <c r="D66" s="11"/>
      <c r="E66" s="2">
        <f t="shared" si="1"/>
        <v>0</v>
      </c>
      <c r="F66" s="11"/>
      <c r="G66" s="11"/>
      <c r="H66" s="11"/>
      <c r="I66" s="11"/>
      <c r="J66" s="11"/>
      <c r="K66" s="11"/>
      <c r="L66" s="11"/>
      <c r="M66" s="2">
        <f t="array" ref="M66">IF(OR($A66="",$L66&lt;&gt;"Y"),0,IF($K66="",1,IF(IFERROR(INDEX(SchedZone,MATCH($A66,INDEX(SchedZone,0,MAP!$B$6),0),MAP!$B$4),999)&lt;=$K66,1,0)))</f>
        <v>0</v>
      </c>
      <c r="N66" s="2" t="str">
        <f>IF($A66="","",IF($G66="","⚠ EXPLANATION REQUIRED",IF(AND($D66&lt;&gt;"",ABS($D66)&gt;AdjCap),"⚠ LARGE — VERIFY","")))</f>
        <v/>
      </c>
    </row>
    <row r="67" ht="15.0" customHeight="1">
      <c r="A67" s="11"/>
      <c r="B67" s="11"/>
      <c r="C67" s="11"/>
      <c r="D67" s="11"/>
      <c r="E67" s="2">
        <f t="shared" si="1"/>
        <v>0</v>
      </c>
      <c r="F67" s="11"/>
      <c r="G67" s="11"/>
      <c r="H67" s="11"/>
      <c r="I67" s="11"/>
      <c r="J67" s="11"/>
      <c r="K67" s="11"/>
      <c r="L67" s="11"/>
      <c r="M67" s="2">
        <f t="array" ref="M67">IF(OR($A67="",$L67&lt;&gt;"Y"),0,IF($K67="",1,IF(IFERROR(INDEX(SchedZone,MATCH($A67,INDEX(SchedZone,0,MAP!$B$6),0),MAP!$B$4),999)&lt;=$K67,1,0)))</f>
        <v>0</v>
      </c>
      <c r="N67" s="2" t="str">
        <f>IF($A67="","",IF($G67="","⚠ EXPLANATION REQUIRED",IF(AND($D67&lt;&gt;"",ABS($D67)&gt;AdjCap),"⚠ LARGE — VERIFY","")))</f>
        <v/>
      </c>
    </row>
    <row r="68" ht="15.0" customHeight="1">
      <c r="A68" s="11"/>
      <c r="B68" s="11"/>
      <c r="C68" s="11"/>
      <c r="D68" s="11"/>
      <c r="E68" s="2">
        <f t="shared" si="1"/>
        <v>0</v>
      </c>
      <c r="F68" s="11"/>
      <c r="G68" s="11"/>
      <c r="H68" s="11"/>
      <c r="I68" s="11"/>
      <c r="J68" s="11"/>
      <c r="K68" s="11"/>
      <c r="L68" s="11"/>
      <c r="M68" s="2">
        <f t="array" ref="M68">IF(OR($A68="",$L68&lt;&gt;"Y"),0,IF($K68="",1,IF(IFERROR(INDEX(SchedZone,MATCH($A68,INDEX(SchedZone,0,MAP!$B$6),0),MAP!$B$4),999)&lt;=$K68,1,0)))</f>
        <v>0</v>
      </c>
      <c r="N68" s="2" t="str">
        <f>IF($A68="","",IF($G68="","⚠ EXPLANATION REQUIRED",IF(AND($D68&lt;&gt;"",ABS($D68)&gt;AdjCap),"⚠ LARGE — VERIFY","")))</f>
        <v/>
      </c>
    </row>
    <row r="69" ht="15.0" customHeight="1">
      <c r="A69" s="11"/>
      <c r="B69" s="11"/>
      <c r="C69" s="11"/>
      <c r="D69" s="11"/>
      <c r="E69" s="2">
        <f t="shared" si="1"/>
        <v>0</v>
      </c>
      <c r="F69" s="11"/>
      <c r="G69" s="11"/>
      <c r="H69" s="11"/>
      <c r="I69" s="11"/>
      <c r="J69" s="11"/>
      <c r="K69" s="11"/>
      <c r="L69" s="11"/>
      <c r="M69" s="2">
        <f t="array" ref="M69">IF(OR($A69="",$L69&lt;&gt;"Y"),0,IF($K69="",1,IF(IFERROR(INDEX(SchedZone,MATCH($A69,INDEX(SchedZone,0,MAP!$B$6),0),MAP!$B$4),999)&lt;=$K69,1,0)))</f>
        <v>0</v>
      </c>
      <c r="N69" s="2" t="str">
        <f>IF($A69="","",IF($G69="","⚠ EXPLANATION REQUIRED",IF(AND($D69&lt;&gt;"",ABS($D69)&gt;AdjCap),"⚠ LARGE — VERIFY","")))</f>
        <v/>
      </c>
    </row>
    <row r="70" ht="15.0" customHeight="1">
      <c r="A70" s="11"/>
      <c r="B70" s="11"/>
      <c r="C70" s="11"/>
      <c r="D70" s="11"/>
      <c r="E70" s="2">
        <f t="shared" si="1"/>
        <v>0</v>
      </c>
      <c r="F70" s="11"/>
      <c r="G70" s="11"/>
      <c r="H70" s="11"/>
      <c r="I70" s="11"/>
      <c r="J70" s="11"/>
      <c r="K70" s="11"/>
      <c r="L70" s="11"/>
      <c r="M70" s="2">
        <f t="array" ref="M70">IF(OR($A70="",$L70&lt;&gt;"Y"),0,IF($K70="",1,IF(IFERROR(INDEX(SchedZone,MATCH($A70,INDEX(SchedZone,0,MAP!$B$6),0),MAP!$B$4),999)&lt;=$K70,1,0)))</f>
        <v>0</v>
      </c>
      <c r="N70" s="2" t="str">
        <f>IF($A70="","",IF($G70="","⚠ EXPLANATION REQUIRED",IF(AND($D70&lt;&gt;"",ABS($D70)&gt;AdjCap),"⚠ LARGE — VERIFY","")))</f>
        <v/>
      </c>
    </row>
    <row r="71" ht="15.0" customHeight="1">
      <c r="A71" s="11"/>
      <c r="B71" s="11"/>
      <c r="C71" s="11"/>
      <c r="D71" s="11"/>
      <c r="E71" s="2">
        <f t="shared" si="1"/>
        <v>0</v>
      </c>
      <c r="F71" s="11"/>
      <c r="G71" s="11"/>
      <c r="H71" s="11"/>
      <c r="I71" s="11"/>
      <c r="J71" s="11"/>
      <c r="K71" s="11"/>
      <c r="L71" s="11"/>
      <c r="M71" s="2">
        <f t="array" ref="M71">IF(OR($A71="",$L71&lt;&gt;"Y"),0,IF($K71="",1,IF(IFERROR(INDEX(SchedZone,MATCH($A71,INDEX(SchedZone,0,MAP!$B$6),0),MAP!$B$4),999)&lt;=$K71,1,0)))</f>
        <v>0</v>
      </c>
      <c r="N71" s="2" t="str">
        <f>IF($A71="","",IF($G71="","⚠ EXPLANATION REQUIRED",IF(AND($D71&lt;&gt;"",ABS($D71)&gt;AdjCap),"⚠ LARGE — VERIFY","")))</f>
        <v/>
      </c>
    </row>
    <row r="72" ht="15.0" customHeight="1">
      <c r="A72" s="11"/>
      <c r="B72" s="11"/>
      <c r="C72" s="11"/>
      <c r="D72" s="11"/>
      <c r="E72" s="2">
        <f t="shared" si="1"/>
        <v>0</v>
      </c>
      <c r="F72" s="11"/>
      <c r="G72" s="11"/>
      <c r="H72" s="11"/>
      <c r="I72" s="11"/>
      <c r="J72" s="11"/>
      <c r="K72" s="11"/>
      <c r="L72" s="11"/>
      <c r="M72" s="2">
        <f t="array" ref="M72">IF(OR($A72="",$L72&lt;&gt;"Y"),0,IF($K72="",1,IF(IFERROR(INDEX(SchedZone,MATCH($A72,INDEX(SchedZone,0,MAP!$B$6),0),MAP!$B$4),999)&lt;=$K72,1,0)))</f>
        <v>0</v>
      </c>
      <c r="N72" s="2" t="str">
        <f>IF($A72="","",IF($G72="","⚠ EXPLANATION REQUIRED",IF(AND($D72&lt;&gt;"",ABS($D72)&gt;AdjCap),"⚠ LARGE — VERIFY","")))</f>
        <v/>
      </c>
    </row>
    <row r="73" ht="15.0" customHeight="1">
      <c r="A73" s="11"/>
      <c r="B73" s="11"/>
      <c r="C73" s="11"/>
      <c r="D73" s="11"/>
      <c r="E73" s="2">
        <f t="shared" si="1"/>
        <v>0</v>
      </c>
      <c r="F73" s="11"/>
      <c r="G73" s="11"/>
      <c r="H73" s="11"/>
      <c r="I73" s="11"/>
      <c r="J73" s="11"/>
      <c r="K73" s="11"/>
      <c r="L73" s="11"/>
      <c r="M73" s="2">
        <f t="array" ref="M73">IF(OR($A73="",$L73&lt;&gt;"Y"),0,IF($K73="",1,IF(IFERROR(INDEX(SchedZone,MATCH($A73,INDEX(SchedZone,0,MAP!$B$6),0),MAP!$B$4),999)&lt;=$K73,1,0)))</f>
        <v>0</v>
      </c>
      <c r="N73" s="2" t="str">
        <f>IF($A73="","",IF($G73="","⚠ EXPLANATION REQUIRED",IF(AND($D73&lt;&gt;"",ABS($D73)&gt;AdjCap),"⚠ LARGE — VERIFY","")))</f>
        <v/>
      </c>
    </row>
    <row r="74" ht="15.0" customHeight="1">
      <c r="A74" s="11"/>
      <c r="B74" s="11"/>
      <c r="C74" s="11"/>
      <c r="D74" s="11"/>
      <c r="E74" s="2">
        <f t="shared" si="1"/>
        <v>0</v>
      </c>
      <c r="F74" s="11"/>
      <c r="G74" s="11"/>
      <c r="H74" s="11"/>
      <c r="I74" s="11"/>
      <c r="J74" s="11"/>
      <c r="K74" s="11"/>
      <c r="L74" s="11"/>
      <c r="M74" s="2">
        <f t="array" ref="M74">IF(OR($A74="",$L74&lt;&gt;"Y"),0,IF($K74="",1,IF(IFERROR(INDEX(SchedZone,MATCH($A74,INDEX(SchedZone,0,MAP!$B$6),0),MAP!$B$4),999)&lt;=$K74,1,0)))</f>
        <v>0</v>
      </c>
      <c r="N74" s="2" t="str">
        <f>IF($A74="","",IF($G74="","⚠ EXPLANATION REQUIRED",IF(AND($D74&lt;&gt;"",ABS($D74)&gt;AdjCap),"⚠ LARGE — VERIFY","")))</f>
        <v/>
      </c>
    </row>
    <row r="75" ht="15.0" customHeight="1">
      <c r="A75" s="11"/>
      <c r="B75" s="11"/>
      <c r="C75" s="11"/>
      <c r="D75" s="11"/>
      <c r="E75" s="2">
        <f t="shared" si="1"/>
        <v>0</v>
      </c>
      <c r="F75" s="11"/>
      <c r="G75" s="11"/>
      <c r="H75" s="11"/>
      <c r="I75" s="11"/>
      <c r="J75" s="11"/>
      <c r="K75" s="11"/>
      <c r="L75" s="11"/>
      <c r="M75" s="2">
        <f t="array" ref="M75">IF(OR($A75="",$L75&lt;&gt;"Y"),0,IF($K75="",1,IF(IFERROR(INDEX(SchedZone,MATCH($A75,INDEX(SchedZone,0,MAP!$B$6),0),MAP!$B$4),999)&lt;=$K75,1,0)))</f>
        <v>0</v>
      </c>
      <c r="N75" s="2" t="str">
        <f>IF($A75="","",IF($G75="","⚠ EXPLANATION REQUIRED",IF(AND($D75&lt;&gt;"",ABS($D75)&gt;AdjCap),"⚠ LARGE — VERIFY","")))</f>
        <v/>
      </c>
    </row>
    <row r="76" ht="15.0" customHeight="1">
      <c r="A76" s="11"/>
      <c r="B76" s="11"/>
      <c r="C76" s="11"/>
      <c r="D76" s="11"/>
      <c r="E76" s="2">
        <f t="shared" si="1"/>
        <v>0</v>
      </c>
      <c r="F76" s="11"/>
      <c r="G76" s="11"/>
      <c r="H76" s="11"/>
      <c r="I76" s="11"/>
      <c r="J76" s="11"/>
      <c r="K76" s="11"/>
      <c r="L76" s="11"/>
      <c r="M76" s="2">
        <f t="array" ref="M76">IF(OR($A76="",$L76&lt;&gt;"Y"),0,IF($K76="",1,IF(IFERROR(INDEX(SchedZone,MATCH($A76,INDEX(SchedZone,0,MAP!$B$6),0),MAP!$B$4),999)&lt;=$K76,1,0)))</f>
        <v>0</v>
      </c>
      <c r="N76" s="2" t="str">
        <f>IF($A76="","",IF($G76="","⚠ EXPLANATION REQUIRED",IF(AND($D76&lt;&gt;"",ABS($D76)&gt;AdjCap),"⚠ LARGE — VERIFY","")))</f>
        <v/>
      </c>
    </row>
    <row r="77" ht="15.0" customHeight="1">
      <c r="A77" s="11"/>
      <c r="B77" s="11"/>
      <c r="C77" s="11"/>
      <c r="D77" s="11"/>
      <c r="E77" s="2">
        <f t="shared" si="1"/>
        <v>0</v>
      </c>
      <c r="F77" s="11"/>
      <c r="G77" s="11"/>
      <c r="H77" s="11"/>
      <c r="I77" s="11"/>
      <c r="J77" s="11"/>
      <c r="K77" s="11"/>
      <c r="L77" s="11"/>
      <c r="M77" s="2">
        <f t="array" ref="M77">IF(OR($A77="",$L77&lt;&gt;"Y"),0,IF($K77="",1,IF(IFERROR(INDEX(SchedZone,MATCH($A77,INDEX(SchedZone,0,MAP!$B$6),0),MAP!$B$4),999)&lt;=$K77,1,0)))</f>
        <v>0</v>
      </c>
      <c r="N77" s="2" t="str">
        <f>IF($A77="","",IF($G77="","⚠ EXPLANATION REQUIRED",IF(AND($D77&lt;&gt;"",ABS($D77)&gt;AdjCap),"⚠ LARGE — VERIFY","")))</f>
        <v/>
      </c>
    </row>
    <row r="78" ht="15.0" customHeight="1">
      <c r="A78" s="11"/>
      <c r="B78" s="11"/>
      <c r="C78" s="11"/>
      <c r="D78" s="11"/>
      <c r="E78" s="2">
        <f t="shared" si="1"/>
        <v>0</v>
      </c>
      <c r="F78" s="11"/>
      <c r="G78" s="11"/>
      <c r="H78" s="11"/>
      <c r="I78" s="11"/>
      <c r="J78" s="11"/>
      <c r="K78" s="11"/>
      <c r="L78" s="11"/>
      <c r="M78" s="2">
        <f t="array" ref="M78">IF(OR($A78="",$L78&lt;&gt;"Y"),0,IF($K78="",1,IF(IFERROR(INDEX(SchedZone,MATCH($A78,INDEX(SchedZone,0,MAP!$B$6),0),MAP!$B$4),999)&lt;=$K78,1,0)))</f>
        <v>0</v>
      </c>
      <c r="N78" s="2" t="str">
        <f>IF($A78="","",IF($G78="","⚠ EXPLANATION REQUIRED",IF(AND($D78&lt;&gt;"",ABS($D78)&gt;AdjCap),"⚠ LARGE — VERIFY","")))</f>
        <v/>
      </c>
    </row>
    <row r="79" ht="15.0" customHeight="1">
      <c r="A79" s="11"/>
      <c r="B79" s="11"/>
      <c r="C79" s="11"/>
      <c r="D79" s="11"/>
      <c r="E79" s="2">
        <f t="shared" si="1"/>
        <v>0</v>
      </c>
      <c r="F79" s="11"/>
      <c r="G79" s="11"/>
      <c r="H79" s="11"/>
      <c r="I79" s="11"/>
      <c r="J79" s="11"/>
      <c r="K79" s="11"/>
      <c r="L79" s="11"/>
      <c r="M79" s="2">
        <f t="array" ref="M79">IF(OR($A79="",$L79&lt;&gt;"Y"),0,IF($K79="",1,IF(IFERROR(INDEX(SchedZone,MATCH($A79,INDEX(SchedZone,0,MAP!$B$6),0),MAP!$B$4),999)&lt;=$K79,1,0)))</f>
        <v>0</v>
      </c>
      <c r="N79" s="2" t="str">
        <f>IF($A79="","",IF($G79="","⚠ EXPLANATION REQUIRED",IF(AND($D79&lt;&gt;"",ABS($D79)&gt;AdjCap),"⚠ LARGE — VERIFY","")))</f>
        <v/>
      </c>
    </row>
    <row r="80" ht="15.0" customHeight="1">
      <c r="A80" s="11"/>
      <c r="B80" s="11"/>
      <c r="C80" s="11"/>
      <c r="D80" s="11"/>
      <c r="E80" s="2">
        <f t="shared" si="1"/>
        <v>0</v>
      </c>
      <c r="F80" s="11"/>
      <c r="G80" s="11"/>
      <c r="H80" s="11"/>
      <c r="I80" s="11"/>
      <c r="J80" s="11"/>
      <c r="K80" s="11"/>
      <c r="L80" s="11"/>
      <c r="M80" s="2">
        <f t="array" ref="M80">IF(OR($A80="",$L80&lt;&gt;"Y"),0,IF($K80="",1,IF(IFERROR(INDEX(SchedZone,MATCH($A80,INDEX(SchedZone,0,MAP!$B$6),0),MAP!$B$4),999)&lt;=$K80,1,0)))</f>
        <v>0</v>
      </c>
      <c r="N80" s="2" t="str">
        <f>IF($A80="","",IF($G80="","⚠ EXPLANATION REQUIRED",IF(AND($D80&lt;&gt;"",ABS($D80)&gt;AdjCap),"⚠ LARGE — VERIFY","")))</f>
        <v/>
      </c>
    </row>
    <row r="81" ht="15.0" customHeight="1">
      <c r="A81" s="11"/>
      <c r="B81" s="11"/>
      <c r="C81" s="11"/>
      <c r="D81" s="11"/>
      <c r="E81" s="2">
        <f t="shared" si="1"/>
        <v>0</v>
      </c>
      <c r="F81" s="11"/>
      <c r="G81" s="11"/>
      <c r="H81" s="11"/>
      <c r="I81" s="11"/>
      <c r="J81" s="11"/>
      <c r="K81" s="11"/>
      <c r="L81" s="11"/>
      <c r="M81" s="2">
        <f t="array" ref="M81">IF(OR($A81="",$L81&lt;&gt;"Y"),0,IF($K81="",1,IF(IFERROR(INDEX(SchedZone,MATCH($A81,INDEX(SchedZone,0,MAP!$B$6),0),MAP!$B$4),999)&lt;=$K81,1,0)))</f>
        <v>0</v>
      </c>
      <c r="N81" s="2" t="str">
        <f>IF($A81="","",IF($G81="","⚠ EXPLANATION REQUIRED",IF(AND($D81&lt;&gt;"",ABS($D81)&gt;AdjCap),"⚠ LARGE — VERIFY","")))</f>
        <v/>
      </c>
    </row>
    <row r="82" ht="15.0" customHeight="1">
      <c r="A82" s="11"/>
      <c r="B82" s="11"/>
      <c r="C82" s="11"/>
      <c r="D82" s="11"/>
      <c r="E82" s="2">
        <f t="shared" si="1"/>
        <v>0</v>
      </c>
      <c r="F82" s="11"/>
      <c r="G82" s="11"/>
      <c r="H82" s="11"/>
      <c r="I82" s="11"/>
      <c r="J82" s="11"/>
      <c r="K82" s="11"/>
      <c r="L82" s="11"/>
      <c r="M82" s="2">
        <f t="array" ref="M82">IF(OR($A82="",$L82&lt;&gt;"Y"),0,IF($K82="",1,IF(IFERROR(INDEX(SchedZone,MATCH($A82,INDEX(SchedZone,0,MAP!$B$6),0),MAP!$B$4),999)&lt;=$K82,1,0)))</f>
        <v>0</v>
      </c>
      <c r="N82" s="2" t="str">
        <f>IF($A82="","",IF($G82="","⚠ EXPLANATION REQUIRED",IF(AND($D82&lt;&gt;"",ABS($D82)&gt;AdjCap),"⚠ LARGE — VERIFY","")))</f>
        <v/>
      </c>
    </row>
    <row r="83" ht="15.0" customHeight="1">
      <c r="A83" s="11"/>
      <c r="B83" s="11"/>
      <c r="C83" s="11"/>
      <c r="D83" s="11"/>
      <c r="E83" s="2">
        <f t="shared" si="1"/>
        <v>0</v>
      </c>
      <c r="F83" s="11"/>
      <c r="G83" s="11"/>
      <c r="H83" s="11"/>
      <c r="I83" s="11"/>
      <c r="J83" s="11"/>
      <c r="K83" s="11"/>
      <c r="L83" s="11"/>
      <c r="M83" s="2">
        <f t="array" ref="M83">IF(OR($A83="",$L83&lt;&gt;"Y"),0,IF($K83="",1,IF(IFERROR(INDEX(SchedZone,MATCH($A83,INDEX(SchedZone,0,MAP!$B$6),0),MAP!$B$4),999)&lt;=$K83,1,0)))</f>
        <v>0</v>
      </c>
      <c r="N83" s="2" t="str">
        <f>IF($A83="","",IF($G83="","⚠ EXPLANATION REQUIRED",IF(AND($D83&lt;&gt;"",ABS($D83)&gt;AdjCap),"⚠ LARGE — VERIFY","")))</f>
        <v/>
      </c>
    </row>
    <row r="84" ht="15.0" customHeight="1">
      <c r="A84" s="11"/>
      <c r="B84" s="11"/>
      <c r="C84" s="11"/>
      <c r="D84" s="11"/>
      <c r="E84" s="2">
        <f t="shared" si="1"/>
        <v>0</v>
      </c>
      <c r="F84" s="11"/>
      <c r="G84" s="11"/>
      <c r="H84" s="11"/>
      <c r="I84" s="11"/>
      <c r="J84" s="11"/>
      <c r="K84" s="11"/>
      <c r="L84" s="11"/>
      <c r="M84" s="2">
        <f t="array" ref="M84">IF(OR($A84="",$L84&lt;&gt;"Y"),0,IF($K84="",1,IF(IFERROR(INDEX(SchedZone,MATCH($A84,INDEX(SchedZone,0,MAP!$B$6),0),MAP!$B$4),999)&lt;=$K84,1,0)))</f>
        <v>0</v>
      </c>
      <c r="N84" s="2" t="str">
        <f>IF($A84="","",IF($G84="","⚠ EXPLANATION REQUIRED",IF(AND($D84&lt;&gt;"",ABS($D84)&gt;AdjCap),"⚠ LARGE — VERIFY","")))</f>
        <v/>
      </c>
    </row>
    <row r="85" ht="15.0" customHeight="1">
      <c r="A85" s="11"/>
      <c r="B85" s="11"/>
      <c r="C85" s="11"/>
      <c r="D85" s="11"/>
      <c r="E85" s="2">
        <f t="shared" si="1"/>
        <v>0</v>
      </c>
      <c r="F85" s="11"/>
      <c r="G85" s="11"/>
      <c r="H85" s="11"/>
      <c r="I85" s="11"/>
      <c r="J85" s="11"/>
      <c r="K85" s="11"/>
      <c r="L85" s="11"/>
      <c r="M85" s="2">
        <f t="array" ref="M85">IF(OR($A85="",$L85&lt;&gt;"Y"),0,IF($K85="",1,IF(IFERROR(INDEX(SchedZone,MATCH($A85,INDEX(SchedZone,0,MAP!$B$6),0),MAP!$B$4),999)&lt;=$K85,1,0)))</f>
        <v>0</v>
      </c>
      <c r="N85" s="2" t="str">
        <f>IF($A85="","",IF($G85="","⚠ EXPLANATION REQUIRED",IF(AND($D85&lt;&gt;"",ABS($D85)&gt;AdjCap),"⚠ LARGE — VERIFY","")))</f>
        <v/>
      </c>
    </row>
    <row r="86" ht="15.0" customHeight="1">
      <c r="A86" s="11"/>
      <c r="B86" s="11"/>
      <c r="C86" s="11"/>
      <c r="D86" s="11"/>
      <c r="E86" s="2">
        <f t="shared" si="1"/>
        <v>0</v>
      </c>
      <c r="F86" s="11"/>
      <c r="G86" s="11"/>
      <c r="H86" s="11"/>
      <c r="I86" s="11"/>
      <c r="J86" s="11"/>
      <c r="K86" s="11"/>
      <c r="L86" s="11"/>
      <c r="M86" s="2">
        <f t="array" ref="M86">IF(OR($A86="",$L86&lt;&gt;"Y"),0,IF($K86="",1,IF(IFERROR(INDEX(SchedZone,MATCH($A86,INDEX(SchedZone,0,MAP!$B$6),0),MAP!$B$4),999)&lt;=$K86,1,0)))</f>
        <v>0</v>
      </c>
      <c r="N86" s="2" t="str">
        <f>IF($A86="","",IF($G86="","⚠ EXPLANATION REQUIRED",IF(AND($D86&lt;&gt;"",ABS($D86)&gt;AdjCap),"⚠ LARGE — VERIFY","")))</f>
        <v/>
      </c>
    </row>
    <row r="87" ht="15.0" customHeight="1">
      <c r="A87" s="11"/>
      <c r="B87" s="11"/>
      <c r="C87" s="11"/>
      <c r="D87" s="11"/>
      <c r="E87" s="2">
        <f t="shared" si="1"/>
        <v>0</v>
      </c>
      <c r="F87" s="11"/>
      <c r="G87" s="11"/>
      <c r="H87" s="11"/>
      <c r="I87" s="11"/>
      <c r="J87" s="11"/>
      <c r="K87" s="11"/>
      <c r="L87" s="11"/>
      <c r="M87" s="2">
        <f t="array" ref="M87">IF(OR($A87="",$L87&lt;&gt;"Y"),0,IF($K87="",1,IF(IFERROR(INDEX(SchedZone,MATCH($A87,INDEX(SchedZone,0,MAP!$B$6),0),MAP!$B$4),999)&lt;=$K87,1,0)))</f>
        <v>0</v>
      </c>
      <c r="N87" s="2" t="str">
        <f>IF($A87="","",IF($G87="","⚠ EXPLANATION REQUIRED",IF(AND($D87&lt;&gt;"",ABS($D87)&gt;AdjCap),"⚠ LARGE — VERIFY","")))</f>
        <v/>
      </c>
    </row>
    <row r="88" ht="15.0" customHeight="1">
      <c r="A88" s="11"/>
      <c r="B88" s="11"/>
      <c r="C88" s="11"/>
      <c r="D88" s="11"/>
      <c r="E88" s="2">
        <f t="shared" si="1"/>
        <v>0</v>
      </c>
      <c r="F88" s="11"/>
      <c r="G88" s="11"/>
      <c r="H88" s="11"/>
      <c r="I88" s="11"/>
      <c r="J88" s="11"/>
      <c r="K88" s="11"/>
      <c r="L88" s="11"/>
      <c r="M88" s="2">
        <f t="array" ref="M88">IF(OR($A88="",$L88&lt;&gt;"Y"),0,IF($K88="",1,IF(IFERROR(INDEX(SchedZone,MATCH($A88,INDEX(SchedZone,0,MAP!$B$6),0),MAP!$B$4),999)&lt;=$K88,1,0)))</f>
        <v>0</v>
      </c>
      <c r="N88" s="2" t="str">
        <f>IF($A88="","",IF($G88="","⚠ EXPLANATION REQUIRED",IF(AND($D88&lt;&gt;"",ABS($D88)&gt;AdjCap),"⚠ LARGE — VERIFY","")))</f>
        <v/>
      </c>
    </row>
    <row r="89" ht="15.0" customHeight="1">
      <c r="A89" s="11"/>
      <c r="B89" s="11"/>
      <c r="C89" s="11"/>
      <c r="D89" s="11"/>
      <c r="E89" s="2">
        <f t="shared" si="1"/>
        <v>0</v>
      </c>
      <c r="F89" s="11"/>
      <c r="G89" s="11"/>
      <c r="H89" s="11"/>
      <c r="I89" s="11"/>
      <c r="J89" s="11"/>
      <c r="K89" s="11"/>
      <c r="L89" s="11"/>
      <c r="M89" s="2">
        <f t="array" ref="M89">IF(OR($A89="",$L89&lt;&gt;"Y"),0,IF($K89="",1,IF(IFERROR(INDEX(SchedZone,MATCH($A89,INDEX(SchedZone,0,MAP!$B$6),0),MAP!$B$4),999)&lt;=$K89,1,0)))</f>
        <v>0</v>
      </c>
      <c r="N89" s="2" t="str">
        <f>IF($A89="","",IF($G89="","⚠ EXPLANATION REQUIRED",IF(AND($D89&lt;&gt;"",ABS($D89)&gt;AdjCap),"⚠ LARGE — VERIFY","")))</f>
        <v/>
      </c>
    </row>
    <row r="90" ht="15.0" customHeight="1">
      <c r="A90" s="11"/>
      <c r="B90" s="11"/>
      <c r="C90" s="11"/>
      <c r="D90" s="11"/>
      <c r="E90" s="2">
        <f t="shared" si="1"/>
        <v>0</v>
      </c>
      <c r="F90" s="11"/>
      <c r="G90" s="11"/>
      <c r="H90" s="11"/>
      <c r="I90" s="11"/>
      <c r="J90" s="11"/>
      <c r="K90" s="11"/>
      <c r="L90" s="11"/>
      <c r="M90" s="2">
        <f t="array" ref="M90">IF(OR($A90="",$L90&lt;&gt;"Y"),0,IF($K90="",1,IF(IFERROR(INDEX(SchedZone,MATCH($A90,INDEX(SchedZone,0,MAP!$B$6),0),MAP!$B$4),999)&lt;=$K90,1,0)))</f>
        <v>0</v>
      </c>
      <c r="N90" s="2" t="str">
        <f>IF($A90="","",IF($G90="","⚠ EXPLANATION REQUIRED",IF(AND($D90&lt;&gt;"",ABS($D90)&gt;AdjCap),"⚠ LARGE — VERIFY","")))</f>
        <v/>
      </c>
    </row>
    <row r="91" ht="15.0" customHeight="1">
      <c r="A91" s="11"/>
      <c r="B91" s="11"/>
      <c r="C91" s="11"/>
      <c r="D91" s="11"/>
      <c r="E91" s="2">
        <f t="shared" si="1"/>
        <v>0</v>
      </c>
      <c r="F91" s="11"/>
      <c r="G91" s="11"/>
      <c r="H91" s="11"/>
      <c r="I91" s="11"/>
      <c r="J91" s="11"/>
      <c r="K91" s="11"/>
      <c r="L91" s="11"/>
      <c r="M91" s="2">
        <f t="array" ref="M91">IF(OR($A91="",$L91&lt;&gt;"Y"),0,IF($K91="",1,IF(IFERROR(INDEX(SchedZone,MATCH($A91,INDEX(SchedZone,0,MAP!$B$6),0),MAP!$B$4),999)&lt;=$K91,1,0)))</f>
        <v>0</v>
      </c>
      <c r="N91" s="2" t="str">
        <f>IF($A91="","",IF($G91="","⚠ EXPLANATION REQUIRED",IF(AND($D91&lt;&gt;"",ABS($D91)&gt;AdjCap),"⚠ LARGE — VERIFY","")))</f>
        <v/>
      </c>
    </row>
    <row r="92" ht="15.0" customHeight="1">
      <c r="A92" s="11"/>
      <c r="B92" s="11"/>
      <c r="C92" s="11"/>
      <c r="D92" s="11"/>
      <c r="E92" s="2">
        <f t="shared" si="1"/>
        <v>0</v>
      </c>
      <c r="F92" s="11"/>
      <c r="G92" s="11"/>
      <c r="H92" s="11"/>
      <c r="I92" s="11"/>
      <c r="J92" s="11"/>
      <c r="K92" s="11"/>
      <c r="L92" s="11"/>
      <c r="M92" s="2">
        <f t="array" ref="M92">IF(OR($A92="",$L92&lt;&gt;"Y"),0,IF($K92="",1,IF(IFERROR(INDEX(SchedZone,MATCH($A92,INDEX(SchedZone,0,MAP!$B$6),0),MAP!$B$4),999)&lt;=$K92,1,0)))</f>
        <v>0</v>
      </c>
      <c r="N92" s="2" t="str">
        <f>IF($A92="","",IF($G92="","⚠ EXPLANATION REQUIRED",IF(AND($D92&lt;&gt;"",ABS($D92)&gt;AdjCap),"⚠ LARGE — VERIFY","")))</f>
        <v/>
      </c>
    </row>
    <row r="93" ht="15.0" customHeight="1">
      <c r="A93" s="11"/>
      <c r="B93" s="11"/>
      <c r="C93" s="11"/>
      <c r="D93" s="11"/>
      <c r="E93" s="2">
        <f t="shared" si="1"/>
        <v>0</v>
      </c>
      <c r="F93" s="11"/>
      <c r="G93" s="11"/>
      <c r="H93" s="11"/>
      <c r="I93" s="11"/>
      <c r="J93" s="11"/>
      <c r="K93" s="11"/>
      <c r="L93" s="11"/>
      <c r="M93" s="2">
        <f t="array" ref="M93">IF(OR($A93="",$L93&lt;&gt;"Y"),0,IF($K93="",1,IF(IFERROR(INDEX(SchedZone,MATCH($A93,INDEX(SchedZone,0,MAP!$B$6),0),MAP!$B$4),999)&lt;=$K93,1,0)))</f>
        <v>0</v>
      </c>
      <c r="N93" s="2" t="str">
        <f>IF($A93="","",IF($G93="","⚠ EXPLANATION REQUIRED",IF(AND($D93&lt;&gt;"",ABS($D93)&gt;AdjCap),"⚠ LARGE — VERIFY","")))</f>
        <v/>
      </c>
    </row>
    <row r="94" ht="15.0" customHeight="1">
      <c r="A94" s="11"/>
      <c r="B94" s="11"/>
      <c r="C94" s="11"/>
      <c r="D94" s="11"/>
      <c r="E94" s="2">
        <f t="shared" si="1"/>
        <v>0</v>
      </c>
      <c r="F94" s="11"/>
      <c r="G94" s="11"/>
      <c r="H94" s="11"/>
      <c r="I94" s="11"/>
      <c r="J94" s="11"/>
      <c r="K94" s="11"/>
      <c r="L94" s="11"/>
      <c r="M94" s="2">
        <f t="array" ref="M94">IF(OR($A94="",$L94&lt;&gt;"Y"),0,IF($K94="",1,IF(IFERROR(INDEX(SchedZone,MATCH($A94,INDEX(SchedZone,0,MAP!$B$6),0),MAP!$B$4),999)&lt;=$K94,1,0)))</f>
        <v>0</v>
      </c>
      <c r="N94" s="2" t="str">
        <f>IF($A94="","",IF($G94="","⚠ EXPLANATION REQUIRED",IF(AND($D94&lt;&gt;"",ABS($D94)&gt;AdjCap),"⚠ LARGE — VERIFY","")))</f>
        <v/>
      </c>
    </row>
    <row r="95" ht="15.0" customHeight="1">
      <c r="A95" s="11"/>
      <c r="B95" s="11"/>
      <c r="C95" s="11"/>
      <c r="D95" s="11"/>
      <c r="E95" s="2">
        <f t="shared" si="1"/>
        <v>0</v>
      </c>
      <c r="F95" s="11"/>
      <c r="G95" s="11"/>
      <c r="H95" s="11"/>
      <c r="I95" s="11"/>
      <c r="J95" s="11"/>
      <c r="K95" s="11"/>
      <c r="L95" s="11"/>
      <c r="M95" s="2">
        <f t="array" ref="M95">IF(OR($A95="",$L95&lt;&gt;"Y"),0,IF($K95="",1,IF(IFERROR(INDEX(SchedZone,MATCH($A95,INDEX(SchedZone,0,MAP!$B$6),0),MAP!$B$4),999)&lt;=$K95,1,0)))</f>
        <v>0</v>
      </c>
      <c r="N95" s="2" t="str">
        <f>IF($A95="","",IF($G95="","⚠ EXPLANATION REQUIRED",IF(AND($D95&lt;&gt;"",ABS($D95)&gt;AdjCap),"⚠ LARGE — VERIFY","")))</f>
        <v/>
      </c>
    </row>
    <row r="96" ht="15.0" customHeight="1">
      <c r="A96" s="11"/>
      <c r="B96" s="11"/>
      <c r="C96" s="11"/>
      <c r="D96" s="11"/>
      <c r="E96" s="2">
        <f t="shared" si="1"/>
        <v>0</v>
      </c>
      <c r="F96" s="11"/>
      <c r="G96" s="11"/>
      <c r="H96" s="11"/>
      <c r="I96" s="11"/>
      <c r="J96" s="11"/>
      <c r="K96" s="11"/>
      <c r="L96" s="11"/>
      <c r="M96" s="2">
        <f t="array" ref="M96">IF(OR($A96="",$L96&lt;&gt;"Y"),0,IF($K96="",1,IF(IFERROR(INDEX(SchedZone,MATCH($A96,INDEX(SchedZone,0,MAP!$B$6),0),MAP!$B$4),999)&lt;=$K96,1,0)))</f>
        <v>0</v>
      </c>
      <c r="N96" s="2" t="str">
        <f>IF($A96="","",IF($G96="","⚠ EXPLANATION REQUIRED",IF(AND($D96&lt;&gt;"",ABS($D96)&gt;AdjCap),"⚠ LARGE — VERIFY","")))</f>
        <v/>
      </c>
    </row>
    <row r="97" ht="15.0" customHeight="1">
      <c r="A97" s="11"/>
      <c r="B97" s="11"/>
      <c r="C97" s="11"/>
      <c r="D97" s="11"/>
      <c r="E97" s="2">
        <f t="shared" si="1"/>
        <v>0</v>
      </c>
      <c r="F97" s="11"/>
      <c r="G97" s="11"/>
      <c r="H97" s="11"/>
      <c r="I97" s="11"/>
      <c r="J97" s="11"/>
      <c r="K97" s="11"/>
      <c r="L97" s="11"/>
      <c r="M97" s="2">
        <f t="array" ref="M97">IF(OR($A97="",$L97&lt;&gt;"Y"),0,IF($K97="",1,IF(IFERROR(INDEX(SchedZone,MATCH($A97,INDEX(SchedZone,0,MAP!$B$6),0),MAP!$B$4),999)&lt;=$K97,1,0)))</f>
        <v>0</v>
      </c>
      <c r="N97" s="2" t="str">
        <f>IF($A97="","",IF($G97="","⚠ EXPLANATION REQUIRED",IF(AND($D97&lt;&gt;"",ABS($D97)&gt;AdjCap),"⚠ LARGE — VERIFY","")))</f>
        <v/>
      </c>
    </row>
    <row r="98" ht="15.0" customHeight="1">
      <c r="A98" s="11"/>
      <c r="B98" s="11"/>
      <c r="C98" s="11"/>
      <c r="D98" s="11"/>
      <c r="E98" s="2">
        <f t="shared" si="1"/>
        <v>0</v>
      </c>
      <c r="F98" s="11"/>
      <c r="G98" s="11"/>
      <c r="H98" s="11"/>
      <c r="I98" s="11"/>
      <c r="J98" s="11"/>
      <c r="K98" s="11"/>
      <c r="L98" s="11"/>
      <c r="M98" s="2">
        <f t="array" ref="M98">IF(OR($A98="",$L98&lt;&gt;"Y"),0,IF($K98="",1,IF(IFERROR(INDEX(SchedZone,MATCH($A98,INDEX(SchedZone,0,MAP!$B$6),0),MAP!$B$4),999)&lt;=$K98,1,0)))</f>
        <v>0</v>
      </c>
      <c r="N98" s="2" t="str">
        <f>IF($A98="","",IF($G98="","⚠ EXPLANATION REQUIRED",IF(AND($D98&lt;&gt;"",ABS($D98)&gt;AdjCap),"⚠ LARGE — VERIFY","")))</f>
        <v/>
      </c>
    </row>
    <row r="99" ht="15.0" customHeight="1">
      <c r="A99" s="11"/>
      <c r="B99" s="11"/>
      <c r="C99" s="11"/>
      <c r="D99" s="11"/>
      <c r="E99" s="2">
        <f t="shared" si="1"/>
        <v>0</v>
      </c>
      <c r="F99" s="11"/>
      <c r="G99" s="11"/>
      <c r="H99" s="11"/>
      <c r="I99" s="11"/>
      <c r="J99" s="11"/>
      <c r="K99" s="11"/>
      <c r="L99" s="11"/>
      <c r="M99" s="2">
        <f t="array" ref="M99">IF(OR($A99="",$L99&lt;&gt;"Y"),0,IF($K99="",1,IF(IFERROR(INDEX(SchedZone,MATCH($A99,INDEX(SchedZone,0,MAP!$B$6),0),MAP!$B$4),999)&lt;=$K99,1,0)))</f>
        <v>0</v>
      </c>
      <c r="N99" s="2" t="str">
        <f>IF($A99="","",IF($G99="","⚠ EXPLANATION REQUIRED",IF(AND($D99&lt;&gt;"",ABS($D99)&gt;AdjCap),"⚠ LARGE — VERIFY","")))</f>
        <v/>
      </c>
    </row>
    <row r="100" ht="15.0" customHeight="1">
      <c r="A100" s="11"/>
      <c r="B100" s="11"/>
      <c r="C100" s="11"/>
      <c r="D100" s="11"/>
      <c r="E100" s="2">
        <f t="shared" si="1"/>
        <v>0</v>
      </c>
      <c r="F100" s="11"/>
      <c r="G100" s="11"/>
      <c r="H100" s="11"/>
      <c r="I100" s="11"/>
      <c r="J100" s="11"/>
      <c r="K100" s="11"/>
      <c r="L100" s="11"/>
      <c r="M100" s="2">
        <f t="array" ref="M100">IF(OR($A100="",$L100&lt;&gt;"Y"),0,IF($K100="",1,IF(IFERROR(INDEX(SchedZone,MATCH($A100,INDEX(SchedZone,0,MAP!$B$6),0),MAP!$B$4),999)&lt;=$K100,1,0)))</f>
        <v>0</v>
      </c>
      <c r="N100" s="2" t="str">
        <f>IF($A100="","",IF($G100="","⚠ EXPLANATION REQUIRED",IF(AND($D100&lt;&gt;"",ABS($D100)&gt;AdjCap),"⚠ LARGE — VERIFY","")))</f>
        <v/>
      </c>
    </row>
    <row r="101" ht="15.0" customHeight="1">
      <c r="A101" s="11"/>
      <c r="B101" s="11"/>
      <c r="C101" s="11"/>
      <c r="D101" s="11"/>
      <c r="E101" s="2">
        <f t="shared" si="1"/>
        <v>0</v>
      </c>
      <c r="F101" s="11"/>
      <c r="G101" s="11"/>
      <c r="H101" s="11"/>
      <c r="I101" s="11"/>
      <c r="J101" s="11"/>
      <c r="K101" s="11"/>
      <c r="L101" s="11"/>
      <c r="M101" s="2">
        <f t="array" ref="M101">IF(OR($A101="",$L101&lt;&gt;"Y"),0,IF($K101="",1,IF(IFERROR(INDEX(SchedZone,MATCH($A101,INDEX(SchedZone,0,MAP!$B$6),0),MAP!$B$4),999)&lt;=$K101,1,0)))</f>
        <v>0</v>
      </c>
      <c r="N101" s="2" t="str">
        <f>IF($A101="","",IF($G101="","⚠ EXPLANATION REQUIRED",IF(AND($D101&lt;&gt;"",ABS($D101)&gt;AdjCap),"⚠ LARGE — VERIFY","")))</f>
        <v/>
      </c>
    </row>
    <row r="102" ht="15.0" customHeight="1">
      <c r="A102" s="11"/>
      <c r="B102" s="11"/>
      <c r="C102" s="11"/>
      <c r="D102" s="11"/>
      <c r="E102" s="2">
        <f t="shared" si="1"/>
        <v>0</v>
      </c>
      <c r="F102" s="11"/>
      <c r="G102" s="11"/>
      <c r="H102" s="11"/>
      <c r="I102" s="11"/>
      <c r="J102" s="11"/>
      <c r="K102" s="11"/>
      <c r="L102" s="11"/>
      <c r="M102" s="2">
        <f t="array" ref="M102">IF(OR($A102="",$L102&lt;&gt;"Y"),0,IF($K102="",1,IF(IFERROR(INDEX(SchedZone,MATCH($A102,INDEX(SchedZone,0,MAP!$B$6),0),MAP!$B$4),999)&lt;=$K102,1,0)))</f>
        <v>0</v>
      </c>
      <c r="N102" s="2" t="str">
        <f>IF($A102="","",IF($G102="","⚠ EXPLANATION REQUIRED",IF(AND($D102&lt;&gt;"",ABS($D102)&gt;AdjCap),"⚠ LARGE — VERIFY","")))</f>
        <v/>
      </c>
    </row>
    <row r="103" ht="15.0" customHeight="1">
      <c r="A103" s="11"/>
      <c r="B103" s="11"/>
      <c r="C103" s="11"/>
      <c r="D103" s="11"/>
      <c r="E103" s="2">
        <f t="shared" si="1"/>
        <v>0</v>
      </c>
      <c r="F103" s="11"/>
      <c r="G103" s="11"/>
      <c r="H103" s="11"/>
      <c r="I103" s="11"/>
      <c r="J103" s="11"/>
      <c r="K103" s="11"/>
      <c r="L103" s="11"/>
      <c r="M103" s="2">
        <f t="array" ref="M103">IF(OR($A103="",$L103&lt;&gt;"Y"),0,IF($K103="",1,IF(IFERROR(INDEX(SchedZone,MATCH($A103,INDEX(SchedZone,0,MAP!$B$6),0),MAP!$B$4),999)&lt;=$K103,1,0)))</f>
        <v>0</v>
      </c>
      <c r="N103" s="2" t="str">
        <f>IF($A103="","",IF($G103="","⚠ EXPLANATION REQUIRED",IF(AND($D103&lt;&gt;"",ABS($D103)&gt;AdjCap),"⚠ LARGE — VERIFY","")))</f>
        <v/>
      </c>
    </row>
    <row r="104" ht="15.0" customHeight="1">
      <c r="A104" s="11"/>
      <c r="B104" s="11"/>
      <c r="C104" s="11"/>
      <c r="D104" s="11"/>
      <c r="E104" s="2">
        <f t="shared" si="1"/>
        <v>0</v>
      </c>
      <c r="F104" s="11"/>
      <c r="G104" s="11"/>
      <c r="H104" s="11"/>
      <c r="I104" s="11"/>
      <c r="J104" s="11"/>
      <c r="K104" s="11"/>
      <c r="L104" s="11"/>
      <c r="M104" s="2">
        <f t="array" ref="M104">IF(OR($A104="",$L104&lt;&gt;"Y"),0,IF($K104="",1,IF(IFERROR(INDEX(SchedZone,MATCH($A104,INDEX(SchedZone,0,MAP!$B$6),0),MAP!$B$4),999)&lt;=$K104,1,0)))</f>
        <v>0</v>
      </c>
      <c r="N104" s="2" t="str">
        <f>IF($A104="","",IF($G104="","⚠ EXPLANATION REQUIRED",IF(AND($D104&lt;&gt;"",ABS($D104)&gt;AdjCap),"⚠ LARGE — VERIFY","")))</f>
        <v/>
      </c>
    </row>
    <row r="105" ht="15.75" customHeight="1">
      <c r="A105" s="2"/>
      <c r="C105" s="2"/>
      <c r="G105" s="2"/>
      <c r="H105" s="2"/>
      <c r="N105" s="2"/>
    </row>
    <row r="106" ht="15.75" customHeight="1">
      <c r="A106" s="2"/>
      <c r="C106" s="2"/>
      <c r="G106" s="2"/>
      <c r="H106" s="2"/>
      <c r="N106" s="2"/>
    </row>
    <row r="107" ht="15.75" customHeight="1">
      <c r="A107" s="2"/>
      <c r="C107" s="2"/>
      <c r="G107" s="2"/>
      <c r="H107" s="2"/>
      <c r="N107" s="2"/>
    </row>
    <row r="108" ht="15.75" customHeight="1">
      <c r="A108" s="2"/>
      <c r="C108" s="2"/>
      <c r="G108" s="2"/>
      <c r="H108" s="2"/>
      <c r="N108" s="2"/>
    </row>
    <row r="109" ht="15.75" customHeight="1">
      <c r="A109" s="2"/>
      <c r="C109" s="2"/>
      <c r="G109" s="2"/>
      <c r="H109" s="2"/>
      <c r="N109" s="2"/>
    </row>
    <row r="110" ht="15.75" customHeight="1">
      <c r="A110" s="2"/>
      <c r="C110" s="2"/>
      <c r="G110" s="2"/>
      <c r="H110" s="2"/>
      <c r="N110" s="2"/>
    </row>
    <row r="111" ht="15.75" customHeight="1">
      <c r="A111" s="2"/>
      <c r="C111" s="2"/>
      <c r="G111" s="2"/>
      <c r="H111" s="2"/>
      <c r="N111" s="2"/>
    </row>
    <row r="112" ht="15.75" customHeight="1">
      <c r="A112" s="2"/>
      <c r="C112" s="2"/>
      <c r="G112" s="2"/>
      <c r="H112" s="2"/>
      <c r="N112" s="2"/>
    </row>
    <row r="113" ht="15.75" customHeight="1">
      <c r="A113" s="2"/>
      <c r="C113" s="2"/>
      <c r="G113" s="2"/>
      <c r="H113" s="2"/>
      <c r="N113" s="2"/>
    </row>
    <row r="114" ht="15.75" customHeight="1">
      <c r="A114" s="2"/>
      <c r="C114" s="2"/>
      <c r="G114" s="2"/>
      <c r="H114" s="2"/>
      <c r="N114" s="2"/>
    </row>
    <row r="115" ht="15.75" customHeight="1">
      <c r="A115" s="2"/>
      <c r="C115" s="2"/>
      <c r="G115" s="2"/>
      <c r="H115" s="2"/>
      <c r="N115" s="2"/>
    </row>
    <row r="116" ht="15.75" customHeight="1">
      <c r="A116" s="2"/>
      <c r="C116" s="2"/>
      <c r="G116" s="2"/>
      <c r="H116" s="2"/>
      <c r="N116" s="2"/>
    </row>
    <row r="117" ht="15.75" customHeight="1">
      <c r="A117" s="2"/>
      <c r="C117" s="2"/>
      <c r="G117" s="2"/>
      <c r="H117" s="2"/>
      <c r="N117" s="2"/>
    </row>
    <row r="118" ht="15.75" customHeight="1">
      <c r="A118" s="2"/>
      <c r="C118" s="2"/>
      <c r="G118" s="2"/>
      <c r="H118" s="2"/>
      <c r="N118" s="2"/>
    </row>
    <row r="119" ht="15.75" customHeight="1">
      <c r="A119" s="2"/>
      <c r="C119" s="2"/>
      <c r="G119" s="2"/>
      <c r="H119" s="2"/>
      <c r="N119" s="2"/>
    </row>
    <row r="120" ht="15.75" customHeight="1">
      <c r="A120" s="2"/>
      <c r="C120" s="2"/>
      <c r="G120" s="2"/>
      <c r="H120" s="2"/>
      <c r="N120" s="2"/>
    </row>
    <row r="121" ht="15.75" customHeight="1">
      <c r="A121" s="2"/>
      <c r="C121" s="2"/>
      <c r="G121" s="2"/>
      <c r="H121" s="2"/>
      <c r="N121" s="2"/>
    </row>
    <row r="122" ht="15.75" customHeight="1">
      <c r="A122" s="2"/>
      <c r="C122" s="2"/>
      <c r="G122" s="2"/>
      <c r="H122" s="2"/>
      <c r="N122" s="2"/>
    </row>
    <row r="123" ht="15.75" customHeight="1">
      <c r="A123" s="2"/>
      <c r="C123" s="2"/>
      <c r="G123" s="2"/>
      <c r="H123" s="2"/>
      <c r="N123" s="2"/>
    </row>
    <row r="124" ht="15.75" customHeight="1">
      <c r="A124" s="2"/>
      <c r="C124" s="2"/>
      <c r="G124" s="2"/>
      <c r="H124" s="2"/>
      <c r="N124" s="2"/>
    </row>
    <row r="125" ht="15.75" customHeight="1">
      <c r="A125" s="2"/>
      <c r="C125" s="2"/>
      <c r="G125" s="2"/>
      <c r="H125" s="2"/>
      <c r="N125" s="2"/>
    </row>
    <row r="126" ht="15.75" customHeight="1">
      <c r="A126" s="2"/>
      <c r="C126" s="2"/>
      <c r="G126" s="2"/>
      <c r="H126" s="2"/>
      <c r="N126" s="2"/>
    </row>
    <row r="127" ht="15.75" customHeight="1">
      <c r="A127" s="2"/>
      <c r="C127" s="2"/>
      <c r="G127" s="2"/>
      <c r="H127" s="2"/>
      <c r="N127" s="2"/>
    </row>
    <row r="128" ht="15.75" customHeight="1">
      <c r="A128" s="2"/>
      <c r="C128" s="2"/>
      <c r="G128" s="2"/>
      <c r="H128" s="2"/>
      <c r="N128" s="2"/>
    </row>
    <row r="129" ht="15.75" customHeight="1">
      <c r="A129" s="2"/>
      <c r="C129" s="2"/>
      <c r="G129" s="2"/>
      <c r="H129" s="2"/>
      <c r="N129" s="2"/>
    </row>
    <row r="130" ht="15.75" customHeight="1">
      <c r="A130" s="2"/>
      <c r="C130" s="2"/>
      <c r="G130" s="2"/>
      <c r="H130" s="2"/>
      <c r="N130" s="2"/>
    </row>
    <row r="131" ht="15.75" customHeight="1">
      <c r="A131" s="2"/>
      <c r="C131" s="2"/>
      <c r="G131" s="2"/>
      <c r="H131" s="2"/>
      <c r="N131" s="2"/>
    </row>
    <row r="132" ht="15.75" customHeight="1">
      <c r="A132" s="2"/>
      <c r="C132" s="2"/>
      <c r="G132" s="2"/>
      <c r="H132" s="2"/>
      <c r="N132" s="2"/>
    </row>
    <row r="133" ht="15.75" customHeight="1">
      <c r="A133" s="2"/>
      <c r="C133" s="2"/>
      <c r="G133" s="2"/>
      <c r="H133" s="2"/>
      <c r="N133" s="2"/>
    </row>
    <row r="134" ht="15.75" customHeight="1">
      <c r="A134" s="2"/>
      <c r="C134" s="2"/>
      <c r="G134" s="2"/>
      <c r="H134" s="2"/>
      <c r="N134" s="2"/>
    </row>
    <row r="135" ht="15.75" customHeight="1">
      <c r="A135" s="2"/>
      <c r="C135" s="2"/>
      <c r="G135" s="2"/>
      <c r="H135" s="2"/>
      <c r="N135" s="2"/>
    </row>
    <row r="136" ht="15.75" customHeight="1">
      <c r="A136" s="2"/>
      <c r="C136" s="2"/>
      <c r="G136" s="2"/>
      <c r="H136" s="2"/>
      <c r="N136" s="2"/>
    </row>
    <row r="137" ht="15.75" customHeight="1">
      <c r="A137" s="2"/>
      <c r="C137" s="2"/>
      <c r="G137" s="2"/>
      <c r="H137" s="2"/>
      <c r="N137" s="2"/>
    </row>
    <row r="138" ht="15.75" customHeight="1">
      <c r="A138" s="2"/>
      <c r="C138" s="2"/>
      <c r="G138" s="2"/>
      <c r="H138" s="2"/>
      <c r="N138" s="2"/>
    </row>
    <row r="139" ht="15.75" customHeight="1">
      <c r="A139" s="2"/>
      <c r="C139" s="2"/>
      <c r="G139" s="2"/>
      <c r="H139" s="2"/>
      <c r="N139" s="2"/>
    </row>
    <row r="140" ht="15.75" customHeight="1">
      <c r="A140" s="2"/>
      <c r="C140" s="2"/>
      <c r="G140" s="2"/>
      <c r="H140" s="2"/>
      <c r="N140" s="2"/>
    </row>
    <row r="141" ht="15.75" customHeight="1">
      <c r="A141" s="2"/>
      <c r="C141" s="2"/>
      <c r="G141" s="2"/>
      <c r="H141" s="2"/>
      <c r="N141" s="2"/>
    </row>
    <row r="142" ht="15.75" customHeight="1">
      <c r="A142" s="2"/>
      <c r="C142" s="2"/>
      <c r="G142" s="2"/>
      <c r="H142" s="2"/>
      <c r="N142" s="2"/>
    </row>
    <row r="143" ht="15.75" customHeight="1">
      <c r="A143" s="2"/>
      <c r="C143" s="2"/>
      <c r="G143" s="2"/>
      <c r="H143" s="2"/>
      <c r="N143" s="2"/>
    </row>
    <row r="144" ht="15.75" customHeight="1">
      <c r="A144" s="2"/>
      <c r="C144" s="2"/>
      <c r="G144" s="2"/>
      <c r="H144" s="2"/>
      <c r="N144" s="2"/>
    </row>
    <row r="145" ht="15.75" customHeight="1">
      <c r="A145" s="2"/>
      <c r="C145" s="2"/>
      <c r="G145" s="2"/>
      <c r="H145" s="2"/>
      <c r="N145" s="2"/>
    </row>
    <row r="146" ht="15.75" customHeight="1">
      <c r="A146" s="2"/>
      <c r="C146" s="2"/>
      <c r="G146" s="2"/>
      <c r="H146" s="2"/>
      <c r="N146" s="2"/>
    </row>
    <row r="147" ht="15.75" customHeight="1">
      <c r="A147" s="2"/>
      <c r="C147" s="2"/>
      <c r="G147" s="2"/>
      <c r="H147" s="2"/>
      <c r="N147" s="2"/>
    </row>
    <row r="148" ht="15.75" customHeight="1">
      <c r="A148" s="2"/>
      <c r="C148" s="2"/>
      <c r="G148" s="2"/>
      <c r="H148" s="2"/>
      <c r="N148" s="2"/>
    </row>
    <row r="149" ht="15.75" customHeight="1">
      <c r="A149" s="2"/>
      <c r="C149" s="2"/>
      <c r="G149" s="2"/>
      <c r="H149" s="2"/>
      <c r="N149" s="2"/>
    </row>
    <row r="150" ht="15.75" customHeight="1">
      <c r="A150" s="2"/>
      <c r="C150" s="2"/>
      <c r="G150" s="2"/>
      <c r="H150" s="2"/>
      <c r="N150" s="2"/>
    </row>
    <row r="151" ht="15.75" customHeight="1">
      <c r="A151" s="2"/>
      <c r="C151" s="2"/>
      <c r="G151" s="2"/>
      <c r="H151" s="2"/>
      <c r="N151" s="2"/>
    </row>
    <row r="152" ht="15.75" customHeight="1">
      <c r="A152" s="2"/>
      <c r="C152" s="2"/>
      <c r="G152" s="2"/>
      <c r="H152" s="2"/>
      <c r="N152" s="2"/>
    </row>
    <row r="153" ht="15.75" customHeight="1">
      <c r="A153" s="2"/>
      <c r="C153" s="2"/>
      <c r="G153" s="2"/>
      <c r="H153" s="2"/>
      <c r="N153" s="2"/>
    </row>
    <row r="154" ht="15.75" customHeight="1">
      <c r="A154" s="2"/>
      <c r="C154" s="2"/>
      <c r="G154" s="2"/>
      <c r="H154" s="2"/>
      <c r="N154" s="2"/>
    </row>
    <row r="155" ht="15.75" customHeight="1">
      <c r="A155" s="2"/>
      <c r="C155" s="2"/>
      <c r="G155" s="2"/>
      <c r="H155" s="2"/>
      <c r="N155" s="2"/>
    </row>
    <row r="156" ht="15.75" customHeight="1">
      <c r="A156" s="2"/>
      <c r="C156" s="2"/>
      <c r="G156" s="2"/>
      <c r="H156" s="2"/>
      <c r="N156" s="2"/>
    </row>
    <row r="157" ht="15.75" customHeight="1">
      <c r="A157" s="2"/>
      <c r="C157" s="2"/>
      <c r="G157" s="2"/>
      <c r="H157" s="2"/>
      <c r="N157" s="2"/>
    </row>
    <row r="158" ht="15.75" customHeight="1">
      <c r="A158" s="2"/>
      <c r="C158" s="2"/>
      <c r="G158" s="2"/>
      <c r="H158" s="2"/>
      <c r="N158" s="2"/>
    </row>
    <row r="159" ht="15.75" customHeight="1">
      <c r="A159" s="2"/>
      <c r="C159" s="2"/>
      <c r="G159" s="2"/>
      <c r="H159" s="2"/>
      <c r="N159" s="2"/>
    </row>
    <row r="160" ht="15.75" customHeight="1">
      <c r="A160" s="2"/>
      <c r="C160" s="2"/>
      <c r="G160" s="2"/>
      <c r="H160" s="2"/>
      <c r="N160" s="2"/>
    </row>
    <row r="161" ht="15.75" customHeight="1">
      <c r="A161" s="2"/>
      <c r="C161" s="2"/>
      <c r="G161" s="2"/>
      <c r="H161" s="2"/>
      <c r="N161" s="2"/>
    </row>
    <row r="162" ht="15.75" customHeight="1">
      <c r="A162" s="2"/>
      <c r="C162" s="2"/>
      <c r="G162" s="2"/>
      <c r="H162" s="2"/>
      <c r="N162" s="2"/>
    </row>
    <row r="163" ht="15.75" customHeight="1">
      <c r="A163" s="2"/>
      <c r="C163" s="2"/>
      <c r="G163" s="2"/>
      <c r="H163" s="2"/>
      <c r="N163" s="2"/>
    </row>
    <row r="164" ht="15.75" customHeight="1">
      <c r="A164" s="2"/>
      <c r="C164" s="2"/>
      <c r="G164" s="2"/>
      <c r="H164" s="2"/>
      <c r="N164" s="2"/>
    </row>
    <row r="165" ht="15.75" customHeight="1">
      <c r="A165" s="2"/>
      <c r="C165" s="2"/>
      <c r="G165" s="2"/>
      <c r="H165" s="2"/>
      <c r="N165" s="2"/>
    </row>
    <row r="166" ht="15.75" customHeight="1">
      <c r="A166" s="2"/>
      <c r="C166" s="2"/>
      <c r="G166" s="2"/>
      <c r="H166" s="2"/>
      <c r="N166" s="2"/>
    </row>
    <row r="167" ht="15.75" customHeight="1">
      <c r="A167" s="2"/>
      <c r="C167" s="2"/>
      <c r="G167" s="2"/>
      <c r="H167" s="2"/>
      <c r="N167" s="2"/>
    </row>
    <row r="168" ht="15.75" customHeight="1">
      <c r="A168" s="2"/>
      <c r="C168" s="2"/>
      <c r="G168" s="2"/>
      <c r="H168" s="2"/>
      <c r="N168" s="2"/>
    </row>
    <row r="169" ht="15.75" customHeight="1">
      <c r="A169" s="2"/>
      <c r="C169" s="2"/>
      <c r="G169" s="2"/>
      <c r="H169" s="2"/>
      <c r="N169" s="2"/>
    </row>
    <row r="170" ht="15.75" customHeight="1">
      <c r="A170" s="2"/>
      <c r="C170" s="2"/>
      <c r="G170" s="2"/>
      <c r="H170" s="2"/>
      <c r="N170" s="2"/>
    </row>
    <row r="171" ht="15.75" customHeight="1">
      <c r="A171" s="2"/>
      <c r="C171" s="2"/>
      <c r="G171" s="2"/>
      <c r="H171" s="2"/>
      <c r="N171" s="2"/>
    </row>
    <row r="172" ht="15.75" customHeight="1">
      <c r="A172" s="2"/>
      <c r="C172" s="2"/>
      <c r="G172" s="2"/>
      <c r="H172" s="2"/>
      <c r="N172" s="2"/>
    </row>
    <row r="173" ht="15.75" customHeight="1">
      <c r="A173" s="2"/>
      <c r="C173" s="2"/>
      <c r="G173" s="2"/>
      <c r="H173" s="2"/>
      <c r="N173" s="2"/>
    </row>
    <row r="174" ht="15.75" customHeight="1">
      <c r="A174" s="2"/>
      <c r="C174" s="2"/>
      <c r="G174" s="2"/>
      <c r="H174" s="2"/>
      <c r="N174" s="2"/>
    </row>
    <row r="175" ht="15.75" customHeight="1">
      <c r="A175" s="2"/>
      <c r="C175" s="2"/>
      <c r="G175" s="2"/>
      <c r="H175" s="2"/>
      <c r="N175" s="2"/>
    </row>
    <row r="176" ht="15.75" customHeight="1">
      <c r="A176" s="2"/>
      <c r="C176" s="2"/>
      <c r="G176" s="2"/>
      <c r="H176" s="2"/>
      <c r="N176" s="2"/>
    </row>
    <row r="177" ht="15.75" customHeight="1">
      <c r="A177" s="2"/>
      <c r="C177" s="2"/>
      <c r="G177" s="2"/>
      <c r="H177" s="2"/>
      <c r="N177" s="2"/>
    </row>
    <row r="178" ht="15.75" customHeight="1">
      <c r="A178" s="2"/>
      <c r="C178" s="2"/>
      <c r="G178" s="2"/>
      <c r="H178" s="2"/>
      <c r="N178" s="2"/>
    </row>
    <row r="179" ht="15.75" customHeight="1">
      <c r="A179" s="2"/>
      <c r="C179" s="2"/>
      <c r="G179" s="2"/>
      <c r="H179" s="2"/>
      <c r="N179" s="2"/>
    </row>
    <row r="180" ht="15.75" customHeight="1">
      <c r="A180" s="2"/>
      <c r="C180" s="2"/>
      <c r="G180" s="2"/>
      <c r="H180" s="2"/>
      <c r="N180" s="2"/>
    </row>
    <row r="181" ht="15.75" customHeight="1">
      <c r="A181" s="2"/>
      <c r="C181" s="2"/>
      <c r="G181" s="2"/>
      <c r="H181" s="2"/>
      <c r="N181" s="2"/>
    </row>
    <row r="182" ht="15.75" customHeight="1">
      <c r="A182" s="2"/>
      <c r="C182" s="2"/>
      <c r="G182" s="2"/>
      <c r="H182" s="2"/>
      <c r="N182" s="2"/>
    </row>
    <row r="183" ht="15.75" customHeight="1">
      <c r="A183" s="2"/>
      <c r="C183" s="2"/>
      <c r="G183" s="2"/>
      <c r="H183" s="2"/>
      <c r="N183" s="2"/>
    </row>
    <row r="184" ht="15.75" customHeight="1">
      <c r="A184" s="2"/>
      <c r="C184" s="2"/>
      <c r="G184" s="2"/>
      <c r="H184" s="2"/>
      <c r="N184" s="2"/>
    </row>
    <row r="185" ht="15.75" customHeight="1">
      <c r="A185" s="2"/>
      <c r="C185" s="2"/>
      <c r="G185" s="2"/>
      <c r="H185" s="2"/>
      <c r="N185" s="2"/>
    </row>
    <row r="186" ht="15.75" customHeight="1">
      <c r="A186" s="2"/>
      <c r="C186" s="2"/>
      <c r="G186" s="2"/>
      <c r="H186" s="2"/>
      <c r="N186" s="2"/>
    </row>
    <row r="187" ht="15.75" customHeight="1">
      <c r="A187" s="2"/>
      <c r="C187" s="2"/>
      <c r="G187" s="2"/>
      <c r="H187" s="2"/>
      <c r="N187" s="2"/>
    </row>
    <row r="188" ht="15.75" customHeight="1">
      <c r="A188" s="2"/>
      <c r="C188" s="2"/>
      <c r="G188" s="2"/>
      <c r="H188" s="2"/>
      <c r="N188" s="2"/>
    </row>
    <row r="189" ht="15.75" customHeight="1">
      <c r="A189" s="2"/>
      <c r="C189" s="2"/>
      <c r="G189" s="2"/>
      <c r="H189" s="2"/>
      <c r="N189" s="2"/>
    </row>
    <row r="190" ht="15.75" customHeight="1">
      <c r="A190" s="2"/>
      <c r="C190" s="2"/>
      <c r="G190" s="2"/>
      <c r="H190" s="2"/>
      <c r="N190" s="2"/>
    </row>
    <row r="191" ht="15.75" customHeight="1">
      <c r="A191" s="2"/>
      <c r="C191" s="2"/>
      <c r="G191" s="2"/>
      <c r="H191" s="2"/>
      <c r="N191" s="2"/>
    </row>
    <row r="192" ht="15.75" customHeight="1">
      <c r="A192" s="2"/>
      <c r="C192" s="2"/>
      <c r="G192" s="2"/>
      <c r="H192" s="2"/>
      <c r="N192" s="2"/>
    </row>
    <row r="193" ht="15.75" customHeight="1">
      <c r="A193" s="2"/>
      <c r="C193" s="2"/>
      <c r="G193" s="2"/>
      <c r="H193" s="2"/>
      <c r="N193" s="2"/>
    </row>
    <row r="194" ht="15.75" customHeight="1">
      <c r="A194" s="2"/>
      <c r="C194" s="2"/>
      <c r="G194" s="2"/>
      <c r="H194" s="2"/>
      <c r="N194" s="2"/>
    </row>
    <row r="195" ht="15.75" customHeight="1">
      <c r="A195" s="2"/>
      <c r="C195" s="2"/>
      <c r="G195" s="2"/>
      <c r="H195" s="2"/>
      <c r="N195" s="2"/>
    </row>
    <row r="196" ht="15.75" customHeight="1">
      <c r="A196" s="2"/>
      <c r="C196" s="2"/>
      <c r="G196" s="2"/>
      <c r="H196" s="2"/>
      <c r="N196" s="2"/>
    </row>
    <row r="197" ht="15.75" customHeight="1">
      <c r="A197" s="2"/>
      <c r="C197" s="2"/>
      <c r="G197" s="2"/>
      <c r="H197" s="2"/>
      <c r="N197" s="2"/>
    </row>
    <row r="198" ht="15.75" customHeight="1">
      <c r="A198" s="2"/>
      <c r="C198" s="2"/>
      <c r="G198" s="2"/>
      <c r="H198" s="2"/>
      <c r="N198" s="2"/>
    </row>
    <row r="199" ht="15.75" customHeight="1">
      <c r="A199" s="2"/>
      <c r="C199" s="2"/>
      <c r="G199" s="2"/>
      <c r="H199" s="2"/>
      <c r="N199" s="2"/>
    </row>
    <row r="200" ht="15.75" customHeight="1">
      <c r="A200" s="2"/>
      <c r="C200" s="2"/>
      <c r="G200" s="2"/>
      <c r="H200" s="2"/>
      <c r="N200" s="2"/>
    </row>
    <row r="201" ht="15.75" customHeight="1">
      <c r="A201" s="2"/>
      <c r="C201" s="2"/>
      <c r="G201" s="2"/>
      <c r="H201" s="2"/>
      <c r="N201" s="2"/>
    </row>
    <row r="202" ht="15.75" customHeight="1">
      <c r="A202" s="2"/>
      <c r="C202" s="2"/>
      <c r="G202" s="2"/>
      <c r="H202" s="2"/>
      <c r="N202" s="2"/>
    </row>
    <row r="203" ht="15.75" customHeight="1">
      <c r="A203" s="2"/>
      <c r="C203" s="2"/>
      <c r="G203" s="2"/>
      <c r="H203" s="2"/>
      <c r="N203" s="2"/>
    </row>
    <row r="204" ht="15.75" customHeight="1">
      <c r="A204" s="2"/>
      <c r="C204" s="2"/>
      <c r="G204" s="2"/>
      <c r="H204" s="2"/>
      <c r="N204" s="2"/>
    </row>
    <row r="205" ht="15.75" customHeight="1">
      <c r="A205" s="2"/>
      <c r="C205" s="2"/>
      <c r="G205" s="2"/>
      <c r="H205" s="2"/>
      <c r="N205" s="2"/>
    </row>
    <row r="206" ht="15.75" customHeight="1">
      <c r="A206" s="2"/>
      <c r="C206" s="2"/>
      <c r="G206" s="2"/>
      <c r="H206" s="2"/>
      <c r="N206" s="2"/>
    </row>
    <row r="207" ht="15.75" customHeight="1">
      <c r="A207" s="2"/>
      <c r="C207" s="2"/>
      <c r="G207" s="2"/>
      <c r="H207" s="2"/>
      <c r="N207" s="2"/>
    </row>
    <row r="208" ht="15.75" customHeight="1">
      <c r="A208" s="2"/>
      <c r="C208" s="2"/>
      <c r="G208" s="2"/>
      <c r="H208" s="2"/>
      <c r="N208" s="2"/>
    </row>
    <row r="209" ht="15.75" customHeight="1">
      <c r="A209" s="2"/>
      <c r="C209" s="2"/>
      <c r="G209" s="2"/>
      <c r="H209" s="2"/>
      <c r="N209" s="2"/>
    </row>
    <row r="210" ht="15.75" customHeight="1">
      <c r="A210" s="2"/>
      <c r="C210" s="2"/>
      <c r="G210" s="2"/>
      <c r="H210" s="2"/>
      <c r="N210" s="2"/>
    </row>
    <row r="211" ht="15.75" customHeight="1">
      <c r="A211" s="2"/>
      <c r="C211" s="2"/>
      <c r="G211" s="2"/>
      <c r="H211" s="2"/>
      <c r="N211" s="2"/>
    </row>
    <row r="212" ht="15.75" customHeight="1">
      <c r="A212" s="2"/>
      <c r="C212" s="2"/>
      <c r="G212" s="2"/>
      <c r="H212" s="2"/>
      <c r="N212" s="2"/>
    </row>
    <row r="213" ht="15.75" customHeight="1">
      <c r="A213" s="2"/>
      <c r="C213" s="2"/>
      <c r="G213" s="2"/>
      <c r="H213" s="2"/>
      <c r="N213" s="2"/>
    </row>
    <row r="214" ht="15.75" customHeight="1">
      <c r="A214" s="2"/>
      <c r="C214" s="2"/>
      <c r="G214" s="2"/>
      <c r="H214" s="2"/>
      <c r="N214" s="2"/>
    </row>
    <row r="215" ht="15.75" customHeight="1">
      <c r="A215" s="2"/>
      <c r="C215" s="2"/>
      <c r="G215" s="2"/>
      <c r="H215" s="2"/>
      <c r="N215" s="2"/>
    </row>
    <row r="216" ht="15.75" customHeight="1">
      <c r="A216" s="2"/>
      <c r="C216" s="2"/>
      <c r="G216" s="2"/>
      <c r="H216" s="2"/>
      <c r="N216" s="2"/>
    </row>
    <row r="217" ht="15.75" customHeight="1">
      <c r="A217" s="2"/>
      <c r="C217" s="2"/>
      <c r="G217" s="2"/>
      <c r="H217" s="2"/>
      <c r="N217" s="2"/>
    </row>
    <row r="218" ht="15.75" customHeight="1">
      <c r="A218" s="2"/>
      <c r="C218" s="2"/>
      <c r="G218" s="2"/>
      <c r="H218" s="2"/>
      <c r="N218" s="2"/>
    </row>
    <row r="219" ht="15.75" customHeight="1">
      <c r="A219" s="2"/>
      <c r="C219" s="2"/>
      <c r="G219" s="2"/>
      <c r="H219" s="2"/>
      <c r="N219" s="2"/>
    </row>
    <row r="220" ht="15.75" customHeight="1">
      <c r="A220" s="2"/>
      <c r="C220" s="2"/>
      <c r="G220" s="2"/>
      <c r="H220" s="2"/>
      <c r="N220" s="2"/>
    </row>
    <row r="221" ht="15.75" customHeight="1">
      <c r="A221" s="2"/>
      <c r="C221" s="2"/>
      <c r="G221" s="2"/>
      <c r="H221" s="2"/>
      <c r="N221" s="2"/>
    </row>
    <row r="222" ht="15.75" customHeight="1">
      <c r="A222" s="2"/>
      <c r="C222" s="2"/>
      <c r="G222" s="2"/>
      <c r="H222" s="2"/>
      <c r="N222" s="2"/>
    </row>
    <row r="223" ht="15.75" customHeight="1">
      <c r="A223" s="2"/>
      <c r="C223" s="2"/>
      <c r="G223" s="2"/>
      <c r="H223" s="2"/>
      <c r="N223" s="2"/>
    </row>
    <row r="224" ht="15.75" customHeight="1">
      <c r="A224" s="2"/>
      <c r="C224" s="2"/>
      <c r="G224" s="2"/>
      <c r="H224" s="2"/>
      <c r="N224" s="2"/>
    </row>
    <row r="225" ht="15.75" customHeight="1">
      <c r="A225" s="2"/>
      <c r="C225" s="2"/>
      <c r="G225" s="2"/>
      <c r="H225" s="2"/>
      <c r="N225" s="2"/>
    </row>
    <row r="226" ht="15.75" customHeight="1">
      <c r="A226" s="2"/>
      <c r="C226" s="2"/>
      <c r="G226" s="2"/>
      <c r="H226" s="2"/>
      <c r="N226" s="2"/>
    </row>
    <row r="227" ht="15.75" customHeight="1">
      <c r="A227" s="2"/>
      <c r="C227" s="2"/>
      <c r="G227" s="2"/>
      <c r="H227" s="2"/>
      <c r="N227" s="2"/>
    </row>
    <row r="228" ht="15.75" customHeight="1">
      <c r="A228" s="2"/>
      <c r="C228" s="2"/>
      <c r="G228" s="2"/>
      <c r="H228" s="2"/>
      <c r="N228" s="2"/>
    </row>
    <row r="229" ht="15.75" customHeight="1">
      <c r="A229" s="2"/>
      <c r="C229" s="2"/>
      <c r="G229" s="2"/>
      <c r="H229" s="2"/>
      <c r="N229" s="2"/>
    </row>
    <row r="230" ht="15.75" customHeight="1">
      <c r="A230" s="2"/>
      <c r="C230" s="2"/>
      <c r="G230" s="2"/>
      <c r="H230" s="2"/>
      <c r="N230" s="2"/>
    </row>
    <row r="231" ht="15.75" customHeight="1">
      <c r="A231" s="2"/>
      <c r="C231" s="2"/>
      <c r="G231" s="2"/>
      <c r="H231" s="2"/>
      <c r="N231" s="2"/>
    </row>
    <row r="232" ht="15.75" customHeight="1">
      <c r="A232" s="2"/>
      <c r="C232" s="2"/>
      <c r="G232" s="2"/>
      <c r="H232" s="2"/>
      <c r="N232" s="2"/>
    </row>
    <row r="233" ht="15.75" customHeight="1">
      <c r="A233" s="2"/>
      <c r="C233" s="2"/>
      <c r="G233" s="2"/>
      <c r="H233" s="2"/>
      <c r="N233" s="2"/>
    </row>
    <row r="234" ht="15.75" customHeight="1">
      <c r="A234" s="2"/>
      <c r="C234" s="2"/>
      <c r="G234" s="2"/>
      <c r="H234" s="2"/>
      <c r="N234" s="2"/>
    </row>
    <row r="235" ht="15.75" customHeight="1">
      <c r="A235" s="2"/>
      <c r="C235" s="2"/>
      <c r="G235" s="2"/>
      <c r="H235" s="2"/>
      <c r="N235" s="2"/>
    </row>
    <row r="236" ht="15.75" customHeight="1">
      <c r="A236" s="2"/>
      <c r="C236" s="2"/>
      <c r="G236" s="2"/>
      <c r="H236" s="2"/>
      <c r="N236" s="2"/>
    </row>
    <row r="237" ht="15.75" customHeight="1">
      <c r="A237" s="2"/>
      <c r="C237" s="2"/>
      <c r="G237" s="2"/>
      <c r="H237" s="2"/>
      <c r="N237" s="2"/>
    </row>
    <row r="238" ht="15.75" customHeight="1">
      <c r="A238" s="2"/>
      <c r="C238" s="2"/>
      <c r="G238" s="2"/>
      <c r="H238" s="2"/>
      <c r="N238" s="2"/>
    </row>
    <row r="239" ht="15.75" customHeight="1">
      <c r="A239" s="2"/>
      <c r="C239" s="2"/>
      <c r="G239" s="2"/>
      <c r="H239" s="2"/>
      <c r="N239" s="2"/>
    </row>
    <row r="240" ht="15.75" customHeight="1">
      <c r="A240" s="2"/>
      <c r="C240" s="2"/>
      <c r="G240" s="2"/>
      <c r="H240" s="2"/>
      <c r="N240" s="2"/>
    </row>
    <row r="241" ht="15.75" customHeight="1">
      <c r="A241" s="2"/>
      <c r="C241" s="2"/>
      <c r="G241" s="2"/>
      <c r="H241" s="2"/>
      <c r="N241" s="2"/>
    </row>
    <row r="242" ht="15.75" customHeight="1">
      <c r="A242" s="2"/>
      <c r="C242" s="2"/>
      <c r="G242" s="2"/>
      <c r="H242" s="2"/>
      <c r="N242" s="2"/>
    </row>
    <row r="243" ht="15.75" customHeight="1">
      <c r="A243" s="2"/>
      <c r="C243" s="2"/>
      <c r="G243" s="2"/>
      <c r="H243" s="2"/>
      <c r="N243" s="2"/>
    </row>
    <row r="244" ht="15.75" customHeight="1">
      <c r="A244" s="2"/>
      <c r="C244" s="2"/>
      <c r="G244" s="2"/>
      <c r="H244" s="2"/>
      <c r="N244" s="2"/>
    </row>
    <row r="245" ht="15.75" customHeight="1">
      <c r="A245" s="2"/>
      <c r="C245" s="2"/>
      <c r="G245" s="2"/>
      <c r="H245" s="2"/>
      <c r="N245" s="2"/>
    </row>
    <row r="246" ht="15.75" customHeight="1">
      <c r="A246" s="2"/>
      <c r="C246" s="2"/>
      <c r="G246" s="2"/>
      <c r="H246" s="2"/>
      <c r="N246" s="2"/>
    </row>
    <row r="247" ht="15.75" customHeight="1">
      <c r="A247" s="2"/>
      <c r="C247" s="2"/>
      <c r="G247" s="2"/>
      <c r="H247" s="2"/>
      <c r="N247" s="2"/>
    </row>
    <row r="248" ht="15.75" customHeight="1">
      <c r="A248" s="2"/>
      <c r="C248" s="2"/>
      <c r="G248" s="2"/>
      <c r="H248" s="2"/>
      <c r="N248" s="2"/>
    </row>
    <row r="249" ht="15.75" customHeight="1">
      <c r="A249" s="2"/>
      <c r="C249" s="2"/>
      <c r="G249" s="2"/>
      <c r="H249" s="2"/>
      <c r="N249" s="2"/>
    </row>
    <row r="250" ht="15.75" customHeight="1">
      <c r="A250" s="2"/>
      <c r="C250" s="2"/>
      <c r="G250" s="2"/>
      <c r="H250" s="2"/>
      <c r="N250" s="2"/>
    </row>
    <row r="251" ht="15.75" customHeight="1">
      <c r="A251" s="2"/>
      <c r="C251" s="2"/>
      <c r="G251" s="2"/>
      <c r="H251" s="2"/>
      <c r="N251" s="2"/>
    </row>
    <row r="252" ht="15.75" customHeight="1">
      <c r="A252" s="2"/>
      <c r="C252" s="2"/>
      <c r="G252" s="2"/>
      <c r="H252" s="2"/>
      <c r="N252" s="2"/>
    </row>
    <row r="253" ht="15.75" customHeight="1">
      <c r="A253" s="2"/>
      <c r="C253" s="2"/>
      <c r="G253" s="2"/>
      <c r="H253" s="2"/>
      <c r="N253" s="2"/>
    </row>
    <row r="254" ht="15.75" customHeight="1">
      <c r="A254" s="2"/>
      <c r="C254" s="2"/>
      <c r="G254" s="2"/>
      <c r="H254" s="2"/>
      <c r="N254" s="2"/>
    </row>
    <row r="255" ht="15.75" customHeight="1">
      <c r="A255" s="2"/>
      <c r="C255" s="2"/>
      <c r="G255" s="2"/>
      <c r="H255" s="2"/>
      <c r="N255" s="2"/>
    </row>
    <row r="256" ht="15.75" customHeight="1">
      <c r="A256" s="2"/>
      <c r="C256" s="2"/>
      <c r="G256" s="2"/>
      <c r="H256" s="2"/>
      <c r="N256" s="2"/>
    </row>
    <row r="257" ht="15.75" customHeight="1">
      <c r="A257" s="2"/>
      <c r="C257" s="2"/>
      <c r="G257" s="2"/>
      <c r="H257" s="2"/>
      <c r="N257" s="2"/>
    </row>
    <row r="258" ht="15.75" customHeight="1">
      <c r="A258" s="2"/>
      <c r="C258" s="2"/>
      <c r="G258" s="2"/>
      <c r="H258" s="2"/>
      <c r="N258" s="2"/>
    </row>
    <row r="259" ht="15.75" customHeight="1">
      <c r="A259" s="2"/>
      <c r="C259" s="2"/>
      <c r="G259" s="2"/>
      <c r="H259" s="2"/>
      <c r="N259" s="2"/>
    </row>
    <row r="260" ht="15.75" customHeight="1">
      <c r="A260" s="2"/>
      <c r="C260" s="2"/>
      <c r="G260" s="2"/>
      <c r="H260" s="2"/>
      <c r="N260" s="2"/>
    </row>
    <row r="261" ht="15.75" customHeight="1">
      <c r="A261" s="2"/>
      <c r="C261" s="2"/>
      <c r="G261" s="2"/>
      <c r="H261" s="2"/>
      <c r="N261" s="2"/>
    </row>
    <row r="262" ht="15.75" customHeight="1">
      <c r="A262" s="2"/>
      <c r="C262" s="2"/>
      <c r="G262" s="2"/>
      <c r="H262" s="2"/>
      <c r="N262" s="2"/>
    </row>
    <row r="263" ht="15.75" customHeight="1">
      <c r="A263" s="2"/>
      <c r="C263" s="2"/>
      <c r="G263" s="2"/>
      <c r="H263" s="2"/>
      <c r="N263" s="2"/>
    </row>
    <row r="264" ht="15.75" customHeight="1">
      <c r="A264" s="2"/>
      <c r="C264" s="2"/>
      <c r="G264" s="2"/>
      <c r="H264" s="2"/>
      <c r="N264" s="2"/>
    </row>
    <row r="265" ht="15.75" customHeight="1">
      <c r="A265" s="2"/>
      <c r="C265" s="2"/>
      <c r="G265" s="2"/>
      <c r="H265" s="2"/>
      <c r="N265" s="2"/>
    </row>
    <row r="266" ht="15.75" customHeight="1">
      <c r="A266" s="2"/>
      <c r="C266" s="2"/>
      <c r="G266" s="2"/>
      <c r="H266" s="2"/>
      <c r="N266" s="2"/>
    </row>
    <row r="267" ht="15.75" customHeight="1">
      <c r="A267" s="2"/>
      <c r="C267" s="2"/>
      <c r="G267" s="2"/>
      <c r="H267" s="2"/>
      <c r="N267" s="2"/>
    </row>
    <row r="268" ht="15.75" customHeight="1">
      <c r="A268" s="2"/>
      <c r="C268" s="2"/>
      <c r="G268" s="2"/>
      <c r="H268" s="2"/>
      <c r="N268" s="2"/>
    </row>
    <row r="269" ht="15.75" customHeight="1">
      <c r="A269" s="2"/>
      <c r="C269" s="2"/>
      <c r="G269" s="2"/>
      <c r="H269" s="2"/>
      <c r="N269" s="2"/>
    </row>
    <row r="270" ht="15.75" customHeight="1">
      <c r="A270" s="2"/>
      <c r="C270" s="2"/>
      <c r="G270" s="2"/>
      <c r="H270" s="2"/>
      <c r="N270" s="2"/>
    </row>
    <row r="271" ht="15.75" customHeight="1">
      <c r="A271" s="2"/>
      <c r="C271" s="2"/>
      <c r="G271" s="2"/>
      <c r="H271" s="2"/>
      <c r="N271" s="2"/>
    </row>
    <row r="272" ht="15.75" customHeight="1">
      <c r="A272" s="2"/>
      <c r="C272" s="2"/>
      <c r="G272" s="2"/>
      <c r="H272" s="2"/>
      <c r="N272" s="2"/>
    </row>
    <row r="273" ht="15.75" customHeight="1">
      <c r="A273" s="2"/>
      <c r="C273" s="2"/>
      <c r="G273" s="2"/>
      <c r="H273" s="2"/>
      <c r="N273" s="2"/>
    </row>
    <row r="274" ht="15.75" customHeight="1">
      <c r="A274" s="2"/>
      <c r="C274" s="2"/>
      <c r="G274" s="2"/>
      <c r="H274" s="2"/>
      <c r="N274" s="2"/>
    </row>
    <row r="275" ht="15.75" customHeight="1">
      <c r="A275" s="2"/>
      <c r="C275" s="2"/>
      <c r="G275" s="2"/>
      <c r="H275" s="2"/>
      <c r="N275" s="2"/>
    </row>
    <row r="276" ht="15.75" customHeight="1">
      <c r="A276" s="2"/>
      <c r="C276" s="2"/>
      <c r="G276" s="2"/>
      <c r="H276" s="2"/>
      <c r="N276" s="2"/>
    </row>
    <row r="277" ht="15.75" customHeight="1">
      <c r="A277" s="2"/>
      <c r="C277" s="2"/>
      <c r="G277" s="2"/>
      <c r="H277" s="2"/>
      <c r="N277" s="2"/>
    </row>
    <row r="278" ht="15.75" customHeight="1">
      <c r="A278" s="2"/>
      <c r="C278" s="2"/>
      <c r="G278" s="2"/>
      <c r="H278" s="2"/>
      <c r="N278" s="2"/>
    </row>
    <row r="279" ht="15.75" customHeight="1">
      <c r="A279" s="2"/>
      <c r="C279" s="2"/>
      <c r="G279" s="2"/>
      <c r="H279" s="2"/>
      <c r="N279" s="2"/>
    </row>
    <row r="280" ht="15.75" customHeight="1">
      <c r="A280" s="2"/>
      <c r="C280" s="2"/>
      <c r="G280" s="2"/>
      <c r="H280" s="2"/>
      <c r="N280" s="2"/>
    </row>
    <row r="281" ht="15.75" customHeight="1">
      <c r="A281" s="2"/>
      <c r="C281" s="2"/>
      <c r="G281" s="2"/>
      <c r="H281" s="2"/>
      <c r="N281" s="2"/>
    </row>
    <row r="282" ht="15.75" customHeight="1">
      <c r="A282" s="2"/>
      <c r="C282" s="2"/>
      <c r="G282" s="2"/>
      <c r="H282" s="2"/>
      <c r="N282" s="2"/>
    </row>
    <row r="283" ht="15.75" customHeight="1">
      <c r="A283" s="2"/>
      <c r="C283" s="2"/>
      <c r="G283" s="2"/>
      <c r="H283" s="2"/>
      <c r="N283" s="2"/>
    </row>
    <row r="284" ht="15.75" customHeight="1">
      <c r="A284" s="2"/>
      <c r="C284" s="2"/>
      <c r="G284" s="2"/>
      <c r="H284" s="2"/>
      <c r="N284" s="2"/>
    </row>
    <row r="285" ht="15.75" customHeight="1">
      <c r="A285" s="2"/>
      <c r="C285" s="2"/>
      <c r="G285" s="2"/>
      <c r="H285" s="2"/>
      <c r="N285" s="2"/>
    </row>
    <row r="286" ht="15.75" customHeight="1">
      <c r="A286" s="2"/>
      <c r="C286" s="2"/>
      <c r="G286" s="2"/>
      <c r="H286" s="2"/>
      <c r="N286" s="2"/>
    </row>
    <row r="287" ht="15.75" customHeight="1">
      <c r="A287" s="2"/>
      <c r="C287" s="2"/>
      <c r="G287" s="2"/>
      <c r="H287" s="2"/>
      <c r="N287" s="2"/>
    </row>
    <row r="288" ht="15.75" customHeight="1">
      <c r="A288" s="2"/>
      <c r="C288" s="2"/>
      <c r="G288" s="2"/>
      <c r="H288" s="2"/>
      <c r="N288" s="2"/>
    </row>
    <row r="289" ht="15.75" customHeight="1">
      <c r="A289" s="2"/>
      <c r="C289" s="2"/>
      <c r="G289" s="2"/>
      <c r="H289" s="2"/>
      <c r="N289" s="2"/>
    </row>
    <row r="290" ht="15.75" customHeight="1">
      <c r="A290" s="2"/>
      <c r="C290" s="2"/>
      <c r="G290" s="2"/>
      <c r="H290" s="2"/>
      <c r="N290" s="2"/>
    </row>
    <row r="291" ht="15.75" customHeight="1">
      <c r="A291" s="2"/>
      <c r="C291" s="2"/>
      <c r="G291" s="2"/>
      <c r="H291" s="2"/>
      <c r="N291" s="2"/>
    </row>
    <row r="292" ht="15.75" customHeight="1">
      <c r="A292" s="2"/>
      <c r="C292" s="2"/>
      <c r="G292" s="2"/>
      <c r="H292" s="2"/>
      <c r="N292" s="2"/>
    </row>
    <row r="293" ht="15.75" customHeight="1">
      <c r="A293" s="2"/>
      <c r="C293" s="2"/>
      <c r="G293" s="2"/>
      <c r="H293" s="2"/>
      <c r="N293" s="2"/>
    </row>
    <row r="294" ht="15.75" customHeight="1">
      <c r="A294" s="2"/>
      <c r="C294" s="2"/>
      <c r="G294" s="2"/>
      <c r="H294" s="2"/>
      <c r="N294" s="2"/>
    </row>
    <row r="295" ht="15.75" customHeight="1">
      <c r="A295" s="2"/>
      <c r="C295" s="2"/>
      <c r="G295" s="2"/>
      <c r="H295" s="2"/>
      <c r="N295" s="2"/>
    </row>
    <row r="296" ht="15.75" customHeight="1">
      <c r="A296" s="2"/>
      <c r="C296" s="2"/>
      <c r="G296" s="2"/>
      <c r="H296" s="2"/>
      <c r="N296" s="2"/>
    </row>
    <row r="297" ht="15.75" customHeight="1">
      <c r="A297" s="2"/>
      <c r="C297" s="2"/>
      <c r="G297" s="2"/>
      <c r="H297" s="2"/>
      <c r="N297" s="2"/>
    </row>
    <row r="298" ht="15.75" customHeight="1">
      <c r="A298" s="2"/>
      <c r="C298" s="2"/>
      <c r="G298" s="2"/>
      <c r="H298" s="2"/>
      <c r="N298" s="2"/>
    </row>
    <row r="299" ht="15.75" customHeight="1">
      <c r="A299" s="2"/>
      <c r="C299" s="2"/>
      <c r="G299" s="2"/>
      <c r="H299" s="2"/>
      <c r="N299" s="2"/>
    </row>
    <row r="300" ht="15.75" customHeight="1">
      <c r="A300" s="2"/>
      <c r="C300" s="2"/>
      <c r="G300" s="2"/>
      <c r="H300" s="2"/>
      <c r="N300" s="2"/>
    </row>
    <row r="301" ht="15.75" customHeight="1">
      <c r="A301" s="2"/>
      <c r="C301" s="2"/>
      <c r="G301" s="2"/>
      <c r="H301" s="2"/>
      <c r="N301" s="2"/>
    </row>
    <row r="302" ht="15.75" customHeight="1">
      <c r="A302" s="2"/>
      <c r="C302" s="2"/>
      <c r="G302" s="2"/>
      <c r="H302" s="2"/>
      <c r="N302" s="2"/>
    </row>
    <row r="303" ht="15.75" customHeight="1">
      <c r="A303" s="2"/>
      <c r="C303" s="2"/>
      <c r="G303" s="2"/>
      <c r="H303" s="2"/>
      <c r="N303" s="2"/>
    </row>
    <row r="304" ht="15.75" customHeight="1">
      <c r="A304" s="2"/>
      <c r="C304" s="2"/>
      <c r="G304" s="2"/>
      <c r="H304" s="2"/>
      <c r="N304" s="2"/>
    </row>
    <row r="305" ht="15.75" customHeight="1">
      <c r="A305" s="2"/>
      <c r="C305" s="2"/>
      <c r="G305" s="2"/>
      <c r="H305" s="2"/>
      <c r="N305" s="2"/>
    </row>
    <row r="306" ht="15.75" customHeight="1">
      <c r="A306" s="2"/>
      <c r="C306" s="2"/>
      <c r="G306" s="2"/>
      <c r="H306" s="2"/>
      <c r="N306" s="2"/>
    </row>
    <row r="307" ht="15.75" customHeight="1">
      <c r="A307" s="2"/>
      <c r="C307" s="2"/>
      <c r="G307" s="2"/>
      <c r="H307" s="2"/>
      <c r="N307" s="2"/>
    </row>
    <row r="308" ht="15.75" customHeight="1">
      <c r="A308" s="2"/>
      <c r="C308" s="2"/>
      <c r="G308" s="2"/>
      <c r="H308" s="2"/>
      <c r="N308" s="2"/>
    </row>
    <row r="309" ht="15.75" customHeight="1">
      <c r="A309" s="2"/>
      <c r="C309" s="2"/>
      <c r="G309" s="2"/>
      <c r="H309" s="2"/>
      <c r="N309" s="2"/>
    </row>
    <row r="310" ht="15.75" customHeight="1">
      <c r="A310" s="2"/>
      <c r="C310" s="2"/>
      <c r="G310" s="2"/>
      <c r="H310" s="2"/>
      <c r="N310" s="2"/>
    </row>
    <row r="311" ht="15.75" customHeight="1">
      <c r="A311" s="2"/>
      <c r="C311" s="2"/>
      <c r="G311" s="2"/>
      <c r="H311" s="2"/>
      <c r="N311" s="2"/>
    </row>
    <row r="312" ht="15.75" customHeight="1">
      <c r="A312" s="2"/>
      <c r="C312" s="2"/>
      <c r="G312" s="2"/>
      <c r="H312" s="2"/>
      <c r="N312" s="2"/>
    </row>
    <row r="313" ht="15.75" customHeight="1">
      <c r="A313" s="2"/>
      <c r="C313" s="2"/>
      <c r="G313" s="2"/>
      <c r="H313" s="2"/>
      <c r="N313" s="2"/>
    </row>
    <row r="314" ht="15.75" customHeight="1">
      <c r="A314" s="2"/>
      <c r="C314" s="2"/>
      <c r="G314" s="2"/>
      <c r="H314" s="2"/>
      <c r="N314" s="2"/>
    </row>
    <row r="315" ht="15.75" customHeight="1">
      <c r="A315" s="2"/>
      <c r="C315" s="2"/>
      <c r="G315" s="2"/>
      <c r="H315" s="2"/>
      <c r="N315" s="2"/>
    </row>
    <row r="316" ht="15.75" customHeight="1">
      <c r="A316" s="2"/>
      <c r="C316" s="2"/>
      <c r="G316" s="2"/>
      <c r="H316" s="2"/>
      <c r="N316" s="2"/>
    </row>
    <row r="317" ht="15.75" customHeight="1">
      <c r="A317" s="2"/>
      <c r="C317" s="2"/>
      <c r="G317" s="2"/>
      <c r="H317" s="2"/>
      <c r="N317" s="2"/>
    </row>
    <row r="318" ht="15.75" customHeight="1">
      <c r="A318" s="2"/>
      <c r="C318" s="2"/>
      <c r="G318" s="2"/>
      <c r="H318" s="2"/>
      <c r="N318" s="2"/>
    </row>
    <row r="319" ht="15.75" customHeight="1">
      <c r="A319" s="2"/>
      <c r="C319" s="2"/>
      <c r="G319" s="2"/>
      <c r="H319" s="2"/>
      <c r="N319" s="2"/>
    </row>
    <row r="320" ht="15.75" customHeight="1">
      <c r="A320" s="2"/>
      <c r="C320" s="2"/>
      <c r="G320" s="2"/>
      <c r="H320" s="2"/>
      <c r="N320" s="2"/>
    </row>
    <row r="321" ht="15.75" customHeight="1">
      <c r="A321" s="2"/>
      <c r="C321" s="2"/>
      <c r="G321" s="2"/>
      <c r="H321" s="2"/>
      <c r="N321" s="2"/>
    </row>
    <row r="322" ht="15.75" customHeight="1">
      <c r="A322" s="2"/>
      <c r="C322" s="2"/>
      <c r="G322" s="2"/>
      <c r="H322" s="2"/>
      <c r="N322" s="2"/>
    </row>
    <row r="323" ht="15.75" customHeight="1">
      <c r="A323" s="2"/>
      <c r="C323" s="2"/>
      <c r="G323" s="2"/>
      <c r="H323" s="2"/>
      <c r="N323" s="2"/>
    </row>
    <row r="324" ht="15.75" customHeight="1">
      <c r="A324" s="2"/>
      <c r="C324" s="2"/>
      <c r="G324" s="2"/>
      <c r="H324" s="2"/>
      <c r="N324" s="2"/>
    </row>
    <row r="325" ht="15.75" customHeight="1">
      <c r="A325" s="2"/>
      <c r="C325" s="2"/>
      <c r="G325" s="2"/>
      <c r="H325" s="2"/>
      <c r="N325" s="2"/>
    </row>
    <row r="326" ht="15.75" customHeight="1">
      <c r="A326" s="2"/>
      <c r="C326" s="2"/>
      <c r="G326" s="2"/>
      <c r="H326" s="2"/>
      <c r="N326" s="2"/>
    </row>
    <row r="327" ht="15.75" customHeight="1">
      <c r="A327" s="2"/>
      <c r="C327" s="2"/>
      <c r="G327" s="2"/>
      <c r="H327" s="2"/>
      <c r="N327" s="2"/>
    </row>
    <row r="328" ht="15.75" customHeight="1">
      <c r="A328" s="2"/>
      <c r="C328" s="2"/>
      <c r="G328" s="2"/>
      <c r="H328" s="2"/>
      <c r="N328" s="2"/>
    </row>
    <row r="329" ht="15.75" customHeight="1">
      <c r="A329" s="2"/>
      <c r="C329" s="2"/>
      <c r="G329" s="2"/>
      <c r="H329" s="2"/>
      <c r="N329" s="2"/>
    </row>
    <row r="330" ht="15.75" customHeight="1">
      <c r="A330" s="2"/>
      <c r="C330" s="2"/>
      <c r="G330" s="2"/>
      <c r="H330" s="2"/>
      <c r="N330" s="2"/>
    </row>
    <row r="331" ht="15.75" customHeight="1">
      <c r="A331" s="2"/>
      <c r="C331" s="2"/>
      <c r="G331" s="2"/>
      <c r="H331" s="2"/>
      <c r="N331" s="2"/>
    </row>
    <row r="332" ht="15.75" customHeight="1">
      <c r="A332" s="2"/>
      <c r="C332" s="2"/>
      <c r="G332" s="2"/>
      <c r="H332" s="2"/>
      <c r="N332" s="2"/>
    </row>
    <row r="333" ht="15.75" customHeight="1">
      <c r="A333" s="2"/>
      <c r="C333" s="2"/>
      <c r="G333" s="2"/>
      <c r="H333" s="2"/>
      <c r="N333" s="2"/>
    </row>
    <row r="334" ht="15.75" customHeight="1">
      <c r="A334" s="2"/>
      <c r="C334" s="2"/>
      <c r="G334" s="2"/>
      <c r="H334" s="2"/>
      <c r="N334" s="2"/>
    </row>
    <row r="335" ht="15.75" customHeight="1">
      <c r="A335" s="2"/>
      <c r="C335" s="2"/>
      <c r="G335" s="2"/>
      <c r="H335" s="2"/>
      <c r="N335" s="2"/>
    </row>
    <row r="336" ht="15.75" customHeight="1">
      <c r="A336" s="2"/>
      <c r="C336" s="2"/>
      <c r="G336" s="2"/>
      <c r="H336" s="2"/>
      <c r="N336" s="2"/>
    </row>
    <row r="337" ht="15.75" customHeight="1">
      <c r="A337" s="2"/>
      <c r="C337" s="2"/>
      <c r="G337" s="2"/>
      <c r="H337" s="2"/>
      <c r="N337" s="2"/>
    </row>
    <row r="338" ht="15.75" customHeight="1">
      <c r="A338" s="2"/>
      <c r="C338" s="2"/>
      <c r="G338" s="2"/>
      <c r="H338" s="2"/>
      <c r="N338" s="2"/>
    </row>
    <row r="339" ht="15.75" customHeight="1">
      <c r="A339" s="2"/>
      <c r="C339" s="2"/>
      <c r="G339" s="2"/>
      <c r="H339" s="2"/>
      <c r="N339" s="2"/>
    </row>
    <row r="340" ht="15.75" customHeight="1">
      <c r="A340" s="2"/>
      <c r="C340" s="2"/>
      <c r="G340" s="2"/>
      <c r="H340" s="2"/>
      <c r="N340" s="2"/>
    </row>
    <row r="341" ht="15.75" customHeight="1">
      <c r="A341" s="2"/>
      <c r="C341" s="2"/>
      <c r="G341" s="2"/>
      <c r="H341" s="2"/>
      <c r="N341" s="2"/>
    </row>
    <row r="342" ht="15.75" customHeight="1">
      <c r="A342" s="2"/>
      <c r="C342" s="2"/>
      <c r="G342" s="2"/>
      <c r="H342" s="2"/>
      <c r="N342" s="2"/>
    </row>
    <row r="343" ht="15.75" customHeight="1">
      <c r="A343" s="2"/>
      <c r="C343" s="2"/>
      <c r="G343" s="2"/>
      <c r="H343" s="2"/>
      <c r="N343" s="2"/>
    </row>
    <row r="344" ht="15.75" customHeight="1">
      <c r="A344" s="2"/>
      <c r="C344" s="2"/>
      <c r="G344" s="2"/>
      <c r="H344" s="2"/>
      <c r="N344" s="2"/>
    </row>
    <row r="345" ht="15.75" customHeight="1">
      <c r="A345" s="2"/>
      <c r="C345" s="2"/>
      <c r="G345" s="2"/>
      <c r="H345" s="2"/>
      <c r="N345" s="2"/>
    </row>
    <row r="346" ht="15.75" customHeight="1">
      <c r="A346" s="2"/>
      <c r="C346" s="2"/>
      <c r="G346" s="2"/>
      <c r="H346" s="2"/>
      <c r="N346" s="2"/>
    </row>
    <row r="347" ht="15.75" customHeight="1">
      <c r="A347" s="2"/>
      <c r="C347" s="2"/>
      <c r="G347" s="2"/>
      <c r="H347" s="2"/>
      <c r="N347" s="2"/>
    </row>
    <row r="348" ht="15.75" customHeight="1">
      <c r="A348" s="2"/>
      <c r="C348" s="2"/>
      <c r="G348" s="2"/>
      <c r="H348" s="2"/>
      <c r="N348" s="2"/>
    </row>
    <row r="349" ht="15.75" customHeight="1">
      <c r="A349" s="2"/>
      <c r="C349" s="2"/>
      <c r="G349" s="2"/>
      <c r="H349" s="2"/>
      <c r="N349" s="2"/>
    </row>
    <row r="350" ht="15.75" customHeight="1">
      <c r="A350" s="2"/>
      <c r="C350" s="2"/>
      <c r="G350" s="2"/>
      <c r="H350" s="2"/>
      <c r="N350" s="2"/>
    </row>
    <row r="351" ht="15.75" customHeight="1">
      <c r="A351" s="2"/>
      <c r="C351" s="2"/>
      <c r="G351" s="2"/>
      <c r="H351" s="2"/>
      <c r="N351" s="2"/>
    </row>
    <row r="352" ht="15.75" customHeight="1">
      <c r="A352" s="2"/>
      <c r="C352" s="2"/>
      <c r="G352" s="2"/>
      <c r="H352" s="2"/>
      <c r="N352" s="2"/>
    </row>
    <row r="353" ht="15.75" customHeight="1">
      <c r="A353" s="2"/>
      <c r="C353" s="2"/>
      <c r="G353" s="2"/>
      <c r="H353" s="2"/>
      <c r="N353" s="2"/>
    </row>
    <row r="354" ht="15.75" customHeight="1">
      <c r="A354" s="2"/>
      <c r="C354" s="2"/>
      <c r="G354" s="2"/>
      <c r="H354" s="2"/>
      <c r="N354" s="2"/>
    </row>
    <row r="355" ht="15.75" customHeight="1">
      <c r="A355" s="2"/>
      <c r="C355" s="2"/>
      <c r="G355" s="2"/>
      <c r="H355" s="2"/>
      <c r="N355" s="2"/>
    </row>
    <row r="356" ht="15.75" customHeight="1">
      <c r="A356" s="2"/>
      <c r="C356" s="2"/>
      <c r="G356" s="2"/>
      <c r="H356" s="2"/>
      <c r="N356" s="2"/>
    </row>
    <row r="357" ht="15.75" customHeight="1">
      <c r="A357" s="2"/>
      <c r="C357" s="2"/>
      <c r="G357" s="2"/>
      <c r="H357" s="2"/>
      <c r="N357" s="2"/>
    </row>
    <row r="358" ht="15.75" customHeight="1">
      <c r="A358" s="2"/>
      <c r="C358" s="2"/>
      <c r="G358" s="2"/>
      <c r="H358" s="2"/>
      <c r="N358" s="2"/>
    </row>
    <row r="359" ht="15.75" customHeight="1">
      <c r="A359" s="2"/>
      <c r="C359" s="2"/>
      <c r="G359" s="2"/>
      <c r="H359" s="2"/>
      <c r="N359" s="2"/>
    </row>
    <row r="360" ht="15.75" customHeight="1">
      <c r="A360" s="2"/>
      <c r="C360" s="2"/>
      <c r="G360" s="2"/>
      <c r="H360" s="2"/>
      <c r="N360" s="2"/>
    </row>
    <row r="361" ht="15.75" customHeight="1">
      <c r="A361" s="2"/>
      <c r="C361" s="2"/>
      <c r="G361" s="2"/>
      <c r="H361" s="2"/>
      <c r="N361" s="2"/>
    </row>
    <row r="362" ht="15.75" customHeight="1">
      <c r="A362" s="2"/>
      <c r="C362" s="2"/>
      <c r="G362" s="2"/>
      <c r="H362" s="2"/>
      <c r="N362" s="2"/>
    </row>
    <row r="363" ht="15.75" customHeight="1">
      <c r="A363" s="2"/>
      <c r="C363" s="2"/>
      <c r="G363" s="2"/>
      <c r="H363" s="2"/>
      <c r="N363" s="2"/>
    </row>
    <row r="364" ht="15.75" customHeight="1">
      <c r="A364" s="2"/>
      <c r="C364" s="2"/>
      <c r="G364" s="2"/>
      <c r="H364" s="2"/>
      <c r="N364" s="2"/>
    </row>
    <row r="365" ht="15.75" customHeight="1">
      <c r="A365" s="2"/>
      <c r="C365" s="2"/>
      <c r="G365" s="2"/>
      <c r="H365" s="2"/>
      <c r="N365" s="2"/>
    </row>
    <row r="366" ht="15.75" customHeight="1">
      <c r="A366" s="2"/>
      <c r="C366" s="2"/>
      <c r="G366" s="2"/>
      <c r="H366" s="2"/>
      <c r="N366" s="2"/>
    </row>
    <row r="367" ht="15.75" customHeight="1">
      <c r="A367" s="2"/>
      <c r="C367" s="2"/>
      <c r="G367" s="2"/>
      <c r="H367" s="2"/>
      <c r="N367" s="2"/>
    </row>
    <row r="368" ht="15.75" customHeight="1">
      <c r="A368" s="2"/>
      <c r="C368" s="2"/>
      <c r="G368" s="2"/>
      <c r="H368" s="2"/>
      <c r="N368" s="2"/>
    </row>
    <row r="369" ht="15.75" customHeight="1">
      <c r="A369" s="2"/>
      <c r="C369" s="2"/>
      <c r="G369" s="2"/>
      <c r="H369" s="2"/>
      <c r="N369" s="2"/>
    </row>
    <row r="370" ht="15.75" customHeight="1">
      <c r="A370" s="2"/>
      <c r="C370" s="2"/>
      <c r="G370" s="2"/>
      <c r="H370" s="2"/>
      <c r="N370" s="2"/>
    </row>
    <row r="371" ht="15.75" customHeight="1">
      <c r="A371" s="2"/>
      <c r="C371" s="2"/>
      <c r="G371" s="2"/>
      <c r="H371" s="2"/>
      <c r="N371" s="2"/>
    </row>
    <row r="372" ht="15.75" customHeight="1">
      <c r="A372" s="2"/>
      <c r="C372" s="2"/>
      <c r="G372" s="2"/>
      <c r="H372" s="2"/>
      <c r="N372" s="2"/>
    </row>
    <row r="373" ht="15.75" customHeight="1">
      <c r="A373" s="2"/>
      <c r="C373" s="2"/>
      <c r="G373" s="2"/>
      <c r="H373" s="2"/>
      <c r="N373" s="2"/>
    </row>
    <row r="374" ht="15.75" customHeight="1">
      <c r="A374" s="2"/>
      <c r="C374" s="2"/>
      <c r="G374" s="2"/>
      <c r="H374" s="2"/>
      <c r="N374" s="2"/>
    </row>
    <row r="375" ht="15.75" customHeight="1">
      <c r="A375" s="2"/>
      <c r="C375" s="2"/>
      <c r="G375" s="2"/>
      <c r="H375" s="2"/>
      <c r="N375" s="2"/>
    </row>
    <row r="376" ht="15.75" customHeight="1">
      <c r="A376" s="2"/>
      <c r="C376" s="2"/>
      <c r="G376" s="2"/>
      <c r="H376" s="2"/>
      <c r="N376" s="2"/>
    </row>
    <row r="377" ht="15.75" customHeight="1">
      <c r="A377" s="2"/>
      <c r="C377" s="2"/>
      <c r="G377" s="2"/>
      <c r="H377" s="2"/>
      <c r="N377" s="2"/>
    </row>
    <row r="378" ht="15.75" customHeight="1">
      <c r="A378" s="2"/>
      <c r="C378" s="2"/>
      <c r="G378" s="2"/>
      <c r="H378" s="2"/>
      <c r="N378" s="2"/>
    </row>
    <row r="379" ht="15.75" customHeight="1">
      <c r="A379" s="2"/>
      <c r="C379" s="2"/>
      <c r="G379" s="2"/>
      <c r="H379" s="2"/>
      <c r="N379" s="2"/>
    </row>
    <row r="380" ht="15.75" customHeight="1">
      <c r="A380" s="2"/>
      <c r="C380" s="2"/>
      <c r="G380" s="2"/>
      <c r="H380" s="2"/>
      <c r="N380" s="2"/>
    </row>
    <row r="381" ht="15.75" customHeight="1">
      <c r="A381" s="2"/>
      <c r="C381" s="2"/>
      <c r="G381" s="2"/>
      <c r="H381" s="2"/>
      <c r="N381" s="2"/>
    </row>
    <row r="382" ht="15.75" customHeight="1">
      <c r="A382" s="2"/>
      <c r="C382" s="2"/>
      <c r="G382" s="2"/>
      <c r="H382" s="2"/>
      <c r="N382" s="2"/>
    </row>
    <row r="383" ht="15.75" customHeight="1">
      <c r="A383" s="2"/>
      <c r="C383" s="2"/>
      <c r="G383" s="2"/>
      <c r="H383" s="2"/>
      <c r="N383" s="2"/>
    </row>
    <row r="384" ht="15.75" customHeight="1">
      <c r="A384" s="2"/>
      <c r="C384" s="2"/>
      <c r="G384" s="2"/>
      <c r="H384" s="2"/>
      <c r="N384" s="2"/>
    </row>
    <row r="385" ht="15.75" customHeight="1">
      <c r="A385" s="2"/>
      <c r="C385" s="2"/>
      <c r="G385" s="2"/>
      <c r="H385" s="2"/>
      <c r="N385" s="2"/>
    </row>
    <row r="386" ht="15.75" customHeight="1">
      <c r="A386" s="2"/>
      <c r="C386" s="2"/>
      <c r="G386" s="2"/>
      <c r="H386" s="2"/>
      <c r="N386" s="2"/>
    </row>
    <row r="387" ht="15.75" customHeight="1">
      <c r="A387" s="2"/>
      <c r="C387" s="2"/>
      <c r="G387" s="2"/>
      <c r="H387" s="2"/>
      <c r="N387" s="2"/>
    </row>
    <row r="388" ht="15.75" customHeight="1">
      <c r="A388" s="2"/>
      <c r="C388" s="2"/>
      <c r="G388" s="2"/>
      <c r="H388" s="2"/>
      <c r="N388" s="2"/>
    </row>
    <row r="389" ht="15.75" customHeight="1">
      <c r="A389" s="2"/>
      <c r="C389" s="2"/>
      <c r="G389" s="2"/>
      <c r="H389" s="2"/>
      <c r="N389" s="2"/>
    </row>
    <row r="390" ht="15.75" customHeight="1">
      <c r="A390" s="2"/>
      <c r="C390" s="2"/>
      <c r="G390" s="2"/>
      <c r="H390" s="2"/>
      <c r="N390" s="2"/>
    </row>
    <row r="391" ht="15.75" customHeight="1">
      <c r="A391" s="2"/>
      <c r="C391" s="2"/>
      <c r="G391" s="2"/>
      <c r="H391" s="2"/>
      <c r="N391" s="2"/>
    </row>
    <row r="392" ht="15.75" customHeight="1">
      <c r="A392" s="2"/>
      <c r="C392" s="2"/>
      <c r="G392" s="2"/>
      <c r="H392" s="2"/>
      <c r="N392" s="2"/>
    </row>
    <row r="393" ht="15.75" customHeight="1">
      <c r="A393" s="2"/>
      <c r="C393" s="2"/>
      <c r="G393" s="2"/>
      <c r="H393" s="2"/>
      <c r="N393" s="2"/>
    </row>
    <row r="394" ht="15.75" customHeight="1">
      <c r="A394" s="2"/>
      <c r="C394" s="2"/>
      <c r="G394" s="2"/>
      <c r="H394" s="2"/>
      <c r="N394" s="2"/>
    </row>
    <row r="395" ht="15.75" customHeight="1">
      <c r="A395" s="2"/>
      <c r="C395" s="2"/>
      <c r="G395" s="2"/>
      <c r="H395" s="2"/>
      <c r="N395" s="2"/>
    </row>
    <row r="396" ht="15.75" customHeight="1">
      <c r="A396" s="2"/>
      <c r="C396" s="2"/>
      <c r="G396" s="2"/>
      <c r="H396" s="2"/>
      <c r="N396" s="2"/>
    </row>
    <row r="397" ht="15.75" customHeight="1">
      <c r="A397" s="2"/>
      <c r="C397" s="2"/>
      <c r="G397" s="2"/>
      <c r="H397" s="2"/>
      <c r="N397" s="2"/>
    </row>
    <row r="398" ht="15.75" customHeight="1">
      <c r="A398" s="2"/>
      <c r="C398" s="2"/>
      <c r="G398" s="2"/>
      <c r="H398" s="2"/>
      <c r="N398" s="2"/>
    </row>
    <row r="399" ht="15.75" customHeight="1">
      <c r="A399" s="2"/>
      <c r="C399" s="2"/>
      <c r="G399" s="2"/>
      <c r="H399" s="2"/>
      <c r="N399" s="2"/>
    </row>
    <row r="400" ht="15.75" customHeight="1">
      <c r="A400" s="2"/>
      <c r="C400" s="2"/>
      <c r="G400" s="2"/>
      <c r="H400" s="2"/>
      <c r="N400" s="2"/>
    </row>
    <row r="401" ht="15.75" customHeight="1">
      <c r="A401" s="2"/>
      <c r="C401" s="2"/>
      <c r="G401" s="2"/>
      <c r="H401" s="2"/>
      <c r="N401" s="2"/>
    </row>
    <row r="402" ht="15.75" customHeight="1">
      <c r="A402" s="2"/>
      <c r="C402" s="2"/>
      <c r="G402" s="2"/>
      <c r="H402" s="2"/>
      <c r="N402" s="2"/>
    </row>
    <row r="403" ht="15.75" customHeight="1">
      <c r="A403" s="2"/>
      <c r="C403" s="2"/>
      <c r="G403" s="2"/>
      <c r="H403" s="2"/>
      <c r="N403" s="2"/>
    </row>
    <row r="404" ht="15.75" customHeight="1">
      <c r="A404" s="2"/>
      <c r="C404" s="2"/>
      <c r="G404" s="2"/>
      <c r="H404" s="2"/>
      <c r="N404" s="2"/>
    </row>
    <row r="405" ht="15.75" customHeight="1">
      <c r="A405" s="2"/>
      <c r="C405" s="2"/>
      <c r="G405" s="2"/>
      <c r="H405" s="2"/>
      <c r="N405" s="2"/>
    </row>
    <row r="406" ht="15.75" customHeight="1">
      <c r="A406" s="2"/>
      <c r="C406" s="2"/>
      <c r="G406" s="2"/>
      <c r="H406" s="2"/>
      <c r="N406" s="2"/>
    </row>
    <row r="407" ht="15.75" customHeight="1">
      <c r="A407" s="2"/>
      <c r="C407" s="2"/>
      <c r="G407" s="2"/>
      <c r="H407" s="2"/>
      <c r="N407" s="2"/>
    </row>
    <row r="408" ht="15.75" customHeight="1">
      <c r="A408" s="2"/>
      <c r="C408" s="2"/>
      <c r="G408" s="2"/>
      <c r="H408" s="2"/>
      <c r="N408" s="2"/>
    </row>
    <row r="409" ht="15.75" customHeight="1">
      <c r="A409" s="2"/>
      <c r="C409" s="2"/>
      <c r="G409" s="2"/>
      <c r="H409" s="2"/>
      <c r="N409" s="2"/>
    </row>
    <row r="410" ht="15.75" customHeight="1">
      <c r="A410" s="2"/>
      <c r="C410" s="2"/>
      <c r="G410" s="2"/>
      <c r="H410" s="2"/>
      <c r="N410" s="2"/>
    </row>
    <row r="411" ht="15.75" customHeight="1">
      <c r="A411" s="2"/>
      <c r="C411" s="2"/>
      <c r="G411" s="2"/>
      <c r="H411" s="2"/>
      <c r="N411" s="2"/>
    </row>
    <row r="412" ht="15.75" customHeight="1">
      <c r="A412" s="2"/>
      <c r="C412" s="2"/>
      <c r="G412" s="2"/>
      <c r="H412" s="2"/>
      <c r="N412" s="2"/>
    </row>
    <row r="413" ht="15.75" customHeight="1">
      <c r="A413" s="2"/>
      <c r="C413" s="2"/>
      <c r="G413" s="2"/>
      <c r="H413" s="2"/>
      <c r="N413" s="2"/>
    </row>
    <row r="414" ht="15.75" customHeight="1">
      <c r="A414" s="2"/>
      <c r="C414" s="2"/>
      <c r="G414" s="2"/>
      <c r="H414" s="2"/>
      <c r="N414" s="2"/>
    </row>
    <row r="415" ht="15.75" customHeight="1">
      <c r="A415" s="2"/>
      <c r="C415" s="2"/>
      <c r="G415" s="2"/>
      <c r="H415" s="2"/>
      <c r="N415" s="2"/>
    </row>
    <row r="416" ht="15.75" customHeight="1">
      <c r="A416" s="2"/>
      <c r="C416" s="2"/>
      <c r="G416" s="2"/>
      <c r="H416" s="2"/>
      <c r="N416" s="2"/>
    </row>
    <row r="417" ht="15.75" customHeight="1">
      <c r="A417" s="2"/>
      <c r="C417" s="2"/>
      <c r="G417" s="2"/>
      <c r="H417" s="2"/>
      <c r="N417" s="2"/>
    </row>
    <row r="418" ht="15.75" customHeight="1">
      <c r="A418" s="2"/>
      <c r="C418" s="2"/>
      <c r="G418" s="2"/>
      <c r="H418" s="2"/>
      <c r="N418" s="2"/>
    </row>
    <row r="419" ht="15.75" customHeight="1">
      <c r="A419" s="2"/>
      <c r="C419" s="2"/>
      <c r="G419" s="2"/>
      <c r="H419" s="2"/>
      <c r="N419" s="2"/>
    </row>
    <row r="420" ht="15.75" customHeight="1">
      <c r="A420" s="2"/>
      <c r="C420" s="2"/>
      <c r="G420" s="2"/>
      <c r="H420" s="2"/>
      <c r="N420" s="2"/>
    </row>
    <row r="421" ht="15.75" customHeight="1">
      <c r="A421" s="2"/>
      <c r="C421" s="2"/>
      <c r="G421" s="2"/>
      <c r="H421" s="2"/>
      <c r="N421" s="2"/>
    </row>
    <row r="422" ht="15.75" customHeight="1">
      <c r="A422" s="2"/>
      <c r="C422" s="2"/>
      <c r="G422" s="2"/>
      <c r="H422" s="2"/>
      <c r="N422" s="2"/>
    </row>
    <row r="423" ht="15.75" customHeight="1">
      <c r="A423" s="2"/>
      <c r="C423" s="2"/>
      <c r="G423" s="2"/>
      <c r="H423" s="2"/>
      <c r="N423" s="2"/>
    </row>
    <row r="424" ht="15.75" customHeight="1">
      <c r="A424" s="2"/>
      <c r="C424" s="2"/>
      <c r="G424" s="2"/>
      <c r="H424" s="2"/>
      <c r="N424" s="2"/>
    </row>
    <row r="425" ht="15.75" customHeight="1">
      <c r="A425" s="2"/>
      <c r="C425" s="2"/>
      <c r="G425" s="2"/>
      <c r="H425" s="2"/>
      <c r="N425" s="2"/>
    </row>
    <row r="426" ht="15.75" customHeight="1">
      <c r="A426" s="2"/>
      <c r="C426" s="2"/>
      <c r="G426" s="2"/>
      <c r="H426" s="2"/>
      <c r="N426" s="2"/>
    </row>
    <row r="427" ht="15.75" customHeight="1">
      <c r="A427" s="2"/>
      <c r="C427" s="2"/>
      <c r="G427" s="2"/>
      <c r="H427" s="2"/>
      <c r="N427" s="2"/>
    </row>
    <row r="428" ht="15.75" customHeight="1">
      <c r="A428" s="2"/>
      <c r="C428" s="2"/>
      <c r="G428" s="2"/>
      <c r="H428" s="2"/>
      <c r="N428" s="2"/>
    </row>
    <row r="429" ht="15.75" customHeight="1">
      <c r="A429" s="2"/>
      <c r="C429" s="2"/>
      <c r="G429" s="2"/>
      <c r="H429" s="2"/>
      <c r="N429" s="2"/>
    </row>
    <row r="430" ht="15.75" customHeight="1">
      <c r="A430" s="2"/>
      <c r="C430" s="2"/>
      <c r="G430" s="2"/>
      <c r="H430" s="2"/>
      <c r="N430" s="2"/>
    </row>
    <row r="431" ht="15.75" customHeight="1">
      <c r="A431" s="2"/>
      <c r="C431" s="2"/>
      <c r="G431" s="2"/>
      <c r="H431" s="2"/>
      <c r="N431" s="2"/>
    </row>
    <row r="432" ht="15.75" customHeight="1">
      <c r="A432" s="2"/>
      <c r="C432" s="2"/>
      <c r="G432" s="2"/>
      <c r="H432" s="2"/>
      <c r="N432" s="2"/>
    </row>
    <row r="433" ht="15.75" customHeight="1">
      <c r="A433" s="2"/>
      <c r="C433" s="2"/>
      <c r="G433" s="2"/>
      <c r="H433" s="2"/>
      <c r="N433" s="2"/>
    </row>
    <row r="434" ht="15.75" customHeight="1">
      <c r="A434" s="2"/>
      <c r="C434" s="2"/>
      <c r="G434" s="2"/>
      <c r="H434" s="2"/>
      <c r="N434" s="2"/>
    </row>
    <row r="435" ht="15.75" customHeight="1">
      <c r="A435" s="2"/>
      <c r="C435" s="2"/>
      <c r="G435" s="2"/>
      <c r="H435" s="2"/>
      <c r="N435" s="2"/>
    </row>
    <row r="436" ht="15.75" customHeight="1">
      <c r="A436" s="2"/>
      <c r="C436" s="2"/>
      <c r="G436" s="2"/>
      <c r="H436" s="2"/>
      <c r="N436" s="2"/>
    </row>
    <row r="437" ht="15.75" customHeight="1">
      <c r="A437" s="2"/>
      <c r="C437" s="2"/>
      <c r="G437" s="2"/>
      <c r="H437" s="2"/>
      <c r="N437" s="2"/>
    </row>
    <row r="438" ht="15.75" customHeight="1">
      <c r="A438" s="2"/>
      <c r="C438" s="2"/>
      <c r="G438" s="2"/>
      <c r="H438" s="2"/>
      <c r="N438" s="2"/>
    </row>
    <row r="439" ht="15.75" customHeight="1">
      <c r="A439" s="2"/>
      <c r="C439" s="2"/>
      <c r="G439" s="2"/>
      <c r="H439" s="2"/>
      <c r="N439" s="2"/>
    </row>
    <row r="440" ht="15.75" customHeight="1">
      <c r="A440" s="2"/>
      <c r="C440" s="2"/>
      <c r="G440" s="2"/>
      <c r="H440" s="2"/>
      <c r="N440" s="2"/>
    </row>
    <row r="441" ht="15.75" customHeight="1">
      <c r="A441" s="2"/>
      <c r="C441" s="2"/>
      <c r="G441" s="2"/>
      <c r="H441" s="2"/>
      <c r="N441" s="2"/>
    </row>
    <row r="442" ht="15.75" customHeight="1">
      <c r="A442" s="2"/>
      <c r="C442" s="2"/>
      <c r="G442" s="2"/>
      <c r="H442" s="2"/>
      <c r="N442" s="2"/>
    </row>
    <row r="443" ht="15.75" customHeight="1">
      <c r="A443" s="2"/>
      <c r="C443" s="2"/>
      <c r="G443" s="2"/>
      <c r="H443" s="2"/>
      <c r="N443" s="2"/>
    </row>
    <row r="444" ht="15.75" customHeight="1">
      <c r="A444" s="2"/>
      <c r="C444" s="2"/>
      <c r="G444" s="2"/>
      <c r="H444" s="2"/>
      <c r="N444" s="2"/>
    </row>
    <row r="445" ht="15.75" customHeight="1">
      <c r="A445" s="2"/>
      <c r="C445" s="2"/>
      <c r="G445" s="2"/>
      <c r="H445" s="2"/>
      <c r="N445" s="2"/>
    </row>
    <row r="446" ht="15.75" customHeight="1">
      <c r="A446" s="2"/>
      <c r="C446" s="2"/>
      <c r="G446" s="2"/>
      <c r="H446" s="2"/>
      <c r="N446" s="2"/>
    </row>
    <row r="447" ht="15.75" customHeight="1">
      <c r="A447" s="2"/>
      <c r="C447" s="2"/>
      <c r="G447" s="2"/>
      <c r="H447" s="2"/>
      <c r="N447" s="2"/>
    </row>
    <row r="448" ht="15.75" customHeight="1">
      <c r="A448" s="2"/>
      <c r="C448" s="2"/>
      <c r="G448" s="2"/>
      <c r="H448" s="2"/>
      <c r="N448" s="2"/>
    </row>
    <row r="449" ht="15.75" customHeight="1">
      <c r="A449" s="2"/>
      <c r="C449" s="2"/>
      <c r="G449" s="2"/>
      <c r="H449" s="2"/>
      <c r="N449" s="2"/>
    </row>
    <row r="450" ht="15.75" customHeight="1">
      <c r="A450" s="2"/>
      <c r="C450" s="2"/>
      <c r="G450" s="2"/>
      <c r="H450" s="2"/>
      <c r="N450" s="2"/>
    </row>
    <row r="451" ht="15.75" customHeight="1">
      <c r="A451" s="2"/>
      <c r="C451" s="2"/>
      <c r="G451" s="2"/>
      <c r="H451" s="2"/>
      <c r="N451" s="2"/>
    </row>
    <row r="452" ht="15.75" customHeight="1">
      <c r="A452" s="2"/>
      <c r="C452" s="2"/>
      <c r="G452" s="2"/>
      <c r="H452" s="2"/>
      <c r="N452" s="2"/>
    </row>
    <row r="453" ht="15.75" customHeight="1">
      <c r="A453" s="2"/>
      <c r="C453" s="2"/>
      <c r="G453" s="2"/>
      <c r="H453" s="2"/>
      <c r="N453" s="2"/>
    </row>
    <row r="454" ht="15.75" customHeight="1">
      <c r="A454" s="2"/>
      <c r="C454" s="2"/>
      <c r="G454" s="2"/>
      <c r="H454" s="2"/>
      <c r="N454" s="2"/>
    </row>
    <row r="455" ht="15.75" customHeight="1">
      <c r="A455" s="2"/>
      <c r="C455" s="2"/>
      <c r="G455" s="2"/>
      <c r="H455" s="2"/>
      <c r="N455" s="2"/>
    </row>
    <row r="456" ht="15.75" customHeight="1">
      <c r="A456" s="2"/>
      <c r="C456" s="2"/>
      <c r="G456" s="2"/>
      <c r="H456" s="2"/>
      <c r="N456" s="2"/>
    </row>
    <row r="457" ht="15.75" customHeight="1">
      <c r="A457" s="2"/>
      <c r="C457" s="2"/>
      <c r="G457" s="2"/>
      <c r="H457" s="2"/>
      <c r="N457" s="2"/>
    </row>
    <row r="458" ht="15.75" customHeight="1">
      <c r="A458" s="2"/>
      <c r="C458" s="2"/>
      <c r="G458" s="2"/>
      <c r="H458" s="2"/>
      <c r="N458" s="2"/>
    </row>
    <row r="459" ht="15.75" customHeight="1">
      <c r="A459" s="2"/>
      <c r="C459" s="2"/>
      <c r="G459" s="2"/>
      <c r="H459" s="2"/>
      <c r="N459" s="2"/>
    </row>
    <row r="460" ht="15.75" customHeight="1">
      <c r="A460" s="2"/>
      <c r="C460" s="2"/>
      <c r="G460" s="2"/>
      <c r="H460" s="2"/>
      <c r="N460" s="2"/>
    </row>
    <row r="461" ht="15.75" customHeight="1">
      <c r="A461" s="2"/>
      <c r="C461" s="2"/>
      <c r="G461" s="2"/>
      <c r="H461" s="2"/>
      <c r="N461" s="2"/>
    </row>
    <row r="462" ht="15.75" customHeight="1">
      <c r="A462" s="2"/>
      <c r="C462" s="2"/>
      <c r="G462" s="2"/>
      <c r="H462" s="2"/>
      <c r="N462" s="2"/>
    </row>
    <row r="463" ht="15.75" customHeight="1">
      <c r="A463" s="2"/>
      <c r="C463" s="2"/>
      <c r="G463" s="2"/>
      <c r="H463" s="2"/>
      <c r="N463" s="2"/>
    </row>
    <row r="464" ht="15.75" customHeight="1">
      <c r="A464" s="2"/>
      <c r="C464" s="2"/>
      <c r="G464" s="2"/>
      <c r="H464" s="2"/>
      <c r="N464" s="2"/>
    </row>
    <row r="465" ht="15.75" customHeight="1">
      <c r="A465" s="2"/>
      <c r="C465" s="2"/>
      <c r="G465" s="2"/>
      <c r="H465" s="2"/>
      <c r="N465" s="2"/>
    </row>
    <row r="466" ht="15.75" customHeight="1">
      <c r="A466" s="2"/>
      <c r="C466" s="2"/>
      <c r="G466" s="2"/>
      <c r="H466" s="2"/>
      <c r="N466" s="2"/>
    </row>
    <row r="467" ht="15.75" customHeight="1">
      <c r="A467" s="2"/>
      <c r="C467" s="2"/>
      <c r="G467" s="2"/>
      <c r="H467" s="2"/>
      <c r="N467" s="2"/>
    </row>
    <row r="468" ht="15.75" customHeight="1">
      <c r="A468" s="2"/>
      <c r="C468" s="2"/>
      <c r="G468" s="2"/>
      <c r="H468" s="2"/>
      <c r="N468" s="2"/>
    </row>
    <row r="469" ht="15.75" customHeight="1">
      <c r="A469" s="2"/>
      <c r="C469" s="2"/>
      <c r="G469" s="2"/>
      <c r="H469" s="2"/>
      <c r="N469" s="2"/>
    </row>
    <row r="470" ht="15.75" customHeight="1">
      <c r="A470" s="2"/>
      <c r="C470" s="2"/>
      <c r="G470" s="2"/>
      <c r="H470" s="2"/>
      <c r="N470" s="2"/>
    </row>
    <row r="471" ht="15.75" customHeight="1">
      <c r="A471" s="2"/>
      <c r="C471" s="2"/>
      <c r="G471" s="2"/>
      <c r="H471" s="2"/>
      <c r="N471" s="2"/>
    </row>
    <row r="472" ht="15.75" customHeight="1">
      <c r="A472" s="2"/>
      <c r="C472" s="2"/>
      <c r="G472" s="2"/>
      <c r="H472" s="2"/>
      <c r="N472" s="2"/>
    </row>
    <row r="473" ht="15.75" customHeight="1">
      <c r="A473" s="2"/>
      <c r="C473" s="2"/>
      <c r="G473" s="2"/>
      <c r="H473" s="2"/>
      <c r="N473" s="2"/>
    </row>
    <row r="474" ht="15.75" customHeight="1">
      <c r="A474" s="2"/>
      <c r="C474" s="2"/>
      <c r="G474" s="2"/>
      <c r="H474" s="2"/>
      <c r="N474" s="2"/>
    </row>
    <row r="475" ht="15.75" customHeight="1">
      <c r="A475" s="2"/>
      <c r="C475" s="2"/>
      <c r="G475" s="2"/>
      <c r="H475" s="2"/>
      <c r="N475" s="2"/>
    </row>
    <row r="476" ht="15.75" customHeight="1">
      <c r="A476" s="2"/>
      <c r="C476" s="2"/>
      <c r="G476" s="2"/>
      <c r="H476" s="2"/>
      <c r="N476" s="2"/>
    </row>
    <row r="477" ht="15.75" customHeight="1">
      <c r="A477" s="2"/>
      <c r="C477" s="2"/>
      <c r="G477" s="2"/>
      <c r="H477" s="2"/>
      <c r="N477" s="2"/>
    </row>
    <row r="478" ht="15.75" customHeight="1">
      <c r="A478" s="2"/>
      <c r="C478" s="2"/>
      <c r="G478" s="2"/>
      <c r="H478" s="2"/>
      <c r="N478" s="2"/>
    </row>
    <row r="479" ht="15.75" customHeight="1">
      <c r="A479" s="2"/>
      <c r="C479" s="2"/>
      <c r="G479" s="2"/>
      <c r="H479" s="2"/>
      <c r="N479" s="2"/>
    </row>
    <row r="480" ht="15.75" customHeight="1">
      <c r="A480" s="2"/>
      <c r="C480" s="2"/>
      <c r="G480" s="2"/>
      <c r="H480" s="2"/>
      <c r="N480" s="2"/>
    </row>
    <row r="481" ht="15.75" customHeight="1">
      <c r="A481" s="2"/>
      <c r="C481" s="2"/>
      <c r="G481" s="2"/>
      <c r="H481" s="2"/>
      <c r="N481" s="2"/>
    </row>
    <row r="482" ht="15.75" customHeight="1">
      <c r="A482" s="2"/>
      <c r="C482" s="2"/>
      <c r="G482" s="2"/>
      <c r="H482" s="2"/>
      <c r="N482" s="2"/>
    </row>
    <row r="483" ht="15.75" customHeight="1">
      <c r="A483" s="2"/>
      <c r="C483" s="2"/>
      <c r="G483" s="2"/>
      <c r="H483" s="2"/>
      <c r="N483" s="2"/>
    </row>
    <row r="484" ht="15.75" customHeight="1">
      <c r="A484" s="2"/>
      <c r="C484" s="2"/>
      <c r="G484" s="2"/>
      <c r="H484" s="2"/>
      <c r="N484" s="2"/>
    </row>
    <row r="485" ht="15.75" customHeight="1">
      <c r="A485" s="2"/>
      <c r="C485" s="2"/>
      <c r="G485" s="2"/>
      <c r="H485" s="2"/>
      <c r="N485" s="2"/>
    </row>
    <row r="486" ht="15.75" customHeight="1">
      <c r="A486" s="2"/>
      <c r="C486" s="2"/>
      <c r="G486" s="2"/>
      <c r="H486" s="2"/>
      <c r="N486" s="2"/>
    </row>
    <row r="487" ht="15.75" customHeight="1">
      <c r="A487" s="2"/>
      <c r="C487" s="2"/>
      <c r="G487" s="2"/>
      <c r="H487" s="2"/>
      <c r="N487" s="2"/>
    </row>
    <row r="488" ht="15.75" customHeight="1">
      <c r="A488" s="2"/>
      <c r="C488" s="2"/>
      <c r="G488" s="2"/>
      <c r="H488" s="2"/>
      <c r="N488" s="2"/>
    </row>
    <row r="489" ht="15.75" customHeight="1">
      <c r="A489" s="2"/>
      <c r="C489" s="2"/>
      <c r="G489" s="2"/>
      <c r="H489" s="2"/>
      <c r="N489" s="2"/>
    </row>
    <row r="490" ht="15.75" customHeight="1">
      <c r="A490" s="2"/>
      <c r="C490" s="2"/>
      <c r="G490" s="2"/>
      <c r="H490" s="2"/>
      <c r="N490" s="2"/>
    </row>
    <row r="491" ht="15.75" customHeight="1">
      <c r="A491" s="2"/>
      <c r="C491" s="2"/>
      <c r="G491" s="2"/>
      <c r="H491" s="2"/>
      <c r="N491" s="2"/>
    </row>
    <row r="492" ht="15.75" customHeight="1">
      <c r="A492" s="2"/>
      <c r="C492" s="2"/>
      <c r="G492" s="2"/>
      <c r="H492" s="2"/>
      <c r="N492" s="2"/>
    </row>
    <row r="493" ht="15.75" customHeight="1">
      <c r="A493" s="2"/>
      <c r="C493" s="2"/>
      <c r="G493" s="2"/>
      <c r="H493" s="2"/>
      <c r="N493" s="2"/>
    </row>
    <row r="494" ht="15.75" customHeight="1">
      <c r="A494" s="2"/>
      <c r="C494" s="2"/>
      <c r="G494" s="2"/>
      <c r="H494" s="2"/>
      <c r="N494" s="2"/>
    </row>
    <row r="495" ht="15.75" customHeight="1">
      <c r="A495" s="2"/>
      <c r="C495" s="2"/>
      <c r="G495" s="2"/>
      <c r="H495" s="2"/>
      <c r="N495" s="2"/>
    </row>
    <row r="496" ht="15.75" customHeight="1">
      <c r="A496" s="2"/>
      <c r="C496" s="2"/>
      <c r="G496" s="2"/>
      <c r="H496" s="2"/>
      <c r="N496" s="2"/>
    </row>
    <row r="497" ht="15.75" customHeight="1">
      <c r="A497" s="2"/>
      <c r="C497" s="2"/>
      <c r="G497" s="2"/>
      <c r="H497" s="2"/>
      <c r="N497" s="2"/>
    </row>
    <row r="498" ht="15.75" customHeight="1">
      <c r="A498" s="2"/>
      <c r="C498" s="2"/>
      <c r="G498" s="2"/>
      <c r="H498" s="2"/>
      <c r="N498" s="2"/>
    </row>
    <row r="499" ht="15.75" customHeight="1">
      <c r="A499" s="2"/>
      <c r="C499" s="2"/>
      <c r="G499" s="2"/>
      <c r="H499" s="2"/>
      <c r="N499" s="2"/>
    </row>
    <row r="500" ht="15.75" customHeight="1">
      <c r="A500" s="2"/>
      <c r="C500" s="2"/>
      <c r="G500" s="2"/>
      <c r="H500" s="2"/>
      <c r="N500" s="2"/>
    </row>
    <row r="501" ht="15.75" customHeight="1">
      <c r="A501" s="2"/>
      <c r="C501" s="2"/>
      <c r="G501" s="2"/>
      <c r="H501" s="2"/>
      <c r="N501" s="2"/>
    </row>
    <row r="502" ht="15.75" customHeight="1">
      <c r="A502" s="2"/>
      <c r="C502" s="2"/>
      <c r="G502" s="2"/>
      <c r="H502" s="2"/>
      <c r="N502" s="2"/>
    </row>
    <row r="503" ht="15.75" customHeight="1">
      <c r="A503" s="2"/>
      <c r="C503" s="2"/>
      <c r="G503" s="2"/>
      <c r="H503" s="2"/>
      <c r="N503" s="2"/>
    </row>
    <row r="504" ht="15.75" customHeight="1">
      <c r="A504" s="2"/>
      <c r="C504" s="2"/>
      <c r="G504" s="2"/>
      <c r="H504" s="2"/>
      <c r="N504" s="2"/>
    </row>
    <row r="505" ht="15.75" customHeight="1">
      <c r="A505" s="2"/>
      <c r="C505" s="2"/>
      <c r="G505" s="2"/>
      <c r="H505" s="2"/>
      <c r="N505" s="2"/>
    </row>
    <row r="506" ht="15.75" customHeight="1">
      <c r="A506" s="2"/>
      <c r="C506" s="2"/>
      <c r="G506" s="2"/>
      <c r="H506" s="2"/>
      <c r="N506" s="2"/>
    </row>
    <row r="507" ht="15.75" customHeight="1">
      <c r="A507" s="2"/>
      <c r="C507" s="2"/>
      <c r="G507" s="2"/>
      <c r="H507" s="2"/>
      <c r="N507" s="2"/>
    </row>
    <row r="508" ht="15.75" customHeight="1">
      <c r="A508" s="2"/>
      <c r="C508" s="2"/>
      <c r="G508" s="2"/>
      <c r="H508" s="2"/>
      <c r="N508" s="2"/>
    </row>
    <row r="509" ht="15.75" customHeight="1">
      <c r="A509" s="2"/>
      <c r="C509" s="2"/>
      <c r="G509" s="2"/>
      <c r="H509" s="2"/>
      <c r="N509" s="2"/>
    </row>
    <row r="510" ht="15.75" customHeight="1">
      <c r="A510" s="2"/>
      <c r="C510" s="2"/>
      <c r="G510" s="2"/>
      <c r="H510" s="2"/>
      <c r="N510" s="2"/>
    </row>
    <row r="511" ht="15.75" customHeight="1">
      <c r="A511" s="2"/>
      <c r="C511" s="2"/>
      <c r="G511" s="2"/>
      <c r="H511" s="2"/>
      <c r="N511" s="2"/>
    </row>
    <row r="512" ht="15.75" customHeight="1">
      <c r="A512" s="2"/>
      <c r="C512" s="2"/>
      <c r="G512" s="2"/>
      <c r="H512" s="2"/>
      <c r="N512" s="2"/>
    </row>
    <row r="513" ht="15.75" customHeight="1">
      <c r="A513" s="2"/>
      <c r="C513" s="2"/>
      <c r="G513" s="2"/>
      <c r="H513" s="2"/>
      <c r="N513" s="2"/>
    </row>
    <row r="514" ht="15.75" customHeight="1">
      <c r="A514" s="2"/>
      <c r="C514" s="2"/>
      <c r="G514" s="2"/>
      <c r="H514" s="2"/>
      <c r="N514" s="2"/>
    </row>
    <row r="515" ht="15.75" customHeight="1">
      <c r="A515" s="2"/>
      <c r="C515" s="2"/>
      <c r="G515" s="2"/>
      <c r="H515" s="2"/>
      <c r="N515" s="2"/>
    </row>
    <row r="516" ht="15.75" customHeight="1">
      <c r="A516" s="2"/>
      <c r="C516" s="2"/>
      <c r="G516" s="2"/>
      <c r="H516" s="2"/>
      <c r="N516" s="2"/>
    </row>
    <row r="517" ht="15.75" customHeight="1">
      <c r="A517" s="2"/>
      <c r="C517" s="2"/>
      <c r="G517" s="2"/>
      <c r="H517" s="2"/>
      <c r="N517" s="2"/>
    </row>
    <row r="518" ht="15.75" customHeight="1">
      <c r="A518" s="2"/>
      <c r="C518" s="2"/>
      <c r="G518" s="2"/>
      <c r="H518" s="2"/>
      <c r="N518" s="2"/>
    </row>
    <row r="519" ht="15.75" customHeight="1">
      <c r="A519" s="2"/>
      <c r="C519" s="2"/>
      <c r="G519" s="2"/>
      <c r="H519" s="2"/>
      <c r="N519" s="2"/>
    </row>
    <row r="520" ht="15.75" customHeight="1">
      <c r="A520" s="2"/>
      <c r="C520" s="2"/>
      <c r="G520" s="2"/>
      <c r="H520" s="2"/>
      <c r="N520" s="2"/>
    </row>
    <row r="521" ht="15.75" customHeight="1">
      <c r="A521" s="2"/>
      <c r="C521" s="2"/>
      <c r="G521" s="2"/>
      <c r="H521" s="2"/>
      <c r="N521" s="2"/>
    </row>
    <row r="522" ht="15.75" customHeight="1">
      <c r="A522" s="2"/>
      <c r="C522" s="2"/>
      <c r="G522" s="2"/>
      <c r="H522" s="2"/>
      <c r="N522" s="2"/>
    </row>
    <row r="523" ht="15.75" customHeight="1">
      <c r="A523" s="2"/>
      <c r="C523" s="2"/>
      <c r="G523" s="2"/>
      <c r="H523" s="2"/>
      <c r="N523" s="2"/>
    </row>
    <row r="524" ht="15.75" customHeight="1">
      <c r="A524" s="2"/>
      <c r="C524" s="2"/>
      <c r="G524" s="2"/>
      <c r="H524" s="2"/>
      <c r="N524" s="2"/>
    </row>
    <row r="525" ht="15.75" customHeight="1">
      <c r="A525" s="2"/>
      <c r="C525" s="2"/>
      <c r="G525" s="2"/>
      <c r="H525" s="2"/>
      <c r="N525" s="2"/>
    </row>
    <row r="526" ht="15.75" customHeight="1">
      <c r="A526" s="2"/>
      <c r="C526" s="2"/>
      <c r="G526" s="2"/>
      <c r="H526" s="2"/>
      <c r="N526" s="2"/>
    </row>
    <row r="527" ht="15.75" customHeight="1">
      <c r="A527" s="2"/>
      <c r="C527" s="2"/>
      <c r="G527" s="2"/>
      <c r="H527" s="2"/>
      <c r="N527" s="2"/>
    </row>
    <row r="528" ht="15.75" customHeight="1">
      <c r="A528" s="2"/>
      <c r="C528" s="2"/>
      <c r="G528" s="2"/>
      <c r="H528" s="2"/>
      <c r="N528" s="2"/>
    </row>
    <row r="529" ht="15.75" customHeight="1">
      <c r="A529" s="2"/>
      <c r="C529" s="2"/>
      <c r="G529" s="2"/>
      <c r="H529" s="2"/>
      <c r="N529" s="2"/>
    </row>
    <row r="530" ht="15.75" customHeight="1">
      <c r="A530" s="2"/>
      <c r="C530" s="2"/>
      <c r="G530" s="2"/>
      <c r="H530" s="2"/>
      <c r="N530" s="2"/>
    </row>
    <row r="531" ht="15.75" customHeight="1">
      <c r="A531" s="2"/>
      <c r="C531" s="2"/>
      <c r="G531" s="2"/>
      <c r="H531" s="2"/>
      <c r="N531" s="2"/>
    </row>
    <row r="532" ht="15.75" customHeight="1">
      <c r="A532" s="2"/>
      <c r="C532" s="2"/>
      <c r="G532" s="2"/>
      <c r="H532" s="2"/>
      <c r="N532" s="2"/>
    </row>
    <row r="533" ht="15.75" customHeight="1">
      <c r="A533" s="2"/>
      <c r="C533" s="2"/>
      <c r="G533" s="2"/>
      <c r="H533" s="2"/>
      <c r="N533" s="2"/>
    </row>
    <row r="534" ht="15.75" customHeight="1">
      <c r="A534" s="2"/>
      <c r="C534" s="2"/>
      <c r="G534" s="2"/>
      <c r="H534" s="2"/>
      <c r="N534" s="2"/>
    </row>
    <row r="535" ht="15.75" customHeight="1">
      <c r="A535" s="2"/>
      <c r="C535" s="2"/>
      <c r="G535" s="2"/>
      <c r="H535" s="2"/>
      <c r="N535" s="2"/>
    </row>
    <row r="536" ht="15.75" customHeight="1">
      <c r="A536" s="2"/>
      <c r="C536" s="2"/>
      <c r="G536" s="2"/>
      <c r="H536" s="2"/>
      <c r="N536" s="2"/>
    </row>
    <row r="537" ht="15.75" customHeight="1">
      <c r="A537" s="2"/>
      <c r="C537" s="2"/>
      <c r="G537" s="2"/>
      <c r="H537" s="2"/>
      <c r="N537" s="2"/>
    </row>
    <row r="538" ht="15.75" customHeight="1">
      <c r="A538" s="2"/>
      <c r="C538" s="2"/>
      <c r="G538" s="2"/>
      <c r="H538" s="2"/>
      <c r="N538" s="2"/>
    </row>
    <row r="539" ht="15.75" customHeight="1">
      <c r="A539" s="2"/>
      <c r="C539" s="2"/>
      <c r="G539" s="2"/>
      <c r="H539" s="2"/>
      <c r="N539" s="2"/>
    </row>
    <row r="540" ht="15.75" customHeight="1">
      <c r="A540" s="2"/>
      <c r="C540" s="2"/>
      <c r="G540" s="2"/>
      <c r="H540" s="2"/>
      <c r="N540" s="2"/>
    </row>
    <row r="541" ht="15.75" customHeight="1">
      <c r="A541" s="2"/>
      <c r="C541" s="2"/>
      <c r="G541" s="2"/>
      <c r="H541" s="2"/>
      <c r="N541" s="2"/>
    </row>
    <row r="542" ht="15.75" customHeight="1">
      <c r="A542" s="2"/>
      <c r="C542" s="2"/>
      <c r="G542" s="2"/>
      <c r="H542" s="2"/>
      <c r="N542" s="2"/>
    </row>
    <row r="543" ht="15.75" customHeight="1">
      <c r="A543" s="2"/>
      <c r="C543" s="2"/>
      <c r="G543" s="2"/>
      <c r="H543" s="2"/>
      <c r="N543" s="2"/>
    </row>
    <row r="544" ht="15.75" customHeight="1">
      <c r="A544" s="2"/>
      <c r="C544" s="2"/>
      <c r="G544" s="2"/>
      <c r="H544" s="2"/>
      <c r="N544" s="2"/>
    </row>
    <row r="545" ht="15.75" customHeight="1">
      <c r="A545" s="2"/>
      <c r="C545" s="2"/>
      <c r="G545" s="2"/>
      <c r="H545" s="2"/>
      <c r="N545" s="2"/>
    </row>
    <row r="546" ht="15.75" customHeight="1">
      <c r="A546" s="2"/>
      <c r="C546" s="2"/>
      <c r="G546" s="2"/>
      <c r="H546" s="2"/>
      <c r="N546" s="2"/>
    </row>
    <row r="547" ht="15.75" customHeight="1">
      <c r="A547" s="2"/>
      <c r="C547" s="2"/>
      <c r="G547" s="2"/>
      <c r="H547" s="2"/>
      <c r="N547" s="2"/>
    </row>
    <row r="548" ht="15.75" customHeight="1">
      <c r="A548" s="2"/>
      <c r="C548" s="2"/>
      <c r="G548" s="2"/>
      <c r="H548" s="2"/>
      <c r="N548" s="2"/>
    </row>
    <row r="549" ht="15.75" customHeight="1">
      <c r="A549" s="2"/>
      <c r="C549" s="2"/>
      <c r="G549" s="2"/>
      <c r="H549" s="2"/>
      <c r="N549" s="2"/>
    </row>
    <row r="550" ht="15.75" customHeight="1">
      <c r="A550" s="2"/>
      <c r="C550" s="2"/>
      <c r="G550" s="2"/>
      <c r="H550" s="2"/>
      <c r="N550" s="2"/>
    </row>
    <row r="551" ht="15.75" customHeight="1">
      <c r="A551" s="2"/>
      <c r="C551" s="2"/>
      <c r="G551" s="2"/>
      <c r="H551" s="2"/>
      <c r="N551" s="2"/>
    </row>
    <row r="552" ht="15.75" customHeight="1">
      <c r="A552" s="2"/>
      <c r="C552" s="2"/>
      <c r="G552" s="2"/>
      <c r="H552" s="2"/>
      <c r="N552" s="2"/>
    </row>
    <row r="553" ht="15.75" customHeight="1">
      <c r="A553" s="2"/>
      <c r="C553" s="2"/>
      <c r="G553" s="2"/>
      <c r="H553" s="2"/>
      <c r="N553" s="2"/>
    </row>
    <row r="554" ht="15.75" customHeight="1">
      <c r="A554" s="2"/>
      <c r="C554" s="2"/>
      <c r="G554" s="2"/>
      <c r="H554" s="2"/>
      <c r="N554" s="2"/>
    </row>
    <row r="555" ht="15.75" customHeight="1">
      <c r="A555" s="2"/>
      <c r="C555" s="2"/>
      <c r="G555" s="2"/>
      <c r="H555" s="2"/>
      <c r="N555" s="2"/>
    </row>
    <row r="556" ht="15.75" customHeight="1">
      <c r="A556" s="2"/>
      <c r="C556" s="2"/>
      <c r="G556" s="2"/>
      <c r="H556" s="2"/>
      <c r="N556" s="2"/>
    </row>
    <row r="557" ht="15.75" customHeight="1">
      <c r="A557" s="2"/>
      <c r="C557" s="2"/>
      <c r="G557" s="2"/>
      <c r="H557" s="2"/>
      <c r="N557" s="2"/>
    </row>
    <row r="558" ht="15.75" customHeight="1">
      <c r="A558" s="2"/>
      <c r="C558" s="2"/>
      <c r="G558" s="2"/>
      <c r="H558" s="2"/>
      <c r="N558" s="2"/>
    </row>
    <row r="559" ht="15.75" customHeight="1">
      <c r="A559" s="2"/>
      <c r="C559" s="2"/>
      <c r="G559" s="2"/>
      <c r="H559" s="2"/>
      <c r="N559" s="2"/>
    </row>
    <row r="560" ht="15.75" customHeight="1">
      <c r="A560" s="2"/>
      <c r="C560" s="2"/>
      <c r="G560" s="2"/>
      <c r="H560" s="2"/>
      <c r="N560" s="2"/>
    </row>
    <row r="561" ht="15.75" customHeight="1">
      <c r="A561" s="2"/>
      <c r="C561" s="2"/>
      <c r="G561" s="2"/>
      <c r="H561" s="2"/>
      <c r="N561" s="2"/>
    </row>
    <row r="562" ht="15.75" customHeight="1">
      <c r="A562" s="2"/>
      <c r="C562" s="2"/>
      <c r="G562" s="2"/>
      <c r="H562" s="2"/>
      <c r="N562" s="2"/>
    </row>
    <row r="563" ht="15.75" customHeight="1">
      <c r="A563" s="2"/>
      <c r="C563" s="2"/>
      <c r="G563" s="2"/>
      <c r="H563" s="2"/>
      <c r="N563" s="2"/>
    </row>
    <row r="564" ht="15.75" customHeight="1">
      <c r="A564" s="2"/>
      <c r="C564" s="2"/>
      <c r="G564" s="2"/>
      <c r="H564" s="2"/>
      <c r="N564" s="2"/>
    </row>
    <row r="565" ht="15.75" customHeight="1">
      <c r="A565" s="2"/>
      <c r="C565" s="2"/>
      <c r="G565" s="2"/>
      <c r="H565" s="2"/>
      <c r="N565" s="2"/>
    </row>
    <row r="566" ht="15.75" customHeight="1">
      <c r="A566" s="2"/>
      <c r="C566" s="2"/>
      <c r="G566" s="2"/>
      <c r="H566" s="2"/>
      <c r="N566" s="2"/>
    </row>
    <row r="567" ht="15.75" customHeight="1">
      <c r="A567" s="2"/>
      <c r="C567" s="2"/>
      <c r="G567" s="2"/>
      <c r="H567" s="2"/>
      <c r="N567" s="2"/>
    </row>
    <row r="568" ht="15.75" customHeight="1">
      <c r="A568" s="2"/>
      <c r="C568" s="2"/>
      <c r="G568" s="2"/>
      <c r="H568" s="2"/>
      <c r="N568" s="2"/>
    </row>
    <row r="569" ht="15.75" customHeight="1">
      <c r="A569" s="2"/>
      <c r="C569" s="2"/>
      <c r="G569" s="2"/>
      <c r="H569" s="2"/>
      <c r="N569" s="2"/>
    </row>
    <row r="570" ht="15.75" customHeight="1">
      <c r="A570" s="2"/>
      <c r="C570" s="2"/>
      <c r="G570" s="2"/>
      <c r="H570" s="2"/>
      <c r="N570" s="2"/>
    </row>
    <row r="571" ht="15.75" customHeight="1">
      <c r="A571" s="2"/>
      <c r="C571" s="2"/>
      <c r="G571" s="2"/>
      <c r="H571" s="2"/>
      <c r="N571" s="2"/>
    </row>
    <row r="572" ht="15.75" customHeight="1">
      <c r="A572" s="2"/>
      <c r="C572" s="2"/>
      <c r="G572" s="2"/>
      <c r="H572" s="2"/>
      <c r="N572" s="2"/>
    </row>
    <row r="573" ht="15.75" customHeight="1">
      <c r="A573" s="2"/>
      <c r="C573" s="2"/>
      <c r="G573" s="2"/>
      <c r="H573" s="2"/>
      <c r="N573" s="2"/>
    </row>
    <row r="574" ht="15.75" customHeight="1">
      <c r="A574" s="2"/>
      <c r="C574" s="2"/>
      <c r="G574" s="2"/>
      <c r="H574" s="2"/>
      <c r="N574" s="2"/>
    </row>
    <row r="575" ht="15.75" customHeight="1">
      <c r="A575" s="2"/>
      <c r="C575" s="2"/>
      <c r="G575" s="2"/>
      <c r="H575" s="2"/>
      <c r="N575" s="2"/>
    </row>
    <row r="576" ht="15.75" customHeight="1">
      <c r="A576" s="2"/>
      <c r="C576" s="2"/>
      <c r="G576" s="2"/>
      <c r="H576" s="2"/>
      <c r="N576" s="2"/>
    </row>
    <row r="577" ht="15.75" customHeight="1">
      <c r="A577" s="2"/>
      <c r="C577" s="2"/>
      <c r="G577" s="2"/>
      <c r="H577" s="2"/>
      <c r="N577" s="2"/>
    </row>
    <row r="578" ht="15.75" customHeight="1">
      <c r="A578" s="2"/>
      <c r="C578" s="2"/>
      <c r="G578" s="2"/>
      <c r="H578" s="2"/>
      <c r="N578" s="2"/>
    </row>
    <row r="579" ht="15.75" customHeight="1">
      <c r="A579" s="2"/>
      <c r="C579" s="2"/>
      <c r="G579" s="2"/>
      <c r="H579" s="2"/>
      <c r="N579" s="2"/>
    </row>
    <row r="580" ht="15.75" customHeight="1">
      <c r="A580" s="2"/>
      <c r="C580" s="2"/>
      <c r="G580" s="2"/>
      <c r="H580" s="2"/>
      <c r="N580" s="2"/>
    </row>
    <row r="581" ht="15.75" customHeight="1">
      <c r="A581" s="2"/>
      <c r="C581" s="2"/>
      <c r="G581" s="2"/>
      <c r="H581" s="2"/>
      <c r="N581" s="2"/>
    </row>
    <row r="582" ht="15.75" customHeight="1">
      <c r="A582" s="2"/>
      <c r="C582" s="2"/>
      <c r="G582" s="2"/>
      <c r="H582" s="2"/>
      <c r="N582" s="2"/>
    </row>
    <row r="583" ht="15.75" customHeight="1">
      <c r="A583" s="2"/>
      <c r="C583" s="2"/>
      <c r="G583" s="2"/>
      <c r="H583" s="2"/>
      <c r="N583" s="2"/>
    </row>
    <row r="584" ht="15.75" customHeight="1">
      <c r="A584" s="2"/>
      <c r="C584" s="2"/>
      <c r="G584" s="2"/>
      <c r="H584" s="2"/>
      <c r="N584" s="2"/>
    </row>
    <row r="585" ht="15.75" customHeight="1">
      <c r="A585" s="2"/>
      <c r="C585" s="2"/>
      <c r="G585" s="2"/>
      <c r="H585" s="2"/>
      <c r="N585" s="2"/>
    </row>
    <row r="586" ht="15.75" customHeight="1">
      <c r="A586" s="2"/>
      <c r="C586" s="2"/>
      <c r="G586" s="2"/>
      <c r="H586" s="2"/>
      <c r="N586" s="2"/>
    </row>
    <row r="587" ht="15.75" customHeight="1">
      <c r="A587" s="2"/>
      <c r="C587" s="2"/>
      <c r="G587" s="2"/>
      <c r="H587" s="2"/>
      <c r="N587" s="2"/>
    </row>
    <row r="588" ht="15.75" customHeight="1">
      <c r="A588" s="2"/>
      <c r="C588" s="2"/>
      <c r="G588" s="2"/>
      <c r="H588" s="2"/>
      <c r="N588" s="2"/>
    </row>
    <row r="589" ht="15.75" customHeight="1">
      <c r="A589" s="2"/>
      <c r="C589" s="2"/>
      <c r="G589" s="2"/>
      <c r="H589" s="2"/>
      <c r="N589" s="2"/>
    </row>
    <row r="590" ht="15.75" customHeight="1">
      <c r="A590" s="2"/>
      <c r="C590" s="2"/>
      <c r="G590" s="2"/>
      <c r="H590" s="2"/>
      <c r="N590" s="2"/>
    </row>
    <row r="591" ht="15.75" customHeight="1">
      <c r="A591" s="2"/>
      <c r="C591" s="2"/>
      <c r="G591" s="2"/>
      <c r="H591" s="2"/>
      <c r="N591" s="2"/>
    </row>
    <row r="592" ht="15.75" customHeight="1">
      <c r="A592" s="2"/>
      <c r="C592" s="2"/>
      <c r="G592" s="2"/>
      <c r="H592" s="2"/>
      <c r="N592" s="2"/>
    </row>
    <row r="593" ht="15.75" customHeight="1">
      <c r="A593" s="2"/>
      <c r="C593" s="2"/>
      <c r="G593" s="2"/>
      <c r="H593" s="2"/>
      <c r="N593" s="2"/>
    </row>
    <row r="594" ht="15.75" customHeight="1">
      <c r="A594" s="2"/>
      <c r="C594" s="2"/>
      <c r="G594" s="2"/>
      <c r="H594" s="2"/>
      <c r="N594" s="2"/>
    </row>
    <row r="595" ht="15.75" customHeight="1">
      <c r="A595" s="2"/>
      <c r="C595" s="2"/>
      <c r="G595" s="2"/>
      <c r="H595" s="2"/>
      <c r="N595" s="2"/>
    </row>
    <row r="596" ht="15.75" customHeight="1">
      <c r="A596" s="2"/>
      <c r="C596" s="2"/>
      <c r="G596" s="2"/>
      <c r="H596" s="2"/>
      <c r="N596" s="2"/>
    </row>
    <row r="597" ht="15.75" customHeight="1">
      <c r="A597" s="2"/>
      <c r="C597" s="2"/>
      <c r="G597" s="2"/>
      <c r="H597" s="2"/>
      <c r="N597" s="2"/>
    </row>
    <row r="598" ht="15.75" customHeight="1">
      <c r="A598" s="2"/>
      <c r="C598" s="2"/>
      <c r="G598" s="2"/>
      <c r="H598" s="2"/>
      <c r="N598" s="2"/>
    </row>
    <row r="599" ht="15.75" customHeight="1">
      <c r="A599" s="2"/>
      <c r="C599" s="2"/>
      <c r="G599" s="2"/>
      <c r="H599" s="2"/>
      <c r="N599" s="2"/>
    </row>
    <row r="600" ht="15.75" customHeight="1">
      <c r="A600" s="2"/>
      <c r="C600" s="2"/>
      <c r="G600" s="2"/>
      <c r="H600" s="2"/>
      <c r="N600" s="2"/>
    </row>
    <row r="601" ht="15.75" customHeight="1">
      <c r="A601" s="2"/>
      <c r="C601" s="2"/>
      <c r="G601" s="2"/>
      <c r="H601" s="2"/>
      <c r="N601" s="2"/>
    </row>
    <row r="602" ht="15.75" customHeight="1">
      <c r="A602" s="2"/>
      <c r="C602" s="2"/>
      <c r="G602" s="2"/>
      <c r="H602" s="2"/>
      <c r="N602" s="2"/>
    </row>
    <row r="603" ht="15.75" customHeight="1">
      <c r="A603" s="2"/>
      <c r="C603" s="2"/>
      <c r="G603" s="2"/>
      <c r="H603" s="2"/>
      <c r="N603" s="2"/>
    </row>
    <row r="604" ht="15.75" customHeight="1">
      <c r="A604" s="2"/>
      <c r="C604" s="2"/>
      <c r="G604" s="2"/>
      <c r="H604" s="2"/>
      <c r="N604" s="2"/>
    </row>
    <row r="605" ht="15.75" customHeight="1">
      <c r="A605" s="2"/>
      <c r="C605" s="2"/>
      <c r="G605" s="2"/>
      <c r="H605" s="2"/>
      <c r="N605" s="2"/>
    </row>
    <row r="606" ht="15.75" customHeight="1">
      <c r="A606" s="2"/>
      <c r="C606" s="2"/>
      <c r="G606" s="2"/>
      <c r="H606" s="2"/>
      <c r="N606" s="2"/>
    </row>
    <row r="607" ht="15.75" customHeight="1">
      <c r="A607" s="2"/>
      <c r="C607" s="2"/>
      <c r="G607" s="2"/>
      <c r="H607" s="2"/>
      <c r="N607" s="2"/>
    </row>
    <row r="608" ht="15.75" customHeight="1">
      <c r="A608" s="2"/>
      <c r="C608" s="2"/>
      <c r="G608" s="2"/>
      <c r="H608" s="2"/>
      <c r="N608" s="2"/>
    </row>
    <row r="609" ht="15.75" customHeight="1">
      <c r="A609" s="2"/>
      <c r="C609" s="2"/>
      <c r="G609" s="2"/>
      <c r="H609" s="2"/>
      <c r="N609" s="2"/>
    </row>
    <row r="610" ht="15.75" customHeight="1">
      <c r="A610" s="2"/>
      <c r="C610" s="2"/>
      <c r="G610" s="2"/>
      <c r="H610" s="2"/>
      <c r="N610" s="2"/>
    </row>
    <row r="611" ht="15.75" customHeight="1">
      <c r="A611" s="2"/>
      <c r="C611" s="2"/>
      <c r="G611" s="2"/>
      <c r="H611" s="2"/>
      <c r="N611" s="2"/>
    </row>
    <row r="612" ht="15.75" customHeight="1">
      <c r="A612" s="2"/>
      <c r="C612" s="2"/>
      <c r="G612" s="2"/>
      <c r="H612" s="2"/>
      <c r="N612" s="2"/>
    </row>
    <row r="613" ht="15.75" customHeight="1">
      <c r="A613" s="2"/>
      <c r="C613" s="2"/>
      <c r="G613" s="2"/>
      <c r="H613" s="2"/>
      <c r="N613" s="2"/>
    </row>
    <row r="614" ht="15.75" customHeight="1">
      <c r="A614" s="2"/>
      <c r="C614" s="2"/>
      <c r="G614" s="2"/>
      <c r="H614" s="2"/>
      <c r="N614" s="2"/>
    </row>
    <row r="615" ht="15.75" customHeight="1">
      <c r="A615" s="2"/>
      <c r="C615" s="2"/>
      <c r="G615" s="2"/>
      <c r="H615" s="2"/>
      <c r="N615" s="2"/>
    </row>
    <row r="616" ht="15.75" customHeight="1">
      <c r="A616" s="2"/>
      <c r="C616" s="2"/>
      <c r="G616" s="2"/>
      <c r="H616" s="2"/>
      <c r="N616" s="2"/>
    </row>
    <row r="617" ht="15.75" customHeight="1">
      <c r="A617" s="2"/>
      <c r="C617" s="2"/>
      <c r="G617" s="2"/>
      <c r="H617" s="2"/>
      <c r="N617" s="2"/>
    </row>
    <row r="618" ht="15.75" customHeight="1">
      <c r="A618" s="2"/>
      <c r="C618" s="2"/>
      <c r="G618" s="2"/>
      <c r="H618" s="2"/>
      <c r="N618" s="2"/>
    </row>
    <row r="619" ht="15.75" customHeight="1">
      <c r="A619" s="2"/>
      <c r="C619" s="2"/>
      <c r="G619" s="2"/>
      <c r="H619" s="2"/>
      <c r="N619" s="2"/>
    </row>
    <row r="620" ht="15.75" customHeight="1">
      <c r="A620" s="2"/>
      <c r="C620" s="2"/>
      <c r="G620" s="2"/>
      <c r="H620" s="2"/>
      <c r="N620" s="2"/>
    </row>
    <row r="621" ht="15.75" customHeight="1">
      <c r="A621" s="2"/>
      <c r="C621" s="2"/>
      <c r="G621" s="2"/>
      <c r="H621" s="2"/>
      <c r="N621" s="2"/>
    </row>
    <row r="622" ht="15.75" customHeight="1">
      <c r="A622" s="2"/>
      <c r="C622" s="2"/>
      <c r="G622" s="2"/>
      <c r="H622" s="2"/>
      <c r="N622" s="2"/>
    </row>
    <row r="623" ht="15.75" customHeight="1">
      <c r="A623" s="2"/>
      <c r="C623" s="2"/>
      <c r="G623" s="2"/>
      <c r="H623" s="2"/>
      <c r="N623" s="2"/>
    </row>
    <row r="624" ht="15.75" customHeight="1">
      <c r="A624" s="2"/>
      <c r="C624" s="2"/>
      <c r="G624" s="2"/>
      <c r="H624" s="2"/>
      <c r="N624" s="2"/>
    </row>
    <row r="625" ht="15.75" customHeight="1">
      <c r="A625" s="2"/>
      <c r="C625" s="2"/>
      <c r="G625" s="2"/>
      <c r="H625" s="2"/>
      <c r="N625" s="2"/>
    </row>
    <row r="626" ht="15.75" customHeight="1">
      <c r="A626" s="2"/>
      <c r="C626" s="2"/>
      <c r="G626" s="2"/>
      <c r="H626" s="2"/>
      <c r="N626" s="2"/>
    </row>
    <row r="627" ht="15.75" customHeight="1">
      <c r="A627" s="2"/>
      <c r="C627" s="2"/>
      <c r="G627" s="2"/>
      <c r="H627" s="2"/>
      <c r="N627" s="2"/>
    </row>
    <row r="628" ht="15.75" customHeight="1">
      <c r="A628" s="2"/>
      <c r="C628" s="2"/>
      <c r="G628" s="2"/>
      <c r="H628" s="2"/>
      <c r="N628" s="2"/>
    </row>
    <row r="629" ht="15.75" customHeight="1">
      <c r="A629" s="2"/>
      <c r="C629" s="2"/>
      <c r="G629" s="2"/>
      <c r="H629" s="2"/>
      <c r="N629" s="2"/>
    </row>
    <row r="630" ht="15.75" customHeight="1">
      <c r="A630" s="2"/>
      <c r="C630" s="2"/>
      <c r="G630" s="2"/>
      <c r="H630" s="2"/>
      <c r="N630" s="2"/>
    </row>
    <row r="631" ht="15.75" customHeight="1">
      <c r="A631" s="2"/>
      <c r="C631" s="2"/>
      <c r="G631" s="2"/>
      <c r="H631" s="2"/>
      <c r="N631" s="2"/>
    </row>
    <row r="632" ht="15.75" customHeight="1">
      <c r="A632" s="2"/>
      <c r="C632" s="2"/>
      <c r="G632" s="2"/>
      <c r="H632" s="2"/>
      <c r="N632" s="2"/>
    </row>
    <row r="633" ht="15.75" customHeight="1">
      <c r="A633" s="2"/>
      <c r="C633" s="2"/>
      <c r="G633" s="2"/>
      <c r="H633" s="2"/>
      <c r="N633" s="2"/>
    </row>
    <row r="634" ht="15.75" customHeight="1">
      <c r="A634" s="2"/>
      <c r="C634" s="2"/>
      <c r="G634" s="2"/>
      <c r="H634" s="2"/>
      <c r="N634" s="2"/>
    </row>
    <row r="635" ht="15.75" customHeight="1">
      <c r="A635" s="2"/>
      <c r="C635" s="2"/>
      <c r="G635" s="2"/>
      <c r="H635" s="2"/>
      <c r="N635" s="2"/>
    </row>
    <row r="636" ht="15.75" customHeight="1">
      <c r="A636" s="2"/>
      <c r="C636" s="2"/>
      <c r="G636" s="2"/>
      <c r="H636" s="2"/>
      <c r="N636" s="2"/>
    </row>
    <row r="637" ht="15.75" customHeight="1">
      <c r="A637" s="2"/>
      <c r="C637" s="2"/>
      <c r="G637" s="2"/>
      <c r="H637" s="2"/>
      <c r="N637" s="2"/>
    </row>
    <row r="638" ht="15.75" customHeight="1">
      <c r="A638" s="2"/>
      <c r="C638" s="2"/>
      <c r="G638" s="2"/>
      <c r="H638" s="2"/>
      <c r="N638" s="2"/>
    </row>
    <row r="639" ht="15.75" customHeight="1">
      <c r="A639" s="2"/>
      <c r="C639" s="2"/>
      <c r="G639" s="2"/>
      <c r="H639" s="2"/>
      <c r="N639" s="2"/>
    </row>
    <row r="640" ht="15.75" customHeight="1">
      <c r="A640" s="2"/>
      <c r="C640" s="2"/>
      <c r="G640" s="2"/>
      <c r="H640" s="2"/>
      <c r="N640" s="2"/>
    </row>
    <row r="641" ht="15.75" customHeight="1">
      <c r="A641" s="2"/>
      <c r="C641" s="2"/>
      <c r="G641" s="2"/>
      <c r="H641" s="2"/>
      <c r="N641" s="2"/>
    </row>
    <row r="642" ht="15.75" customHeight="1">
      <c r="A642" s="2"/>
      <c r="C642" s="2"/>
      <c r="G642" s="2"/>
      <c r="H642" s="2"/>
      <c r="N642" s="2"/>
    </row>
    <row r="643" ht="15.75" customHeight="1">
      <c r="A643" s="2"/>
      <c r="C643" s="2"/>
      <c r="G643" s="2"/>
      <c r="H643" s="2"/>
      <c r="N643" s="2"/>
    </row>
    <row r="644" ht="15.75" customHeight="1">
      <c r="A644" s="2"/>
      <c r="C644" s="2"/>
      <c r="G644" s="2"/>
      <c r="H644" s="2"/>
      <c r="N644" s="2"/>
    </row>
    <row r="645" ht="15.75" customHeight="1">
      <c r="A645" s="2"/>
      <c r="C645" s="2"/>
      <c r="G645" s="2"/>
      <c r="H645" s="2"/>
      <c r="N645" s="2"/>
    </row>
    <row r="646" ht="15.75" customHeight="1">
      <c r="A646" s="2"/>
      <c r="C646" s="2"/>
      <c r="G646" s="2"/>
      <c r="H646" s="2"/>
      <c r="N646" s="2"/>
    </row>
    <row r="647" ht="15.75" customHeight="1">
      <c r="A647" s="2"/>
      <c r="C647" s="2"/>
      <c r="G647" s="2"/>
      <c r="H647" s="2"/>
      <c r="N647" s="2"/>
    </row>
    <row r="648" ht="15.75" customHeight="1">
      <c r="A648" s="2"/>
      <c r="C648" s="2"/>
      <c r="G648" s="2"/>
      <c r="H648" s="2"/>
      <c r="N648" s="2"/>
    </row>
    <row r="649" ht="15.75" customHeight="1">
      <c r="A649" s="2"/>
      <c r="C649" s="2"/>
      <c r="G649" s="2"/>
      <c r="H649" s="2"/>
      <c r="N649" s="2"/>
    </row>
    <row r="650" ht="15.75" customHeight="1">
      <c r="A650" s="2"/>
      <c r="C650" s="2"/>
      <c r="G650" s="2"/>
      <c r="H650" s="2"/>
      <c r="N650" s="2"/>
    </row>
    <row r="651" ht="15.75" customHeight="1">
      <c r="A651" s="2"/>
      <c r="C651" s="2"/>
      <c r="G651" s="2"/>
      <c r="H651" s="2"/>
      <c r="N651" s="2"/>
    </row>
    <row r="652" ht="15.75" customHeight="1">
      <c r="A652" s="2"/>
      <c r="C652" s="2"/>
      <c r="G652" s="2"/>
      <c r="H652" s="2"/>
      <c r="N652" s="2"/>
    </row>
    <row r="653" ht="15.75" customHeight="1">
      <c r="A653" s="2"/>
      <c r="C653" s="2"/>
      <c r="G653" s="2"/>
      <c r="H653" s="2"/>
      <c r="N653" s="2"/>
    </row>
    <row r="654" ht="15.75" customHeight="1">
      <c r="A654" s="2"/>
      <c r="C654" s="2"/>
      <c r="G654" s="2"/>
      <c r="H654" s="2"/>
      <c r="N654" s="2"/>
    </row>
    <row r="655" ht="15.75" customHeight="1">
      <c r="A655" s="2"/>
      <c r="C655" s="2"/>
      <c r="G655" s="2"/>
      <c r="H655" s="2"/>
      <c r="N655" s="2"/>
    </row>
    <row r="656" ht="15.75" customHeight="1">
      <c r="A656" s="2"/>
      <c r="C656" s="2"/>
      <c r="G656" s="2"/>
      <c r="H656" s="2"/>
      <c r="N656" s="2"/>
    </row>
    <row r="657" ht="15.75" customHeight="1">
      <c r="A657" s="2"/>
      <c r="C657" s="2"/>
      <c r="G657" s="2"/>
      <c r="H657" s="2"/>
      <c r="N657" s="2"/>
    </row>
    <row r="658" ht="15.75" customHeight="1">
      <c r="A658" s="2"/>
      <c r="C658" s="2"/>
      <c r="G658" s="2"/>
      <c r="H658" s="2"/>
      <c r="N658" s="2"/>
    </row>
    <row r="659" ht="15.75" customHeight="1">
      <c r="A659" s="2"/>
      <c r="C659" s="2"/>
      <c r="G659" s="2"/>
      <c r="H659" s="2"/>
      <c r="N659" s="2"/>
    </row>
    <row r="660" ht="15.75" customHeight="1">
      <c r="A660" s="2"/>
      <c r="C660" s="2"/>
      <c r="G660" s="2"/>
      <c r="H660" s="2"/>
      <c r="N660" s="2"/>
    </row>
    <row r="661" ht="15.75" customHeight="1">
      <c r="A661" s="2"/>
      <c r="C661" s="2"/>
      <c r="G661" s="2"/>
      <c r="H661" s="2"/>
      <c r="N661" s="2"/>
    </row>
    <row r="662" ht="15.75" customHeight="1">
      <c r="A662" s="2"/>
      <c r="C662" s="2"/>
      <c r="G662" s="2"/>
      <c r="H662" s="2"/>
      <c r="N662" s="2"/>
    </row>
    <row r="663" ht="15.75" customHeight="1">
      <c r="A663" s="2"/>
      <c r="C663" s="2"/>
      <c r="G663" s="2"/>
      <c r="H663" s="2"/>
      <c r="N663" s="2"/>
    </row>
    <row r="664" ht="15.75" customHeight="1">
      <c r="A664" s="2"/>
      <c r="C664" s="2"/>
      <c r="G664" s="2"/>
      <c r="H664" s="2"/>
      <c r="N664" s="2"/>
    </row>
    <row r="665" ht="15.75" customHeight="1">
      <c r="A665" s="2"/>
      <c r="C665" s="2"/>
      <c r="G665" s="2"/>
      <c r="H665" s="2"/>
      <c r="N665" s="2"/>
    </row>
    <row r="666" ht="15.75" customHeight="1">
      <c r="A666" s="2"/>
      <c r="C666" s="2"/>
      <c r="G666" s="2"/>
      <c r="H666" s="2"/>
      <c r="N666" s="2"/>
    </row>
    <row r="667" ht="15.75" customHeight="1">
      <c r="A667" s="2"/>
      <c r="C667" s="2"/>
      <c r="G667" s="2"/>
      <c r="H667" s="2"/>
      <c r="N667" s="2"/>
    </row>
    <row r="668" ht="15.75" customHeight="1">
      <c r="A668" s="2"/>
      <c r="C668" s="2"/>
      <c r="G668" s="2"/>
      <c r="H668" s="2"/>
      <c r="N668" s="2"/>
    </row>
    <row r="669" ht="15.75" customHeight="1">
      <c r="A669" s="2"/>
      <c r="C669" s="2"/>
      <c r="G669" s="2"/>
      <c r="H669" s="2"/>
      <c r="N669" s="2"/>
    </row>
    <row r="670" ht="15.75" customHeight="1">
      <c r="A670" s="2"/>
      <c r="C670" s="2"/>
      <c r="G670" s="2"/>
      <c r="H670" s="2"/>
      <c r="N670" s="2"/>
    </row>
    <row r="671" ht="15.75" customHeight="1">
      <c r="A671" s="2"/>
      <c r="C671" s="2"/>
      <c r="G671" s="2"/>
      <c r="H671" s="2"/>
      <c r="N671" s="2"/>
    </row>
    <row r="672" ht="15.75" customHeight="1">
      <c r="A672" s="2"/>
      <c r="C672" s="2"/>
      <c r="G672" s="2"/>
      <c r="H672" s="2"/>
      <c r="N672" s="2"/>
    </row>
    <row r="673" ht="15.75" customHeight="1">
      <c r="A673" s="2"/>
      <c r="C673" s="2"/>
      <c r="G673" s="2"/>
      <c r="H673" s="2"/>
      <c r="N673" s="2"/>
    </row>
    <row r="674" ht="15.75" customHeight="1">
      <c r="A674" s="2"/>
      <c r="C674" s="2"/>
      <c r="G674" s="2"/>
      <c r="H674" s="2"/>
      <c r="N674" s="2"/>
    </row>
    <row r="675" ht="15.75" customHeight="1">
      <c r="A675" s="2"/>
      <c r="C675" s="2"/>
      <c r="G675" s="2"/>
      <c r="H675" s="2"/>
      <c r="N675" s="2"/>
    </row>
    <row r="676" ht="15.75" customHeight="1">
      <c r="A676" s="2"/>
      <c r="C676" s="2"/>
      <c r="G676" s="2"/>
      <c r="H676" s="2"/>
      <c r="N676" s="2"/>
    </row>
    <row r="677" ht="15.75" customHeight="1">
      <c r="A677" s="2"/>
      <c r="C677" s="2"/>
      <c r="G677" s="2"/>
      <c r="H677" s="2"/>
      <c r="N677" s="2"/>
    </row>
    <row r="678" ht="15.75" customHeight="1">
      <c r="A678" s="2"/>
      <c r="C678" s="2"/>
      <c r="G678" s="2"/>
      <c r="H678" s="2"/>
      <c r="N678" s="2"/>
    </row>
    <row r="679" ht="15.75" customHeight="1">
      <c r="A679" s="2"/>
      <c r="C679" s="2"/>
      <c r="G679" s="2"/>
      <c r="H679" s="2"/>
      <c r="N679" s="2"/>
    </row>
    <row r="680" ht="15.75" customHeight="1">
      <c r="A680" s="2"/>
      <c r="C680" s="2"/>
      <c r="G680" s="2"/>
      <c r="H680" s="2"/>
      <c r="N680" s="2"/>
    </row>
    <row r="681" ht="15.75" customHeight="1">
      <c r="A681" s="2"/>
      <c r="C681" s="2"/>
      <c r="G681" s="2"/>
      <c r="H681" s="2"/>
      <c r="N681" s="2"/>
    </row>
    <row r="682" ht="15.75" customHeight="1">
      <c r="A682" s="2"/>
      <c r="C682" s="2"/>
      <c r="G682" s="2"/>
      <c r="H682" s="2"/>
      <c r="N682" s="2"/>
    </row>
    <row r="683" ht="15.75" customHeight="1">
      <c r="A683" s="2"/>
      <c r="C683" s="2"/>
      <c r="G683" s="2"/>
      <c r="H683" s="2"/>
      <c r="N683" s="2"/>
    </row>
    <row r="684" ht="15.75" customHeight="1">
      <c r="A684" s="2"/>
      <c r="C684" s="2"/>
      <c r="G684" s="2"/>
      <c r="H684" s="2"/>
      <c r="N684" s="2"/>
    </row>
    <row r="685" ht="15.75" customHeight="1">
      <c r="A685" s="2"/>
      <c r="C685" s="2"/>
      <c r="G685" s="2"/>
      <c r="H685" s="2"/>
      <c r="N685" s="2"/>
    </row>
    <row r="686" ht="15.75" customHeight="1">
      <c r="A686" s="2"/>
      <c r="C686" s="2"/>
      <c r="G686" s="2"/>
      <c r="H686" s="2"/>
      <c r="N686" s="2"/>
    </row>
    <row r="687" ht="15.75" customHeight="1">
      <c r="A687" s="2"/>
      <c r="C687" s="2"/>
      <c r="G687" s="2"/>
      <c r="H687" s="2"/>
      <c r="N687" s="2"/>
    </row>
    <row r="688" ht="15.75" customHeight="1">
      <c r="A688" s="2"/>
      <c r="C688" s="2"/>
      <c r="G688" s="2"/>
      <c r="H688" s="2"/>
      <c r="N688" s="2"/>
    </row>
    <row r="689" ht="15.75" customHeight="1">
      <c r="A689" s="2"/>
      <c r="C689" s="2"/>
      <c r="G689" s="2"/>
      <c r="H689" s="2"/>
      <c r="N689" s="2"/>
    </row>
    <row r="690" ht="15.75" customHeight="1">
      <c r="A690" s="2"/>
      <c r="C690" s="2"/>
      <c r="G690" s="2"/>
      <c r="H690" s="2"/>
      <c r="N690" s="2"/>
    </row>
    <row r="691" ht="15.75" customHeight="1">
      <c r="A691" s="2"/>
      <c r="C691" s="2"/>
      <c r="G691" s="2"/>
      <c r="H691" s="2"/>
      <c r="N691" s="2"/>
    </row>
    <row r="692" ht="15.75" customHeight="1">
      <c r="A692" s="2"/>
      <c r="C692" s="2"/>
      <c r="G692" s="2"/>
      <c r="H692" s="2"/>
      <c r="N692" s="2"/>
    </row>
    <row r="693" ht="15.75" customHeight="1">
      <c r="A693" s="2"/>
      <c r="C693" s="2"/>
      <c r="G693" s="2"/>
      <c r="H693" s="2"/>
      <c r="N693" s="2"/>
    </row>
    <row r="694" ht="15.75" customHeight="1">
      <c r="A694" s="2"/>
      <c r="C694" s="2"/>
      <c r="G694" s="2"/>
      <c r="H694" s="2"/>
      <c r="N694" s="2"/>
    </row>
    <row r="695" ht="15.75" customHeight="1">
      <c r="A695" s="2"/>
      <c r="C695" s="2"/>
      <c r="G695" s="2"/>
      <c r="H695" s="2"/>
      <c r="N695" s="2"/>
    </row>
    <row r="696" ht="15.75" customHeight="1">
      <c r="A696" s="2"/>
      <c r="C696" s="2"/>
      <c r="G696" s="2"/>
      <c r="H696" s="2"/>
      <c r="N696" s="2"/>
    </row>
    <row r="697" ht="15.75" customHeight="1">
      <c r="A697" s="2"/>
      <c r="C697" s="2"/>
      <c r="G697" s="2"/>
      <c r="H697" s="2"/>
      <c r="N697" s="2"/>
    </row>
    <row r="698" ht="15.75" customHeight="1">
      <c r="A698" s="2"/>
      <c r="C698" s="2"/>
      <c r="G698" s="2"/>
      <c r="H698" s="2"/>
      <c r="N698" s="2"/>
    </row>
    <row r="699" ht="15.75" customHeight="1">
      <c r="A699" s="2"/>
      <c r="C699" s="2"/>
      <c r="G699" s="2"/>
      <c r="H699" s="2"/>
      <c r="N699" s="2"/>
    </row>
    <row r="700" ht="15.75" customHeight="1">
      <c r="A700" s="2"/>
      <c r="C700" s="2"/>
      <c r="G700" s="2"/>
      <c r="H700" s="2"/>
      <c r="N700" s="2"/>
    </row>
    <row r="701" ht="15.75" customHeight="1">
      <c r="A701" s="2"/>
      <c r="C701" s="2"/>
      <c r="G701" s="2"/>
      <c r="H701" s="2"/>
      <c r="N701" s="2"/>
    </row>
    <row r="702" ht="15.75" customHeight="1">
      <c r="A702" s="2"/>
      <c r="C702" s="2"/>
      <c r="G702" s="2"/>
      <c r="H702" s="2"/>
      <c r="N702" s="2"/>
    </row>
    <row r="703" ht="15.75" customHeight="1">
      <c r="A703" s="2"/>
      <c r="C703" s="2"/>
      <c r="G703" s="2"/>
      <c r="H703" s="2"/>
      <c r="N703" s="2"/>
    </row>
    <row r="704" ht="15.75" customHeight="1">
      <c r="A704" s="2"/>
      <c r="C704" s="2"/>
      <c r="G704" s="2"/>
      <c r="H704" s="2"/>
      <c r="N704" s="2"/>
    </row>
    <row r="705" ht="15.75" customHeight="1">
      <c r="A705" s="2"/>
      <c r="C705" s="2"/>
      <c r="G705" s="2"/>
      <c r="H705" s="2"/>
      <c r="N705" s="2"/>
    </row>
    <row r="706" ht="15.75" customHeight="1">
      <c r="A706" s="2"/>
      <c r="C706" s="2"/>
      <c r="G706" s="2"/>
      <c r="H706" s="2"/>
      <c r="N706" s="2"/>
    </row>
    <row r="707" ht="15.75" customHeight="1">
      <c r="A707" s="2"/>
      <c r="C707" s="2"/>
      <c r="G707" s="2"/>
      <c r="H707" s="2"/>
      <c r="N707" s="2"/>
    </row>
    <row r="708" ht="15.75" customHeight="1">
      <c r="A708" s="2"/>
      <c r="C708" s="2"/>
      <c r="G708" s="2"/>
      <c r="H708" s="2"/>
      <c r="N708" s="2"/>
    </row>
    <row r="709" ht="15.75" customHeight="1">
      <c r="A709" s="2"/>
      <c r="C709" s="2"/>
      <c r="G709" s="2"/>
      <c r="H709" s="2"/>
      <c r="N709" s="2"/>
    </row>
    <row r="710" ht="15.75" customHeight="1">
      <c r="A710" s="2"/>
      <c r="C710" s="2"/>
      <c r="G710" s="2"/>
      <c r="H710" s="2"/>
      <c r="N710" s="2"/>
    </row>
    <row r="711" ht="15.75" customHeight="1">
      <c r="A711" s="2"/>
      <c r="C711" s="2"/>
      <c r="G711" s="2"/>
      <c r="H711" s="2"/>
      <c r="N711" s="2"/>
    </row>
    <row r="712" ht="15.75" customHeight="1">
      <c r="A712" s="2"/>
      <c r="C712" s="2"/>
      <c r="G712" s="2"/>
      <c r="H712" s="2"/>
      <c r="N712" s="2"/>
    </row>
    <row r="713" ht="15.75" customHeight="1">
      <c r="A713" s="2"/>
      <c r="C713" s="2"/>
      <c r="G713" s="2"/>
      <c r="H713" s="2"/>
      <c r="N713" s="2"/>
    </row>
    <row r="714" ht="15.75" customHeight="1">
      <c r="A714" s="2"/>
      <c r="C714" s="2"/>
      <c r="G714" s="2"/>
      <c r="H714" s="2"/>
      <c r="N714" s="2"/>
    </row>
    <row r="715" ht="15.75" customHeight="1">
      <c r="A715" s="2"/>
      <c r="C715" s="2"/>
      <c r="G715" s="2"/>
      <c r="H715" s="2"/>
      <c r="N715" s="2"/>
    </row>
    <row r="716" ht="15.75" customHeight="1">
      <c r="A716" s="2"/>
      <c r="C716" s="2"/>
      <c r="G716" s="2"/>
      <c r="H716" s="2"/>
      <c r="N716" s="2"/>
    </row>
    <row r="717" ht="15.75" customHeight="1">
      <c r="A717" s="2"/>
      <c r="C717" s="2"/>
      <c r="G717" s="2"/>
      <c r="H717" s="2"/>
      <c r="N717" s="2"/>
    </row>
    <row r="718" ht="15.75" customHeight="1">
      <c r="A718" s="2"/>
      <c r="C718" s="2"/>
      <c r="G718" s="2"/>
      <c r="H718" s="2"/>
      <c r="N718" s="2"/>
    </row>
    <row r="719" ht="15.75" customHeight="1">
      <c r="A719" s="2"/>
      <c r="C719" s="2"/>
      <c r="G719" s="2"/>
      <c r="H719" s="2"/>
      <c r="N719" s="2"/>
    </row>
    <row r="720" ht="15.75" customHeight="1">
      <c r="A720" s="2"/>
      <c r="C720" s="2"/>
      <c r="G720" s="2"/>
      <c r="H720" s="2"/>
      <c r="N720" s="2"/>
    </row>
    <row r="721" ht="15.75" customHeight="1">
      <c r="A721" s="2"/>
      <c r="C721" s="2"/>
      <c r="G721" s="2"/>
      <c r="H721" s="2"/>
      <c r="N721" s="2"/>
    </row>
    <row r="722" ht="15.75" customHeight="1">
      <c r="A722" s="2"/>
      <c r="C722" s="2"/>
      <c r="G722" s="2"/>
      <c r="H722" s="2"/>
      <c r="N722" s="2"/>
    </row>
    <row r="723" ht="15.75" customHeight="1">
      <c r="A723" s="2"/>
      <c r="C723" s="2"/>
      <c r="G723" s="2"/>
      <c r="H723" s="2"/>
      <c r="N723" s="2"/>
    </row>
    <row r="724" ht="15.75" customHeight="1">
      <c r="A724" s="2"/>
      <c r="C724" s="2"/>
      <c r="G724" s="2"/>
      <c r="H724" s="2"/>
      <c r="N724" s="2"/>
    </row>
    <row r="725" ht="15.75" customHeight="1">
      <c r="A725" s="2"/>
      <c r="C725" s="2"/>
      <c r="G725" s="2"/>
      <c r="H725" s="2"/>
      <c r="N725" s="2"/>
    </row>
    <row r="726" ht="15.75" customHeight="1">
      <c r="A726" s="2"/>
      <c r="C726" s="2"/>
      <c r="G726" s="2"/>
      <c r="H726" s="2"/>
      <c r="N726" s="2"/>
    </row>
    <row r="727" ht="15.75" customHeight="1">
      <c r="A727" s="2"/>
      <c r="C727" s="2"/>
      <c r="G727" s="2"/>
      <c r="H727" s="2"/>
      <c r="N727" s="2"/>
    </row>
    <row r="728" ht="15.75" customHeight="1">
      <c r="A728" s="2"/>
      <c r="C728" s="2"/>
      <c r="G728" s="2"/>
      <c r="H728" s="2"/>
      <c r="N728" s="2"/>
    </row>
    <row r="729" ht="15.75" customHeight="1">
      <c r="A729" s="2"/>
      <c r="C729" s="2"/>
      <c r="G729" s="2"/>
      <c r="H729" s="2"/>
      <c r="N729" s="2"/>
    </row>
    <row r="730" ht="15.75" customHeight="1">
      <c r="A730" s="2"/>
      <c r="C730" s="2"/>
      <c r="G730" s="2"/>
      <c r="H730" s="2"/>
      <c r="N730" s="2"/>
    </row>
    <row r="731" ht="15.75" customHeight="1">
      <c r="A731" s="2"/>
      <c r="C731" s="2"/>
      <c r="G731" s="2"/>
      <c r="H731" s="2"/>
      <c r="N731" s="2"/>
    </row>
    <row r="732" ht="15.75" customHeight="1">
      <c r="A732" s="2"/>
      <c r="C732" s="2"/>
      <c r="G732" s="2"/>
      <c r="H732" s="2"/>
      <c r="N732" s="2"/>
    </row>
    <row r="733" ht="15.75" customHeight="1">
      <c r="A733" s="2"/>
      <c r="C733" s="2"/>
      <c r="G733" s="2"/>
      <c r="H733" s="2"/>
      <c r="N733" s="2"/>
    </row>
    <row r="734" ht="15.75" customHeight="1">
      <c r="A734" s="2"/>
      <c r="C734" s="2"/>
      <c r="G734" s="2"/>
      <c r="H734" s="2"/>
      <c r="N734" s="2"/>
    </row>
    <row r="735" ht="15.75" customHeight="1">
      <c r="A735" s="2"/>
      <c r="C735" s="2"/>
      <c r="G735" s="2"/>
      <c r="H735" s="2"/>
      <c r="N735" s="2"/>
    </row>
    <row r="736" ht="15.75" customHeight="1">
      <c r="A736" s="2"/>
      <c r="C736" s="2"/>
      <c r="G736" s="2"/>
      <c r="H736" s="2"/>
      <c r="N736" s="2"/>
    </row>
    <row r="737" ht="15.75" customHeight="1">
      <c r="A737" s="2"/>
      <c r="C737" s="2"/>
      <c r="G737" s="2"/>
      <c r="H737" s="2"/>
      <c r="N737" s="2"/>
    </row>
    <row r="738" ht="15.75" customHeight="1">
      <c r="A738" s="2"/>
      <c r="C738" s="2"/>
      <c r="G738" s="2"/>
      <c r="H738" s="2"/>
      <c r="N738" s="2"/>
    </row>
    <row r="739" ht="15.75" customHeight="1">
      <c r="A739" s="2"/>
      <c r="C739" s="2"/>
      <c r="G739" s="2"/>
      <c r="H739" s="2"/>
      <c r="N739" s="2"/>
    </row>
    <row r="740" ht="15.75" customHeight="1">
      <c r="A740" s="2"/>
      <c r="C740" s="2"/>
      <c r="G740" s="2"/>
      <c r="H740" s="2"/>
      <c r="N740" s="2"/>
    </row>
    <row r="741" ht="15.75" customHeight="1">
      <c r="A741" s="2"/>
      <c r="C741" s="2"/>
      <c r="G741" s="2"/>
      <c r="H741" s="2"/>
      <c r="N741" s="2"/>
    </row>
    <row r="742" ht="15.75" customHeight="1">
      <c r="A742" s="2"/>
      <c r="C742" s="2"/>
      <c r="G742" s="2"/>
      <c r="H742" s="2"/>
      <c r="N742" s="2"/>
    </row>
    <row r="743" ht="15.75" customHeight="1">
      <c r="A743" s="2"/>
      <c r="C743" s="2"/>
      <c r="G743" s="2"/>
      <c r="H743" s="2"/>
      <c r="N743" s="2"/>
    </row>
    <row r="744" ht="15.75" customHeight="1">
      <c r="A744" s="2"/>
      <c r="C744" s="2"/>
      <c r="G744" s="2"/>
      <c r="H744" s="2"/>
      <c r="N744" s="2"/>
    </row>
    <row r="745" ht="15.75" customHeight="1">
      <c r="A745" s="2"/>
      <c r="C745" s="2"/>
      <c r="G745" s="2"/>
      <c r="H745" s="2"/>
      <c r="N745" s="2"/>
    </row>
    <row r="746" ht="15.75" customHeight="1">
      <c r="A746" s="2"/>
      <c r="C746" s="2"/>
      <c r="G746" s="2"/>
      <c r="H746" s="2"/>
      <c r="N746" s="2"/>
    </row>
    <row r="747" ht="15.75" customHeight="1">
      <c r="A747" s="2"/>
      <c r="C747" s="2"/>
      <c r="G747" s="2"/>
      <c r="H747" s="2"/>
      <c r="N747" s="2"/>
    </row>
    <row r="748" ht="15.75" customHeight="1">
      <c r="A748" s="2"/>
      <c r="C748" s="2"/>
      <c r="G748" s="2"/>
      <c r="H748" s="2"/>
      <c r="N748" s="2"/>
    </row>
    <row r="749" ht="15.75" customHeight="1">
      <c r="A749" s="2"/>
      <c r="C749" s="2"/>
      <c r="G749" s="2"/>
      <c r="H749" s="2"/>
      <c r="N749" s="2"/>
    </row>
    <row r="750" ht="15.75" customHeight="1">
      <c r="A750" s="2"/>
      <c r="C750" s="2"/>
      <c r="G750" s="2"/>
      <c r="H750" s="2"/>
      <c r="N750" s="2"/>
    </row>
    <row r="751" ht="15.75" customHeight="1">
      <c r="A751" s="2"/>
      <c r="C751" s="2"/>
      <c r="G751" s="2"/>
      <c r="H751" s="2"/>
      <c r="N751" s="2"/>
    </row>
    <row r="752" ht="15.75" customHeight="1">
      <c r="A752" s="2"/>
      <c r="C752" s="2"/>
      <c r="G752" s="2"/>
      <c r="H752" s="2"/>
      <c r="N752" s="2"/>
    </row>
    <row r="753" ht="15.75" customHeight="1">
      <c r="A753" s="2"/>
      <c r="C753" s="2"/>
      <c r="G753" s="2"/>
      <c r="H753" s="2"/>
      <c r="N753" s="2"/>
    </row>
    <row r="754" ht="15.75" customHeight="1">
      <c r="A754" s="2"/>
      <c r="C754" s="2"/>
      <c r="G754" s="2"/>
      <c r="H754" s="2"/>
      <c r="N754" s="2"/>
    </row>
    <row r="755" ht="15.75" customHeight="1">
      <c r="A755" s="2"/>
      <c r="C755" s="2"/>
      <c r="G755" s="2"/>
      <c r="H755" s="2"/>
      <c r="N755" s="2"/>
    </row>
    <row r="756" ht="15.75" customHeight="1">
      <c r="A756" s="2"/>
      <c r="C756" s="2"/>
      <c r="G756" s="2"/>
      <c r="H756" s="2"/>
      <c r="N756" s="2"/>
    </row>
    <row r="757" ht="15.75" customHeight="1">
      <c r="A757" s="2"/>
      <c r="C757" s="2"/>
      <c r="G757" s="2"/>
      <c r="H757" s="2"/>
      <c r="N757" s="2"/>
    </row>
    <row r="758" ht="15.75" customHeight="1">
      <c r="A758" s="2"/>
      <c r="C758" s="2"/>
      <c r="G758" s="2"/>
      <c r="H758" s="2"/>
      <c r="N758" s="2"/>
    </row>
    <row r="759" ht="15.75" customHeight="1">
      <c r="A759" s="2"/>
      <c r="C759" s="2"/>
      <c r="G759" s="2"/>
      <c r="H759" s="2"/>
      <c r="N759" s="2"/>
    </row>
    <row r="760" ht="15.75" customHeight="1">
      <c r="A760" s="2"/>
      <c r="C760" s="2"/>
      <c r="G760" s="2"/>
      <c r="H760" s="2"/>
      <c r="N760" s="2"/>
    </row>
    <row r="761" ht="15.75" customHeight="1">
      <c r="A761" s="2"/>
      <c r="C761" s="2"/>
      <c r="G761" s="2"/>
      <c r="H761" s="2"/>
      <c r="N761" s="2"/>
    </row>
    <row r="762" ht="15.75" customHeight="1">
      <c r="A762" s="2"/>
      <c r="C762" s="2"/>
      <c r="G762" s="2"/>
      <c r="H762" s="2"/>
      <c r="N762" s="2"/>
    </row>
    <row r="763" ht="15.75" customHeight="1">
      <c r="A763" s="2"/>
      <c r="C763" s="2"/>
      <c r="G763" s="2"/>
      <c r="H763" s="2"/>
      <c r="N763" s="2"/>
    </row>
    <row r="764" ht="15.75" customHeight="1">
      <c r="A764" s="2"/>
      <c r="C764" s="2"/>
      <c r="G764" s="2"/>
      <c r="H764" s="2"/>
      <c r="N764" s="2"/>
    </row>
    <row r="765" ht="15.75" customHeight="1">
      <c r="A765" s="2"/>
      <c r="C765" s="2"/>
      <c r="G765" s="2"/>
      <c r="H765" s="2"/>
      <c r="N765" s="2"/>
    </row>
    <row r="766" ht="15.75" customHeight="1">
      <c r="A766" s="2"/>
      <c r="C766" s="2"/>
      <c r="G766" s="2"/>
      <c r="H766" s="2"/>
      <c r="N766" s="2"/>
    </row>
    <row r="767" ht="15.75" customHeight="1">
      <c r="A767" s="2"/>
      <c r="C767" s="2"/>
      <c r="G767" s="2"/>
      <c r="H767" s="2"/>
      <c r="N767" s="2"/>
    </row>
    <row r="768" ht="15.75" customHeight="1">
      <c r="A768" s="2"/>
      <c r="C768" s="2"/>
      <c r="G768" s="2"/>
      <c r="H768" s="2"/>
      <c r="N768" s="2"/>
    </row>
    <row r="769" ht="15.75" customHeight="1">
      <c r="A769" s="2"/>
      <c r="C769" s="2"/>
      <c r="G769" s="2"/>
      <c r="H769" s="2"/>
      <c r="N769" s="2"/>
    </row>
    <row r="770" ht="15.75" customHeight="1">
      <c r="A770" s="2"/>
      <c r="C770" s="2"/>
      <c r="G770" s="2"/>
      <c r="H770" s="2"/>
      <c r="N770" s="2"/>
    </row>
    <row r="771" ht="15.75" customHeight="1">
      <c r="A771" s="2"/>
      <c r="C771" s="2"/>
      <c r="G771" s="2"/>
      <c r="H771" s="2"/>
      <c r="N771" s="2"/>
    </row>
    <row r="772" ht="15.75" customHeight="1">
      <c r="A772" s="2"/>
      <c r="C772" s="2"/>
      <c r="G772" s="2"/>
      <c r="H772" s="2"/>
      <c r="N772" s="2"/>
    </row>
    <row r="773" ht="15.75" customHeight="1">
      <c r="A773" s="2"/>
      <c r="C773" s="2"/>
      <c r="G773" s="2"/>
      <c r="H773" s="2"/>
      <c r="N773" s="2"/>
    </row>
    <row r="774" ht="15.75" customHeight="1">
      <c r="A774" s="2"/>
      <c r="C774" s="2"/>
      <c r="G774" s="2"/>
      <c r="H774" s="2"/>
      <c r="N774" s="2"/>
    </row>
    <row r="775" ht="15.75" customHeight="1">
      <c r="A775" s="2"/>
      <c r="C775" s="2"/>
      <c r="G775" s="2"/>
      <c r="H775" s="2"/>
      <c r="N775" s="2"/>
    </row>
    <row r="776" ht="15.75" customHeight="1">
      <c r="A776" s="2"/>
      <c r="C776" s="2"/>
      <c r="G776" s="2"/>
      <c r="H776" s="2"/>
      <c r="N776" s="2"/>
    </row>
    <row r="777" ht="15.75" customHeight="1">
      <c r="A777" s="2"/>
      <c r="C777" s="2"/>
      <c r="G777" s="2"/>
      <c r="H777" s="2"/>
      <c r="N777" s="2"/>
    </row>
    <row r="778" ht="15.75" customHeight="1">
      <c r="A778" s="2"/>
      <c r="C778" s="2"/>
      <c r="G778" s="2"/>
      <c r="H778" s="2"/>
      <c r="N778" s="2"/>
    </row>
    <row r="779" ht="15.75" customHeight="1">
      <c r="A779" s="2"/>
      <c r="C779" s="2"/>
      <c r="G779" s="2"/>
      <c r="H779" s="2"/>
      <c r="N779" s="2"/>
    </row>
    <row r="780" ht="15.75" customHeight="1">
      <c r="A780" s="2"/>
      <c r="C780" s="2"/>
      <c r="G780" s="2"/>
      <c r="H780" s="2"/>
      <c r="N780" s="2"/>
    </row>
    <row r="781" ht="15.75" customHeight="1">
      <c r="A781" s="2"/>
      <c r="C781" s="2"/>
      <c r="G781" s="2"/>
      <c r="H781" s="2"/>
      <c r="N781" s="2"/>
    </row>
    <row r="782" ht="15.75" customHeight="1">
      <c r="A782" s="2"/>
      <c r="C782" s="2"/>
      <c r="G782" s="2"/>
      <c r="H782" s="2"/>
      <c r="N782" s="2"/>
    </row>
    <row r="783" ht="15.75" customHeight="1">
      <c r="A783" s="2"/>
      <c r="C783" s="2"/>
      <c r="G783" s="2"/>
      <c r="H783" s="2"/>
      <c r="N783" s="2"/>
    </row>
    <row r="784" ht="15.75" customHeight="1">
      <c r="A784" s="2"/>
      <c r="C784" s="2"/>
      <c r="G784" s="2"/>
      <c r="H784" s="2"/>
      <c r="N784" s="2"/>
    </row>
    <row r="785" ht="15.75" customHeight="1">
      <c r="A785" s="2"/>
      <c r="C785" s="2"/>
      <c r="G785" s="2"/>
      <c r="H785" s="2"/>
      <c r="N785" s="2"/>
    </row>
    <row r="786" ht="15.75" customHeight="1">
      <c r="A786" s="2"/>
      <c r="C786" s="2"/>
      <c r="G786" s="2"/>
      <c r="H786" s="2"/>
      <c r="N786" s="2"/>
    </row>
    <row r="787" ht="15.75" customHeight="1">
      <c r="A787" s="2"/>
      <c r="C787" s="2"/>
      <c r="G787" s="2"/>
      <c r="H787" s="2"/>
      <c r="N787" s="2"/>
    </row>
    <row r="788" ht="15.75" customHeight="1">
      <c r="A788" s="2"/>
      <c r="C788" s="2"/>
      <c r="G788" s="2"/>
      <c r="H788" s="2"/>
      <c r="N788" s="2"/>
    </row>
    <row r="789" ht="15.75" customHeight="1">
      <c r="A789" s="2"/>
      <c r="C789" s="2"/>
      <c r="G789" s="2"/>
      <c r="H789" s="2"/>
      <c r="N789" s="2"/>
    </row>
    <row r="790" ht="15.75" customHeight="1">
      <c r="A790" s="2"/>
      <c r="C790" s="2"/>
      <c r="G790" s="2"/>
      <c r="H790" s="2"/>
      <c r="N790" s="2"/>
    </row>
    <row r="791" ht="15.75" customHeight="1">
      <c r="A791" s="2"/>
      <c r="C791" s="2"/>
      <c r="G791" s="2"/>
      <c r="H791" s="2"/>
      <c r="N791" s="2"/>
    </row>
    <row r="792" ht="15.75" customHeight="1">
      <c r="A792" s="2"/>
      <c r="C792" s="2"/>
      <c r="G792" s="2"/>
      <c r="H792" s="2"/>
      <c r="N792" s="2"/>
    </row>
    <row r="793" ht="15.75" customHeight="1">
      <c r="A793" s="2"/>
      <c r="C793" s="2"/>
      <c r="G793" s="2"/>
      <c r="H793" s="2"/>
      <c r="N793" s="2"/>
    </row>
    <row r="794" ht="15.75" customHeight="1">
      <c r="A794" s="2"/>
      <c r="C794" s="2"/>
      <c r="G794" s="2"/>
      <c r="H794" s="2"/>
      <c r="N794" s="2"/>
    </row>
    <row r="795" ht="15.75" customHeight="1">
      <c r="A795" s="2"/>
      <c r="C795" s="2"/>
      <c r="G795" s="2"/>
      <c r="H795" s="2"/>
      <c r="N795" s="2"/>
    </row>
    <row r="796" ht="15.75" customHeight="1">
      <c r="A796" s="2"/>
      <c r="C796" s="2"/>
      <c r="G796" s="2"/>
      <c r="H796" s="2"/>
      <c r="N796" s="2"/>
    </row>
    <row r="797" ht="15.75" customHeight="1">
      <c r="A797" s="2"/>
      <c r="C797" s="2"/>
      <c r="G797" s="2"/>
      <c r="H797" s="2"/>
      <c r="N797" s="2"/>
    </row>
    <row r="798" ht="15.75" customHeight="1">
      <c r="A798" s="2"/>
      <c r="C798" s="2"/>
      <c r="G798" s="2"/>
      <c r="H798" s="2"/>
      <c r="N798" s="2"/>
    </row>
    <row r="799" ht="15.75" customHeight="1">
      <c r="A799" s="2"/>
      <c r="C799" s="2"/>
      <c r="G799" s="2"/>
      <c r="H799" s="2"/>
      <c r="N799" s="2"/>
    </row>
    <row r="800" ht="15.75" customHeight="1">
      <c r="A800" s="2"/>
      <c r="C800" s="2"/>
      <c r="G800" s="2"/>
      <c r="H800" s="2"/>
      <c r="N800" s="2"/>
    </row>
    <row r="801" ht="15.75" customHeight="1">
      <c r="A801" s="2"/>
      <c r="C801" s="2"/>
      <c r="G801" s="2"/>
      <c r="H801" s="2"/>
      <c r="N801" s="2"/>
    </row>
    <row r="802" ht="15.75" customHeight="1">
      <c r="A802" s="2"/>
      <c r="C802" s="2"/>
      <c r="G802" s="2"/>
      <c r="H802" s="2"/>
      <c r="N802" s="2"/>
    </row>
    <row r="803" ht="15.75" customHeight="1">
      <c r="A803" s="2"/>
      <c r="C803" s="2"/>
      <c r="G803" s="2"/>
      <c r="H803" s="2"/>
      <c r="N803" s="2"/>
    </row>
    <row r="804" ht="15.75" customHeight="1">
      <c r="A804" s="2"/>
      <c r="C804" s="2"/>
      <c r="G804" s="2"/>
      <c r="H804" s="2"/>
      <c r="N804" s="2"/>
    </row>
    <row r="805" ht="15.75" customHeight="1">
      <c r="A805" s="2"/>
      <c r="C805" s="2"/>
      <c r="G805" s="2"/>
      <c r="H805" s="2"/>
      <c r="N805" s="2"/>
    </row>
    <row r="806" ht="15.75" customHeight="1">
      <c r="A806" s="2"/>
      <c r="C806" s="2"/>
      <c r="G806" s="2"/>
      <c r="H806" s="2"/>
      <c r="N806" s="2"/>
    </row>
    <row r="807" ht="15.75" customHeight="1">
      <c r="A807" s="2"/>
      <c r="C807" s="2"/>
      <c r="G807" s="2"/>
      <c r="H807" s="2"/>
      <c r="N807" s="2"/>
    </row>
    <row r="808" ht="15.75" customHeight="1">
      <c r="A808" s="2"/>
      <c r="C808" s="2"/>
      <c r="G808" s="2"/>
      <c r="H808" s="2"/>
      <c r="N808" s="2"/>
    </row>
    <row r="809" ht="15.75" customHeight="1">
      <c r="A809" s="2"/>
      <c r="C809" s="2"/>
      <c r="G809" s="2"/>
      <c r="H809" s="2"/>
      <c r="N809" s="2"/>
    </row>
    <row r="810" ht="15.75" customHeight="1">
      <c r="A810" s="2"/>
      <c r="C810" s="2"/>
      <c r="G810" s="2"/>
      <c r="H810" s="2"/>
      <c r="N810" s="2"/>
    </row>
    <row r="811" ht="15.75" customHeight="1">
      <c r="A811" s="2"/>
      <c r="C811" s="2"/>
      <c r="G811" s="2"/>
      <c r="H811" s="2"/>
      <c r="N811" s="2"/>
    </row>
    <row r="812" ht="15.75" customHeight="1">
      <c r="A812" s="2"/>
      <c r="C812" s="2"/>
      <c r="G812" s="2"/>
      <c r="H812" s="2"/>
      <c r="N812" s="2"/>
    </row>
    <row r="813" ht="15.75" customHeight="1">
      <c r="A813" s="2"/>
      <c r="C813" s="2"/>
      <c r="G813" s="2"/>
      <c r="H813" s="2"/>
      <c r="N813" s="2"/>
    </row>
    <row r="814" ht="15.75" customHeight="1">
      <c r="A814" s="2"/>
      <c r="C814" s="2"/>
      <c r="G814" s="2"/>
      <c r="H814" s="2"/>
      <c r="N814" s="2"/>
    </row>
    <row r="815" ht="15.75" customHeight="1">
      <c r="A815" s="2"/>
      <c r="C815" s="2"/>
      <c r="G815" s="2"/>
      <c r="H815" s="2"/>
      <c r="N815" s="2"/>
    </row>
    <row r="816" ht="15.75" customHeight="1">
      <c r="A816" s="2"/>
      <c r="C816" s="2"/>
      <c r="G816" s="2"/>
      <c r="H816" s="2"/>
      <c r="N816" s="2"/>
    </row>
    <row r="817" ht="15.75" customHeight="1">
      <c r="A817" s="2"/>
      <c r="C817" s="2"/>
      <c r="G817" s="2"/>
      <c r="H817" s="2"/>
      <c r="N817" s="2"/>
    </row>
    <row r="818" ht="15.75" customHeight="1">
      <c r="A818" s="2"/>
      <c r="C818" s="2"/>
      <c r="G818" s="2"/>
      <c r="H818" s="2"/>
      <c r="N818" s="2"/>
    </row>
    <row r="819" ht="15.75" customHeight="1">
      <c r="A819" s="2"/>
      <c r="C819" s="2"/>
      <c r="G819" s="2"/>
      <c r="H819" s="2"/>
      <c r="N819" s="2"/>
    </row>
    <row r="820" ht="15.75" customHeight="1">
      <c r="A820" s="2"/>
      <c r="C820" s="2"/>
      <c r="G820" s="2"/>
      <c r="H820" s="2"/>
      <c r="N820" s="2"/>
    </row>
    <row r="821" ht="15.75" customHeight="1">
      <c r="A821" s="2"/>
      <c r="C821" s="2"/>
      <c r="G821" s="2"/>
      <c r="H821" s="2"/>
      <c r="N821" s="2"/>
    </row>
    <row r="822" ht="15.75" customHeight="1">
      <c r="A822" s="2"/>
      <c r="C822" s="2"/>
      <c r="G822" s="2"/>
      <c r="H822" s="2"/>
      <c r="N822" s="2"/>
    </row>
    <row r="823" ht="15.75" customHeight="1">
      <c r="A823" s="2"/>
      <c r="C823" s="2"/>
      <c r="G823" s="2"/>
      <c r="H823" s="2"/>
      <c r="N823" s="2"/>
    </row>
    <row r="824" ht="15.75" customHeight="1">
      <c r="A824" s="2"/>
      <c r="C824" s="2"/>
      <c r="G824" s="2"/>
      <c r="H824" s="2"/>
      <c r="N824" s="2"/>
    </row>
    <row r="825" ht="15.75" customHeight="1">
      <c r="A825" s="2"/>
      <c r="C825" s="2"/>
      <c r="G825" s="2"/>
      <c r="H825" s="2"/>
      <c r="N825" s="2"/>
    </row>
    <row r="826" ht="15.75" customHeight="1">
      <c r="A826" s="2"/>
      <c r="C826" s="2"/>
      <c r="G826" s="2"/>
      <c r="H826" s="2"/>
      <c r="N826" s="2"/>
    </row>
    <row r="827" ht="15.75" customHeight="1">
      <c r="A827" s="2"/>
      <c r="C827" s="2"/>
      <c r="G827" s="2"/>
      <c r="H827" s="2"/>
      <c r="N827" s="2"/>
    </row>
    <row r="828" ht="15.75" customHeight="1">
      <c r="A828" s="2"/>
      <c r="C828" s="2"/>
      <c r="G828" s="2"/>
      <c r="H828" s="2"/>
      <c r="N828" s="2"/>
    </row>
    <row r="829" ht="15.75" customHeight="1">
      <c r="A829" s="2"/>
      <c r="C829" s="2"/>
      <c r="G829" s="2"/>
      <c r="H829" s="2"/>
      <c r="N829" s="2"/>
    </row>
    <row r="830" ht="15.75" customHeight="1">
      <c r="A830" s="2"/>
      <c r="C830" s="2"/>
      <c r="G830" s="2"/>
      <c r="H830" s="2"/>
      <c r="N830" s="2"/>
    </row>
    <row r="831" ht="15.75" customHeight="1">
      <c r="A831" s="2"/>
      <c r="C831" s="2"/>
      <c r="G831" s="2"/>
      <c r="H831" s="2"/>
      <c r="N831" s="2"/>
    </row>
    <row r="832" ht="15.75" customHeight="1">
      <c r="A832" s="2"/>
      <c r="C832" s="2"/>
      <c r="G832" s="2"/>
      <c r="H832" s="2"/>
      <c r="N832" s="2"/>
    </row>
    <row r="833" ht="15.75" customHeight="1">
      <c r="A833" s="2"/>
      <c r="C833" s="2"/>
      <c r="G833" s="2"/>
      <c r="H833" s="2"/>
      <c r="N833" s="2"/>
    </row>
    <row r="834" ht="15.75" customHeight="1">
      <c r="A834" s="2"/>
      <c r="C834" s="2"/>
      <c r="G834" s="2"/>
      <c r="H834" s="2"/>
      <c r="N834" s="2"/>
    </row>
    <row r="835" ht="15.75" customHeight="1">
      <c r="A835" s="2"/>
      <c r="C835" s="2"/>
      <c r="G835" s="2"/>
      <c r="H835" s="2"/>
      <c r="N835" s="2"/>
    </row>
    <row r="836" ht="15.75" customHeight="1">
      <c r="A836" s="2"/>
      <c r="C836" s="2"/>
      <c r="G836" s="2"/>
      <c r="H836" s="2"/>
      <c r="N836" s="2"/>
    </row>
    <row r="837" ht="15.75" customHeight="1">
      <c r="A837" s="2"/>
      <c r="C837" s="2"/>
      <c r="G837" s="2"/>
      <c r="H837" s="2"/>
      <c r="N837" s="2"/>
    </row>
    <row r="838" ht="15.75" customHeight="1">
      <c r="A838" s="2"/>
      <c r="C838" s="2"/>
      <c r="G838" s="2"/>
      <c r="H838" s="2"/>
      <c r="N838" s="2"/>
    </row>
    <row r="839" ht="15.75" customHeight="1">
      <c r="A839" s="2"/>
      <c r="C839" s="2"/>
      <c r="G839" s="2"/>
      <c r="H839" s="2"/>
      <c r="N839" s="2"/>
    </row>
    <row r="840" ht="15.75" customHeight="1">
      <c r="A840" s="2"/>
      <c r="C840" s="2"/>
      <c r="G840" s="2"/>
      <c r="H840" s="2"/>
      <c r="N840" s="2"/>
    </row>
    <row r="841" ht="15.75" customHeight="1">
      <c r="A841" s="2"/>
      <c r="C841" s="2"/>
      <c r="G841" s="2"/>
      <c r="H841" s="2"/>
      <c r="N841" s="2"/>
    </row>
    <row r="842" ht="15.75" customHeight="1">
      <c r="A842" s="2"/>
      <c r="C842" s="2"/>
      <c r="G842" s="2"/>
      <c r="H842" s="2"/>
      <c r="N842" s="2"/>
    </row>
    <row r="843" ht="15.75" customHeight="1">
      <c r="A843" s="2"/>
      <c r="C843" s="2"/>
      <c r="G843" s="2"/>
      <c r="H843" s="2"/>
      <c r="N843" s="2"/>
    </row>
    <row r="844" ht="15.75" customHeight="1">
      <c r="A844" s="2"/>
      <c r="C844" s="2"/>
      <c r="G844" s="2"/>
      <c r="H844" s="2"/>
      <c r="N844" s="2"/>
    </row>
    <row r="845" ht="15.75" customHeight="1">
      <c r="A845" s="2"/>
      <c r="C845" s="2"/>
      <c r="G845" s="2"/>
      <c r="H845" s="2"/>
      <c r="N845" s="2"/>
    </row>
    <row r="846" ht="15.75" customHeight="1">
      <c r="A846" s="2"/>
      <c r="C846" s="2"/>
      <c r="G846" s="2"/>
      <c r="H846" s="2"/>
      <c r="N846" s="2"/>
    </row>
    <row r="847" ht="15.75" customHeight="1">
      <c r="A847" s="2"/>
      <c r="C847" s="2"/>
      <c r="G847" s="2"/>
      <c r="H847" s="2"/>
      <c r="N847" s="2"/>
    </row>
    <row r="848" ht="15.75" customHeight="1">
      <c r="A848" s="2"/>
      <c r="C848" s="2"/>
      <c r="G848" s="2"/>
      <c r="H848" s="2"/>
      <c r="N848" s="2"/>
    </row>
    <row r="849" ht="15.75" customHeight="1">
      <c r="A849" s="2"/>
      <c r="C849" s="2"/>
      <c r="G849" s="2"/>
      <c r="H849" s="2"/>
      <c r="N849" s="2"/>
    </row>
    <row r="850" ht="15.75" customHeight="1">
      <c r="A850" s="2"/>
      <c r="C850" s="2"/>
      <c r="G850" s="2"/>
      <c r="H850" s="2"/>
      <c r="N850" s="2"/>
    </row>
    <row r="851" ht="15.75" customHeight="1">
      <c r="A851" s="2"/>
      <c r="C851" s="2"/>
      <c r="G851" s="2"/>
      <c r="H851" s="2"/>
      <c r="N851" s="2"/>
    </row>
    <row r="852" ht="15.75" customHeight="1">
      <c r="A852" s="2"/>
      <c r="C852" s="2"/>
      <c r="G852" s="2"/>
      <c r="H852" s="2"/>
      <c r="N852" s="2"/>
    </row>
    <row r="853" ht="15.75" customHeight="1">
      <c r="A853" s="2"/>
      <c r="C853" s="2"/>
      <c r="G853" s="2"/>
      <c r="H853" s="2"/>
      <c r="N853" s="2"/>
    </row>
    <row r="854" ht="15.75" customHeight="1">
      <c r="A854" s="2"/>
      <c r="C854" s="2"/>
      <c r="G854" s="2"/>
      <c r="H854" s="2"/>
      <c r="N854" s="2"/>
    </row>
    <row r="855" ht="15.75" customHeight="1">
      <c r="A855" s="2"/>
      <c r="C855" s="2"/>
      <c r="G855" s="2"/>
      <c r="H855" s="2"/>
      <c r="N855" s="2"/>
    </row>
    <row r="856" ht="15.75" customHeight="1">
      <c r="A856" s="2"/>
      <c r="C856" s="2"/>
      <c r="G856" s="2"/>
      <c r="H856" s="2"/>
      <c r="N856" s="2"/>
    </row>
    <row r="857" ht="15.75" customHeight="1">
      <c r="A857" s="2"/>
      <c r="C857" s="2"/>
      <c r="G857" s="2"/>
      <c r="H857" s="2"/>
      <c r="N857" s="2"/>
    </row>
    <row r="858" ht="15.75" customHeight="1">
      <c r="A858" s="2"/>
      <c r="C858" s="2"/>
      <c r="G858" s="2"/>
      <c r="H858" s="2"/>
      <c r="N858" s="2"/>
    </row>
    <row r="859" ht="15.75" customHeight="1">
      <c r="A859" s="2"/>
      <c r="C859" s="2"/>
      <c r="G859" s="2"/>
      <c r="H859" s="2"/>
      <c r="N859" s="2"/>
    </row>
    <row r="860" ht="15.75" customHeight="1">
      <c r="A860" s="2"/>
      <c r="C860" s="2"/>
      <c r="G860" s="2"/>
      <c r="H860" s="2"/>
      <c r="N860" s="2"/>
    </row>
    <row r="861" ht="15.75" customHeight="1">
      <c r="A861" s="2"/>
      <c r="C861" s="2"/>
      <c r="G861" s="2"/>
      <c r="H861" s="2"/>
      <c r="N861" s="2"/>
    </row>
    <row r="862" ht="15.75" customHeight="1">
      <c r="A862" s="2"/>
      <c r="C862" s="2"/>
      <c r="G862" s="2"/>
      <c r="H862" s="2"/>
      <c r="N862" s="2"/>
    </row>
    <row r="863" ht="15.75" customHeight="1">
      <c r="A863" s="2"/>
      <c r="C863" s="2"/>
      <c r="G863" s="2"/>
      <c r="H863" s="2"/>
      <c r="N863" s="2"/>
    </row>
    <row r="864" ht="15.75" customHeight="1">
      <c r="A864" s="2"/>
      <c r="C864" s="2"/>
      <c r="G864" s="2"/>
      <c r="H864" s="2"/>
      <c r="N864" s="2"/>
    </row>
    <row r="865" ht="15.75" customHeight="1">
      <c r="A865" s="2"/>
      <c r="C865" s="2"/>
      <c r="G865" s="2"/>
      <c r="H865" s="2"/>
      <c r="N865" s="2"/>
    </row>
    <row r="866" ht="15.75" customHeight="1">
      <c r="A866" s="2"/>
      <c r="C866" s="2"/>
      <c r="G866" s="2"/>
      <c r="H866" s="2"/>
      <c r="N866" s="2"/>
    </row>
    <row r="867" ht="15.75" customHeight="1">
      <c r="A867" s="2"/>
      <c r="C867" s="2"/>
      <c r="G867" s="2"/>
      <c r="H867" s="2"/>
      <c r="N867" s="2"/>
    </row>
    <row r="868" ht="15.75" customHeight="1">
      <c r="A868" s="2"/>
      <c r="C868" s="2"/>
      <c r="G868" s="2"/>
      <c r="H868" s="2"/>
      <c r="N868" s="2"/>
    </row>
    <row r="869" ht="15.75" customHeight="1">
      <c r="A869" s="2"/>
      <c r="C869" s="2"/>
      <c r="G869" s="2"/>
      <c r="H869" s="2"/>
      <c r="N869" s="2"/>
    </row>
    <row r="870" ht="15.75" customHeight="1">
      <c r="A870" s="2"/>
      <c r="C870" s="2"/>
      <c r="G870" s="2"/>
      <c r="H870" s="2"/>
      <c r="N870" s="2"/>
    </row>
    <row r="871" ht="15.75" customHeight="1">
      <c r="A871" s="2"/>
      <c r="C871" s="2"/>
      <c r="G871" s="2"/>
      <c r="H871" s="2"/>
      <c r="N871" s="2"/>
    </row>
    <row r="872" ht="15.75" customHeight="1">
      <c r="A872" s="2"/>
      <c r="C872" s="2"/>
      <c r="G872" s="2"/>
      <c r="H872" s="2"/>
      <c r="N872" s="2"/>
    </row>
    <row r="873" ht="15.75" customHeight="1">
      <c r="A873" s="2"/>
      <c r="C873" s="2"/>
      <c r="G873" s="2"/>
      <c r="H873" s="2"/>
      <c r="N873" s="2"/>
    </row>
    <row r="874" ht="15.75" customHeight="1">
      <c r="A874" s="2"/>
      <c r="C874" s="2"/>
      <c r="G874" s="2"/>
      <c r="H874" s="2"/>
      <c r="N874" s="2"/>
    </row>
    <row r="875" ht="15.75" customHeight="1">
      <c r="A875" s="2"/>
      <c r="C875" s="2"/>
      <c r="G875" s="2"/>
      <c r="H875" s="2"/>
      <c r="N875" s="2"/>
    </row>
    <row r="876" ht="15.75" customHeight="1">
      <c r="A876" s="2"/>
      <c r="C876" s="2"/>
      <c r="G876" s="2"/>
      <c r="H876" s="2"/>
      <c r="N876" s="2"/>
    </row>
    <row r="877" ht="15.75" customHeight="1">
      <c r="A877" s="2"/>
      <c r="C877" s="2"/>
      <c r="G877" s="2"/>
      <c r="H877" s="2"/>
      <c r="N877" s="2"/>
    </row>
    <row r="878" ht="15.75" customHeight="1">
      <c r="A878" s="2"/>
      <c r="C878" s="2"/>
      <c r="G878" s="2"/>
      <c r="H878" s="2"/>
      <c r="N878" s="2"/>
    </row>
    <row r="879" ht="15.75" customHeight="1">
      <c r="A879" s="2"/>
      <c r="C879" s="2"/>
      <c r="G879" s="2"/>
      <c r="H879" s="2"/>
      <c r="N879" s="2"/>
    </row>
    <row r="880" ht="15.75" customHeight="1">
      <c r="A880" s="2"/>
      <c r="C880" s="2"/>
      <c r="G880" s="2"/>
      <c r="H880" s="2"/>
      <c r="N880" s="2"/>
    </row>
    <row r="881" ht="15.75" customHeight="1">
      <c r="A881" s="2"/>
      <c r="C881" s="2"/>
      <c r="G881" s="2"/>
      <c r="H881" s="2"/>
      <c r="N881" s="2"/>
    </row>
    <row r="882" ht="15.75" customHeight="1">
      <c r="A882" s="2"/>
      <c r="C882" s="2"/>
      <c r="G882" s="2"/>
      <c r="H882" s="2"/>
      <c r="N882" s="2"/>
    </row>
    <row r="883" ht="15.75" customHeight="1">
      <c r="A883" s="2"/>
      <c r="C883" s="2"/>
      <c r="G883" s="2"/>
      <c r="H883" s="2"/>
      <c r="N883" s="2"/>
    </row>
    <row r="884" ht="15.75" customHeight="1">
      <c r="A884" s="2"/>
      <c r="C884" s="2"/>
      <c r="G884" s="2"/>
      <c r="H884" s="2"/>
      <c r="N884" s="2"/>
    </row>
    <row r="885" ht="15.75" customHeight="1">
      <c r="A885" s="2"/>
      <c r="C885" s="2"/>
      <c r="G885" s="2"/>
      <c r="H885" s="2"/>
      <c r="N885" s="2"/>
    </row>
    <row r="886" ht="15.75" customHeight="1">
      <c r="A886" s="2"/>
      <c r="C886" s="2"/>
      <c r="G886" s="2"/>
      <c r="H886" s="2"/>
      <c r="N886" s="2"/>
    </row>
    <row r="887" ht="15.75" customHeight="1">
      <c r="A887" s="2"/>
      <c r="C887" s="2"/>
      <c r="G887" s="2"/>
      <c r="H887" s="2"/>
      <c r="N887" s="2"/>
    </row>
    <row r="888" ht="15.75" customHeight="1">
      <c r="A888" s="2"/>
      <c r="C888" s="2"/>
      <c r="G888" s="2"/>
      <c r="H888" s="2"/>
      <c r="N888" s="2"/>
    </row>
    <row r="889" ht="15.75" customHeight="1">
      <c r="A889" s="2"/>
      <c r="C889" s="2"/>
      <c r="G889" s="2"/>
      <c r="H889" s="2"/>
      <c r="N889" s="2"/>
    </row>
    <row r="890" ht="15.75" customHeight="1">
      <c r="A890" s="2"/>
      <c r="C890" s="2"/>
      <c r="G890" s="2"/>
      <c r="H890" s="2"/>
      <c r="N890" s="2"/>
    </row>
    <row r="891" ht="15.75" customHeight="1">
      <c r="A891" s="2"/>
      <c r="C891" s="2"/>
      <c r="G891" s="2"/>
      <c r="H891" s="2"/>
      <c r="N891" s="2"/>
    </row>
    <row r="892" ht="15.75" customHeight="1">
      <c r="A892" s="2"/>
      <c r="C892" s="2"/>
      <c r="G892" s="2"/>
      <c r="H892" s="2"/>
      <c r="N892" s="2"/>
    </row>
    <row r="893" ht="15.75" customHeight="1">
      <c r="A893" s="2"/>
      <c r="C893" s="2"/>
      <c r="G893" s="2"/>
      <c r="H893" s="2"/>
      <c r="N893" s="2"/>
    </row>
    <row r="894" ht="15.75" customHeight="1">
      <c r="A894" s="2"/>
      <c r="C894" s="2"/>
      <c r="G894" s="2"/>
      <c r="H894" s="2"/>
      <c r="N894" s="2"/>
    </row>
    <row r="895" ht="15.75" customHeight="1">
      <c r="A895" s="2"/>
      <c r="C895" s="2"/>
      <c r="G895" s="2"/>
      <c r="H895" s="2"/>
      <c r="N895" s="2"/>
    </row>
    <row r="896" ht="15.75" customHeight="1">
      <c r="A896" s="2"/>
      <c r="C896" s="2"/>
      <c r="G896" s="2"/>
      <c r="H896" s="2"/>
      <c r="N896" s="2"/>
    </row>
    <row r="897" ht="15.75" customHeight="1">
      <c r="A897" s="2"/>
      <c r="C897" s="2"/>
      <c r="G897" s="2"/>
      <c r="H897" s="2"/>
      <c r="N897" s="2"/>
    </row>
    <row r="898" ht="15.75" customHeight="1">
      <c r="A898" s="2"/>
      <c r="C898" s="2"/>
      <c r="G898" s="2"/>
      <c r="H898" s="2"/>
      <c r="N898" s="2"/>
    </row>
    <row r="899" ht="15.75" customHeight="1">
      <c r="A899" s="2"/>
      <c r="C899" s="2"/>
      <c r="G899" s="2"/>
      <c r="H899" s="2"/>
      <c r="N899" s="2"/>
    </row>
    <row r="900" ht="15.75" customHeight="1">
      <c r="A900" s="2"/>
      <c r="C900" s="2"/>
      <c r="G900" s="2"/>
      <c r="H900" s="2"/>
      <c r="N900" s="2"/>
    </row>
    <row r="901" ht="15.75" customHeight="1">
      <c r="A901" s="2"/>
      <c r="C901" s="2"/>
      <c r="G901" s="2"/>
      <c r="H901" s="2"/>
      <c r="N901" s="2"/>
    </row>
    <row r="902" ht="15.75" customHeight="1">
      <c r="A902" s="2"/>
      <c r="C902" s="2"/>
      <c r="G902" s="2"/>
      <c r="H902" s="2"/>
      <c r="N902" s="2"/>
    </row>
    <row r="903" ht="15.75" customHeight="1">
      <c r="A903" s="2"/>
      <c r="C903" s="2"/>
      <c r="G903" s="2"/>
      <c r="H903" s="2"/>
      <c r="N903" s="2"/>
    </row>
    <row r="904" ht="15.75" customHeight="1">
      <c r="A904" s="2"/>
      <c r="C904" s="2"/>
      <c r="G904" s="2"/>
      <c r="H904" s="2"/>
      <c r="N904" s="2"/>
    </row>
    <row r="905" ht="15.75" customHeight="1">
      <c r="A905" s="2"/>
      <c r="C905" s="2"/>
      <c r="G905" s="2"/>
      <c r="H905" s="2"/>
      <c r="N905" s="2"/>
    </row>
    <row r="906" ht="15.75" customHeight="1">
      <c r="A906" s="2"/>
      <c r="C906" s="2"/>
      <c r="G906" s="2"/>
      <c r="H906" s="2"/>
      <c r="N906" s="2"/>
    </row>
    <row r="907" ht="15.75" customHeight="1">
      <c r="A907" s="2"/>
      <c r="C907" s="2"/>
      <c r="G907" s="2"/>
      <c r="H907" s="2"/>
      <c r="N907" s="2"/>
    </row>
    <row r="908" ht="15.75" customHeight="1">
      <c r="A908" s="2"/>
      <c r="C908" s="2"/>
      <c r="G908" s="2"/>
      <c r="H908" s="2"/>
      <c r="N908" s="2"/>
    </row>
    <row r="909" ht="15.75" customHeight="1">
      <c r="A909" s="2"/>
      <c r="C909" s="2"/>
      <c r="G909" s="2"/>
      <c r="H909" s="2"/>
      <c r="N909" s="2"/>
    </row>
    <row r="910" ht="15.75" customHeight="1">
      <c r="A910" s="2"/>
      <c r="C910" s="2"/>
      <c r="G910" s="2"/>
      <c r="H910" s="2"/>
      <c r="N910" s="2"/>
    </row>
    <row r="911" ht="15.75" customHeight="1">
      <c r="A911" s="2"/>
      <c r="C911" s="2"/>
      <c r="G911" s="2"/>
      <c r="H911" s="2"/>
      <c r="N911" s="2"/>
    </row>
    <row r="912" ht="15.75" customHeight="1">
      <c r="A912" s="2"/>
      <c r="C912" s="2"/>
      <c r="G912" s="2"/>
      <c r="H912" s="2"/>
      <c r="N912" s="2"/>
    </row>
    <row r="913" ht="15.75" customHeight="1">
      <c r="A913" s="2"/>
      <c r="C913" s="2"/>
      <c r="G913" s="2"/>
      <c r="H913" s="2"/>
      <c r="N913" s="2"/>
    </row>
    <row r="914" ht="15.75" customHeight="1">
      <c r="A914" s="2"/>
      <c r="C914" s="2"/>
      <c r="G914" s="2"/>
      <c r="H914" s="2"/>
      <c r="N914" s="2"/>
    </row>
    <row r="915" ht="15.75" customHeight="1">
      <c r="A915" s="2"/>
      <c r="C915" s="2"/>
      <c r="G915" s="2"/>
      <c r="H915" s="2"/>
      <c r="N915" s="2"/>
    </row>
    <row r="916" ht="15.75" customHeight="1">
      <c r="A916" s="2"/>
      <c r="C916" s="2"/>
      <c r="G916" s="2"/>
      <c r="H916" s="2"/>
      <c r="N916" s="2"/>
    </row>
    <row r="917" ht="15.75" customHeight="1">
      <c r="A917" s="2"/>
      <c r="C917" s="2"/>
      <c r="G917" s="2"/>
      <c r="H917" s="2"/>
      <c r="N917" s="2"/>
    </row>
    <row r="918" ht="15.75" customHeight="1">
      <c r="A918" s="2"/>
      <c r="C918" s="2"/>
      <c r="G918" s="2"/>
      <c r="H918" s="2"/>
      <c r="N918" s="2"/>
    </row>
    <row r="919" ht="15.75" customHeight="1">
      <c r="A919" s="2"/>
      <c r="C919" s="2"/>
      <c r="G919" s="2"/>
      <c r="H919" s="2"/>
      <c r="N919" s="2"/>
    </row>
    <row r="920" ht="15.75" customHeight="1">
      <c r="A920" s="2"/>
      <c r="C920" s="2"/>
      <c r="G920" s="2"/>
      <c r="H920" s="2"/>
      <c r="N920" s="2"/>
    </row>
    <row r="921" ht="15.75" customHeight="1">
      <c r="A921" s="2"/>
      <c r="C921" s="2"/>
      <c r="G921" s="2"/>
      <c r="H921" s="2"/>
      <c r="N921" s="2"/>
    </row>
    <row r="922" ht="15.75" customHeight="1">
      <c r="A922" s="2"/>
      <c r="C922" s="2"/>
      <c r="G922" s="2"/>
      <c r="H922" s="2"/>
      <c r="N922" s="2"/>
    </row>
    <row r="923" ht="15.75" customHeight="1">
      <c r="A923" s="2"/>
      <c r="C923" s="2"/>
      <c r="G923" s="2"/>
      <c r="H923" s="2"/>
      <c r="N923" s="2"/>
    </row>
    <row r="924" ht="15.75" customHeight="1">
      <c r="A924" s="2"/>
      <c r="C924" s="2"/>
      <c r="G924" s="2"/>
      <c r="H924" s="2"/>
      <c r="N924" s="2"/>
    </row>
    <row r="925" ht="15.75" customHeight="1">
      <c r="A925" s="2"/>
      <c r="C925" s="2"/>
      <c r="G925" s="2"/>
      <c r="H925" s="2"/>
      <c r="N925" s="2"/>
    </row>
    <row r="926" ht="15.75" customHeight="1">
      <c r="A926" s="2"/>
      <c r="C926" s="2"/>
      <c r="G926" s="2"/>
      <c r="H926" s="2"/>
      <c r="N926" s="2"/>
    </row>
    <row r="927" ht="15.75" customHeight="1">
      <c r="A927" s="2"/>
      <c r="C927" s="2"/>
      <c r="G927" s="2"/>
      <c r="H927" s="2"/>
      <c r="N927" s="2"/>
    </row>
    <row r="928" ht="15.75" customHeight="1">
      <c r="A928" s="2"/>
      <c r="C928" s="2"/>
      <c r="G928" s="2"/>
      <c r="H928" s="2"/>
      <c r="N928" s="2"/>
    </row>
    <row r="929" ht="15.75" customHeight="1">
      <c r="A929" s="2"/>
      <c r="C929" s="2"/>
      <c r="G929" s="2"/>
      <c r="H929" s="2"/>
      <c r="N929" s="2"/>
    </row>
    <row r="930" ht="15.75" customHeight="1">
      <c r="A930" s="2"/>
      <c r="C930" s="2"/>
      <c r="G930" s="2"/>
      <c r="H930" s="2"/>
      <c r="N930" s="2"/>
    </row>
    <row r="931" ht="15.75" customHeight="1">
      <c r="A931" s="2"/>
      <c r="C931" s="2"/>
      <c r="G931" s="2"/>
      <c r="H931" s="2"/>
      <c r="N931" s="2"/>
    </row>
    <row r="932" ht="15.75" customHeight="1">
      <c r="A932" s="2"/>
      <c r="C932" s="2"/>
      <c r="G932" s="2"/>
      <c r="H932" s="2"/>
      <c r="N932" s="2"/>
    </row>
    <row r="933" ht="15.75" customHeight="1">
      <c r="A933" s="2"/>
      <c r="C933" s="2"/>
      <c r="G933" s="2"/>
      <c r="H933" s="2"/>
      <c r="N933" s="2"/>
    </row>
    <row r="934" ht="15.75" customHeight="1">
      <c r="A934" s="2"/>
      <c r="C934" s="2"/>
      <c r="G934" s="2"/>
      <c r="H934" s="2"/>
      <c r="N934" s="2"/>
    </row>
    <row r="935" ht="15.75" customHeight="1">
      <c r="A935" s="2"/>
      <c r="C935" s="2"/>
      <c r="G935" s="2"/>
      <c r="H935" s="2"/>
      <c r="N935" s="2"/>
    </row>
    <row r="936" ht="15.75" customHeight="1">
      <c r="A936" s="2"/>
      <c r="C936" s="2"/>
      <c r="G936" s="2"/>
      <c r="H936" s="2"/>
      <c r="N936" s="2"/>
    </row>
    <row r="937" ht="15.75" customHeight="1">
      <c r="A937" s="2"/>
      <c r="C937" s="2"/>
      <c r="G937" s="2"/>
      <c r="H937" s="2"/>
      <c r="N937" s="2"/>
    </row>
    <row r="938" ht="15.75" customHeight="1">
      <c r="A938" s="2"/>
      <c r="C938" s="2"/>
      <c r="G938" s="2"/>
      <c r="H938" s="2"/>
      <c r="N938" s="2"/>
    </row>
    <row r="939" ht="15.75" customHeight="1">
      <c r="A939" s="2"/>
      <c r="C939" s="2"/>
      <c r="G939" s="2"/>
      <c r="H939" s="2"/>
      <c r="N939" s="2"/>
    </row>
    <row r="940" ht="15.75" customHeight="1">
      <c r="A940" s="2"/>
      <c r="C940" s="2"/>
      <c r="G940" s="2"/>
      <c r="H940" s="2"/>
      <c r="N940" s="2"/>
    </row>
    <row r="941" ht="15.75" customHeight="1">
      <c r="A941" s="2"/>
      <c r="C941" s="2"/>
      <c r="G941" s="2"/>
      <c r="H941" s="2"/>
      <c r="N941" s="2"/>
    </row>
    <row r="942" ht="15.75" customHeight="1">
      <c r="A942" s="2"/>
      <c r="C942" s="2"/>
      <c r="G942" s="2"/>
      <c r="H942" s="2"/>
      <c r="N942" s="2"/>
    </row>
    <row r="943" ht="15.75" customHeight="1">
      <c r="A943" s="2"/>
      <c r="C943" s="2"/>
      <c r="G943" s="2"/>
      <c r="H943" s="2"/>
      <c r="N943" s="2"/>
    </row>
    <row r="944" ht="15.75" customHeight="1">
      <c r="A944" s="2"/>
      <c r="C944" s="2"/>
      <c r="G944" s="2"/>
      <c r="H944" s="2"/>
      <c r="N944" s="2"/>
    </row>
    <row r="945" ht="15.75" customHeight="1">
      <c r="A945" s="2"/>
      <c r="C945" s="2"/>
      <c r="G945" s="2"/>
      <c r="H945" s="2"/>
      <c r="N945" s="2"/>
    </row>
    <row r="946" ht="15.75" customHeight="1">
      <c r="A946" s="2"/>
      <c r="C946" s="2"/>
      <c r="G946" s="2"/>
      <c r="H946" s="2"/>
      <c r="N946" s="2"/>
    </row>
    <row r="947" ht="15.75" customHeight="1">
      <c r="A947" s="2"/>
      <c r="C947" s="2"/>
      <c r="G947" s="2"/>
      <c r="H947" s="2"/>
      <c r="N947" s="2"/>
    </row>
    <row r="948" ht="15.75" customHeight="1">
      <c r="A948" s="2"/>
      <c r="C948" s="2"/>
      <c r="G948" s="2"/>
      <c r="H948" s="2"/>
      <c r="N948" s="2"/>
    </row>
    <row r="949" ht="15.75" customHeight="1">
      <c r="A949" s="2"/>
      <c r="C949" s="2"/>
      <c r="G949" s="2"/>
      <c r="H949" s="2"/>
      <c r="N949" s="2"/>
    </row>
    <row r="950" ht="15.75" customHeight="1">
      <c r="A950" s="2"/>
      <c r="C950" s="2"/>
      <c r="G950" s="2"/>
      <c r="H950" s="2"/>
      <c r="N950" s="2"/>
    </row>
    <row r="951" ht="15.75" customHeight="1">
      <c r="A951" s="2"/>
      <c r="C951" s="2"/>
      <c r="G951" s="2"/>
      <c r="H951" s="2"/>
      <c r="N951" s="2"/>
    </row>
    <row r="952" ht="15.75" customHeight="1">
      <c r="A952" s="2"/>
      <c r="C952" s="2"/>
      <c r="G952" s="2"/>
      <c r="H952" s="2"/>
      <c r="N952" s="2"/>
    </row>
    <row r="953" ht="15.75" customHeight="1">
      <c r="A953" s="2"/>
      <c r="C953" s="2"/>
      <c r="G953" s="2"/>
      <c r="H953" s="2"/>
      <c r="N953" s="2"/>
    </row>
    <row r="954" ht="15.75" customHeight="1">
      <c r="A954" s="2"/>
      <c r="C954" s="2"/>
      <c r="G954" s="2"/>
      <c r="H954" s="2"/>
      <c r="N954" s="2"/>
    </row>
    <row r="955" ht="15.75" customHeight="1">
      <c r="A955" s="2"/>
      <c r="C955" s="2"/>
      <c r="G955" s="2"/>
      <c r="H955" s="2"/>
      <c r="N955" s="2"/>
    </row>
    <row r="956" ht="15.75" customHeight="1">
      <c r="A956" s="2"/>
      <c r="C956" s="2"/>
      <c r="G956" s="2"/>
      <c r="H956" s="2"/>
      <c r="N956" s="2"/>
    </row>
    <row r="957" ht="15.75" customHeight="1">
      <c r="A957" s="2"/>
      <c r="C957" s="2"/>
      <c r="G957" s="2"/>
      <c r="H957" s="2"/>
      <c r="N957" s="2"/>
    </row>
    <row r="958" ht="15.75" customHeight="1">
      <c r="A958" s="2"/>
      <c r="C958" s="2"/>
      <c r="G958" s="2"/>
      <c r="H958" s="2"/>
      <c r="N958" s="2"/>
    </row>
    <row r="959" ht="15.75" customHeight="1">
      <c r="A959" s="2"/>
      <c r="C959" s="2"/>
      <c r="G959" s="2"/>
      <c r="H959" s="2"/>
      <c r="N959" s="2"/>
    </row>
    <row r="960" ht="15.75" customHeight="1">
      <c r="A960" s="2"/>
      <c r="C960" s="2"/>
      <c r="G960" s="2"/>
      <c r="H960" s="2"/>
      <c r="N960" s="2"/>
    </row>
    <row r="961" ht="15.75" customHeight="1">
      <c r="A961" s="2"/>
      <c r="C961" s="2"/>
      <c r="G961" s="2"/>
      <c r="H961" s="2"/>
      <c r="N961" s="2"/>
    </row>
    <row r="962" ht="15.75" customHeight="1">
      <c r="A962" s="2"/>
      <c r="C962" s="2"/>
      <c r="G962" s="2"/>
      <c r="H962" s="2"/>
      <c r="N962" s="2"/>
    </row>
    <row r="963" ht="15.75" customHeight="1">
      <c r="A963" s="2"/>
      <c r="C963" s="2"/>
      <c r="G963" s="2"/>
      <c r="H963" s="2"/>
      <c r="N963" s="2"/>
    </row>
    <row r="964" ht="15.75" customHeight="1">
      <c r="A964" s="2"/>
      <c r="C964" s="2"/>
      <c r="G964" s="2"/>
      <c r="H964" s="2"/>
      <c r="N964" s="2"/>
    </row>
    <row r="965" ht="15.75" customHeight="1">
      <c r="A965" s="2"/>
      <c r="C965" s="2"/>
      <c r="G965" s="2"/>
      <c r="H965" s="2"/>
      <c r="N965" s="2"/>
    </row>
    <row r="966" ht="15.75" customHeight="1">
      <c r="A966" s="2"/>
      <c r="C966" s="2"/>
      <c r="G966" s="2"/>
      <c r="H966" s="2"/>
      <c r="N966" s="2"/>
    </row>
    <row r="967" ht="15.75" customHeight="1">
      <c r="A967" s="2"/>
      <c r="C967" s="2"/>
      <c r="G967" s="2"/>
      <c r="H967" s="2"/>
      <c r="N967" s="2"/>
    </row>
    <row r="968" ht="15.75" customHeight="1">
      <c r="A968" s="2"/>
      <c r="C968" s="2"/>
      <c r="G968" s="2"/>
      <c r="H968" s="2"/>
      <c r="N968" s="2"/>
    </row>
    <row r="969" ht="15.75" customHeight="1">
      <c r="A969" s="2"/>
      <c r="C969" s="2"/>
      <c r="G969" s="2"/>
      <c r="H969" s="2"/>
      <c r="N969" s="2"/>
    </row>
    <row r="970" ht="15.75" customHeight="1">
      <c r="A970" s="2"/>
      <c r="C970" s="2"/>
      <c r="G970" s="2"/>
      <c r="H970" s="2"/>
      <c r="N970" s="2"/>
    </row>
    <row r="971" ht="15.75" customHeight="1">
      <c r="A971" s="2"/>
      <c r="C971" s="2"/>
      <c r="G971" s="2"/>
      <c r="H971" s="2"/>
      <c r="N971" s="2"/>
    </row>
    <row r="972" ht="15.75" customHeight="1">
      <c r="A972" s="2"/>
      <c r="C972" s="2"/>
      <c r="G972" s="2"/>
      <c r="H972" s="2"/>
      <c r="N972" s="2"/>
    </row>
    <row r="973" ht="15.75" customHeight="1">
      <c r="A973" s="2"/>
      <c r="C973" s="2"/>
      <c r="G973" s="2"/>
      <c r="H973" s="2"/>
      <c r="N973" s="2"/>
    </row>
    <row r="974" ht="15.75" customHeight="1">
      <c r="A974" s="2"/>
      <c r="C974" s="2"/>
      <c r="G974" s="2"/>
      <c r="H974" s="2"/>
      <c r="N974" s="2"/>
    </row>
    <row r="975" ht="15.75" customHeight="1">
      <c r="A975" s="2"/>
      <c r="C975" s="2"/>
      <c r="G975" s="2"/>
      <c r="H975" s="2"/>
      <c r="N975" s="2"/>
    </row>
    <row r="976" ht="15.75" customHeight="1">
      <c r="A976" s="2"/>
      <c r="C976" s="2"/>
      <c r="G976" s="2"/>
      <c r="H976" s="2"/>
      <c r="N976" s="2"/>
    </row>
    <row r="977" ht="15.75" customHeight="1">
      <c r="A977" s="2"/>
      <c r="C977" s="2"/>
      <c r="G977" s="2"/>
      <c r="H977" s="2"/>
      <c r="N977" s="2"/>
    </row>
    <row r="978" ht="15.75" customHeight="1">
      <c r="A978" s="2"/>
      <c r="C978" s="2"/>
      <c r="G978" s="2"/>
      <c r="H978" s="2"/>
      <c r="N978" s="2"/>
    </row>
    <row r="979" ht="15.75" customHeight="1">
      <c r="A979" s="2"/>
      <c r="C979" s="2"/>
      <c r="G979" s="2"/>
      <c r="H979" s="2"/>
      <c r="N979" s="2"/>
    </row>
    <row r="980" ht="15.75" customHeight="1">
      <c r="A980" s="2"/>
      <c r="C980" s="2"/>
      <c r="G980" s="2"/>
      <c r="H980" s="2"/>
      <c r="N980" s="2"/>
    </row>
    <row r="981" ht="15.75" customHeight="1">
      <c r="A981" s="2"/>
      <c r="C981" s="2"/>
      <c r="G981" s="2"/>
      <c r="H981" s="2"/>
      <c r="N981" s="2"/>
    </row>
    <row r="982" ht="15.75" customHeight="1">
      <c r="A982" s="2"/>
      <c r="C982" s="2"/>
      <c r="G982" s="2"/>
      <c r="H982" s="2"/>
      <c r="N982" s="2"/>
    </row>
    <row r="983" ht="15.75" customHeight="1">
      <c r="A983" s="2"/>
      <c r="C983" s="2"/>
      <c r="G983" s="2"/>
      <c r="H983" s="2"/>
      <c r="N983" s="2"/>
    </row>
    <row r="984" ht="15.75" customHeight="1">
      <c r="A984" s="2"/>
      <c r="C984" s="2"/>
      <c r="G984" s="2"/>
      <c r="H984" s="2"/>
      <c r="N984" s="2"/>
    </row>
    <row r="985" ht="15.75" customHeight="1">
      <c r="A985" s="2"/>
      <c r="C985" s="2"/>
      <c r="G985" s="2"/>
      <c r="H985" s="2"/>
      <c r="N985" s="2"/>
    </row>
    <row r="986" ht="15.75" customHeight="1">
      <c r="A986" s="2"/>
      <c r="C986" s="2"/>
      <c r="G986" s="2"/>
      <c r="H986" s="2"/>
      <c r="N986" s="2"/>
    </row>
    <row r="987" ht="15.75" customHeight="1">
      <c r="A987" s="2"/>
      <c r="C987" s="2"/>
      <c r="G987" s="2"/>
      <c r="H987" s="2"/>
      <c r="N987" s="2"/>
    </row>
    <row r="988" ht="15.75" customHeight="1">
      <c r="A988" s="2"/>
      <c r="C988" s="2"/>
      <c r="G988" s="2"/>
      <c r="H988" s="2"/>
      <c r="N988" s="2"/>
    </row>
    <row r="989" ht="15.75" customHeight="1">
      <c r="A989" s="2"/>
      <c r="C989" s="2"/>
      <c r="G989" s="2"/>
      <c r="H989" s="2"/>
      <c r="N989" s="2"/>
    </row>
    <row r="990" ht="15.75" customHeight="1">
      <c r="A990" s="2"/>
      <c r="C990" s="2"/>
      <c r="G990" s="2"/>
      <c r="H990" s="2"/>
      <c r="N990" s="2"/>
    </row>
    <row r="991" ht="15.75" customHeight="1">
      <c r="A991" s="2"/>
      <c r="C991" s="2"/>
      <c r="G991" s="2"/>
      <c r="H991" s="2"/>
      <c r="N991" s="2"/>
    </row>
    <row r="992" ht="15.75" customHeight="1">
      <c r="A992" s="2"/>
      <c r="C992" s="2"/>
      <c r="G992" s="2"/>
      <c r="H992" s="2"/>
      <c r="N992" s="2"/>
    </row>
    <row r="993" ht="15.75" customHeight="1">
      <c r="A993" s="2"/>
      <c r="C993" s="2"/>
      <c r="G993" s="2"/>
      <c r="H993" s="2"/>
      <c r="N993" s="2"/>
    </row>
    <row r="994" ht="15.75" customHeight="1">
      <c r="A994" s="2"/>
      <c r="C994" s="2"/>
      <c r="G994" s="2"/>
      <c r="H994" s="2"/>
      <c r="N994" s="2"/>
    </row>
    <row r="995" ht="15.75" customHeight="1">
      <c r="A995" s="2"/>
      <c r="C995" s="2"/>
      <c r="G995" s="2"/>
      <c r="H995" s="2"/>
      <c r="N995" s="2"/>
    </row>
    <row r="996" ht="15.75" customHeight="1">
      <c r="A996" s="2"/>
      <c r="C996" s="2"/>
      <c r="G996" s="2"/>
      <c r="H996" s="2"/>
      <c r="N996" s="2"/>
    </row>
    <row r="997" ht="15.75" customHeight="1">
      <c r="A997" s="2"/>
      <c r="C997" s="2"/>
      <c r="G997" s="2"/>
      <c r="H997" s="2"/>
      <c r="N997" s="2"/>
    </row>
    <row r="998" ht="15.75" customHeight="1">
      <c r="A998" s="2"/>
      <c r="C998" s="2"/>
      <c r="G998" s="2"/>
      <c r="H998" s="2"/>
      <c r="N998" s="2"/>
    </row>
    <row r="999" ht="15.75" customHeight="1">
      <c r="A999" s="2"/>
      <c r="C999" s="2"/>
      <c r="G999" s="2"/>
      <c r="H999" s="2"/>
      <c r="N999" s="2"/>
    </row>
    <row r="1000" ht="15.75" customHeight="1">
      <c r="A1000" s="2"/>
      <c r="C1000" s="2"/>
      <c r="G1000" s="2"/>
      <c r="H1000" s="2"/>
      <c r="N1000" s="2"/>
    </row>
  </sheetData>
  <autoFilter ref="$A$4:$N$104"/>
  <dataValidations>
    <dataValidation type="list" allowBlank="1" sqref="C5:C104">
      <formula1>LISTS!$E$2:$E$28</formula1>
    </dataValidation>
    <dataValidation type="list" allowBlank="1" sqref="B5:B104">
      <formula1>Teams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26" width="8.71"/>
  </cols>
  <sheetData>
    <row r="1" ht="17.25" customHeight="1">
      <c r="A1" s="7" t="s">
        <v>165</v>
      </c>
      <c r="B1" s="2"/>
      <c r="D1" s="2"/>
      <c r="I1" s="2"/>
      <c r="J1" s="2"/>
      <c r="L1" s="2"/>
    </row>
    <row r="2" ht="49.5" customHeight="1">
      <c r="A2" s="10" t="s">
        <v>166</v>
      </c>
      <c r="B2" s="2"/>
      <c r="D2" s="2"/>
      <c r="I2" s="2"/>
      <c r="J2" s="2"/>
      <c r="L2" s="2"/>
    </row>
    <row r="3">
      <c r="A3" s="2"/>
      <c r="B3" s="2"/>
      <c r="D3" s="2"/>
      <c r="I3" s="2"/>
      <c r="J3" s="2"/>
      <c r="L3" s="2"/>
    </row>
    <row r="4" ht="32.25" customHeight="1">
      <c r="A4" s="5" t="s">
        <v>154</v>
      </c>
      <c r="B4" s="5" t="s">
        <v>167</v>
      </c>
      <c r="C4" s="5" t="s">
        <v>168</v>
      </c>
      <c r="D4" s="5" t="s">
        <v>169</v>
      </c>
      <c r="E4" s="5" t="s">
        <v>170</v>
      </c>
      <c r="F4" s="5" t="s">
        <v>171</v>
      </c>
      <c r="G4" s="5" t="s">
        <v>172</v>
      </c>
      <c r="H4" s="5" t="s">
        <v>173</v>
      </c>
      <c r="I4" s="5" t="s">
        <v>174</v>
      </c>
      <c r="J4" s="5" t="s">
        <v>127</v>
      </c>
      <c r="K4" s="5" t="s">
        <v>175</v>
      </c>
      <c r="L4" s="5" t="s">
        <v>164</v>
      </c>
      <c r="M4" s="12" t="s">
        <v>176</v>
      </c>
      <c r="N4" s="13" t="s">
        <v>177</v>
      </c>
    </row>
    <row r="5" ht="15.0" customHeight="1">
      <c r="A5" s="2" t="s">
        <v>178</v>
      </c>
      <c r="B5" s="14" t="s">
        <v>179</v>
      </c>
      <c r="C5" s="14">
        <v>1.5</v>
      </c>
      <c r="D5" s="14" t="s">
        <v>179</v>
      </c>
      <c r="E5" s="14">
        <v>1.5</v>
      </c>
      <c r="F5" s="2">
        <f t="shared" ref="F5:F36" si="1">IF(OR($E5="",$C5=""),0,$E5-$C5)</f>
        <v>0</v>
      </c>
      <c r="G5" s="2">
        <f t="shared" ref="G5:G36" si="2">$F5</f>
        <v>0</v>
      </c>
      <c r="H5" s="2">
        <f>ROUND($F5*QBTotFactor,2)</f>
        <v>0</v>
      </c>
      <c r="I5" s="14" t="s">
        <v>180</v>
      </c>
      <c r="J5" s="14" t="s">
        <v>181</v>
      </c>
      <c r="K5" s="15">
        <v>46216.0</v>
      </c>
      <c r="L5" s="2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4">
        <v>2026.0</v>
      </c>
      <c r="N5" s="2">
        <f>IF(OR($D5="",$I5="Low",$M5&lt;&gt;CurrentSeason,AND($K5&lt;&gt;"",AsOfDate-$K5&gt;QBStaleDays)),1,0)</f>
        <v>1</v>
      </c>
    </row>
    <row r="6" ht="15.0" customHeight="1">
      <c r="A6" s="2" t="s">
        <v>132</v>
      </c>
      <c r="B6" s="14" t="s">
        <v>182</v>
      </c>
      <c r="C6" s="14">
        <v>3.0</v>
      </c>
      <c r="D6" s="14" t="s">
        <v>182</v>
      </c>
      <c r="E6" s="14">
        <v>3.0</v>
      </c>
      <c r="F6" s="2">
        <f t="shared" si="1"/>
        <v>0</v>
      </c>
      <c r="G6" s="2">
        <f t="shared" si="2"/>
        <v>0</v>
      </c>
      <c r="H6" s="2">
        <f>ROUND($F6*QBTotFactor,2)</f>
        <v>0</v>
      </c>
      <c r="I6" s="14" t="s">
        <v>180</v>
      </c>
      <c r="J6" s="14" t="s">
        <v>183</v>
      </c>
      <c r="K6" s="15">
        <v>46216.0</v>
      </c>
      <c r="L6" s="2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4">
        <v>2026.0</v>
      </c>
      <c r="N6" s="2">
        <f>IF(OR($D6="",$I6="Low",$M6&lt;&gt;CurrentSeason,AND($K6&lt;&gt;"",AsOfDate-$K6&gt;QBStaleDays)),1,0)</f>
        <v>1</v>
      </c>
    </row>
    <row r="7" ht="15.0" customHeight="1">
      <c r="A7" s="2" t="s">
        <v>148</v>
      </c>
      <c r="B7" s="14" t="s">
        <v>184</v>
      </c>
      <c r="C7" s="14">
        <v>5.75</v>
      </c>
      <c r="D7" s="14" t="s">
        <v>184</v>
      </c>
      <c r="E7" s="14">
        <v>5.75</v>
      </c>
      <c r="F7" s="2">
        <f t="shared" si="1"/>
        <v>0</v>
      </c>
      <c r="G7" s="2">
        <f t="shared" si="2"/>
        <v>0</v>
      </c>
      <c r="H7" s="2">
        <f>ROUND($F7*QBTotFactor,2)</f>
        <v>0</v>
      </c>
      <c r="I7" s="14" t="s">
        <v>185</v>
      </c>
      <c r="J7" s="14" t="s">
        <v>186</v>
      </c>
      <c r="K7" s="15">
        <v>46216.0</v>
      </c>
      <c r="L7" s="2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4">
        <v>2026.0</v>
      </c>
      <c r="N7" s="2">
        <f>IF(OR($D7="",$I7="Low",$M7&lt;&gt;CurrentSeason,AND($K7&lt;&gt;"",AsOfDate-$K7&gt;QBStaleDays)),1,0)</f>
        <v>0</v>
      </c>
    </row>
    <row r="8" ht="15.0" customHeight="1">
      <c r="A8" s="2" t="s">
        <v>136</v>
      </c>
      <c r="B8" s="14" t="s">
        <v>187</v>
      </c>
      <c r="C8" s="14">
        <v>6.5</v>
      </c>
      <c r="D8" s="14" t="s">
        <v>187</v>
      </c>
      <c r="E8" s="14">
        <v>6.5</v>
      </c>
      <c r="F8" s="2">
        <f t="shared" si="1"/>
        <v>0</v>
      </c>
      <c r="G8" s="2">
        <f t="shared" si="2"/>
        <v>0</v>
      </c>
      <c r="H8" s="2">
        <f>ROUND($F8*QBTotFactor,2)</f>
        <v>0</v>
      </c>
      <c r="I8" s="14" t="s">
        <v>185</v>
      </c>
      <c r="J8" s="14" t="s">
        <v>188</v>
      </c>
      <c r="K8" s="15">
        <v>46216.0</v>
      </c>
      <c r="L8" s="2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4">
        <v>2026.0</v>
      </c>
      <c r="N8" s="2">
        <f>IF(OR($D8="",$I8="Low",$M8&lt;&gt;CurrentSeason,AND($K8&lt;&gt;"",AsOfDate-$K8&gt;QBStaleDays)),1,0)</f>
        <v>0</v>
      </c>
    </row>
    <row r="9" ht="15.0" customHeight="1">
      <c r="A9" s="2" t="s">
        <v>189</v>
      </c>
      <c r="B9" s="14" t="s">
        <v>190</v>
      </c>
      <c r="C9" s="14">
        <v>2.25</v>
      </c>
      <c r="D9" s="14" t="s">
        <v>190</v>
      </c>
      <c r="E9" s="14">
        <v>2.25</v>
      </c>
      <c r="F9" s="2">
        <f t="shared" si="1"/>
        <v>0</v>
      </c>
      <c r="G9" s="2">
        <f t="shared" si="2"/>
        <v>0</v>
      </c>
      <c r="H9" s="2">
        <f>ROUND($F9*QBTotFactor,2)</f>
        <v>0</v>
      </c>
      <c r="I9" s="14" t="s">
        <v>185</v>
      </c>
      <c r="J9" s="14" t="s">
        <v>191</v>
      </c>
      <c r="K9" s="15">
        <v>46216.0</v>
      </c>
      <c r="L9" s="2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4">
        <v>2026.0</v>
      </c>
      <c r="N9" s="2">
        <f>IF(OR($D9="",$I9="Low",$M9&lt;&gt;CurrentSeason,AND($K9&lt;&gt;"",AsOfDate-$K9&gt;QBStaleDays)),1,0)</f>
        <v>0</v>
      </c>
    </row>
    <row r="10" ht="15.0" customHeight="1">
      <c r="A10" s="2" t="s">
        <v>137</v>
      </c>
      <c r="B10" s="14" t="s">
        <v>192</v>
      </c>
      <c r="C10" s="14">
        <v>4.75</v>
      </c>
      <c r="D10" s="14" t="s">
        <v>192</v>
      </c>
      <c r="E10" s="14">
        <v>4.75</v>
      </c>
      <c r="F10" s="2">
        <f t="shared" si="1"/>
        <v>0</v>
      </c>
      <c r="G10" s="2">
        <f t="shared" si="2"/>
        <v>0</v>
      </c>
      <c r="H10" s="2">
        <f>ROUND($F10*QBTotFactor,2)</f>
        <v>0</v>
      </c>
      <c r="I10" s="14" t="s">
        <v>185</v>
      </c>
      <c r="J10" s="14" t="s">
        <v>193</v>
      </c>
      <c r="K10" s="15">
        <v>46216.0</v>
      </c>
      <c r="L10" s="2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4">
        <v>2026.0</v>
      </c>
      <c r="N10" s="2">
        <f>IF(OR($D10="",$I10="Low",$M10&lt;&gt;CurrentSeason,AND($K10&lt;&gt;"",AsOfDate-$K10&gt;QBStaleDays)),1,0)</f>
        <v>0</v>
      </c>
    </row>
    <row r="11" ht="15.0" customHeight="1">
      <c r="A11" s="2" t="s">
        <v>138</v>
      </c>
      <c r="B11" s="14" t="s">
        <v>194</v>
      </c>
      <c r="C11" s="14">
        <v>5.75</v>
      </c>
      <c r="D11" s="14" t="s">
        <v>194</v>
      </c>
      <c r="E11" s="14">
        <v>5.75</v>
      </c>
      <c r="F11" s="2">
        <f t="shared" si="1"/>
        <v>0</v>
      </c>
      <c r="G11" s="2">
        <f t="shared" si="2"/>
        <v>0</v>
      </c>
      <c r="H11" s="2">
        <f>ROUND($F11*QBTotFactor,2)</f>
        <v>0</v>
      </c>
      <c r="I11" s="14" t="s">
        <v>185</v>
      </c>
      <c r="J11" s="14" t="s">
        <v>195</v>
      </c>
      <c r="K11" s="15">
        <v>46216.0</v>
      </c>
      <c r="L11" s="2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4">
        <v>2026.0</v>
      </c>
      <c r="N11" s="2">
        <f>IF(OR($D11="",$I11="Low",$M11&lt;&gt;CurrentSeason,AND($K11&lt;&gt;"",AsOfDate-$K11&gt;QBStaleDays)),1,0)</f>
        <v>0</v>
      </c>
    </row>
    <row r="12" ht="15.0" customHeight="1">
      <c r="A12" s="2" t="s">
        <v>196</v>
      </c>
      <c r="B12" s="14" t="s">
        <v>197</v>
      </c>
      <c r="C12" s="14">
        <v>1.0</v>
      </c>
      <c r="D12" s="14" t="s">
        <v>197</v>
      </c>
      <c r="E12" s="14">
        <v>1.0</v>
      </c>
      <c r="F12" s="2">
        <f t="shared" si="1"/>
        <v>0</v>
      </c>
      <c r="G12" s="2">
        <f t="shared" si="2"/>
        <v>0</v>
      </c>
      <c r="H12" s="2">
        <f>ROUND($F12*QBTotFactor,2)</f>
        <v>0</v>
      </c>
      <c r="I12" s="14" t="s">
        <v>180</v>
      </c>
      <c r="J12" s="14" t="s">
        <v>198</v>
      </c>
      <c r="K12" s="15">
        <v>46216.0</v>
      </c>
      <c r="L12" s="2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4">
        <v>2026.0</v>
      </c>
      <c r="N12" s="2">
        <f>IF(OR($D12="",$I12="Low",$M12&lt;&gt;CurrentSeason,AND($K12&lt;&gt;"",AsOfDate-$K12&gt;QBStaleDays)),1,0)</f>
        <v>1</v>
      </c>
    </row>
    <row r="13" ht="15.0" customHeight="1">
      <c r="A13" s="2" t="s">
        <v>146</v>
      </c>
      <c r="B13" s="14" t="s">
        <v>199</v>
      </c>
      <c r="C13" s="14">
        <v>5.0</v>
      </c>
      <c r="D13" s="14" t="s">
        <v>199</v>
      </c>
      <c r="E13" s="14">
        <v>5.0</v>
      </c>
      <c r="F13" s="2">
        <f t="shared" si="1"/>
        <v>0</v>
      </c>
      <c r="G13" s="2">
        <f t="shared" si="2"/>
        <v>0</v>
      </c>
      <c r="H13" s="2">
        <f>ROUND($F13*QBTotFactor,2)</f>
        <v>0</v>
      </c>
      <c r="I13" s="14" t="s">
        <v>185</v>
      </c>
      <c r="J13" s="14" t="s">
        <v>200</v>
      </c>
      <c r="K13" s="15">
        <v>46216.0</v>
      </c>
      <c r="L13" s="2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4">
        <v>2026.0</v>
      </c>
      <c r="N13" s="2">
        <f>IF(OR($D13="",$I13="Low",$M13&lt;&gt;CurrentSeason,AND($K13&lt;&gt;"",AsOfDate-$K13&gt;QBStaleDays)),1,0)</f>
        <v>0</v>
      </c>
    </row>
    <row r="14" ht="15.0" customHeight="1">
      <c r="A14" s="2" t="s">
        <v>139</v>
      </c>
      <c r="B14" s="14" t="s">
        <v>201</v>
      </c>
      <c r="C14" s="14">
        <v>3.75</v>
      </c>
      <c r="D14" s="14" t="s">
        <v>201</v>
      </c>
      <c r="E14" s="14">
        <v>3.75</v>
      </c>
      <c r="F14" s="2">
        <f t="shared" si="1"/>
        <v>0</v>
      </c>
      <c r="G14" s="2">
        <f t="shared" si="2"/>
        <v>0</v>
      </c>
      <c r="H14" s="2">
        <f>ROUND($F14*QBTotFactor,2)</f>
        <v>0</v>
      </c>
      <c r="I14" s="14" t="s">
        <v>185</v>
      </c>
      <c r="J14" s="14" t="s">
        <v>191</v>
      </c>
      <c r="K14" s="15">
        <v>46216.0</v>
      </c>
      <c r="L14" s="2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4">
        <v>2026.0</v>
      </c>
      <c r="N14" s="2">
        <f>IF(OR($D14="",$I14="Low",$M14&lt;&gt;CurrentSeason,AND($K14&lt;&gt;"",AsOfDate-$K14&gt;QBStaleDays)),1,0)</f>
        <v>0</v>
      </c>
    </row>
    <row r="15" ht="15.0" customHeight="1">
      <c r="A15" s="2" t="s">
        <v>202</v>
      </c>
      <c r="B15" s="14" t="s">
        <v>203</v>
      </c>
      <c r="C15" s="14">
        <v>4.75</v>
      </c>
      <c r="D15" s="14" t="s">
        <v>203</v>
      </c>
      <c r="E15" s="14">
        <v>4.75</v>
      </c>
      <c r="F15" s="2">
        <f t="shared" si="1"/>
        <v>0</v>
      </c>
      <c r="G15" s="2">
        <f t="shared" si="2"/>
        <v>0</v>
      </c>
      <c r="H15" s="2">
        <f>ROUND($F15*QBTotFactor,2)</f>
        <v>0</v>
      </c>
      <c r="I15" s="14" t="s">
        <v>185</v>
      </c>
      <c r="J15" s="14" t="s">
        <v>204</v>
      </c>
      <c r="K15" s="15">
        <v>46216.0</v>
      </c>
      <c r="L15" s="2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4">
        <v>2026.0</v>
      </c>
      <c r="N15" s="2">
        <f>IF(OR($D15="",$I15="Low",$M15&lt;&gt;CurrentSeason,AND($K15&lt;&gt;"",AsOfDate-$K15&gt;QBStaleDays)),1,0)</f>
        <v>0</v>
      </c>
    </row>
    <row r="16" ht="15.0" customHeight="1">
      <c r="A16" s="2" t="s">
        <v>205</v>
      </c>
      <c r="B16" s="14" t="s">
        <v>206</v>
      </c>
      <c r="C16" s="14">
        <v>4.5</v>
      </c>
      <c r="D16" s="14" t="s">
        <v>206</v>
      </c>
      <c r="E16" s="14">
        <v>4.5</v>
      </c>
      <c r="F16" s="2">
        <f t="shared" si="1"/>
        <v>0</v>
      </c>
      <c r="G16" s="2">
        <f t="shared" si="2"/>
        <v>0</v>
      </c>
      <c r="H16" s="2">
        <f>ROUND($F16*QBTotFactor,2)</f>
        <v>0</v>
      </c>
      <c r="I16" s="14" t="s">
        <v>185</v>
      </c>
      <c r="J16" s="14" t="s">
        <v>207</v>
      </c>
      <c r="K16" s="15">
        <v>46216.0</v>
      </c>
      <c r="L16" s="2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4">
        <v>2026.0</v>
      </c>
      <c r="N16" s="2">
        <f>IF(OR($D16="",$I16="Low",$M16&lt;&gt;CurrentSeason,AND($K16&lt;&gt;"",AsOfDate-$K16&gt;QBStaleDays)),1,0)</f>
        <v>0</v>
      </c>
    </row>
    <row r="17" ht="15.0" customHeight="1">
      <c r="A17" s="2" t="s">
        <v>140</v>
      </c>
      <c r="B17" s="14" t="s">
        <v>208</v>
      </c>
      <c r="C17" s="14">
        <v>3.5</v>
      </c>
      <c r="D17" s="14" t="s">
        <v>208</v>
      </c>
      <c r="E17" s="14">
        <v>3.5</v>
      </c>
      <c r="F17" s="2">
        <f t="shared" si="1"/>
        <v>0</v>
      </c>
      <c r="G17" s="2">
        <f t="shared" si="2"/>
        <v>0</v>
      </c>
      <c r="H17" s="2">
        <f>ROUND($F17*QBTotFactor,2)</f>
        <v>0</v>
      </c>
      <c r="I17" s="14" t="s">
        <v>185</v>
      </c>
      <c r="J17" s="14" t="s">
        <v>209</v>
      </c>
      <c r="K17" s="15">
        <v>46216.0</v>
      </c>
      <c r="L17" s="2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4">
        <v>2026.0</v>
      </c>
      <c r="N17" s="2">
        <f>IF(OR($D17="",$I17="Low",$M17&lt;&gt;CurrentSeason,AND($K17&lt;&gt;"",AsOfDate-$K17&gt;QBStaleDays)),1,0)</f>
        <v>0</v>
      </c>
    </row>
    <row r="18" ht="15.0" customHeight="1">
      <c r="A18" s="2" t="s">
        <v>210</v>
      </c>
      <c r="B18" s="14" t="s">
        <v>211</v>
      </c>
      <c r="C18" s="14">
        <v>3.25</v>
      </c>
      <c r="D18" s="14" t="s">
        <v>211</v>
      </c>
      <c r="E18" s="14">
        <v>3.25</v>
      </c>
      <c r="F18" s="2">
        <f t="shared" si="1"/>
        <v>0</v>
      </c>
      <c r="G18" s="2">
        <f t="shared" si="2"/>
        <v>0</v>
      </c>
      <c r="H18" s="2">
        <f>ROUND($F18*QBTotFactor,2)</f>
        <v>0</v>
      </c>
      <c r="I18" s="14" t="s">
        <v>212</v>
      </c>
      <c r="J18" s="14" t="s">
        <v>213</v>
      </c>
      <c r="K18" s="15">
        <v>46216.0</v>
      </c>
      <c r="L18" s="2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4">
        <v>2026.0</v>
      </c>
      <c r="N18" s="2">
        <f>IF(OR($D18="",$I18="Low",$M18&lt;&gt;CurrentSeason,AND($K18&lt;&gt;"",AsOfDate-$K18&gt;QBStaleDays)),1,0)</f>
        <v>0</v>
      </c>
    </row>
    <row r="19" ht="15.0" customHeight="1">
      <c r="A19" s="2" t="s">
        <v>141</v>
      </c>
      <c r="B19" s="14" t="s">
        <v>214</v>
      </c>
      <c r="C19" s="14">
        <v>4.25</v>
      </c>
      <c r="D19" s="14" t="s">
        <v>214</v>
      </c>
      <c r="E19" s="14">
        <v>4.25</v>
      </c>
      <c r="F19" s="2">
        <f t="shared" si="1"/>
        <v>0</v>
      </c>
      <c r="G19" s="2">
        <f t="shared" si="2"/>
        <v>0</v>
      </c>
      <c r="H19" s="2">
        <f>ROUND($F19*QBTotFactor,2)</f>
        <v>0</v>
      </c>
      <c r="I19" s="14" t="s">
        <v>185</v>
      </c>
      <c r="J19" s="14" t="s">
        <v>215</v>
      </c>
      <c r="K19" s="15">
        <v>46216.0</v>
      </c>
      <c r="L19" s="2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4">
        <v>2026.0</v>
      </c>
      <c r="N19" s="2">
        <f>IF(OR($D19="",$I19="Low",$M19&lt;&gt;CurrentSeason,AND($K19&lt;&gt;"",AsOfDate-$K19&gt;QBStaleDays)),1,0)</f>
        <v>0</v>
      </c>
    </row>
    <row r="20" ht="15.0" customHeight="1">
      <c r="A20" s="2" t="s">
        <v>143</v>
      </c>
      <c r="B20" s="14" t="s">
        <v>216</v>
      </c>
      <c r="C20" s="14">
        <v>6.25</v>
      </c>
      <c r="D20" s="14" t="s">
        <v>216</v>
      </c>
      <c r="E20" s="14">
        <v>6.25</v>
      </c>
      <c r="F20" s="2">
        <f t="shared" si="1"/>
        <v>0</v>
      </c>
      <c r="G20" s="2">
        <f t="shared" si="2"/>
        <v>0</v>
      </c>
      <c r="H20" s="2">
        <f>ROUND($F20*QBTotFactor,2)</f>
        <v>0</v>
      </c>
      <c r="I20" s="14" t="s">
        <v>185</v>
      </c>
      <c r="J20" s="14" t="s">
        <v>217</v>
      </c>
      <c r="K20" s="15">
        <v>46216.0</v>
      </c>
      <c r="L20" s="2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4">
        <v>2026.0</v>
      </c>
      <c r="N20" s="2">
        <f>IF(OR($D20="",$I20="Low",$M20&lt;&gt;CurrentSeason,AND($K20&lt;&gt;"",AsOfDate-$K20&gt;QBStaleDays)),1,0)</f>
        <v>0</v>
      </c>
    </row>
    <row r="21" ht="15.0" customHeight="1">
      <c r="A21" s="2" t="s">
        <v>142</v>
      </c>
      <c r="B21" s="14" t="s">
        <v>218</v>
      </c>
      <c r="C21" s="14">
        <v>6.0</v>
      </c>
      <c r="D21" s="14" t="s">
        <v>218</v>
      </c>
      <c r="E21" s="14">
        <v>6.0</v>
      </c>
      <c r="F21" s="2">
        <f t="shared" si="1"/>
        <v>0</v>
      </c>
      <c r="G21" s="2">
        <f t="shared" si="2"/>
        <v>0</v>
      </c>
      <c r="H21" s="2">
        <f>ROUND($F21*QBTotFactor,2)</f>
        <v>0</v>
      </c>
      <c r="I21" s="14" t="s">
        <v>185</v>
      </c>
      <c r="J21" s="14" t="s">
        <v>219</v>
      </c>
      <c r="K21" s="15">
        <v>46216.0</v>
      </c>
      <c r="L21" s="2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4">
        <v>2026.0</v>
      </c>
      <c r="N21" s="2">
        <f>IF(OR($D21="",$I21="Low",$M21&lt;&gt;CurrentSeason,AND($K21&lt;&gt;"",AsOfDate-$K21&gt;QBStaleDays)),1,0)</f>
        <v>0</v>
      </c>
    </row>
    <row r="22" ht="15.0" customHeight="1">
      <c r="A22" s="2" t="s">
        <v>220</v>
      </c>
      <c r="B22" s="14" t="s">
        <v>221</v>
      </c>
      <c r="C22" s="14">
        <v>5.25</v>
      </c>
      <c r="D22" s="14" t="s">
        <v>221</v>
      </c>
      <c r="E22" s="14">
        <v>5.25</v>
      </c>
      <c r="F22" s="2">
        <f t="shared" si="1"/>
        <v>0</v>
      </c>
      <c r="G22" s="2">
        <f t="shared" si="2"/>
        <v>0</v>
      </c>
      <c r="H22" s="2">
        <f>ROUND($F22*QBTotFactor,2)</f>
        <v>0</v>
      </c>
      <c r="I22" s="14" t="s">
        <v>185</v>
      </c>
      <c r="J22" s="14" t="s">
        <v>200</v>
      </c>
      <c r="K22" s="15">
        <v>46216.0</v>
      </c>
      <c r="L22" s="2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4">
        <v>2026.0</v>
      </c>
      <c r="N22" s="2">
        <f>IF(OR($D22="",$I22="Low",$M22&lt;&gt;CurrentSeason,AND($K22&lt;&gt;"",AsOfDate-$K22&gt;QBStaleDays)),1,0)</f>
        <v>0</v>
      </c>
    </row>
    <row r="23" ht="15.0" customHeight="1">
      <c r="A23" s="2" t="s">
        <v>222</v>
      </c>
      <c r="B23" s="14" t="s">
        <v>223</v>
      </c>
      <c r="C23" s="14">
        <v>2.0</v>
      </c>
      <c r="D23" s="14" t="s">
        <v>223</v>
      </c>
      <c r="E23" s="14">
        <v>2.0</v>
      </c>
      <c r="F23" s="2">
        <f t="shared" si="1"/>
        <v>0</v>
      </c>
      <c r="G23" s="2">
        <f t="shared" si="2"/>
        <v>0</v>
      </c>
      <c r="H23" s="2">
        <f>ROUND($F23*QBTotFactor,2)</f>
        <v>0</v>
      </c>
      <c r="I23" s="14" t="s">
        <v>212</v>
      </c>
      <c r="J23" s="14" t="s">
        <v>224</v>
      </c>
      <c r="K23" s="15">
        <v>46216.0</v>
      </c>
      <c r="L23" s="2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4">
        <v>2026.0</v>
      </c>
      <c r="N23" s="2">
        <f>IF(OR($D23="",$I23="Low",$M23&lt;&gt;CurrentSeason,AND($K23&lt;&gt;"",AsOfDate-$K23&gt;QBStaleDays)),1,0)</f>
        <v>0</v>
      </c>
    </row>
    <row r="24" ht="15.0" customHeight="1">
      <c r="A24" s="2" t="s">
        <v>225</v>
      </c>
      <c r="B24" s="14" t="s">
        <v>226</v>
      </c>
      <c r="C24" s="14">
        <v>1.75</v>
      </c>
      <c r="D24" s="14" t="s">
        <v>226</v>
      </c>
      <c r="E24" s="14">
        <v>1.75</v>
      </c>
      <c r="F24" s="2">
        <f t="shared" si="1"/>
        <v>0</v>
      </c>
      <c r="G24" s="2">
        <f t="shared" si="2"/>
        <v>0</v>
      </c>
      <c r="H24" s="2">
        <f>ROUND($F24*QBTotFactor,2)</f>
        <v>0</v>
      </c>
      <c r="I24" s="14" t="s">
        <v>185</v>
      </c>
      <c r="J24" s="14" t="s">
        <v>227</v>
      </c>
      <c r="K24" s="15">
        <v>46216.0</v>
      </c>
      <c r="L24" s="2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4">
        <v>2026.0</v>
      </c>
      <c r="N24" s="2">
        <f>IF(OR($D24="",$I24="Low",$M24&lt;&gt;CurrentSeason,AND($K24&lt;&gt;"",AsOfDate-$K24&gt;QBStaleDays)),1,0)</f>
        <v>0</v>
      </c>
    </row>
    <row r="25" ht="15.0" customHeight="1">
      <c r="A25" s="2" t="s">
        <v>144</v>
      </c>
      <c r="B25" s="14" t="s">
        <v>228</v>
      </c>
      <c r="C25" s="14">
        <v>3.0</v>
      </c>
      <c r="D25" s="14" t="s">
        <v>228</v>
      </c>
      <c r="E25" s="14">
        <v>3.0</v>
      </c>
      <c r="F25" s="2">
        <f t="shared" si="1"/>
        <v>0</v>
      </c>
      <c r="G25" s="2">
        <f t="shared" si="2"/>
        <v>0</v>
      </c>
      <c r="H25" s="2">
        <f>ROUND($F25*QBTotFactor,2)</f>
        <v>0</v>
      </c>
      <c r="I25" s="14" t="inlineStr">
        <is>
          <t>High</t>
        </is>
      </c>
      <c r="J25" s="14" t="inlineStr">
        <is>
          <t xml:space="preserve">Minnesota Vikings official announcement, 2026-08-11: Kyler Murray named starting quarterback for the 2026 season. https://www.vikings.com/news/kyler-murray-quarterback-starting-2026-nfl-season</t>
        </is>
      </c>
      <c r="K25" s="15">
        <v>46245</v>
      </c>
      <c r="L25" s="2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4">
        <v>2026.0</v>
      </c>
      <c r="N25" s="2">
        <f>IF(OR($D25="",$I25="Low",$M25&lt;&gt;CurrentSeason,AND($K25&lt;&gt;"",AsOfDate-$K25&gt;QBStaleDays)),1,0)</f>
        <v>1</v>
      </c>
    </row>
    <row r="26" ht="15.0" customHeight="1">
      <c r="A26" s="2" t="s">
        <v>145</v>
      </c>
      <c r="B26" s="14" t="s">
        <v>230</v>
      </c>
      <c r="C26" s="14">
        <v>5.5</v>
      </c>
      <c r="D26" s="14" t="s">
        <v>230</v>
      </c>
      <c r="E26" s="14">
        <v>5.5</v>
      </c>
      <c r="F26" s="2">
        <f t="shared" si="1"/>
        <v>0</v>
      </c>
      <c r="G26" s="2">
        <f t="shared" si="2"/>
        <v>0</v>
      </c>
      <c r="H26" s="2">
        <f>ROUND($F26*QBTotFactor,2)</f>
        <v>0</v>
      </c>
      <c r="I26" s="14" t="s">
        <v>185</v>
      </c>
      <c r="J26" s="14" t="s">
        <v>231</v>
      </c>
      <c r="K26" s="15">
        <v>46216.0</v>
      </c>
      <c r="L26" s="2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4">
        <v>2026.0</v>
      </c>
      <c r="N26" s="2">
        <f>IF(OR($D26="",$I26="Low",$M26&lt;&gt;CurrentSeason,AND($K26&lt;&gt;"",AsOfDate-$K26&gt;QBStaleDays)),1,0)</f>
        <v>0</v>
      </c>
    </row>
    <row r="27" ht="15.0" customHeight="1">
      <c r="A27" s="2" t="s">
        <v>232</v>
      </c>
      <c r="B27" s="14" t="s">
        <v>233</v>
      </c>
      <c r="C27" s="14">
        <v>2.5</v>
      </c>
      <c r="D27" s="14" t="s">
        <v>233</v>
      </c>
      <c r="E27" s="14">
        <v>2.5</v>
      </c>
      <c r="F27" s="2">
        <f t="shared" si="1"/>
        <v>0</v>
      </c>
      <c r="G27" s="2">
        <f t="shared" si="2"/>
        <v>0</v>
      </c>
      <c r="H27" s="2">
        <f>ROUND($F27*QBTotFactor,2)</f>
        <v>0</v>
      </c>
      <c r="I27" s="14" t="s">
        <v>185</v>
      </c>
      <c r="J27" s="14" t="s">
        <v>234</v>
      </c>
      <c r="K27" s="15">
        <v>46216.0</v>
      </c>
      <c r="L27" s="2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4">
        <v>2026.0</v>
      </c>
      <c r="N27" s="2">
        <f>IF(OR($D27="",$I27="Low",$M27&lt;&gt;CurrentSeason,AND($K27&lt;&gt;"",AsOfDate-$K27&gt;QBStaleDays)),1,0)</f>
        <v>0</v>
      </c>
    </row>
    <row r="28" ht="15.0" customHeight="1">
      <c r="A28" s="2" t="s">
        <v>235</v>
      </c>
      <c r="B28" s="14" t="s">
        <v>236</v>
      </c>
      <c r="C28" s="14">
        <v>2.25</v>
      </c>
      <c r="D28" s="14" t="s">
        <v>236</v>
      </c>
      <c r="E28" s="14">
        <v>2.25</v>
      </c>
      <c r="F28" s="2">
        <f t="shared" si="1"/>
        <v>0</v>
      </c>
      <c r="G28" s="2">
        <f t="shared" si="2"/>
        <v>0</v>
      </c>
      <c r="H28" s="2">
        <f>ROUND($F28*QBTotFactor,2)</f>
        <v>0</v>
      </c>
      <c r="I28" s="14" t="s">
        <v>185</v>
      </c>
      <c r="J28" s="14" t="s">
        <v>237</v>
      </c>
      <c r="K28" s="15">
        <v>46216.0</v>
      </c>
      <c r="L28" s="2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4">
        <v>2026.0</v>
      </c>
      <c r="N28" s="2">
        <f>IF(OR($D28="",$I28="Low",$M28&lt;&gt;CurrentSeason,AND($K28&lt;&gt;"",AsOfDate-$K28&gt;QBStaleDays)),1,0)</f>
        <v>0</v>
      </c>
    </row>
    <row r="29" ht="15.0" customHeight="1">
      <c r="A29" s="2" t="s">
        <v>238</v>
      </c>
      <c r="B29" s="14" t="s">
        <v>239</v>
      </c>
      <c r="C29" s="14">
        <v>1.5</v>
      </c>
      <c r="D29" s="14" t="s">
        <v>239</v>
      </c>
      <c r="E29" s="14">
        <v>1.5</v>
      </c>
      <c r="F29" s="2">
        <f t="shared" si="1"/>
        <v>0</v>
      </c>
      <c r="G29" s="2">
        <f t="shared" si="2"/>
        <v>0</v>
      </c>
      <c r="H29" s="2">
        <f>ROUND($F29*QBTotFactor,2)</f>
        <v>0</v>
      </c>
      <c r="I29" s="14" t="s">
        <v>185</v>
      </c>
      <c r="J29" s="14" t="s">
        <v>240</v>
      </c>
      <c r="K29" s="15">
        <v>46216.0</v>
      </c>
      <c r="L29" s="2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4">
        <v>2026.0</v>
      </c>
      <c r="N29" s="2">
        <f>IF(OR($D29="",$I29="Low",$M29&lt;&gt;CurrentSeason,AND($K29&lt;&gt;"",AsOfDate-$K29&gt;QBStaleDays)),1,0)</f>
        <v>0</v>
      </c>
    </row>
    <row r="30" ht="15.0" customHeight="1">
      <c r="A30" s="2" t="s">
        <v>147</v>
      </c>
      <c r="B30" s="14" t="s">
        <v>241</v>
      </c>
      <c r="C30" s="14">
        <v>4.75</v>
      </c>
      <c r="D30" s="14" t="s">
        <v>241</v>
      </c>
      <c r="E30" s="14">
        <v>4.75</v>
      </c>
      <c r="F30" s="2">
        <f t="shared" si="1"/>
        <v>0</v>
      </c>
      <c r="G30" s="2">
        <f t="shared" si="2"/>
        <v>0</v>
      </c>
      <c r="H30" s="2">
        <f>ROUND($F30*QBTotFactor,2)</f>
        <v>0</v>
      </c>
      <c r="I30" s="14" t="s">
        <v>185</v>
      </c>
      <c r="J30" s="14" t="s">
        <v>200</v>
      </c>
      <c r="K30" s="15">
        <v>46216.0</v>
      </c>
      <c r="L30" s="2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4">
        <v>2026.0</v>
      </c>
      <c r="N30" s="2">
        <f>IF(OR($D30="",$I30="Low",$M30&lt;&gt;CurrentSeason,AND($K30&lt;&gt;"",AsOfDate-$K30&gt;QBStaleDays)),1,0)</f>
        <v>0</v>
      </c>
    </row>
    <row r="31" ht="15.0" customHeight="1">
      <c r="A31" s="2" t="s">
        <v>242</v>
      </c>
      <c r="B31" s="14" t="s">
        <v>243</v>
      </c>
      <c r="C31" s="14">
        <v>2.75</v>
      </c>
      <c r="D31" s="14" t="s">
        <v>243</v>
      </c>
      <c r="E31" s="14">
        <v>2.75</v>
      </c>
      <c r="F31" s="2">
        <f t="shared" si="1"/>
        <v>0</v>
      </c>
      <c r="G31" s="2">
        <f t="shared" si="2"/>
        <v>0</v>
      </c>
      <c r="H31" s="2">
        <f>ROUND($F31*QBTotFactor,2)</f>
        <v>0</v>
      </c>
      <c r="I31" s="14" t="s">
        <v>185</v>
      </c>
      <c r="J31" s="14" t="s">
        <v>244</v>
      </c>
      <c r="K31" s="15">
        <v>46216.0</v>
      </c>
      <c r="L31" s="2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4">
        <v>2026.0</v>
      </c>
      <c r="N31" s="2">
        <f>IF(OR($D31="",$I31="Low",$M31&lt;&gt;CurrentSeason,AND($K31&lt;&gt;"",AsOfDate-$K31&gt;QBStaleDays)),1,0)</f>
        <v>0</v>
      </c>
    </row>
    <row r="32" ht="15.0" customHeight="1">
      <c r="A32" s="2" t="s">
        <v>149</v>
      </c>
      <c r="B32" s="14" t="s">
        <v>245</v>
      </c>
      <c r="C32" s="14">
        <v>4.25</v>
      </c>
      <c r="D32" s="14" t="s">
        <v>245</v>
      </c>
      <c r="E32" s="14">
        <v>4.25</v>
      </c>
      <c r="F32" s="2">
        <f t="shared" si="1"/>
        <v>0</v>
      </c>
      <c r="G32" s="2">
        <f t="shared" si="2"/>
        <v>0</v>
      </c>
      <c r="H32" s="2">
        <f>ROUND($F32*QBTotFactor,2)</f>
        <v>0</v>
      </c>
      <c r="I32" s="14" t="s">
        <v>185</v>
      </c>
      <c r="J32" s="14" t="s">
        <v>207</v>
      </c>
      <c r="K32" s="15">
        <v>46216.0</v>
      </c>
      <c r="L32" s="2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4">
        <v>2026.0</v>
      </c>
      <c r="N32" s="2">
        <f>IF(OR($D32="",$I32="Low",$M32&lt;&gt;CurrentSeason,AND($K32&lt;&gt;"",AsOfDate-$K32&gt;QBStaleDays)),1,0)</f>
        <v>0</v>
      </c>
    </row>
    <row r="33" ht="15.0" customHeight="1">
      <c r="A33" s="2" t="s">
        <v>246</v>
      </c>
      <c r="B33" s="14" t="s">
        <v>247</v>
      </c>
      <c r="C33" s="14">
        <v>4.5</v>
      </c>
      <c r="D33" s="14" t="s">
        <v>247</v>
      </c>
      <c r="E33" s="14">
        <v>4.5</v>
      </c>
      <c r="F33" s="2">
        <f t="shared" si="1"/>
        <v>0</v>
      </c>
      <c r="G33" s="2">
        <f t="shared" si="2"/>
        <v>0</v>
      </c>
      <c r="H33" s="2">
        <f>ROUND($F33*QBTotFactor,2)</f>
        <v>0</v>
      </c>
      <c r="I33" s="14" t="s">
        <v>185</v>
      </c>
      <c r="J33" s="14" t="s">
        <v>207</v>
      </c>
      <c r="K33" s="15">
        <v>46216.0</v>
      </c>
      <c r="L33" s="2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4">
        <v>2026.0</v>
      </c>
      <c r="N33" s="2">
        <f>IF(OR($D33="",$I33="Low",$M33&lt;&gt;CurrentSeason,AND($K33&lt;&gt;"",AsOfDate-$K33&gt;QBStaleDays)),1,0)</f>
        <v>0</v>
      </c>
    </row>
    <row r="34" ht="15.0" customHeight="1">
      <c r="A34" s="2" t="s">
        <v>150</v>
      </c>
      <c r="B34" s="14" t="s">
        <v>248</v>
      </c>
      <c r="C34" s="14">
        <v>4.0</v>
      </c>
      <c r="D34" s="14" t="s">
        <v>248</v>
      </c>
      <c r="E34" s="14">
        <v>4.0</v>
      </c>
      <c r="F34" s="2">
        <f t="shared" si="1"/>
        <v>0</v>
      </c>
      <c r="G34" s="2">
        <f t="shared" si="2"/>
        <v>0</v>
      </c>
      <c r="H34" s="2">
        <f>ROUND($F34*QBTotFactor,2)</f>
        <v>0</v>
      </c>
      <c r="I34" s="14" t="s">
        <v>185</v>
      </c>
      <c r="J34" s="14" t="s">
        <v>249</v>
      </c>
      <c r="K34" s="15">
        <v>46216.0</v>
      </c>
      <c r="L34" s="2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4">
        <v>2026.0</v>
      </c>
      <c r="N34" s="2">
        <f>IF(OR($D34="",$I34="Low",$M34&lt;&gt;CurrentSeason,AND($K34&lt;&gt;"",AsOfDate-$K34&gt;QBStaleDays)),1,0)</f>
        <v>0</v>
      </c>
    </row>
    <row r="35" ht="15.0" customHeight="1">
      <c r="A35" s="2" t="s">
        <v>250</v>
      </c>
      <c r="B35" s="14" t="s">
        <v>251</v>
      </c>
      <c r="C35" s="14">
        <v>2.75</v>
      </c>
      <c r="D35" s="14" t="s">
        <v>251</v>
      </c>
      <c r="E35" s="14">
        <v>2.75</v>
      </c>
      <c r="F35" s="2">
        <f t="shared" si="1"/>
        <v>0</v>
      </c>
      <c r="G35" s="2">
        <f t="shared" si="2"/>
        <v>0</v>
      </c>
      <c r="H35" s="2">
        <f>ROUND($F35*QBTotFactor,2)</f>
        <v>0</v>
      </c>
      <c r="I35" s="14" t="s">
        <v>185</v>
      </c>
      <c r="J35" s="14" t="s">
        <v>252</v>
      </c>
      <c r="K35" s="15">
        <v>46216.0</v>
      </c>
      <c r="L35" s="2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4">
        <v>2026.0</v>
      </c>
      <c r="N35" s="2">
        <f>IF(OR($D35="",$I35="Low",$M35&lt;&gt;CurrentSeason,AND($K35&lt;&gt;"",AsOfDate-$K35&gt;QBStaleDays)),1,0)</f>
        <v>0</v>
      </c>
    </row>
    <row r="36" ht="15.0" customHeight="1">
      <c r="A36" s="2" t="s">
        <v>253</v>
      </c>
      <c r="B36" s="14" t="s">
        <v>254</v>
      </c>
      <c r="C36" s="14">
        <v>4.75</v>
      </c>
      <c r="D36" s="14" t="s">
        <v>254</v>
      </c>
      <c r="E36" s="14">
        <v>4.75</v>
      </c>
      <c r="F36" s="2">
        <f t="shared" si="1"/>
        <v>0</v>
      </c>
      <c r="G36" s="2">
        <f t="shared" si="2"/>
        <v>0</v>
      </c>
      <c r="H36" s="2">
        <f>ROUND($F36*QBTotFactor,2)</f>
        <v>0</v>
      </c>
      <c r="I36" s="14" t="s">
        <v>185</v>
      </c>
      <c r="J36" s="14" t="s">
        <v>207</v>
      </c>
      <c r="K36" s="15">
        <v>46216.0</v>
      </c>
      <c r="L36" s="2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4">
        <v>2026.0</v>
      </c>
      <c r="N36" s="2">
        <f>IF(OR($D36="",$I36="Low",$M36&lt;&gt;CurrentSeason,AND($K36&lt;&gt;"",AsOfDate-$K36&gt;QBStaleDays)),1,0)</f>
        <v>0</v>
      </c>
    </row>
    <row r="37" ht="15.75" customHeight="1">
      <c r="A37" s="2"/>
      <c r="B37" s="2"/>
      <c r="D37" s="2"/>
      <c r="I37" s="2"/>
      <c r="J37" s="2"/>
      <c r="L37" s="2"/>
    </row>
    <row r="38" ht="15.75" customHeight="1">
      <c r="A38" s="2"/>
      <c r="B38" s="2"/>
      <c r="D38" s="2"/>
      <c r="I38" s="2"/>
      <c r="J38" s="2"/>
      <c r="L38" s="2"/>
    </row>
    <row r="39" ht="15.75" customHeight="1">
      <c r="A39" s="2"/>
      <c r="B39" s="2"/>
      <c r="D39" s="2"/>
      <c r="I39" s="2"/>
      <c r="J39" s="2"/>
      <c r="L39" s="2"/>
    </row>
    <row r="40" ht="15.75" customHeight="1">
      <c r="A40" s="2"/>
      <c r="B40" s="2"/>
      <c r="D40" s="2"/>
      <c r="I40" s="2"/>
      <c r="J40" s="2"/>
      <c r="L40" s="2"/>
    </row>
    <row r="41" ht="15.75" customHeight="1">
      <c r="A41" s="2"/>
      <c r="B41" s="2"/>
      <c r="D41" s="2"/>
      <c r="I41" s="2"/>
      <c r="J41" s="2"/>
      <c r="L41" s="2"/>
    </row>
    <row r="42" ht="15.75" customHeight="1">
      <c r="A42" s="2"/>
      <c r="B42" s="2"/>
      <c r="D42" s="2"/>
      <c r="I42" s="2"/>
      <c r="J42" s="2"/>
      <c r="L42" s="2"/>
    </row>
    <row r="43" ht="15.75" customHeight="1">
      <c r="A43" s="2"/>
      <c r="B43" s="2"/>
      <c r="D43" s="2"/>
      <c r="I43" s="2"/>
      <c r="J43" s="2"/>
      <c r="L43" s="2"/>
    </row>
    <row r="44" ht="15.75" customHeight="1">
      <c r="A44" s="2"/>
      <c r="B44" s="2"/>
      <c r="D44" s="2"/>
      <c r="I44" s="2"/>
      <c r="J44" s="2"/>
      <c r="L44" s="2"/>
    </row>
    <row r="45" ht="15.75" customHeight="1">
      <c r="A45" s="2"/>
      <c r="B45" s="2"/>
      <c r="D45" s="2"/>
      <c r="I45" s="2"/>
      <c r="J45" s="2"/>
      <c r="L45" s="2"/>
    </row>
    <row r="46" ht="15.75" customHeight="1">
      <c r="A46" s="2"/>
      <c r="B46" s="2"/>
      <c r="D46" s="2"/>
      <c r="I46" s="2"/>
      <c r="J46" s="2"/>
      <c r="L46" s="2"/>
    </row>
    <row r="47" ht="15.75" customHeight="1">
      <c r="A47" s="2"/>
      <c r="B47" s="2"/>
      <c r="D47" s="2"/>
      <c r="I47" s="2"/>
      <c r="J47" s="2"/>
      <c r="L47" s="2"/>
    </row>
    <row r="48" ht="15.75" customHeight="1">
      <c r="A48" s="2"/>
      <c r="B48" s="2"/>
      <c r="D48" s="2"/>
      <c r="I48" s="2"/>
      <c r="J48" s="2"/>
      <c r="L48" s="2"/>
    </row>
    <row r="49" ht="15.75" customHeight="1">
      <c r="A49" s="2"/>
      <c r="B49" s="2"/>
      <c r="D49" s="2"/>
      <c r="I49" s="2"/>
      <c r="J49" s="2"/>
      <c r="L49" s="2"/>
    </row>
    <row r="50" ht="15.75" customHeight="1">
      <c r="A50" s="2"/>
      <c r="B50" s="2"/>
      <c r="D50" s="2"/>
      <c r="I50" s="2"/>
      <c r="J50" s="2"/>
      <c r="L50" s="2"/>
    </row>
    <row r="51" ht="15.75" customHeight="1">
      <c r="A51" s="2"/>
      <c r="B51" s="2"/>
      <c r="D51" s="2"/>
      <c r="I51" s="2"/>
      <c r="J51" s="2"/>
      <c r="L51" s="2"/>
    </row>
    <row r="52" ht="15.75" customHeight="1">
      <c r="A52" s="2"/>
      <c r="B52" s="2"/>
      <c r="D52" s="2"/>
      <c r="I52" s="2"/>
      <c r="J52" s="2"/>
      <c r="L52" s="2"/>
    </row>
    <row r="53" ht="15.75" customHeight="1">
      <c r="A53" s="2"/>
      <c r="B53" s="2"/>
      <c r="D53" s="2"/>
      <c r="I53" s="2"/>
      <c r="J53" s="2"/>
      <c r="L53" s="2"/>
    </row>
    <row r="54" ht="15.75" customHeight="1">
      <c r="A54" s="2"/>
      <c r="B54" s="2"/>
      <c r="D54" s="2"/>
      <c r="I54" s="2"/>
      <c r="J54" s="2"/>
      <c r="L54" s="2"/>
    </row>
    <row r="55" ht="15.75" customHeight="1">
      <c r="A55" s="2"/>
      <c r="B55" s="2"/>
      <c r="D55" s="2"/>
      <c r="I55" s="2"/>
      <c r="J55" s="2"/>
      <c r="L55" s="2"/>
    </row>
    <row r="56" ht="15.75" customHeight="1">
      <c r="A56" s="2"/>
      <c r="B56" s="2"/>
      <c r="D56" s="2"/>
      <c r="I56" s="2"/>
      <c r="J56" s="2"/>
      <c r="L56" s="2"/>
    </row>
    <row r="57" ht="15.75" customHeight="1">
      <c r="A57" s="2"/>
      <c r="B57" s="2"/>
      <c r="D57" s="2"/>
      <c r="I57" s="2"/>
      <c r="J57" s="2"/>
      <c r="L57" s="2"/>
    </row>
    <row r="58" ht="15.75" customHeight="1">
      <c r="A58" s="2"/>
      <c r="B58" s="2"/>
      <c r="D58" s="2"/>
      <c r="I58" s="2"/>
      <c r="J58" s="2"/>
      <c r="L58" s="2"/>
    </row>
    <row r="59" ht="15.75" customHeight="1">
      <c r="A59" s="2"/>
      <c r="B59" s="2"/>
      <c r="D59" s="2"/>
      <c r="I59" s="2"/>
      <c r="J59" s="2"/>
      <c r="L59" s="2"/>
    </row>
    <row r="60" ht="15.75" customHeight="1">
      <c r="A60" s="2"/>
      <c r="B60" s="2"/>
      <c r="D60" s="2"/>
      <c r="I60" s="2"/>
      <c r="J60" s="2"/>
      <c r="L60" s="2"/>
    </row>
    <row r="61" ht="15.75" customHeight="1">
      <c r="A61" s="2"/>
      <c r="B61" s="2"/>
      <c r="D61" s="2"/>
      <c r="I61" s="2"/>
      <c r="J61" s="2"/>
      <c r="L61" s="2"/>
    </row>
    <row r="62" ht="15.75" customHeight="1">
      <c r="A62" s="2"/>
      <c r="B62" s="2"/>
      <c r="D62" s="2"/>
      <c r="I62" s="2"/>
      <c r="J62" s="2"/>
      <c r="L62" s="2"/>
    </row>
    <row r="63" ht="15.75" customHeight="1">
      <c r="A63" s="2"/>
      <c r="B63" s="2"/>
      <c r="D63" s="2"/>
      <c r="I63" s="2"/>
      <c r="J63" s="2"/>
      <c r="L63" s="2"/>
    </row>
    <row r="64" ht="15.75" customHeight="1">
      <c r="A64" s="2"/>
      <c r="B64" s="2"/>
      <c r="D64" s="2"/>
      <c r="I64" s="2"/>
      <c r="J64" s="2"/>
      <c r="L64" s="2"/>
    </row>
    <row r="65" ht="15.75" customHeight="1">
      <c r="A65" s="2"/>
      <c r="B65" s="2"/>
      <c r="D65" s="2"/>
      <c r="I65" s="2"/>
      <c r="J65" s="2"/>
      <c r="L65" s="2"/>
    </row>
    <row r="66" ht="15.75" customHeight="1">
      <c r="A66" s="2"/>
      <c r="B66" s="2"/>
      <c r="D66" s="2"/>
      <c r="I66" s="2"/>
      <c r="J66" s="2"/>
      <c r="L66" s="2"/>
    </row>
    <row r="67" ht="15.75" customHeight="1">
      <c r="A67" s="2"/>
      <c r="B67" s="2"/>
      <c r="D67" s="2"/>
      <c r="I67" s="2"/>
      <c r="J67" s="2"/>
      <c r="L67" s="2"/>
    </row>
    <row r="68" ht="15.75" customHeight="1">
      <c r="A68" s="2"/>
      <c r="B68" s="2"/>
      <c r="D68" s="2"/>
      <c r="I68" s="2"/>
      <c r="J68" s="2"/>
      <c r="L68" s="2"/>
    </row>
    <row r="69" ht="15.75" customHeight="1">
      <c r="A69" s="2"/>
      <c r="B69" s="2"/>
      <c r="D69" s="2"/>
      <c r="I69" s="2"/>
      <c r="J69" s="2"/>
      <c r="L69" s="2"/>
    </row>
    <row r="70" ht="15.75" customHeight="1">
      <c r="A70" s="2"/>
      <c r="B70" s="2"/>
      <c r="D70" s="2"/>
      <c r="I70" s="2"/>
      <c r="J70" s="2"/>
      <c r="L70" s="2"/>
    </row>
    <row r="71" ht="15.75" customHeight="1">
      <c r="A71" s="2"/>
      <c r="B71" s="2"/>
      <c r="D71" s="2"/>
      <c r="I71" s="2"/>
      <c r="J71" s="2"/>
      <c r="L71" s="2"/>
    </row>
    <row r="72" ht="15.75" customHeight="1">
      <c r="A72" s="2"/>
      <c r="B72" s="2"/>
      <c r="D72" s="2"/>
      <c r="I72" s="2"/>
      <c r="J72" s="2"/>
      <c r="L72" s="2"/>
    </row>
    <row r="73" ht="15.75" customHeight="1">
      <c r="A73" s="2"/>
      <c r="B73" s="2"/>
      <c r="D73" s="2"/>
      <c r="I73" s="2"/>
      <c r="J73" s="2"/>
      <c r="L73" s="2"/>
    </row>
    <row r="74" ht="15.75" customHeight="1">
      <c r="A74" s="2"/>
      <c r="B74" s="2"/>
      <c r="D74" s="2"/>
      <c r="I74" s="2"/>
      <c r="J74" s="2"/>
      <c r="L74" s="2"/>
    </row>
    <row r="75" ht="15.75" customHeight="1">
      <c r="A75" s="2"/>
      <c r="B75" s="2"/>
      <c r="D75" s="2"/>
      <c r="I75" s="2"/>
      <c r="J75" s="2"/>
      <c r="L75" s="2"/>
    </row>
    <row r="76" ht="15.75" customHeight="1">
      <c r="A76" s="2"/>
      <c r="B76" s="2"/>
      <c r="D76" s="2"/>
      <c r="I76" s="2"/>
      <c r="J76" s="2"/>
      <c r="L76" s="2"/>
    </row>
    <row r="77" ht="15.75" customHeight="1">
      <c r="A77" s="2"/>
      <c r="B77" s="2"/>
      <c r="D77" s="2"/>
      <c r="I77" s="2"/>
      <c r="J77" s="2"/>
      <c r="L77" s="2"/>
    </row>
    <row r="78" ht="15.75" customHeight="1">
      <c r="A78" s="2"/>
      <c r="B78" s="2"/>
      <c r="D78" s="2"/>
      <c r="I78" s="2"/>
      <c r="J78" s="2"/>
      <c r="L78" s="2"/>
    </row>
    <row r="79" ht="15.75" customHeight="1">
      <c r="A79" s="2"/>
      <c r="B79" s="2"/>
      <c r="D79" s="2"/>
      <c r="I79" s="2"/>
      <c r="J79" s="2"/>
      <c r="L79" s="2"/>
    </row>
    <row r="80" ht="15.75" customHeight="1">
      <c r="A80" s="2"/>
      <c r="B80" s="2"/>
      <c r="D80" s="2"/>
      <c r="I80" s="2"/>
      <c r="J80" s="2"/>
      <c r="L80" s="2"/>
    </row>
    <row r="81" ht="15.75" customHeight="1">
      <c r="A81" s="2"/>
      <c r="B81" s="2"/>
      <c r="D81" s="2"/>
      <c r="I81" s="2"/>
      <c r="J81" s="2"/>
      <c r="L81" s="2"/>
    </row>
    <row r="82" ht="15.75" customHeight="1">
      <c r="A82" s="2"/>
      <c r="B82" s="2"/>
      <c r="D82" s="2"/>
      <c r="I82" s="2"/>
      <c r="J82" s="2"/>
      <c r="L82" s="2"/>
    </row>
    <row r="83" ht="15.75" customHeight="1">
      <c r="A83" s="2"/>
      <c r="B83" s="2"/>
      <c r="D83" s="2"/>
      <c r="I83" s="2"/>
      <c r="J83" s="2"/>
      <c r="L83" s="2"/>
    </row>
    <row r="84" ht="15.75" customHeight="1">
      <c r="A84" s="2"/>
      <c r="B84" s="2"/>
      <c r="D84" s="2"/>
      <c r="I84" s="2"/>
      <c r="J84" s="2"/>
      <c r="L84" s="2"/>
    </row>
    <row r="85" ht="15.75" customHeight="1">
      <c r="A85" s="2"/>
      <c r="B85" s="2"/>
      <c r="D85" s="2"/>
      <c r="I85" s="2"/>
      <c r="J85" s="2"/>
      <c r="L85" s="2"/>
    </row>
    <row r="86" ht="15.75" customHeight="1">
      <c r="A86" s="2"/>
      <c r="B86" s="2"/>
      <c r="D86" s="2"/>
      <c r="I86" s="2"/>
      <c r="J86" s="2"/>
      <c r="L86" s="2"/>
    </row>
    <row r="87" ht="15.75" customHeight="1">
      <c r="A87" s="2"/>
      <c r="B87" s="2"/>
      <c r="D87" s="2"/>
      <c r="I87" s="2"/>
      <c r="J87" s="2"/>
      <c r="L87" s="2"/>
    </row>
    <row r="88" ht="15.75" customHeight="1">
      <c r="A88" s="2"/>
      <c r="B88" s="2"/>
      <c r="D88" s="2"/>
      <c r="I88" s="2"/>
      <c r="J88" s="2"/>
      <c r="L88" s="2"/>
    </row>
    <row r="89" ht="15.75" customHeight="1">
      <c r="A89" s="2"/>
      <c r="B89" s="2"/>
      <c r="D89" s="2"/>
      <c r="I89" s="2"/>
      <c r="J89" s="2"/>
      <c r="L89" s="2"/>
    </row>
    <row r="90" ht="15.75" customHeight="1">
      <c r="A90" s="2"/>
      <c r="B90" s="2"/>
      <c r="D90" s="2"/>
      <c r="I90" s="2"/>
      <c r="J90" s="2"/>
      <c r="L90" s="2"/>
    </row>
    <row r="91" ht="15.75" customHeight="1">
      <c r="A91" s="2"/>
      <c r="B91" s="2"/>
      <c r="D91" s="2"/>
      <c r="I91" s="2"/>
      <c r="J91" s="2"/>
      <c r="L91" s="2"/>
    </row>
    <row r="92" ht="15.75" customHeight="1">
      <c r="A92" s="2"/>
      <c r="B92" s="2"/>
      <c r="D92" s="2"/>
      <c r="I92" s="2"/>
      <c r="J92" s="2"/>
      <c r="L92" s="2"/>
    </row>
    <row r="93" ht="15.75" customHeight="1">
      <c r="A93" s="2"/>
      <c r="B93" s="2"/>
      <c r="D93" s="2"/>
      <c r="I93" s="2"/>
      <c r="J93" s="2"/>
      <c r="L93" s="2"/>
    </row>
    <row r="94" ht="15.75" customHeight="1">
      <c r="A94" s="2"/>
      <c r="B94" s="2"/>
      <c r="D94" s="2"/>
      <c r="I94" s="2"/>
      <c r="J94" s="2"/>
      <c r="L94" s="2"/>
    </row>
    <row r="95" ht="15.75" customHeight="1">
      <c r="A95" s="2"/>
      <c r="B95" s="2"/>
      <c r="D95" s="2"/>
      <c r="I95" s="2"/>
      <c r="J95" s="2"/>
      <c r="L95" s="2"/>
    </row>
    <row r="96" ht="15.75" customHeight="1">
      <c r="A96" s="2"/>
      <c r="B96" s="2"/>
      <c r="D96" s="2"/>
      <c r="I96" s="2"/>
      <c r="J96" s="2"/>
      <c r="L96" s="2"/>
    </row>
    <row r="97" ht="15.75" customHeight="1">
      <c r="A97" s="2"/>
      <c r="B97" s="2"/>
      <c r="D97" s="2"/>
      <c r="I97" s="2"/>
      <c r="J97" s="2"/>
      <c r="L97" s="2"/>
    </row>
    <row r="98" ht="15.75" customHeight="1">
      <c r="A98" s="2"/>
      <c r="B98" s="2"/>
      <c r="D98" s="2"/>
      <c r="I98" s="2"/>
      <c r="J98" s="2"/>
      <c r="L98" s="2"/>
    </row>
    <row r="99" ht="15.75" customHeight="1">
      <c r="A99" s="2"/>
      <c r="B99" s="2"/>
      <c r="D99" s="2"/>
      <c r="I99" s="2"/>
      <c r="J99" s="2"/>
      <c r="L99" s="2"/>
    </row>
    <row r="100" ht="15.75" customHeight="1">
      <c r="A100" s="2"/>
      <c r="B100" s="2"/>
      <c r="D100" s="2"/>
      <c r="I100" s="2"/>
      <c r="J100" s="2"/>
      <c r="L100" s="2"/>
    </row>
    <row r="101" ht="15.75" customHeight="1">
      <c r="A101" s="2"/>
      <c r="B101" s="2"/>
      <c r="D101" s="2"/>
      <c r="I101" s="2"/>
      <c r="J101" s="2"/>
      <c r="L101" s="2"/>
    </row>
    <row r="102" ht="15.75" customHeight="1">
      <c r="A102" s="2"/>
      <c r="B102" s="2"/>
      <c r="D102" s="2"/>
      <c r="I102" s="2"/>
      <c r="J102" s="2"/>
      <c r="L102" s="2"/>
    </row>
    <row r="103" ht="15.75" customHeight="1">
      <c r="A103" s="2"/>
      <c r="B103" s="2"/>
      <c r="D103" s="2"/>
      <c r="I103" s="2"/>
      <c r="J103" s="2"/>
      <c r="L103" s="2"/>
    </row>
    <row r="104" ht="15.75" customHeight="1">
      <c r="A104" s="2"/>
      <c r="B104" s="2"/>
      <c r="D104" s="2"/>
      <c r="I104" s="2"/>
      <c r="J104" s="2"/>
      <c r="L104" s="2"/>
    </row>
    <row r="105" ht="15.75" customHeight="1">
      <c r="A105" s="2"/>
      <c r="B105" s="2"/>
      <c r="D105" s="2"/>
      <c r="I105" s="2"/>
      <c r="J105" s="2"/>
      <c r="L105" s="2"/>
    </row>
    <row r="106" ht="15.75" customHeight="1">
      <c r="A106" s="2"/>
      <c r="B106" s="2"/>
      <c r="D106" s="2"/>
      <c r="I106" s="2"/>
      <c r="J106" s="2"/>
      <c r="L106" s="2"/>
    </row>
    <row r="107" ht="15.75" customHeight="1">
      <c r="A107" s="2"/>
      <c r="B107" s="2"/>
      <c r="D107" s="2"/>
      <c r="I107" s="2"/>
      <c r="J107" s="2"/>
      <c r="L107" s="2"/>
    </row>
    <row r="108" ht="15.75" customHeight="1">
      <c r="A108" s="2"/>
      <c r="B108" s="2"/>
      <c r="D108" s="2"/>
      <c r="I108" s="2"/>
      <c r="J108" s="2"/>
      <c r="L108" s="2"/>
    </row>
    <row r="109" ht="15.75" customHeight="1">
      <c r="A109" s="2"/>
      <c r="B109" s="2"/>
      <c r="D109" s="2"/>
      <c r="I109" s="2"/>
      <c r="J109" s="2"/>
      <c r="L109" s="2"/>
    </row>
    <row r="110" ht="15.75" customHeight="1">
      <c r="A110" s="2"/>
      <c r="B110" s="2"/>
      <c r="D110" s="2"/>
      <c r="I110" s="2"/>
      <c r="J110" s="2"/>
      <c r="L110" s="2"/>
    </row>
    <row r="111" ht="15.75" customHeight="1">
      <c r="A111" s="2"/>
      <c r="B111" s="2"/>
      <c r="D111" s="2"/>
      <c r="I111" s="2"/>
      <c r="J111" s="2"/>
      <c r="L111" s="2"/>
    </row>
    <row r="112" ht="15.75" customHeight="1">
      <c r="A112" s="2"/>
      <c r="B112" s="2"/>
      <c r="D112" s="2"/>
      <c r="I112" s="2"/>
      <c r="J112" s="2"/>
      <c r="L112" s="2"/>
    </row>
    <row r="113" ht="15.75" customHeight="1">
      <c r="A113" s="2"/>
      <c r="B113" s="2"/>
      <c r="D113" s="2"/>
      <c r="I113" s="2"/>
      <c r="J113" s="2"/>
      <c r="L113" s="2"/>
    </row>
    <row r="114" ht="15.75" customHeight="1">
      <c r="A114" s="2"/>
      <c r="B114" s="2"/>
      <c r="D114" s="2"/>
      <c r="I114" s="2"/>
      <c r="J114" s="2"/>
      <c r="L114" s="2"/>
    </row>
    <row r="115" ht="15.75" customHeight="1">
      <c r="A115" s="2"/>
      <c r="B115" s="2"/>
      <c r="D115" s="2"/>
      <c r="I115" s="2"/>
      <c r="J115" s="2"/>
      <c r="L115" s="2"/>
    </row>
    <row r="116" ht="15.75" customHeight="1">
      <c r="A116" s="2"/>
      <c r="B116" s="2"/>
      <c r="D116" s="2"/>
      <c r="I116" s="2"/>
      <c r="J116" s="2"/>
      <c r="L116" s="2"/>
    </row>
    <row r="117" ht="15.75" customHeight="1">
      <c r="A117" s="2"/>
      <c r="B117" s="2"/>
      <c r="D117" s="2"/>
      <c r="I117" s="2"/>
      <c r="J117" s="2"/>
      <c r="L117" s="2"/>
    </row>
    <row r="118" ht="15.75" customHeight="1">
      <c r="A118" s="2"/>
      <c r="B118" s="2"/>
      <c r="D118" s="2"/>
      <c r="I118" s="2"/>
      <c r="J118" s="2"/>
      <c r="L118" s="2"/>
    </row>
    <row r="119" ht="15.75" customHeight="1">
      <c r="A119" s="2"/>
      <c r="B119" s="2"/>
      <c r="D119" s="2"/>
      <c r="I119" s="2"/>
      <c r="J119" s="2"/>
      <c r="L119" s="2"/>
    </row>
    <row r="120" ht="15.75" customHeight="1">
      <c r="A120" s="2"/>
      <c r="B120" s="2"/>
      <c r="D120" s="2"/>
      <c r="I120" s="2"/>
      <c r="J120" s="2"/>
      <c r="L120" s="2"/>
    </row>
    <row r="121" ht="15.75" customHeight="1">
      <c r="A121" s="2"/>
      <c r="B121" s="2"/>
      <c r="D121" s="2"/>
      <c r="I121" s="2"/>
      <c r="J121" s="2"/>
      <c r="L121" s="2"/>
    </row>
    <row r="122" ht="15.75" customHeight="1">
      <c r="A122" s="2"/>
      <c r="B122" s="2"/>
      <c r="D122" s="2"/>
      <c r="I122" s="2"/>
      <c r="J122" s="2"/>
      <c r="L122" s="2"/>
    </row>
    <row r="123" ht="15.75" customHeight="1">
      <c r="A123" s="2"/>
      <c r="B123" s="2"/>
      <c r="D123" s="2"/>
      <c r="I123" s="2"/>
      <c r="J123" s="2"/>
      <c r="L123" s="2"/>
    </row>
    <row r="124" ht="15.75" customHeight="1">
      <c r="A124" s="2"/>
      <c r="B124" s="2"/>
      <c r="D124" s="2"/>
      <c r="I124" s="2"/>
      <c r="J124" s="2"/>
      <c r="L124" s="2"/>
    </row>
    <row r="125" ht="15.75" customHeight="1">
      <c r="A125" s="2"/>
      <c r="B125" s="2"/>
      <c r="D125" s="2"/>
      <c r="I125" s="2"/>
      <c r="J125" s="2"/>
      <c r="L125" s="2"/>
    </row>
    <row r="126" ht="15.75" customHeight="1">
      <c r="A126" s="2"/>
      <c r="B126" s="2"/>
      <c r="D126" s="2"/>
      <c r="I126" s="2"/>
      <c r="J126" s="2"/>
      <c r="L126" s="2"/>
    </row>
    <row r="127" ht="15.75" customHeight="1">
      <c r="A127" s="2"/>
      <c r="B127" s="2"/>
      <c r="D127" s="2"/>
      <c r="I127" s="2"/>
      <c r="J127" s="2"/>
      <c r="L127" s="2"/>
    </row>
    <row r="128" ht="15.75" customHeight="1">
      <c r="A128" s="2"/>
      <c r="B128" s="2"/>
      <c r="D128" s="2"/>
      <c r="I128" s="2"/>
      <c r="J128" s="2"/>
      <c r="L128" s="2"/>
    </row>
    <row r="129" ht="15.75" customHeight="1">
      <c r="A129" s="2"/>
      <c r="B129" s="2"/>
      <c r="D129" s="2"/>
      <c r="I129" s="2"/>
      <c r="J129" s="2"/>
      <c r="L129" s="2"/>
    </row>
    <row r="130" ht="15.75" customHeight="1">
      <c r="A130" s="2"/>
      <c r="B130" s="2"/>
      <c r="D130" s="2"/>
      <c r="I130" s="2"/>
      <c r="J130" s="2"/>
      <c r="L130" s="2"/>
    </row>
    <row r="131" ht="15.75" customHeight="1">
      <c r="A131" s="2"/>
      <c r="B131" s="2"/>
      <c r="D131" s="2"/>
      <c r="I131" s="2"/>
      <c r="J131" s="2"/>
      <c r="L131" s="2"/>
    </row>
    <row r="132" ht="15.75" customHeight="1">
      <c r="A132" s="2"/>
      <c r="B132" s="2"/>
      <c r="D132" s="2"/>
      <c r="I132" s="2"/>
      <c r="J132" s="2"/>
      <c r="L132" s="2"/>
    </row>
    <row r="133" ht="15.75" customHeight="1">
      <c r="A133" s="2"/>
      <c r="B133" s="2"/>
      <c r="D133" s="2"/>
      <c r="I133" s="2"/>
      <c r="J133" s="2"/>
      <c r="L133" s="2"/>
    </row>
    <row r="134" ht="15.75" customHeight="1">
      <c r="A134" s="2"/>
      <c r="B134" s="2"/>
      <c r="D134" s="2"/>
      <c r="I134" s="2"/>
      <c r="J134" s="2"/>
      <c r="L134" s="2"/>
    </row>
    <row r="135" ht="15.75" customHeight="1">
      <c r="A135" s="2"/>
      <c r="B135" s="2"/>
      <c r="D135" s="2"/>
      <c r="I135" s="2"/>
      <c r="J135" s="2"/>
      <c r="L135" s="2"/>
    </row>
    <row r="136" ht="15.75" customHeight="1">
      <c r="A136" s="2"/>
      <c r="B136" s="2"/>
      <c r="D136" s="2"/>
      <c r="I136" s="2"/>
      <c r="J136" s="2"/>
      <c r="L136" s="2"/>
    </row>
    <row r="137" ht="15.75" customHeight="1">
      <c r="A137" s="2"/>
      <c r="B137" s="2"/>
      <c r="D137" s="2"/>
      <c r="I137" s="2"/>
      <c r="J137" s="2"/>
      <c r="L137" s="2"/>
    </row>
    <row r="138" ht="15.75" customHeight="1">
      <c r="A138" s="2"/>
      <c r="B138" s="2"/>
      <c r="D138" s="2"/>
      <c r="I138" s="2"/>
      <c r="J138" s="2"/>
      <c r="L138" s="2"/>
    </row>
    <row r="139" ht="15.75" customHeight="1">
      <c r="A139" s="2"/>
      <c r="B139" s="2"/>
      <c r="D139" s="2"/>
      <c r="I139" s="2"/>
      <c r="J139" s="2"/>
      <c r="L139" s="2"/>
    </row>
    <row r="140" ht="15.75" customHeight="1">
      <c r="A140" s="2"/>
      <c r="B140" s="2"/>
      <c r="D140" s="2"/>
      <c r="I140" s="2"/>
      <c r="J140" s="2"/>
      <c r="L140" s="2"/>
    </row>
    <row r="141" ht="15.75" customHeight="1">
      <c r="A141" s="2"/>
      <c r="B141" s="2"/>
      <c r="D141" s="2"/>
      <c r="I141" s="2"/>
      <c r="J141" s="2"/>
      <c r="L141" s="2"/>
    </row>
    <row r="142" ht="15.75" customHeight="1">
      <c r="A142" s="2"/>
      <c r="B142" s="2"/>
      <c r="D142" s="2"/>
      <c r="I142" s="2"/>
      <c r="J142" s="2"/>
      <c r="L142" s="2"/>
    </row>
    <row r="143" ht="15.75" customHeight="1">
      <c r="A143" s="2"/>
      <c r="B143" s="2"/>
      <c r="D143" s="2"/>
      <c r="I143" s="2"/>
      <c r="J143" s="2"/>
      <c r="L143" s="2"/>
    </row>
    <row r="144" ht="15.75" customHeight="1">
      <c r="A144" s="2"/>
      <c r="B144" s="2"/>
      <c r="D144" s="2"/>
      <c r="I144" s="2"/>
      <c r="J144" s="2"/>
      <c r="L144" s="2"/>
    </row>
    <row r="145" ht="15.75" customHeight="1">
      <c r="A145" s="2"/>
      <c r="B145" s="2"/>
      <c r="D145" s="2"/>
      <c r="I145" s="2"/>
      <c r="J145" s="2"/>
      <c r="L145" s="2"/>
    </row>
    <row r="146" ht="15.75" customHeight="1">
      <c r="A146" s="2"/>
      <c r="B146" s="2"/>
      <c r="D146" s="2"/>
      <c r="I146" s="2"/>
      <c r="J146" s="2"/>
      <c r="L146" s="2"/>
    </row>
    <row r="147" ht="15.75" customHeight="1">
      <c r="A147" s="2"/>
      <c r="B147" s="2"/>
      <c r="D147" s="2"/>
      <c r="I147" s="2"/>
      <c r="J147" s="2"/>
      <c r="L147" s="2"/>
    </row>
    <row r="148" ht="15.75" customHeight="1">
      <c r="A148" s="2"/>
      <c r="B148" s="2"/>
      <c r="D148" s="2"/>
      <c r="I148" s="2"/>
      <c r="J148" s="2"/>
      <c r="L148" s="2"/>
    </row>
    <row r="149" ht="15.75" customHeight="1">
      <c r="A149" s="2"/>
      <c r="B149" s="2"/>
      <c r="D149" s="2"/>
      <c r="I149" s="2"/>
      <c r="J149" s="2"/>
      <c r="L149" s="2"/>
    </row>
    <row r="150" ht="15.75" customHeight="1">
      <c r="A150" s="2"/>
      <c r="B150" s="2"/>
      <c r="D150" s="2"/>
      <c r="I150" s="2"/>
      <c r="J150" s="2"/>
      <c r="L150" s="2"/>
    </row>
    <row r="151" ht="15.75" customHeight="1">
      <c r="A151" s="2"/>
      <c r="B151" s="2"/>
      <c r="D151" s="2"/>
      <c r="I151" s="2"/>
      <c r="J151" s="2"/>
      <c r="L151" s="2"/>
    </row>
    <row r="152" ht="15.75" customHeight="1">
      <c r="A152" s="2"/>
      <c r="B152" s="2"/>
      <c r="D152" s="2"/>
      <c r="I152" s="2"/>
      <c r="J152" s="2"/>
      <c r="L152" s="2"/>
    </row>
    <row r="153" ht="15.75" customHeight="1">
      <c r="A153" s="2"/>
      <c r="B153" s="2"/>
      <c r="D153" s="2"/>
      <c r="I153" s="2"/>
      <c r="J153" s="2"/>
      <c r="L153" s="2"/>
    </row>
    <row r="154" ht="15.75" customHeight="1">
      <c r="A154" s="2"/>
      <c r="B154" s="2"/>
      <c r="D154" s="2"/>
      <c r="I154" s="2"/>
      <c r="J154" s="2"/>
      <c r="L154" s="2"/>
    </row>
    <row r="155" ht="15.75" customHeight="1">
      <c r="A155" s="2"/>
      <c r="B155" s="2"/>
      <c r="D155" s="2"/>
      <c r="I155" s="2"/>
      <c r="J155" s="2"/>
      <c r="L155" s="2"/>
    </row>
    <row r="156" ht="15.75" customHeight="1">
      <c r="A156" s="2"/>
      <c r="B156" s="2"/>
      <c r="D156" s="2"/>
      <c r="I156" s="2"/>
      <c r="J156" s="2"/>
      <c r="L156" s="2"/>
    </row>
    <row r="157" ht="15.75" customHeight="1">
      <c r="A157" s="2"/>
      <c r="B157" s="2"/>
      <c r="D157" s="2"/>
      <c r="I157" s="2"/>
      <c r="J157" s="2"/>
      <c r="L157" s="2"/>
    </row>
    <row r="158" ht="15.75" customHeight="1">
      <c r="A158" s="2"/>
      <c r="B158" s="2"/>
      <c r="D158" s="2"/>
      <c r="I158" s="2"/>
      <c r="J158" s="2"/>
      <c r="L158" s="2"/>
    </row>
    <row r="159" ht="15.75" customHeight="1">
      <c r="A159" s="2"/>
      <c r="B159" s="2"/>
      <c r="D159" s="2"/>
      <c r="I159" s="2"/>
      <c r="J159" s="2"/>
      <c r="L159" s="2"/>
    </row>
    <row r="160" ht="15.75" customHeight="1">
      <c r="A160" s="2"/>
      <c r="B160" s="2"/>
      <c r="D160" s="2"/>
      <c r="I160" s="2"/>
      <c r="J160" s="2"/>
      <c r="L160" s="2"/>
    </row>
    <row r="161" ht="15.75" customHeight="1">
      <c r="A161" s="2"/>
      <c r="B161" s="2"/>
      <c r="D161" s="2"/>
      <c r="I161" s="2"/>
      <c r="J161" s="2"/>
      <c r="L161" s="2"/>
    </row>
    <row r="162" ht="15.75" customHeight="1">
      <c r="A162" s="2"/>
      <c r="B162" s="2"/>
      <c r="D162" s="2"/>
      <c r="I162" s="2"/>
      <c r="J162" s="2"/>
      <c r="L162" s="2"/>
    </row>
    <row r="163" ht="15.75" customHeight="1">
      <c r="A163" s="2"/>
      <c r="B163" s="2"/>
      <c r="D163" s="2"/>
      <c r="I163" s="2"/>
      <c r="J163" s="2"/>
      <c r="L163" s="2"/>
    </row>
    <row r="164" ht="15.75" customHeight="1">
      <c r="A164" s="2"/>
      <c r="B164" s="2"/>
      <c r="D164" s="2"/>
      <c r="I164" s="2"/>
      <c r="J164" s="2"/>
      <c r="L164" s="2"/>
    </row>
    <row r="165" ht="15.75" customHeight="1">
      <c r="A165" s="2"/>
      <c r="B165" s="2"/>
      <c r="D165" s="2"/>
      <c r="I165" s="2"/>
      <c r="J165" s="2"/>
      <c r="L165" s="2"/>
    </row>
    <row r="166" ht="15.75" customHeight="1">
      <c r="A166" s="2"/>
      <c r="B166" s="2"/>
      <c r="D166" s="2"/>
      <c r="I166" s="2"/>
      <c r="J166" s="2"/>
      <c r="L166" s="2"/>
    </row>
    <row r="167" ht="15.75" customHeight="1">
      <c r="A167" s="2"/>
      <c r="B167" s="2"/>
      <c r="D167" s="2"/>
      <c r="I167" s="2"/>
      <c r="J167" s="2"/>
      <c r="L167" s="2"/>
    </row>
    <row r="168" ht="15.75" customHeight="1">
      <c r="A168" s="2"/>
      <c r="B168" s="2"/>
      <c r="D168" s="2"/>
      <c r="I168" s="2"/>
      <c r="J168" s="2"/>
      <c r="L168" s="2"/>
    </row>
    <row r="169" ht="15.75" customHeight="1">
      <c r="A169" s="2"/>
      <c r="B169" s="2"/>
      <c r="D169" s="2"/>
      <c r="I169" s="2"/>
      <c r="J169" s="2"/>
      <c r="L169" s="2"/>
    </row>
    <row r="170" ht="15.75" customHeight="1">
      <c r="A170" s="2"/>
      <c r="B170" s="2"/>
      <c r="D170" s="2"/>
      <c r="I170" s="2"/>
      <c r="J170" s="2"/>
      <c r="L170" s="2"/>
    </row>
    <row r="171" ht="15.75" customHeight="1">
      <c r="A171" s="2"/>
      <c r="B171" s="2"/>
      <c r="D171" s="2"/>
      <c r="I171" s="2"/>
      <c r="J171" s="2"/>
      <c r="L171" s="2"/>
    </row>
    <row r="172" ht="15.75" customHeight="1">
      <c r="A172" s="2"/>
      <c r="B172" s="2"/>
      <c r="D172" s="2"/>
      <c r="I172" s="2"/>
      <c r="J172" s="2"/>
      <c r="L172" s="2"/>
    </row>
    <row r="173" ht="15.75" customHeight="1">
      <c r="A173" s="2"/>
      <c r="B173" s="2"/>
      <c r="D173" s="2"/>
      <c r="I173" s="2"/>
      <c r="J173" s="2"/>
      <c r="L173" s="2"/>
    </row>
    <row r="174" ht="15.75" customHeight="1">
      <c r="A174" s="2"/>
      <c r="B174" s="2"/>
      <c r="D174" s="2"/>
      <c r="I174" s="2"/>
      <c r="J174" s="2"/>
      <c r="L174" s="2"/>
    </row>
    <row r="175" ht="15.75" customHeight="1">
      <c r="A175" s="2"/>
      <c r="B175" s="2"/>
      <c r="D175" s="2"/>
      <c r="I175" s="2"/>
      <c r="J175" s="2"/>
      <c r="L175" s="2"/>
    </row>
    <row r="176" ht="15.75" customHeight="1">
      <c r="A176" s="2"/>
      <c r="B176" s="2"/>
      <c r="D176" s="2"/>
      <c r="I176" s="2"/>
      <c r="J176" s="2"/>
      <c r="L176" s="2"/>
    </row>
    <row r="177" ht="15.75" customHeight="1">
      <c r="A177" s="2"/>
      <c r="B177" s="2"/>
      <c r="D177" s="2"/>
      <c r="I177" s="2"/>
      <c r="J177" s="2"/>
      <c r="L177" s="2"/>
    </row>
    <row r="178" ht="15.75" customHeight="1">
      <c r="A178" s="2"/>
      <c r="B178" s="2"/>
      <c r="D178" s="2"/>
      <c r="I178" s="2"/>
      <c r="J178" s="2"/>
      <c r="L178" s="2"/>
    </row>
    <row r="179" ht="15.75" customHeight="1">
      <c r="A179" s="2"/>
      <c r="B179" s="2"/>
      <c r="D179" s="2"/>
      <c r="I179" s="2"/>
      <c r="J179" s="2"/>
      <c r="L179" s="2"/>
    </row>
    <row r="180" ht="15.75" customHeight="1">
      <c r="A180" s="2"/>
      <c r="B180" s="2"/>
      <c r="D180" s="2"/>
      <c r="I180" s="2"/>
      <c r="J180" s="2"/>
      <c r="L180" s="2"/>
    </row>
    <row r="181" ht="15.75" customHeight="1">
      <c r="A181" s="2"/>
      <c r="B181" s="2"/>
      <c r="D181" s="2"/>
      <c r="I181" s="2"/>
      <c r="J181" s="2"/>
      <c r="L181" s="2"/>
    </row>
    <row r="182" ht="15.75" customHeight="1">
      <c r="A182" s="2"/>
      <c r="B182" s="2"/>
      <c r="D182" s="2"/>
      <c r="I182" s="2"/>
      <c r="J182" s="2"/>
      <c r="L182" s="2"/>
    </row>
    <row r="183" ht="15.75" customHeight="1">
      <c r="A183" s="2"/>
      <c r="B183" s="2"/>
      <c r="D183" s="2"/>
      <c r="I183" s="2"/>
      <c r="J183" s="2"/>
      <c r="L183" s="2"/>
    </row>
    <row r="184" ht="15.75" customHeight="1">
      <c r="A184" s="2"/>
      <c r="B184" s="2"/>
      <c r="D184" s="2"/>
      <c r="I184" s="2"/>
      <c r="J184" s="2"/>
      <c r="L184" s="2"/>
    </row>
    <row r="185" ht="15.75" customHeight="1">
      <c r="A185" s="2"/>
      <c r="B185" s="2"/>
      <c r="D185" s="2"/>
      <c r="I185" s="2"/>
      <c r="J185" s="2"/>
      <c r="L185" s="2"/>
    </row>
    <row r="186" ht="15.75" customHeight="1">
      <c r="A186" s="2"/>
      <c r="B186" s="2"/>
      <c r="D186" s="2"/>
      <c r="I186" s="2"/>
      <c r="J186" s="2"/>
      <c r="L186" s="2"/>
    </row>
    <row r="187" ht="15.75" customHeight="1">
      <c r="A187" s="2"/>
      <c r="B187" s="2"/>
      <c r="D187" s="2"/>
      <c r="I187" s="2"/>
      <c r="J187" s="2"/>
      <c r="L187" s="2"/>
    </row>
    <row r="188" ht="15.75" customHeight="1">
      <c r="A188" s="2"/>
      <c r="B188" s="2"/>
      <c r="D188" s="2"/>
      <c r="I188" s="2"/>
      <c r="J188" s="2"/>
      <c r="L188" s="2"/>
    </row>
    <row r="189" ht="15.75" customHeight="1">
      <c r="A189" s="2"/>
      <c r="B189" s="2"/>
      <c r="D189" s="2"/>
      <c r="I189" s="2"/>
      <c r="J189" s="2"/>
      <c r="L189" s="2"/>
    </row>
    <row r="190" ht="15.75" customHeight="1">
      <c r="A190" s="2"/>
      <c r="B190" s="2"/>
      <c r="D190" s="2"/>
      <c r="I190" s="2"/>
      <c r="J190" s="2"/>
      <c r="L190" s="2"/>
    </row>
    <row r="191" ht="15.75" customHeight="1">
      <c r="A191" s="2"/>
      <c r="B191" s="2"/>
      <c r="D191" s="2"/>
      <c r="I191" s="2"/>
      <c r="J191" s="2"/>
      <c r="L191" s="2"/>
    </row>
    <row r="192" ht="15.75" customHeight="1">
      <c r="A192" s="2"/>
      <c r="B192" s="2"/>
      <c r="D192" s="2"/>
      <c r="I192" s="2"/>
      <c r="J192" s="2"/>
      <c r="L192" s="2"/>
    </row>
    <row r="193" ht="15.75" customHeight="1">
      <c r="A193" s="2"/>
      <c r="B193" s="2"/>
      <c r="D193" s="2"/>
      <c r="I193" s="2"/>
      <c r="J193" s="2"/>
      <c r="L193" s="2"/>
    </row>
    <row r="194" ht="15.75" customHeight="1">
      <c r="A194" s="2"/>
      <c r="B194" s="2"/>
      <c r="D194" s="2"/>
      <c r="I194" s="2"/>
      <c r="J194" s="2"/>
      <c r="L194" s="2"/>
    </row>
    <row r="195" ht="15.75" customHeight="1">
      <c r="A195" s="2"/>
      <c r="B195" s="2"/>
      <c r="D195" s="2"/>
      <c r="I195" s="2"/>
      <c r="J195" s="2"/>
      <c r="L195" s="2"/>
    </row>
    <row r="196" ht="15.75" customHeight="1">
      <c r="A196" s="2"/>
      <c r="B196" s="2"/>
      <c r="D196" s="2"/>
      <c r="I196" s="2"/>
      <c r="J196" s="2"/>
      <c r="L196" s="2"/>
    </row>
    <row r="197" ht="15.75" customHeight="1">
      <c r="A197" s="2"/>
      <c r="B197" s="2"/>
      <c r="D197" s="2"/>
      <c r="I197" s="2"/>
      <c r="J197" s="2"/>
      <c r="L197" s="2"/>
    </row>
    <row r="198" ht="15.75" customHeight="1">
      <c r="A198" s="2"/>
      <c r="B198" s="2"/>
      <c r="D198" s="2"/>
      <c r="I198" s="2"/>
      <c r="J198" s="2"/>
      <c r="L198" s="2"/>
    </row>
    <row r="199" ht="15.75" customHeight="1">
      <c r="A199" s="2"/>
      <c r="B199" s="2"/>
      <c r="D199" s="2"/>
      <c r="I199" s="2"/>
      <c r="J199" s="2"/>
      <c r="L199" s="2"/>
    </row>
    <row r="200" ht="15.75" customHeight="1">
      <c r="A200" s="2"/>
      <c r="B200" s="2"/>
      <c r="D200" s="2"/>
      <c r="I200" s="2"/>
      <c r="J200" s="2"/>
      <c r="L200" s="2"/>
    </row>
    <row r="201" ht="15.75" customHeight="1">
      <c r="A201" s="2"/>
      <c r="B201" s="2"/>
      <c r="D201" s="2"/>
      <c r="I201" s="2"/>
      <c r="J201" s="2"/>
      <c r="L201" s="2"/>
    </row>
    <row r="202" ht="15.75" customHeight="1">
      <c r="A202" s="2"/>
      <c r="B202" s="2"/>
      <c r="D202" s="2"/>
      <c r="I202" s="2"/>
      <c r="J202" s="2"/>
      <c r="L202" s="2"/>
    </row>
    <row r="203" ht="15.75" customHeight="1">
      <c r="A203" s="2"/>
      <c r="B203" s="2"/>
      <c r="D203" s="2"/>
      <c r="I203" s="2"/>
      <c r="J203" s="2"/>
      <c r="L203" s="2"/>
    </row>
    <row r="204" ht="15.75" customHeight="1">
      <c r="A204" s="2"/>
      <c r="B204" s="2"/>
      <c r="D204" s="2"/>
      <c r="I204" s="2"/>
      <c r="J204" s="2"/>
      <c r="L204" s="2"/>
    </row>
    <row r="205" ht="15.75" customHeight="1">
      <c r="A205" s="2"/>
      <c r="B205" s="2"/>
      <c r="D205" s="2"/>
      <c r="I205" s="2"/>
      <c r="J205" s="2"/>
      <c r="L205" s="2"/>
    </row>
    <row r="206" ht="15.75" customHeight="1">
      <c r="A206" s="2"/>
      <c r="B206" s="2"/>
      <c r="D206" s="2"/>
      <c r="I206" s="2"/>
      <c r="J206" s="2"/>
      <c r="L206" s="2"/>
    </row>
    <row r="207" ht="15.75" customHeight="1">
      <c r="A207" s="2"/>
      <c r="B207" s="2"/>
      <c r="D207" s="2"/>
      <c r="I207" s="2"/>
      <c r="J207" s="2"/>
      <c r="L207" s="2"/>
    </row>
    <row r="208" ht="15.75" customHeight="1">
      <c r="A208" s="2"/>
      <c r="B208" s="2"/>
      <c r="D208" s="2"/>
      <c r="I208" s="2"/>
      <c r="J208" s="2"/>
      <c r="L208" s="2"/>
    </row>
    <row r="209" ht="15.75" customHeight="1">
      <c r="A209" s="2"/>
      <c r="B209" s="2"/>
      <c r="D209" s="2"/>
      <c r="I209" s="2"/>
      <c r="J209" s="2"/>
      <c r="L209" s="2"/>
    </row>
    <row r="210" ht="15.75" customHeight="1">
      <c r="A210" s="2"/>
      <c r="B210" s="2"/>
      <c r="D210" s="2"/>
      <c r="I210" s="2"/>
      <c r="J210" s="2"/>
      <c r="L210" s="2"/>
    </row>
    <row r="211" ht="15.75" customHeight="1">
      <c r="A211" s="2"/>
      <c r="B211" s="2"/>
      <c r="D211" s="2"/>
      <c r="I211" s="2"/>
      <c r="J211" s="2"/>
      <c r="L211" s="2"/>
    </row>
    <row r="212" ht="15.75" customHeight="1">
      <c r="A212" s="2"/>
      <c r="B212" s="2"/>
      <c r="D212" s="2"/>
      <c r="I212" s="2"/>
      <c r="J212" s="2"/>
      <c r="L212" s="2"/>
    </row>
    <row r="213" ht="15.75" customHeight="1">
      <c r="A213" s="2"/>
      <c r="B213" s="2"/>
      <c r="D213" s="2"/>
      <c r="I213" s="2"/>
      <c r="J213" s="2"/>
      <c r="L213" s="2"/>
    </row>
    <row r="214" ht="15.75" customHeight="1">
      <c r="A214" s="2"/>
      <c r="B214" s="2"/>
      <c r="D214" s="2"/>
      <c r="I214" s="2"/>
      <c r="J214" s="2"/>
      <c r="L214" s="2"/>
    </row>
    <row r="215" ht="15.75" customHeight="1">
      <c r="A215" s="2"/>
      <c r="B215" s="2"/>
      <c r="D215" s="2"/>
      <c r="I215" s="2"/>
      <c r="J215" s="2"/>
      <c r="L215" s="2"/>
    </row>
    <row r="216" ht="15.75" customHeight="1">
      <c r="A216" s="2"/>
      <c r="B216" s="2"/>
      <c r="D216" s="2"/>
      <c r="I216" s="2"/>
      <c r="J216" s="2"/>
      <c r="L216" s="2"/>
    </row>
    <row r="217" ht="15.75" customHeight="1">
      <c r="A217" s="2"/>
      <c r="B217" s="2"/>
      <c r="D217" s="2"/>
      <c r="I217" s="2"/>
      <c r="J217" s="2"/>
      <c r="L217" s="2"/>
    </row>
    <row r="218" ht="15.75" customHeight="1">
      <c r="A218" s="2"/>
      <c r="B218" s="2"/>
      <c r="D218" s="2"/>
      <c r="I218" s="2"/>
      <c r="J218" s="2"/>
      <c r="L218" s="2"/>
    </row>
    <row r="219" ht="15.75" customHeight="1">
      <c r="A219" s="2"/>
      <c r="B219" s="2"/>
      <c r="D219" s="2"/>
      <c r="I219" s="2"/>
      <c r="J219" s="2"/>
      <c r="L219" s="2"/>
    </row>
    <row r="220" ht="15.75" customHeight="1">
      <c r="A220" s="2"/>
      <c r="B220" s="2"/>
      <c r="D220" s="2"/>
      <c r="I220" s="2"/>
      <c r="J220" s="2"/>
      <c r="L220" s="2"/>
    </row>
    <row r="221" ht="15.75" customHeight="1">
      <c r="A221" s="2"/>
      <c r="B221" s="2"/>
      <c r="D221" s="2"/>
      <c r="I221" s="2"/>
      <c r="J221" s="2"/>
      <c r="L221" s="2"/>
    </row>
    <row r="222" ht="15.75" customHeight="1">
      <c r="A222" s="2"/>
      <c r="B222" s="2"/>
      <c r="D222" s="2"/>
      <c r="I222" s="2"/>
      <c r="J222" s="2"/>
      <c r="L222" s="2"/>
    </row>
    <row r="223" ht="15.75" customHeight="1">
      <c r="A223" s="2"/>
      <c r="B223" s="2"/>
      <c r="D223" s="2"/>
      <c r="I223" s="2"/>
      <c r="J223" s="2"/>
      <c r="L223" s="2"/>
    </row>
    <row r="224" ht="15.75" customHeight="1">
      <c r="A224" s="2"/>
      <c r="B224" s="2"/>
      <c r="D224" s="2"/>
      <c r="I224" s="2"/>
      <c r="J224" s="2"/>
      <c r="L224" s="2"/>
    </row>
    <row r="225" ht="15.75" customHeight="1">
      <c r="A225" s="2"/>
      <c r="B225" s="2"/>
      <c r="D225" s="2"/>
      <c r="I225" s="2"/>
      <c r="J225" s="2"/>
      <c r="L225" s="2"/>
    </row>
    <row r="226" ht="15.75" customHeight="1">
      <c r="A226" s="2"/>
      <c r="B226" s="2"/>
      <c r="D226" s="2"/>
      <c r="I226" s="2"/>
      <c r="J226" s="2"/>
      <c r="L226" s="2"/>
    </row>
    <row r="227" ht="15.75" customHeight="1">
      <c r="A227" s="2"/>
      <c r="B227" s="2"/>
      <c r="D227" s="2"/>
      <c r="I227" s="2"/>
      <c r="J227" s="2"/>
      <c r="L227" s="2"/>
    </row>
    <row r="228" ht="15.75" customHeight="1">
      <c r="A228" s="2"/>
      <c r="B228" s="2"/>
      <c r="D228" s="2"/>
      <c r="I228" s="2"/>
      <c r="J228" s="2"/>
      <c r="L228" s="2"/>
    </row>
    <row r="229" ht="15.75" customHeight="1">
      <c r="A229" s="2"/>
      <c r="B229" s="2"/>
      <c r="D229" s="2"/>
      <c r="I229" s="2"/>
      <c r="J229" s="2"/>
      <c r="L229" s="2"/>
    </row>
    <row r="230" ht="15.75" customHeight="1">
      <c r="A230" s="2"/>
      <c r="B230" s="2"/>
      <c r="D230" s="2"/>
      <c r="I230" s="2"/>
      <c r="J230" s="2"/>
      <c r="L230" s="2"/>
    </row>
    <row r="231" ht="15.75" customHeight="1">
      <c r="A231" s="2"/>
      <c r="B231" s="2"/>
      <c r="D231" s="2"/>
      <c r="I231" s="2"/>
      <c r="J231" s="2"/>
      <c r="L231" s="2"/>
    </row>
    <row r="232" ht="15.75" customHeight="1">
      <c r="A232" s="2"/>
      <c r="B232" s="2"/>
      <c r="D232" s="2"/>
      <c r="I232" s="2"/>
      <c r="J232" s="2"/>
      <c r="L232" s="2"/>
    </row>
    <row r="233" ht="15.75" customHeight="1">
      <c r="A233" s="2"/>
      <c r="B233" s="2"/>
      <c r="D233" s="2"/>
      <c r="I233" s="2"/>
      <c r="J233" s="2"/>
      <c r="L233" s="2"/>
    </row>
    <row r="234" ht="15.75" customHeight="1">
      <c r="A234" s="2"/>
      <c r="B234" s="2"/>
      <c r="D234" s="2"/>
      <c r="I234" s="2"/>
      <c r="J234" s="2"/>
      <c r="L234" s="2"/>
    </row>
    <row r="235" ht="15.75" customHeight="1">
      <c r="A235" s="2"/>
      <c r="B235" s="2"/>
      <c r="D235" s="2"/>
      <c r="I235" s="2"/>
      <c r="J235" s="2"/>
      <c r="L235" s="2"/>
    </row>
    <row r="236" ht="15.75" customHeight="1">
      <c r="A236" s="2"/>
      <c r="B236" s="2"/>
      <c r="D236" s="2"/>
      <c r="I236" s="2"/>
      <c r="J236" s="2"/>
      <c r="L236" s="2"/>
    </row>
    <row r="237" ht="15.75" customHeight="1">
      <c r="A237" s="2"/>
      <c r="B237" s="2"/>
      <c r="D237" s="2"/>
      <c r="I237" s="2"/>
      <c r="J237" s="2"/>
      <c r="L237" s="2"/>
    </row>
    <row r="238" ht="15.75" customHeight="1">
      <c r="A238" s="2"/>
      <c r="B238" s="2"/>
      <c r="D238" s="2"/>
      <c r="I238" s="2"/>
      <c r="J238" s="2"/>
      <c r="L238" s="2"/>
    </row>
    <row r="239" ht="15.75" customHeight="1">
      <c r="A239" s="2"/>
      <c r="B239" s="2"/>
      <c r="D239" s="2"/>
      <c r="I239" s="2"/>
      <c r="J239" s="2"/>
      <c r="L239" s="2"/>
    </row>
    <row r="240" ht="15.75" customHeight="1">
      <c r="A240" s="2"/>
      <c r="B240" s="2"/>
      <c r="D240" s="2"/>
      <c r="I240" s="2"/>
      <c r="J240" s="2"/>
      <c r="L240" s="2"/>
    </row>
    <row r="241" ht="15.75" customHeight="1">
      <c r="A241" s="2"/>
      <c r="B241" s="2"/>
      <c r="D241" s="2"/>
      <c r="I241" s="2"/>
      <c r="J241" s="2"/>
      <c r="L241" s="2"/>
    </row>
    <row r="242" ht="15.75" customHeight="1">
      <c r="A242" s="2"/>
      <c r="B242" s="2"/>
      <c r="D242" s="2"/>
      <c r="I242" s="2"/>
      <c r="J242" s="2"/>
      <c r="L242" s="2"/>
    </row>
    <row r="243" ht="15.75" customHeight="1">
      <c r="A243" s="2"/>
      <c r="B243" s="2"/>
      <c r="D243" s="2"/>
      <c r="I243" s="2"/>
      <c r="J243" s="2"/>
      <c r="L243" s="2"/>
    </row>
    <row r="244" ht="15.75" customHeight="1">
      <c r="A244" s="2"/>
      <c r="B244" s="2"/>
      <c r="D244" s="2"/>
      <c r="I244" s="2"/>
      <c r="J244" s="2"/>
      <c r="L244" s="2"/>
    </row>
    <row r="245" ht="15.75" customHeight="1">
      <c r="A245" s="2"/>
      <c r="B245" s="2"/>
      <c r="D245" s="2"/>
      <c r="I245" s="2"/>
      <c r="J245" s="2"/>
      <c r="L245" s="2"/>
    </row>
    <row r="246" ht="15.75" customHeight="1">
      <c r="A246" s="2"/>
      <c r="B246" s="2"/>
      <c r="D246" s="2"/>
      <c r="I246" s="2"/>
      <c r="J246" s="2"/>
      <c r="L246" s="2"/>
    </row>
    <row r="247" ht="15.75" customHeight="1">
      <c r="A247" s="2"/>
      <c r="B247" s="2"/>
      <c r="D247" s="2"/>
      <c r="I247" s="2"/>
      <c r="J247" s="2"/>
      <c r="L247" s="2"/>
    </row>
    <row r="248" ht="15.75" customHeight="1">
      <c r="A248" s="2"/>
      <c r="B248" s="2"/>
      <c r="D248" s="2"/>
      <c r="I248" s="2"/>
      <c r="J248" s="2"/>
      <c r="L248" s="2"/>
    </row>
    <row r="249" ht="15.75" customHeight="1">
      <c r="A249" s="2"/>
      <c r="B249" s="2"/>
      <c r="D249" s="2"/>
      <c r="I249" s="2"/>
      <c r="J249" s="2"/>
      <c r="L249" s="2"/>
    </row>
    <row r="250" ht="15.75" customHeight="1">
      <c r="A250" s="2"/>
      <c r="B250" s="2"/>
      <c r="D250" s="2"/>
      <c r="I250" s="2"/>
      <c r="J250" s="2"/>
      <c r="L250" s="2"/>
    </row>
    <row r="251" ht="15.75" customHeight="1">
      <c r="A251" s="2"/>
      <c r="B251" s="2"/>
      <c r="D251" s="2"/>
      <c r="I251" s="2"/>
      <c r="J251" s="2"/>
      <c r="L251" s="2"/>
    </row>
    <row r="252" ht="15.75" customHeight="1">
      <c r="A252" s="2"/>
      <c r="B252" s="2"/>
      <c r="D252" s="2"/>
      <c r="I252" s="2"/>
      <c r="J252" s="2"/>
      <c r="L252" s="2"/>
    </row>
    <row r="253" ht="15.75" customHeight="1">
      <c r="A253" s="2"/>
      <c r="B253" s="2"/>
      <c r="D253" s="2"/>
      <c r="I253" s="2"/>
      <c r="J253" s="2"/>
      <c r="L253" s="2"/>
    </row>
    <row r="254" ht="15.75" customHeight="1">
      <c r="A254" s="2"/>
      <c r="B254" s="2"/>
      <c r="D254" s="2"/>
      <c r="I254" s="2"/>
      <c r="J254" s="2"/>
      <c r="L254" s="2"/>
    </row>
    <row r="255" ht="15.75" customHeight="1">
      <c r="A255" s="2"/>
      <c r="B255" s="2"/>
      <c r="D255" s="2"/>
      <c r="I255" s="2"/>
      <c r="J255" s="2"/>
      <c r="L255" s="2"/>
    </row>
    <row r="256" ht="15.75" customHeight="1">
      <c r="A256" s="2"/>
      <c r="B256" s="2"/>
      <c r="D256" s="2"/>
      <c r="I256" s="2"/>
      <c r="J256" s="2"/>
      <c r="L256" s="2"/>
    </row>
    <row r="257" ht="15.75" customHeight="1">
      <c r="A257" s="2"/>
      <c r="B257" s="2"/>
      <c r="D257" s="2"/>
      <c r="I257" s="2"/>
      <c r="J257" s="2"/>
      <c r="L257" s="2"/>
    </row>
    <row r="258" ht="15.75" customHeight="1">
      <c r="A258" s="2"/>
      <c r="B258" s="2"/>
      <c r="D258" s="2"/>
      <c r="I258" s="2"/>
      <c r="J258" s="2"/>
      <c r="L258" s="2"/>
    </row>
    <row r="259" ht="15.75" customHeight="1">
      <c r="A259" s="2"/>
      <c r="B259" s="2"/>
      <c r="D259" s="2"/>
      <c r="I259" s="2"/>
      <c r="J259" s="2"/>
      <c r="L259" s="2"/>
    </row>
    <row r="260" ht="15.75" customHeight="1">
      <c r="A260" s="2"/>
      <c r="B260" s="2"/>
      <c r="D260" s="2"/>
      <c r="I260" s="2"/>
      <c r="J260" s="2"/>
      <c r="L260" s="2"/>
    </row>
    <row r="261" ht="15.75" customHeight="1">
      <c r="A261" s="2"/>
      <c r="B261" s="2"/>
      <c r="D261" s="2"/>
      <c r="I261" s="2"/>
      <c r="J261" s="2"/>
      <c r="L261" s="2"/>
    </row>
    <row r="262" ht="15.75" customHeight="1">
      <c r="A262" s="2"/>
      <c r="B262" s="2"/>
      <c r="D262" s="2"/>
      <c r="I262" s="2"/>
      <c r="J262" s="2"/>
      <c r="L262" s="2"/>
    </row>
    <row r="263" ht="15.75" customHeight="1">
      <c r="A263" s="2"/>
      <c r="B263" s="2"/>
      <c r="D263" s="2"/>
      <c r="I263" s="2"/>
      <c r="J263" s="2"/>
      <c r="L263" s="2"/>
    </row>
    <row r="264" ht="15.75" customHeight="1">
      <c r="A264" s="2"/>
      <c r="B264" s="2"/>
      <c r="D264" s="2"/>
      <c r="I264" s="2"/>
      <c r="J264" s="2"/>
      <c r="L264" s="2"/>
    </row>
    <row r="265" ht="15.75" customHeight="1">
      <c r="A265" s="2"/>
      <c r="B265" s="2"/>
      <c r="D265" s="2"/>
      <c r="I265" s="2"/>
      <c r="J265" s="2"/>
      <c r="L265" s="2"/>
    </row>
    <row r="266" ht="15.75" customHeight="1">
      <c r="A266" s="2"/>
      <c r="B266" s="2"/>
      <c r="D266" s="2"/>
      <c r="I266" s="2"/>
      <c r="J266" s="2"/>
      <c r="L266" s="2"/>
    </row>
    <row r="267" ht="15.75" customHeight="1">
      <c r="A267" s="2"/>
      <c r="B267" s="2"/>
      <c r="D267" s="2"/>
      <c r="I267" s="2"/>
      <c r="J267" s="2"/>
      <c r="L267" s="2"/>
    </row>
    <row r="268" ht="15.75" customHeight="1">
      <c r="A268" s="2"/>
      <c r="B268" s="2"/>
      <c r="D268" s="2"/>
      <c r="I268" s="2"/>
      <c r="J268" s="2"/>
      <c r="L268" s="2"/>
    </row>
    <row r="269" ht="15.75" customHeight="1">
      <c r="A269" s="2"/>
      <c r="B269" s="2"/>
      <c r="D269" s="2"/>
      <c r="I269" s="2"/>
      <c r="J269" s="2"/>
      <c r="L269" s="2"/>
    </row>
    <row r="270" ht="15.75" customHeight="1">
      <c r="A270" s="2"/>
      <c r="B270" s="2"/>
      <c r="D270" s="2"/>
      <c r="I270" s="2"/>
      <c r="J270" s="2"/>
      <c r="L270" s="2"/>
    </row>
    <row r="271" ht="15.75" customHeight="1">
      <c r="A271" s="2"/>
      <c r="B271" s="2"/>
      <c r="D271" s="2"/>
      <c r="I271" s="2"/>
      <c r="J271" s="2"/>
      <c r="L271" s="2"/>
    </row>
    <row r="272" ht="15.75" customHeight="1">
      <c r="A272" s="2"/>
      <c r="B272" s="2"/>
      <c r="D272" s="2"/>
      <c r="I272" s="2"/>
      <c r="J272" s="2"/>
      <c r="L272" s="2"/>
    </row>
    <row r="273" ht="15.75" customHeight="1">
      <c r="A273" s="2"/>
      <c r="B273" s="2"/>
      <c r="D273" s="2"/>
      <c r="I273" s="2"/>
      <c r="J273" s="2"/>
      <c r="L273" s="2"/>
    </row>
    <row r="274" ht="15.75" customHeight="1">
      <c r="A274" s="2"/>
      <c r="B274" s="2"/>
      <c r="D274" s="2"/>
      <c r="I274" s="2"/>
      <c r="J274" s="2"/>
      <c r="L274" s="2"/>
    </row>
    <row r="275" ht="15.75" customHeight="1">
      <c r="A275" s="2"/>
      <c r="B275" s="2"/>
      <c r="D275" s="2"/>
      <c r="I275" s="2"/>
      <c r="J275" s="2"/>
      <c r="L275" s="2"/>
    </row>
    <row r="276" ht="15.75" customHeight="1">
      <c r="A276" s="2"/>
      <c r="B276" s="2"/>
      <c r="D276" s="2"/>
      <c r="I276" s="2"/>
      <c r="J276" s="2"/>
      <c r="L276" s="2"/>
    </row>
    <row r="277" ht="15.75" customHeight="1">
      <c r="A277" s="2"/>
      <c r="B277" s="2"/>
      <c r="D277" s="2"/>
      <c r="I277" s="2"/>
      <c r="J277" s="2"/>
      <c r="L277" s="2"/>
    </row>
    <row r="278" ht="15.75" customHeight="1">
      <c r="A278" s="2"/>
      <c r="B278" s="2"/>
      <c r="D278" s="2"/>
      <c r="I278" s="2"/>
      <c r="J278" s="2"/>
      <c r="L278" s="2"/>
    </row>
    <row r="279" ht="15.75" customHeight="1">
      <c r="A279" s="2"/>
      <c r="B279" s="2"/>
      <c r="D279" s="2"/>
      <c r="I279" s="2"/>
      <c r="J279" s="2"/>
      <c r="L279" s="2"/>
    </row>
    <row r="280" ht="15.75" customHeight="1">
      <c r="A280" s="2"/>
      <c r="B280" s="2"/>
      <c r="D280" s="2"/>
      <c r="I280" s="2"/>
      <c r="J280" s="2"/>
      <c r="L280" s="2"/>
    </row>
    <row r="281" ht="15.75" customHeight="1">
      <c r="A281" s="2"/>
      <c r="B281" s="2"/>
      <c r="D281" s="2"/>
      <c r="I281" s="2"/>
      <c r="J281" s="2"/>
      <c r="L281" s="2"/>
    </row>
    <row r="282" ht="15.75" customHeight="1">
      <c r="A282" s="2"/>
      <c r="B282" s="2"/>
      <c r="D282" s="2"/>
      <c r="I282" s="2"/>
      <c r="J282" s="2"/>
      <c r="L282" s="2"/>
    </row>
    <row r="283" ht="15.75" customHeight="1">
      <c r="A283" s="2"/>
      <c r="B283" s="2"/>
      <c r="D283" s="2"/>
      <c r="I283" s="2"/>
      <c r="J283" s="2"/>
      <c r="L283" s="2"/>
    </row>
    <row r="284" ht="15.75" customHeight="1">
      <c r="A284" s="2"/>
      <c r="B284" s="2"/>
      <c r="D284" s="2"/>
      <c r="I284" s="2"/>
      <c r="J284" s="2"/>
      <c r="L284" s="2"/>
    </row>
    <row r="285" ht="15.75" customHeight="1">
      <c r="A285" s="2"/>
      <c r="B285" s="2"/>
      <c r="D285" s="2"/>
      <c r="I285" s="2"/>
      <c r="J285" s="2"/>
      <c r="L285" s="2"/>
    </row>
    <row r="286" ht="15.75" customHeight="1">
      <c r="A286" s="2"/>
      <c r="B286" s="2"/>
      <c r="D286" s="2"/>
      <c r="I286" s="2"/>
      <c r="J286" s="2"/>
      <c r="L286" s="2"/>
    </row>
    <row r="287" ht="15.75" customHeight="1">
      <c r="A287" s="2"/>
      <c r="B287" s="2"/>
      <c r="D287" s="2"/>
      <c r="I287" s="2"/>
      <c r="J287" s="2"/>
      <c r="L287" s="2"/>
    </row>
    <row r="288" ht="15.75" customHeight="1">
      <c r="A288" s="2"/>
      <c r="B288" s="2"/>
      <c r="D288" s="2"/>
      <c r="I288" s="2"/>
      <c r="J288" s="2"/>
      <c r="L288" s="2"/>
    </row>
    <row r="289" ht="15.75" customHeight="1">
      <c r="A289" s="2"/>
      <c r="B289" s="2"/>
      <c r="D289" s="2"/>
      <c r="I289" s="2"/>
      <c r="J289" s="2"/>
      <c r="L289" s="2"/>
    </row>
    <row r="290" ht="15.75" customHeight="1">
      <c r="A290" s="2"/>
      <c r="B290" s="2"/>
      <c r="D290" s="2"/>
      <c r="I290" s="2"/>
      <c r="J290" s="2"/>
      <c r="L290" s="2"/>
    </row>
    <row r="291" ht="15.75" customHeight="1">
      <c r="A291" s="2"/>
      <c r="B291" s="2"/>
      <c r="D291" s="2"/>
      <c r="I291" s="2"/>
      <c r="J291" s="2"/>
      <c r="L291" s="2"/>
    </row>
    <row r="292" ht="15.75" customHeight="1">
      <c r="A292" s="2"/>
      <c r="B292" s="2"/>
      <c r="D292" s="2"/>
      <c r="I292" s="2"/>
      <c r="J292" s="2"/>
      <c r="L292" s="2"/>
    </row>
    <row r="293" ht="15.75" customHeight="1">
      <c r="A293" s="2"/>
      <c r="B293" s="2"/>
      <c r="D293" s="2"/>
      <c r="I293" s="2"/>
      <c r="J293" s="2"/>
      <c r="L293" s="2"/>
    </row>
    <row r="294" ht="15.75" customHeight="1">
      <c r="A294" s="2"/>
      <c r="B294" s="2"/>
      <c r="D294" s="2"/>
      <c r="I294" s="2"/>
      <c r="J294" s="2"/>
      <c r="L294" s="2"/>
    </row>
    <row r="295" ht="15.75" customHeight="1">
      <c r="A295" s="2"/>
      <c r="B295" s="2"/>
      <c r="D295" s="2"/>
      <c r="I295" s="2"/>
      <c r="J295" s="2"/>
      <c r="L295" s="2"/>
    </row>
    <row r="296" ht="15.75" customHeight="1">
      <c r="A296" s="2"/>
      <c r="B296" s="2"/>
      <c r="D296" s="2"/>
      <c r="I296" s="2"/>
      <c r="J296" s="2"/>
      <c r="L296" s="2"/>
    </row>
    <row r="297" ht="15.75" customHeight="1">
      <c r="A297" s="2"/>
      <c r="B297" s="2"/>
      <c r="D297" s="2"/>
      <c r="I297" s="2"/>
      <c r="J297" s="2"/>
      <c r="L297" s="2"/>
    </row>
    <row r="298" ht="15.75" customHeight="1">
      <c r="A298" s="2"/>
      <c r="B298" s="2"/>
      <c r="D298" s="2"/>
      <c r="I298" s="2"/>
      <c r="J298" s="2"/>
      <c r="L298" s="2"/>
    </row>
    <row r="299" ht="15.75" customHeight="1">
      <c r="A299" s="2"/>
      <c r="B299" s="2"/>
      <c r="D299" s="2"/>
      <c r="I299" s="2"/>
      <c r="J299" s="2"/>
      <c r="L299" s="2"/>
    </row>
    <row r="300" ht="15.75" customHeight="1">
      <c r="A300" s="2"/>
      <c r="B300" s="2"/>
      <c r="D300" s="2"/>
      <c r="I300" s="2"/>
      <c r="J300" s="2"/>
      <c r="L300" s="2"/>
    </row>
    <row r="301" ht="15.75" customHeight="1">
      <c r="A301" s="2"/>
      <c r="B301" s="2"/>
      <c r="D301" s="2"/>
      <c r="I301" s="2"/>
      <c r="J301" s="2"/>
      <c r="L301" s="2"/>
    </row>
    <row r="302" ht="15.75" customHeight="1">
      <c r="A302" s="2"/>
      <c r="B302" s="2"/>
      <c r="D302" s="2"/>
      <c r="I302" s="2"/>
      <c r="J302" s="2"/>
      <c r="L302" s="2"/>
    </row>
    <row r="303" ht="15.75" customHeight="1">
      <c r="A303" s="2"/>
      <c r="B303" s="2"/>
      <c r="D303" s="2"/>
      <c r="I303" s="2"/>
      <c r="J303" s="2"/>
      <c r="L303" s="2"/>
    </row>
    <row r="304" ht="15.75" customHeight="1">
      <c r="A304" s="2"/>
      <c r="B304" s="2"/>
      <c r="D304" s="2"/>
      <c r="I304" s="2"/>
      <c r="J304" s="2"/>
      <c r="L304" s="2"/>
    </row>
    <row r="305" ht="15.75" customHeight="1">
      <c r="A305" s="2"/>
      <c r="B305" s="2"/>
      <c r="D305" s="2"/>
      <c r="I305" s="2"/>
      <c r="J305" s="2"/>
      <c r="L305" s="2"/>
    </row>
    <row r="306" ht="15.75" customHeight="1">
      <c r="A306" s="2"/>
      <c r="B306" s="2"/>
      <c r="D306" s="2"/>
      <c r="I306" s="2"/>
      <c r="J306" s="2"/>
      <c r="L306" s="2"/>
    </row>
    <row r="307" ht="15.75" customHeight="1">
      <c r="A307" s="2"/>
      <c r="B307" s="2"/>
      <c r="D307" s="2"/>
      <c r="I307" s="2"/>
      <c r="J307" s="2"/>
      <c r="L307" s="2"/>
    </row>
    <row r="308" ht="15.75" customHeight="1">
      <c r="A308" s="2"/>
      <c r="B308" s="2"/>
      <c r="D308" s="2"/>
      <c r="I308" s="2"/>
      <c r="J308" s="2"/>
      <c r="L308" s="2"/>
    </row>
    <row r="309" ht="15.75" customHeight="1">
      <c r="A309" s="2"/>
      <c r="B309" s="2"/>
      <c r="D309" s="2"/>
      <c r="I309" s="2"/>
      <c r="J309" s="2"/>
      <c r="L309" s="2"/>
    </row>
    <row r="310" ht="15.75" customHeight="1">
      <c r="A310" s="2"/>
      <c r="B310" s="2"/>
      <c r="D310" s="2"/>
      <c r="I310" s="2"/>
      <c r="J310" s="2"/>
      <c r="L310" s="2"/>
    </row>
    <row r="311" ht="15.75" customHeight="1">
      <c r="A311" s="2"/>
      <c r="B311" s="2"/>
      <c r="D311" s="2"/>
      <c r="I311" s="2"/>
      <c r="J311" s="2"/>
      <c r="L311" s="2"/>
    </row>
    <row r="312" ht="15.75" customHeight="1">
      <c r="A312" s="2"/>
      <c r="B312" s="2"/>
      <c r="D312" s="2"/>
      <c r="I312" s="2"/>
      <c r="J312" s="2"/>
      <c r="L312" s="2"/>
    </row>
    <row r="313" ht="15.75" customHeight="1">
      <c r="A313" s="2"/>
      <c r="B313" s="2"/>
      <c r="D313" s="2"/>
      <c r="I313" s="2"/>
      <c r="J313" s="2"/>
      <c r="L313" s="2"/>
    </row>
    <row r="314" ht="15.75" customHeight="1">
      <c r="A314" s="2"/>
      <c r="B314" s="2"/>
      <c r="D314" s="2"/>
      <c r="I314" s="2"/>
      <c r="J314" s="2"/>
      <c r="L314" s="2"/>
    </row>
    <row r="315" ht="15.75" customHeight="1">
      <c r="A315" s="2"/>
      <c r="B315" s="2"/>
      <c r="D315" s="2"/>
      <c r="I315" s="2"/>
      <c r="J315" s="2"/>
      <c r="L315" s="2"/>
    </row>
    <row r="316" ht="15.75" customHeight="1">
      <c r="A316" s="2"/>
      <c r="B316" s="2"/>
      <c r="D316" s="2"/>
      <c r="I316" s="2"/>
      <c r="J316" s="2"/>
      <c r="L316" s="2"/>
    </row>
    <row r="317" ht="15.75" customHeight="1">
      <c r="A317" s="2"/>
      <c r="B317" s="2"/>
      <c r="D317" s="2"/>
      <c r="I317" s="2"/>
      <c r="J317" s="2"/>
      <c r="L317" s="2"/>
    </row>
    <row r="318" ht="15.75" customHeight="1">
      <c r="A318" s="2"/>
      <c r="B318" s="2"/>
      <c r="D318" s="2"/>
      <c r="I318" s="2"/>
      <c r="J318" s="2"/>
      <c r="L318" s="2"/>
    </row>
    <row r="319" ht="15.75" customHeight="1">
      <c r="A319" s="2"/>
      <c r="B319" s="2"/>
      <c r="D319" s="2"/>
      <c r="I319" s="2"/>
      <c r="J319" s="2"/>
      <c r="L319" s="2"/>
    </row>
    <row r="320" ht="15.75" customHeight="1">
      <c r="A320" s="2"/>
      <c r="B320" s="2"/>
      <c r="D320" s="2"/>
      <c r="I320" s="2"/>
      <c r="J320" s="2"/>
      <c r="L320" s="2"/>
    </row>
    <row r="321" ht="15.75" customHeight="1">
      <c r="A321" s="2"/>
      <c r="B321" s="2"/>
      <c r="D321" s="2"/>
      <c r="I321" s="2"/>
      <c r="J321" s="2"/>
      <c r="L321" s="2"/>
    </row>
    <row r="322" ht="15.75" customHeight="1">
      <c r="A322" s="2"/>
      <c r="B322" s="2"/>
      <c r="D322" s="2"/>
      <c r="I322" s="2"/>
      <c r="J322" s="2"/>
      <c r="L322" s="2"/>
    </row>
    <row r="323" ht="15.75" customHeight="1">
      <c r="A323" s="2"/>
      <c r="B323" s="2"/>
      <c r="D323" s="2"/>
      <c r="I323" s="2"/>
      <c r="J323" s="2"/>
      <c r="L323" s="2"/>
    </row>
    <row r="324" ht="15.75" customHeight="1">
      <c r="A324" s="2"/>
      <c r="B324" s="2"/>
      <c r="D324" s="2"/>
      <c r="I324" s="2"/>
      <c r="J324" s="2"/>
      <c r="L324" s="2"/>
    </row>
    <row r="325" ht="15.75" customHeight="1">
      <c r="A325" s="2"/>
      <c r="B325" s="2"/>
      <c r="D325" s="2"/>
      <c r="I325" s="2"/>
      <c r="J325" s="2"/>
      <c r="L325" s="2"/>
    </row>
    <row r="326" ht="15.75" customHeight="1">
      <c r="A326" s="2"/>
      <c r="B326" s="2"/>
      <c r="D326" s="2"/>
      <c r="I326" s="2"/>
      <c r="J326" s="2"/>
      <c r="L326" s="2"/>
    </row>
    <row r="327" ht="15.75" customHeight="1">
      <c r="A327" s="2"/>
      <c r="B327" s="2"/>
      <c r="D327" s="2"/>
      <c r="I327" s="2"/>
      <c r="J327" s="2"/>
      <c r="L327" s="2"/>
    </row>
    <row r="328" ht="15.75" customHeight="1">
      <c r="A328" s="2"/>
      <c r="B328" s="2"/>
      <c r="D328" s="2"/>
      <c r="I328" s="2"/>
      <c r="J328" s="2"/>
      <c r="L328" s="2"/>
    </row>
    <row r="329" ht="15.75" customHeight="1">
      <c r="A329" s="2"/>
      <c r="B329" s="2"/>
      <c r="D329" s="2"/>
      <c r="I329" s="2"/>
      <c r="J329" s="2"/>
      <c r="L329" s="2"/>
    </row>
    <row r="330" ht="15.75" customHeight="1">
      <c r="A330" s="2"/>
      <c r="B330" s="2"/>
      <c r="D330" s="2"/>
      <c r="I330" s="2"/>
      <c r="J330" s="2"/>
      <c r="L330" s="2"/>
    </row>
    <row r="331" ht="15.75" customHeight="1">
      <c r="A331" s="2"/>
      <c r="B331" s="2"/>
      <c r="D331" s="2"/>
      <c r="I331" s="2"/>
      <c r="J331" s="2"/>
      <c r="L331" s="2"/>
    </row>
    <row r="332" ht="15.75" customHeight="1">
      <c r="A332" s="2"/>
      <c r="B332" s="2"/>
      <c r="D332" s="2"/>
      <c r="I332" s="2"/>
      <c r="J332" s="2"/>
      <c r="L332" s="2"/>
    </row>
    <row r="333" ht="15.75" customHeight="1">
      <c r="A333" s="2"/>
      <c r="B333" s="2"/>
      <c r="D333" s="2"/>
      <c r="I333" s="2"/>
      <c r="J333" s="2"/>
      <c r="L333" s="2"/>
    </row>
    <row r="334" ht="15.75" customHeight="1">
      <c r="A334" s="2"/>
      <c r="B334" s="2"/>
      <c r="D334" s="2"/>
      <c r="I334" s="2"/>
      <c r="J334" s="2"/>
      <c r="L334" s="2"/>
    </row>
    <row r="335" ht="15.75" customHeight="1">
      <c r="A335" s="2"/>
      <c r="B335" s="2"/>
      <c r="D335" s="2"/>
      <c r="I335" s="2"/>
      <c r="J335" s="2"/>
      <c r="L335" s="2"/>
    </row>
    <row r="336" ht="15.75" customHeight="1">
      <c r="A336" s="2"/>
      <c r="B336" s="2"/>
      <c r="D336" s="2"/>
      <c r="I336" s="2"/>
      <c r="J336" s="2"/>
      <c r="L336" s="2"/>
    </row>
    <row r="337" ht="15.75" customHeight="1">
      <c r="A337" s="2"/>
      <c r="B337" s="2"/>
      <c r="D337" s="2"/>
      <c r="I337" s="2"/>
      <c r="J337" s="2"/>
      <c r="L337" s="2"/>
    </row>
    <row r="338" ht="15.75" customHeight="1">
      <c r="A338" s="2"/>
      <c r="B338" s="2"/>
      <c r="D338" s="2"/>
      <c r="I338" s="2"/>
      <c r="J338" s="2"/>
      <c r="L338" s="2"/>
    </row>
    <row r="339" ht="15.75" customHeight="1">
      <c r="A339" s="2"/>
      <c r="B339" s="2"/>
      <c r="D339" s="2"/>
      <c r="I339" s="2"/>
      <c r="J339" s="2"/>
      <c r="L339" s="2"/>
    </row>
    <row r="340" ht="15.75" customHeight="1">
      <c r="A340" s="2"/>
      <c r="B340" s="2"/>
      <c r="D340" s="2"/>
      <c r="I340" s="2"/>
      <c r="J340" s="2"/>
      <c r="L340" s="2"/>
    </row>
    <row r="341" ht="15.75" customHeight="1">
      <c r="A341" s="2"/>
      <c r="B341" s="2"/>
      <c r="D341" s="2"/>
      <c r="I341" s="2"/>
      <c r="J341" s="2"/>
      <c r="L341" s="2"/>
    </row>
    <row r="342" ht="15.75" customHeight="1">
      <c r="A342" s="2"/>
      <c r="B342" s="2"/>
      <c r="D342" s="2"/>
      <c r="I342" s="2"/>
      <c r="J342" s="2"/>
      <c r="L342" s="2"/>
    </row>
    <row r="343" ht="15.75" customHeight="1">
      <c r="A343" s="2"/>
      <c r="B343" s="2"/>
      <c r="D343" s="2"/>
      <c r="I343" s="2"/>
      <c r="J343" s="2"/>
      <c r="L343" s="2"/>
    </row>
    <row r="344" ht="15.75" customHeight="1">
      <c r="A344" s="2"/>
      <c r="B344" s="2"/>
      <c r="D344" s="2"/>
      <c r="I344" s="2"/>
      <c r="J344" s="2"/>
      <c r="L344" s="2"/>
    </row>
    <row r="345" ht="15.75" customHeight="1">
      <c r="A345" s="2"/>
      <c r="B345" s="2"/>
      <c r="D345" s="2"/>
      <c r="I345" s="2"/>
      <c r="J345" s="2"/>
      <c r="L345" s="2"/>
    </row>
    <row r="346" ht="15.75" customHeight="1">
      <c r="A346" s="2"/>
      <c r="B346" s="2"/>
      <c r="D346" s="2"/>
      <c r="I346" s="2"/>
      <c r="J346" s="2"/>
      <c r="L346" s="2"/>
    </row>
    <row r="347" ht="15.75" customHeight="1">
      <c r="A347" s="2"/>
      <c r="B347" s="2"/>
      <c r="D347" s="2"/>
      <c r="I347" s="2"/>
      <c r="J347" s="2"/>
      <c r="L347" s="2"/>
    </row>
    <row r="348" ht="15.75" customHeight="1">
      <c r="A348" s="2"/>
      <c r="B348" s="2"/>
      <c r="D348" s="2"/>
      <c r="I348" s="2"/>
      <c r="J348" s="2"/>
      <c r="L348" s="2"/>
    </row>
    <row r="349" ht="15.75" customHeight="1">
      <c r="A349" s="2"/>
      <c r="B349" s="2"/>
      <c r="D349" s="2"/>
      <c r="I349" s="2"/>
      <c r="J349" s="2"/>
      <c r="L349" s="2"/>
    </row>
    <row r="350" ht="15.75" customHeight="1">
      <c r="A350" s="2"/>
      <c r="B350" s="2"/>
      <c r="D350" s="2"/>
      <c r="I350" s="2"/>
      <c r="J350" s="2"/>
      <c r="L350" s="2"/>
    </row>
    <row r="351" ht="15.75" customHeight="1">
      <c r="A351" s="2"/>
      <c r="B351" s="2"/>
      <c r="D351" s="2"/>
      <c r="I351" s="2"/>
      <c r="J351" s="2"/>
      <c r="L351" s="2"/>
    </row>
    <row r="352" ht="15.75" customHeight="1">
      <c r="A352" s="2"/>
      <c r="B352" s="2"/>
      <c r="D352" s="2"/>
      <c r="I352" s="2"/>
      <c r="J352" s="2"/>
      <c r="L352" s="2"/>
    </row>
    <row r="353" ht="15.75" customHeight="1">
      <c r="A353" s="2"/>
      <c r="B353" s="2"/>
      <c r="D353" s="2"/>
      <c r="I353" s="2"/>
      <c r="J353" s="2"/>
      <c r="L353" s="2"/>
    </row>
    <row r="354" ht="15.75" customHeight="1">
      <c r="A354" s="2"/>
      <c r="B354" s="2"/>
      <c r="D354" s="2"/>
      <c r="I354" s="2"/>
      <c r="J354" s="2"/>
      <c r="L354" s="2"/>
    </row>
    <row r="355" ht="15.75" customHeight="1">
      <c r="A355" s="2"/>
      <c r="B355" s="2"/>
      <c r="D355" s="2"/>
      <c r="I355" s="2"/>
      <c r="J355" s="2"/>
      <c r="L355" s="2"/>
    </row>
    <row r="356" ht="15.75" customHeight="1">
      <c r="A356" s="2"/>
      <c r="B356" s="2"/>
      <c r="D356" s="2"/>
      <c r="I356" s="2"/>
      <c r="J356" s="2"/>
      <c r="L356" s="2"/>
    </row>
    <row r="357" ht="15.75" customHeight="1">
      <c r="A357" s="2"/>
      <c r="B357" s="2"/>
      <c r="D357" s="2"/>
      <c r="I357" s="2"/>
      <c r="J357" s="2"/>
      <c r="L357" s="2"/>
    </row>
    <row r="358" ht="15.75" customHeight="1">
      <c r="A358" s="2"/>
      <c r="B358" s="2"/>
      <c r="D358" s="2"/>
      <c r="I358" s="2"/>
      <c r="J358" s="2"/>
      <c r="L358" s="2"/>
    </row>
    <row r="359" ht="15.75" customHeight="1">
      <c r="A359" s="2"/>
      <c r="B359" s="2"/>
      <c r="D359" s="2"/>
      <c r="I359" s="2"/>
      <c r="J359" s="2"/>
      <c r="L359" s="2"/>
    </row>
    <row r="360" ht="15.75" customHeight="1">
      <c r="A360" s="2"/>
      <c r="B360" s="2"/>
      <c r="D360" s="2"/>
      <c r="I360" s="2"/>
      <c r="J360" s="2"/>
      <c r="L360" s="2"/>
    </row>
    <row r="361" ht="15.75" customHeight="1">
      <c r="A361" s="2"/>
      <c r="B361" s="2"/>
      <c r="D361" s="2"/>
      <c r="I361" s="2"/>
      <c r="J361" s="2"/>
      <c r="L361" s="2"/>
    </row>
    <row r="362" ht="15.75" customHeight="1">
      <c r="A362" s="2"/>
      <c r="B362" s="2"/>
      <c r="D362" s="2"/>
      <c r="I362" s="2"/>
      <c r="J362" s="2"/>
      <c r="L362" s="2"/>
    </row>
    <row r="363" ht="15.75" customHeight="1">
      <c r="A363" s="2"/>
      <c r="B363" s="2"/>
      <c r="D363" s="2"/>
      <c r="I363" s="2"/>
      <c r="J363" s="2"/>
      <c r="L363" s="2"/>
    </row>
    <row r="364" ht="15.75" customHeight="1">
      <c r="A364" s="2"/>
      <c r="B364" s="2"/>
      <c r="D364" s="2"/>
      <c r="I364" s="2"/>
      <c r="J364" s="2"/>
      <c r="L364" s="2"/>
    </row>
    <row r="365" ht="15.75" customHeight="1">
      <c r="A365" s="2"/>
      <c r="B365" s="2"/>
      <c r="D365" s="2"/>
      <c r="I365" s="2"/>
      <c r="J365" s="2"/>
      <c r="L365" s="2"/>
    </row>
    <row r="366" ht="15.75" customHeight="1">
      <c r="A366" s="2"/>
      <c r="B366" s="2"/>
      <c r="D366" s="2"/>
      <c r="I366" s="2"/>
      <c r="J366" s="2"/>
      <c r="L366" s="2"/>
    </row>
    <row r="367" ht="15.75" customHeight="1">
      <c r="A367" s="2"/>
      <c r="B367" s="2"/>
      <c r="D367" s="2"/>
      <c r="I367" s="2"/>
      <c r="J367" s="2"/>
      <c r="L367" s="2"/>
    </row>
    <row r="368" ht="15.75" customHeight="1">
      <c r="A368" s="2"/>
      <c r="B368" s="2"/>
      <c r="D368" s="2"/>
      <c r="I368" s="2"/>
      <c r="J368" s="2"/>
      <c r="L368" s="2"/>
    </row>
    <row r="369" ht="15.75" customHeight="1">
      <c r="A369" s="2"/>
      <c r="B369" s="2"/>
      <c r="D369" s="2"/>
      <c r="I369" s="2"/>
      <c r="J369" s="2"/>
      <c r="L369" s="2"/>
    </row>
    <row r="370" ht="15.75" customHeight="1">
      <c r="A370" s="2"/>
      <c r="B370" s="2"/>
      <c r="D370" s="2"/>
      <c r="I370" s="2"/>
      <c r="J370" s="2"/>
      <c r="L370" s="2"/>
    </row>
    <row r="371" ht="15.75" customHeight="1">
      <c r="A371" s="2"/>
      <c r="B371" s="2"/>
      <c r="D371" s="2"/>
      <c r="I371" s="2"/>
      <c r="J371" s="2"/>
      <c r="L371" s="2"/>
    </row>
    <row r="372" ht="15.75" customHeight="1">
      <c r="A372" s="2"/>
      <c r="B372" s="2"/>
      <c r="D372" s="2"/>
      <c r="I372" s="2"/>
      <c r="J372" s="2"/>
      <c r="L372" s="2"/>
    </row>
    <row r="373" ht="15.75" customHeight="1">
      <c r="A373" s="2"/>
      <c r="B373" s="2"/>
      <c r="D373" s="2"/>
      <c r="I373" s="2"/>
      <c r="J373" s="2"/>
      <c r="L373" s="2"/>
    </row>
    <row r="374" ht="15.75" customHeight="1">
      <c r="A374" s="2"/>
      <c r="B374" s="2"/>
      <c r="D374" s="2"/>
      <c r="I374" s="2"/>
      <c r="J374" s="2"/>
      <c r="L374" s="2"/>
    </row>
    <row r="375" ht="15.75" customHeight="1">
      <c r="A375" s="2"/>
      <c r="B375" s="2"/>
      <c r="D375" s="2"/>
      <c r="I375" s="2"/>
      <c r="J375" s="2"/>
      <c r="L375" s="2"/>
    </row>
    <row r="376" ht="15.75" customHeight="1">
      <c r="A376" s="2"/>
      <c r="B376" s="2"/>
      <c r="D376" s="2"/>
      <c r="I376" s="2"/>
      <c r="J376" s="2"/>
      <c r="L376" s="2"/>
    </row>
    <row r="377" ht="15.75" customHeight="1">
      <c r="A377" s="2"/>
      <c r="B377" s="2"/>
      <c r="D377" s="2"/>
      <c r="I377" s="2"/>
      <c r="J377" s="2"/>
      <c r="L377" s="2"/>
    </row>
    <row r="378" ht="15.75" customHeight="1">
      <c r="A378" s="2"/>
      <c r="B378" s="2"/>
      <c r="D378" s="2"/>
      <c r="I378" s="2"/>
      <c r="J378" s="2"/>
      <c r="L378" s="2"/>
    </row>
    <row r="379" ht="15.75" customHeight="1">
      <c r="A379" s="2"/>
      <c r="B379" s="2"/>
      <c r="D379" s="2"/>
      <c r="I379" s="2"/>
      <c r="J379" s="2"/>
      <c r="L379" s="2"/>
    </row>
    <row r="380" ht="15.75" customHeight="1">
      <c r="A380" s="2"/>
      <c r="B380" s="2"/>
      <c r="D380" s="2"/>
      <c r="I380" s="2"/>
      <c r="J380" s="2"/>
      <c r="L380" s="2"/>
    </row>
    <row r="381" ht="15.75" customHeight="1">
      <c r="A381" s="2"/>
      <c r="B381" s="2"/>
      <c r="D381" s="2"/>
      <c r="I381" s="2"/>
      <c r="J381" s="2"/>
      <c r="L381" s="2"/>
    </row>
    <row r="382" ht="15.75" customHeight="1">
      <c r="A382" s="2"/>
      <c r="B382" s="2"/>
      <c r="D382" s="2"/>
      <c r="I382" s="2"/>
      <c r="J382" s="2"/>
      <c r="L382" s="2"/>
    </row>
    <row r="383" ht="15.75" customHeight="1">
      <c r="A383" s="2"/>
      <c r="B383" s="2"/>
      <c r="D383" s="2"/>
      <c r="I383" s="2"/>
      <c r="J383" s="2"/>
      <c r="L383" s="2"/>
    </row>
    <row r="384" ht="15.75" customHeight="1">
      <c r="A384" s="2"/>
      <c r="B384" s="2"/>
      <c r="D384" s="2"/>
      <c r="I384" s="2"/>
      <c r="J384" s="2"/>
      <c r="L384" s="2"/>
    </row>
    <row r="385" ht="15.75" customHeight="1">
      <c r="A385" s="2"/>
      <c r="B385" s="2"/>
      <c r="D385" s="2"/>
      <c r="I385" s="2"/>
      <c r="J385" s="2"/>
      <c r="L385" s="2"/>
    </row>
    <row r="386" ht="15.75" customHeight="1">
      <c r="A386" s="2"/>
      <c r="B386" s="2"/>
      <c r="D386" s="2"/>
      <c r="I386" s="2"/>
      <c r="J386" s="2"/>
      <c r="L386" s="2"/>
    </row>
    <row r="387" ht="15.75" customHeight="1">
      <c r="A387" s="2"/>
      <c r="B387" s="2"/>
      <c r="D387" s="2"/>
      <c r="I387" s="2"/>
      <c r="J387" s="2"/>
      <c r="L387" s="2"/>
    </row>
    <row r="388" ht="15.75" customHeight="1">
      <c r="A388" s="2"/>
      <c r="B388" s="2"/>
      <c r="D388" s="2"/>
      <c r="I388" s="2"/>
      <c r="J388" s="2"/>
      <c r="L388" s="2"/>
    </row>
    <row r="389" ht="15.75" customHeight="1">
      <c r="A389" s="2"/>
      <c r="B389" s="2"/>
      <c r="D389" s="2"/>
      <c r="I389" s="2"/>
      <c r="J389" s="2"/>
      <c r="L389" s="2"/>
    </row>
    <row r="390" ht="15.75" customHeight="1">
      <c r="A390" s="2"/>
      <c r="B390" s="2"/>
      <c r="D390" s="2"/>
      <c r="I390" s="2"/>
      <c r="J390" s="2"/>
      <c r="L390" s="2"/>
    </row>
    <row r="391" ht="15.75" customHeight="1">
      <c r="A391" s="2"/>
      <c r="B391" s="2"/>
      <c r="D391" s="2"/>
      <c r="I391" s="2"/>
      <c r="J391" s="2"/>
      <c r="L391" s="2"/>
    </row>
    <row r="392" ht="15.75" customHeight="1">
      <c r="A392" s="2"/>
      <c r="B392" s="2"/>
      <c r="D392" s="2"/>
      <c r="I392" s="2"/>
      <c r="J392" s="2"/>
      <c r="L392" s="2"/>
    </row>
    <row r="393" ht="15.75" customHeight="1">
      <c r="A393" s="2"/>
      <c r="B393" s="2"/>
      <c r="D393" s="2"/>
      <c r="I393" s="2"/>
      <c r="J393" s="2"/>
      <c r="L393" s="2"/>
    </row>
    <row r="394" ht="15.75" customHeight="1">
      <c r="A394" s="2"/>
      <c r="B394" s="2"/>
      <c r="D394" s="2"/>
      <c r="I394" s="2"/>
      <c r="J394" s="2"/>
      <c r="L394" s="2"/>
    </row>
    <row r="395" ht="15.75" customHeight="1">
      <c r="A395" s="2"/>
      <c r="B395" s="2"/>
      <c r="D395" s="2"/>
      <c r="I395" s="2"/>
      <c r="J395" s="2"/>
      <c r="L395" s="2"/>
    </row>
    <row r="396" ht="15.75" customHeight="1">
      <c r="A396" s="2"/>
      <c r="B396" s="2"/>
      <c r="D396" s="2"/>
      <c r="I396" s="2"/>
      <c r="J396" s="2"/>
      <c r="L396" s="2"/>
    </row>
    <row r="397" ht="15.75" customHeight="1">
      <c r="A397" s="2"/>
      <c r="B397" s="2"/>
      <c r="D397" s="2"/>
      <c r="I397" s="2"/>
      <c r="J397" s="2"/>
      <c r="L397" s="2"/>
    </row>
    <row r="398" ht="15.75" customHeight="1">
      <c r="A398" s="2"/>
      <c r="B398" s="2"/>
      <c r="D398" s="2"/>
      <c r="I398" s="2"/>
      <c r="J398" s="2"/>
      <c r="L398" s="2"/>
    </row>
    <row r="399" ht="15.75" customHeight="1">
      <c r="A399" s="2"/>
      <c r="B399" s="2"/>
      <c r="D399" s="2"/>
      <c r="I399" s="2"/>
      <c r="J399" s="2"/>
      <c r="L399" s="2"/>
    </row>
    <row r="400" ht="15.75" customHeight="1">
      <c r="A400" s="2"/>
      <c r="B400" s="2"/>
      <c r="D400" s="2"/>
      <c r="I400" s="2"/>
      <c r="J400" s="2"/>
      <c r="L400" s="2"/>
    </row>
    <row r="401" ht="15.75" customHeight="1">
      <c r="A401" s="2"/>
      <c r="B401" s="2"/>
      <c r="D401" s="2"/>
      <c r="I401" s="2"/>
      <c r="J401" s="2"/>
      <c r="L401" s="2"/>
    </row>
    <row r="402" ht="15.75" customHeight="1">
      <c r="A402" s="2"/>
      <c r="B402" s="2"/>
      <c r="D402" s="2"/>
      <c r="I402" s="2"/>
      <c r="J402" s="2"/>
      <c r="L402" s="2"/>
    </row>
    <row r="403" ht="15.75" customHeight="1">
      <c r="A403" s="2"/>
      <c r="B403" s="2"/>
      <c r="D403" s="2"/>
      <c r="I403" s="2"/>
      <c r="J403" s="2"/>
      <c r="L403" s="2"/>
    </row>
    <row r="404" ht="15.75" customHeight="1">
      <c r="A404" s="2"/>
      <c r="B404" s="2"/>
      <c r="D404" s="2"/>
      <c r="I404" s="2"/>
      <c r="J404" s="2"/>
      <c r="L404" s="2"/>
    </row>
    <row r="405" ht="15.75" customHeight="1">
      <c r="A405" s="2"/>
      <c r="B405" s="2"/>
      <c r="D405" s="2"/>
      <c r="I405" s="2"/>
      <c r="J405" s="2"/>
      <c r="L405" s="2"/>
    </row>
    <row r="406" ht="15.75" customHeight="1">
      <c r="A406" s="2"/>
      <c r="B406" s="2"/>
      <c r="D406" s="2"/>
      <c r="I406" s="2"/>
      <c r="J406" s="2"/>
      <c r="L406" s="2"/>
    </row>
    <row r="407" ht="15.75" customHeight="1">
      <c r="A407" s="2"/>
      <c r="B407" s="2"/>
      <c r="D407" s="2"/>
      <c r="I407" s="2"/>
      <c r="J407" s="2"/>
      <c r="L407" s="2"/>
    </row>
    <row r="408" ht="15.75" customHeight="1">
      <c r="A408" s="2"/>
      <c r="B408" s="2"/>
      <c r="D408" s="2"/>
      <c r="I408" s="2"/>
      <c r="J408" s="2"/>
      <c r="L408" s="2"/>
    </row>
    <row r="409" ht="15.75" customHeight="1">
      <c r="A409" s="2"/>
      <c r="B409" s="2"/>
      <c r="D409" s="2"/>
      <c r="I409" s="2"/>
      <c r="J409" s="2"/>
      <c r="L409" s="2"/>
    </row>
    <row r="410" ht="15.75" customHeight="1">
      <c r="A410" s="2"/>
      <c r="B410" s="2"/>
      <c r="D410" s="2"/>
      <c r="I410" s="2"/>
      <c r="J410" s="2"/>
      <c r="L410" s="2"/>
    </row>
    <row r="411" ht="15.75" customHeight="1">
      <c r="A411" s="2"/>
      <c r="B411" s="2"/>
      <c r="D411" s="2"/>
      <c r="I411" s="2"/>
      <c r="J411" s="2"/>
      <c r="L411" s="2"/>
    </row>
    <row r="412" ht="15.75" customHeight="1">
      <c r="A412" s="2"/>
      <c r="B412" s="2"/>
      <c r="D412" s="2"/>
      <c r="I412" s="2"/>
      <c r="J412" s="2"/>
      <c r="L412" s="2"/>
    </row>
    <row r="413" ht="15.75" customHeight="1">
      <c r="A413" s="2"/>
      <c r="B413" s="2"/>
      <c r="D413" s="2"/>
      <c r="I413" s="2"/>
      <c r="J413" s="2"/>
      <c r="L413" s="2"/>
    </row>
    <row r="414" ht="15.75" customHeight="1">
      <c r="A414" s="2"/>
      <c r="B414" s="2"/>
      <c r="D414" s="2"/>
      <c r="I414" s="2"/>
      <c r="J414" s="2"/>
      <c r="L414" s="2"/>
    </row>
    <row r="415" ht="15.75" customHeight="1">
      <c r="A415" s="2"/>
      <c r="B415" s="2"/>
      <c r="D415" s="2"/>
      <c r="I415" s="2"/>
      <c r="J415" s="2"/>
      <c r="L415" s="2"/>
    </row>
    <row r="416" ht="15.75" customHeight="1">
      <c r="A416" s="2"/>
      <c r="B416" s="2"/>
      <c r="D416" s="2"/>
      <c r="I416" s="2"/>
      <c r="J416" s="2"/>
      <c r="L416" s="2"/>
    </row>
    <row r="417" ht="15.75" customHeight="1">
      <c r="A417" s="2"/>
      <c r="B417" s="2"/>
      <c r="D417" s="2"/>
      <c r="I417" s="2"/>
      <c r="J417" s="2"/>
      <c r="L417" s="2"/>
    </row>
    <row r="418" ht="15.75" customHeight="1">
      <c r="A418" s="2"/>
      <c r="B418" s="2"/>
      <c r="D418" s="2"/>
      <c r="I418" s="2"/>
      <c r="J418" s="2"/>
      <c r="L418" s="2"/>
    </row>
    <row r="419" ht="15.75" customHeight="1">
      <c r="A419" s="2"/>
      <c r="B419" s="2"/>
      <c r="D419" s="2"/>
      <c r="I419" s="2"/>
      <c r="J419" s="2"/>
      <c r="L419" s="2"/>
    </row>
    <row r="420" ht="15.75" customHeight="1">
      <c r="A420" s="2"/>
      <c r="B420" s="2"/>
      <c r="D420" s="2"/>
      <c r="I420" s="2"/>
      <c r="J420" s="2"/>
      <c r="L420" s="2"/>
    </row>
    <row r="421" ht="15.75" customHeight="1">
      <c r="A421" s="2"/>
      <c r="B421" s="2"/>
      <c r="D421" s="2"/>
      <c r="I421" s="2"/>
      <c r="J421" s="2"/>
      <c r="L421" s="2"/>
    </row>
    <row r="422" ht="15.75" customHeight="1">
      <c r="A422" s="2"/>
      <c r="B422" s="2"/>
      <c r="D422" s="2"/>
      <c r="I422" s="2"/>
      <c r="J422" s="2"/>
      <c r="L422" s="2"/>
    </row>
    <row r="423" ht="15.75" customHeight="1">
      <c r="A423" s="2"/>
      <c r="B423" s="2"/>
      <c r="D423" s="2"/>
      <c r="I423" s="2"/>
      <c r="J423" s="2"/>
      <c r="L423" s="2"/>
    </row>
    <row r="424" ht="15.75" customHeight="1">
      <c r="A424" s="2"/>
      <c r="B424" s="2"/>
      <c r="D424" s="2"/>
      <c r="I424" s="2"/>
      <c r="J424" s="2"/>
      <c r="L424" s="2"/>
    </row>
    <row r="425" ht="15.75" customHeight="1">
      <c r="A425" s="2"/>
      <c r="B425" s="2"/>
      <c r="D425" s="2"/>
      <c r="I425" s="2"/>
      <c r="J425" s="2"/>
      <c r="L425" s="2"/>
    </row>
    <row r="426" ht="15.75" customHeight="1">
      <c r="A426" s="2"/>
      <c r="B426" s="2"/>
      <c r="D426" s="2"/>
      <c r="I426" s="2"/>
      <c r="J426" s="2"/>
      <c r="L426" s="2"/>
    </row>
    <row r="427" ht="15.75" customHeight="1">
      <c r="A427" s="2"/>
      <c r="B427" s="2"/>
      <c r="D427" s="2"/>
      <c r="I427" s="2"/>
      <c r="J427" s="2"/>
      <c r="L427" s="2"/>
    </row>
    <row r="428" ht="15.75" customHeight="1">
      <c r="A428" s="2"/>
      <c r="B428" s="2"/>
      <c r="D428" s="2"/>
      <c r="I428" s="2"/>
      <c r="J428" s="2"/>
      <c r="L428" s="2"/>
    </row>
    <row r="429" ht="15.75" customHeight="1">
      <c r="A429" s="2"/>
      <c r="B429" s="2"/>
      <c r="D429" s="2"/>
      <c r="I429" s="2"/>
      <c r="J429" s="2"/>
      <c r="L429" s="2"/>
    </row>
    <row r="430" ht="15.75" customHeight="1">
      <c r="A430" s="2"/>
      <c r="B430" s="2"/>
      <c r="D430" s="2"/>
      <c r="I430" s="2"/>
      <c r="J430" s="2"/>
      <c r="L430" s="2"/>
    </row>
    <row r="431" ht="15.75" customHeight="1">
      <c r="A431" s="2"/>
      <c r="B431" s="2"/>
      <c r="D431" s="2"/>
      <c r="I431" s="2"/>
      <c r="J431" s="2"/>
      <c r="L431" s="2"/>
    </row>
    <row r="432" ht="15.75" customHeight="1">
      <c r="A432" s="2"/>
      <c r="B432" s="2"/>
      <c r="D432" s="2"/>
      <c r="I432" s="2"/>
      <c r="J432" s="2"/>
      <c r="L432" s="2"/>
    </row>
    <row r="433" ht="15.75" customHeight="1">
      <c r="A433" s="2"/>
      <c r="B433" s="2"/>
      <c r="D433" s="2"/>
      <c r="I433" s="2"/>
      <c r="J433" s="2"/>
      <c r="L433" s="2"/>
    </row>
    <row r="434" ht="15.75" customHeight="1">
      <c r="A434" s="2"/>
      <c r="B434" s="2"/>
      <c r="D434" s="2"/>
      <c r="I434" s="2"/>
      <c r="J434" s="2"/>
      <c r="L434" s="2"/>
    </row>
    <row r="435" ht="15.75" customHeight="1">
      <c r="A435" s="2"/>
      <c r="B435" s="2"/>
      <c r="D435" s="2"/>
      <c r="I435" s="2"/>
      <c r="J435" s="2"/>
      <c r="L435" s="2"/>
    </row>
    <row r="436" ht="15.75" customHeight="1">
      <c r="A436" s="2"/>
      <c r="B436" s="2"/>
      <c r="D436" s="2"/>
      <c r="I436" s="2"/>
      <c r="J436" s="2"/>
      <c r="L436" s="2"/>
    </row>
    <row r="437" ht="15.75" customHeight="1">
      <c r="A437" s="2"/>
      <c r="B437" s="2"/>
      <c r="D437" s="2"/>
      <c r="I437" s="2"/>
      <c r="J437" s="2"/>
      <c r="L437" s="2"/>
    </row>
    <row r="438" ht="15.75" customHeight="1">
      <c r="A438" s="2"/>
      <c r="B438" s="2"/>
      <c r="D438" s="2"/>
      <c r="I438" s="2"/>
      <c r="J438" s="2"/>
      <c r="L438" s="2"/>
    </row>
    <row r="439" ht="15.75" customHeight="1">
      <c r="A439" s="2"/>
      <c r="B439" s="2"/>
      <c r="D439" s="2"/>
      <c r="I439" s="2"/>
      <c r="J439" s="2"/>
      <c r="L439" s="2"/>
    </row>
    <row r="440" ht="15.75" customHeight="1">
      <c r="A440" s="2"/>
      <c r="B440" s="2"/>
      <c r="D440" s="2"/>
      <c r="I440" s="2"/>
      <c r="J440" s="2"/>
      <c r="L440" s="2"/>
    </row>
    <row r="441" ht="15.75" customHeight="1">
      <c r="A441" s="2"/>
      <c r="B441" s="2"/>
      <c r="D441" s="2"/>
      <c r="I441" s="2"/>
      <c r="J441" s="2"/>
      <c r="L441" s="2"/>
    </row>
    <row r="442" ht="15.75" customHeight="1">
      <c r="A442" s="2"/>
      <c r="B442" s="2"/>
      <c r="D442" s="2"/>
      <c r="I442" s="2"/>
      <c r="J442" s="2"/>
      <c r="L442" s="2"/>
    </row>
    <row r="443" ht="15.75" customHeight="1">
      <c r="A443" s="2"/>
      <c r="B443" s="2"/>
      <c r="D443" s="2"/>
      <c r="I443" s="2"/>
      <c r="J443" s="2"/>
      <c r="L443" s="2"/>
    </row>
    <row r="444" ht="15.75" customHeight="1">
      <c r="A444" s="2"/>
      <c r="B444" s="2"/>
      <c r="D444" s="2"/>
      <c r="I444" s="2"/>
      <c r="J444" s="2"/>
      <c r="L444" s="2"/>
    </row>
    <row r="445" ht="15.75" customHeight="1">
      <c r="A445" s="2"/>
      <c r="B445" s="2"/>
      <c r="D445" s="2"/>
      <c r="I445" s="2"/>
      <c r="J445" s="2"/>
      <c r="L445" s="2"/>
    </row>
    <row r="446" ht="15.75" customHeight="1">
      <c r="A446" s="2"/>
      <c r="B446" s="2"/>
      <c r="D446" s="2"/>
      <c r="I446" s="2"/>
      <c r="J446" s="2"/>
      <c r="L446" s="2"/>
    </row>
    <row r="447" ht="15.75" customHeight="1">
      <c r="A447" s="2"/>
      <c r="B447" s="2"/>
      <c r="D447" s="2"/>
      <c r="I447" s="2"/>
      <c r="J447" s="2"/>
      <c r="L447" s="2"/>
    </row>
    <row r="448" ht="15.75" customHeight="1">
      <c r="A448" s="2"/>
      <c r="B448" s="2"/>
      <c r="D448" s="2"/>
      <c r="I448" s="2"/>
      <c r="J448" s="2"/>
      <c r="L448" s="2"/>
    </row>
    <row r="449" ht="15.75" customHeight="1">
      <c r="A449" s="2"/>
      <c r="B449" s="2"/>
      <c r="D449" s="2"/>
      <c r="I449" s="2"/>
      <c r="J449" s="2"/>
      <c r="L449" s="2"/>
    </row>
    <row r="450" ht="15.75" customHeight="1">
      <c r="A450" s="2"/>
      <c r="B450" s="2"/>
      <c r="D450" s="2"/>
      <c r="I450" s="2"/>
      <c r="J450" s="2"/>
      <c r="L450" s="2"/>
    </row>
    <row r="451" ht="15.75" customHeight="1">
      <c r="A451" s="2"/>
      <c r="B451" s="2"/>
      <c r="D451" s="2"/>
      <c r="I451" s="2"/>
      <c r="J451" s="2"/>
      <c r="L451" s="2"/>
    </row>
    <row r="452" ht="15.75" customHeight="1">
      <c r="A452" s="2"/>
      <c r="B452" s="2"/>
      <c r="D452" s="2"/>
      <c r="I452" s="2"/>
      <c r="J452" s="2"/>
      <c r="L452" s="2"/>
    </row>
    <row r="453" ht="15.75" customHeight="1">
      <c r="A453" s="2"/>
      <c r="B453" s="2"/>
      <c r="D453" s="2"/>
      <c r="I453" s="2"/>
      <c r="J453" s="2"/>
      <c r="L453" s="2"/>
    </row>
    <row r="454" ht="15.75" customHeight="1">
      <c r="A454" s="2"/>
      <c r="B454" s="2"/>
      <c r="D454" s="2"/>
      <c r="I454" s="2"/>
      <c r="J454" s="2"/>
      <c r="L454" s="2"/>
    </row>
    <row r="455" ht="15.75" customHeight="1">
      <c r="A455" s="2"/>
      <c r="B455" s="2"/>
      <c r="D455" s="2"/>
      <c r="I455" s="2"/>
      <c r="J455" s="2"/>
      <c r="L455" s="2"/>
    </row>
    <row r="456" ht="15.75" customHeight="1">
      <c r="A456" s="2"/>
      <c r="B456" s="2"/>
      <c r="D456" s="2"/>
      <c r="I456" s="2"/>
      <c r="J456" s="2"/>
      <c r="L456" s="2"/>
    </row>
    <row r="457" ht="15.75" customHeight="1">
      <c r="A457" s="2"/>
      <c r="B457" s="2"/>
      <c r="D457" s="2"/>
      <c r="I457" s="2"/>
      <c r="J457" s="2"/>
      <c r="L457" s="2"/>
    </row>
    <row r="458" ht="15.75" customHeight="1">
      <c r="A458" s="2"/>
      <c r="B458" s="2"/>
      <c r="D458" s="2"/>
      <c r="I458" s="2"/>
      <c r="J458" s="2"/>
      <c r="L458" s="2"/>
    </row>
    <row r="459" ht="15.75" customHeight="1">
      <c r="A459" s="2"/>
      <c r="B459" s="2"/>
      <c r="D459" s="2"/>
      <c r="I459" s="2"/>
      <c r="J459" s="2"/>
      <c r="L459" s="2"/>
    </row>
    <row r="460" ht="15.75" customHeight="1">
      <c r="A460" s="2"/>
      <c r="B460" s="2"/>
      <c r="D460" s="2"/>
      <c r="I460" s="2"/>
      <c r="J460" s="2"/>
      <c r="L460" s="2"/>
    </row>
    <row r="461" ht="15.75" customHeight="1">
      <c r="A461" s="2"/>
      <c r="B461" s="2"/>
      <c r="D461" s="2"/>
      <c r="I461" s="2"/>
      <c r="J461" s="2"/>
      <c r="L461" s="2"/>
    </row>
    <row r="462" ht="15.75" customHeight="1">
      <c r="A462" s="2"/>
      <c r="B462" s="2"/>
      <c r="D462" s="2"/>
      <c r="I462" s="2"/>
      <c r="J462" s="2"/>
      <c r="L462" s="2"/>
    </row>
    <row r="463" ht="15.75" customHeight="1">
      <c r="A463" s="2"/>
      <c r="B463" s="2"/>
      <c r="D463" s="2"/>
      <c r="I463" s="2"/>
      <c r="J463" s="2"/>
      <c r="L463" s="2"/>
    </row>
    <row r="464" ht="15.75" customHeight="1">
      <c r="A464" s="2"/>
      <c r="B464" s="2"/>
      <c r="D464" s="2"/>
      <c r="I464" s="2"/>
      <c r="J464" s="2"/>
      <c r="L464" s="2"/>
    </row>
    <row r="465" ht="15.75" customHeight="1">
      <c r="A465" s="2"/>
      <c r="B465" s="2"/>
      <c r="D465" s="2"/>
      <c r="I465" s="2"/>
      <c r="J465" s="2"/>
      <c r="L465" s="2"/>
    </row>
    <row r="466" ht="15.75" customHeight="1">
      <c r="A466" s="2"/>
      <c r="B466" s="2"/>
      <c r="D466" s="2"/>
      <c r="I466" s="2"/>
      <c r="J466" s="2"/>
      <c r="L466" s="2"/>
    </row>
    <row r="467" ht="15.75" customHeight="1">
      <c r="A467" s="2"/>
      <c r="B467" s="2"/>
      <c r="D467" s="2"/>
      <c r="I467" s="2"/>
      <c r="J467" s="2"/>
      <c r="L467" s="2"/>
    </row>
    <row r="468" ht="15.75" customHeight="1">
      <c r="A468" s="2"/>
      <c r="B468" s="2"/>
      <c r="D468" s="2"/>
      <c r="I468" s="2"/>
      <c r="J468" s="2"/>
      <c r="L468" s="2"/>
    </row>
    <row r="469" ht="15.75" customHeight="1">
      <c r="A469" s="2"/>
      <c r="B469" s="2"/>
      <c r="D469" s="2"/>
      <c r="I469" s="2"/>
      <c r="J469" s="2"/>
      <c r="L469" s="2"/>
    </row>
    <row r="470" ht="15.75" customHeight="1">
      <c r="A470" s="2"/>
      <c r="B470" s="2"/>
      <c r="D470" s="2"/>
      <c r="I470" s="2"/>
      <c r="J470" s="2"/>
      <c r="L470" s="2"/>
    </row>
    <row r="471" ht="15.75" customHeight="1">
      <c r="A471" s="2"/>
      <c r="B471" s="2"/>
      <c r="D471" s="2"/>
      <c r="I471" s="2"/>
      <c r="J471" s="2"/>
      <c r="L471" s="2"/>
    </row>
    <row r="472" ht="15.75" customHeight="1">
      <c r="A472" s="2"/>
      <c r="B472" s="2"/>
      <c r="D472" s="2"/>
      <c r="I472" s="2"/>
      <c r="J472" s="2"/>
      <c r="L472" s="2"/>
    </row>
    <row r="473" ht="15.75" customHeight="1">
      <c r="A473" s="2"/>
      <c r="B473" s="2"/>
      <c r="D473" s="2"/>
      <c r="I473" s="2"/>
      <c r="J473" s="2"/>
      <c r="L473" s="2"/>
    </row>
    <row r="474" ht="15.75" customHeight="1">
      <c r="A474" s="2"/>
      <c r="B474" s="2"/>
      <c r="D474" s="2"/>
      <c r="I474" s="2"/>
      <c r="J474" s="2"/>
      <c r="L474" s="2"/>
    </row>
    <row r="475" ht="15.75" customHeight="1">
      <c r="A475" s="2"/>
      <c r="B475" s="2"/>
      <c r="D475" s="2"/>
      <c r="I475" s="2"/>
      <c r="J475" s="2"/>
      <c r="L475" s="2"/>
    </row>
    <row r="476" ht="15.75" customHeight="1">
      <c r="A476" s="2"/>
      <c r="B476" s="2"/>
      <c r="D476" s="2"/>
      <c r="I476" s="2"/>
      <c r="J476" s="2"/>
      <c r="L476" s="2"/>
    </row>
    <row r="477" ht="15.75" customHeight="1">
      <c r="A477" s="2"/>
      <c r="B477" s="2"/>
      <c r="D477" s="2"/>
      <c r="I477" s="2"/>
      <c r="J477" s="2"/>
      <c r="L477" s="2"/>
    </row>
    <row r="478" ht="15.75" customHeight="1">
      <c r="A478" s="2"/>
      <c r="B478" s="2"/>
      <c r="D478" s="2"/>
      <c r="I478" s="2"/>
      <c r="J478" s="2"/>
      <c r="L478" s="2"/>
    </row>
    <row r="479" ht="15.75" customHeight="1">
      <c r="A479" s="2"/>
      <c r="B479" s="2"/>
      <c r="D479" s="2"/>
      <c r="I479" s="2"/>
      <c r="J479" s="2"/>
      <c r="L479" s="2"/>
    </row>
    <row r="480" ht="15.75" customHeight="1">
      <c r="A480" s="2"/>
      <c r="B480" s="2"/>
      <c r="D480" s="2"/>
      <c r="I480" s="2"/>
      <c r="J480" s="2"/>
      <c r="L480" s="2"/>
    </row>
    <row r="481" ht="15.75" customHeight="1">
      <c r="A481" s="2"/>
      <c r="B481" s="2"/>
      <c r="D481" s="2"/>
      <c r="I481" s="2"/>
      <c r="J481" s="2"/>
      <c r="L481" s="2"/>
    </row>
    <row r="482" ht="15.75" customHeight="1">
      <c r="A482" s="2"/>
      <c r="B482" s="2"/>
      <c r="D482" s="2"/>
      <c r="I482" s="2"/>
      <c r="J482" s="2"/>
      <c r="L482" s="2"/>
    </row>
    <row r="483" ht="15.75" customHeight="1">
      <c r="A483" s="2"/>
      <c r="B483" s="2"/>
      <c r="D483" s="2"/>
      <c r="I483" s="2"/>
      <c r="J483" s="2"/>
      <c r="L483" s="2"/>
    </row>
    <row r="484" ht="15.75" customHeight="1">
      <c r="A484" s="2"/>
      <c r="B484" s="2"/>
      <c r="D484" s="2"/>
      <c r="I484" s="2"/>
      <c r="J484" s="2"/>
      <c r="L484" s="2"/>
    </row>
    <row r="485" ht="15.75" customHeight="1">
      <c r="A485" s="2"/>
      <c r="B485" s="2"/>
      <c r="D485" s="2"/>
      <c r="I485" s="2"/>
      <c r="J485" s="2"/>
      <c r="L485" s="2"/>
    </row>
    <row r="486" ht="15.75" customHeight="1">
      <c r="A486" s="2"/>
      <c r="B486" s="2"/>
      <c r="D486" s="2"/>
      <c r="I486" s="2"/>
      <c r="J486" s="2"/>
      <c r="L486" s="2"/>
    </row>
    <row r="487" ht="15.75" customHeight="1">
      <c r="A487" s="2"/>
      <c r="B487" s="2"/>
      <c r="D487" s="2"/>
      <c r="I487" s="2"/>
      <c r="J487" s="2"/>
      <c r="L487" s="2"/>
    </row>
    <row r="488" ht="15.75" customHeight="1">
      <c r="A488" s="2"/>
      <c r="B488" s="2"/>
      <c r="D488" s="2"/>
      <c r="I488" s="2"/>
      <c r="J488" s="2"/>
      <c r="L488" s="2"/>
    </row>
    <row r="489" ht="15.75" customHeight="1">
      <c r="A489" s="2"/>
      <c r="B489" s="2"/>
      <c r="D489" s="2"/>
      <c r="I489" s="2"/>
      <c r="J489" s="2"/>
      <c r="L489" s="2"/>
    </row>
    <row r="490" ht="15.75" customHeight="1">
      <c r="A490" s="2"/>
      <c r="B490" s="2"/>
      <c r="D490" s="2"/>
      <c r="I490" s="2"/>
      <c r="J490" s="2"/>
      <c r="L490" s="2"/>
    </row>
    <row r="491" ht="15.75" customHeight="1">
      <c r="A491" s="2"/>
      <c r="B491" s="2"/>
      <c r="D491" s="2"/>
      <c r="I491" s="2"/>
      <c r="J491" s="2"/>
      <c r="L491" s="2"/>
    </row>
    <row r="492" ht="15.75" customHeight="1">
      <c r="A492" s="2"/>
      <c r="B492" s="2"/>
      <c r="D492" s="2"/>
      <c r="I492" s="2"/>
      <c r="J492" s="2"/>
      <c r="L492" s="2"/>
    </row>
    <row r="493" ht="15.75" customHeight="1">
      <c r="A493" s="2"/>
      <c r="B493" s="2"/>
      <c r="D493" s="2"/>
      <c r="I493" s="2"/>
      <c r="J493" s="2"/>
      <c r="L493" s="2"/>
    </row>
    <row r="494" ht="15.75" customHeight="1">
      <c r="A494" s="2"/>
      <c r="B494" s="2"/>
      <c r="D494" s="2"/>
      <c r="I494" s="2"/>
      <c r="J494" s="2"/>
      <c r="L494" s="2"/>
    </row>
    <row r="495" ht="15.75" customHeight="1">
      <c r="A495" s="2"/>
      <c r="B495" s="2"/>
      <c r="D495" s="2"/>
      <c r="I495" s="2"/>
      <c r="J495" s="2"/>
      <c r="L495" s="2"/>
    </row>
    <row r="496" ht="15.75" customHeight="1">
      <c r="A496" s="2"/>
      <c r="B496" s="2"/>
      <c r="D496" s="2"/>
      <c r="I496" s="2"/>
      <c r="J496" s="2"/>
      <c r="L496" s="2"/>
    </row>
    <row r="497" ht="15.75" customHeight="1">
      <c r="A497" s="2"/>
      <c r="B497" s="2"/>
      <c r="D497" s="2"/>
      <c r="I497" s="2"/>
      <c r="J497" s="2"/>
      <c r="L497" s="2"/>
    </row>
    <row r="498" ht="15.75" customHeight="1">
      <c r="A498" s="2"/>
      <c r="B498" s="2"/>
      <c r="D498" s="2"/>
      <c r="I498" s="2"/>
      <c r="J498" s="2"/>
      <c r="L498" s="2"/>
    </row>
    <row r="499" ht="15.75" customHeight="1">
      <c r="A499" s="2"/>
      <c r="B499" s="2"/>
      <c r="D499" s="2"/>
      <c r="I499" s="2"/>
      <c r="J499" s="2"/>
      <c r="L499" s="2"/>
    </row>
    <row r="500" ht="15.75" customHeight="1">
      <c r="A500" s="2"/>
      <c r="B500" s="2"/>
      <c r="D500" s="2"/>
      <c r="I500" s="2"/>
      <c r="J500" s="2"/>
      <c r="L500" s="2"/>
    </row>
    <row r="501" ht="15.75" customHeight="1">
      <c r="A501" s="2"/>
      <c r="B501" s="2"/>
      <c r="D501" s="2"/>
      <c r="I501" s="2"/>
      <c r="J501" s="2"/>
      <c r="L501" s="2"/>
    </row>
    <row r="502" ht="15.75" customHeight="1">
      <c r="A502" s="2"/>
      <c r="B502" s="2"/>
      <c r="D502" s="2"/>
      <c r="I502" s="2"/>
      <c r="J502" s="2"/>
      <c r="L502" s="2"/>
    </row>
    <row r="503" ht="15.75" customHeight="1">
      <c r="A503" s="2"/>
      <c r="B503" s="2"/>
      <c r="D503" s="2"/>
      <c r="I503" s="2"/>
      <c r="J503" s="2"/>
      <c r="L503" s="2"/>
    </row>
    <row r="504" ht="15.75" customHeight="1">
      <c r="A504" s="2"/>
      <c r="B504" s="2"/>
      <c r="D504" s="2"/>
      <c r="I504" s="2"/>
      <c r="J504" s="2"/>
      <c r="L504" s="2"/>
    </row>
    <row r="505" ht="15.75" customHeight="1">
      <c r="A505" s="2"/>
      <c r="B505" s="2"/>
      <c r="D505" s="2"/>
      <c r="I505" s="2"/>
      <c r="J505" s="2"/>
      <c r="L505" s="2"/>
    </row>
    <row r="506" ht="15.75" customHeight="1">
      <c r="A506" s="2"/>
      <c r="B506" s="2"/>
      <c r="D506" s="2"/>
      <c r="I506" s="2"/>
      <c r="J506" s="2"/>
      <c r="L506" s="2"/>
    </row>
    <row r="507" ht="15.75" customHeight="1">
      <c r="A507" s="2"/>
      <c r="B507" s="2"/>
      <c r="D507" s="2"/>
      <c r="I507" s="2"/>
      <c r="J507" s="2"/>
      <c r="L507" s="2"/>
    </row>
    <row r="508" ht="15.75" customHeight="1">
      <c r="A508" s="2"/>
      <c r="B508" s="2"/>
      <c r="D508" s="2"/>
      <c r="I508" s="2"/>
      <c r="J508" s="2"/>
      <c r="L508" s="2"/>
    </row>
    <row r="509" ht="15.75" customHeight="1">
      <c r="A509" s="2"/>
      <c r="B509" s="2"/>
      <c r="D509" s="2"/>
      <c r="I509" s="2"/>
      <c r="J509" s="2"/>
      <c r="L509" s="2"/>
    </row>
    <row r="510" ht="15.75" customHeight="1">
      <c r="A510" s="2"/>
      <c r="B510" s="2"/>
      <c r="D510" s="2"/>
      <c r="I510" s="2"/>
      <c r="J510" s="2"/>
      <c r="L510" s="2"/>
    </row>
    <row r="511" ht="15.75" customHeight="1">
      <c r="A511" s="2"/>
      <c r="B511" s="2"/>
      <c r="D511" s="2"/>
      <c r="I511" s="2"/>
      <c r="J511" s="2"/>
      <c r="L511" s="2"/>
    </row>
    <row r="512" ht="15.75" customHeight="1">
      <c r="A512" s="2"/>
      <c r="B512" s="2"/>
      <c r="D512" s="2"/>
      <c r="I512" s="2"/>
      <c r="J512" s="2"/>
      <c r="L512" s="2"/>
    </row>
    <row r="513" ht="15.75" customHeight="1">
      <c r="A513" s="2"/>
      <c r="B513" s="2"/>
      <c r="D513" s="2"/>
      <c r="I513" s="2"/>
      <c r="J513" s="2"/>
      <c r="L513" s="2"/>
    </row>
    <row r="514" ht="15.75" customHeight="1">
      <c r="A514" s="2"/>
      <c r="B514" s="2"/>
      <c r="D514" s="2"/>
      <c r="I514" s="2"/>
      <c r="J514" s="2"/>
      <c r="L514" s="2"/>
    </row>
    <row r="515" ht="15.75" customHeight="1">
      <c r="A515" s="2"/>
      <c r="B515" s="2"/>
      <c r="D515" s="2"/>
      <c r="I515" s="2"/>
      <c r="J515" s="2"/>
      <c r="L515" s="2"/>
    </row>
    <row r="516" ht="15.75" customHeight="1">
      <c r="A516" s="2"/>
      <c r="B516" s="2"/>
      <c r="D516" s="2"/>
      <c r="I516" s="2"/>
      <c r="J516" s="2"/>
      <c r="L516" s="2"/>
    </row>
    <row r="517" ht="15.75" customHeight="1">
      <c r="A517" s="2"/>
      <c r="B517" s="2"/>
      <c r="D517" s="2"/>
      <c r="I517" s="2"/>
      <c r="J517" s="2"/>
      <c r="L517" s="2"/>
    </row>
    <row r="518" ht="15.75" customHeight="1">
      <c r="A518" s="2"/>
      <c r="B518" s="2"/>
      <c r="D518" s="2"/>
      <c r="I518" s="2"/>
      <c r="J518" s="2"/>
      <c r="L518" s="2"/>
    </row>
    <row r="519" ht="15.75" customHeight="1">
      <c r="A519" s="2"/>
      <c r="B519" s="2"/>
      <c r="D519" s="2"/>
      <c r="I519" s="2"/>
      <c r="J519" s="2"/>
      <c r="L519" s="2"/>
    </row>
    <row r="520" ht="15.75" customHeight="1">
      <c r="A520" s="2"/>
      <c r="B520" s="2"/>
      <c r="D520" s="2"/>
      <c r="I520" s="2"/>
      <c r="J520" s="2"/>
      <c r="L520" s="2"/>
    </row>
    <row r="521" ht="15.75" customHeight="1">
      <c r="A521" s="2"/>
      <c r="B521" s="2"/>
      <c r="D521" s="2"/>
      <c r="I521" s="2"/>
      <c r="J521" s="2"/>
      <c r="L521" s="2"/>
    </row>
    <row r="522" ht="15.75" customHeight="1">
      <c r="A522" s="2"/>
      <c r="B522" s="2"/>
      <c r="D522" s="2"/>
      <c r="I522" s="2"/>
      <c r="J522" s="2"/>
      <c r="L522" s="2"/>
    </row>
    <row r="523" ht="15.75" customHeight="1">
      <c r="A523" s="2"/>
      <c r="B523" s="2"/>
      <c r="D523" s="2"/>
      <c r="I523" s="2"/>
      <c r="J523" s="2"/>
      <c r="L523" s="2"/>
    </row>
    <row r="524" ht="15.75" customHeight="1">
      <c r="A524" s="2"/>
      <c r="B524" s="2"/>
      <c r="D524" s="2"/>
      <c r="I524" s="2"/>
      <c r="J524" s="2"/>
      <c r="L524" s="2"/>
    </row>
    <row r="525" ht="15.75" customHeight="1">
      <c r="A525" s="2"/>
      <c r="B525" s="2"/>
      <c r="D525" s="2"/>
      <c r="I525" s="2"/>
      <c r="J525" s="2"/>
      <c r="L525" s="2"/>
    </row>
    <row r="526" ht="15.75" customHeight="1">
      <c r="A526" s="2"/>
      <c r="B526" s="2"/>
      <c r="D526" s="2"/>
      <c r="I526" s="2"/>
      <c r="J526" s="2"/>
      <c r="L526" s="2"/>
    </row>
    <row r="527" ht="15.75" customHeight="1">
      <c r="A527" s="2"/>
      <c r="B527" s="2"/>
      <c r="D527" s="2"/>
      <c r="I527" s="2"/>
      <c r="J527" s="2"/>
      <c r="L527" s="2"/>
    </row>
    <row r="528" ht="15.75" customHeight="1">
      <c r="A528" s="2"/>
      <c r="B528" s="2"/>
      <c r="D528" s="2"/>
      <c r="I528" s="2"/>
      <c r="J528" s="2"/>
      <c r="L528" s="2"/>
    </row>
    <row r="529" ht="15.75" customHeight="1">
      <c r="A529" s="2"/>
      <c r="B529" s="2"/>
      <c r="D529" s="2"/>
      <c r="I529" s="2"/>
      <c r="J529" s="2"/>
      <c r="L529" s="2"/>
    </row>
    <row r="530" ht="15.75" customHeight="1">
      <c r="A530" s="2"/>
      <c r="B530" s="2"/>
      <c r="D530" s="2"/>
      <c r="I530" s="2"/>
      <c r="J530" s="2"/>
      <c r="L530" s="2"/>
    </row>
    <row r="531" ht="15.75" customHeight="1">
      <c r="A531" s="2"/>
      <c r="B531" s="2"/>
      <c r="D531" s="2"/>
      <c r="I531" s="2"/>
      <c r="J531" s="2"/>
      <c r="L531" s="2"/>
    </row>
    <row r="532" ht="15.75" customHeight="1">
      <c r="A532" s="2"/>
      <c r="B532" s="2"/>
      <c r="D532" s="2"/>
      <c r="I532" s="2"/>
      <c r="J532" s="2"/>
      <c r="L532" s="2"/>
    </row>
    <row r="533" ht="15.75" customHeight="1">
      <c r="A533" s="2"/>
      <c r="B533" s="2"/>
      <c r="D533" s="2"/>
      <c r="I533" s="2"/>
      <c r="J533" s="2"/>
      <c r="L533" s="2"/>
    </row>
    <row r="534" ht="15.75" customHeight="1">
      <c r="A534" s="2"/>
      <c r="B534" s="2"/>
      <c r="D534" s="2"/>
      <c r="I534" s="2"/>
      <c r="J534" s="2"/>
      <c r="L534" s="2"/>
    </row>
    <row r="535" ht="15.75" customHeight="1">
      <c r="A535" s="2"/>
      <c r="B535" s="2"/>
      <c r="D535" s="2"/>
      <c r="I535" s="2"/>
      <c r="J535" s="2"/>
      <c r="L535" s="2"/>
    </row>
    <row r="536" ht="15.75" customHeight="1">
      <c r="A536" s="2"/>
      <c r="B536" s="2"/>
      <c r="D536" s="2"/>
      <c r="I536" s="2"/>
      <c r="J536" s="2"/>
      <c r="L536" s="2"/>
    </row>
    <row r="537" ht="15.75" customHeight="1">
      <c r="A537" s="2"/>
      <c r="B537" s="2"/>
      <c r="D537" s="2"/>
      <c r="I537" s="2"/>
      <c r="J537" s="2"/>
      <c r="L537" s="2"/>
    </row>
    <row r="538" ht="15.75" customHeight="1">
      <c r="A538" s="2"/>
      <c r="B538" s="2"/>
      <c r="D538" s="2"/>
      <c r="I538" s="2"/>
      <c r="J538" s="2"/>
      <c r="L538" s="2"/>
    </row>
    <row r="539" ht="15.75" customHeight="1">
      <c r="A539" s="2"/>
      <c r="B539" s="2"/>
      <c r="D539" s="2"/>
      <c r="I539" s="2"/>
      <c r="J539" s="2"/>
      <c r="L539" s="2"/>
    </row>
    <row r="540" ht="15.75" customHeight="1">
      <c r="A540" s="2"/>
      <c r="B540" s="2"/>
      <c r="D540" s="2"/>
      <c r="I540" s="2"/>
      <c r="J540" s="2"/>
      <c r="L540" s="2"/>
    </row>
    <row r="541" ht="15.75" customHeight="1">
      <c r="A541" s="2"/>
      <c r="B541" s="2"/>
      <c r="D541" s="2"/>
      <c r="I541" s="2"/>
      <c r="J541" s="2"/>
      <c r="L541" s="2"/>
    </row>
    <row r="542" ht="15.75" customHeight="1">
      <c r="A542" s="2"/>
      <c r="B542" s="2"/>
      <c r="D542" s="2"/>
      <c r="I542" s="2"/>
      <c r="J542" s="2"/>
      <c r="L542" s="2"/>
    </row>
    <row r="543" ht="15.75" customHeight="1">
      <c r="A543" s="2"/>
      <c r="B543" s="2"/>
      <c r="D543" s="2"/>
      <c r="I543" s="2"/>
      <c r="J543" s="2"/>
      <c r="L543" s="2"/>
    </row>
    <row r="544" ht="15.75" customHeight="1">
      <c r="A544" s="2"/>
      <c r="B544" s="2"/>
      <c r="D544" s="2"/>
      <c r="I544" s="2"/>
      <c r="J544" s="2"/>
      <c r="L544" s="2"/>
    </row>
    <row r="545" ht="15.75" customHeight="1">
      <c r="A545" s="2"/>
      <c r="B545" s="2"/>
      <c r="D545" s="2"/>
      <c r="I545" s="2"/>
      <c r="J545" s="2"/>
      <c r="L545" s="2"/>
    </row>
    <row r="546" ht="15.75" customHeight="1">
      <c r="A546" s="2"/>
      <c r="B546" s="2"/>
      <c r="D546" s="2"/>
      <c r="I546" s="2"/>
      <c r="J546" s="2"/>
      <c r="L546" s="2"/>
    </row>
    <row r="547" ht="15.75" customHeight="1">
      <c r="A547" s="2"/>
      <c r="B547" s="2"/>
      <c r="D547" s="2"/>
      <c r="I547" s="2"/>
      <c r="J547" s="2"/>
      <c r="L547" s="2"/>
    </row>
    <row r="548" ht="15.75" customHeight="1">
      <c r="A548" s="2"/>
      <c r="B548" s="2"/>
      <c r="D548" s="2"/>
      <c r="I548" s="2"/>
      <c r="J548" s="2"/>
      <c r="L548" s="2"/>
    </row>
    <row r="549" ht="15.75" customHeight="1">
      <c r="A549" s="2"/>
      <c r="B549" s="2"/>
      <c r="D549" s="2"/>
      <c r="I549" s="2"/>
      <c r="J549" s="2"/>
      <c r="L549" s="2"/>
    </row>
    <row r="550" ht="15.75" customHeight="1">
      <c r="A550" s="2"/>
      <c r="B550" s="2"/>
      <c r="D550" s="2"/>
      <c r="I550" s="2"/>
      <c r="J550" s="2"/>
      <c r="L550" s="2"/>
    </row>
    <row r="551" ht="15.75" customHeight="1">
      <c r="A551" s="2"/>
      <c r="B551" s="2"/>
      <c r="D551" s="2"/>
      <c r="I551" s="2"/>
      <c r="J551" s="2"/>
      <c r="L551" s="2"/>
    </row>
    <row r="552" ht="15.75" customHeight="1">
      <c r="A552" s="2"/>
      <c r="B552" s="2"/>
      <c r="D552" s="2"/>
      <c r="I552" s="2"/>
      <c r="J552" s="2"/>
      <c r="L552" s="2"/>
    </row>
    <row r="553" ht="15.75" customHeight="1">
      <c r="A553" s="2"/>
      <c r="B553" s="2"/>
      <c r="D553" s="2"/>
      <c r="I553" s="2"/>
      <c r="J553" s="2"/>
      <c r="L553" s="2"/>
    </row>
    <row r="554" ht="15.75" customHeight="1">
      <c r="A554" s="2"/>
      <c r="B554" s="2"/>
      <c r="D554" s="2"/>
      <c r="I554" s="2"/>
      <c r="J554" s="2"/>
      <c r="L554" s="2"/>
    </row>
    <row r="555" ht="15.75" customHeight="1">
      <c r="A555" s="2"/>
      <c r="B555" s="2"/>
      <c r="D555" s="2"/>
      <c r="I555" s="2"/>
      <c r="J555" s="2"/>
      <c r="L555" s="2"/>
    </row>
    <row r="556" ht="15.75" customHeight="1">
      <c r="A556" s="2"/>
      <c r="B556" s="2"/>
      <c r="D556" s="2"/>
      <c r="I556" s="2"/>
      <c r="J556" s="2"/>
      <c r="L556" s="2"/>
    </row>
    <row r="557" ht="15.75" customHeight="1">
      <c r="A557" s="2"/>
      <c r="B557" s="2"/>
      <c r="D557" s="2"/>
      <c r="I557" s="2"/>
      <c r="J557" s="2"/>
      <c r="L557" s="2"/>
    </row>
    <row r="558" ht="15.75" customHeight="1">
      <c r="A558" s="2"/>
      <c r="B558" s="2"/>
      <c r="D558" s="2"/>
      <c r="I558" s="2"/>
      <c r="J558" s="2"/>
      <c r="L558" s="2"/>
    </row>
    <row r="559" ht="15.75" customHeight="1">
      <c r="A559" s="2"/>
      <c r="B559" s="2"/>
      <c r="D559" s="2"/>
      <c r="I559" s="2"/>
      <c r="J559" s="2"/>
      <c r="L559" s="2"/>
    </row>
    <row r="560" ht="15.75" customHeight="1">
      <c r="A560" s="2"/>
      <c r="B560" s="2"/>
      <c r="D560" s="2"/>
      <c r="I560" s="2"/>
      <c r="J560" s="2"/>
      <c r="L560" s="2"/>
    </row>
    <row r="561" ht="15.75" customHeight="1">
      <c r="A561" s="2"/>
      <c r="B561" s="2"/>
      <c r="D561" s="2"/>
      <c r="I561" s="2"/>
      <c r="J561" s="2"/>
      <c r="L561" s="2"/>
    </row>
    <row r="562" ht="15.75" customHeight="1">
      <c r="A562" s="2"/>
      <c r="B562" s="2"/>
      <c r="D562" s="2"/>
      <c r="I562" s="2"/>
      <c r="J562" s="2"/>
      <c r="L562" s="2"/>
    </row>
    <row r="563" ht="15.75" customHeight="1">
      <c r="A563" s="2"/>
      <c r="B563" s="2"/>
      <c r="D563" s="2"/>
      <c r="I563" s="2"/>
      <c r="J563" s="2"/>
      <c r="L563" s="2"/>
    </row>
    <row r="564" ht="15.75" customHeight="1">
      <c r="A564" s="2"/>
      <c r="B564" s="2"/>
      <c r="D564" s="2"/>
      <c r="I564" s="2"/>
      <c r="J564" s="2"/>
      <c r="L564" s="2"/>
    </row>
    <row r="565" ht="15.75" customHeight="1">
      <c r="A565" s="2"/>
      <c r="B565" s="2"/>
      <c r="D565" s="2"/>
      <c r="I565" s="2"/>
      <c r="J565" s="2"/>
      <c r="L565" s="2"/>
    </row>
    <row r="566" ht="15.75" customHeight="1">
      <c r="A566" s="2"/>
      <c r="B566" s="2"/>
      <c r="D566" s="2"/>
      <c r="I566" s="2"/>
      <c r="J566" s="2"/>
      <c r="L566" s="2"/>
    </row>
    <row r="567" ht="15.75" customHeight="1">
      <c r="A567" s="2"/>
      <c r="B567" s="2"/>
      <c r="D567" s="2"/>
      <c r="I567" s="2"/>
      <c r="J567" s="2"/>
      <c r="L567" s="2"/>
    </row>
    <row r="568" ht="15.75" customHeight="1">
      <c r="A568" s="2"/>
      <c r="B568" s="2"/>
      <c r="D568" s="2"/>
      <c r="I568" s="2"/>
      <c r="J568" s="2"/>
      <c r="L568" s="2"/>
    </row>
    <row r="569" ht="15.75" customHeight="1">
      <c r="A569" s="2"/>
      <c r="B569" s="2"/>
      <c r="D569" s="2"/>
      <c r="I569" s="2"/>
      <c r="J569" s="2"/>
      <c r="L569" s="2"/>
    </row>
    <row r="570" ht="15.75" customHeight="1">
      <c r="A570" s="2"/>
      <c r="B570" s="2"/>
      <c r="D570" s="2"/>
      <c r="I570" s="2"/>
      <c r="J570" s="2"/>
      <c r="L570" s="2"/>
    </row>
    <row r="571" ht="15.75" customHeight="1">
      <c r="A571" s="2"/>
      <c r="B571" s="2"/>
      <c r="D571" s="2"/>
      <c r="I571" s="2"/>
      <c r="J571" s="2"/>
      <c r="L571" s="2"/>
    </row>
    <row r="572" ht="15.75" customHeight="1">
      <c r="A572" s="2"/>
      <c r="B572" s="2"/>
      <c r="D572" s="2"/>
      <c r="I572" s="2"/>
      <c r="J572" s="2"/>
      <c r="L572" s="2"/>
    </row>
    <row r="573" ht="15.75" customHeight="1">
      <c r="A573" s="2"/>
      <c r="B573" s="2"/>
      <c r="D573" s="2"/>
      <c r="I573" s="2"/>
      <c r="J573" s="2"/>
      <c r="L573" s="2"/>
    </row>
    <row r="574" ht="15.75" customHeight="1">
      <c r="A574" s="2"/>
      <c r="B574" s="2"/>
      <c r="D574" s="2"/>
      <c r="I574" s="2"/>
      <c r="J574" s="2"/>
      <c r="L574" s="2"/>
    </row>
    <row r="575" ht="15.75" customHeight="1">
      <c r="A575" s="2"/>
      <c r="B575" s="2"/>
      <c r="D575" s="2"/>
      <c r="I575" s="2"/>
      <c r="J575" s="2"/>
      <c r="L575" s="2"/>
    </row>
    <row r="576" ht="15.75" customHeight="1">
      <c r="A576" s="2"/>
      <c r="B576" s="2"/>
      <c r="D576" s="2"/>
      <c r="I576" s="2"/>
      <c r="J576" s="2"/>
      <c r="L576" s="2"/>
    </row>
    <row r="577" ht="15.75" customHeight="1">
      <c r="A577" s="2"/>
      <c r="B577" s="2"/>
      <c r="D577" s="2"/>
      <c r="I577" s="2"/>
      <c r="J577" s="2"/>
      <c r="L577" s="2"/>
    </row>
    <row r="578" ht="15.75" customHeight="1">
      <c r="A578" s="2"/>
      <c r="B578" s="2"/>
      <c r="D578" s="2"/>
      <c r="I578" s="2"/>
      <c r="J578" s="2"/>
      <c r="L578" s="2"/>
    </row>
    <row r="579" ht="15.75" customHeight="1">
      <c r="A579" s="2"/>
      <c r="B579" s="2"/>
      <c r="D579" s="2"/>
      <c r="I579" s="2"/>
      <c r="J579" s="2"/>
      <c r="L579" s="2"/>
    </row>
    <row r="580" ht="15.75" customHeight="1">
      <c r="A580" s="2"/>
      <c r="B580" s="2"/>
      <c r="D580" s="2"/>
      <c r="I580" s="2"/>
      <c r="J580" s="2"/>
      <c r="L580" s="2"/>
    </row>
    <row r="581" ht="15.75" customHeight="1">
      <c r="A581" s="2"/>
      <c r="B581" s="2"/>
      <c r="D581" s="2"/>
      <c r="I581" s="2"/>
      <c r="J581" s="2"/>
      <c r="L581" s="2"/>
    </row>
    <row r="582" ht="15.75" customHeight="1">
      <c r="A582" s="2"/>
      <c r="B582" s="2"/>
      <c r="D582" s="2"/>
      <c r="I582" s="2"/>
      <c r="J582" s="2"/>
      <c r="L582" s="2"/>
    </row>
    <row r="583" ht="15.75" customHeight="1">
      <c r="A583" s="2"/>
      <c r="B583" s="2"/>
      <c r="D583" s="2"/>
      <c r="I583" s="2"/>
      <c r="J583" s="2"/>
      <c r="L583" s="2"/>
    </row>
    <row r="584" ht="15.75" customHeight="1">
      <c r="A584" s="2"/>
      <c r="B584" s="2"/>
      <c r="D584" s="2"/>
      <c r="I584" s="2"/>
      <c r="J584" s="2"/>
      <c r="L584" s="2"/>
    </row>
    <row r="585" ht="15.75" customHeight="1">
      <c r="A585" s="2"/>
      <c r="B585" s="2"/>
      <c r="D585" s="2"/>
      <c r="I585" s="2"/>
      <c r="J585" s="2"/>
      <c r="L585" s="2"/>
    </row>
    <row r="586" ht="15.75" customHeight="1">
      <c r="A586" s="2"/>
      <c r="B586" s="2"/>
      <c r="D586" s="2"/>
      <c r="I586" s="2"/>
      <c r="J586" s="2"/>
      <c r="L586" s="2"/>
    </row>
    <row r="587" ht="15.75" customHeight="1">
      <c r="A587" s="2"/>
      <c r="B587" s="2"/>
      <c r="D587" s="2"/>
      <c r="I587" s="2"/>
      <c r="J587" s="2"/>
      <c r="L587" s="2"/>
    </row>
    <row r="588" ht="15.75" customHeight="1">
      <c r="A588" s="2"/>
      <c r="B588" s="2"/>
      <c r="D588" s="2"/>
      <c r="I588" s="2"/>
      <c r="J588" s="2"/>
      <c r="L588" s="2"/>
    </row>
    <row r="589" ht="15.75" customHeight="1">
      <c r="A589" s="2"/>
      <c r="B589" s="2"/>
      <c r="D589" s="2"/>
      <c r="I589" s="2"/>
      <c r="J589" s="2"/>
      <c r="L589" s="2"/>
    </row>
    <row r="590" ht="15.75" customHeight="1">
      <c r="A590" s="2"/>
      <c r="B590" s="2"/>
      <c r="D590" s="2"/>
      <c r="I590" s="2"/>
      <c r="J590" s="2"/>
      <c r="L590" s="2"/>
    </row>
    <row r="591" ht="15.75" customHeight="1">
      <c r="A591" s="2"/>
      <c r="B591" s="2"/>
      <c r="D591" s="2"/>
      <c r="I591" s="2"/>
      <c r="J591" s="2"/>
      <c r="L591" s="2"/>
    </row>
    <row r="592" ht="15.75" customHeight="1">
      <c r="A592" s="2"/>
      <c r="B592" s="2"/>
      <c r="D592" s="2"/>
      <c r="I592" s="2"/>
      <c r="J592" s="2"/>
      <c r="L592" s="2"/>
    </row>
    <row r="593" ht="15.75" customHeight="1">
      <c r="A593" s="2"/>
      <c r="B593" s="2"/>
      <c r="D593" s="2"/>
      <c r="I593" s="2"/>
      <c r="J593" s="2"/>
      <c r="L593" s="2"/>
    </row>
    <row r="594" ht="15.75" customHeight="1">
      <c r="A594" s="2"/>
      <c r="B594" s="2"/>
      <c r="D594" s="2"/>
      <c r="I594" s="2"/>
      <c r="J594" s="2"/>
      <c r="L594" s="2"/>
    </row>
    <row r="595" ht="15.75" customHeight="1">
      <c r="A595" s="2"/>
      <c r="B595" s="2"/>
      <c r="D595" s="2"/>
      <c r="I595" s="2"/>
      <c r="J595" s="2"/>
      <c r="L595" s="2"/>
    </row>
    <row r="596" ht="15.75" customHeight="1">
      <c r="A596" s="2"/>
      <c r="B596" s="2"/>
      <c r="D596" s="2"/>
      <c r="I596" s="2"/>
      <c r="J596" s="2"/>
      <c r="L596" s="2"/>
    </row>
    <row r="597" ht="15.75" customHeight="1">
      <c r="A597" s="2"/>
      <c r="B597" s="2"/>
      <c r="D597" s="2"/>
      <c r="I597" s="2"/>
      <c r="J597" s="2"/>
      <c r="L597" s="2"/>
    </row>
    <row r="598" ht="15.75" customHeight="1">
      <c r="A598" s="2"/>
      <c r="B598" s="2"/>
      <c r="D598" s="2"/>
      <c r="I598" s="2"/>
      <c r="J598" s="2"/>
      <c r="L598" s="2"/>
    </row>
    <row r="599" ht="15.75" customHeight="1">
      <c r="A599" s="2"/>
      <c r="B599" s="2"/>
      <c r="D599" s="2"/>
      <c r="I599" s="2"/>
      <c r="J599" s="2"/>
      <c r="L599" s="2"/>
    </row>
    <row r="600" ht="15.75" customHeight="1">
      <c r="A600" s="2"/>
      <c r="B600" s="2"/>
      <c r="D600" s="2"/>
      <c r="I600" s="2"/>
      <c r="J600" s="2"/>
      <c r="L600" s="2"/>
    </row>
    <row r="601" ht="15.75" customHeight="1">
      <c r="A601" s="2"/>
      <c r="B601" s="2"/>
      <c r="D601" s="2"/>
      <c r="I601" s="2"/>
      <c r="J601" s="2"/>
      <c r="L601" s="2"/>
    </row>
    <row r="602" ht="15.75" customHeight="1">
      <c r="A602" s="2"/>
      <c r="B602" s="2"/>
      <c r="D602" s="2"/>
      <c r="I602" s="2"/>
      <c r="J602" s="2"/>
      <c r="L602" s="2"/>
    </row>
    <row r="603" ht="15.75" customHeight="1">
      <c r="A603" s="2"/>
      <c r="B603" s="2"/>
      <c r="D603" s="2"/>
      <c r="I603" s="2"/>
      <c r="J603" s="2"/>
      <c r="L603" s="2"/>
    </row>
    <row r="604" ht="15.75" customHeight="1">
      <c r="A604" s="2"/>
      <c r="B604" s="2"/>
      <c r="D604" s="2"/>
      <c r="I604" s="2"/>
      <c r="J604" s="2"/>
      <c r="L604" s="2"/>
    </row>
    <row r="605" ht="15.75" customHeight="1">
      <c r="A605" s="2"/>
      <c r="B605" s="2"/>
      <c r="D605" s="2"/>
      <c r="I605" s="2"/>
      <c r="J605" s="2"/>
      <c r="L605" s="2"/>
    </row>
    <row r="606" ht="15.75" customHeight="1">
      <c r="A606" s="2"/>
      <c r="B606" s="2"/>
      <c r="D606" s="2"/>
      <c r="I606" s="2"/>
      <c r="J606" s="2"/>
      <c r="L606" s="2"/>
    </row>
    <row r="607" ht="15.75" customHeight="1">
      <c r="A607" s="2"/>
      <c r="B607" s="2"/>
      <c r="D607" s="2"/>
      <c r="I607" s="2"/>
      <c r="J607" s="2"/>
      <c r="L607" s="2"/>
    </row>
    <row r="608" ht="15.75" customHeight="1">
      <c r="A608" s="2"/>
      <c r="B608" s="2"/>
      <c r="D608" s="2"/>
      <c r="I608" s="2"/>
      <c r="J608" s="2"/>
      <c r="L608" s="2"/>
    </row>
    <row r="609" ht="15.75" customHeight="1">
      <c r="A609" s="2"/>
      <c r="B609" s="2"/>
      <c r="D609" s="2"/>
      <c r="I609" s="2"/>
      <c r="J609" s="2"/>
      <c r="L609" s="2"/>
    </row>
    <row r="610" ht="15.75" customHeight="1">
      <c r="A610" s="2"/>
      <c r="B610" s="2"/>
      <c r="D610" s="2"/>
      <c r="I610" s="2"/>
      <c r="J610" s="2"/>
      <c r="L610" s="2"/>
    </row>
    <row r="611" ht="15.75" customHeight="1">
      <c r="A611" s="2"/>
      <c r="B611" s="2"/>
      <c r="D611" s="2"/>
      <c r="I611" s="2"/>
      <c r="J611" s="2"/>
      <c r="L611" s="2"/>
    </row>
    <row r="612" ht="15.75" customHeight="1">
      <c r="A612" s="2"/>
      <c r="B612" s="2"/>
      <c r="D612" s="2"/>
      <c r="I612" s="2"/>
      <c r="J612" s="2"/>
      <c r="L612" s="2"/>
    </row>
    <row r="613" ht="15.75" customHeight="1">
      <c r="A613" s="2"/>
      <c r="B613" s="2"/>
      <c r="D613" s="2"/>
      <c r="I613" s="2"/>
      <c r="J613" s="2"/>
      <c r="L613" s="2"/>
    </row>
    <row r="614" ht="15.75" customHeight="1">
      <c r="A614" s="2"/>
      <c r="B614" s="2"/>
      <c r="D614" s="2"/>
      <c r="I614" s="2"/>
      <c r="J614" s="2"/>
      <c r="L614" s="2"/>
    </row>
    <row r="615" ht="15.75" customHeight="1">
      <c r="A615" s="2"/>
      <c r="B615" s="2"/>
      <c r="D615" s="2"/>
      <c r="I615" s="2"/>
      <c r="J615" s="2"/>
      <c r="L615" s="2"/>
    </row>
    <row r="616" ht="15.75" customHeight="1">
      <c r="A616" s="2"/>
      <c r="B616" s="2"/>
      <c r="D616" s="2"/>
      <c r="I616" s="2"/>
      <c r="J616" s="2"/>
      <c r="L616" s="2"/>
    </row>
    <row r="617" ht="15.75" customHeight="1">
      <c r="A617" s="2"/>
      <c r="B617" s="2"/>
      <c r="D617" s="2"/>
      <c r="I617" s="2"/>
      <c r="J617" s="2"/>
      <c r="L617" s="2"/>
    </row>
    <row r="618" ht="15.75" customHeight="1">
      <c r="A618" s="2"/>
      <c r="B618" s="2"/>
      <c r="D618" s="2"/>
      <c r="I618" s="2"/>
      <c r="J618" s="2"/>
      <c r="L618" s="2"/>
    </row>
    <row r="619" ht="15.75" customHeight="1">
      <c r="A619" s="2"/>
      <c r="B619" s="2"/>
      <c r="D619" s="2"/>
      <c r="I619" s="2"/>
      <c r="J619" s="2"/>
      <c r="L619" s="2"/>
    </row>
    <row r="620" ht="15.75" customHeight="1">
      <c r="A620" s="2"/>
      <c r="B620" s="2"/>
      <c r="D620" s="2"/>
      <c r="I620" s="2"/>
      <c r="J620" s="2"/>
      <c r="L620" s="2"/>
    </row>
    <row r="621" ht="15.75" customHeight="1">
      <c r="A621" s="2"/>
      <c r="B621" s="2"/>
      <c r="D621" s="2"/>
      <c r="I621" s="2"/>
      <c r="J621" s="2"/>
      <c r="L621" s="2"/>
    </row>
    <row r="622" ht="15.75" customHeight="1">
      <c r="A622" s="2"/>
      <c r="B622" s="2"/>
      <c r="D622" s="2"/>
      <c r="I622" s="2"/>
      <c r="J622" s="2"/>
      <c r="L622" s="2"/>
    </row>
    <row r="623" ht="15.75" customHeight="1">
      <c r="A623" s="2"/>
      <c r="B623" s="2"/>
      <c r="D623" s="2"/>
      <c r="I623" s="2"/>
      <c r="J623" s="2"/>
      <c r="L623" s="2"/>
    </row>
    <row r="624" ht="15.75" customHeight="1">
      <c r="A624" s="2"/>
      <c r="B624" s="2"/>
      <c r="D624" s="2"/>
      <c r="I624" s="2"/>
      <c r="J624" s="2"/>
      <c r="L624" s="2"/>
    </row>
    <row r="625" ht="15.75" customHeight="1">
      <c r="A625" s="2"/>
      <c r="B625" s="2"/>
      <c r="D625" s="2"/>
      <c r="I625" s="2"/>
      <c r="J625" s="2"/>
      <c r="L625" s="2"/>
    </row>
    <row r="626" ht="15.75" customHeight="1">
      <c r="A626" s="2"/>
      <c r="B626" s="2"/>
      <c r="D626" s="2"/>
      <c r="I626" s="2"/>
      <c r="J626" s="2"/>
      <c r="L626" s="2"/>
    </row>
    <row r="627" ht="15.75" customHeight="1">
      <c r="A627" s="2"/>
      <c r="B627" s="2"/>
      <c r="D627" s="2"/>
      <c r="I627" s="2"/>
      <c r="J627" s="2"/>
      <c r="L627" s="2"/>
    </row>
    <row r="628" ht="15.75" customHeight="1">
      <c r="A628" s="2"/>
      <c r="B628" s="2"/>
      <c r="D628" s="2"/>
      <c r="I628" s="2"/>
      <c r="J628" s="2"/>
      <c r="L628" s="2"/>
    </row>
    <row r="629" ht="15.75" customHeight="1">
      <c r="A629" s="2"/>
      <c r="B629" s="2"/>
      <c r="D629" s="2"/>
      <c r="I629" s="2"/>
      <c r="J629" s="2"/>
      <c r="L629" s="2"/>
    </row>
    <row r="630" ht="15.75" customHeight="1">
      <c r="A630" s="2"/>
      <c r="B630" s="2"/>
      <c r="D630" s="2"/>
      <c r="I630" s="2"/>
      <c r="J630" s="2"/>
      <c r="L630" s="2"/>
    </row>
    <row r="631" ht="15.75" customHeight="1">
      <c r="A631" s="2"/>
      <c r="B631" s="2"/>
      <c r="D631" s="2"/>
      <c r="I631" s="2"/>
      <c r="J631" s="2"/>
      <c r="L631" s="2"/>
    </row>
    <row r="632" ht="15.75" customHeight="1">
      <c r="A632" s="2"/>
      <c r="B632" s="2"/>
      <c r="D632" s="2"/>
      <c r="I632" s="2"/>
      <c r="J632" s="2"/>
      <c r="L632" s="2"/>
    </row>
    <row r="633" ht="15.75" customHeight="1">
      <c r="A633" s="2"/>
      <c r="B633" s="2"/>
      <c r="D633" s="2"/>
      <c r="I633" s="2"/>
      <c r="J633" s="2"/>
      <c r="L633" s="2"/>
    </row>
    <row r="634" ht="15.75" customHeight="1">
      <c r="A634" s="2"/>
      <c r="B634" s="2"/>
      <c r="D634" s="2"/>
      <c r="I634" s="2"/>
      <c r="J634" s="2"/>
      <c r="L634" s="2"/>
    </row>
    <row r="635" ht="15.75" customHeight="1">
      <c r="A635" s="2"/>
      <c r="B635" s="2"/>
      <c r="D635" s="2"/>
      <c r="I635" s="2"/>
      <c r="J635" s="2"/>
      <c r="L635" s="2"/>
    </row>
    <row r="636" ht="15.75" customHeight="1">
      <c r="A636" s="2"/>
      <c r="B636" s="2"/>
      <c r="D636" s="2"/>
      <c r="I636" s="2"/>
      <c r="J636" s="2"/>
      <c r="L636" s="2"/>
    </row>
    <row r="637" ht="15.75" customHeight="1">
      <c r="A637" s="2"/>
      <c r="B637" s="2"/>
      <c r="D637" s="2"/>
      <c r="I637" s="2"/>
      <c r="J637" s="2"/>
      <c r="L637" s="2"/>
    </row>
    <row r="638" ht="15.75" customHeight="1">
      <c r="A638" s="2"/>
      <c r="B638" s="2"/>
      <c r="D638" s="2"/>
      <c r="I638" s="2"/>
      <c r="J638" s="2"/>
      <c r="L638" s="2"/>
    </row>
    <row r="639" ht="15.75" customHeight="1">
      <c r="A639" s="2"/>
      <c r="B639" s="2"/>
      <c r="D639" s="2"/>
      <c r="I639" s="2"/>
      <c r="J639" s="2"/>
      <c r="L639" s="2"/>
    </row>
    <row r="640" ht="15.75" customHeight="1">
      <c r="A640" s="2"/>
      <c r="B640" s="2"/>
      <c r="D640" s="2"/>
      <c r="I640" s="2"/>
      <c r="J640" s="2"/>
      <c r="L640" s="2"/>
    </row>
    <row r="641" ht="15.75" customHeight="1">
      <c r="A641" s="2"/>
      <c r="B641" s="2"/>
      <c r="D641" s="2"/>
      <c r="I641" s="2"/>
      <c r="J641" s="2"/>
      <c r="L641" s="2"/>
    </row>
    <row r="642" ht="15.75" customHeight="1">
      <c r="A642" s="2"/>
      <c r="B642" s="2"/>
      <c r="D642" s="2"/>
      <c r="I642" s="2"/>
      <c r="J642" s="2"/>
      <c r="L642" s="2"/>
    </row>
    <row r="643" ht="15.75" customHeight="1">
      <c r="A643" s="2"/>
      <c r="B643" s="2"/>
      <c r="D643" s="2"/>
      <c r="I643" s="2"/>
      <c r="J643" s="2"/>
      <c r="L643" s="2"/>
    </row>
    <row r="644" ht="15.75" customHeight="1">
      <c r="A644" s="2"/>
      <c r="B644" s="2"/>
      <c r="D644" s="2"/>
      <c r="I644" s="2"/>
      <c r="J644" s="2"/>
      <c r="L644" s="2"/>
    </row>
    <row r="645" ht="15.75" customHeight="1">
      <c r="A645" s="2"/>
      <c r="B645" s="2"/>
      <c r="D645" s="2"/>
      <c r="I645" s="2"/>
      <c r="J645" s="2"/>
      <c r="L645" s="2"/>
    </row>
    <row r="646" ht="15.75" customHeight="1">
      <c r="A646" s="2"/>
      <c r="B646" s="2"/>
      <c r="D646" s="2"/>
      <c r="I646" s="2"/>
      <c r="J646" s="2"/>
      <c r="L646" s="2"/>
    </row>
    <row r="647" ht="15.75" customHeight="1">
      <c r="A647" s="2"/>
      <c r="B647" s="2"/>
      <c r="D647" s="2"/>
      <c r="I647" s="2"/>
      <c r="J647" s="2"/>
      <c r="L647" s="2"/>
    </row>
    <row r="648" ht="15.75" customHeight="1">
      <c r="A648" s="2"/>
      <c r="B648" s="2"/>
      <c r="D648" s="2"/>
      <c r="I648" s="2"/>
      <c r="J648" s="2"/>
      <c r="L648" s="2"/>
    </row>
    <row r="649" ht="15.75" customHeight="1">
      <c r="A649" s="2"/>
      <c r="B649" s="2"/>
      <c r="D649" s="2"/>
      <c r="I649" s="2"/>
      <c r="J649" s="2"/>
      <c r="L649" s="2"/>
    </row>
    <row r="650" ht="15.75" customHeight="1">
      <c r="A650" s="2"/>
      <c r="B650" s="2"/>
      <c r="D650" s="2"/>
      <c r="I650" s="2"/>
      <c r="J650" s="2"/>
      <c r="L650" s="2"/>
    </row>
    <row r="651" ht="15.75" customHeight="1">
      <c r="A651" s="2"/>
      <c r="B651" s="2"/>
      <c r="D651" s="2"/>
      <c r="I651" s="2"/>
      <c r="J651" s="2"/>
      <c r="L651" s="2"/>
    </row>
    <row r="652" ht="15.75" customHeight="1">
      <c r="A652" s="2"/>
      <c r="B652" s="2"/>
      <c r="D652" s="2"/>
      <c r="I652" s="2"/>
      <c r="J652" s="2"/>
      <c r="L652" s="2"/>
    </row>
    <row r="653" ht="15.75" customHeight="1">
      <c r="A653" s="2"/>
      <c r="B653" s="2"/>
      <c r="D653" s="2"/>
      <c r="I653" s="2"/>
      <c r="J653" s="2"/>
      <c r="L653" s="2"/>
    </row>
    <row r="654" ht="15.75" customHeight="1">
      <c r="A654" s="2"/>
      <c r="B654" s="2"/>
      <c r="D654" s="2"/>
      <c r="I654" s="2"/>
      <c r="J654" s="2"/>
      <c r="L654" s="2"/>
    </row>
    <row r="655" ht="15.75" customHeight="1">
      <c r="A655" s="2"/>
      <c r="B655" s="2"/>
      <c r="D655" s="2"/>
      <c r="I655" s="2"/>
      <c r="J655" s="2"/>
      <c r="L655" s="2"/>
    </row>
    <row r="656" ht="15.75" customHeight="1">
      <c r="A656" s="2"/>
      <c r="B656" s="2"/>
      <c r="D656" s="2"/>
      <c r="I656" s="2"/>
      <c r="J656" s="2"/>
      <c r="L656" s="2"/>
    </row>
    <row r="657" ht="15.75" customHeight="1">
      <c r="A657" s="2"/>
      <c r="B657" s="2"/>
      <c r="D657" s="2"/>
      <c r="I657" s="2"/>
      <c r="J657" s="2"/>
      <c r="L657" s="2"/>
    </row>
    <row r="658" ht="15.75" customHeight="1">
      <c r="A658" s="2"/>
      <c r="B658" s="2"/>
      <c r="D658" s="2"/>
      <c r="I658" s="2"/>
      <c r="J658" s="2"/>
      <c r="L658" s="2"/>
    </row>
    <row r="659" ht="15.75" customHeight="1">
      <c r="A659" s="2"/>
      <c r="B659" s="2"/>
      <c r="D659" s="2"/>
      <c r="I659" s="2"/>
      <c r="J659" s="2"/>
      <c r="L659" s="2"/>
    </row>
    <row r="660" ht="15.75" customHeight="1">
      <c r="A660" s="2"/>
      <c r="B660" s="2"/>
      <c r="D660" s="2"/>
      <c r="I660" s="2"/>
      <c r="J660" s="2"/>
      <c r="L660" s="2"/>
    </row>
    <row r="661" ht="15.75" customHeight="1">
      <c r="A661" s="2"/>
      <c r="B661" s="2"/>
      <c r="D661" s="2"/>
      <c r="I661" s="2"/>
      <c r="J661" s="2"/>
      <c r="L661" s="2"/>
    </row>
    <row r="662" ht="15.75" customHeight="1">
      <c r="A662" s="2"/>
      <c r="B662" s="2"/>
      <c r="D662" s="2"/>
      <c r="I662" s="2"/>
      <c r="J662" s="2"/>
      <c r="L662" s="2"/>
    </row>
    <row r="663" ht="15.75" customHeight="1">
      <c r="A663" s="2"/>
      <c r="B663" s="2"/>
      <c r="D663" s="2"/>
      <c r="I663" s="2"/>
      <c r="J663" s="2"/>
      <c r="L663" s="2"/>
    </row>
    <row r="664" ht="15.75" customHeight="1">
      <c r="A664" s="2"/>
      <c r="B664" s="2"/>
      <c r="D664" s="2"/>
      <c r="I664" s="2"/>
      <c r="J664" s="2"/>
      <c r="L664" s="2"/>
    </row>
    <row r="665" ht="15.75" customHeight="1">
      <c r="A665" s="2"/>
      <c r="B665" s="2"/>
      <c r="D665" s="2"/>
      <c r="I665" s="2"/>
      <c r="J665" s="2"/>
      <c r="L665" s="2"/>
    </row>
    <row r="666" ht="15.75" customHeight="1">
      <c r="A666" s="2"/>
      <c r="B666" s="2"/>
      <c r="D666" s="2"/>
      <c r="I666" s="2"/>
      <c r="J666" s="2"/>
      <c r="L666" s="2"/>
    </row>
    <row r="667" ht="15.75" customHeight="1">
      <c r="A667" s="2"/>
      <c r="B667" s="2"/>
      <c r="D667" s="2"/>
      <c r="I667" s="2"/>
      <c r="J667" s="2"/>
      <c r="L667" s="2"/>
    </row>
    <row r="668" ht="15.75" customHeight="1">
      <c r="A668" s="2"/>
      <c r="B668" s="2"/>
      <c r="D668" s="2"/>
      <c r="I668" s="2"/>
      <c r="J668" s="2"/>
      <c r="L668" s="2"/>
    </row>
    <row r="669" ht="15.75" customHeight="1">
      <c r="A669" s="2"/>
      <c r="B669" s="2"/>
      <c r="D669" s="2"/>
      <c r="I669" s="2"/>
      <c r="J669" s="2"/>
      <c r="L669" s="2"/>
    </row>
    <row r="670" ht="15.75" customHeight="1">
      <c r="A670" s="2"/>
      <c r="B670" s="2"/>
      <c r="D670" s="2"/>
      <c r="I670" s="2"/>
      <c r="J670" s="2"/>
      <c r="L670" s="2"/>
    </row>
    <row r="671" ht="15.75" customHeight="1">
      <c r="A671" s="2"/>
      <c r="B671" s="2"/>
      <c r="D671" s="2"/>
      <c r="I671" s="2"/>
      <c r="J671" s="2"/>
      <c r="L671" s="2"/>
    </row>
    <row r="672" ht="15.75" customHeight="1">
      <c r="A672" s="2"/>
      <c r="B672" s="2"/>
      <c r="D672" s="2"/>
      <c r="I672" s="2"/>
      <c r="J672" s="2"/>
      <c r="L672" s="2"/>
    </row>
    <row r="673" ht="15.75" customHeight="1">
      <c r="A673" s="2"/>
      <c r="B673" s="2"/>
      <c r="D673" s="2"/>
      <c r="I673" s="2"/>
      <c r="J673" s="2"/>
      <c r="L673" s="2"/>
    </row>
    <row r="674" ht="15.75" customHeight="1">
      <c r="A674" s="2"/>
      <c r="B674" s="2"/>
      <c r="D674" s="2"/>
      <c r="I674" s="2"/>
      <c r="J674" s="2"/>
      <c r="L674" s="2"/>
    </row>
    <row r="675" ht="15.75" customHeight="1">
      <c r="A675" s="2"/>
      <c r="B675" s="2"/>
      <c r="D675" s="2"/>
      <c r="I675" s="2"/>
      <c r="J675" s="2"/>
      <c r="L675" s="2"/>
    </row>
    <row r="676" ht="15.75" customHeight="1">
      <c r="A676" s="2"/>
      <c r="B676" s="2"/>
      <c r="D676" s="2"/>
      <c r="I676" s="2"/>
      <c r="J676" s="2"/>
      <c r="L676" s="2"/>
    </row>
    <row r="677" ht="15.75" customHeight="1">
      <c r="A677" s="2"/>
      <c r="B677" s="2"/>
      <c r="D677" s="2"/>
      <c r="I677" s="2"/>
      <c r="J677" s="2"/>
      <c r="L677" s="2"/>
    </row>
    <row r="678" ht="15.75" customHeight="1">
      <c r="A678" s="2"/>
      <c r="B678" s="2"/>
      <c r="D678" s="2"/>
      <c r="I678" s="2"/>
      <c r="J678" s="2"/>
      <c r="L678" s="2"/>
    </row>
    <row r="679" ht="15.75" customHeight="1">
      <c r="A679" s="2"/>
      <c r="B679" s="2"/>
      <c r="D679" s="2"/>
      <c r="I679" s="2"/>
      <c r="J679" s="2"/>
      <c r="L679" s="2"/>
    </row>
    <row r="680" ht="15.75" customHeight="1">
      <c r="A680" s="2"/>
      <c r="B680" s="2"/>
      <c r="D680" s="2"/>
      <c r="I680" s="2"/>
      <c r="J680" s="2"/>
      <c r="L680" s="2"/>
    </row>
    <row r="681" ht="15.75" customHeight="1">
      <c r="A681" s="2"/>
      <c r="B681" s="2"/>
      <c r="D681" s="2"/>
      <c r="I681" s="2"/>
      <c r="J681" s="2"/>
      <c r="L681" s="2"/>
    </row>
    <row r="682" ht="15.75" customHeight="1">
      <c r="A682" s="2"/>
      <c r="B682" s="2"/>
      <c r="D682" s="2"/>
      <c r="I682" s="2"/>
      <c r="J682" s="2"/>
      <c r="L682" s="2"/>
    </row>
    <row r="683" ht="15.75" customHeight="1">
      <c r="A683" s="2"/>
      <c r="B683" s="2"/>
      <c r="D683" s="2"/>
      <c r="I683" s="2"/>
      <c r="J683" s="2"/>
      <c r="L683" s="2"/>
    </row>
    <row r="684" ht="15.75" customHeight="1">
      <c r="A684" s="2"/>
      <c r="B684" s="2"/>
      <c r="D684" s="2"/>
      <c r="I684" s="2"/>
      <c r="J684" s="2"/>
      <c r="L684" s="2"/>
    </row>
    <row r="685" ht="15.75" customHeight="1">
      <c r="A685" s="2"/>
      <c r="B685" s="2"/>
      <c r="D685" s="2"/>
      <c r="I685" s="2"/>
      <c r="J685" s="2"/>
      <c r="L685" s="2"/>
    </row>
    <row r="686" ht="15.75" customHeight="1">
      <c r="A686" s="2"/>
      <c r="B686" s="2"/>
      <c r="D686" s="2"/>
      <c r="I686" s="2"/>
      <c r="J686" s="2"/>
      <c r="L686" s="2"/>
    </row>
    <row r="687" ht="15.75" customHeight="1">
      <c r="A687" s="2"/>
      <c r="B687" s="2"/>
      <c r="D687" s="2"/>
      <c r="I687" s="2"/>
      <c r="J687" s="2"/>
      <c r="L687" s="2"/>
    </row>
    <row r="688" ht="15.75" customHeight="1">
      <c r="A688" s="2"/>
      <c r="B688" s="2"/>
      <c r="D688" s="2"/>
      <c r="I688" s="2"/>
      <c r="J688" s="2"/>
      <c r="L688" s="2"/>
    </row>
    <row r="689" ht="15.75" customHeight="1">
      <c r="A689" s="2"/>
      <c r="B689" s="2"/>
      <c r="D689" s="2"/>
      <c r="I689" s="2"/>
      <c r="J689" s="2"/>
      <c r="L689" s="2"/>
    </row>
    <row r="690" ht="15.75" customHeight="1">
      <c r="A690" s="2"/>
      <c r="B690" s="2"/>
      <c r="D690" s="2"/>
      <c r="I690" s="2"/>
      <c r="J690" s="2"/>
      <c r="L690" s="2"/>
    </row>
    <row r="691" ht="15.75" customHeight="1">
      <c r="A691" s="2"/>
      <c r="B691" s="2"/>
      <c r="D691" s="2"/>
      <c r="I691" s="2"/>
      <c r="J691" s="2"/>
      <c r="L691" s="2"/>
    </row>
    <row r="692" ht="15.75" customHeight="1">
      <c r="A692" s="2"/>
      <c r="B692" s="2"/>
      <c r="D692" s="2"/>
      <c r="I692" s="2"/>
      <c r="J692" s="2"/>
      <c r="L692" s="2"/>
    </row>
    <row r="693" ht="15.75" customHeight="1">
      <c r="A693" s="2"/>
      <c r="B693" s="2"/>
      <c r="D693" s="2"/>
      <c r="I693" s="2"/>
      <c r="J693" s="2"/>
      <c r="L693" s="2"/>
    </row>
    <row r="694" ht="15.75" customHeight="1">
      <c r="A694" s="2"/>
      <c r="B694" s="2"/>
      <c r="D694" s="2"/>
      <c r="I694" s="2"/>
      <c r="J694" s="2"/>
      <c r="L694" s="2"/>
    </row>
    <row r="695" ht="15.75" customHeight="1">
      <c r="A695" s="2"/>
      <c r="B695" s="2"/>
      <c r="D695" s="2"/>
      <c r="I695" s="2"/>
      <c r="J695" s="2"/>
      <c r="L695" s="2"/>
    </row>
    <row r="696" ht="15.75" customHeight="1">
      <c r="A696" s="2"/>
      <c r="B696" s="2"/>
      <c r="D696" s="2"/>
      <c r="I696" s="2"/>
      <c r="J696" s="2"/>
      <c r="L696" s="2"/>
    </row>
    <row r="697" ht="15.75" customHeight="1">
      <c r="A697" s="2"/>
      <c r="B697" s="2"/>
      <c r="D697" s="2"/>
      <c r="I697" s="2"/>
      <c r="J697" s="2"/>
      <c r="L697" s="2"/>
    </row>
    <row r="698" ht="15.75" customHeight="1">
      <c r="A698" s="2"/>
      <c r="B698" s="2"/>
      <c r="D698" s="2"/>
      <c r="I698" s="2"/>
      <c r="J698" s="2"/>
      <c r="L698" s="2"/>
    </row>
    <row r="699" ht="15.75" customHeight="1">
      <c r="A699" s="2"/>
      <c r="B699" s="2"/>
      <c r="D699" s="2"/>
      <c r="I699" s="2"/>
      <c r="J699" s="2"/>
      <c r="L699" s="2"/>
    </row>
    <row r="700" ht="15.75" customHeight="1">
      <c r="A700" s="2"/>
      <c r="B700" s="2"/>
      <c r="D700" s="2"/>
      <c r="I700" s="2"/>
      <c r="J700" s="2"/>
      <c r="L700" s="2"/>
    </row>
    <row r="701" ht="15.75" customHeight="1">
      <c r="A701" s="2"/>
      <c r="B701" s="2"/>
      <c r="D701" s="2"/>
      <c r="I701" s="2"/>
      <c r="J701" s="2"/>
      <c r="L701" s="2"/>
    </row>
    <row r="702" ht="15.75" customHeight="1">
      <c r="A702" s="2"/>
      <c r="B702" s="2"/>
      <c r="D702" s="2"/>
      <c r="I702" s="2"/>
      <c r="J702" s="2"/>
      <c r="L702" s="2"/>
    </row>
    <row r="703" ht="15.75" customHeight="1">
      <c r="A703" s="2"/>
      <c r="B703" s="2"/>
      <c r="D703" s="2"/>
      <c r="I703" s="2"/>
      <c r="J703" s="2"/>
      <c r="L703" s="2"/>
    </row>
    <row r="704" ht="15.75" customHeight="1">
      <c r="A704" s="2"/>
      <c r="B704" s="2"/>
      <c r="D704" s="2"/>
      <c r="I704" s="2"/>
      <c r="J704" s="2"/>
      <c r="L704" s="2"/>
    </row>
    <row r="705" ht="15.75" customHeight="1">
      <c r="A705" s="2"/>
      <c r="B705" s="2"/>
      <c r="D705" s="2"/>
      <c r="I705" s="2"/>
      <c r="J705" s="2"/>
      <c r="L705" s="2"/>
    </row>
    <row r="706" ht="15.75" customHeight="1">
      <c r="A706" s="2"/>
      <c r="B706" s="2"/>
      <c r="D706" s="2"/>
      <c r="I706" s="2"/>
      <c r="J706" s="2"/>
      <c r="L706" s="2"/>
    </row>
    <row r="707" ht="15.75" customHeight="1">
      <c r="A707" s="2"/>
      <c r="B707" s="2"/>
      <c r="D707" s="2"/>
      <c r="I707" s="2"/>
      <c r="J707" s="2"/>
      <c r="L707" s="2"/>
    </row>
    <row r="708" ht="15.75" customHeight="1">
      <c r="A708" s="2"/>
      <c r="B708" s="2"/>
      <c r="D708" s="2"/>
      <c r="I708" s="2"/>
      <c r="J708" s="2"/>
      <c r="L708" s="2"/>
    </row>
    <row r="709" ht="15.75" customHeight="1">
      <c r="A709" s="2"/>
      <c r="B709" s="2"/>
      <c r="D709" s="2"/>
      <c r="I709" s="2"/>
      <c r="J709" s="2"/>
      <c r="L709" s="2"/>
    </row>
    <row r="710" ht="15.75" customHeight="1">
      <c r="A710" s="2"/>
      <c r="B710" s="2"/>
      <c r="D710" s="2"/>
      <c r="I710" s="2"/>
      <c r="J710" s="2"/>
      <c r="L710" s="2"/>
    </row>
    <row r="711" ht="15.75" customHeight="1">
      <c r="A711" s="2"/>
      <c r="B711" s="2"/>
      <c r="D711" s="2"/>
      <c r="I711" s="2"/>
      <c r="J711" s="2"/>
      <c r="L711" s="2"/>
    </row>
    <row r="712" ht="15.75" customHeight="1">
      <c r="A712" s="2"/>
      <c r="B712" s="2"/>
      <c r="D712" s="2"/>
      <c r="I712" s="2"/>
      <c r="J712" s="2"/>
      <c r="L712" s="2"/>
    </row>
    <row r="713" ht="15.75" customHeight="1">
      <c r="A713" s="2"/>
      <c r="B713" s="2"/>
      <c r="D713" s="2"/>
      <c r="I713" s="2"/>
      <c r="J713" s="2"/>
      <c r="L713" s="2"/>
    </row>
    <row r="714" ht="15.75" customHeight="1">
      <c r="A714" s="2"/>
      <c r="B714" s="2"/>
      <c r="D714" s="2"/>
      <c r="I714" s="2"/>
      <c r="J714" s="2"/>
      <c r="L714" s="2"/>
    </row>
    <row r="715" ht="15.75" customHeight="1">
      <c r="A715" s="2"/>
      <c r="B715" s="2"/>
      <c r="D715" s="2"/>
      <c r="I715" s="2"/>
      <c r="J715" s="2"/>
      <c r="L715" s="2"/>
    </row>
    <row r="716" ht="15.75" customHeight="1">
      <c r="A716" s="2"/>
      <c r="B716" s="2"/>
      <c r="D716" s="2"/>
      <c r="I716" s="2"/>
      <c r="J716" s="2"/>
      <c r="L716" s="2"/>
    </row>
    <row r="717" ht="15.75" customHeight="1">
      <c r="A717" s="2"/>
      <c r="B717" s="2"/>
      <c r="D717" s="2"/>
      <c r="I717" s="2"/>
      <c r="J717" s="2"/>
      <c r="L717" s="2"/>
    </row>
    <row r="718" ht="15.75" customHeight="1">
      <c r="A718" s="2"/>
      <c r="B718" s="2"/>
      <c r="D718" s="2"/>
      <c r="I718" s="2"/>
      <c r="J718" s="2"/>
      <c r="L718" s="2"/>
    </row>
    <row r="719" ht="15.75" customHeight="1">
      <c r="A719" s="2"/>
      <c r="B719" s="2"/>
      <c r="D719" s="2"/>
      <c r="I719" s="2"/>
      <c r="J719" s="2"/>
      <c r="L719" s="2"/>
    </row>
    <row r="720" ht="15.75" customHeight="1">
      <c r="A720" s="2"/>
      <c r="B720" s="2"/>
      <c r="D720" s="2"/>
      <c r="I720" s="2"/>
      <c r="J720" s="2"/>
      <c r="L720" s="2"/>
    </row>
    <row r="721" ht="15.75" customHeight="1">
      <c r="A721" s="2"/>
      <c r="B721" s="2"/>
      <c r="D721" s="2"/>
      <c r="I721" s="2"/>
      <c r="J721" s="2"/>
      <c r="L721" s="2"/>
    </row>
    <row r="722" ht="15.75" customHeight="1">
      <c r="A722" s="2"/>
      <c r="B722" s="2"/>
      <c r="D722" s="2"/>
      <c r="I722" s="2"/>
      <c r="J722" s="2"/>
      <c r="L722" s="2"/>
    </row>
    <row r="723" ht="15.75" customHeight="1">
      <c r="A723" s="2"/>
      <c r="B723" s="2"/>
      <c r="D723" s="2"/>
      <c r="I723" s="2"/>
      <c r="J723" s="2"/>
      <c r="L723" s="2"/>
    </row>
    <row r="724" ht="15.75" customHeight="1">
      <c r="A724" s="2"/>
      <c r="B724" s="2"/>
      <c r="D724" s="2"/>
      <c r="I724" s="2"/>
      <c r="J724" s="2"/>
      <c r="L724" s="2"/>
    </row>
    <row r="725" ht="15.75" customHeight="1">
      <c r="A725" s="2"/>
      <c r="B725" s="2"/>
      <c r="D725" s="2"/>
      <c r="I725" s="2"/>
      <c r="J725" s="2"/>
      <c r="L725" s="2"/>
    </row>
    <row r="726" ht="15.75" customHeight="1">
      <c r="A726" s="2"/>
      <c r="B726" s="2"/>
      <c r="D726" s="2"/>
      <c r="I726" s="2"/>
      <c r="J726" s="2"/>
      <c r="L726" s="2"/>
    </row>
    <row r="727" ht="15.75" customHeight="1">
      <c r="A727" s="2"/>
      <c r="B727" s="2"/>
      <c r="D727" s="2"/>
      <c r="I727" s="2"/>
      <c r="J727" s="2"/>
      <c r="L727" s="2"/>
    </row>
    <row r="728" ht="15.75" customHeight="1">
      <c r="A728" s="2"/>
      <c r="B728" s="2"/>
      <c r="D728" s="2"/>
      <c r="I728" s="2"/>
      <c r="J728" s="2"/>
      <c r="L728" s="2"/>
    </row>
    <row r="729" ht="15.75" customHeight="1">
      <c r="A729" s="2"/>
      <c r="B729" s="2"/>
      <c r="D729" s="2"/>
      <c r="I729" s="2"/>
      <c r="J729" s="2"/>
      <c r="L729" s="2"/>
    </row>
    <row r="730" ht="15.75" customHeight="1">
      <c r="A730" s="2"/>
      <c r="B730" s="2"/>
      <c r="D730" s="2"/>
      <c r="I730" s="2"/>
      <c r="J730" s="2"/>
      <c r="L730" s="2"/>
    </row>
    <row r="731" ht="15.75" customHeight="1">
      <c r="A731" s="2"/>
      <c r="B731" s="2"/>
      <c r="D731" s="2"/>
      <c r="I731" s="2"/>
      <c r="J731" s="2"/>
      <c r="L731" s="2"/>
    </row>
    <row r="732" ht="15.75" customHeight="1">
      <c r="A732" s="2"/>
      <c r="B732" s="2"/>
      <c r="D732" s="2"/>
      <c r="I732" s="2"/>
      <c r="J732" s="2"/>
      <c r="L732" s="2"/>
    </row>
    <row r="733" ht="15.75" customHeight="1">
      <c r="A733" s="2"/>
      <c r="B733" s="2"/>
      <c r="D733" s="2"/>
      <c r="I733" s="2"/>
      <c r="J733" s="2"/>
      <c r="L733" s="2"/>
    </row>
    <row r="734" ht="15.75" customHeight="1">
      <c r="A734" s="2"/>
      <c r="B734" s="2"/>
      <c r="D734" s="2"/>
      <c r="I734" s="2"/>
      <c r="J734" s="2"/>
      <c r="L734" s="2"/>
    </row>
    <row r="735" ht="15.75" customHeight="1">
      <c r="A735" s="2"/>
      <c r="B735" s="2"/>
      <c r="D735" s="2"/>
      <c r="I735" s="2"/>
      <c r="J735" s="2"/>
      <c r="L735" s="2"/>
    </row>
    <row r="736" ht="15.75" customHeight="1">
      <c r="A736" s="2"/>
      <c r="B736" s="2"/>
      <c r="D736" s="2"/>
      <c r="I736" s="2"/>
      <c r="J736" s="2"/>
      <c r="L736" s="2"/>
    </row>
    <row r="737" ht="15.75" customHeight="1">
      <c r="A737" s="2"/>
      <c r="B737" s="2"/>
      <c r="D737" s="2"/>
      <c r="I737" s="2"/>
      <c r="J737" s="2"/>
      <c r="L737" s="2"/>
    </row>
    <row r="738" ht="15.75" customHeight="1">
      <c r="A738" s="2"/>
      <c r="B738" s="2"/>
      <c r="D738" s="2"/>
      <c r="I738" s="2"/>
      <c r="J738" s="2"/>
      <c r="L738" s="2"/>
    </row>
    <row r="739" ht="15.75" customHeight="1">
      <c r="A739" s="2"/>
      <c r="B739" s="2"/>
      <c r="D739" s="2"/>
      <c r="I739" s="2"/>
      <c r="J739" s="2"/>
      <c r="L739" s="2"/>
    </row>
    <row r="740" ht="15.75" customHeight="1">
      <c r="A740" s="2"/>
      <c r="B740" s="2"/>
      <c r="D740" s="2"/>
      <c r="I740" s="2"/>
      <c r="J740" s="2"/>
      <c r="L740" s="2"/>
    </row>
    <row r="741" ht="15.75" customHeight="1">
      <c r="A741" s="2"/>
      <c r="B741" s="2"/>
      <c r="D741" s="2"/>
      <c r="I741" s="2"/>
      <c r="J741" s="2"/>
      <c r="L741" s="2"/>
    </row>
    <row r="742" ht="15.75" customHeight="1">
      <c r="A742" s="2"/>
      <c r="B742" s="2"/>
      <c r="D742" s="2"/>
      <c r="I742" s="2"/>
      <c r="J742" s="2"/>
      <c r="L742" s="2"/>
    </row>
    <row r="743" ht="15.75" customHeight="1">
      <c r="A743" s="2"/>
      <c r="B743" s="2"/>
      <c r="D743" s="2"/>
      <c r="I743" s="2"/>
      <c r="J743" s="2"/>
      <c r="L743" s="2"/>
    </row>
    <row r="744" ht="15.75" customHeight="1">
      <c r="A744" s="2"/>
      <c r="B744" s="2"/>
      <c r="D744" s="2"/>
      <c r="I744" s="2"/>
      <c r="J744" s="2"/>
      <c r="L744" s="2"/>
    </row>
    <row r="745" ht="15.75" customHeight="1">
      <c r="A745" s="2"/>
      <c r="B745" s="2"/>
      <c r="D745" s="2"/>
      <c r="I745" s="2"/>
      <c r="J745" s="2"/>
      <c r="L745" s="2"/>
    </row>
    <row r="746" ht="15.75" customHeight="1">
      <c r="A746" s="2"/>
      <c r="B746" s="2"/>
      <c r="D746" s="2"/>
      <c r="I746" s="2"/>
      <c r="J746" s="2"/>
      <c r="L746" s="2"/>
    </row>
    <row r="747" ht="15.75" customHeight="1">
      <c r="A747" s="2"/>
      <c r="B747" s="2"/>
      <c r="D747" s="2"/>
      <c r="I747" s="2"/>
      <c r="J747" s="2"/>
      <c r="L747" s="2"/>
    </row>
    <row r="748" ht="15.75" customHeight="1">
      <c r="A748" s="2"/>
      <c r="B748" s="2"/>
      <c r="D748" s="2"/>
      <c r="I748" s="2"/>
      <c r="J748" s="2"/>
      <c r="L748" s="2"/>
    </row>
    <row r="749" ht="15.75" customHeight="1">
      <c r="A749" s="2"/>
      <c r="B749" s="2"/>
      <c r="D749" s="2"/>
      <c r="I749" s="2"/>
      <c r="J749" s="2"/>
      <c r="L749" s="2"/>
    </row>
    <row r="750" ht="15.75" customHeight="1">
      <c r="A750" s="2"/>
      <c r="B750" s="2"/>
      <c r="D750" s="2"/>
      <c r="I750" s="2"/>
      <c r="J750" s="2"/>
      <c r="L750" s="2"/>
    </row>
    <row r="751" ht="15.75" customHeight="1">
      <c r="A751" s="2"/>
      <c r="B751" s="2"/>
      <c r="D751" s="2"/>
      <c r="I751" s="2"/>
      <c r="J751" s="2"/>
      <c r="L751" s="2"/>
    </row>
    <row r="752" ht="15.75" customHeight="1">
      <c r="A752" s="2"/>
      <c r="B752" s="2"/>
      <c r="D752" s="2"/>
      <c r="I752" s="2"/>
      <c r="J752" s="2"/>
      <c r="L752" s="2"/>
    </row>
    <row r="753" ht="15.75" customHeight="1">
      <c r="A753" s="2"/>
      <c r="B753" s="2"/>
      <c r="D753" s="2"/>
      <c r="I753" s="2"/>
      <c r="J753" s="2"/>
      <c r="L753" s="2"/>
    </row>
    <row r="754" ht="15.75" customHeight="1">
      <c r="A754" s="2"/>
      <c r="B754" s="2"/>
      <c r="D754" s="2"/>
      <c r="I754" s="2"/>
      <c r="J754" s="2"/>
      <c r="L754" s="2"/>
    </row>
    <row r="755" ht="15.75" customHeight="1">
      <c r="A755" s="2"/>
      <c r="B755" s="2"/>
      <c r="D755" s="2"/>
      <c r="I755" s="2"/>
      <c r="J755" s="2"/>
      <c r="L755" s="2"/>
    </row>
    <row r="756" ht="15.75" customHeight="1">
      <c r="A756" s="2"/>
      <c r="B756" s="2"/>
      <c r="D756" s="2"/>
      <c r="I756" s="2"/>
      <c r="J756" s="2"/>
      <c r="L756" s="2"/>
    </row>
    <row r="757" ht="15.75" customHeight="1">
      <c r="A757" s="2"/>
      <c r="B757" s="2"/>
      <c r="D757" s="2"/>
      <c r="I757" s="2"/>
      <c r="J757" s="2"/>
      <c r="L757" s="2"/>
    </row>
    <row r="758" ht="15.75" customHeight="1">
      <c r="A758" s="2"/>
      <c r="B758" s="2"/>
      <c r="D758" s="2"/>
      <c r="I758" s="2"/>
      <c r="J758" s="2"/>
      <c r="L758" s="2"/>
    </row>
    <row r="759" ht="15.75" customHeight="1">
      <c r="A759" s="2"/>
      <c r="B759" s="2"/>
      <c r="D759" s="2"/>
      <c r="I759" s="2"/>
      <c r="J759" s="2"/>
      <c r="L759" s="2"/>
    </row>
    <row r="760" ht="15.75" customHeight="1">
      <c r="A760" s="2"/>
      <c r="B760" s="2"/>
      <c r="D760" s="2"/>
      <c r="I760" s="2"/>
      <c r="J760" s="2"/>
      <c r="L760" s="2"/>
    </row>
    <row r="761" ht="15.75" customHeight="1">
      <c r="A761" s="2"/>
      <c r="B761" s="2"/>
      <c r="D761" s="2"/>
      <c r="I761" s="2"/>
      <c r="J761" s="2"/>
      <c r="L761" s="2"/>
    </row>
    <row r="762" ht="15.75" customHeight="1">
      <c r="A762" s="2"/>
      <c r="B762" s="2"/>
      <c r="D762" s="2"/>
      <c r="I762" s="2"/>
      <c r="J762" s="2"/>
      <c r="L762" s="2"/>
    </row>
    <row r="763" ht="15.75" customHeight="1">
      <c r="A763" s="2"/>
      <c r="B763" s="2"/>
      <c r="D763" s="2"/>
      <c r="I763" s="2"/>
      <c r="J763" s="2"/>
      <c r="L763" s="2"/>
    </row>
    <row r="764" ht="15.75" customHeight="1">
      <c r="A764" s="2"/>
      <c r="B764" s="2"/>
      <c r="D764" s="2"/>
      <c r="I764" s="2"/>
      <c r="J764" s="2"/>
      <c r="L764" s="2"/>
    </row>
    <row r="765" ht="15.75" customHeight="1">
      <c r="A765" s="2"/>
      <c r="B765" s="2"/>
      <c r="D765" s="2"/>
      <c r="I765" s="2"/>
      <c r="J765" s="2"/>
      <c r="L765" s="2"/>
    </row>
    <row r="766" ht="15.75" customHeight="1">
      <c r="A766" s="2"/>
      <c r="B766" s="2"/>
      <c r="D766" s="2"/>
      <c r="I766" s="2"/>
      <c r="J766" s="2"/>
      <c r="L766" s="2"/>
    </row>
    <row r="767" ht="15.75" customHeight="1">
      <c r="A767" s="2"/>
      <c r="B767" s="2"/>
      <c r="D767" s="2"/>
      <c r="I767" s="2"/>
      <c r="J767" s="2"/>
      <c r="L767" s="2"/>
    </row>
    <row r="768" ht="15.75" customHeight="1">
      <c r="A768" s="2"/>
      <c r="B768" s="2"/>
      <c r="D768" s="2"/>
      <c r="I768" s="2"/>
      <c r="J768" s="2"/>
      <c r="L768" s="2"/>
    </row>
    <row r="769" ht="15.75" customHeight="1">
      <c r="A769" s="2"/>
      <c r="B769" s="2"/>
      <c r="D769" s="2"/>
      <c r="I769" s="2"/>
      <c r="J769" s="2"/>
      <c r="L769" s="2"/>
    </row>
    <row r="770" ht="15.75" customHeight="1">
      <c r="A770" s="2"/>
      <c r="B770" s="2"/>
      <c r="D770" s="2"/>
      <c r="I770" s="2"/>
      <c r="J770" s="2"/>
      <c r="L770" s="2"/>
    </row>
    <row r="771" ht="15.75" customHeight="1">
      <c r="A771" s="2"/>
      <c r="B771" s="2"/>
      <c r="D771" s="2"/>
      <c r="I771" s="2"/>
      <c r="J771" s="2"/>
      <c r="L771" s="2"/>
    </row>
    <row r="772" ht="15.75" customHeight="1">
      <c r="A772" s="2"/>
      <c r="B772" s="2"/>
      <c r="D772" s="2"/>
      <c r="I772" s="2"/>
      <c r="J772" s="2"/>
      <c r="L772" s="2"/>
    </row>
    <row r="773" ht="15.75" customHeight="1">
      <c r="A773" s="2"/>
      <c r="B773" s="2"/>
      <c r="D773" s="2"/>
      <c r="I773" s="2"/>
      <c r="J773" s="2"/>
      <c r="L773" s="2"/>
    </row>
    <row r="774" ht="15.75" customHeight="1">
      <c r="A774" s="2"/>
      <c r="B774" s="2"/>
      <c r="D774" s="2"/>
      <c r="I774" s="2"/>
      <c r="J774" s="2"/>
      <c r="L774" s="2"/>
    </row>
    <row r="775" ht="15.75" customHeight="1">
      <c r="A775" s="2"/>
      <c r="B775" s="2"/>
      <c r="D775" s="2"/>
      <c r="I775" s="2"/>
      <c r="J775" s="2"/>
      <c r="L775" s="2"/>
    </row>
    <row r="776" ht="15.75" customHeight="1">
      <c r="A776" s="2"/>
      <c r="B776" s="2"/>
      <c r="D776" s="2"/>
      <c r="I776" s="2"/>
      <c r="J776" s="2"/>
      <c r="L776" s="2"/>
    </row>
    <row r="777" ht="15.75" customHeight="1">
      <c r="A777" s="2"/>
      <c r="B777" s="2"/>
      <c r="D777" s="2"/>
      <c r="I777" s="2"/>
      <c r="J777" s="2"/>
      <c r="L777" s="2"/>
    </row>
    <row r="778" ht="15.75" customHeight="1">
      <c r="A778" s="2"/>
      <c r="B778" s="2"/>
      <c r="D778" s="2"/>
      <c r="I778" s="2"/>
      <c r="J778" s="2"/>
      <c r="L778" s="2"/>
    </row>
    <row r="779" ht="15.75" customHeight="1">
      <c r="A779" s="2"/>
      <c r="B779" s="2"/>
      <c r="D779" s="2"/>
      <c r="I779" s="2"/>
      <c r="J779" s="2"/>
      <c r="L779" s="2"/>
    </row>
    <row r="780" ht="15.75" customHeight="1">
      <c r="A780" s="2"/>
      <c r="B780" s="2"/>
      <c r="D780" s="2"/>
      <c r="I780" s="2"/>
      <c r="J780" s="2"/>
      <c r="L780" s="2"/>
    </row>
    <row r="781" ht="15.75" customHeight="1">
      <c r="A781" s="2"/>
      <c r="B781" s="2"/>
      <c r="D781" s="2"/>
      <c r="I781" s="2"/>
      <c r="J781" s="2"/>
      <c r="L781" s="2"/>
    </row>
    <row r="782" ht="15.75" customHeight="1">
      <c r="A782" s="2"/>
      <c r="B782" s="2"/>
      <c r="D782" s="2"/>
      <c r="I782" s="2"/>
      <c r="J782" s="2"/>
      <c r="L782" s="2"/>
    </row>
    <row r="783" ht="15.75" customHeight="1">
      <c r="A783" s="2"/>
      <c r="B783" s="2"/>
      <c r="D783" s="2"/>
      <c r="I783" s="2"/>
      <c r="J783" s="2"/>
      <c r="L783" s="2"/>
    </row>
    <row r="784" ht="15.75" customHeight="1">
      <c r="A784" s="2"/>
      <c r="B784" s="2"/>
      <c r="D784" s="2"/>
      <c r="I784" s="2"/>
      <c r="J784" s="2"/>
      <c r="L784" s="2"/>
    </row>
    <row r="785" ht="15.75" customHeight="1">
      <c r="A785" s="2"/>
      <c r="B785" s="2"/>
      <c r="D785" s="2"/>
      <c r="I785" s="2"/>
      <c r="J785" s="2"/>
      <c r="L785" s="2"/>
    </row>
    <row r="786" ht="15.75" customHeight="1">
      <c r="A786" s="2"/>
      <c r="B786" s="2"/>
      <c r="D786" s="2"/>
      <c r="I786" s="2"/>
      <c r="J786" s="2"/>
      <c r="L786" s="2"/>
    </row>
    <row r="787" ht="15.75" customHeight="1">
      <c r="A787" s="2"/>
      <c r="B787" s="2"/>
      <c r="D787" s="2"/>
      <c r="I787" s="2"/>
      <c r="J787" s="2"/>
      <c r="L787" s="2"/>
    </row>
    <row r="788" ht="15.75" customHeight="1">
      <c r="A788" s="2"/>
      <c r="B788" s="2"/>
      <c r="D788" s="2"/>
      <c r="I788" s="2"/>
      <c r="J788" s="2"/>
      <c r="L788" s="2"/>
    </row>
    <row r="789" ht="15.75" customHeight="1">
      <c r="A789" s="2"/>
      <c r="B789" s="2"/>
      <c r="D789" s="2"/>
      <c r="I789" s="2"/>
      <c r="J789" s="2"/>
      <c r="L789" s="2"/>
    </row>
    <row r="790" ht="15.75" customHeight="1">
      <c r="A790" s="2"/>
      <c r="B790" s="2"/>
      <c r="D790" s="2"/>
      <c r="I790" s="2"/>
      <c r="J790" s="2"/>
      <c r="L790" s="2"/>
    </row>
    <row r="791" ht="15.75" customHeight="1">
      <c r="A791" s="2"/>
      <c r="B791" s="2"/>
      <c r="D791" s="2"/>
      <c r="I791" s="2"/>
      <c r="J791" s="2"/>
      <c r="L791" s="2"/>
    </row>
    <row r="792" ht="15.75" customHeight="1">
      <c r="A792" s="2"/>
      <c r="B792" s="2"/>
      <c r="D792" s="2"/>
      <c r="I792" s="2"/>
      <c r="J792" s="2"/>
      <c r="L792" s="2"/>
    </row>
    <row r="793" ht="15.75" customHeight="1">
      <c r="A793" s="2"/>
      <c r="B793" s="2"/>
      <c r="D793" s="2"/>
      <c r="I793" s="2"/>
      <c r="J793" s="2"/>
      <c r="L793" s="2"/>
    </row>
    <row r="794" ht="15.75" customHeight="1">
      <c r="A794" s="2"/>
      <c r="B794" s="2"/>
      <c r="D794" s="2"/>
      <c r="I794" s="2"/>
      <c r="J794" s="2"/>
      <c r="L794" s="2"/>
    </row>
    <row r="795" ht="15.75" customHeight="1">
      <c r="A795" s="2"/>
      <c r="B795" s="2"/>
      <c r="D795" s="2"/>
      <c r="I795" s="2"/>
      <c r="J795" s="2"/>
      <c r="L795" s="2"/>
    </row>
    <row r="796" ht="15.75" customHeight="1">
      <c r="A796" s="2"/>
      <c r="B796" s="2"/>
      <c r="D796" s="2"/>
      <c r="I796" s="2"/>
      <c r="J796" s="2"/>
      <c r="L796" s="2"/>
    </row>
    <row r="797" ht="15.75" customHeight="1">
      <c r="A797" s="2"/>
      <c r="B797" s="2"/>
      <c r="D797" s="2"/>
      <c r="I797" s="2"/>
      <c r="J797" s="2"/>
      <c r="L797" s="2"/>
    </row>
    <row r="798" ht="15.75" customHeight="1">
      <c r="A798" s="2"/>
      <c r="B798" s="2"/>
      <c r="D798" s="2"/>
      <c r="I798" s="2"/>
      <c r="J798" s="2"/>
      <c r="L798" s="2"/>
    </row>
    <row r="799" ht="15.75" customHeight="1">
      <c r="A799" s="2"/>
      <c r="B799" s="2"/>
      <c r="D799" s="2"/>
      <c r="I799" s="2"/>
      <c r="J799" s="2"/>
      <c r="L799" s="2"/>
    </row>
    <row r="800" ht="15.75" customHeight="1">
      <c r="A800" s="2"/>
      <c r="B800" s="2"/>
      <c r="D800" s="2"/>
      <c r="I800" s="2"/>
      <c r="J800" s="2"/>
      <c r="L800" s="2"/>
    </row>
    <row r="801" ht="15.75" customHeight="1">
      <c r="A801" s="2"/>
      <c r="B801" s="2"/>
      <c r="D801" s="2"/>
      <c r="I801" s="2"/>
      <c r="J801" s="2"/>
      <c r="L801" s="2"/>
    </row>
    <row r="802" ht="15.75" customHeight="1">
      <c r="A802" s="2"/>
      <c r="B802" s="2"/>
      <c r="D802" s="2"/>
      <c r="I802" s="2"/>
      <c r="J802" s="2"/>
      <c r="L802" s="2"/>
    </row>
    <row r="803" ht="15.75" customHeight="1">
      <c r="A803" s="2"/>
      <c r="B803" s="2"/>
      <c r="D803" s="2"/>
      <c r="I803" s="2"/>
      <c r="J803" s="2"/>
      <c r="L803" s="2"/>
    </row>
    <row r="804" ht="15.75" customHeight="1">
      <c r="A804" s="2"/>
      <c r="B804" s="2"/>
      <c r="D804" s="2"/>
      <c r="I804" s="2"/>
      <c r="J804" s="2"/>
      <c r="L804" s="2"/>
    </row>
    <row r="805" ht="15.75" customHeight="1">
      <c r="A805" s="2"/>
      <c r="B805" s="2"/>
      <c r="D805" s="2"/>
      <c r="I805" s="2"/>
      <c r="J805" s="2"/>
      <c r="L805" s="2"/>
    </row>
    <row r="806" ht="15.75" customHeight="1">
      <c r="A806" s="2"/>
      <c r="B806" s="2"/>
      <c r="D806" s="2"/>
      <c r="I806" s="2"/>
      <c r="J806" s="2"/>
      <c r="L806" s="2"/>
    </row>
    <row r="807" ht="15.75" customHeight="1">
      <c r="A807" s="2"/>
      <c r="B807" s="2"/>
      <c r="D807" s="2"/>
      <c r="I807" s="2"/>
      <c r="J807" s="2"/>
      <c r="L807" s="2"/>
    </row>
    <row r="808" ht="15.75" customHeight="1">
      <c r="A808" s="2"/>
      <c r="B808" s="2"/>
      <c r="D808" s="2"/>
      <c r="I808" s="2"/>
      <c r="J808" s="2"/>
      <c r="L808" s="2"/>
    </row>
    <row r="809" ht="15.75" customHeight="1">
      <c r="A809" s="2"/>
      <c r="B809" s="2"/>
      <c r="D809" s="2"/>
      <c r="I809" s="2"/>
      <c r="J809" s="2"/>
      <c r="L809" s="2"/>
    </row>
    <row r="810" ht="15.75" customHeight="1">
      <c r="A810" s="2"/>
      <c r="B810" s="2"/>
      <c r="D810" s="2"/>
      <c r="I810" s="2"/>
      <c r="J810" s="2"/>
      <c r="L810" s="2"/>
    </row>
    <row r="811" ht="15.75" customHeight="1">
      <c r="A811" s="2"/>
      <c r="B811" s="2"/>
      <c r="D811" s="2"/>
      <c r="I811" s="2"/>
      <c r="J811" s="2"/>
      <c r="L811" s="2"/>
    </row>
    <row r="812" ht="15.75" customHeight="1">
      <c r="A812" s="2"/>
      <c r="B812" s="2"/>
      <c r="D812" s="2"/>
      <c r="I812" s="2"/>
      <c r="J812" s="2"/>
      <c r="L812" s="2"/>
    </row>
    <row r="813" ht="15.75" customHeight="1">
      <c r="A813" s="2"/>
      <c r="B813" s="2"/>
      <c r="D813" s="2"/>
      <c r="I813" s="2"/>
      <c r="J813" s="2"/>
      <c r="L813" s="2"/>
    </row>
    <row r="814" ht="15.75" customHeight="1">
      <c r="A814" s="2"/>
      <c r="B814" s="2"/>
      <c r="D814" s="2"/>
      <c r="I814" s="2"/>
      <c r="J814" s="2"/>
      <c r="L814" s="2"/>
    </row>
    <row r="815" ht="15.75" customHeight="1">
      <c r="A815" s="2"/>
      <c r="B815" s="2"/>
      <c r="D815" s="2"/>
      <c r="I815" s="2"/>
      <c r="J815" s="2"/>
      <c r="L815" s="2"/>
    </row>
    <row r="816" ht="15.75" customHeight="1">
      <c r="A816" s="2"/>
      <c r="B816" s="2"/>
      <c r="D816" s="2"/>
      <c r="I816" s="2"/>
      <c r="J816" s="2"/>
      <c r="L816" s="2"/>
    </row>
    <row r="817" ht="15.75" customHeight="1">
      <c r="A817" s="2"/>
      <c r="B817" s="2"/>
      <c r="D817" s="2"/>
      <c r="I817" s="2"/>
      <c r="J817" s="2"/>
      <c r="L817" s="2"/>
    </row>
    <row r="818" ht="15.75" customHeight="1">
      <c r="A818" s="2"/>
      <c r="B818" s="2"/>
      <c r="D818" s="2"/>
      <c r="I818" s="2"/>
      <c r="J818" s="2"/>
      <c r="L818" s="2"/>
    </row>
    <row r="819" ht="15.75" customHeight="1">
      <c r="A819" s="2"/>
      <c r="B819" s="2"/>
      <c r="D819" s="2"/>
      <c r="I819" s="2"/>
      <c r="J819" s="2"/>
      <c r="L819" s="2"/>
    </row>
    <row r="820" ht="15.75" customHeight="1">
      <c r="A820" s="2"/>
      <c r="B820" s="2"/>
      <c r="D820" s="2"/>
      <c r="I820" s="2"/>
      <c r="J820" s="2"/>
      <c r="L820" s="2"/>
    </row>
    <row r="821" ht="15.75" customHeight="1">
      <c r="A821" s="2"/>
      <c r="B821" s="2"/>
      <c r="D821" s="2"/>
      <c r="I821" s="2"/>
      <c r="J821" s="2"/>
      <c r="L821" s="2"/>
    </row>
    <row r="822" ht="15.75" customHeight="1">
      <c r="A822" s="2"/>
      <c r="B822" s="2"/>
      <c r="D822" s="2"/>
      <c r="I822" s="2"/>
      <c r="J822" s="2"/>
      <c r="L822" s="2"/>
    </row>
    <row r="823" ht="15.75" customHeight="1">
      <c r="A823" s="2"/>
      <c r="B823" s="2"/>
      <c r="D823" s="2"/>
      <c r="I823" s="2"/>
      <c r="J823" s="2"/>
      <c r="L823" s="2"/>
    </row>
    <row r="824" ht="15.75" customHeight="1">
      <c r="A824" s="2"/>
      <c r="B824" s="2"/>
      <c r="D824" s="2"/>
      <c r="I824" s="2"/>
      <c r="J824" s="2"/>
      <c r="L824" s="2"/>
    </row>
    <row r="825" ht="15.75" customHeight="1">
      <c r="A825" s="2"/>
      <c r="B825" s="2"/>
      <c r="D825" s="2"/>
      <c r="I825" s="2"/>
      <c r="J825" s="2"/>
      <c r="L825" s="2"/>
    </row>
    <row r="826" ht="15.75" customHeight="1">
      <c r="A826" s="2"/>
      <c r="B826" s="2"/>
      <c r="D826" s="2"/>
      <c r="I826" s="2"/>
      <c r="J826" s="2"/>
      <c r="L826" s="2"/>
    </row>
    <row r="827" ht="15.75" customHeight="1">
      <c r="A827" s="2"/>
      <c r="B827" s="2"/>
      <c r="D827" s="2"/>
      <c r="I827" s="2"/>
      <c r="J827" s="2"/>
      <c r="L827" s="2"/>
    </row>
    <row r="828" ht="15.75" customHeight="1">
      <c r="A828" s="2"/>
      <c r="B828" s="2"/>
      <c r="D828" s="2"/>
      <c r="I828" s="2"/>
      <c r="J828" s="2"/>
      <c r="L828" s="2"/>
    </row>
    <row r="829" ht="15.75" customHeight="1">
      <c r="A829" s="2"/>
      <c r="B829" s="2"/>
      <c r="D829" s="2"/>
      <c r="I829" s="2"/>
      <c r="J829" s="2"/>
      <c r="L829" s="2"/>
    </row>
    <row r="830" ht="15.75" customHeight="1">
      <c r="A830" s="2"/>
      <c r="B830" s="2"/>
      <c r="D830" s="2"/>
      <c r="I830" s="2"/>
      <c r="J830" s="2"/>
      <c r="L830" s="2"/>
    </row>
    <row r="831" ht="15.75" customHeight="1">
      <c r="A831" s="2"/>
      <c r="B831" s="2"/>
      <c r="D831" s="2"/>
      <c r="I831" s="2"/>
      <c r="J831" s="2"/>
      <c r="L831" s="2"/>
    </row>
    <row r="832" ht="15.75" customHeight="1">
      <c r="A832" s="2"/>
      <c r="B832" s="2"/>
      <c r="D832" s="2"/>
      <c r="I832" s="2"/>
      <c r="J832" s="2"/>
      <c r="L832" s="2"/>
    </row>
    <row r="833" ht="15.75" customHeight="1">
      <c r="A833" s="2"/>
      <c r="B833" s="2"/>
      <c r="D833" s="2"/>
      <c r="I833" s="2"/>
      <c r="J833" s="2"/>
      <c r="L833" s="2"/>
    </row>
    <row r="834" ht="15.75" customHeight="1">
      <c r="A834" s="2"/>
      <c r="B834" s="2"/>
      <c r="D834" s="2"/>
      <c r="I834" s="2"/>
      <c r="J834" s="2"/>
      <c r="L834" s="2"/>
    </row>
    <row r="835" ht="15.75" customHeight="1">
      <c r="A835" s="2"/>
      <c r="B835" s="2"/>
      <c r="D835" s="2"/>
      <c r="I835" s="2"/>
      <c r="J835" s="2"/>
      <c r="L835" s="2"/>
    </row>
    <row r="836" ht="15.75" customHeight="1">
      <c r="A836" s="2"/>
      <c r="B836" s="2"/>
      <c r="D836" s="2"/>
      <c r="I836" s="2"/>
      <c r="J836" s="2"/>
      <c r="L836" s="2"/>
    </row>
    <row r="837" ht="15.75" customHeight="1">
      <c r="A837" s="2"/>
      <c r="B837" s="2"/>
      <c r="D837" s="2"/>
      <c r="I837" s="2"/>
      <c r="J837" s="2"/>
      <c r="L837" s="2"/>
    </row>
    <row r="838" ht="15.75" customHeight="1">
      <c r="A838" s="2"/>
      <c r="B838" s="2"/>
      <c r="D838" s="2"/>
      <c r="I838" s="2"/>
      <c r="J838" s="2"/>
      <c r="L838" s="2"/>
    </row>
    <row r="839" ht="15.75" customHeight="1">
      <c r="A839" s="2"/>
      <c r="B839" s="2"/>
      <c r="D839" s="2"/>
      <c r="I839" s="2"/>
      <c r="J839" s="2"/>
      <c r="L839" s="2"/>
    </row>
    <row r="840" ht="15.75" customHeight="1">
      <c r="A840" s="2"/>
      <c r="B840" s="2"/>
      <c r="D840" s="2"/>
      <c r="I840" s="2"/>
      <c r="J840" s="2"/>
      <c r="L840" s="2"/>
    </row>
    <row r="841" ht="15.75" customHeight="1">
      <c r="A841" s="2"/>
      <c r="B841" s="2"/>
      <c r="D841" s="2"/>
      <c r="I841" s="2"/>
      <c r="J841" s="2"/>
      <c r="L841" s="2"/>
    </row>
    <row r="842" ht="15.75" customHeight="1">
      <c r="A842" s="2"/>
      <c r="B842" s="2"/>
      <c r="D842" s="2"/>
      <c r="I842" s="2"/>
      <c r="J842" s="2"/>
      <c r="L842" s="2"/>
    </row>
    <row r="843" ht="15.75" customHeight="1">
      <c r="A843" s="2"/>
      <c r="B843" s="2"/>
      <c r="D843" s="2"/>
      <c r="I843" s="2"/>
      <c r="J843" s="2"/>
      <c r="L843" s="2"/>
    </row>
    <row r="844" ht="15.75" customHeight="1">
      <c r="A844" s="2"/>
      <c r="B844" s="2"/>
      <c r="D844" s="2"/>
      <c r="I844" s="2"/>
      <c r="J844" s="2"/>
      <c r="L844" s="2"/>
    </row>
    <row r="845" ht="15.75" customHeight="1">
      <c r="A845" s="2"/>
      <c r="B845" s="2"/>
      <c r="D845" s="2"/>
      <c r="I845" s="2"/>
      <c r="J845" s="2"/>
      <c r="L845" s="2"/>
    </row>
    <row r="846" ht="15.75" customHeight="1">
      <c r="A846" s="2"/>
      <c r="B846" s="2"/>
      <c r="D846" s="2"/>
      <c r="I846" s="2"/>
      <c r="J846" s="2"/>
      <c r="L846" s="2"/>
    </row>
    <row r="847" ht="15.75" customHeight="1">
      <c r="A847" s="2"/>
      <c r="B847" s="2"/>
      <c r="D847" s="2"/>
      <c r="I847" s="2"/>
      <c r="J847" s="2"/>
      <c r="L847" s="2"/>
    </row>
    <row r="848" ht="15.75" customHeight="1">
      <c r="A848" s="2"/>
      <c r="B848" s="2"/>
      <c r="D848" s="2"/>
      <c r="I848" s="2"/>
      <c r="J848" s="2"/>
      <c r="L848" s="2"/>
    </row>
    <row r="849" ht="15.75" customHeight="1">
      <c r="A849" s="2"/>
      <c r="B849" s="2"/>
      <c r="D849" s="2"/>
      <c r="I849" s="2"/>
      <c r="J849" s="2"/>
      <c r="L849" s="2"/>
    </row>
    <row r="850" ht="15.75" customHeight="1">
      <c r="A850" s="2"/>
      <c r="B850" s="2"/>
      <c r="D850" s="2"/>
      <c r="I850" s="2"/>
      <c r="J850" s="2"/>
      <c r="L850" s="2"/>
    </row>
    <row r="851" ht="15.75" customHeight="1">
      <c r="A851" s="2"/>
      <c r="B851" s="2"/>
      <c r="D851" s="2"/>
      <c r="I851" s="2"/>
      <c r="J851" s="2"/>
      <c r="L851" s="2"/>
    </row>
    <row r="852" ht="15.75" customHeight="1">
      <c r="A852" s="2"/>
      <c r="B852" s="2"/>
      <c r="D852" s="2"/>
      <c r="I852" s="2"/>
      <c r="J852" s="2"/>
      <c r="L852" s="2"/>
    </row>
    <row r="853" ht="15.75" customHeight="1">
      <c r="A853" s="2"/>
      <c r="B853" s="2"/>
      <c r="D853" s="2"/>
      <c r="I853" s="2"/>
      <c r="J853" s="2"/>
      <c r="L853" s="2"/>
    </row>
    <row r="854" ht="15.75" customHeight="1">
      <c r="A854" s="2"/>
      <c r="B854" s="2"/>
      <c r="D854" s="2"/>
      <c r="I854" s="2"/>
      <c r="J854" s="2"/>
      <c r="L854" s="2"/>
    </row>
    <row r="855" ht="15.75" customHeight="1">
      <c r="A855" s="2"/>
      <c r="B855" s="2"/>
      <c r="D855" s="2"/>
      <c r="I855" s="2"/>
      <c r="J855" s="2"/>
      <c r="L855" s="2"/>
    </row>
    <row r="856" ht="15.75" customHeight="1">
      <c r="A856" s="2"/>
      <c r="B856" s="2"/>
      <c r="D856" s="2"/>
      <c r="I856" s="2"/>
      <c r="J856" s="2"/>
      <c r="L856" s="2"/>
    </row>
    <row r="857" ht="15.75" customHeight="1">
      <c r="A857" s="2"/>
      <c r="B857" s="2"/>
      <c r="D857" s="2"/>
      <c r="I857" s="2"/>
      <c r="J857" s="2"/>
      <c r="L857" s="2"/>
    </row>
    <row r="858" ht="15.75" customHeight="1">
      <c r="A858" s="2"/>
      <c r="B858" s="2"/>
      <c r="D858" s="2"/>
      <c r="I858" s="2"/>
      <c r="J858" s="2"/>
      <c r="L858" s="2"/>
    </row>
    <row r="859" ht="15.75" customHeight="1">
      <c r="A859" s="2"/>
      <c r="B859" s="2"/>
      <c r="D859" s="2"/>
      <c r="I859" s="2"/>
      <c r="J859" s="2"/>
      <c r="L859" s="2"/>
    </row>
    <row r="860" ht="15.75" customHeight="1">
      <c r="A860" s="2"/>
      <c r="B860" s="2"/>
      <c r="D860" s="2"/>
      <c r="I860" s="2"/>
      <c r="J860" s="2"/>
      <c r="L860" s="2"/>
    </row>
    <row r="861" ht="15.75" customHeight="1">
      <c r="A861" s="2"/>
      <c r="B861" s="2"/>
      <c r="D861" s="2"/>
      <c r="I861" s="2"/>
      <c r="J861" s="2"/>
      <c r="L861" s="2"/>
    </row>
    <row r="862" ht="15.75" customHeight="1">
      <c r="A862" s="2"/>
      <c r="B862" s="2"/>
      <c r="D862" s="2"/>
      <c r="I862" s="2"/>
      <c r="J862" s="2"/>
      <c r="L862" s="2"/>
    </row>
    <row r="863" ht="15.75" customHeight="1">
      <c r="A863" s="2"/>
      <c r="B863" s="2"/>
      <c r="D863" s="2"/>
      <c r="I863" s="2"/>
      <c r="J863" s="2"/>
      <c r="L863" s="2"/>
    </row>
    <row r="864" ht="15.75" customHeight="1">
      <c r="A864" s="2"/>
      <c r="B864" s="2"/>
      <c r="D864" s="2"/>
      <c r="I864" s="2"/>
      <c r="J864" s="2"/>
      <c r="L864" s="2"/>
    </row>
    <row r="865" ht="15.75" customHeight="1">
      <c r="A865" s="2"/>
      <c r="B865" s="2"/>
      <c r="D865" s="2"/>
      <c r="I865" s="2"/>
      <c r="J865" s="2"/>
      <c r="L865" s="2"/>
    </row>
    <row r="866" ht="15.75" customHeight="1">
      <c r="A866" s="2"/>
      <c r="B866" s="2"/>
      <c r="D866" s="2"/>
      <c r="I866" s="2"/>
      <c r="J866" s="2"/>
      <c r="L866" s="2"/>
    </row>
    <row r="867" ht="15.75" customHeight="1">
      <c r="A867" s="2"/>
      <c r="B867" s="2"/>
      <c r="D867" s="2"/>
      <c r="I867" s="2"/>
      <c r="J867" s="2"/>
      <c r="L867" s="2"/>
    </row>
    <row r="868" ht="15.75" customHeight="1">
      <c r="A868" s="2"/>
      <c r="B868" s="2"/>
      <c r="D868" s="2"/>
      <c r="I868" s="2"/>
      <c r="J868" s="2"/>
      <c r="L868" s="2"/>
    </row>
    <row r="869" ht="15.75" customHeight="1">
      <c r="A869" s="2"/>
      <c r="B869" s="2"/>
      <c r="D869" s="2"/>
      <c r="I869" s="2"/>
      <c r="J869" s="2"/>
      <c r="L869" s="2"/>
    </row>
    <row r="870" ht="15.75" customHeight="1">
      <c r="A870" s="2"/>
      <c r="B870" s="2"/>
      <c r="D870" s="2"/>
      <c r="I870" s="2"/>
      <c r="J870" s="2"/>
      <c r="L870" s="2"/>
    </row>
    <row r="871" ht="15.75" customHeight="1">
      <c r="A871" s="2"/>
      <c r="B871" s="2"/>
      <c r="D871" s="2"/>
      <c r="I871" s="2"/>
      <c r="J871" s="2"/>
      <c r="L871" s="2"/>
    </row>
    <row r="872" ht="15.75" customHeight="1">
      <c r="A872" s="2"/>
      <c r="B872" s="2"/>
      <c r="D872" s="2"/>
      <c r="I872" s="2"/>
      <c r="J872" s="2"/>
      <c r="L872" s="2"/>
    </row>
    <row r="873" ht="15.75" customHeight="1">
      <c r="A873" s="2"/>
      <c r="B873" s="2"/>
      <c r="D873" s="2"/>
      <c r="I873" s="2"/>
      <c r="J873" s="2"/>
      <c r="L873" s="2"/>
    </row>
    <row r="874" ht="15.75" customHeight="1">
      <c r="A874" s="2"/>
      <c r="B874" s="2"/>
      <c r="D874" s="2"/>
      <c r="I874" s="2"/>
      <c r="J874" s="2"/>
      <c r="L874" s="2"/>
    </row>
    <row r="875" ht="15.75" customHeight="1">
      <c r="A875" s="2"/>
      <c r="B875" s="2"/>
      <c r="D875" s="2"/>
      <c r="I875" s="2"/>
      <c r="J875" s="2"/>
      <c r="L875" s="2"/>
    </row>
    <row r="876" ht="15.75" customHeight="1">
      <c r="A876" s="2"/>
      <c r="B876" s="2"/>
      <c r="D876" s="2"/>
      <c r="I876" s="2"/>
      <c r="J876" s="2"/>
      <c r="L876" s="2"/>
    </row>
    <row r="877" ht="15.75" customHeight="1">
      <c r="A877" s="2"/>
      <c r="B877" s="2"/>
      <c r="D877" s="2"/>
      <c r="I877" s="2"/>
      <c r="J877" s="2"/>
      <c r="L877" s="2"/>
    </row>
    <row r="878" ht="15.75" customHeight="1">
      <c r="A878" s="2"/>
      <c r="B878" s="2"/>
      <c r="D878" s="2"/>
      <c r="I878" s="2"/>
      <c r="J878" s="2"/>
      <c r="L878" s="2"/>
    </row>
    <row r="879" ht="15.75" customHeight="1">
      <c r="A879" s="2"/>
      <c r="B879" s="2"/>
      <c r="D879" s="2"/>
      <c r="I879" s="2"/>
      <c r="J879" s="2"/>
      <c r="L879" s="2"/>
    </row>
    <row r="880" ht="15.75" customHeight="1">
      <c r="A880" s="2"/>
      <c r="B880" s="2"/>
      <c r="D880" s="2"/>
      <c r="I880" s="2"/>
      <c r="J880" s="2"/>
      <c r="L880" s="2"/>
    </row>
    <row r="881" ht="15.75" customHeight="1">
      <c r="A881" s="2"/>
      <c r="B881" s="2"/>
      <c r="D881" s="2"/>
      <c r="I881" s="2"/>
      <c r="J881" s="2"/>
      <c r="L881" s="2"/>
    </row>
    <row r="882" ht="15.75" customHeight="1">
      <c r="A882" s="2"/>
      <c r="B882" s="2"/>
      <c r="D882" s="2"/>
      <c r="I882" s="2"/>
      <c r="J882" s="2"/>
      <c r="L882" s="2"/>
    </row>
    <row r="883" ht="15.75" customHeight="1">
      <c r="A883" s="2"/>
      <c r="B883" s="2"/>
      <c r="D883" s="2"/>
      <c r="I883" s="2"/>
      <c r="J883" s="2"/>
      <c r="L883" s="2"/>
    </row>
    <row r="884" ht="15.75" customHeight="1">
      <c r="A884" s="2"/>
      <c r="B884" s="2"/>
      <c r="D884" s="2"/>
      <c r="I884" s="2"/>
      <c r="J884" s="2"/>
      <c r="L884" s="2"/>
    </row>
    <row r="885" ht="15.75" customHeight="1">
      <c r="A885" s="2"/>
      <c r="B885" s="2"/>
      <c r="D885" s="2"/>
      <c r="I885" s="2"/>
      <c r="J885" s="2"/>
      <c r="L885" s="2"/>
    </row>
    <row r="886" ht="15.75" customHeight="1">
      <c r="A886" s="2"/>
      <c r="B886" s="2"/>
      <c r="D886" s="2"/>
      <c r="I886" s="2"/>
      <c r="J886" s="2"/>
      <c r="L886" s="2"/>
    </row>
    <row r="887" ht="15.75" customHeight="1">
      <c r="A887" s="2"/>
      <c r="B887" s="2"/>
      <c r="D887" s="2"/>
      <c r="I887" s="2"/>
      <c r="J887" s="2"/>
      <c r="L887" s="2"/>
    </row>
    <row r="888" ht="15.75" customHeight="1">
      <c r="A888" s="2"/>
      <c r="B888" s="2"/>
      <c r="D888" s="2"/>
      <c r="I888" s="2"/>
      <c r="J888" s="2"/>
      <c r="L888" s="2"/>
    </row>
    <row r="889" ht="15.75" customHeight="1">
      <c r="A889" s="2"/>
      <c r="B889" s="2"/>
      <c r="D889" s="2"/>
      <c r="I889" s="2"/>
      <c r="J889" s="2"/>
      <c r="L889" s="2"/>
    </row>
    <row r="890" ht="15.75" customHeight="1">
      <c r="A890" s="2"/>
      <c r="B890" s="2"/>
      <c r="D890" s="2"/>
      <c r="I890" s="2"/>
      <c r="J890" s="2"/>
      <c r="L890" s="2"/>
    </row>
    <row r="891" ht="15.75" customHeight="1">
      <c r="A891" s="2"/>
      <c r="B891" s="2"/>
      <c r="D891" s="2"/>
      <c r="I891" s="2"/>
      <c r="J891" s="2"/>
      <c r="L891" s="2"/>
    </row>
    <row r="892" ht="15.75" customHeight="1">
      <c r="A892" s="2"/>
      <c r="B892" s="2"/>
      <c r="D892" s="2"/>
      <c r="I892" s="2"/>
      <c r="J892" s="2"/>
      <c r="L892" s="2"/>
    </row>
    <row r="893" ht="15.75" customHeight="1">
      <c r="A893" s="2"/>
      <c r="B893" s="2"/>
      <c r="D893" s="2"/>
      <c r="I893" s="2"/>
      <c r="J893" s="2"/>
      <c r="L893" s="2"/>
    </row>
    <row r="894" ht="15.75" customHeight="1">
      <c r="A894" s="2"/>
      <c r="B894" s="2"/>
      <c r="D894" s="2"/>
      <c r="I894" s="2"/>
      <c r="J894" s="2"/>
      <c r="L894" s="2"/>
    </row>
    <row r="895" ht="15.75" customHeight="1">
      <c r="A895" s="2"/>
      <c r="B895" s="2"/>
      <c r="D895" s="2"/>
      <c r="I895" s="2"/>
      <c r="J895" s="2"/>
      <c r="L895" s="2"/>
    </row>
    <row r="896" ht="15.75" customHeight="1">
      <c r="A896" s="2"/>
      <c r="B896" s="2"/>
      <c r="D896" s="2"/>
      <c r="I896" s="2"/>
      <c r="J896" s="2"/>
      <c r="L896" s="2"/>
    </row>
    <row r="897" ht="15.75" customHeight="1">
      <c r="A897" s="2"/>
      <c r="B897" s="2"/>
      <c r="D897" s="2"/>
      <c r="I897" s="2"/>
      <c r="J897" s="2"/>
      <c r="L897" s="2"/>
    </row>
    <row r="898" ht="15.75" customHeight="1">
      <c r="A898" s="2"/>
      <c r="B898" s="2"/>
      <c r="D898" s="2"/>
      <c r="I898" s="2"/>
      <c r="J898" s="2"/>
      <c r="L898" s="2"/>
    </row>
    <row r="899" ht="15.75" customHeight="1">
      <c r="A899" s="2"/>
      <c r="B899" s="2"/>
      <c r="D899" s="2"/>
      <c r="I899" s="2"/>
      <c r="J899" s="2"/>
      <c r="L899" s="2"/>
    </row>
    <row r="900" ht="15.75" customHeight="1">
      <c r="A900" s="2"/>
      <c r="B900" s="2"/>
      <c r="D900" s="2"/>
      <c r="I900" s="2"/>
      <c r="J900" s="2"/>
      <c r="L900" s="2"/>
    </row>
    <row r="901" ht="15.75" customHeight="1">
      <c r="A901" s="2"/>
      <c r="B901" s="2"/>
      <c r="D901" s="2"/>
      <c r="I901" s="2"/>
      <c r="J901" s="2"/>
      <c r="L901" s="2"/>
    </row>
    <row r="902" ht="15.75" customHeight="1">
      <c r="A902" s="2"/>
      <c r="B902" s="2"/>
      <c r="D902" s="2"/>
      <c r="I902" s="2"/>
      <c r="J902" s="2"/>
      <c r="L902" s="2"/>
    </row>
    <row r="903" ht="15.75" customHeight="1">
      <c r="A903" s="2"/>
      <c r="B903" s="2"/>
      <c r="D903" s="2"/>
      <c r="I903" s="2"/>
      <c r="J903" s="2"/>
      <c r="L903" s="2"/>
    </row>
    <row r="904" ht="15.75" customHeight="1">
      <c r="A904" s="2"/>
      <c r="B904" s="2"/>
      <c r="D904" s="2"/>
      <c r="I904" s="2"/>
      <c r="J904" s="2"/>
      <c r="L904" s="2"/>
    </row>
    <row r="905" ht="15.75" customHeight="1">
      <c r="A905" s="2"/>
      <c r="B905" s="2"/>
      <c r="D905" s="2"/>
      <c r="I905" s="2"/>
      <c r="J905" s="2"/>
      <c r="L905" s="2"/>
    </row>
    <row r="906" ht="15.75" customHeight="1">
      <c r="A906" s="2"/>
      <c r="B906" s="2"/>
      <c r="D906" s="2"/>
      <c r="I906" s="2"/>
      <c r="J906" s="2"/>
      <c r="L906" s="2"/>
    </row>
    <row r="907" ht="15.75" customHeight="1">
      <c r="A907" s="2"/>
      <c r="B907" s="2"/>
      <c r="D907" s="2"/>
      <c r="I907" s="2"/>
      <c r="J907" s="2"/>
      <c r="L907" s="2"/>
    </row>
    <row r="908" ht="15.75" customHeight="1">
      <c r="A908" s="2"/>
      <c r="B908" s="2"/>
      <c r="D908" s="2"/>
      <c r="I908" s="2"/>
      <c r="J908" s="2"/>
      <c r="L908" s="2"/>
    </row>
    <row r="909" ht="15.75" customHeight="1">
      <c r="A909" s="2"/>
      <c r="B909" s="2"/>
      <c r="D909" s="2"/>
      <c r="I909" s="2"/>
      <c r="J909" s="2"/>
      <c r="L909" s="2"/>
    </row>
    <row r="910" ht="15.75" customHeight="1">
      <c r="A910" s="2"/>
      <c r="B910" s="2"/>
      <c r="D910" s="2"/>
      <c r="I910" s="2"/>
      <c r="J910" s="2"/>
      <c r="L910" s="2"/>
    </row>
    <row r="911" ht="15.75" customHeight="1">
      <c r="A911" s="2"/>
      <c r="B911" s="2"/>
      <c r="D911" s="2"/>
      <c r="I911" s="2"/>
      <c r="J911" s="2"/>
      <c r="L911" s="2"/>
    </row>
    <row r="912" ht="15.75" customHeight="1">
      <c r="A912" s="2"/>
      <c r="B912" s="2"/>
      <c r="D912" s="2"/>
      <c r="I912" s="2"/>
      <c r="J912" s="2"/>
      <c r="L912" s="2"/>
    </row>
    <row r="913" ht="15.75" customHeight="1">
      <c r="A913" s="2"/>
      <c r="B913" s="2"/>
      <c r="D913" s="2"/>
      <c r="I913" s="2"/>
      <c r="J913" s="2"/>
      <c r="L913" s="2"/>
    </row>
    <row r="914" ht="15.75" customHeight="1">
      <c r="A914" s="2"/>
      <c r="B914" s="2"/>
      <c r="D914" s="2"/>
      <c r="I914" s="2"/>
      <c r="J914" s="2"/>
      <c r="L914" s="2"/>
    </row>
    <row r="915" ht="15.75" customHeight="1">
      <c r="A915" s="2"/>
      <c r="B915" s="2"/>
      <c r="D915" s="2"/>
      <c r="I915" s="2"/>
      <c r="J915" s="2"/>
      <c r="L915" s="2"/>
    </row>
    <row r="916" ht="15.75" customHeight="1">
      <c r="A916" s="2"/>
      <c r="B916" s="2"/>
      <c r="D916" s="2"/>
      <c r="I916" s="2"/>
      <c r="J916" s="2"/>
      <c r="L916" s="2"/>
    </row>
    <row r="917" ht="15.75" customHeight="1">
      <c r="A917" s="2"/>
      <c r="B917" s="2"/>
      <c r="D917" s="2"/>
      <c r="I917" s="2"/>
      <c r="J917" s="2"/>
      <c r="L917" s="2"/>
    </row>
    <row r="918" ht="15.75" customHeight="1">
      <c r="A918" s="2"/>
      <c r="B918" s="2"/>
      <c r="D918" s="2"/>
      <c r="I918" s="2"/>
      <c r="J918" s="2"/>
      <c r="L918" s="2"/>
    </row>
    <row r="919" ht="15.75" customHeight="1">
      <c r="A919" s="2"/>
      <c r="B919" s="2"/>
      <c r="D919" s="2"/>
      <c r="I919" s="2"/>
      <c r="J919" s="2"/>
      <c r="L919" s="2"/>
    </row>
    <row r="920" ht="15.75" customHeight="1">
      <c r="A920" s="2"/>
      <c r="B920" s="2"/>
      <c r="D920" s="2"/>
      <c r="I920" s="2"/>
      <c r="J920" s="2"/>
      <c r="L920" s="2"/>
    </row>
    <row r="921" ht="15.75" customHeight="1">
      <c r="A921" s="2"/>
      <c r="B921" s="2"/>
      <c r="D921" s="2"/>
      <c r="I921" s="2"/>
      <c r="J921" s="2"/>
      <c r="L921" s="2"/>
    </row>
    <row r="922" ht="15.75" customHeight="1">
      <c r="A922" s="2"/>
      <c r="B922" s="2"/>
      <c r="D922" s="2"/>
      <c r="I922" s="2"/>
      <c r="J922" s="2"/>
      <c r="L922" s="2"/>
    </row>
    <row r="923" ht="15.75" customHeight="1">
      <c r="A923" s="2"/>
      <c r="B923" s="2"/>
      <c r="D923" s="2"/>
      <c r="I923" s="2"/>
      <c r="J923" s="2"/>
      <c r="L923" s="2"/>
    </row>
    <row r="924" ht="15.75" customHeight="1">
      <c r="A924" s="2"/>
      <c r="B924" s="2"/>
      <c r="D924" s="2"/>
      <c r="I924" s="2"/>
      <c r="J924" s="2"/>
      <c r="L924" s="2"/>
    </row>
    <row r="925" ht="15.75" customHeight="1">
      <c r="A925" s="2"/>
      <c r="B925" s="2"/>
      <c r="D925" s="2"/>
      <c r="I925" s="2"/>
      <c r="J925" s="2"/>
      <c r="L925" s="2"/>
    </row>
    <row r="926" ht="15.75" customHeight="1">
      <c r="A926" s="2"/>
      <c r="B926" s="2"/>
      <c r="D926" s="2"/>
      <c r="I926" s="2"/>
      <c r="J926" s="2"/>
      <c r="L926" s="2"/>
    </row>
    <row r="927" ht="15.75" customHeight="1">
      <c r="A927" s="2"/>
      <c r="B927" s="2"/>
      <c r="D927" s="2"/>
      <c r="I927" s="2"/>
      <c r="J927" s="2"/>
      <c r="L927" s="2"/>
    </row>
    <row r="928" ht="15.75" customHeight="1">
      <c r="A928" s="2"/>
      <c r="B928" s="2"/>
      <c r="D928" s="2"/>
      <c r="I928" s="2"/>
      <c r="J928" s="2"/>
      <c r="L928" s="2"/>
    </row>
    <row r="929" ht="15.75" customHeight="1">
      <c r="A929" s="2"/>
      <c r="B929" s="2"/>
      <c r="D929" s="2"/>
      <c r="I929" s="2"/>
      <c r="J929" s="2"/>
      <c r="L929" s="2"/>
    </row>
    <row r="930" ht="15.75" customHeight="1">
      <c r="A930" s="2"/>
      <c r="B930" s="2"/>
      <c r="D930" s="2"/>
      <c r="I930" s="2"/>
      <c r="J930" s="2"/>
      <c r="L930" s="2"/>
    </row>
    <row r="931" ht="15.75" customHeight="1">
      <c r="A931" s="2"/>
      <c r="B931" s="2"/>
      <c r="D931" s="2"/>
      <c r="I931" s="2"/>
      <c r="J931" s="2"/>
      <c r="L931" s="2"/>
    </row>
    <row r="932" ht="15.75" customHeight="1">
      <c r="A932" s="2"/>
      <c r="B932" s="2"/>
      <c r="D932" s="2"/>
      <c r="I932" s="2"/>
      <c r="J932" s="2"/>
      <c r="L932" s="2"/>
    </row>
    <row r="933" ht="15.75" customHeight="1">
      <c r="A933" s="2"/>
      <c r="B933" s="2"/>
      <c r="D933" s="2"/>
      <c r="I933" s="2"/>
      <c r="J933" s="2"/>
      <c r="L933" s="2"/>
    </row>
    <row r="934" ht="15.75" customHeight="1">
      <c r="A934" s="2"/>
      <c r="B934" s="2"/>
      <c r="D934" s="2"/>
      <c r="I934" s="2"/>
      <c r="J934" s="2"/>
      <c r="L934" s="2"/>
    </row>
    <row r="935" ht="15.75" customHeight="1">
      <c r="A935" s="2"/>
      <c r="B935" s="2"/>
      <c r="D935" s="2"/>
      <c r="I935" s="2"/>
      <c r="J935" s="2"/>
      <c r="L935" s="2"/>
    </row>
    <row r="936" ht="15.75" customHeight="1">
      <c r="A936" s="2"/>
      <c r="B936" s="2"/>
      <c r="D936" s="2"/>
      <c r="I936" s="2"/>
      <c r="J936" s="2"/>
      <c r="L936" s="2"/>
    </row>
    <row r="937" ht="15.75" customHeight="1">
      <c r="A937" s="2"/>
      <c r="B937" s="2"/>
      <c r="D937" s="2"/>
      <c r="I937" s="2"/>
      <c r="J937" s="2"/>
      <c r="L937" s="2"/>
    </row>
    <row r="938" ht="15.75" customHeight="1">
      <c r="A938" s="2"/>
      <c r="B938" s="2"/>
      <c r="D938" s="2"/>
      <c r="I938" s="2"/>
      <c r="J938" s="2"/>
      <c r="L938" s="2"/>
    </row>
    <row r="939" ht="15.75" customHeight="1">
      <c r="A939" s="2"/>
      <c r="B939" s="2"/>
      <c r="D939" s="2"/>
      <c r="I939" s="2"/>
      <c r="J939" s="2"/>
      <c r="L939" s="2"/>
    </row>
    <row r="940" ht="15.75" customHeight="1">
      <c r="A940" s="2"/>
      <c r="B940" s="2"/>
      <c r="D940" s="2"/>
      <c r="I940" s="2"/>
      <c r="J940" s="2"/>
      <c r="L940" s="2"/>
    </row>
    <row r="941" ht="15.75" customHeight="1">
      <c r="A941" s="2"/>
      <c r="B941" s="2"/>
      <c r="D941" s="2"/>
      <c r="I941" s="2"/>
      <c r="J941" s="2"/>
      <c r="L941" s="2"/>
    </row>
    <row r="942" ht="15.75" customHeight="1">
      <c r="A942" s="2"/>
      <c r="B942" s="2"/>
      <c r="D942" s="2"/>
      <c r="I942" s="2"/>
      <c r="J942" s="2"/>
      <c r="L942" s="2"/>
    </row>
    <row r="943" ht="15.75" customHeight="1">
      <c r="A943" s="2"/>
      <c r="B943" s="2"/>
      <c r="D943" s="2"/>
      <c r="I943" s="2"/>
      <c r="J943" s="2"/>
      <c r="L943" s="2"/>
    </row>
    <row r="944" ht="15.75" customHeight="1">
      <c r="A944" s="2"/>
      <c r="B944" s="2"/>
      <c r="D944" s="2"/>
      <c r="I944" s="2"/>
      <c r="J944" s="2"/>
      <c r="L944" s="2"/>
    </row>
    <row r="945" ht="15.75" customHeight="1">
      <c r="A945" s="2"/>
      <c r="B945" s="2"/>
      <c r="D945" s="2"/>
      <c r="I945" s="2"/>
      <c r="J945" s="2"/>
      <c r="L945" s="2"/>
    </row>
    <row r="946" ht="15.75" customHeight="1">
      <c r="A946" s="2"/>
      <c r="B946" s="2"/>
      <c r="D946" s="2"/>
      <c r="I946" s="2"/>
      <c r="J946" s="2"/>
      <c r="L946" s="2"/>
    </row>
    <row r="947" ht="15.75" customHeight="1">
      <c r="A947" s="2"/>
      <c r="B947" s="2"/>
      <c r="D947" s="2"/>
      <c r="I947" s="2"/>
      <c r="J947" s="2"/>
      <c r="L947" s="2"/>
    </row>
    <row r="948" ht="15.75" customHeight="1">
      <c r="A948" s="2"/>
      <c r="B948" s="2"/>
      <c r="D948" s="2"/>
      <c r="I948" s="2"/>
      <c r="J948" s="2"/>
      <c r="L948" s="2"/>
    </row>
    <row r="949" ht="15.75" customHeight="1">
      <c r="A949" s="2"/>
      <c r="B949" s="2"/>
      <c r="D949" s="2"/>
      <c r="I949" s="2"/>
      <c r="J949" s="2"/>
      <c r="L949" s="2"/>
    </row>
    <row r="950" ht="15.75" customHeight="1">
      <c r="A950" s="2"/>
      <c r="B950" s="2"/>
      <c r="D950" s="2"/>
      <c r="I950" s="2"/>
      <c r="J950" s="2"/>
      <c r="L950" s="2"/>
    </row>
    <row r="951" ht="15.75" customHeight="1">
      <c r="A951" s="2"/>
      <c r="B951" s="2"/>
      <c r="D951" s="2"/>
      <c r="I951" s="2"/>
      <c r="J951" s="2"/>
      <c r="L951" s="2"/>
    </row>
    <row r="952" ht="15.75" customHeight="1">
      <c r="A952" s="2"/>
      <c r="B952" s="2"/>
      <c r="D952" s="2"/>
      <c r="I952" s="2"/>
      <c r="J952" s="2"/>
      <c r="L952" s="2"/>
    </row>
    <row r="953" ht="15.75" customHeight="1">
      <c r="A953" s="2"/>
      <c r="B953" s="2"/>
      <c r="D953" s="2"/>
      <c r="I953" s="2"/>
      <c r="J953" s="2"/>
      <c r="L953" s="2"/>
    </row>
    <row r="954" ht="15.75" customHeight="1">
      <c r="A954" s="2"/>
      <c r="B954" s="2"/>
      <c r="D954" s="2"/>
      <c r="I954" s="2"/>
      <c r="J954" s="2"/>
      <c r="L954" s="2"/>
    </row>
    <row r="955" ht="15.75" customHeight="1">
      <c r="A955" s="2"/>
      <c r="B955" s="2"/>
      <c r="D955" s="2"/>
      <c r="I955" s="2"/>
      <c r="J955" s="2"/>
      <c r="L955" s="2"/>
    </row>
    <row r="956" ht="15.75" customHeight="1">
      <c r="A956" s="2"/>
      <c r="B956" s="2"/>
      <c r="D956" s="2"/>
      <c r="I956" s="2"/>
      <c r="J956" s="2"/>
      <c r="L956" s="2"/>
    </row>
    <row r="957" ht="15.75" customHeight="1">
      <c r="A957" s="2"/>
      <c r="B957" s="2"/>
      <c r="D957" s="2"/>
      <c r="I957" s="2"/>
      <c r="J957" s="2"/>
      <c r="L957" s="2"/>
    </row>
    <row r="958" ht="15.75" customHeight="1">
      <c r="A958" s="2"/>
      <c r="B958" s="2"/>
      <c r="D958" s="2"/>
      <c r="I958" s="2"/>
      <c r="J958" s="2"/>
      <c r="L958" s="2"/>
    </row>
    <row r="959" ht="15.75" customHeight="1">
      <c r="A959" s="2"/>
      <c r="B959" s="2"/>
      <c r="D959" s="2"/>
      <c r="I959" s="2"/>
      <c r="J959" s="2"/>
      <c r="L959" s="2"/>
    </row>
    <row r="960" ht="15.75" customHeight="1">
      <c r="A960" s="2"/>
      <c r="B960" s="2"/>
      <c r="D960" s="2"/>
      <c r="I960" s="2"/>
      <c r="J960" s="2"/>
      <c r="L960" s="2"/>
    </row>
    <row r="961" ht="15.75" customHeight="1">
      <c r="A961" s="2"/>
      <c r="B961" s="2"/>
      <c r="D961" s="2"/>
      <c r="I961" s="2"/>
      <c r="J961" s="2"/>
      <c r="L961" s="2"/>
    </row>
    <row r="962" ht="15.75" customHeight="1">
      <c r="A962" s="2"/>
      <c r="B962" s="2"/>
      <c r="D962" s="2"/>
      <c r="I962" s="2"/>
      <c r="J962" s="2"/>
      <c r="L962" s="2"/>
    </row>
    <row r="963" ht="15.75" customHeight="1">
      <c r="A963" s="2"/>
      <c r="B963" s="2"/>
      <c r="D963" s="2"/>
      <c r="I963" s="2"/>
      <c r="J963" s="2"/>
      <c r="L963" s="2"/>
    </row>
    <row r="964" ht="15.75" customHeight="1">
      <c r="A964" s="2"/>
      <c r="B964" s="2"/>
      <c r="D964" s="2"/>
      <c r="I964" s="2"/>
      <c r="J964" s="2"/>
      <c r="L964" s="2"/>
    </row>
    <row r="965" ht="15.75" customHeight="1">
      <c r="A965" s="2"/>
      <c r="B965" s="2"/>
      <c r="D965" s="2"/>
      <c r="I965" s="2"/>
      <c r="J965" s="2"/>
      <c r="L965" s="2"/>
    </row>
    <row r="966" ht="15.75" customHeight="1">
      <c r="A966" s="2"/>
      <c r="B966" s="2"/>
      <c r="D966" s="2"/>
      <c r="I966" s="2"/>
      <c r="J966" s="2"/>
      <c r="L966" s="2"/>
    </row>
    <row r="967" ht="15.75" customHeight="1">
      <c r="A967" s="2"/>
      <c r="B967" s="2"/>
      <c r="D967" s="2"/>
      <c r="I967" s="2"/>
      <c r="J967" s="2"/>
      <c r="L967" s="2"/>
    </row>
    <row r="968" ht="15.75" customHeight="1">
      <c r="A968" s="2"/>
      <c r="B968" s="2"/>
      <c r="D968" s="2"/>
      <c r="I968" s="2"/>
      <c r="J968" s="2"/>
      <c r="L968" s="2"/>
    </row>
    <row r="969" ht="15.75" customHeight="1">
      <c r="A969" s="2"/>
      <c r="B969" s="2"/>
      <c r="D969" s="2"/>
      <c r="I969" s="2"/>
      <c r="J969" s="2"/>
      <c r="L969" s="2"/>
    </row>
    <row r="970" ht="15.75" customHeight="1">
      <c r="A970" s="2"/>
      <c r="B970" s="2"/>
      <c r="D970" s="2"/>
      <c r="I970" s="2"/>
      <c r="J970" s="2"/>
      <c r="L970" s="2"/>
    </row>
    <row r="971" ht="15.75" customHeight="1">
      <c r="A971" s="2"/>
      <c r="B971" s="2"/>
      <c r="D971" s="2"/>
      <c r="I971" s="2"/>
      <c r="J971" s="2"/>
      <c r="L971" s="2"/>
    </row>
    <row r="972" ht="15.75" customHeight="1">
      <c r="A972" s="2"/>
      <c r="B972" s="2"/>
      <c r="D972" s="2"/>
      <c r="I972" s="2"/>
      <c r="J972" s="2"/>
      <c r="L972" s="2"/>
    </row>
    <row r="973" ht="15.75" customHeight="1">
      <c r="A973" s="2"/>
      <c r="B973" s="2"/>
      <c r="D973" s="2"/>
      <c r="I973" s="2"/>
      <c r="J973" s="2"/>
      <c r="L973" s="2"/>
    </row>
    <row r="974" ht="15.75" customHeight="1">
      <c r="A974" s="2"/>
      <c r="B974" s="2"/>
      <c r="D974" s="2"/>
      <c r="I974" s="2"/>
      <c r="J974" s="2"/>
      <c r="L974" s="2"/>
    </row>
    <row r="975" ht="15.75" customHeight="1">
      <c r="A975" s="2"/>
      <c r="B975" s="2"/>
      <c r="D975" s="2"/>
      <c r="I975" s="2"/>
      <c r="J975" s="2"/>
      <c r="L975" s="2"/>
    </row>
    <row r="976" ht="15.75" customHeight="1">
      <c r="A976" s="2"/>
      <c r="B976" s="2"/>
      <c r="D976" s="2"/>
      <c r="I976" s="2"/>
      <c r="J976" s="2"/>
      <c r="L976" s="2"/>
    </row>
    <row r="977" ht="15.75" customHeight="1">
      <c r="A977" s="2"/>
      <c r="B977" s="2"/>
      <c r="D977" s="2"/>
      <c r="I977" s="2"/>
      <c r="J977" s="2"/>
      <c r="L977" s="2"/>
    </row>
    <row r="978" ht="15.75" customHeight="1">
      <c r="A978" s="2"/>
      <c r="B978" s="2"/>
      <c r="D978" s="2"/>
      <c r="I978" s="2"/>
      <c r="J978" s="2"/>
      <c r="L978" s="2"/>
    </row>
    <row r="979" ht="15.75" customHeight="1">
      <c r="A979" s="2"/>
      <c r="B979" s="2"/>
      <c r="D979" s="2"/>
      <c r="I979" s="2"/>
      <c r="J979" s="2"/>
      <c r="L979" s="2"/>
    </row>
    <row r="980" ht="15.75" customHeight="1">
      <c r="A980" s="2"/>
      <c r="B980" s="2"/>
      <c r="D980" s="2"/>
      <c r="I980" s="2"/>
      <c r="J980" s="2"/>
      <c r="L980" s="2"/>
    </row>
    <row r="981" ht="15.75" customHeight="1">
      <c r="A981" s="2"/>
      <c r="B981" s="2"/>
      <c r="D981" s="2"/>
      <c r="I981" s="2"/>
      <c r="J981" s="2"/>
      <c r="L981" s="2"/>
    </row>
    <row r="982" ht="15.75" customHeight="1">
      <c r="A982" s="2"/>
      <c r="B982" s="2"/>
      <c r="D982" s="2"/>
      <c r="I982" s="2"/>
      <c r="J982" s="2"/>
      <c r="L982" s="2"/>
    </row>
    <row r="983" ht="15.75" customHeight="1">
      <c r="A983" s="2"/>
      <c r="B983" s="2"/>
      <c r="D983" s="2"/>
      <c r="I983" s="2"/>
      <c r="J983" s="2"/>
      <c r="L983" s="2"/>
    </row>
    <row r="984" ht="15.75" customHeight="1">
      <c r="A984" s="2"/>
      <c r="B984" s="2"/>
      <c r="D984" s="2"/>
      <c r="I984" s="2"/>
      <c r="J984" s="2"/>
      <c r="L984" s="2"/>
    </row>
    <row r="985" ht="15.75" customHeight="1">
      <c r="A985" s="2"/>
      <c r="B985" s="2"/>
      <c r="D985" s="2"/>
      <c r="I985" s="2"/>
      <c r="J985" s="2"/>
      <c r="L985" s="2"/>
    </row>
    <row r="986" ht="15.75" customHeight="1">
      <c r="A986" s="2"/>
      <c r="B986" s="2"/>
      <c r="D986" s="2"/>
      <c r="I986" s="2"/>
      <c r="J986" s="2"/>
      <c r="L986" s="2"/>
    </row>
    <row r="987" ht="15.75" customHeight="1">
      <c r="A987" s="2"/>
      <c r="B987" s="2"/>
      <c r="D987" s="2"/>
      <c r="I987" s="2"/>
      <c r="J987" s="2"/>
      <c r="L987" s="2"/>
    </row>
    <row r="988" ht="15.75" customHeight="1">
      <c r="A988" s="2"/>
      <c r="B988" s="2"/>
      <c r="D988" s="2"/>
      <c r="I988" s="2"/>
      <c r="J988" s="2"/>
      <c r="L988" s="2"/>
    </row>
    <row r="989" ht="15.75" customHeight="1">
      <c r="A989" s="2"/>
      <c r="B989" s="2"/>
      <c r="D989" s="2"/>
      <c r="I989" s="2"/>
      <c r="J989" s="2"/>
      <c r="L989" s="2"/>
    </row>
    <row r="990" ht="15.75" customHeight="1">
      <c r="A990" s="2"/>
      <c r="B990" s="2"/>
      <c r="D990" s="2"/>
      <c r="I990" s="2"/>
      <c r="J990" s="2"/>
      <c r="L990" s="2"/>
    </row>
    <row r="991" ht="15.75" customHeight="1">
      <c r="A991" s="2"/>
      <c r="B991" s="2"/>
      <c r="D991" s="2"/>
      <c r="I991" s="2"/>
      <c r="J991" s="2"/>
      <c r="L991" s="2"/>
    </row>
    <row r="992" ht="15.75" customHeight="1">
      <c r="A992" s="2"/>
      <c r="B992" s="2"/>
      <c r="D992" s="2"/>
      <c r="I992" s="2"/>
      <c r="J992" s="2"/>
      <c r="L992" s="2"/>
    </row>
    <row r="993" ht="15.75" customHeight="1">
      <c r="A993" s="2"/>
      <c r="B993" s="2"/>
      <c r="D993" s="2"/>
      <c r="I993" s="2"/>
      <c r="J993" s="2"/>
      <c r="L993" s="2"/>
    </row>
    <row r="994" ht="15.75" customHeight="1">
      <c r="A994" s="2"/>
      <c r="B994" s="2"/>
      <c r="D994" s="2"/>
      <c r="I994" s="2"/>
      <c r="J994" s="2"/>
      <c r="L994" s="2"/>
    </row>
    <row r="995" ht="15.75" customHeight="1">
      <c r="A995" s="2"/>
      <c r="B995" s="2"/>
      <c r="D995" s="2"/>
      <c r="I995" s="2"/>
      <c r="J995" s="2"/>
      <c r="L995" s="2"/>
    </row>
    <row r="996" ht="15.75" customHeight="1">
      <c r="A996" s="2"/>
      <c r="B996" s="2"/>
      <c r="D996" s="2"/>
      <c r="I996" s="2"/>
      <c r="J996" s="2"/>
      <c r="L996" s="2"/>
    </row>
    <row r="997" ht="15.75" customHeight="1">
      <c r="A997" s="2"/>
      <c r="B997" s="2"/>
      <c r="D997" s="2"/>
      <c r="I997" s="2"/>
      <c r="J997" s="2"/>
      <c r="L997" s="2"/>
    </row>
    <row r="998" ht="15.75" customHeight="1">
      <c r="A998" s="2"/>
      <c r="B998" s="2"/>
      <c r="D998" s="2"/>
      <c r="I998" s="2"/>
      <c r="J998" s="2"/>
      <c r="L998" s="2"/>
    </row>
    <row r="999" ht="15.75" customHeight="1">
      <c r="A999" s="2"/>
      <c r="B999" s="2"/>
      <c r="D999" s="2"/>
      <c r="I999" s="2"/>
      <c r="J999" s="2"/>
      <c r="L999" s="2"/>
    </row>
    <row r="1000" ht="15.75" customHeight="1">
      <c r="A1000" s="2"/>
      <c r="B1000" s="2"/>
      <c r="D1000" s="2"/>
      <c r="I1000" s="2"/>
      <c r="J1000" s="2"/>
      <c r="L1000" s="2"/>
    </row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26" width="8.71"/>
  </cols>
  <sheetData>
    <row r="1" ht="17.25" customHeight="1">
      <c r="A1" s="7" t="s">
        <v>255</v>
      </c>
      <c r="C1" s="2"/>
      <c r="D1" s="2"/>
      <c r="F1" s="2"/>
      <c r="H1" s="2"/>
      <c r="I1" s="2"/>
      <c r="J1" s="2"/>
      <c r="M1" s="2"/>
    </row>
    <row r="2" ht="39.75" customHeight="1">
      <c r="A2" s="10" t="s">
        <v>256</v>
      </c>
      <c r="C2" s="2"/>
      <c r="D2" s="2"/>
      <c r="F2" s="2"/>
      <c r="H2" s="2"/>
      <c r="I2" s="2"/>
      <c r="J2" s="2"/>
      <c r="M2" s="2"/>
    </row>
    <row r="3">
      <c r="A3" s="2"/>
      <c r="C3" s="2"/>
      <c r="D3" s="2"/>
      <c r="F3" s="2"/>
      <c r="H3" s="2"/>
      <c r="I3" s="2"/>
      <c r="J3" s="2"/>
      <c r="M3" s="2"/>
    </row>
    <row r="4" ht="32.25" customHeight="1">
      <c r="A4" s="5" t="s">
        <v>154</v>
      </c>
      <c r="B4" s="5" t="s">
        <v>257</v>
      </c>
      <c r="C4" s="5" t="s">
        <v>258</v>
      </c>
      <c r="D4" s="5" t="s">
        <v>259</v>
      </c>
      <c r="E4" s="5" t="s">
        <v>260</v>
      </c>
      <c r="F4" s="5" t="s">
        <v>261</v>
      </c>
      <c r="G4" s="5" t="s">
        <v>262</v>
      </c>
      <c r="H4" s="5" t="s">
        <v>263</v>
      </c>
      <c r="I4" s="5" t="s">
        <v>264</v>
      </c>
      <c r="J4" s="5" t="s">
        <v>265</v>
      </c>
      <c r="K4" s="5" t="s">
        <v>68</v>
      </c>
      <c r="L4" s="5" t="s">
        <v>266</v>
      </c>
      <c r="M4" s="5" t="s">
        <v>167</v>
      </c>
      <c r="N4" s="5" t="s">
        <v>267</v>
      </c>
      <c r="O4" s="5" t="s">
        <v>268</v>
      </c>
      <c r="P4" s="5" t="s">
        <v>269</v>
      </c>
      <c r="Q4" s="5" t="s">
        <v>270</v>
      </c>
    </row>
    <row r="5" ht="15.0" customHeight="1">
      <c r="A5" s="2" t="s">
        <v>178</v>
      </c>
      <c r="B5" s="2">
        <f t="array" ref="B5">INDEX(CalcGP,MATCH($A5,CalcTeams,0))</f>
        <v>0</v>
      </c>
      <c r="C5" s="2" t="str">
        <f t="array" ref="C5">IF(AND(WEpa&gt;0,INDEX(CalcEpaGP,MATCH($A5,CalcTeams,0))&gt;=MinGamesEnh),"ENHANCED","BASIC")</f>
        <v>BASIC</v>
      </c>
      <c r="D5" s="2">
        <f t="array" ref="D5">IFERROR(ROUND(INDEX(CalcGoverned,MATCH($A5,CalcTeams,0)),2),"")</f>
        <v>0</v>
      </c>
      <c r="E5" s="2" t="str">
        <f t="array" ref="E5">IFERROR(INDEX(CalcMoveFlag,MATCH($A5,CalcTeams,0)),"")</f>
        <v/>
      </c>
      <c r="F5" s="2">
        <f t="array" ref="F5">IFERROR(INDEX(PriorEff,MATCH(CurrentSeason&amp;"|"&amp;$A5,PriorKey,0)),"")</f>
        <v>-2.59</v>
      </c>
      <c r="G5" s="2">
        <f t="array" ref="G5">IF($F5="",0,INDEX(BlendWts,MATCH(MIN(CurrentWeek,18),BlendWeeks,0)))</f>
        <v>0.8</v>
      </c>
      <c r="H5" s="2">
        <f t="shared" ref="H5:H36" si="1">IF(AND($D5="",$F5=""),"",IF($D5="",$F5,ROUND($G5*IF($F5="",0,$F5)+(1-$G5)*$D5,2)))</f>
        <v>-2.07</v>
      </c>
      <c r="I5" s="11"/>
      <c r="J5" s="2">
        <f t="shared" ref="J5:J36" si="2">IF($I5&lt;&gt;"",$I5,$H5)</f>
        <v>-2.07</v>
      </c>
      <c r="K5" s="2">
        <f t="shared" ref="K5:K36" si="3">IF($J5="","",RANK($J5,$J$5:$J$36,0))</f>
        <v>26</v>
      </c>
      <c r="L5" s="2" t="str">
        <f>IF($B5&lt;MinGamesTrust,"LOW SAMPLE","")</f>
        <v>LOW SAMPLE</v>
      </c>
      <c r="M5" s="2" t="str">
        <f t="array" ref="M5">INDEX(QBActive,MATCH($A5,QBTeams,0))</f>
        <v>Jacoby Brissett</v>
      </c>
      <c r="N5" s="2">
        <f t="array" ref="N5">IFERROR(ROUND(INDEX(CalcOffAdj,MATCH($A5,CalcTeams,0)),4),"")</f>
        <v>0</v>
      </c>
      <c r="O5" s="2">
        <f t="array" ref="O5">IFERROR(ROUND(INDEX(CalcDefAdj,MATCH($A5,CalcTeams,0)),4),"")</f>
        <v>0</v>
      </c>
      <c r="P5" s="2">
        <f t="array" ref="P5">IFERROR(ROUND(INDEX(CalcOffPl,MATCH($A5,CalcTeams,0)),1),"")</f>
        <v>0</v>
      </c>
      <c r="Q5" s="2">
        <f t="array" ref="Q5">IFERROR(ROUND(INDEX(CalcDefPl,MATCH($A5,CalcTeams,0)),1),"")</f>
        <v>0</v>
      </c>
    </row>
    <row r="6" ht="15.0" customHeight="1">
      <c r="A6" s="2" t="s">
        <v>132</v>
      </c>
      <c r="B6" s="2">
        <f t="array" ref="B6">INDEX(CalcGP,MATCH($A6,CalcTeams,0))</f>
        <v>0</v>
      </c>
      <c r="C6" s="2" t="str">
        <f t="array" ref="C6">IF(AND(WEpa&gt;0,INDEX(CalcEpaGP,MATCH($A6,CalcTeams,0))&gt;=MinGamesEnh),"ENHANCED","BASIC")</f>
        <v>BASIC</v>
      </c>
      <c r="D6" s="2">
        <f t="array" ref="D6">IFERROR(ROUND(INDEX(CalcGoverned,MATCH($A6,CalcTeams,0)),2),"")</f>
        <v>0</v>
      </c>
      <c r="E6" s="2" t="str">
        <f t="array" ref="E6">IFERROR(INDEX(CalcMoveFlag,MATCH($A6,CalcTeams,0)),"")</f>
        <v/>
      </c>
      <c r="F6" s="2">
        <f t="array" ref="F6">IFERROR(INDEX(PriorEff,MATCH(CurrentSeason&amp;"|"&amp;$A6,PriorKey,0)),"")</f>
        <v>-0.08</v>
      </c>
      <c r="G6" s="2">
        <f t="array" ref="G6">IF($F6="",0,INDEX(BlendWts,MATCH(MIN(CurrentWeek,18),BlendWeeks,0)))</f>
        <v>0.8</v>
      </c>
      <c r="H6" s="2">
        <f t="shared" si="1"/>
        <v>-0.06</v>
      </c>
      <c r="I6" s="11"/>
      <c r="J6" s="2">
        <f t="shared" si="2"/>
        <v>-0.06</v>
      </c>
      <c r="K6" s="2">
        <f t="shared" si="3"/>
        <v>19</v>
      </c>
      <c r="L6" s="2" t="str">
        <f>IF($B6&lt;MinGamesTrust,"LOW SAMPLE","")</f>
        <v>LOW SAMPLE</v>
      </c>
      <c r="M6" s="2" t="str">
        <f t="array" ref="M6">INDEX(QBActive,MATCH($A6,QBTeams,0))</f>
        <v>Tua Tagovailoa</v>
      </c>
      <c r="N6" s="2">
        <f t="array" ref="N6">IFERROR(ROUND(INDEX(CalcOffAdj,MATCH($A6,CalcTeams,0)),4),"")</f>
        <v>0</v>
      </c>
      <c r="O6" s="2">
        <f t="array" ref="O6">IFERROR(ROUND(INDEX(CalcDefAdj,MATCH($A6,CalcTeams,0)),4),"")</f>
        <v>0</v>
      </c>
      <c r="P6" s="2">
        <f t="array" ref="P6">IFERROR(ROUND(INDEX(CalcOffPl,MATCH($A6,CalcTeams,0)),1),"")</f>
        <v>0</v>
      </c>
      <c r="Q6" s="2">
        <f t="array" ref="Q6">IFERROR(ROUND(INDEX(CalcDefPl,MATCH($A6,CalcTeams,0)),1),"")</f>
        <v>0</v>
      </c>
    </row>
    <row r="7" ht="15.0" customHeight="1">
      <c r="A7" s="2" t="s">
        <v>148</v>
      </c>
      <c r="B7" s="2">
        <f t="array" ref="B7">INDEX(CalcGP,MATCH($A7,CalcTeams,0))</f>
        <v>0</v>
      </c>
      <c r="C7" s="2" t="str">
        <f t="array" ref="C7">IF(AND(WEpa&gt;0,INDEX(CalcEpaGP,MATCH($A7,CalcTeams,0))&gt;=MinGamesEnh),"ENHANCED","BASIC")</f>
        <v>BASIC</v>
      </c>
      <c r="D7" s="2">
        <f t="array" ref="D7">IFERROR(ROUND(INDEX(CalcGoverned,MATCH($A7,CalcTeams,0)),2),"")</f>
        <v>0</v>
      </c>
      <c r="E7" s="2" t="str">
        <f t="array" ref="E7">IFERROR(INDEX(CalcMoveFlag,MATCH($A7,CalcTeams,0)),"")</f>
        <v/>
      </c>
      <c r="F7" s="2">
        <f t="array" ref="F7">IFERROR(INDEX(PriorEff,MATCH(CurrentSeason&amp;"|"&amp;$A7,PriorKey,0)),"")</f>
        <v>1.15</v>
      </c>
      <c r="G7" s="2">
        <f t="array" ref="G7">IF($F7="",0,INDEX(BlendWts,MATCH(MIN(CurrentWeek,18),BlendWeeks,0)))</f>
        <v>0.8</v>
      </c>
      <c r="H7" s="2">
        <f t="shared" si="1"/>
        <v>0.92</v>
      </c>
      <c r="I7" s="11"/>
      <c r="J7" s="2">
        <f t="shared" si="2"/>
        <v>0.92</v>
      </c>
      <c r="K7" s="2">
        <f t="shared" si="3"/>
        <v>10</v>
      </c>
      <c r="L7" s="2" t="str">
        <f>IF($B7&lt;MinGamesTrust,"LOW SAMPLE","")</f>
        <v>LOW SAMPLE</v>
      </c>
      <c r="M7" s="2" t="str">
        <f t="array" ref="M7">INDEX(QBActive,MATCH($A7,QBTeams,0))</f>
        <v>Lamar Jackson</v>
      </c>
      <c r="N7" s="2">
        <f t="array" ref="N7">IFERROR(ROUND(INDEX(CalcOffAdj,MATCH($A7,CalcTeams,0)),4),"")</f>
        <v>0</v>
      </c>
      <c r="O7" s="2">
        <f t="array" ref="O7">IFERROR(ROUND(INDEX(CalcDefAdj,MATCH($A7,CalcTeams,0)),4),"")</f>
        <v>0</v>
      </c>
      <c r="P7" s="2">
        <f t="array" ref="P7">IFERROR(ROUND(INDEX(CalcOffPl,MATCH($A7,CalcTeams,0)),1),"")</f>
        <v>0</v>
      </c>
      <c r="Q7" s="2">
        <f t="array" ref="Q7">IFERROR(ROUND(INDEX(CalcDefPl,MATCH($A7,CalcTeams,0)),1),"")</f>
        <v>0</v>
      </c>
    </row>
    <row r="8" ht="15.0" customHeight="1">
      <c r="A8" s="2" t="s">
        <v>136</v>
      </c>
      <c r="B8" s="2">
        <f t="array" ref="B8">INDEX(CalcGP,MATCH($A8,CalcTeams,0))</f>
        <v>0</v>
      </c>
      <c r="C8" s="2" t="str">
        <f t="array" ref="C8">IF(AND(WEpa&gt;0,INDEX(CalcEpaGP,MATCH($A8,CalcTeams,0))&gt;=MinGamesEnh),"ENHANCED","BASIC")</f>
        <v>BASIC</v>
      </c>
      <c r="D8" s="2">
        <f t="array" ref="D8">IFERROR(ROUND(INDEX(CalcGoverned,MATCH($A8,CalcTeams,0)),2),"")</f>
        <v>0</v>
      </c>
      <c r="E8" s="2" t="str">
        <f t="array" ref="E8">IFERROR(INDEX(CalcMoveFlag,MATCH($A8,CalcTeams,0)),"")</f>
        <v/>
      </c>
      <c r="F8" s="2">
        <f t="array" ref="F8">IFERROR(INDEX(PriorEff,MATCH(CurrentSeason&amp;"|"&amp;$A8,PriorKey,0)),"")</f>
        <v>2.19</v>
      </c>
      <c r="G8" s="2">
        <f t="array" ref="G8">IF($F8="",0,INDEX(BlendWts,MATCH(MIN(CurrentWeek,18),BlendWeeks,0)))</f>
        <v>0.8</v>
      </c>
      <c r="H8" s="2">
        <f t="shared" si="1"/>
        <v>1.75</v>
      </c>
      <c r="I8" s="11"/>
      <c r="J8" s="2">
        <f t="shared" si="2"/>
        <v>1.75</v>
      </c>
      <c r="K8" s="2">
        <f t="shared" si="3"/>
        <v>8</v>
      </c>
      <c r="L8" s="2" t="str">
        <f>IF($B8&lt;MinGamesTrust,"LOW SAMPLE","")</f>
        <v>LOW SAMPLE</v>
      </c>
      <c r="M8" s="2" t="str">
        <f t="array" ref="M8">INDEX(QBActive,MATCH($A8,QBTeams,0))</f>
        <v>Josh Allen</v>
      </c>
      <c r="N8" s="2">
        <f t="array" ref="N8">IFERROR(ROUND(INDEX(CalcOffAdj,MATCH($A8,CalcTeams,0)),4),"")</f>
        <v>0</v>
      </c>
      <c r="O8" s="2">
        <f t="array" ref="O8">IFERROR(ROUND(INDEX(CalcDefAdj,MATCH($A8,CalcTeams,0)),4),"")</f>
        <v>0</v>
      </c>
      <c r="P8" s="2">
        <f t="array" ref="P8">IFERROR(ROUND(INDEX(CalcOffPl,MATCH($A8,CalcTeams,0)),1),"")</f>
        <v>0</v>
      </c>
      <c r="Q8" s="2">
        <f t="array" ref="Q8">IFERROR(ROUND(INDEX(CalcDefPl,MATCH($A8,CalcTeams,0)),1),"")</f>
        <v>0</v>
      </c>
    </row>
    <row r="9" ht="15.0" customHeight="1">
      <c r="A9" s="2" t="s">
        <v>189</v>
      </c>
      <c r="B9" s="2">
        <f t="array" ref="B9">INDEX(CalcGP,MATCH($A9,CalcTeams,0))</f>
        <v>0</v>
      </c>
      <c r="C9" s="2" t="str">
        <f t="array" ref="C9">IF(AND(WEpa&gt;0,INDEX(CalcEpaGP,MATCH($A9,CalcTeams,0))&gt;=MinGamesEnh),"ENHANCED","BASIC")</f>
        <v>BASIC</v>
      </c>
      <c r="D9" s="2">
        <f t="array" ref="D9">IFERROR(ROUND(INDEX(CalcGoverned,MATCH($A9,CalcTeams,0)),2),"")</f>
        <v>0</v>
      </c>
      <c r="E9" s="2" t="str">
        <f t="array" ref="E9">IFERROR(INDEX(CalcMoveFlag,MATCH($A9,CalcTeams,0)),"")</f>
        <v/>
      </c>
      <c r="F9" s="2">
        <f t="array" ref="F9">IFERROR(INDEX(PriorEff,MATCH(CurrentSeason&amp;"|"&amp;$A9,PriorKey,0)),"")</f>
        <v>-1.62</v>
      </c>
      <c r="G9" s="2">
        <f t="array" ref="G9">IF($F9="",0,INDEX(BlendWts,MATCH(MIN(CurrentWeek,18),BlendWeeks,0)))</f>
        <v>0.8</v>
      </c>
      <c r="H9" s="2">
        <f t="shared" si="1"/>
        <v>-1.3</v>
      </c>
      <c r="I9" s="11"/>
      <c r="J9" s="2">
        <f t="shared" si="2"/>
        <v>-1.3</v>
      </c>
      <c r="K9" s="2">
        <f t="shared" si="3"/>
        <v>22</v>
      </c>
      <c r="L9" s="2" t="str">
        <f>IF($B9&lt;MinGamesTrust,"LOW SAMPLE","")</f>
        <v>LOW SAMPLE</v>
      </c>
      <c r="M9" s="2" t="str">
        <f t="array" ref="M9">INDEX(QBActive,MATCH($A9,QBTeams,0))</f>
        <v>Bryce Young</v>
      </c>
      <c r="N9" s="2">
        <f t="array" ref="N9">IFERROR(ROUND(INDEX(CalcOffAdj,MATCH($A9,CalcTeams,0)),4),"")</f>
        <v>0</v>
      </c>
      <c r="O9" s="2">
        <f t="array" ref="O9">IFERROR(ROUND(INDEX(CalcDefAdj,MATCH($A9,CalcTeams,0)),4),"")</f>
        <v>0</v>
      </c>
      <c r="P9" s="2">
        <f t="array" ref="P9">IFERROR(ROUND(INDEX(CalcOffPl,MATCH($A9,CalcTeams,0)),1),"")</f>
        <v>0</v>
      </c>
      <c r="Q9" s="2">
        <f t="array" ref="Q9">IFERROR(ROUND(INDEX(CalcDefPl,MATCH($A9,CalcTeams,0)),1),"")</f>
        <v>0</v>
      </c>
    </row>
    <row r="10" ht="15.0" customHeight="1">
      <c r="A10" s="2" t="s">
        <v>137</v>
      </c>
      <c r="B10" s="2">
        <f t="array" ref="B10">INDEX(CalcGP,MATCH($A10,CalcTeams,0))</f>
        <v>0</v>
      </c>
      <c r="C10" s="2" t="str">
        <f t="array" ref="C10">IF(AND(WEpa&gt;0,INDEX(CalcEpaGP,MATCH($A10,CalcTeams,0))&gt;=MinGamesEnh),"ENHANCED","BASIC")</f>
        <v>BASIC</v>
      </c>
      <c r="D10" s="2">
        <f t="array" ref="D10">IFERROR(ROUND(INDEX(CalcGoverned,MATCH($A10,CalcTeams,0)),2),"")</f>
        <v>0</v>
      </c>
      <c r="E10" s="2" t="str">
        <f t="array" ref="E10">IFERROR(INDEX(CalcMoveFlag,MATCH($A10,CalcTeams,0)),"")</f>
        <v/>
      </c>
      <c r="F10" s="2">
        <f t="array" ref="F10">IFERROR(INDEX(PriorEff,MATCH(CurrentSeason&amp;"|"&amp;$A10,PriorKey,0)),"")</f>
        <v>1.07</v>
      </c>
      <c r="G10" s="2">
        <f t="array" ref="G10">IF($F10="",0,INDEX(BlendWts,MATCH(MIN(CurrentWeek,18),BlendWeeks,0)))</f>
        <v>0.8</v>
      </c>
      <c r="H10" s="2">
        <f t="shared" si="1"/>
        <v>0.86</v>
      </c>
      <c r="I10" s="11"/>
      <c r="J10" s="2">
        <f t="shared" si="2"/>
        <v>0.86</v>
      </c>
      <c r="K10" s="2">
        <f t="shared" si="3"/>
        <v>11</v>
      </c>
      <c r="L10" s="2" t="str">
        <f>IF($B10&lt;MinGamesTrust,"LOW SAMPLE","")</f>
        <v>LOW SAMPLE</v>
      </c>
      <c r="M10" s="2" t="str">
        <f t="array" ref="M10">INDEX(QBActive,MATCH($A10,QBTeams,0))</f>
        <v>Caleb Williams</v>
      </c>
      <c r="N10" s="2">
        <f t="array" ref="N10">IFERROR(ROUND(INDEX(CalcOffAdj,MATCH($A10,CalcTeams,0)),4),"")</f>
        <v>0</v>
      </c>
      <c r="O10" s="2">
        <f t="array" ref="O10">IFERROR(ROUND(INDEX(CalcDefAdj,MATCH($A10,CalcTeams,0)),4),"")</f>
        <v>0</v>
      </c>
      <c r="P10" s="2">
        <f t="array" ref="P10">IFERROR(ROUND(INDEX(CalcOffPl,MATCH($A10,CalcTeams,0)),1),"")</f>
        <v>0</v>
      </c>
      <c r="Q10" s="2">
        <f t="array" ref="Q10">IFERROR(ROUND(INDEX(CalcDefPl,MATCH($A10,CalcTeams,0)),1),"")</f>
        <v>0</v>
      </c>
    </row>
    <row r="11" ht="15.0" customHeight="1">
      <c r="A11" s="2" t="s">
        <v>138</v>
      </c>
      <c r="B11" s="2">
        <f t="array" ref="B11">INDEX(CalcGP,MATCH($A11,CalcTeams,0))</f>
        <v>0</v>
      </c>
      <c r="C11" s="2" t="str">
        <f t="array" ref="C11">IF(AND(WEpa&gt;0,INDEX(CalcEpaGP,MATCH($A11,CalcTeams,0))&gt;=MinGamesEnh),"ENHANCED","BASIC")</f>
        <v>BASIC</v>
      </c>
      <c r="D11" s="2">
        <f t="array" ref="D11">IFERROR(ROUND(INDEX(CalcGoverned,MATCH($A11,CalcTeams,0)),2),"")</f>
        <v>0</v>
      </c>
      <c r="E11" s="2" t="str">
        <f t="array" ref="E11">IFERROR(INDEX(CalcMoveFlag,MATCH($A11,CalcTeams,0)),"")</f>
        <v/>
      </c>
      <c r="F11" s="2">
        <f t="array" ref="F11">IFERROR(INDEX(PriorEff,MATCH(CurrentSeason&amp;"|"&amp;$A11,PriorKey,0)),"")</f>
        <v>-1.91</v>
      </c>
      <c r="G11" s="2">
        <f t="array" ref="G11">IF($F11="",0,INDEX(BlendWts,MATCH(MIN(CurrentWeek,18),BlendWeeks,0)))</f>
        <v>0.8</v>
      </c>
      <c r="H11" s="2">
        <f t="shared" si="1"/>
        <v>-1.53</v>
      </c>
      <c r="I11" s="11"/>
      <c r="J11" s="2">
        <f t="shared" si="2"/>
        <v>-1.53</v>
      </c>
      <c r="K11" s="2">
        <f t="shared" si="3"/>
        <v>23</v>
      </c>
      <c r="L11" s="2" t="str">
        <f>IF($B11&lt;MinGamesTrust,"LOW SAMPLE","")</f>
        <v>LOW SAMPLE</v>
      </c>
      <c r="M11" s="2" t="str">
        <f t="array" ref="M11">INDEX(QBActive,MATCH($A11,QBTeams,0))</f>
        <v>Joe Burrow</v>
      </c>
      <c r="N11" s="2">
        <f t="array" ref="N11">IFERROR(ROUND(INDEX(CalcOffAdj,MATCH($A11,CalcTeams,0)),4),"")</f>
        <v>0</v>
      </c>
      <c r="O11" s="2">
        <f t="array" ref="O11">IFERROR(ROUND(INDEX(CalcDefAdj,MATCH($A11,CalcTeams,0)),4),"")</f>
        <v>0</v>
      </c>
      <c r="P11" s="2">
        <f t="array" ref="P11">IFERROR(ROUND(INDEX(CalcOffPl,MATCH($A11,CalcTeams,0)),1),"")</f>
        <v>0</v>
      </c>
      <c r="Q11" s="2">
        <f t="array" ref="Q11">IFERROR(ROUND(INDEX(CalcDefPl,MATCH($A11,CalcTeams,0)),1),"")</f>
        <v>0</v>
      </c>
    </row>
    <row r="12" ht="15.0" customHeight="1">
      <c r="A12" s="2" t="s">
        <v>196</v>
      </c>
      <c r="B12" s="2">
        <f t="array" ref="B12">INDEX(CalcGP,MATCH($A12,CalcTeams,0))</f>
        <v>0</v>
      </c>
      <c r="C12" s="2" t="str">
        <f t="array" ref="C12">IF(AND(WEpa&gt;0,INDEX(CalcEpaGP,MATCH($A12,CalcTeams,0))&gt;=MinGamesEnh),"ENHANCED","BASIC")</f>
        <v>BASIC</v>
      </c>
      <c r="D12" s="2">
        <f t="array" ref="D12">IFERROR(ROUND(INDEX(CalcGoverned,MATCH($A12,CalcTeams,0)),2),"")</f>
        <v>0</v>
      </c>
      <c r="E12" s="2" t="str">
        <f t="array" ref="E12">IFERROR(INDEX(CalcMoveFlag,MATCH($A12,CalcTeams,0)),"")</f>
        <v/>
      </c>
      <c r="F12" s="2">
        <f t="array" ref="F12">IFERROR(INDEX(PriorEff,MATCH(CurrentSeason&amp;"|"&amp;$A12,PriorKey,0)),"")</f>
        <v>-3.25</v>
      </c>
      <c r="G12" s="2">
        <f t="array" ref="G12">IF($F12="",0,INDEX(BlendWts,MATCH(MIN(CurrentWeek,18),BlendWeeks,0)))</f>
        <v>0.8</v>
      </c>
      <c r="H12" s="2">
        <f t="shared" si="1"/>
        <v>-2.6</v>
      </c>
      <c r="I12" s="11"/>
      <c r="J12" s="2">
        <f t="shared" si="2"/>
        <v>-2.6</v>
      </c>
      <c r="K12" s="2">
        <f t="shared" si="3"/>
        <v>28</v>
      </c>
      <c r="L12" s="2" t="str">
        <f>IF($B12&lt;MinGamesTrust,"LOW SAMPLE","")</f>
        <v>LOW SAMPLE</v>
      </c>
      <c r="M12" s="2" t="str">
        <f t="array" ref="M12">INDEX(QBActive,MATCH($A12,QBTeams,0))</f>
        <v>Deshaun Watson</v>
      </c>
      <c r="N12" s="2">
        <f t="array" ref="N12">IFERROR(ROUND(INDEX(CalcOffAdj,MATCH($A12,CalcTeams,0)),4),"")</f>
        <v>0</v>
      </c>
      <c r="O12" s="2">
        <f t="array" ref="O12">IFERROR(ROUND(INDEX(CalcDefAdj,MATCH($A12,CalcTeams,0)),4),"")</f>
        <v>0</v>
      </c>
      <c r="P12" s="2">
        <f t="array" ref="P12">IFERROR(ROUND(INDEX(CalcOffPl,MATCH($A12,CalcTeams,0)),1),"")</f>
        <v>0</v>
      </c>
      <c r="Q12" s="2">
        <f t="array" ref="Q12">IFERROR(ROUND(INDEX(CalcDefPl,MATCH($A12,CalcTeams,0)),1),"")</f>
        <v>0</v>
      </c>
    </row>
    <row r="13" ht="15.0" customHeight="1">
      <c r="A13" s="2" t="s">
        <v>146</v>
      </c>
      <c r="B13" s="2">
        <f t="array" ref="B13">INDEX(CalcGP,MATCH($A13,CalcTeams,0))</f>
        <v>0</v>
      </c>
      <c r="C13" s="2" t="str">
        <f t="array" ref="C13">IF(AND(WEpa&gt;0,INDEX(CalcEpaGP,MATCH($A13,CalcTeams,0))&gt;=MinGamesEnh),"ENHANCED","BASIC")</f>
        <v>BASIC</v>
      </c>
      <c r="D13" s="2">
        <f t="array" ref="D13">IFERROR(ROUND(INDEX(CalcGoverned,MATCH($A13,CalcTeams,0)),2),"")</f>
        <v>0</v>
      </c>
      <c r="E13" s="2" t="str">
        <f t="array" ref="E13">IFERROR(INDEX(CalcMoveFlag,MATCH($A13,CalcTeams,0)),"")</f>
        <v/>
      </c>
      <c r="F13" s="2">
        <f t="array" ref="F13">IFERROR(INDEX(PriorEff,MATCH(CurrentSeason&amp;"|"&amp;$A13,PriorKey,0)),"")</f>
        <v>-2.82</v>
      </c>
      <c r="G13" s="2">
        <f t="array" ref="G13">IF($F13="",0,INDEX(BlendWts,MATCH(MIN(CurrentWeek,18),BlendWeeks,0)))</f>
        <v>0.8</v>
      </c>
      <c r="H13" s="2">
        <f t="shared" si="1"/>
        <v>-2.26</v>
      </c>
      <c r="I13" s="11"/>
      <c r="J13" s="2">
        <f t="shared" si="2"/>
        <v>-2.26</v>
      </c>
      <c r="K13" s="2">
        <f t="shared" si="3"/>
        <v>27</v>
      </c>
      <c r="L13" s="2" t="str">
        <f>IF($B13&lt;MinGamesTrust,"LOW SAMPLE","")</f>
        <v>LOW SAMPLE</v>
      </c>
      <c r="M13" s="2" t="str">
        <f t="array" ref="M13">INDEX(QBActive,MATCH($A13,QBTeams,0))</f>
        <v>Dak Prescott</v>
      </c>
      <c r="N13" s="2">
        <f t="array" ref="N13">IFERROR(ROUND(INDEX(CalcOffAdj,MATCH($A13,CalcTeams,0)),4),"")</f>
        <v>0</v>
      </c>
      <c r="O13" s="2">
        <f t="array" ref="O13">IFERROR(ROUND(INDEX(CalcDefAdj,MATCH($A13,CalcTeams,0)),4),"")</f>
        <v>0</v>
      </c>
      <c r="P13" s="2">
        <f t="array" ref="P13">IFERROR(ROUND(INDEX(CalcOffPl,MATCH($A13,CalcTeams,0)),1),"")</f>
        <v>0</v>
      </c>
      <c r="Q13" s="2">
        <f t="array" ref="Q13">IFERROR(ROUND(INDEX(CalcDefPl,MATCH($A13,CalcTeams,0)),1),"")</f>
        <v>0</v>
      </c>
    </row>
    <row r="14" ht="15.0" customHeight="1">
      <c r="A14" s="2" t="s">
        <v>139</v>
      </c>
      <c r="B14" s="2">
        <f t="array" ref="B14">INDEX(CalcGP,MATCH($A14,CalcTeams,0))</f>
        <v>0</v>
      </c>
      <c r="C14" s="2" t="str">
        <f t="array" ref="C14">IF(AND(WEpa&gt;0,INDEX(CalcEpaGP,MATCH($A14,CalcTeams,0))&gt;=MinGamesEnh),"ENHANCED","BASIC")</f>
        <v>BASIC</v>
      </c>
      <c r="D14" s="2">
        <f t="array" ref="D14">IFERROR(ROUND(INDEX(CalcGoverned,MATCH($A14,CalcTeams,0)),2),"")</f>
        <v>0</v>
      </c>
      <c r="E14" s="2" t="str">
        <f t="array" ref="E14">IFERROR(INDEX(CalcMoveFlag,MATCH($A14,CalcTeams,0)),"")</f>
        <v/>
      </c>
      <c r="F14" s="2">
        <f t="array" ref="F14">IFERROR(INDEX(PriorEff,MATCH(CurrentSeason&amp;"|"&amp;$A14,PriorKey,0)),"")</f>
        <v>2.41</v>
      </c>
      <c r="G14" s="2">
        <f t="array" ref="G14">IF($F14="",0,INDEX(BlendWts,MATCH(MIN(CurrentWeek,18),BlendWeeks,0)))</f>
        <v>0.8</v>
      </c>
      <c r="H14" s="2">
        <f t="shared" si="1"/>
        <v>1.93</v>
      </c>
      <c r="I14" s="11"/>
      <c r="J14" s="2">
        <f t="shared" si="2"/>
        <v>1.93</v>
      </c>
      <c r="K14" s="2">
        <f t="shared" si="3"/>
        <v>6</v>
      </c>
      <c r="L14" s="2" t="str">
        <f>IF($B14&lt;MinGamesTrust,"LOW SAMPLE","")</f>
        <v>LOW SAMPLE</v>
      </c>
      <c r="M14" s="2" t="str">
        <f t="array" ref="M14">INDEX(QBActive,MATCH($A14,QBTeams,0))</f>
        <v>Bo Nix</v>
      </c>
      <c r="N14" s="2">
        <f t="array" ref="N14">IFERROR(ROUND(INDEX(CalcOffAdj,MATCH($A14,CalcTeams,0)),4),"")</f>
        <v>0</v>
      </c>
      <c r="O14" s="2">
        <f t="array" ref="O14">IFERROR(ROUND(INDEX(CalcDefAdj,MATCH($A14,CalcTeams,0)),4),"")</f>
        <v>0</v>
      </c>
      <c r="P14" s="2">
        <f t="array" ref="P14">IFERROR(ROUND(INDEX(CalcOffPl,MATCH($A14,CalcTeams,0)),1),"")</f>
        <v>0</v>
      </c>
      <c r="Q14" s="2">
        <f t="array" ref="Q14">IFERROR(ROUND(INDEX(CalcDefPl,MATCH($A14,CalcTeams,0)),1),"")</f>
        <v>0</v>
      </c>
    </row>
    <row r="15" ht="15.0" customHeight="1">
      <c r="A15" s="2" t="s">
        <v>202</v>
      </c>
      <c r="B15" s="2">
        <f t="array" ref="B15">INDEX(CalcGP,MATCH($A15,CalcTeams,0))</f>
        <v>0</v>
      </c>
      <c r="C15" s="2" t="str">
        <f t="array" ref="C15">IF(AND(WEpa&gt;0,INDEX(CalcEpaGP,MATCH($A15,CalcTeams,0))&gt;=MinGamesEnh),"ENHANCED","BASIC")</f>
        <v>BASIC</v>
      </c>
      <c r="D15" s="2">
        <f t="array" ref="D15">IFERROR(ROUND(INDEX(CalcGoverned,MATCH($A15,CalcTeams,0)),2),"")</f>
        <v>0</v>
      </c>
      <c r="E15" s="2" t="str">
        <f t="array" ref="E15">IFERROR(INDEX(CalcMoveFlag,MATCH($A15,CalcTeams,0)),"")</f>
        <v/>
      </c>
      <c r="F15" s="2">
        <f t="array" ref="F15">IFERROR(INDEX(PriorEff,MATCH(CurrentSeason&amp;"|"&amp;$A15,PriorKey,0)),"")</f>
        <v>1.07</v>
      </c>
      <c r="G15" s="2">
        <f t="array" ref="G15">IF($F15="",0,INDEX(BlendWts,MATCH(MIN(CurrentWeek,18),BlendWeeks,0)))</f>
        <v>0.8</v>
      </c>
      <c r="H15" s="2">
        <f t="shared" si="1"/>
        <v>0.86</v>
      </c>
      <c r="I15" s="11"/>
      <c r="J15" s="2">
        <f t="shared" si="2"/>
        <v>0.86</v>
      </c>
      <c r="K15" s="2">
        <f t="shared" si="3"/>
        <v>11</v>
      </c>
      <c r="L15" s="2" t="str">
        <f>IF($B15&lt;MinGamesTrust,"LOW SAMPLE","")</f>
        <v>LOW SAMPLE</v>
      </c>
      <c r="M15" s="2" t="str">
        <f t="array" ref="M15">INDEX(QBActive,MATCH($A15,QBTeams,0))</f>
        <v>Jared Goff</v>
      </c>
      <c r="N15" s="2">
        <f t="array" ref="N15">IFERROR(ROUND(INDEX(CalcOffAdj,MATCH($A15,CalcTeams,0)),4),"")</f>
        <v>0</v>
      </c>
      <c r="O15" s="2">
        <f t="array" ref="O15">IFERROR(ROUND(INDEX(CalcDefAdj,MATCH($A15,CalcTeams,0)),4),"")</f>
        <v>0</v>
      </c>
      <c r="P15" s="2">
        <f t="array" ref="P15">IFERROR(ROUND(INDEX(CalcOffPl,MATCH($A15,CalcTeams,0)),1),"")</f>
        <v>0</v>
      </c>
      <c r="Q15" s="2">
        <f t="array" ref="Q15">IFERROR(ROUND(INDEX(CalcDefPl,MATCH($A15,CalcTeams,0)),1),"")</f>
        <v>0</v>
      </c>
    </row>
    <row r="16" ht="15.0" customHeight="1">
      <c r="A16" s="2" t="s">
        <v>205</v>
      </c>
      <c r="B16" s="2">
        <f t="array" ref="B16">INDEX(CalcGP,MATCH($A16,CalcTeams,0))</f>
        <v>0</v>
      </c>
      <c r="C16" s="2" t="str">
        <f t="array" ref="C16">IF(AND(WEpa&gt;0,INDEX(CalcEpaGP,MATCH($A16,CalcTeams,0))&gt;=MinGamesEnh),"ENHANCED","BASIC")</f>
        <v>BASIC</v>
      </c>
      <c r="D16" s="2">
        <f t="array" ref="D16">IFERROR(ROUND(INDEX(CalcGoverned,MATCH($A16,CalcTeams,0)),2),"")</f>
        <v>0</v>
      </c>
      <c r="E16" s="2" t="str">
        <f t="array" ref="E16">IFERROR(INDEX(CalcMoveFlag,MATCH($A16,CalcTeams,0)),"")</f>
        <v/>
      </c>
      <c r="F16" s="2">
        <f t="array" ref="F16">IFERROR(INDEX(PriorEff,MATCH(CurrentSeason&amp;"|"&amp;$A16,PriorKey,0)),"")</f>
        <v>0.64</v>
      </c>
      <c r="G16" s="2">
        <f t="array" ref="G16">IF($F16="",0,INDEX(BlendWts,MATCH(MIN(CurrentWeek,18),BlendWeeks,0)))</f>
        <v>0.8</v>
      </c>
      <c r="H16" s="2">
        <f t="shared" si="1"/>
        <v>0.51</v>
      </c>
      <c r="I16" s="11"/>
      <c r="J16" s="2">
        <f t="shared" si="2"/>
        <v>0.51</v>
      </c>
      <c r="K16" s="2">
        <f t="shared" si="3"/>
        <v>16</v>
      </c>
      <c r="L16" s="2" t="str">
        <f>IF($B16&lt;MinGamesTrust,"LOW SAMPLE","")</f>
        <v>LOW SAMPLE</v>
      </c>
      <c r="M16" s="2" t="str">
        <f t="array" ref="M16">INDEX(QBActive,MATCH($A16,QBTeams,0))</f>
        <v>Jordan Love</v>
      </c>
      <c r="N16" s="2">
        <f t="array" ref="N16">IFERROR(ROUND(INDEX(CalcOffAdj,MATCH($A16,CalcTeams,0)),4),"")</f>
        <v>0</v>
      </c>
      <c r="O16" s="2">
        <f t="array" ref="O16">IFERROR(ROUND(INDEX(CalcDefAdj,MATCH($A16,CalcTeams,0)),4),"")</f>
        <v>0</v>
      </c>
      <c r="P16" s="2">
        <f t="array" ref="P16">IFERROR(ROUND(INDEX(CalcOffPl,MATCH($A16,CalcTeams,0)),1),"")</f>
        <v>0</v>
      </c>
      <c r="Q16" s="2">
        <f t="array" ref="Q16">IFERROR(ROUND(INDEX(CalcDefPl,MATCH($A16,CalcTeams,0)),1),"")</f>
        <v>0</v>
      </c>
    </row>
    <row r="17" ht="15.0" customHeight="1">
      <c r="A17" s="2" t="s">
        <v>140</v>
      </c>
      <c r="B17" s="2">
        <f t="array" ref="B17">INDEX(CalcGP,MATCH($A17,CalcTeams,0))</f>
        <v>0</v>
      </c>
      <c r="C17" s="2" t="str">
        <f t="array" ref="C17">IF(AND(WEpa&gt;0,INDEX(CalcEpaGP,MATCH($A17,CalcTeams,0))&gt;=MinGamesEnh),"ENHANCED","BASIC")</f>
        <v>BASIC</v>
      </c>
      <c r="D17" s="2">
        <f t="array" ref="D17">IFERROR(ROUND(INDEX(CalcGoverned,MATCH($A17,CalcTeams,0)),2),"")</f>
        <v>0</v>
      </c>
      <c r="E17" s="2" t="str">
        <f t="array" ref="E17">IFERROR(INDEX(CalcMoveFlag,MATCH($A17,CalcTeams,0)),"")</f>
        <v/>
      </c>
      <c r="F17" s="2">
        <f t="array" ref="F17">IFERROR(INDEX(PriorEff,MATCH(CurrentSeason&amp;"|"&amp;$A17,PriorKey,0)),"")</f>
        <v>3.39</v>
      </c>
      <c r="G17" s="2">
        <f t="array" ref="G17">IF($F17="",0,INDEX(BlendWts,MATCH(MIN(CurrentWeek,18),BlendWeeks,0)))</f>
        <v>0.8</v>
      </c>
      <c r="H17" s="2">
        <f t="shared" si="1"/>
        <v>2.71</v>
      </c>
      <c r="I17" s="11"/>
      <c r="J17" s="2">
        <f t="shared" si="2"/>
        <v>2.71</v>
      </c>
      <c r="K17" s="2">
        <f t="shared" si="3"/>
        <v>4</v>
      </c>
      <c r="L17" s="2" t="str">
        <f>IF($B17&lt;MinGamesTrust,"LOW SAMPLE","")</f>
        <v>LOW SAMPLE</v>
      </c>
      <c r="M17" s="2" t="str">
        <f t="array" ref="M17">INDEX(QBActive,MATCH($A17,QBTeams,0))</f>
        <v>C.J. Stroud</v>
      </c>
      <c r="N17" s="2">
        <f t="array" ref="N17">IFERROR(ROUND(INDEX(CalcOffAdj,MATCH($A17,CalcTeams,0)),4),"")</f>
        <v>0</v>
      </c>
      <c r="O17" s="2">
        <f t="array" ref="O17">IFERROR(ROUND(INDEX(CalcDefAdj,MATCH($A17,CalcTeams,0)),4),"")</f>
        <v>0</v>
      </c>
      <c r="P17" s="2">
        <f t="array" ref="P17">IFERROR(ROUND(INDEX(CalcOffPl,MATCH($A17,CalcTeams,0)),1),"")</f>
        <v>0</v>
      </c>
      <c r="Q17" s="2">
        <f t="array" ref="Q17">IFERROR(ROUND(INDEX(CalcDefPl,MATCH($A17,CalcTeams,0)),1),"")</f>
        <v>0</v>
      </c>
    </row>
    <row r="18" ht="15.0" customHeight="1">
      <c r="A18" s="2" t="s">
        <v>210</v>
      </c>
      <c r="B18" s="2">
        <f t="array" ref="B18">INDEX(CalcGP,MATCH($A18,CalcTeams,0))</f>
        <v>0</v>
      </c>
      <c r="C18" s="2" t="str">
        <f t="array" ref="C18">IF(AND(WEpa&gt;0,INDEX(CalcEpaGP,MATCH($A18,CalcTeams,0))&gt;=MinGamesEnh),"ENHANCED","BASIC")</f>
        <v>BASIC</v>
      </c>
      <c r="D18" s="2">
        <f t="array" ref="D18">IFERROR(ROUND(INDEX(CalcGoverned,MATCH($A18,CalcTeams,0)),2),"")</f>
        <v>0</v>
      </c>
      <c r="E18" s="2" t="str">
        <f t="array" ref="E18">IFERROR(INDEX(CalcMoveFlag,MATCH($A18,CalcTeams,0)),"")</f>
        <v/>
      </c>
      <c r="F18" s="2">
        <f t="array" ref="F18">IFERROR(INDEX(PriorEff,MATCH(CurrentSeason&amp;"|"&amp;$A18,PriorKey,0)),"")</f>
        <v>1.02</v>
      </c>
      <c r="G18" s="2">
        <f t="array" ref="G18">IF($F18="",0,INDEX(BlendWts,MATCH(MIN(CurrentWeek,18),BlendWeeks,0)))</f>
        <v>0.8</v>
      </c>
      <c r="H18" s="2">
        <f t="shared" si="1"/>
        <v>0.82</v>
      </c>
      <c r="I18" s="11"/>
      <c r="J18" s="2">
        <f t="shared" si="2"/>
        <v>0.82</v>
      </c>
      <c r="K18" s="2">
        <f t="shared" si="3"/>
        <v>13</v>
      </c>
      <c r="L18" s="2" t="str">
        <f>IF($B18&lt;MinGamesTrust,"LOW SAMPLE","")</f>
        <v>LOW SAMPLE</v>
      </c>
      <c r="M18" s="2" t="str">
        <f t="array" ref="M18">INDEX(QBActive,MATCH($A18,QBTeams,0))</f>
        <v>Daniel Jones</v>
      </c>
      <c r="N18" s="2">
        <f t="array" ref="N18">IFERROR(ROUND(INDEX(CalcOffAdj,MATCH($A18,CalcTeams,0)),4),"")</f>
        <v>0</v>
      </c>
      <c r="O18" s="2">
        <f t="array" ref="O18">IFERROR(ROUND(INDEX(CalcDefAdj,MATCH($A18,CalcTeams,0)),4),"")</f>
        <v>0</v>
      </c>
      <c r="P18" s="2">
        <f t="array" ref="P18">IFERROR(ROUND(INDEX(CalcOffPl,MATCH($A18,CalcTeams,0)),1),"")</f>
        <v>0</v>
      </c>
      <c r="Q18" s="2">
        <f t="array" ref="Q18">IFERROR(ROUND(INDEX(CalcDefPl,MATCH($A18,CalcTeams,0)),1),"")</f>
        <v>0</v>
      </c>
    </row>
    <row r="19" ht="15.0" customHeight="1">
      <c r="A19" s="2" t="s">
        <v>141</v>
      </c>
      <c r="B19" s="2">
        <f t="array" ref="B19">INDEX(CalcGP,MATCH($A19,CalcTeams,0))</f>
        <v>0</v>
      </c>
      <c r="C19" s="2" t="str">
        <f t="array" ref="C19">IF(AND(WEpa&gt;0,INDEX(CalcEpaGP,MATCH($A19,CalcTeams,0))&gt;=MinGamesEnh),"ENHANCED","BASIC")</f>
        <v>BASIC</v>
      </c>
      <c r="D19" s="2">
        <f t="array" ref="D19">IFERROR(ROUND(INDEX(CalcGoverned,MATCH($A19,CalcTeams,0)),2),"")</f>
        <v>0</v>
      </c>
      <c r="E19" s="2" t="str">
        <f t="array" ref="E19">IFERROR(INDEX(CalcMoveFlag,MATCH($A19,CalcTeams,0)),"")</f>
        <v/>
      </c>
      <c r="F19" s="2">
        <f t="array" ref="F19">IFERROR(INDEX(PriorEff,MATCH(CurrentSeason&amp;"|"&amp;$A19,PriorKey,0)),"")</f>
        <v>4.03</v>
      </c>
      <c r="G19" s="2">
        <f t="array" ref="G19">IF($F19="",0,INDEX(BlendWts,MATCH(MIN(CurrentWeek,18),BlendWeeks,0)))</f>
        <v>0.8</v>
      </c>
      <c r="H19" s="2">
        <f t="shared" si="1"/>
        <v>3.22</v>
      </c>
      <c r="I19" s="11"/>
      <c r="J19" s="2">
        <f t="shared" si="2"/>
        <v>3.22</v>
      </c>
      <c r="K19" s="2">
        <f t="shared" si="3"/>
        <v>3</v>
      </c>
      <c r="L19" s="2" t="str">
        <f>IF($B19&lt;MinGamesTrust,"LOW SAMPLE","")</f>
        <v>LOW SAMPLE</v>
      </c>
      <c r="M19" s="2" t="str">
        <f t="array" ref="M19">INDEX(QBActive,MATCH($A19,QBTeams,0))</f>
        <v>Trevor Lawrence</v>
      </c>
      <c r="N19" s="2">
        <f t="array" ref="N19">IFERROR(ROUND(INDEX(CalcOffAdj,MATCH($A19,CalcTeams,0)),4),"")</f>
        <v>0</v>
      </c>
      <c r="O19" s="2">
        <f t="array" ref="O19">IFERROR(ROUND(INDEX(CalcDefAdj,MATCH($A19,CalcTeams,0)),4),"")</f>
        <v>0</v>
      </c>
      <c r="P19" s="2">
        <f t="array" ref="P19">IFERROR(ROUND(INDEX(CalcOffPl,MATCH($A19,CalcTeams,0)),1),"")</f>
        <v>0</v>
      </c>
      <c r="Q19" s="2">
        <f t="array" ref="Q19">IFERROR(ROUND(INDEX(CalcDefPl,MATCH($A19,CalcTeams,0)),1),"")</f>
        <v>0</v>
      </c>
    </row>
    <row r="20" ht="15.0" customHeight="1">
      <c r="A20" s="2" t="s">
        <v>143</v>
      </c>
      <c r="B20" s="2">
        <f t="array" ref="B20">INDEX(CalcGP,MATCH($A20,CalcTeams,0))</f>
        <v>0</v>
      </c>
      <c r="C20" s="2" t="str">
        <f t="array" ref="C20">IF(AND(WEpa&gt;0,INDEX(CalcEpaGP,MATCH($A20,CalcTeams,0))&gt;=MinGamesEnh),"ENHANCED","BASIC")</f>
        <v>BASIC</v>
      </c>
      <c r="D20" s="2">
        <f t="array" ref="D20">IFERROR(ROUND(INDEX(CalcGoverned,MATCH($A20,CalcTeams,0)),2),"")</f>
        <v>0</v>
      </c>
      <c r="E20" s="2" t="str">
        <f t="array" ref="E20">IFERROR(INDEX(CalcMoveFlag,MATCH($A20,CalcTeams,0)),"")</f>
        <v/>
      </c>
      <c r="F20" s="2">
        <f t="array" ref="F20">IFERROR(INDEX(PriorEff,MATCH(CurrentSeason&amp;"|"&amp;$A20,PriorKey,0)),"")</f>
        <v>-0.05</v>
      </c>
      <c r="G20" s="2">
        <f t="array" ref="G20">IF($F20="",0,INDEX(BlendWts,MATCH(MIN(CurrentWeek,18),BlendWeeks,0)))</f>
        <v>0.8</v>
      </c>
      <c r="H20" s="2">
        <f t="shared" si="1"/>
        <v>-0.04</v>
      </c>
      <c r="I20" s="11"/>
      <c r="J20" s="2">
        <f t="shared" si="2"/>
        <v>-0.04</v>
      </c>
      <c r="K20" s="2">
        <f t="shared" si="3"/>
        <v>18</v>
      </c>
      <c r="L20" s="2" t="str">
        <f>IF($B20&lt;MinGamesTrust,"LOW SAMPLE","")</f>
        <v>LOW SAMPLE</v>
      </c>
      <c r="M20" s="2" t="str">
        <f t="array" ref="M20">INDEX(QBActive,MATCH($A20,QBTeams,0))</f>
        <v>Patrick Mahomes</v>
      </c>
      <c r="N20" s="2">
        <f t="array" ref="N20">IFERROR(ROUND(INDEX(CalcOffAdj,MATCH($A20,CalcTeams,0)),4),"")</f>
        <v>0</v>
      </c>
      <c r="O20" s="2">
        <f t="array" ref="O20">IFERROR(ROUND(INDEX(CalcDefAdj,MATCH($A20,CalcTeams,0)),4),"")</f>
        <v>0</v>
      </c>
      <c r="P20" s="2">
        <f t="array" ref="P20">IFERROR(ROUND(INDEX(CalcOffPl,MATCH($A20,CalcTeams,0)),1),"")</f>
        <v>0</v>
      </c>
      <c r="Q20" s="2">
        <f t="array" ref="Q20">IFERROR(ROUND(INDEX(CalcDefPl,MATCH($A20,CalcTeams,0)),1),"")</f>
        <v>0</v>
      </c>
    </row>
    <row r="21" ht="15.0" customHeight="1">
      <c r="A21" s="2" t="s">
        <v>142</v>
      </c>
      <c r="B21" s="2">
        <f t="array" ref="B21">INDEX(CalcGP,MATCH($A21,CalcTeams,0))</f>
        <v>0</v>
      </c>
      <c r="C21" s="2" t="str">
        <f t="array" ref="C21">IF(AND(WEpa&gt;0,INDEX(CalcEpaGP,MATCH($A21,CalcTeams,0))&gt;=MinGamesEnh),"ENHANCED","BASIC")</f>
        <v>BASIC</v>
      </c>
      <c r="D21" s="2">
        <f t="array" ref="D21">IFERROR(ROUND(INDEX(CalcGoverned,MATCH($A21,CalcTeams,0)),2),"")</f>
        <v>0</v>
      </c>
      <c r="E21" s="2" t="str">
        <f t="array" ref="E21">IFERROR(INDEX(CalcMoveFlag,MATCH($A21,CalcTeams,0)),"")</f>
        <v/>
      </c>
      <c r="F21" s="2">
        <f t="array" ref="F21">IFERROR(INDEX(PriorEff,MATCH(CurrentSeason&amp;"|"&amp;$A21,PriorKey,0)),"")</f>
        <v>5.11</v>
      </c>
      <c r="G21" s="2">
        <f t="array" ref="G21">IF($F21="",0,INDEX(BlendWts,MATCH(MIN(CurrentWeek,18),BlendWeeks,0)))</f>
        <v>0.8</v>
      </c>
      <c r="H21" s="2">
        <f t="shared" si="1"/>
        <v>4.09</v>
      </c>
      <c r="I21" s="11"/>
      <c r="J21" s="2">
        <f t="shared" si="2"/>
        <v>4.09</v>
      </c>
      <c r="K21" s="2">
        <f t="shared" si="3"/>
        <v>2</v>
      </c>
      <c r="L21" s="2" t="str">
        <f>IF($B21&lt;MinGamesTrust,"LOW SAMPLE","")</f>
        <v>LOW SAMPLE</v>
      </c>
      <c r="M21" s="2" t="str">
        <f t="array" ref="M21">INDEX(QBActive,MATCH($A21,QBTeams,0))</f>
        <v>Matthew Stafford</v>
      </c>
      <c r="N21" s="2">
        <f t="array" ref="N21">IFERROR(ROUND(INDEX(CalcOffAdj,MATCH($A21,CalcTeams,0)),4),"")</f>
        <v>0</v>
      </c>
      <c r="O21" s="2">
        <f t="array" ref="O21">IFERROR(ROUND(INDEX(CalcDefAdj,MATCH($A21,CalcTeams,0)),4),"")</f>
        <v>0</v>
      </c>
      <c r="P21" s="2">
        <f t="array" ref="P21">IFERROR(ROUND(INDEX(CalcOffPl,MATCH($A21,CalcTeams,0)),1),"")</f>
        <v>0</v>
      </c>
      <c r="Q21" s="2">
        <f t="array" ref="Q21">IFERROR(ROUND(INDEX(CalcDefPl,MATCH($A21,CalcTeams,0)),1),"")</f>
        <v>0</v>
      </c>
    </row>
    <row r="22" ht="15.0" customHeight="1">
      <c r="A22" s="2" t="s">
        <v>220</v>
      </c>
      <c r="B22" s="2">
        <f t="array" ref="B22">INDEX(CalcGP,MATCH($A22,CalcTeams,0))</f>
        <v>0</v>
      </c>
      <c r="C22" s="2" t="str">
        <f t="array" ref="C22">IF(AND(WEpa&gt;0,INDEX(CalcEpaGP,MATCH($A22,CalcTeams,0))&gt;=MinGamesEnh),"ENHANCED","BASIC")</f>
        <v>BASIC</v>
      </c>
      <c r="D22" s="2">
        <f t="array" ref="D22">IFERROR(ROUND(INDEX(CalcGoverned,MATCH($A22,CalcTeams,0)),2),"")</f>
        <v>0</v>
      </c>
      <c r="E22" s="2" t="str">
        <f t="array" ref="E22">IFERROR(INDEX(CalcMoveFlag,MATCH($A22,CalcTeams,0)),"")</f>
        <v/>
      </c>
      <c r="F22" s="2">
        <f t="array" ref="F22">IFERROR(INDEX(PriorEff,MATCH(CurrentSeason&amp;"|"&amp;$A22,PriorKey,0)),"")</f>
        <v>0.7</v>
      </c>
      <c r="G22" s="2">
        <f t="array" ref="G22">IF($F22="",0,INDEX(BlendWts,MATCH(MIN(CurrentWeek,18),BlendWeeks,0)))</f>
        <v>0.8</v>
      </c>
      <c r="H22" s="2">
        <f t="shared" si="1"/>
        <v>0.56</v>
      </c>
      <c r="I22" s="11"/>
      <c r="J22" s="2">
        <f t="shared" si="2"/>
        <v>0.56</v>
      </c>
      <c r="K22" s="2">
        <f t="shared" si="3"/>
        <v>15</v>
      </c>
      <c r="L22" s="2" t="str">
        <f>IF($B22&lt;MinGamesTrust,"LOW SAMPLE","")</f>
        <v>LOW SAMPLE</v>
      </c>
      <c r="M22" s="2" t="str">
        <f t="array" ref="M22">INDEX(QBActive,MATCH($A22,QBTeams,0))</f>
        <v>Justin Herbert</v>
      </c>
      <c r="N22" s="2">
        <f t="array" ref="N22">IFERROR(ROUND(INDEX(CalcOffAdj,MATCH($A22,CalcTeams,0)),4),"")</f>
        <v>0</v>
      </c>
      <c r="O22" s="2">
        <f t="array" ref="O22">IFERROR(ROUND(INDEX(CalcDefAdj,MATCH($A22,CalcTeams,0)),4),"")</f>
        <v>0</v>
      </c>
      <c r="P22" s="2">
        <f t="array" ref="P22">IFERROR(ROUND(INDEX(CalcOffPl,MATCH($A22,CalcTeams,0)),1),"")</f>
        <v>0</v>
      </c>
      <c r="Q22" s="2">
        <f t="array" ref="Q22">IFERROR(ROUND(INDEX(CalcDefPl,MATCH($A22,CalcTeams,0)),1),"")</f>
        <v>0</v>
      </c>
    </row>
    <row r="23" ht="15.0" customHeight="1">
      <c r="A23" s="2" t="s">
        <v>222</v>
      </c>
      <c r="B23" s="2">
        <f t="array" ref="B23">INDEX(CalcGP,MATCH($A23,CalcTeams,0))</f>
        <v>0</v>
      </c>
      <c r="C23" s="2" t="str">
        <f t="array" ref="C23">IF(AND(WEpa&gt;0,INDEX(CalcEpaGP,MATCH($A23,CalcTeams,0))&gt;=MinGamesEnh),"ENHANCED","BASIC")</f>
        <v>BASIC</v>
      </c>
      <c r="D23" s="2">
        <f t="array" ref="D23">IFERROR(ROUND(INDEX(CalcGoverned,MATCH($A23,CalcTeams,0)),2),"")</f>
        <v>0</v>
      </c>
      <c r="E23" s="2" t="str">
        <f t="array" ref="E23">IFERROR(INDEX(CalcMoveFlag,MATCH($A23,CalcTeams,0)),"")</f>
        <v/>
      </c>
      <c r="F23" s="2">
        <f t="array" ref="F23">IFERROR(INDEX(PriorEff,MATCH(CurrentSeason&amp;"|"&amp;$A23,PriorKey,0)),"")</f>
        <v>-4.4</v>
      </c>
      <c r="G23" s="2">
        <f t="array" ref="G23">IF($F23="",0,INDEX(BlendWts,MATCH(MIN(CurrentWeek,18),BlendWeeks,0)))</f>
        <v>0.8</v>
      </c>
      <c r="H23" s="2">
        <f t="shared" si="1"/>
        <v>-3.52</v>
      </c>
      <c r="I23" s="11"/>
      <c r="J23" s="2">
        <f t="shared" si="2"/>
        <v>-3.52</v>
      </c>
      <c r="K23" s="2">
        <f t="shared" si="3"/>
        <v>31</v>
      </c>
      <c r="L23" s="2" t="str">
        <f>IF($B23&lt;MinGamesTrust,"LOW SAMPLE","")</f>
        <v>LOW SAMPLE</v>
      </c>
      <c r="M23" s="2" t="str">
        <f t="array" ref="M23">INDEX(QBActive,MATCH($A23,QBTeams,0))</f>
        <v>Fernando Mendoza</v>
      </c>
      <c r="N23" s="2">
        <f t="array" ref="N23">IFERROR(ROUND(INDEX(CalcOffAdj,MATCH($A23,CalcTeams,0)),4),"")</f>
        <v>0</v>
      </c>
      <c r="O23" s="2">
        <f t="array" ref="O23">IFERROR(ROUND(INDEX(CalcDefAdj,MATCH($A23,CalcTeams,0)),4),"")</f>
        <v>0</v>
      </c>
      <c r="P23" s="2">
        <f t="array" ref="P23">IFERROR(ROUND(INDEX(CalcOffPl,MATCH($A23,CalcTeams,0)),1),"")</f>
        <v>0</v>
      </c>
      <c r="Q23" s="2">
        <f t="array" ref="Q23">IFERROR(ROUND(INDEX(CalcDefPl,MATCH($A23,CalcTeams,0)),1),"")</f>
        <v>0</v>
      </c>
    </row>
    <row r="24" ht="15.0" customHeight="1">
      <c r="A24" s="2" t="s">
        <v>225</v>
      </c>
      <c r="B24" s="2">
        <f t="array" ref="B24">INDEX(CalcGP,MATCH($A24,CalcTeams,0))</f>
        <v>0</v>
      </c>
      <c r="C24" s="2" t="str">
        <f t="array" ref="C24">IF(AND(WEpa&gt;0,INDEX(CalcEpaGP,MATCH($A24,CalcTeams,0))&gt;=MinGamesEnh),"ENHANCED","BASIC")</f>
        <v>BASIC</v>
      </c>
      <c r="D24" s="2">
        <f t="array" ref="D24">IFERROR(ROUND(INDEX(CalcGoverned,MATCH($A24,CalcTeams,0)),2),"")</f>
        <v>0</v>
      </c>
      <c r="E24" s="2" t="str">
        <f t="array" ref="E24">IFERROR(INDEX(CalcMoveFlag,MATCH($A24,CalcTeams,0)),"")</f>
        <v/>
      </c>
      <c r="F24" s="2">
        <f t="array" ref="F24">IFERROR(INDEX(PriorEff,MATCH(CurrentSeason&amp;"|"&amp;$A24,PriorKey,0)),"")</f>
        <v>-3.3</v>
      </c>
      <c r="G24" s="2">
        <f t="array" ref="G24">IF($F24="",0,INDEX(BlendWts,MATCH(MIN(CurrentWeek,18),BlendWeeks,0)))</f>
        <v>0.8</v>
      </c>
      <c r="H24" s="2">
        <f t="shared" si="1"/>
        <v>-2.64</v>
      </c>
      <c r="I24" s="11"/>
      <c r="J24" s="2">
        <f t="shared" si="2"/>
        <v>-2.64</v>
      </c>
      <c r="K24" s="2">
        <f t="shared" si="3"/>
        <v>29</v>
      </c>
      <c r="L24" s="2" t="str">
        <f>IF($B24&lt;MinGamesTrust,"LOW SAMPLE","")</f>
        <v>LOW SAMPLE</v>
      </c>
      <c r="M24" s="2" t="str">
        <f t="array" ref="M24">INDEX(QBActive,MATCH($A24,QBTeams,0))</f>
        <v>Malik Willis</v>
      </c>
      <c r="N24" s="2">
        <f t="array" ref="N24">IFERROR(ROUND(INDEX(CalcOffAdj,MATCH($A24,CalcTeams,0)),4),"")</f>
        <v>0</v>
      </c>
      <c r="O24" s="2">
        <f t="array" ref="O24">IFERROR(ROUND(INDEX(CalcDefAdj,MATCH($A24,CalcTeams,0)),4),"")</f>
        <v>0</v>
      </c>
      <c r="P24" s="2">
        <f t="array" ref="P24">IFERROR(ROUND(INDEX(CalcOffPl,MATCH($A24,CalcTeams,0)),1),"")</f>
        <v>0</v>
      </c>
      <c r="Q24" s="2">
        <f t="array" ref="Q24">IFERROR(ROUND(INDEX(CalcDefPl,MATCH($A24,CalcTeams,0)),1),"")</f>
        <v>0</v>
      </c>
    </row>
    <row r="25" ht="15.0" customHeight="1">
      <c r="A25" s="2" t="s">
        <v>144</v>
      </c>
      <c r="B25" s="2">
        <f t="array" ref="B25">INDEX(CalcGP,MATCH($A25,CalcTeams,0))</f>
        <v>0</v>
      </c>
      <c r="C25" s="2" t="str">
        <f t="array" ref="C25">IF(AND(WEpa&gt;0,INDEX(CalcEpaGP,MATCH($A25,CalcTeams,0))&gt;=MinGamesEnh),"ENHANCED","BASIC")</f>
        <v>BASIC</v>
      </c>
      <c r="D25" s="2">
        <f t="array" ref="D25">IFERROR(ROUND(INDEX(CalcGoverned,MATCH($A25,CalcTeams,0)),2),"")</f>
        <v>0</v>
      </c>
      <c r="E25" s="2" t="str">
        <f t="array" ref="E25">IFERROR(INDEX(CalcMoveFlag,MATCH($A25,CalcTeams,0)),"")</f>
        <v/>
      </c>
      <c r="F25" s="2">
        <f t="array" ref="F25">IFERROR(INDEX(PriorEff,MATCH(CurrentSeason&amp;"|"&amp;$A25,PriorKey,0)),"")</f>
        <v>0.62</v>
      </c>
      <c r="G25" s="2">
        <f t="array" ref="G25">IF($F25="",0,INDEX(BlendWts,MATCH(MIN(CurrentWeek,18),BlendWeeks,0)))</f>
        <v>0.8</v>
      </c>
      <c r="H25" s="2">
        <f t="shared" si="1"/>
        <v>0.5</v>
      </c>
      <c r="I25" s="11"/>
      <c r="J25" s="2">
        <f t="shared" si="2"/>
        <v>0.5</v>
      </c>
      <c r="K25" s="2">
        <f t="shared" si="3"/>
        <v>17</v>
      </c>
      <c r="L25" s="2" t="str">
        <f>IF($B25&lt;MinGamesTrust,"LOW SAMPLE","")</f>
        <v>LOW SAMPLE</v>
      </c>
      <c r="M25" s="2" t="str">
        <f t="array" ref="M25">INDEX(QBActive,MATCH($A25,QBTeams,0))</f>
        <v>Kyler Murray</v>
      </c>
      <c r="N25" s="2">
        <f t="array" ref="N25">IFERROR(ROUND(INDEX(CalcOffAdj,MATCH($A25,CalcTeams,0)),4),"")</f>
        <v>0</v>
      </c>
      <c r="O25" s="2">
        <f t="array" ref="O25">IFERROR(ROUND(INDEX(CalcDefAdj,MATCH($A25,CalcTeams,0)),4),"")</f>
        <v>0</v>
      </c>
      <c r="P25" s="2">
        <f t="array" ref="P25">IFERROR(ROUND(INDEX(CalcOffPl,MATCH($A25,CalcTeams,0)),1),"")</f>
        <v>0</v>
      </c>
      <c r="Q25" s="2">
        <f t="array" ref="Q25">IFERROR(ROUND(INDEX(CalcDefPl,MATCH($A25,CalcTeams,0)),1),"")</f>
        <v>0</v>
      </c>
    </row>
    <row r="26" ht="15.0" customHeight="1">
      <c r="A26" s="2" t="s">
        <v>145</v>
      </c>
      <c r="B26" s="2">
        <f t="array" ref="B26">INDEX(CalcGP,MATCH($A26,CalcTeams,0))</f>
        <v>0</v>
      </c>
      <c r="C26" s="2" t="str">
        <f t="array" ref="C26">IF(AND(WEpa&gt;0,INDEX(CalcEpaGP,MATCH($A26,CalcTeams,0))&gt;=MinGamesEnh),"ENHANCED","BASIC")</f>
        <v>BASIC</v>
      </c>
      <c r="D26" s="2">
        <f t="array" ref="D26">IFERROR(ROUND(INDEX(CalcGoverned,MATCH($A26,CalcTeams,0)),2),"")</f>
        <v>0</v>
      </c>
      <c r="E26" s="2" t="str">
        <f t="array" ref="E26">IFERROR(INDEX(CalcMoveFlag,MATCH($A26,CalcTeams,0)),"")</f>
        <v/>
      </c>
      <c r="F26" s="2">
        <f t="array" ref="F26">IFERROR(INDEX(PriorEff,MATCH(CurrentSeason&amp;"|"&amp;$A26,PriorKey,0)),"")</f>
        <v>2.61</v>
      </c>
      <c r="G26" s="2">
        <f t="array" ref="G26">IF($F26="",0,INDEX(BlendWts,MATCH(MIN(CurrentWeek,18),BlendWeeks,0)))</f>
        <v>0.8</v>
      </c>
      <c r="H26" s="2">
        <f t="shared" si="1"/>
        <v>2.09</v>
      </c>
      <c r="I26" s="11"/>
      <c r="J26" s="2">
        <f t="shared" si="2"/>
        <v>2.09</v>
      </c>
      <c r="K26" s="2">
        <f t="shared" si="3"/>
        <v>5</v>
      </c>
      <c r="L26" s="2" t="str">
        <f>IF($B26&lt;MinGamesTrust,"LOW SAMPLE","")</f>
        <v>LOW SAMPLE</v>
      </c>
      <c r="M26" s="2" t="str">
        <f t="array" ref="M26">INDEX(QBActive,MATCH($A26,QBTeams,0))</f>
        <v>Drake Maye</v>
      </c>
      <c r="N26" s="2">
        <f t="array" ref="N26">IFERROR(ROUND(INDEX(CalcOffAdj,MATCH($A26,CalcTeams,0)),4),"")</f>
        <v>0</v>
      </c>
      <c r="O26" s="2">
        <f t="array" ref="O26">IFERROR(ROUND(INDEX(CalcDefAdj,MATCH($A26,CalcTeams,0)),4),"")</f>
        <v>0</v>
      </c>
      <c r="P26" s="2">
        <f t="array" ref="P26">IFERROR(ROUND(INDEX(CalcOffPl,MATCH($A26,CalcTeams,0)),1),"")</f>
        <v>0</v>
      </c>
      <c r="Q26" s="2">
        <f t="array" ref="Q26">IFERROR(ROUND(INDEX(CalcDefPl,MATCH($A26,CalcTeams,0)),1),"")</f>
        <v>0</v>
      </c>
    </row>
    <row r="27" ht="15.0" customHeight="1">
      <c r="A27" s="2" t="s">
        <v>232</v>
      </c>
      <c r="B27" s="2">
        <f t="array" ref="B27">INDEX(CalcGP,MATCH($A27,CalcTeams,0))</f>
        <v>0</v>
      </c>
      <c r="C27" s="2" t="str">
        <f t="array" ref="C27">IF(AND(WEpa&gt;0,INDEX(CalcEpaGP,MATCH($A27,CalcTeams,0))&gt;=MinGamesEnh),"ENHANCED","BASIC")</f>
        <v>BASIC</v>
      </c>
      <c r="D27" s="2">
        <f t="array" ref="D27">IFERROR(ROUND(INDEX(CalcGoverned,MATCH($A27,CalcTeams,0)),2),"")</f>
        <v>0</v>
      </c>
      <c r="E27" s="2" t="str">
        <f t="array" ref="E27">IFERROR(INDEX(CalcMoveFlag,MATCH($A27,CalcTeams,0)),"")</f>
        <v/>
      </c>
      <c r="F27" s="2">
        <f t="array" ref="F27">IFERROR(INDEX(PriorEff,MATCH(CurrentSeason&amp;"|"&amp;$A27,PriorKey,0)),"")</f>
        <v>-1.17</v>
      </c>
      <c r="G27" s="2">
        <f t="array" ref="G27">IF($F27="",0,INDEX(BlendWts,MATCH(MIN(CurrentWeek,18),BlendWeeks,0)))</f>
        <v>0.8</v>
      </c>
      <c r="H27" s="2">
        <f t="shared" si="1"/>
        <v>-0.94</v>
      </c>
      <c r="I27" s="11"/>
      <c r="J27" s="2">
        <f t="shared" si="2"/>
        <v>-0.94</v>
      </c>
      <c r="K27" s="2">
        <f t="shared" si="3"/>
        <v>21</v>
      </c>
      <c r="L27" s="2" t="str">
        <f>IF($B27&lt;MinGamesTrust,"LOW SAMPLE","")</f>
        <v>LOW SAMPLE</v>
      </c>
      <c r="M27" s="2" t="str">
        <f t="array" ref="M27">INDEX(QBActive,MATCH($A27,QBTeams,0))</f>
        <v>Tyler Shough</v>
      </c>
      <c r="N27" s="2">
        <f t="array" ref="N27">IFERROR(ROUND(INDEX(CalcOffAdj,MATCH($A27,CalcTeams,0)),4),"")</f>
        <v>0</v>
      </c>
      <c r="O27" s="2">
        <f t="array" ref="O27">IFERROR(ROUND(INDEX(CalcDefAdj,MATCH($A27,CalcTeams,0)),4),"")</f>
        <v>0</v>
      </c>
      <c r="P27" s="2">
        <f t="array" ref="P27">IFERROR(ROUND(INDEX(CalcOffPl,MATCH($A27,CalcTeams,0)),1),"")</f>
        <v>0</v>
      </c>
      <c r="Q27" s="2">
        <f t="array" ref="Q27">IFERROR(ROUND(INDEX(CalcDefPl,MATCH($A27,CalcTeams,0)),1),"")</f>
        <v>0</v>
      </c>
    </row>
    <row r="28" ht="15.0" customHeight="1">
      <c r="A28" s="2" t="s">
        <v>235</v>
      </c>
      <c r="B28" s="2">
        <f t="array" ref="B28">INDEX(CalcGP,MATCH($A28,CalcTeams,0))</f>
        <v>0</v>
      </c>
      <c r="C28" s="2" t="str">
        <f t="array" ref="C28">IF(AND(WEpa&gt;0,INDEX(CalcEpaGP,MATCH($A28,CalcTeams,0))&gt;=MinGamesEnh),"ENHANCED","BASIC")</f>
        <v>BASIC</v>
      </c>
      <c r="D28" s="2">
        <f t="array" ref="D28">IFERROR(ROUND(INDEX(CalcGoverned,MATCH($A28,CalcTeams,0)),2),"")</f>
        <v>0</v>
      </c>
      <c r="E28" s="2" t="str">
        <f t="array" ref="E28">IFERROR(INDEX(CalcMoveFlag,MATCH($A28,CalcTeams,0)),"")</f>
        <v/>
      </c>
      <c r="F28" s="2">
        <f t="array" ref="F28">IFERROR(INDEX(PriorEff,MATCH(CurrentSeason&amp;"|"&amp;$A28,PriorKey,0)),"")</f>
        <v>-1.99</v>
      </c>
      <c r="G28" s="2">
        <f t="array" ref="G28">IF($F28="",0,INDEX(BlendWts,MATCH(MIN(CurrentWeek,18),BlendWeeks,0)))</f>
        <v>0.8</v>
      </c>
      <c r="H28" s="2">
        <f t="shared" si="1"/>
        <v>-1.59</v>
      </c>
      <c r="I28" s="11"/>
      <c r="J28" s="2">
        <f t="shared" si="2"/>
        <v>-1.59</v>
      </c>
      <c r="K28" s="2">
        <f t="shared" si="3"/>
        <v>24</v>
      </c>
      <c r="L28" s="2" t="str">
        <f>IF($B28&lt;MinGamesTrust,"LOW SAMPLE","")</f>
        <v>LOW SAMPLE</v>
      </c>
      <c r="M28" s="2" t="str">
        <f t="array" ref="M28">INDEX(QBActive,MATCH($A28,QBTeams,0))</f>
        <v>Jaxson Dart</v>
      </c>
      <c r="N28" s="2">
        <f t="array" ref="N28">IFERROR(ROUND(INDEX(CalcOffAdj,MATCH($A28,CalcTeams,0)),4),"")</f>
        <v>0</v>
      </c>
      <c r="O28" s="2">
        <f t="array" ref="O28">IFERROR(ROUND(INDEX(CalcDefAdj,MATCH($A28,CalcTeams,0)),4),"")</f>
        <v>0</v>
      </c>
      <c r="P28" s="2">
        <f t="array" ref="P28">IFERROR(ROUND(INDEX(CalcOffPl,MATCH($A28,CalcTeams,0)),1),"")</f>
        <v>0</v>
      </c>
      <c r="Q28" s="2">
        <f t="array" ref="Q28">IFERROR(ROUND(INDEX(CalcDefPl,MATCH($A28,CalcTeams,0)),1),"")</f>
        <v>0</v>
      </c>
    </row>
    <row r="29" ht="15.0" customHeight="1">
      <c r="A29" s="2" t="s">
        <v>238</v>
      </c>
      <c r="B29" s="2">
        <f t="array" ref="B29">INDEX(CalcGP,MATCH($A29,CalcTeams,0))</f>
        <v>0</v>
      </c>
      <c r="C29" s="2" t="str">
        <f t="array" ref="C29">IF(AND(WEpa&gt;0,INDEX(CalcEpaGP,MATCH($A29,CalcTeams,0))&gt;=MinGamesEnh),"ENHANCED","BASIC")</f>
        <v>BASIC</v>
      </c>
      <c r="D29" s="2">
        <f t="array" ref="D29">IFERROR(ROUND(INDEX(CalcGoverned,MATCH($A29,CalcTeams,0)),2),"")</f>
        <v>0</v>
      </c>
      <c r="E29" s="2" t="str">
        <f t="array" ref="E29">IFERROR(INDEX(CalcMoveFlag,MATCH($A29,CalcTeams,0)),"")</f>
        <v/>
      </c>
      <c r="F29" s="2">
        <f t="array" ref="F29">IFERROR(INDEX(PriorEff,MATCH(CurrentSeason&amp;"|"&amp;$A29,PriorKey,0)),"")</f>
        <v>-5.84</v>
      </c>
      <c r="G29" s="2">
        <f t="array" ref="G29">IF($F29="",0,INDEX(BlendWts,MATCH(MIN(CurrentWeek,18),BlendWeeks,0)))</f>
        <v>0.8</v>
      </c>
      <c r="H29" s="2">
        <f t="shared" si="1"/>
        <v>-4.67</v>
      </c>
      <c r="I29" s="11"/>
      <c r="J29" s="2">
        <f t="shared" si="2"/>
        <v>-4.67</v>
      </c>
      <c r="K29" s="2">
        <f t="shared" si="3"/>
        <v>32</v>
      </c>
      <c r="L29" s="2" t="str">
        <f>IF($B29&lt;MinGamesTrust,"LOW SAMPLE","")</f>
        <v>LOW SAMPLE</v>
      </c>
      <c r="M29" s="2" t="str">
        <f t="array" ref="M29">INDEX(QBActive,MATCH($A29,QBTeams,0))</f>
        <v>Geno Smith</v>
      </c>
      <c r="N29" s="2">
        <f t="array" ref="N29">IFERROR(ROUND(INDEX(CalcOffAdj,MATCH($A29,CalcTeams,0)),4),"")</f>
        <v>0</v>
      </c>
      <c r="O29" s="2">
        <f t="array" ref="O29">IFERROR(ROUND(INDEX(CalcDefAdj,MATCH($A29,CalcTeams,0)),4),"")</f>
        <v>0</v>
      </c>
      <c r="P29" s="2">
        <f t="array" ref="P29">IFERROR(ROUND(INDEX(CalcOffPl,MATCH($A29,CalcTeams,0)),1),"")</f>
        <v>0</v>
      </c>
      <c r="Q29" s="2">
        <f t="array" ref="Q29">IFERROR(ROUND(INDEX(CalcDefPl,MATCH($A29,CalcTeams,0)),1),"")</f>
        <v>0</v>
      </c>
    </row>
    <row r="30" ht="15.0" customHeight="1">
      <c r="A30" s="2" t="s">
        <v>147</v>
      </c>
      <c r="B30" s="2">
        <f t="array" ref="B30">INDEX(CalcGP,MATCH($A30,CalcTeams,0))</f>
        <v>0</v>
      </c>
      <c r="C30" s="2" t="str">
        <f t="array" ref="C30">IF(AND(WEpa&gt;0,INDEX(CalcEpaGP,MATCH($A30,CalcTeams,0))&gt;=MinGamesEnh),"ENHANCED","BASIC")</f>
        <v>BASIC</v>
      </c>
      <c r="D30" s="2">
        <f t="array" ref="D30">IFERROR(ROUND(INDEX(CalcGoverned,MATCH($A30,CalcTeams,0)),2),"")</f>
        <v>0</v>
      </c>
      <c r="E30" s="2" t="str">
        <f t="array" ref="E30">IFERROR(INDEX(CalcMoveFlag,MATCH($A30,CalcTeams,0)),"")</f>
        <v/>
      </c>
      <c r="F30" s="2">
        <f t="array" ref="F30">IFERROR(INDEX(PriorEff,MATCH(CurrentSeason&amp;"|"&amp;$A30,PriorKey,0)),"")</f>
        <v>1.87</v>
      </c>
      <c r="G30" s="2">
        <f t="array" ref="G30">IF($F30="",0,INDEX(BlendWts,MATCH(MIN(CurrentWeek,18),BlendWeeks,0)))</f>
        <v>0.8</v>
      </c>
      <c r="H30" s="2">
        <f t="shared" si="1"/>
        <v>1.5</v>
      </c>
      <c r="I30" s="11"/>
      <c r="J30" s="2">
        <f t="shared" si="2"/>
        <v>1.5</v>
      </c>
      <c r="K30" s="2">
        <f t="shared" si="3"/>
        <v>9</v>
      </c>
      <c r="L30" s="2" t="str">
        <f>IF($B30&lt;MinGamesTrust,"LOW SAMPLE","")</f>
        <v>LOW SAMPLE</v>
      </c>
      <c r="M30" s="2" t="str">
        <f t="array" ref="M30">INDEX(QBActive,MATCH($A30,QBTeams,0))</f>
        <v>Jalen Hurts</v>
      </c>
      <c r="N30" s="2">
        <f t="array" ref="N30">IFERROR(ROUND(INDEX(CalcOffAdj,MATCH($A30,CalcTeams,0)),4),"")</f>
        <v>0</v>
      </c>
      <c r="O30" s="2">
        <f t="array" ref="O30">IFERROR(ROUND(INDEX(CalcDefAdj,MATCH($A30,CalcTeams,0)),4),"")</f>
        <v>0</v>
      </c>
      <c r="P30" s="2">
        <f t="array" ref="P30">IFERROR(ROUND(INDEX(CalcOffPl,MATCH($A30,CalcTeams,0)),1),"")</f>
        <v>0</v>
      </c>
      <c r="Q30" s="2">
        <f t="array" ref="Q30">IFERROR(ROUND(INDEX(CalcDefPl,MATCH($A30,CalcTeams,0)),1),"")</f>
        <v>0</v>
      </c>
    </row>
    <row r="31" ht="15.0" customHeight="1">
      <c r="A31" s="2" t="s">
        <v>242</v>
      </c>
      <c r="B31" s="2">
        <f t="array" ref="B31">INDEX(CalcGP,MATCH($A31,CalcTeams,0))</f>
        <v>0</v>
      </c>
      <c r="C31" s="2" t="str">
        <f t="array" ref="C31">IF(AND(WEpa&gt;0,INDEX(CalcEpaGP,MATCH($A31,CalcTeams,0))&gt;=MinGamesEnh),"ENHANCED","BASIC")</f>
        <v>BASIC</v>
      </c>
      <c r="D31" s="2">
        <f t="array" ref="D31">IFERROR(ROUND(INDEX(CalcGoverned,MATCH($A31,CalcTeams,0)),2),"")</f>
        <v>0</v>
      </c>
      <c r="E31" s="2" t="str">
        <f t="array" ref="E31">IFERROR(INDEX(CalcMoveFlag,MATCH($A31,CalcTeams,0)),"")</f>
        <v/>
      </c>
      <c r="F31" s="2">
        <f t="array" ref="F31">IFERROR(INDEX(PriorEff,MATCH(CurrentSeason&amp;"|"&amp;$A31,PriorKey,0)),"")</f>
        <v>0.82</v>
      </c>
      <c r="G31" s="2">
        <f t="array" ref="G31">IF($F31="",0,INDEX(BlendWts,MATCH(MIN(CurrentWeek,18),BlendWeeks,0)))</f>
        <v>0.8</v>
      </c>
      <c r="H31" s="2">
        <f t="shared" si="1"/>
        <v>0.66</v>
      </c>
      <c r="I31" s="11"/>
      <c r="J31" s="2">
        <f t="shared" si="2"/>
        <v>0.66</v>
      </c>
      <c r="K31" s="2">
        <f t="shared" si="3"/>
        <v>14</v>
      </c>
      <c r="L31" s="2" t="str">
        <f>IF($B31&lt;MinGamesTrust,"LOW SAMPLE","")</f>
        <v>LOW SAMPLE</v>
      </c>
      <c r="M31" s="2" t="str">
        <f t="array" ref="M31">INDEX(QBActive,MATCH($A31,QBTeams,0))</f>
        <v>Aaron Rodgers</v>
      </c>
      <c r="N31" s="2">
        <f t="array" ref="N31">IFERROR(ROUND(INDEX(CalcOffAdj,MATCH($A31,CalcTeams,0)),4),"")</f>
        <v>0</v>
      </c>
      <c r="O31" s="2">
        <f t="array" ref="O31">IFERROR(ROUND(INDEX(CalcDefAdj,MATCH($A31,CalcTeams,0)),4),"")</f>
        <v>0</v>
      </c>
      <c r="P31" s="2">
        <f t="array" ref="P31">IFERROR(ROUND(INDEX(CalcOffPl,MATCH($A31,CalcTeams,0)),1),"")</f>
        <v>0</v>
      </c>
      <c r="Q31" s="2">
        <f t="array" ref="Q31">IFERROR(ROUND(INDEX(CalcDefPl,MATCH($A31,CalcTeams,0)),1),"")</f>
        <v>0</v>
      </c>
    </row>
    <row r="32" ht="15.0" customHeight="1">
      <c r="A32" s="2" t="s">
        <v>149</v>
      </c>
      <c r="B32" s="2">
        <f t="array" ref="B32">INDEX(CalcGP,MATCH($A32,CalcTeams,0))</f>
        <v>0</v>
      </c>
      <c r="C32" s="2" t="str">
        <f t="array" ref="C32">IF(AND(WEpa&gt;0,INDEX(CalcEpaGP,MATCH($A32,CalcTeams,0))&gt;=MinGamesEnh),"ENHANCED","BASIC")</f>
        <v>BASIC</v>
      </c>
      <c r="D32" s="2">
        <f t="array" ref="D32">IFERROR(ROUND(INDEX(CalcGoverned,MATCH($A32,CalcTeams,0)),2),"")</f>
        <v>0</v>
      </c>
      <c r="E32" s="2" t="str">
        <f t="array" ref="E32">IFERROR(INDEX(CalcMoveFlag,MATCH($A32,CalcTeams,0)),"")</f>
        <v/>
      </c>
      <c r="F32" s="2">
        <f t="array" ref="F32">IFERROR(INDEX(PriorEff,MATCH(CurrentSeason&amp;"|"&amp;$A32,PriorKey,0)),"")</f>
        <v>5.13</v>
      </c>
      <c r="G32" s="2">
        <f t="array" ref="G32">IF($F32="",0,INDEX(BlendWts,MATCH(MIN(CurrentWeek,18),BlendWeeks,0)))</f>
        <v>0.8</v>
      </c>
      <c r="H32" s="2">
        <f t="shared" si="1"/>
        <v>4.1</v>
      </c>
      <c r="I32" s="11"/>
      <c r="J32" s="2">
        <f t="shared" si="2"/>
        <v>4.1</v>
      </c>
      <c r="K32" s="2">
        <f t="shared" si="3"/>
        <v>1</v>
      </c>
      <c r="L32" s="2" t="str">
        <f>IF($B32&lt;MinGamesTrust,"LOW SAMPLE","")</f>
        <v>LOW SAMPLE</v>
      </c>
      <c r="M32" s="2" t="str">
        <f t="array" ref="M32">INDEX(QBActive,MATCH($A32,QBTeams,0))</f>
        <v>Sam Darnold</v>
      </c>
      <c r="N32" s="2">
        <f t="array" ref="N32">IFERROR(ROUND(INDEX(CalcOffAdj,MATCH($A32,CalcTeams,0)),4),"")</f>
        <v>0</v>
      </c>
      <c r="O32" s="2">
        <f t="array" ref="O32">IFERROR(ROUND(INDEX(CalcDefAdj,MATCH($A32,CalcTeams,0)),4),"")</f>
        <v>0</v>
      </c>
      <c r="P32" s="2">
        <f t="array" ref="P32">IFERROR(ROUND(INDEX(CalcOffPl,MATCH($A32,CalcTeams,0)),1),"")</f>
        <v>0</v>
      </c>
      <c r="Q32" s="2">
        <f t="array" ref="Q32">IFERROR(ROUND(INDEX(CalcDefPl,MATCH($A32,CalcTeams,0)),1),"")</f>
        <v>0</v>
      </c>
    </row>
    <row r="33" ht="15.0" customHeight="1">
      <c r="A33" s="2" t="s">
        <v>246</v>
      </c>
      <c r="B33" s="2">
        <f t="array" ref="B33">INDEX(CalcGP,MATCH($A33,CalcTeams,0))</f>
        <v>0</v>
      </c>
      <c r="C33" s="2" t="str">
        <f t="array" ref="C33">IF(AND(WEpa&gt;0,INDEX(CalcEpaGP,MATCH($A33,CalcTeams,0))&gt;=MinGamesEnh),"ENHANCED","BASIC")</f>
        <v>BASIC</v>
      </c>
      <c r="D33" s="2">
        <f t="array" ref="D33">IFERROR(ROUND(INDEX(CalcGoverned,MATCH($A33,CalcTeams,0)),2),"")</f>
        <v>0</v>
      </c>
      <c r="E33" s="2" t="str">
        <f t="array" ref="E33">IFERROR(INDEX(CalcMoveFlag,MATCH($A33,CalcTeams,0)),"")</f>
        <v/>
      </c>
      <c r="F33" s="2">
        <f t="array" ref="F33">IFERROR(INDEX(PriorEff,MATCH(CurrentSeason&amp;"|"&amp;$A33,PriorKey,0)),"")</f>
        <v>2.22</v>
      </c>
      <c r="G33" s="2">
        <f t="array" ref="G33">IF($F33="",0,INDEX(BlendWts,MATCH(MIN(CurrentWeek,18),BlendWeeks,0)))</f>
        <v>0.8</v>
      </c>
      <c r="H33" s="2">
        <f t="shared" si="1"/>
        <v>1.78</v>
      </c>
      <c r="I33" s="11"/>
      <c r="J33" s="2">
        <f t="shared" si="2"/>
        <v>1.78</v>
      </c>
      <c r="K33" s="2">
        <f t="shared" si="3"/>
        <v>7</v>
      </c>
      <c r="L33" s="2" t="str">
        <f>IF($B33&lt;MinGamesTrust,"LOW SAMPLE","")</f>
        <v>LOW SAMPLE</v>
      </c>
      <c r="M33" s="2" t="str">
        <f t="array" ref="M33">INDEX(QBActive,MATCH($A33,QBTeams,0))</f>
        <v>Brock Purdy</v>
      </c>
      <c r="N33" s="2">
        <f t="array" ref="N33">IFERROR(ROUND(INDEX(CalcOffAdj,MATCH($A33,CalcTeams,0)),4),"")</f>
        <v>0</v>
      </c>
      <c r="O33" s="2">
        <f t="array" ref="O33">IFERROR(ROUND(INDEX(CalcDefAdj,MATCH($A33,CalcTeams,0)),4),"")</f>
        <v>0</v>
      </c>
      <c r="P33" s="2">
        <f t="array" ref="P33">IFERROR(ROUND(INDEX(CalcOffPl,MATCH($A33,CalcTeams,0)),1),"")</f>
        <v>0</v>
      </c>
      <c r="Q33" s="2">
        <f t="array" ref="Q33">IFERROR(ROUND(INDEX(CalcDefPl,MATCH($A33,CalcTeams,0)),1),"")</f>
        <v>0</v>
      </c>
    </row>
    <row r="34" ht="15.0" customHeight="1">
      <c r="A34" s="2" t="s">
        <v>150</v>
      </c>
      <c r="B34" s="2">
        <f t="array" ref="B34">INDEX(CalcGP,MATCH($A34,CalcTeams,0))</f>
        <v>0</v>
      </c>
      <c r="C34" s="2" t="str">
        <f t="array" ref="C34">IF(AND(WEpa&gt;0,INDEX(CalcEpaGP,MATCH($A34,CalcTeams,0))&gt;=MinGamesEnh),"ENHANCED","BASIC")</f>
        <v>BASIC</v>
      </c>
      <c r="D34" s="2">
        <f t="array" ref="D34">IFERROR(ROUND(INDEX(CalcGoverned,MATCH($A34,CalcTeams,0)),2),"")</f>
        <v>0</v>
      </c>
      <c r="E34" s="2" t="str">
        <f t="array" ref="E34">IFERROR(INDEX(CalcMoveFlag,MATCH($A34,CalcTeams,0)),"")</f>
        <v/>
      </c>
      <c r="F34" s="2">
        <f t="array" ref="F34">IFERROR(INDEX(PriorEff,MATCH(CurrentSeason&amp;"|"&amp;$A34,PriorKey,0)),"")</f>
        <v>-0.6</v>
      </c>
      <c r="G34" s="2">
        <f t="array" ref="G34">IF($F34="",0,INDEX(BlendWts,MATCH(MIN(CurrentWeek,18),BlendWeeks,0)))</f>
        <v>0.8</v>
      </c>
      <c r="H34" s="2">
        <f t="shared" si="1"/>
        <v>-0.48</v>
      </c>
      <c r="I34" s="11"/>
      <c r="J34" s="2">
        <f t="shared" si="2"/>
        <v>-0.48</v>
      </c>
      <c r="K34" s="2">
        <f t="shared" si="3"/>
        <v>20</v>
      </c>
      <c r="L34" s="2" t="str">
        <f>IF($B34&lt;MinGamesTrust,"LOW SAMPLE","")</f>
        <v>LOW SAMPLE</v>
      </c>
      <c r="M34" s="2" t="str">
        <f t="array" ref="M34">INDEX(QBActive,MATCH($A34,QBTeams,0))</f>
        <v>Baker Mayfield</v>
      </c>
      <c r="N34" s="2">
        <f t="array" ref="N34">IFERROR(ROUND(INDEX(CalcOffAdj,MATCH($A34,CalcTeams,0)),4),"")</f>
        <v>0</v>
      </c>
      <c r="O34" s="2">
        <f t="array" ref="O34">IFERROR(ROUND(INDEX(CalcDefAdj,MATCH($A34,CalcTeams,0)),4),"")</f>
        <v>0</v>
      </c>
      <c r="P34" s="2">
        <f t="array" ref="P34">IFERROR(ROUND(INDEX(CalcOffPl,MATCH($A34,CalcTeams,0)),1),"")</f>
        <v>0</v>
      </c>
      <c r="Q34" s="2">
        <f t="array" ref="Q34">IFERROR(ROUND(INDEX(CalcDefPl,MATCH($A34,CalcTeams,0)),1),"")</f>
        <v>0</v>
      </c>
    </row>
    <row r="35" ht="15.0" customHeight="1">
      <c r="A35" s="2" t="s">
        <v>250</v>
      </c>
      <c r="B35" s="2">
        <f t="array" ref="B35">INDEX(CalcGP,MATCH($A35,CalcTeams,0))</f>
        <v>0</v>
      </c>
      <c r="C35" s="2" t="str">
        <f t="array" ref="C35">IF(AND(WEpa&gt;0,INDEX(CalcEpaGP,MATCH($A35,CalcTeams,0))&gt;=MinGamesEnh),"ENHANCED","BASIC")</f>
        <v>BASIC</v>
      </c>
      <c r="D35" s="2">
        <f t="array" ref="D35">IFERROR(ROUND(INDEX(CalcGoverned,MATCH($A35,CalcTeams,0)),2),"")</f>
        <v>0</v>
      </c>
      <c r="E35" s="2" t="str">
        <f t="array" ref="E35">IFERROR(INDEX(CalcMoveFlag,MATCH($A35,CalcTeams,0)),"")</f>
        <v/>
      </c>
      <c r="F35" s="2">
        <f t="array" ref="F35">IFERROR(INDEX(PriorEff,MATCH(CurrentSeason&amp;"|"&amp;$A35,PriorKey,0)),"")</f>
        <v>-3.93</v>
      </c>
      <c r="G35" s="2">
        <f t="array" ref="G35">IF($F35="",0,INDEX(BlendWts,MATCH(MIN(CurrentWeek,18),BlendWeeks,0)))</f>
        <v>0.8</v>
      </c>
      <c r="H35" s="2">
        <f t="shared" si="1"/>
        <v>-3.14</v>
      </c>
      <c r="I35" s="11"/>
      <c r="J35" s="2">
        <f t="shared" si="2"/>
        <v>-3.14</v>
      </c>
      <c r="K35" s="2">
        <f t="shared" si="3"/>
        <v>30</v>
      </c>
      <c r="L35" s="2" t="str">
        <f>IF($B35&lt;MinGamesTrust,"LOW SAMPLE","")</f>
        <v>LOW SAMPLE</v>
      </c>
      <c r="M35" s="2" t="str">
        <f t="array" ref="M35">INDEX(QBActive,MATCH($A35,QBTeams,0))</f>
        <v>Cam Ward</v>
      </c>
      <c r="N35" s="2">
        <f t="array" ref="N35">IFERROR(ROUND(INDEX(CalcOffAdj,MATCH($A35,CalcTeams,0)),4),"")</f>
        <v>0</v>
      </c>
      <c r="O35" s="2">
        <f t="array" ref="O35">IFERROR(ROUND(INDEX(CalcDefAdj,MATCH($A35,CalcTeams,0)),4),"")</f>
        <v>0</v>
      </c>
      <c r="P35" s="2">
        <f t="array" ref="P35">IFERROR(ROUND(INDEX(CalcOffPl,MATCH($A35,CalcTeams,0)),1),"")</f>
        <v>0</v>
      </c>
      <c r="Q35" s="2">
        <f t="array" ref="Q35">IFERROR(ROUND(INDEX(CalcDefPl,MATCH($A35,CalcTeams,0)),1),"")</f>
        <v>0</v>
      </c>
    </row>
    <row r="36" ht="15.0" customHeight="1">
      <c r="A36" s="2" t="s">
        <v>253</v>
      </c>
      <c r="B36" s="2">
        <f t="array" ref="B36">INDEX(CalcGP,MATCH($A36,CalcTeams,0))</f>
        <v>0</v>
      </c>
      <c r="C36" s="2" t="str">
        <f t="array" ref="C36">IF(AND(WEpa&gt;0,INDEX(CalcEpaGP,MATCH($A36,CalcTeams,0))&gt;=MinGamesEnh),"ENHANCED","BASIC")</f>
        <v>BASIC</v>
      </c>
      <c r="D36" s="2">
        <f t="array" ref="D36">IFERROR(ROUND(INDEX(CalcGoverned,MATCH($A36,CalcTeams,0)),2),"")</f>
        <v>0</v>
      </c>
      <c r="E36" s="2" t="str">
        <f t="array" ref="E36">IFERROR(INDEX(CalcMoveFlag,MATCH($A36,CalcTeams,0)),"")</f>
        <v/>
      </c>
      <c r="F36" s="2">
        <f t="array" ref="F36">IFERROR(INDEX(PriorEff,MATCH(CurrentSeason&amp;"|"&amp;$A36,PriorKey,0)),"")</f>
        <v>-2.53</v>
      </c>
      <c r="G36" s="2">
        <f t="array" ref="G36">IF($F36="",0,INDEX(BlendWts,MATCH(MIN(CurrentWeek,18),BlendWeeks,0)))</f>
        <v>0.8</v>
      </c>
      <c r="H36" s="2">
        <f t="shared" si="1"/>
        <v>-2.02</v>
      </c>
      <c r="I36" s="11"/>
      <c r="J36" s="2">
        <f t="shared" si="2"/>
        <v>-2.02</v>
      </c>
      <c r="K36" s="2">
        <f t="shared" si="3"/>
        <v>25</v>
      </c>
      <c r="L36" s="2" t="str">
        <f>IF($B36&lt;MinGamesTrust,"LOW SAMPLE","")</f>
        <v>LOW SAMPLE</v>
      </c>
      <c r="M36" s="2" t="str">
        <f t="array" ref="M36">INDEX(QBActive,MATCH($A36,QBTeams,0))</f>
        <v>Jayden Daniels</v>
      </c>
      <c r="N36" s="2">
        <f t="array" ref="N36">IFERROR(ROUND(INDEX(CalcOffAdj,MATCH($A36,CalcTeams,0)),4),"")</f>
        <v>0</v>
      </c>
      <c r="O36" s="2">
        <f t="array" ref="O36">IFERROR(ROUND(INDEX(CalcDefAdj,MATCH($A36,CalcTeams,0)),4),"")</f>
        <v>0</v>
      </c>
      <c r="P36" s="2">
        <f t="array" ref="P36">IFERROR(ROUND(INDEX(CalcOffPl,MATCH($A36,CalcTeams,0)),1),"")</f>
        <v>0</v>
      </c>
      <c r="Q36" s="2">
        <f t="array" ref="Q36">IFERROR(ROUND(INDEX(CalcDefPl,MATCH($A36,CalcTeams,0)),1),"")</f>
        <v>0</v>
      </c>
    </row>
    <row r="37" ht="15.75" customHeight="1">
      <c r="A37" s="2"/>
      <c r="C37" s="2"/>
      <c r="D37" s="2"/>
      <c r="F37" s="2"/>
      <c r="H37" s="2"/>
      <c r="I37" s="2"/>
      <c r="J37" s="2"/>
      <c r="M37" s="2"/>
    </row>
    <row r="38" ht="15.75" customHeight="1">
      <c r="A38" s="2"/>
      <c r="C38" s="2"/>
      <c r="D38" s="2"/>
      <c r="F38" s="2"/>
      <c r="H38" s="2"/>
      <c r="I38" s="2"/>
      <c r="J38" s="2"/>
      <c r="M38" s="2"/>
    </row>
    <row r="39" ht="15.75" customHeight="1">
      <c r="A39" s="2"/>
      <c r="C39" s="2"/>
      <c r="D39" s="2"/>
      <c r="F39" s="2"/>
      <c r="H39" s="2"/>
      <c r="I39" s="2"/>
      <c r="J39" s="2"/>
      <c r="M39" s="2"/>
    </row>
    <row r="40" ht="15.75" customHeight="1">
      <c r="A40" s="2"/>
      <c r="C40" s="2"/>
      <c r="D40" s="2"/>
      <c r="F40" s="2"/>
      <c r="H40" s="2"/>
      <c r="I40" s="2"/>
      <c r="J40" s="2"/>
      <c r="M40" s="2"/>
    </row>
    <row r="41" ht="15.75" customHeight="1">
      <c r="A41" s="2"/>
      <c r="C41" s="2"/>
      <c r="D41" s="2"/>
      <c r="F41" s="2"/>
      <c r="H41" s="2"/>
      <c r="I41" s="2"/>
      <c r="J41" s="2"/>
      <c r="M41" s="2"/>
    </row>
    <row r="42" ht="15.75" customHeight="1">
      <c r="A42" s="2"/>
      <c r="C42" s="2"/>
      <c r="D42" s="2"/>
      <c r="F42" s="2"/>
      <c r="H42" s="2"/>
      <c r="I42" s="2"/>
      <c r="J42" s="2"/>
      <c r="M42" s="2"/>
    </row>
    <row r="43" ht="15.75" customHeight="1">
      <c r="A43" s="2"/>
      <c r="C43" s="2"/>
      <c r="D43" s="2"/>
      <c r="F43" s="2"/>
      <c r="H43" s="2"/>
      <c r="I43" s="2"/>
      <c r="J43" s="2"/>
      <c r="M43" s="2"/>
    </row>
    <row r="44" ht="15.75" customHeight="1">
      <c r="A44" s="2"/>
      <c r="C44" s="2"/>
      <c r="D44" s="2"/>
      <c r="F44" s="2"/>
      <c r="H44" s="2"/>
      <c r="I44" s="2"/>
      <c r="J44" s="2"/>
      <c r="M44" s="2"/>
    </row>
    <row r="45" ht="15.75" customHeight="1">
      <c r="A45" s="2"/>
      <c r="C45" s="2"/>
      <c r="D45" s="2"/>
      <c r="F45" s="2"/>
      <c r="H45" s="2"/>
      <c r="I45" s="2"/>
      <c r="J45" s="2"/>
      <c r="M45" s="2"/>
    </row>
    <row r="46" ht="15.75" customHeight="1">
      <c r="A46" s="2"/>
      <c r="C46" s="2"/>
      <c r="D46" s="2"/>
      <c r="F46" s="2"/>
      <c r="H46" s="2"/>
      <c r="I46" s="2"/>
      <c r="J46" s="2"/>
      <c r="M46" s="2"/>
    </row>
    <row r="47" ht="15.75" customHeight="1">
      <c r="A47" s="2"/>
      <c r="C47" s="2"/>
      <c r="D47" s="2"/>
      <c r="F47" s="2"/>
      <c r="H47" s="2"/>
      <c r="I47" s="2"/>
      <c r="J47" s="2"/>
      <c r="M47" s="2"/>
    </row>
    <row r="48" ht="15.75" customHeight="1">
      <c r="A48" s="2"/>
      <c r="C48" s="2"/>
      <c r="D48" s="2"/>
      <c r="F48" s="2"/>
      <c r="H48" s="2"/>
      <c r="I48" s="2"/>
      <c r="J48" s="2"/>
      <c r="M48" s="2"/>
    </row>
    <row r="49" ht="15.75" customHeight="1">
      <c r="A49" s="2"/>
      <c r="C49" s="2"/>
      <c r="D49" s="2"/>
      <c r="F49" s="2"/>
      <c r="H49" s="2"/>
      <c r="I49" s="2"/>
      <c r="J49" s="2"/>
      <c r="M49" s="2"/>
    </row>
    <row r="50" ht="15.75" customHeight="1">
      <c r="A50" s="2"/>
      <c r="C50" s="2"/>
      <c r="D50" s="2"/>
      <c r="F50" s="2"/>
      <c r="H50" s="2"/>
      <c r="I50" s="2"/>
      <c r="J50" s="2"/>
      <c r="M50" s="2"/>
    </row>
    <row r="51" ht="15.75" customHeight="1">
      <c r="A51" s="2"/>
      <c r="C51" s="2"/>
      <c r="D51" s="2"/>
      <c r="F51" s="2"/>
      <c r="H51" s="2"/>
      <c r="I51" s="2"/>
      <c r="J51" s="2"/>
      <c r="M51" s="2"/>
    </row>
    <row r="52" ht="15.75" customHeight="1">
      <c r="A52" s="2"/>
      <c r="C52" s="2"/>
      <c r="D52" s="2"/>
      <c r="F52" s="2"/>
      <c r="H52" s="2"/>
      <c r="I52" s="2"/>
      <c r="J52" s="2"/>
      <c r="M52" s="2"/>
    </row>
    <row r="53" ht="15.75" customHeight="1">
      <c r="A53" s="2"/>
      <c r="C53" s="2"/>
      <c r="D53" s="2"/>
      <c r="F53" s="2"/>
      <c r="H53" s="2"/>
      <c r="I53" s="2"/>
      <c r="J53" s="2"/>
      <c r="M53" s="2"/>
    </row>
    <row r="54" ht="15.75" customHeight="1">
      <c r="A54" s="2"/>
      <c r="C54" s="2"/>
      <c r="D54" s="2"/>
      <c r="F54" s="2"/>
      <c r="H54" s="2"/>
      <c r="I54" s="2"/>
      <c r="J54" s="2"/>
      <c r="M54" s="2"/>
    </row>
    <row r="55" ht="15.75" customHeight="1">
      <c r="A55" s="2"/>
      <c r="C55" s="2"/>
      <c r="D55" s="2"/>
      <c r="F55" s="2"/>
      <c r="H55" s="2"/>
      <c r="I55" s="2"/>
      <c r="J55" s="2"/>
      <c r="M55" s="2"/>
    </row>
    <row r="56" ht="15.75" customHeight="1">
      <c r="A56" s="2"/>
      <c r="C56" s="2"/>
      <c r="D56" s="2"/>
      <c r="F56" s="2"/>
      <c r="H56" s="2"/>
      <c r="I56" s="2"/>
      <c r="J56" s="2"/>
      <c r="M56" s="2"/>
    </row>
    <row r="57" ht="15.75" customHeight="1">
      <c r="A57" s="2"/>
      <c r="C57" s="2"/>
      <c r="D57" s="2"/>
      <c r="F57" s="2"/>
      <c r="H57" s="2"/>
      <c r="I57" s="2"/>
      <c r="J57" s="2"/>
      <c r="M57" s="2"/>
    </row>
    <row r="58" ht="15.75" customHeight="1">
      <c r="A58" s="2"/>
      <c r="C58" s="2"/>
      <c r="D58" s="2"/>
      <c r="F58" s="2"/>
      <c r="H58" s="2"/>
      <c r="I58" s="2"/>
      <c r="J58" s="2"/>
      <c r="M58" s="2"/>
    </row>
    <row r="59" ht="15.75" customHeight="1">
      <c r="A59" s="2"/>
      <c r="C59" s="2"/>
      <c r="D59" s="2"/>
      <c r="F59" s="2"/>
      <c r="H59" s="2"/>
      <c r="I59" s="2"/>
      <c r="J59" s="2"/>
      <c r="M59" s="2"/>
    </row>
    <row r="60" ht="15.75" customHeight="1">
      <c r="A60" s="2"/>
      <c r="C60" s="2"/>
      <c r="D60" s="2"/>
      <c r="F60" s="2"/>
      <c r="H60" s="2"/>
      <c r="I60" s="2"/>
      <c r="J60" s="2"/>
      <c r="M60" s="2"/>
    </row>
    <row r="61" ht="15.75" customHeight="1">
      <c r="A61" s="2"/>
      <c r="C61" s="2"/>
      <c r="D61" s="2"/>
      <c r="F61" s="2"/>
      <c r="H61" s="2"/>
      <c r="I61" s="2"/>
      <c r="J61" s="2"/>
      <c r="M61" s="2"/>
    </row>
    <row r="62" ht="15.75" customHeight="1">
      <c r="A62" s="2"/>
      <c r="C62" s="2"/>
      <c r="D62" s="2"/>
      <c r="F62" s="2"/>
      <c r="H62" s="2"/>
      <c r="I62" s="2"/>
      <c r="J62" s="2"/>
      <c r="M62" s="2"/>
    </row>
    <row r="63" ht="15.75" customHeight="1">
      <c r="A63" s="2"/>
      <c r="C63" s="2"/>
      <c r="D63" s="2"/>
      <c r="F63" s="2"/>
      <c r="H63" s="2"/>
      <c r="I63" s="2"/>
      <c r="J63" s="2"/>
      <c r="M63" s="2"/>
    </row>
    <row r="64" ht="15.75" customHeight="1">
      <c r="A64" s="2"/>
      <c r="C64" s="2"/>
      <c r="D64" s="2"/>
      <c r="F64" s="2"/>
      <c r="H64" s="2"/>
      <c r="I64" s="2"/>
      <c r="J64" s="2"/>
      <c r="M64" s="2"/>
    </row>
    <row r="65" ht="15.75" customHeight="1">
      <c r="A65" s="2"/>
      <c r="C65" s="2"/>
      <c r="D65" s="2"/>
      <c r="F65" s="2"/>
      <c r="H65" s="2"/>
      <c r="I65" s="2"/>
      <c r="J65" s="2"/>
      <c r="M65" s="2"/>
    </row>
    <row r="66" ht="15.75" customHeight="1">
      <c r="A66" s="2"/>
      <c r="C66" s="2"/>
      <c r="D66" s="2"/>
      <c r="F66" s="2"/>
      <c r="H66" s="2"/>
      <c r="I66" s="2"/>
      <c r="J66" s="2"/>
      <c r="M66" s="2"/>
    </row>
    <row r="67" ht="15.75" customHeight="1">
      <c r="A67" s="2"/>
      <c r="C67" s="2"/>
      <c r="D67" s="2"/>
      <c r="F67" s="2"/>
      <c r="H67" s="2"/>
      <c r="I67" s="2"/>
      <c r="J67" s="2"/>
      <c r="M67" s="2"/>
    </row>
    <row r="68" ht="15.75" customHeight="1">
      <c r="A68" s="2"/>
      <c r="C68" s="2"/>
      <c r="D68" s="2"/>
      <c r="F68" s="2"/>
      <c r="H68" s="2"/>
      <c r="I68" s="2"/>
      <c r="J68" s="2"/>
      <c r="M68" s="2"/>
    </row>
    <row r="69" ht="15.75" customHeight="1">
      <c r="A69" s="2"/>
      <c r="C69" s="2"/>
      <c r="D69" s="2"/>
      <c r="F69" s="2"/>
      <c r="H69" s="2"/>
      <c r="I69" s="2"/>
      <c r="J69" s="2"/>
      <c r="M69" s="2"/>
    </row>
    <row r="70" ht="15.75" customHeight="1">
      <c r="A70" s="2"/>
      <c r="C70" s="2"/>
      <c r="D70" s="2"/>
      <c r="F70" s="2"/>
      <c r="H70" s="2"/>
      <c r="I70" s="2"/>
      <c r="J70" s="2"/>
      <c r="M70" s="2"/>
    </row>
    <row r="71" ht="15.75" customHeight="1">
      <c r="A71" s="2"/>
      <c r="C71" s="2"/>
      <c r="D71" s="2"/>
      <c r="F71" s="2"/>
      <c r="H71" s="2"/>
      <c r="I71" s="2"/>
      <c r="J71" s="2"/>
      <c r="M71" s="2"/>
    </row>
    <row r="72" ht="15.75" customHeight="1">
      <c r="A72" s="2"/>
      <c r="C72" s="2"/>
      <c r="D72" s="2"/>
      <c r="F72" s="2"/>
      <c r="H72" s="2"/>
      <c r="I72" s="2"/>
      <c r="J72" s="2"/>
      <c r="M72" s="2"/>
    </row>
    <row r="73" ht="15.75" customHeight="1">
      <c r="A73" s="2"/>
      <c r="C73" s="2"/>
      <c r="D73" s="2"/>
      <c r="F73" s="2"/>
      <c r="H73" s="2"/>
      <c r="I73" s="2"/>
      <c r="J73" s="2"/>
      <c r="M73" s="2"/>
    </row>
    <row r="74" ht="15.75" customHeight="1">
      <c r="A74" s="2"/>
      <c r="C74" s="2"/>
      <c r="D74" s="2"/>
      <c r="F74" s="2"/>
      <c r="H74" s="2"/>
      <c r="I74" s="2"/>
      <c r="J74" s="2"/>
      <c r="M74" s="2"/>
    </row>
    <row r="75" ht="15.75" customHeight="1">
      <c r="A75" s="2"/>
      <c r="C75" s="2"/>
      <c r="D75" s="2"/>
      <c r="F75" s="2"/>
      <c r="H75" s="2"/>
      <c r="I75" s="2"/>
      <c r="J75" s="2"/>
      <c r="M75" s="2"/>
    </row>
    <row r="76" ht="15.75" customHeight="1">
      <c r="A76" s="2"/>
      <c r="C76" s="2"/>
      <c r="D76" s="2"/>
      <c r="F76" s="2"/>
      <c r="H76" s="2"/>
      <c r="I76" s="2"/>
      <c r="J76" s="2"/>
      <c r="M76" s="2"/>
    </row>
    <row r="77" ht="15.75" customHeight="1">
      <c r="A77" s="2"/>
      <c r="C77" s="2"/>
      <c r="D77" s="2"/>
      <c r="F77" s="2"/>
      <c r="H77" s="2"/>
      <c r="I77" s="2"/>
      <c r="J77" s="2"/>
      <c r="M77" s="2"/>
    </row>
    <row r="78" ht="15.75" customHeight="1">
      <c r="A78" s="2"/>
      <c r="C78" s="2"/>
      <c r="D78" s="2"/>
      <c r="F78" s="2"/>
      <c r="H78" s="2"/>
      <c r="I78" s="2"/>
      <c r="J78" s="2"/>
      <c r="M78" s="2"/>
    </row>
    <row r="79" ht="15.75" customHeight="1">
      <c r="A79" s="2"/>
      <c r="C79" s="2"/>
      <c r="D79" s="2"/>
      <c r="F79" s="2"/>
      <c r="H79" s="2"/>
      <c r="I79" s="2"/>
      <c r="J79" s="2"/>
      <c r="M79" s="2"/>
    </row>
    <row r="80" ht="15.75" customHeight="1">
      <c r="A80" s="2"/>
      <c r="C80" s="2"/>
      <c r="D80" s="2"/>
      <c r="F80" s="2"/>
      <c r="H80" s="2"/>
      <c r="I80" s="2"/>
      <c r="J80" s="2"/>
      <c r="M80" s="2"/>
    </row>
    <row r="81" ht="15.75" customHeight="1">
      <c r="A81" s="2"/>
      <c r="C81" s="2"/>
      <c r="D81" s="2"/>
      <c r="F81" s="2"/>
      <c r="H81" s="2"/>
      <c r="I81" s="2"/>
      <c r="J81" s="2"/>
      <c r="M81" s="2"/>
    </row>
    <row r="82" ht="15.75" customHeight="1">
      <c r="A82" s="2"/>
      <c r="C82" s="2"/>
      <c r="D82" s="2"/>
      <c r="F82" s="2"/>
      <c r="H82" s="2"/>
      <c r="I82" s="2"/>
      <c r="J82" s="2"/>
      <c r="M82" s="2"/>
    </row>
    <row r="83" ht="15.75" customHeight="1">
      <c r="A83" s="2"/>
      <c r="C83" s="2"/>
      <c r="D83" s="2"/>
      <c r="F83" s="2"/>
      <c r="H83" s="2"/>
      <c r="I83" s="2"/>
      <c r="J83" s="2"/>
      <c r="M83" s="2"/>
    </row>
    <row r="84" ht="15.75" customHeight="1">
      <c r="A84" s="2"/>
      <c r="C84" s="2"/>
      <c r="D84" s="2"/>
      <c r="F84" s="2"/>
      <c r="H84" s="2"/>
      <c r="I84" s="2"/>
      <c r="J84" s="2"/>
      <c r="M84" s="2"/>
    </row>
    <row r="85" ht="15.75" customHeight="1">
      <c r="A85" s="2"/>
      <c r="C85" s="2"/>
      <c r="D85" s="2"/>
      <c r="F85" s="2"/>
      <c r="H85" s="2"/>
      <c r="I85" s="2"/>
      <c r="J85" s="2"/>
      <c r="M85" s="2"/>
    </row>
    <row r="86" ht="15.75" customHeight="1">
      <c r="A86" s="2"/>
      <c r="C86" s="2"/>
      <c r="D86" s="2"/>
      <c r="F86" s="2"/>
      <c r="H86" s="2"/>
      <c r="I86" s="2"/>
      <c r="J86" s="2"/>
      <c r="M86" s="2"/>
    </row>
    <row r="87" ht="15.75" customHeight="1">
      <c r="A87" s="2"/>
      <c r="C87" s="2"/>
      <c r="D87" s="2"/>
      <c r="F87" s="2"/>
      <c r="H87" s="2"/>
      <c r="I87" s="2"/>
      <c r="J87" s="2"/>
      <c r="M87" s="2"/>
    </row>
    <row r="88" ht="15.75" customHeight="1">
      <c r="A88" s="2"/>
      <c r="C88" s="2"/>
      <c r="D88" s="2"/>
      <c r="F88" s="2"/>
      <c r="H88" s="2"/>
      <c r="I88" s="2"/>
      <c r="J88" s="2"/>
      <c r="M88" s="2"/>
    </row>
    <row r="89" ht="15.75" customHeight="1">
      <c r="A89" s="2"/>
      <c r="C89" s="2"/>
      <c r="D89" s="2"/>
      <c r="F89" s="2"/>
      <c r="H89" s="2"/>
      <c r="I89" s="2"/>
      <c r="J89" s="2"/>
      <c r="M89" s="2"/>
    </row>
    <row r="90" ht="15.75" customHeight="1">
      <c r="A90" s="2"/>
      <c r="C90" s="2"/>
      <c r="D90" s="2"/>
      <c r="F90" s="2"/>
      <c r="H90" s="2"/>
      <c r="I90" s="2"/>
      <c r="J90" s="2"/>
      <c r="M90" s="2"/>
    </row>
    <row r="91" ht="15.75" customHeight="1">
      <c r="A91" s="2"/>
      <c r="C91" s="2"/>
      <c r="D91" s="2"/>
      <c r="F91" s="2"/>
      <c r="H91" s="2"/>
      <c r="I91" s="2"/>
      <c r="J91" s="2"/>
      <c r="M91" s="2"/>
    </row>
    <row r="92" ht="15.75" customHeight="1">
      <c r="A92" s="2"/>
      <c r="C92" s="2"/>
      <c r="D92" s="2"/>
      <c r="F92" s="2"/>
      <c r="H92" s="2"/>
      <c r="I92" s="2"/>
      <c r="J92" s="2"/>
      <c r="M92" s="2"/>
    </row>
    <row r="93" ht="15.75" customHeight="1">
      <c r="A93" s="2"/>
      <c r="C93" s="2"/>
      <c r="D93" s="2"/>
      <c r="F93" s="2"/>
      <c r="H93" s="2"/>
      <c r="I93" s="2"/>
      <c r="J93" s="2"/>
      <c r="M93" s="2"/>
    </row>
    <row r="94" ht="15.75" customHeight="1">
      <c r="A94" s="2"/>
      <c r="C94" s="2"/>
      <c r="D94" s="2"/>
      <c r="F94" s="2"/>
      <c r="H94" s="2"/>
      <c r="I94" s="2"/>
      <c r="J94" s="2"/>
      <c r="M94" s="2"/>
    </row>
    <row r="95" ht="15.75" customHeight="1">
      <c r="A95" s="2"/>
      <c r="C95" s="2"/>
      <c r="D95" s="2"/>
      <c r="F95" s="2"/>
      <c r="H95" s="2"/>
      <c r="I95" s="2"/>
      <c r="J95" s="2"/>
      <c r="M95" s="2"/>
    </row>
    <row r="96" ht="15.75" customHeight="1">
      <c r="A96" s="2"/>
      <c r="C96" s="2"/>
      <c r="D96" s="2"/>
      <c r="F96" s="2"/>
      <c r="H96" s="2"/>
      <c r="I96" s="2"/>
      <c r="J96" s="2"/>
      <c r="M96" s="2"/>
    </row>
    <row r="97" ht="15.75" customHeight="1">
      <c r="A97" s="2"/>
      <c r="C97" s="2"/>
      <c r="D97" s="2"/>
      <c r="F97" s="2"/>
      <c r="H97" s="2"/>
      <c r="I97" s="2"/>
      <c r="J97" s="2"/>
      <c r="M97" s="2"/>
    </row>
    <row r="98" ht="15.75" customHeight="1">
      <c r="A98" s="2"/>
      <c r="C98" s="2"/>
      <c r="D98" s="2"/>
      <c r="F98" s="2"/>
      <c r="H98" s="2"/>
      <c r="I98" s="2"/>
      <c r="J98" s="2"/>
      <c r="M98" s="2"/>
    </row>
    <row r="99" ht="15.75" customHeight="1">
      <c r="A99" s="2"/>
      <c r="C99" s="2"/>
      <c r="D99" s="2"/>
      <c r="F99" s="2"/>
      <c r="H99" s="2"/>
      <c r="I99" s="2"/>
      <c r="J99" s="2"/>
      <c r="M99" s="2"/>
    </row>
    <row r="100" ht="15.75" customHeight="1">
      <c r="A100" s="2"/>
      <c r="C100" s="2"/>
      <c r="D100" s="2"/>
      <c r="F100" s="2"/>
      <c r="H100" s="2"/>
      <c r="I100" s="2"/>
      <c r="J100" s="2"/>
      <c r="M100" s="2"/>
    </row>
    <row r="101" ht="15.75" customHeight="1">
      <c r="A101" s="2"/>
      <c r="C101" s="2"/>
      <c r="D101" s="2"/>
      <c r="F101" s="2"/>
      <c r="H101" s="2"/>
      <c r="I101" s="2"/>
      <c r="J101" s="2"/>
      <c r="M101" s="2"/>
    </row>
    <row r="102" ht="15.75" customHeight="1">
      <c r="A102" s="2"/>
      <c r="C102" s="2"/>
      <c r="D102" s="2"/>
      <c r="F102" s="2"/>
      <c r="H102" s="2"/>
      <c r="I102" s="2"/>
      <c r="J102" s="2"/>
      <c r="M102" s="2"/>
    </row>
    <row r="103" ht="15.75" customHeight="1">
      <c r="A103" s="2"/>
      <c r="C103" s="2"/>
      <c r="D103" s="2"/>
      <c r="F103" s="2"/>
      <c r="H103" s="2"/>
      <c r="I103" s="2"/>
      <c r="J103" s="2"/>
      <c r="M103" s="2"/>
    </row>
    <row r="104" ht="15.75" customHeight="1">
      <c r="A104" s="2"/>
      <c r="C104" s="2"/>
      <c r="D104" s="2"/>
      <c r="F104" s="2"/>
      <c r="H104" s="2"/>
      <c r="I104" s="2"/>
      <c r="J104" s="2"/>
      <c r="M104" s="2"/>
    </row>
    <row r="105" ht="15.75" customHeight="1">
      <c r="A105" s="2"/>
      <c r="C105" s="2"/>
      <c r="D105" s="2"/>
      <c r="F105" s="2"/>
      <c r="H105" s="2"/>
      <c r="I105" s="2"/>
      <c r="J105" s="2"/>
      <c r="M105" s="2"/>
    </row>
    <row r="106" ht="15.75" customHeight="1">
      <c r="A106" s="2"/>
      <c r="C106" s="2"/>
      <c r="D106" s="2"/>
      <c r="F106" s="2"/>
      <c r="H106" s="2"/>
      <c r="I106" s="2"/>
      <c r="J106" s="2"/>
      <c r="M106" s="2"/>
    </row>
    <row r="107" ht="15.75" customHeight="1">
      <c r="A107" s="2"/>
      <c r="C107" s="2"/>
      <c r="D107" s="2"/>
      <c r="F107" s="2"/>
      <c r="H107" s="2"/>
      <c r="I107" s="2"/>
      <c r="J107" s="2"/>
      <c r="M107" s="2"/>
    </row>
    <row r="108" ht="15.75" customHeight="1">
      <c r="A108" s="2"/>
      <c r="C108" s="2"/>
      <c r="D108" s="2"/>
      <c r="F108" s="2"/>
      <c r="H108" s="2"/>
      <c r="I108" s="2"/>
      <c r="J108" s="2"/>
      <c r="M108" s="2"/>
    </row>
    <row r="109" ht="15.75" customHeight="1">
      <c r="A109" s="2"/>
      <c r="C109" s="2"/>
      <c r="D109" s="2"/>
      <c r="F109" s="2"/>
      <c r="H109" s="2"/>
      <c r="I109" s="2"/>
      <c r="J109" s="2"/>
      <c r="M109" s="2"/>
    </row>
    <row r="110" ht="15.75" customHeight="1">
      <c r="A110" s="2"/>
      <c r="C110" s="2"/>
      <c r="D110" s="2"/>
      <c r="F110" s="2"/>
      <c r="H110" s="2"/>
      <c r="I110" s="2"/>
      <c r="J110" s="2"/>
      <c r="M110" s="2"/>
    </row>
    <row r="111" ht="15.75" customHeight="1">
      <c r="A111" s="2"/>
      <c r="C111" s="2"/>
      <c r="D111" s="2"/>
      <c r="F111" s="2"/>
      <c r="H111" s="2"/>
      <c r="I111" s="2"/>
      <c r="J111" s="2"/>
      <c r="M111" s="2"/>
    </row>
    <row r="112" ht="15.75" customHeight="1">
      <c r="A112" s="2"/>
      <c r="C112" s="2"/>
      <c r="D112" s="2"/>
      <c r="F112" s="2"/>
      <c r="H112" s="2"/>
      <c r="I112" s="2"/>
      <c r="J112" s="2"/>
      <c r="M112" s="2"/>
    </row>
    <row r="113" ht="15.75" customHeight="1">
      <c r="A113" s="2"/>
      <c r="C113" s="2"/>
      <c r="D113" s="2"/>
      <c r="F113" s="2"/>
      <c r="H113" s="2"/>
      <c r="I113" s="2"/>
      <c r="J113" s="2"/>
      <c r="M113" s="2"/>
    </row>
    <row r="114" ht="15.75" customHeight="1">
      <c r="A114" s="2"/>
      <c r="C114" s="2"/>
      <c r="D114" s="2"/>
      <c r="F114" s="2"/>
      <c r="H114" s="2"/>
      <c r="I114" s="2"/>
      <c r="J114" s="2"/>
      <c r="M114" s="2"/>
    </row>
    <row r="115" ht="15.75" customHeight="1">
      <c r="A115" s="2"/>
      <c r="C115" s="2"/>
      <c r="D115" s="2"/>
      <c r="F115" s="2"/>
      <c r="H115" s="2"/>
      <c r="I115" s="2"/>
      <c r="J115" s="2"/>
      <c r="M115" s="2"/>
    </row>
    <row r="116" ht="15.75" customHeight="1">
      <c r="A116" s="2"/>
      <c r="C116" s="2"/>
      <c r="D116" s="2"/>
      <c r="F116" s="2"/>
      <c r="H116" s="2"/>
      <c r="I116" s="2"/>
      <c r="J116" s="2"/>
      <c r="M116" s="2"/>
    </row>
    <row r="117" ht="15.75" customHeight="1">
      <c r="A117" s="2"/>
      <c r="C117" s="2"/>
      <c r="D117" s="2"/>
      <c r="F117" s="2"/>
      <c r="H117" s="2"/>
      <c r="I117" s="2"/>
      <c r="J117" s="2"/>
      <c r="M117" s="2"/>
    </row>
    <row r="118" ht="15.75" customHeight="1">
      <c r="A118" s="2"/>
      <c r="C118" s="2"/>
      <c r="D118" s="2"/>
      <c r="F118" s="2"/>
      <c r="H118" s="2"/>
      <c r="I118" s="2"/>
      <c r="J118" s="2"/>
      <c r="M118" s="2"/>
    </row>
    <row r="119" ht="15.75" customHeight="1">
      <c r="A119" s="2"/>
      <c r="C119" s="2"/>
      <c r="D119" s="2"/>
      <c r="F119" s="2"/>
      <c r="H119" s="2"/>
      <c r="I119" s="2"/>
      <c r="J119" s="2"/>
      <c r="M119" s="2"/>
    </row>
    <row r="120" ht="15.75" customHeight="1">
      <c r="A120" s="2"/>
      <c r="C120" s="2"/>
      <c r="D120" s="2"/>
      <c r="F120" s="2"/>
      <c r="H120" s="2"/>
      <c r="I120" s="2"/>
      <c r="J120" s="2"/>
      <c r="M120" s="2"/>
    </row>
    <row r="121" ht="15.75" customHeight="1">
      <c r="A121" s="2"/>
      <c r="C121" s="2"/>
      <c r="D121" s="2"/>
      <c r="F121" s="2"/>
      <c r="H121" s="2"/>
      <c r="I121" s="2"/>
      <c r="J121" s="2"/>
      <c r="M121" s="2"/>
    </row>
    <row r="122" ht="15.75" customHeight="1">
      <c r="A122" s="2"/>
      <c r="C122" s="2"/>
      <c r="D122" s="2"/>
      <c r="F122" s="2"/>
      <c r="H122" s="2"/>
      <c r="I122" s="2"/>
      <c r="J122" s="2"/>
      <c r="M122" s="2"/>
    </row>
    <row r="123" ht="15.75" customHeight="1">
      <c r="A123" s="2"/>
      <c r="C123" s="2"/>
      <c r="D123" s="2"/>
      <c r="F123" s="2"/>
      <c r="H123" s="2"/>
      <c r="I123" s="2"/>
      <c r="J123" s="2"/>
      <c r="M123" s="2"/>
    </row>
    <row r="124" ht="15.75" customHeight="1">
      <c r="A124" s="2"/>
      <c r="C124" s="2"/>
      <c r="D124" s="2"/>
      <c r="F124" s="2"/>
      <c r="H124" s="2"/>
      <c r="I124" s="2"/>
      <c r="J124" s="2"/>
      <c r="M124" s="2"/>
    </row>
    <row r="125" ht="15.75" customHeight="1">
      <c r="A125" s="2"/>
      <c r="C125" s="2"/>
      <c r="D125" s="2"/>
      <c r="F125" s="2"/>
      <c r="H125" s="2"/>
      <c r="I125" s="2"/>
      <c r="J125" s="2"/>
      <c r="M125" s="2"/>
    </row>
    <row r="126" ht="15.75" customHeight="1">
      <c r="A126" s="2"/>
      <c r="C126" s="2"/>
      <c r="D126" s="2"/>
      <c r="F126" s="2"/>
      <c r="H126" s="2"/>
      <c r="I126" s="2"/>
      <c r="J126" s="2"/>
      <c r="M126" s="2"/>
    </row>
    <row r="127" ht="15.75" customHeight="1">
      <c r="A127" s="2"/>
      <c r="C127" s="2"/>
      <c r="D127" s="2"/>
      <c r="F127" s="2"/>
      <c r="H127" s="2"/>
      <c r="I127" s="2"/>
      <c r="J127" s="2"/>
      <c r="M127" s="2"/>
    </row>
    <row r="128" ht="15.75" customHeight="1">
      <c r="A128" s="2"/>
      <c r="C128" s="2"/>
      <c r="D128" s="2"/>
      <c r="F128" s="2"/>
      <c r="H128" s="2"/>
      <c r="I128" s="2"/>
      <c r="J128" s="2"/>
      <c r="M128" s="2"/>
    </row>
    <row r="129" ht="15.75" customHeight="1">
      <c r="A129" s="2"/>
      <c r="C129" s="2"/>
      <c r="D129" s="2"/>
      <c r="F129" s="2"/>
      <c r="H129" s="2"/>
      <c r="I129" s="2"/>
      <c r="J129" s="2"/>
      <c r="M129" s="2"/>
    </row>
    <row r="130" ht="15.75" customHeight="1">
      <c r="A130" s="2"/>
      <c r="C130" s="2"/>
      <c r="D130" s="2"/>
      <c r="F130" s="2"/>
      <c r="H130" s="2"/>
      <c r="I130" s="2"/>
      <c r="J130" s="2"/>
      <c r="M130" s="2"/>
    </row>
    <row r="131" ht="15.75" customHeight="1">
      <c r="A131" s="2"/>
      <c r="C131" s="2"/>
      <c r="D131" s="2"/>
      <c r="F131" s="2"/>
      <c r="H131" s="2"/>
      <c r="I131" s="2"/>
      <c r="J131" s="2"/>
      <c r="M131" s="2"/>
    </row>
    <row r="132" ht="15.75" customHeight="1">
      <c r="A132" s="2"/>
      <c r="C132" s="2"/>
      <c r="D132" s="2"/>
      <c r="F132" s="2"/>
      <c r="H132" s="2"/>
      <c r="I132" s="2"/>
      <c r="J132" s="2"/>
      <c r="M132" s="2"/>
    </row>
    <row r="133" ht="15.75" customHeight="1">
      <c r="A133" s="2"/>
      <c r="C133" s="2"/>
      <c r="D133" s="2"/>
      <c r="F133" s="2"/>
      <c r="H133" s="2"/>
      <c r="I133" s="2"/>
      <c r="J133" s="2"/>
      <c r="M133" s="2"/>
    </row>
    <row r="134" ht="15.75" customHeight="1">
      <c r="A134" s="2"/>
      <c r="C134" s="2"/>
      <c r="D134" s="2"/>
      <c r="F134" s="2"/>
      <c r="H134" s="2"/>
      <c r="I134" s="2"/>
      <c r="J134" s="2"/>
      <c r="M134" s="2"/>
    </row>
    <row r="135" ht="15.75" customHeight="1">
      <c r="A135" s="2"/>
      <c r="C135" s="2"/>
      <c r="D135" s="2"/>
      <c r="F135" s="2"/>
      <c r="H135" s="2"/>
      <c r="I135" s="2"/>
      <c r="J135" s="2"/>
      <c r="M135" s="2"/>
    </row>
    <row r="136" ht="15.75" customHeight="1">
      <c r="A136" s="2"/>
      <c r="C136" s="2"/>
      <c r="D136" s="2"/>
      <c r="F136" s="2"/>
      <c r="H136" s="2"/>
      <c r="I136" s="2"/>
      <c r="J136" s="2"/>
      <c r="M136" s="2"/>
    </row>
    <row r="137" ht="15.75" customHeight="1">
      <c r="A137" s="2"/>
      <c r="C137" s="2"/>
      <c r="D137" s="2"/>
      <c r="F137" s="2"/>
      <c r="H137" s="2"/>
      <c r="I137" s="2"/>
      <c r="J137" s="2"/>
      <c r="M137" s="2"/>
    </row>
    <row r="138" ht="15.75" customHeight="1">
      <c r="A138" s="2"/>
      <c r="C138" s="2"/>
      <c r="D138" s="2"/>
      <c r="F138" s="2"/>
      <c r="H138" s="2"/>
      <c r="I138" s="2"/>
      <c r="J138" s="2"/>
      <c r="M138" s="2"/>
    </row>
    <row r="139" ht="15.75" customHeight="1">
      <c r="A139" s="2"/>
      <c r="C139" s="2"/>
      <c r="D139" s="2"/>
      <c r="F139" s="2"/>
      <c r="H139" s="2"/>
      <c r="I139" s="2"/>
      <c r="J139" s="2"/>
      <c r="M139" s="2"/>
    </row>
    <row r="140" ht="15.75" customHeight="1">
      <c r="A140" s="2"/>
      <c r="C140" s="2"/>
      <c r="D140" s="2"/>
      <c r="F140" s="2"/>
      <c r="H140" s="2"/>
      <c r="I140" s="2"/>
      <c r="J140" s="2"/>
      <c r="M140" s="2"/>
    </row>
    <row r="141" ht="15.75" customHeight="1">
      <c r="A141" s="2"/>
      <c r="C141" s="2"/>
      <c r="D141" s="2"/>
      <c r="F141" s="2"/>
      <c r="H141" s="2"/>
      <c r="I141" s="2"/>
      <c r="J141" s="2"/>
      <c r="M141" s="2"/>
    </row>
    <row r="142" ht="15.75" customHeight="1">
      <c r="A142" s="2"/>
      <c r="C142" s="2"/>
      <c r="D142" s="2"/>
      <c r="F142" s="2"/>
      <c r="H142" s="2"/>
      <c r="I142" s="2"/>
      <c r="J142" s="2"/>
      <c r="M142" s="2"/>
    </row>
    <row r="143" ht="15.75" customHeight="1">
      <c r="A143" s="2"/>
      <c r="C143" s="2"/>
      <c r="D143" s="2"/>
      <c r="F143" s="2"/>
      <c r="H143" s="2"/>
      <c r="I143" s="2"/>
      <c r="J143" s="2"/>
      <c r="M143" s="2"/>
    </row>
    <row r="144" ht="15.75" customHeight="1">
      <c r="A144" s="2"/>
      <c r="C144" s="2"/>
      <c r="D144" s="2"/>
      <c r="F144" s="2"/>
      <c r="H144" s="2"/>
      <c r="I144" s="2"/>
      <c r="J144" s="2"/>
      <c r="M144" s="2"/>
    </row>
    <row r="145" ht="15.75" customHeight="1">
      <c r="A145" s="2"/>
      <c r="C145" s="2"/>
      <c r="D145" s="2"/>
      <c r="F145" s="2"/>
      <c r="H145" s="2"/>
      <c r="I145" s="2"/>
      <c r="J145" s="2"/>
      <c r="M145" s="2"/>
    </row>
    <row r="146" ht="15.75" customHeight="1">
      <c r="A146" s="2"/>
      <c r="C146" s="2"/>
      <c r="D146" s="2"/>
      <c r="F146" s="2"/>
      <c r="H146" s="2"/>
      <c r="I146" s="2"/>
      <c r="J146" s="2"/>
      <c r="M146" s="2"/>
    </row>
    <row r="147" ht="15.75" customHeight="1">
      <c r="A147" s="2"/>
      <c r="C147" s="2"/>
      <c r="D147" s="2"/>
      <c r="F147" s="2"/>
      <c r="H147" s="2"/>
      <c r="I147" s="2"/>
      <c r="J147" s="2"/>
      <c r="M147" s="2"/>
    </row>
    <row r="148" ht="15.75" customHeight="1">
      <c r="A148" s="2"/>
      <c r="C148" s="2"/>
      <c r="D148" s="2"/>
      <c r="F148" s="2"/>
      <c r="H148" s="2"/>
      <c r="I148" s="2"/>
      <c r="J148" s="2"/>
      <c r="M148" s="2"/>
    </row>
    <row r="149" ht="15.75" customHeight="1">
      <c r="A149" s="2"/>
      <c r="C149" s="2"/>
      <c r="D149" s="2"/>
      <c r="F149" s="2"/>
      <c r="H149" s="2"/>
      <c r="I149" s="2"/>
      <c r="J149" s="2"/>
      <c r="M149" s="2"/>
    </row>
    <row r="150" ht="15.75" customHeight="1">
      <c r="A150" s="2"/>
      <c r="C150" s="2"/>
      <c r="D150" s="2"/>
      <c r="F150" s="2"/>
      <c r="H150" s="2"/>
      <c r="I150" s="2"/>
      <c r="J150" s="2"/>
      <c r="M150" s="2"/>
    </row>
    <row r="151" ht="15.75" customHeight="1">
      <c r="A151" s="2"/>
      <c r="C151" s="2"/>
      <c r="D151" s="2"/>
      <c r="F151" s="2"/>
      <c r="H151" s="2"/>
      <c r="I151" s="2"/>
      <c r="J151" s="2"/>
      <c r="M151" s="2"/>
    </row>
    <row r="152" ht="15.75" customHeight="1">
      <c r="A152" s="2"/>
      <c r="C152" s="2"/>
      <c r="D152" s="2"/>
      <c r="F152" s="2"/>
      <c r="H152" s="2"/>
      <c r="I152" s="2"/>
      <c r="J152" s="2"/>
      <c r="M152" s="2"/>
    </row>
    <row r="153" ht="15.75" customHeight="1">
      <c r="A153" s="2"/>
      <c r="C153" s="2"/>
      <c r="D153" s="2"/>
      <c r="F153" s="2"/>
      <c r="H153" s="2"/>
      <c r="I153" s="2"/>
      <c r="J153" s="2"/>
      <c r="M153" s="2"/>
    </row>
    <row r="154" ht="15.75" customHeight="1">
      <c r="A154" s="2"/>
      <c r="C154" s="2"/>
      <c r="D154" s="2"/>
      <c r="F154" s="2"/>
      <c r="H154" s="2"/>
      <c r="I154" s="2"/>
      <c r="J154" s="2"/>
      <c r="M154" s="2"/>
    </row>
    <row r="155" ht="15.75" customHeight="1">
      <c r="A155" s="2"/>
      <c r="C155" s="2"/>
      <c r="D155" s="2"/>
      <c r="F155" s="2"/>
      <c r="H155" s="2"/>
      <c r="I155" s="2"/>
      <c r="J155" s="2"/>
      <c r="M155" s="2"/>
    </row>
    <row r="156" ht="15.75" customHeight="1">
      <c r="A156" s="2"/>
      <c r="C156" s="2"/>
      <c r="D156" s="2"/>
      <c r="F156" s="2"/>
      <c r="H156" s="2"/>
      <c r="I156" s="2"/>
      <c r="J156" s="2"/>
      <c r="M156" s="2"/>
    </row>
    <row r="157" ht="15.75" customHeight="1">
      <c r="A157" s="2"/>
      <c r="C157" s="2"/>
      <c r="D157" s="2"/>
      <c r="F157" s="2"/>
      <c r="H157" s="2"/>
      <c r="I157" s="2"/>
      <c r="J157" s="2"/>
      <c r="M157" s="2"/>
    </row>
    <row r="158" ht="15.75" customHeight="1">
      <c r="A158" s="2"/>
      <c r="C158" s="2"/>
      <c r="D158" s="2"/>
      <c r="F158" s="2"/>
      <c r="H158" s="2"/>
      <c r="I158" s="2"/>
      <c r="J158" s="2"/>
      <c r="M158" s="2"/>
    </row>
    <row r="159" ht="15.75" customHeight="1">
      <c r="A159" s="2"/>
      <c r="C159" s="2"/>
      <c r="D159" s="2"/>
      <c r="F159" s="2"/>
      <c r="H159" s="2"/>
      <c r="I159" s="2"/>
      <c r="J159" s="2"/>
      <c r="M159" s="2"/>
    </row>
    <row r="160" ht="15.75" customHeight="1">
      <c r="A160" s="2"/>
      <c r="C160" s="2"/>
      <c r="D160" s="2"/>
      <c r="F160" s="2"/>
      <c r="H160" s="2"/>
      <c r="I160" s="2"/>
      <c r="J160" s="2"/>
      <c r="M160" s="2"/>
    </row>
    <row r="161" ht="15.75" customHeight="1">
      <c r="A161" s="2"/>
      <c r="C161" s="2"/>
      <c r="D161" s="2"/>
      <c r="F161" s="2"/>
      <c r="H161" s="2"/>
      <c r="I161" s="2"/>
      <c r="J161" s="2"/>
      <c r="M161" s="2"/>
    </row>
    <row r="162" ht="15.75" customHeight="1">
      <c r="A162" s="2"/>
      <c r="C162" s="2"/>
      <c r="D162" s="2"/>
      <c r="F162" s="2"/>
      <c r="H162" s="2"/>
      <c r="I162" s="2"/>
      <c r="J162" s="2"/>
      <c r="M162" s="2"/>
    </row>
    <row r="163" ht="15.75" customHeight="1">
      <c r="A163" s="2"/>
      <c r="C163" s="2"/>
      <c r="D163" s="2"/>
      <c r="F163" s="2"/>
      <c r="H163" s="2"/>
      <c r="I163" s="2"/>
      <c r="J163" s="2"/>
      <c r="M163" s="2"/>
    </row>
    <row r="164" ht="15.75" customHeight="1">
      <c r="A164" s="2"/>
      <c r="C164" s="2"/>
      <c r="D164" s="2"/>
      <c r="F164" s="2"/>
      <c r="H164" s="2"/>
      <c r="I164" s="2"/>
      <c r="J164" s="2"/>
      <c r="M164" s="2"/>
    </row>
    <row r="165" ht="15.75" customHeight="1">
      <c r="A165" s="2"/>
      <c r="C165" s="2"/>
      <c r="D165" s="2"/>
      <c r="F165" s="2"/>
      <c r="H165" s="2"/>
      <c r="I165" s="2"/>
      <c r="J165" s="2"/>
      <c r="M165" s="2"/>
    </row>
    <row r="166" ht="15.75" customHeight="1">
      <c r="A166" s="2"/>
      <c r="C166" s="2"/>
      <c r="D166" s="2"/>
      <c r="F166" s="2"/>
      <c r="H166" s="2"/>
      <c r="I166" s="2"/>
      <c r="J166" s="2"/>
      <c r="M166" s="2"/>
    </row>
    <row r="167" ht="15.75" customHeight="1">
      <c r="A167" s="2"/>
      <c r="C167" s="2"/>
      <c r="D167" s="2"/>
      <c r="F167" s="2"/>
      <c r="H167" s="2"/>
      <c r="I167" s="2"/>
      <c r="J167" s="2"/>
      <c r="M167" s="2"/>
    </row>
    <row r="168" ht="15.75" customHeight="1">
      <c r="A168" s="2"/>
      <c r="C168" s="2"/>
      <c r="D168" s="2"/>
      <c r="F168" s="2"/>
      <c r="H168" s="2"/>
      <c r="I168" s="2"/>
      <c r="J168" s="2"/>
      <c r="M168" s="2"/>
    </row>
    <row r="169" ht="15.75" customHeight="1">
      <c r="A169" s="2"/>
      <c r="C169" s="2"/>
      <c r="D169" s="2"/>
      <c r="F169" s="2"/>
      <c r="H169" s="2"/>
      <c r="I169" s="2"/>
      <c r="J169" s="2"/>
      <c r="M169" s="2"/>
    </row>
    <row r="170" ht="15.75" customHeight="1">
      <c r="A170" s="2"/>
      <c r="C170" s="2"/>
      <c r="D170" s="2"/>
      <c r="F170" s="2"/>
      <c r="H170" s="2"/>
      <c r="I170" s="2"/>
      <c r="J170" s="2"/>
      <c r="M170" s="2"/>
    </row>
    <row r="171" ht="15.75" customHeight="1">
      <c r="A171" s="2"/>
      <c r="C171" s="2"/>
      <c r="D171" s="2"/>
      <c r="F171" s="2"/>
      <c r="H171" s="2"/>
      <c r="I171" s="2"/>
      <c r="J171" s="2"/>
      <c r="M171" s="2"/>
    </row>
    <row r="172" ht="15.75" customHeight="1">
      <c r="A172" s="2"/>
      <c r="C172" s="2"/>
      <c r="D172" s="2"/>
      <c r="F172" s="2"/>
      <c r="H172" s="2"/>
      <c r="I172" s="2"/>
      <c r="J172" s="2"/>
      <c r="M172" s="2"/>
    </row>
    <row r="173" ht="15.75" customHeight="1">
      <c r="A173" s="2"/>
      <c r="C173" s="2"/>
      <c r="D173" s="2"/>
      <c r="F173" s="2"/>
      <c r="H173" s="2"/>
      <c r="I173" s="2"/>
      <c r="J173" s="2"/>
      <c r="M173" s="2"/>
    </row>
    <row r="174" ht="15.75" customHeight="1">
      <c r="A174" s="2"/>
      <c r="C174" s="2"/>
      <c r="D174" s="2"/>
      <c r="F174" s="2"/>
      <c r="H174" s="2"/>
      <c r="I174" s="2"/>
      <c r="J174" s="2"/>
      <c r="M174" s="2"/>
    </row>
    <row r="175" ht="15.75" customHeight="1">
      <c r="A175" s="2"/>
      <c r="C175" s="2"/>
      <c r="D175" s="2"/>
      <c r="F175" s="2"/>
      <c r="H175" s="2"/>
      <c r="I175" s="2"/>
      <c r="J175" s="2"/>
      <c r="M175" s="2"/>
    </row>
    <row r="176" ht="15.75" customHeight="1">
      <c r="A176" s="2"/>
      <c r="C176" s="2"/>
      <c r="D176" s="2"/>
      <c r="F176" s="2"/>
      <c r="H176" s="2"/>
      <c r="I176" s="2"/>
      <c r="J176" s="2"/>
      <c r="M176" s="2"/>
    </row>
    <row r="177" ht="15.75" customHeight="1">
      <c r="A177" s="2"/>
      <c r="C177" s="2"/>
      <c r="D177" s="2"/>
      <c r="F177" s="2"/>
      <c r="H177" s="2"/>
      <c r="I177" s="2"/>
      <c r="J177" s="2"/>
      <c r="M177" s="2"/>
    </row>
    <row r="178" ht="15.75" customHeight="1">
      <c r="A178" s="2"/>
      <c r="C178" s="2"/>
      <c r="D178" s="2"/>
      <c r="F178" s="2"/>
      <c r="H178" s="2"/>
      <c r="I178" s="2"/>
      <c r="J178" s="2"/>
      <c r="M178" s="2"/>
    </row>
    <row r="179" ht="15.75" customHeight="1">
      <c r="A179" s="2"/>
      <c r="C179" s="2"/>
      <c r="D179" s="2"/>
      <c r="F179" s="2"/>
      <c r="H179" s="2"/>
      <c r="I179" s="2"/>
      <c r="J179" s="2"/>
      <c r="M179" s="2"/>
    </row>
    <row r="180" ht="15.75" customHeight="1">
      <c r="A180" s="2"/>
      <c r="C180" s="2"/>
      <c r="D180" s="2"/>
      <c r="F180" s="2"/>
      <c r="H180" s="2"/>
      <c r="I180" s="2"/>
      <c r="J180" s="2"/>
      <c r="M180" s="2"/>
    </row>
    <row r="181" ht="15.75" customHeight="1">
      <c r="A181" s="2"/>
      <c r="C181" s="2"/>
      <c r="D181" s="2"/>
      <c r="F181" s="2"/>
      <c r="H181" s="2"/>
      <c r="I181" s="2"/>
      <c r="J181" s="2"/>
      <c r="M181" s="2"/>
    </row>
    <row r="182" ht="15.75" customHeight="1">
      <c r="A182" s="2"/>
      <c r="C182" s="2"/>
      <c r="D182" s="2"/>
      <c r="F182" s="2"/>
      <c r="H182" s="2"/>
      <c r="I182" s="2"/>
      <c r="J182" s="2"/>
      <c r="M182" s="2"/>
    </row>
    <row r="183" ht="15.75" customHeight="1">
      <c r="A183" s="2"/>
      <c r="C183" s="2"/>
      <c r="D183" s="2"/>
      <c r="F183" s="2"/>
      <c r="H183" s="2"/>
      <c r="I183" s="2"/>
      <c r="J183" s="2"/>
      <c r="M183" s="2"/>
    </row>
    <row r="184" ht="15.75" customHeight="1">
      <c r="A184" s="2"/>
      <c r="C184" s="2"/>
      <c r="D184" s="2"/>
      <c r="F184" s="2"/>
      <c r="H184" s="2"/>
      <c r="I184" s="2"/>
      <c r="J184" s="2"/>
      <c r="M184" s="2"/>
    </row>
    <row r="185" ht="15.75" customHeight="1">
      <c r="A185" s="2"/>
      <c r="C185" s="2"/>
      <c r="D185" s="2"/>
      <c r="F185" s="2"/>
      <c r="H185" s="2"/>
      <c r="I185" s="2"/>
      <c r="J185" s="2"/>
      <c r="M185" s="2"/>
    </row>
    <row r="186" ht="15.75" customHeight="1">
      <c r="A186" s="2"/>
      <c r="C186" s="2"/>
      <c r="D186" s="2"/>
      <c r="F186" s="2"/>
      <c r="H186" s="2"/>
      <c r="I186" s="2"/>
      <c r="J186" s="2"/>
      <c r="M186" s="2"/>
    </row>
    <row r="187" ht="15.75" customHeight="1">
      <c r="A187" s="2"/>
      <c r="C187" s="2"/>
      <c r="D187" s="2"/>
      <c r="F187" s="2"/>
      <c r="H187" s="2"/>
      <c r="I187" s="2"/>
      <c r="J187" s="2"/>
      <c r="M187" s="2"/>
    </row>
    <row r="188" ht="15.75" customHeight="1">
      <c r="A188" s="2"/>
      <c r="C188" s="2"/>
      <c r="D188" s="2"/>
      <c r="F188" s="2"/>
      <c r="H188" s="2"/>
      <c r="I188" s="2"/>
      <c r="J188" s="2"/>
      <c r="M188" s="2"/>
    </row>
    <row r="189" ht="15.75" customHeight="1">
      <c r="A189" s="2"/>
      <c r="C189" s="2"/>
      <c r="D189" s="2"/>
      <c r="F189" s="2"/>
      <c r="H189" s="2"/>
      <c r="I189" s="2"/>
      <c r="J189" s="2"/>
      <c r="M189" s="2"/>
    </row>
    <row r="190" ht="15.75" customHeight="1">
      <c r="A190" s="2"/>
      <c r="C190" s="2"/>
      <c r="D190" s="2"/>
      <c r="F190" s="2"/>
      <c r="H190" s="2"/>
      <c r="I190" s="2"/>
      <c r="J190" s="2"/>
      <c r="M190" s="2"/>
    </row>
    <row r="191" ht="15.75" customHeight="1">
      <c r="A191" s="2"/>
      <c r="C191" s="2"/>
      <c r="D191" s="2"/>
      <c r="F191" s="2"/>
      <c r="H191" s="2"/>
      <c r="I191" s="2"/>
      <c r="J191" s="2"/>
      <c r="M191" s="2"/>
    </row>
    <row r="192" ht="15.75" customHeight="1">
      <c r="A192" s="2"/>
      <c r="C192" s="2"/>
      <c r="D192" s="2"/>
      <c r="F192" s="2"/>
      <c r="H192" s="2"/>
      <c r="I192" s="2"/>
      <c r="J192" s="2"/>
      <c r="M192" s="2"/>
    </row>
    <row r="193" ht="15.75" customHeight="1">
      <c r="A193" s="2"/>
      <c r="C193" s="2"/>
      <c r="D193" s="2"/>
      <c r="F193" s="2"/>
      <c r="H193" s="2"/>
      <c r="I193" s="2"/>
      <c r="J193" s="2"/>
      <c r="M193" s="2"/>
    </row>
    <row r="194" ht="15.75" customHeight="1">
      <c r="A194" s="2"/>
      <c r="C194" s="2"/>
      <c r="D194" s="2"/>
      <c r="F194" s="2"/>
      <c r="H194" s="2"/>
      <c r="I194" s="2"/>
      <c r="J194" s="2"/>
      <c r="M194" s="2"/>
    </row>
    <row r="195" ht="15.75" customHeight="1">
      <c r="A195" s="2"/>
      <c r="C195" s="2"/>
      <c r="D195" s="2"/>
      <c r="F195" s="2"/>
      <c r="H195" s="2"/>
      <c r="I195" s="2"/>
      <c r="J195" s="2"/>
      <c r="M195" s="2"/>
    </row>
    <row r="196" ht="15.75" customHeight="1">
      <c r="A196" s="2"/>
      <c r="C196" s="2"/>
      <c r="D196" s="2"/>
      <c r="F196" s="2"/>
      <c r="H196" s="2"/>
      <c r="I196" s="2"/>
      <c r="J196" s="2"/>
      <c r="M196" s="2"/>
    </row>
    <row r="197" ht="15.75" customHeight="1">
      <c r="A197" s="2"/>
      <c r="C197" s="2"/>
      <c r="D197" s="2"/>
      <c r="F197" s="2"/>
      <c r="H197" s="2"/>
      <c r="I197" s="2"/>
      <c r="J197" s="2"/>
      <c r="M197" s="2"/>
    </row>
    <row r="198" ht="15.75" customHeight="1">
      <c r="A198" s="2"/>
      <c r="C198" s="2"/>
      <c r="D198" s="2"/>
      <c r="F198" s="2"/>
      <c r="H198" s="2"/>
      <c r="I198" s="2"/>
      <c r="J198" s="2"/>
      <c r="M198" s="2"/>
    </row>
    <row r="199" ht="15.75" customHeight="1">
      <c r="A199" s="2"/>
      <c r="C199" s="2"/>
      <c r="D199" s="2"/>
      <c r="F199" s="2"/>
      <c r="H199" s="2"/>
      <c r="I199" s="2"/>
      <c r="J199" s="2"/>
      <c r="M199" s="2"/>
    </row>
    <row r="200" ht="15.75" customHeight="1">
      <c r="A200" s="2"/>
      <c r="C200" s="2"/>
      <c r="D200" s="2"/>
      <c r="F200" s="2"/>
      <c r="H200" s="2"/>
      <c r="I200" s="2"/>
      <c r="J200" s="2"/>
      <c r="M200" s="2"/>
    </row>
    <row r="201" ht="15.75" customHeight="1">
      <c r="A201" s="2"/>
      <c r="C201" s="2"/>
      <c r="D201" s="2"/>
      <c r="F201" s="2"/>
      <c r="H201" s="2"/>
      <c r="I201" s="2"/>
      <c r="J201" s="2"/>
      <c r="M201" s="2"/>
    </row>
    <row r="202" ht="15.75" customHeight="1">
      <c r="A202" s="2"/>
      <c r="C202" s="2"/>
      <c r="D202" s="2"/>
      <c r="F202" s="2"/>
      <c r="H202" s="2"/>
      <c r="I202" s="2"/>
      <c r="J202" s="2"/>
      <c r="M202" s="2"/>
    </row>
    <row r="203" ht="15.75" customHeight="1">
      <c r="A203" s="2"/>
      <c r="C203" s="2"/>
      <c r="D203" s="2"/>
      <c r="F203" s="2"/>
      <c r="H203" s="2"/>
      <c r="I203" s="2"/>
      <c r="J203" s="2"/>
      <c r="M203" s="2"/>
    </row>
    <row r="204" ht="15.75" customHeight="1">
      <c r="A204" s="2"/>
      <c r="C204" s="2"/>
      <c r="D204" s="2"/>
      <c r="F204" s="2"/>
      <c r="H204" s="2"/>
      <c r="I204" s="2"/>
      <c r="J204" s="2"/>
      <c r="M204" s="2"/>
    </row>
    <row r="205" ht="15.75" customHeight="1">
      <c r="A205" s="2"/>
      <c r="C205" s="2"/>
      <c r="D205" s="2"/>
      <c r="F205" s="2"/>
      <c r="H205" s="2"/>
      <c r="I205" s="2"/>
      <c r="J205" s="2"/>
      <c r="M205" s="2"/>
    </row>
    <row r="206" ht="15.75" customHeight="1">
      <c r="A206" s="2"/>
      <c r="C206" s="2"/>
      <c r="D206" s="2"/>
      <c r="F206" s="2"/>
      <c r="H206" s="2"/>
      <c r="I206" s="2"/>
      <c r="J206" s="2"/>
      <c r="M206" s="2"/>
    </row>
    <row r="207" ht="15.75" customHeight="1">
      <c r="A207" s="2"/>
      <c r="C207" s="2"/>
      <c r="D207" s="2"/>
      <c r="F207" s="2"/>
      <c r="H207" s="2"/>
      <c r="I207" s="2"/>
      <c r="J207" s="2"/>
      <c r="M207" s="2"/>
    </row>
    <row r="208" ht="15.75" customHeight="1">
      <c r="A208" s="2"/>
      <c r="C208" s="2"/>
      <c r="D208" s="2"/>
      <c r="F208" s="2"/>
      <c r="H208" s="2"/>
      <c r="I208" s="2"/>
      <c r="J208" s="2"/>
      <c r="M208" s="2"/>
    </row>
    <row r="209" ht="15.75" customHeight="1">
      <c r="A209" s="2"/>
      <c r="C209" s="2"/>
      <c r="D209" s="2"/>
      <c r="F209" s="2"/>
      <c r="H209" s="2"/>
      <c r="I209" s="2"/>
      <c r="J209" s="2"/>
      <c r="M209" s="2"/>
    </row>
    <row r="210" ht="15.75" customHeight="1">
      <c r="A210" s="2"/>
      <c r="C210" s="2"/>
      <c r="D210" s="2"/>
      <c r="F210" s="2"/>
      <c r="H210" s="2"/>
      <c r="I210" s="2"/>
      <c r="J210" s="2"/>
      <c r="M210" s="2"/>
    </row>
    <row r="211" ht="15.75" customHeight="1">
      <c r="A211" s="2"/>
      <c r="C211" s="2"/>
      <c r="D211" s="2"/>
      <c r="F211" s="2"/>
      <c r="H211" s="2"/>
      <c r="I211" s="2"/>
      <c r="J211" s="2"/>
      <c r="M211" s="2"/>
    </row>
    <row r="212" ht="15.75" customHeight="1">
      <c r="A212" s="2"/>
      <c r="C212" s="2"/>
      <c r="D212" s="2"/>
      <c r="F212" s="2"/>
      <c r="H212" s="2"/>
      <c r="I212" s="2"/>
      <c r="J212" s="2"/>
      <c r="M212" s="2"/>
    </row>
    <row r="213" ht="15.75" customHeight="1">
      <c r="A213" s="2"/>
      <c r="C213" s="2"/>
      <c r="D213" s="2"/>
      <c r="F213" s="2"/>
      <c r="H213" s="2"/>
      <c r="I213" s="2"/>
      <c r="J213" s="2"/>
      <c r="M213" s="2"/>
    </row>
    <row r="214" ht="15.75" customHeight="1">
      <c r="A214" s="2"/>
      <c r="C214" s="2"/>
      <c r="D214" s="2"/>
      <c r="F214" s="2"/>
      <c r="H214" s="2"/>
      <c r="I214" s="2"/>
      <c r="J214" s="2"/>
      <c r="M214" s="2"/>
    </row>
    <row r="215" ht="15.75" customHeight="1">
      <c r="A215" s="2"/>
      <c r="C215" s="2"/>
      <c r="D215" s="2"/>
      <c r="F215" s="2"/>
      <c r="H215" s="2"/>
      <c r="I215" s="2"/>
      <c r="J215" s="2"/>
      <c r="M215" s="2"/>
    </row>
    <row r="216" ht="15.75" customHeight="1">
      <c r="A216" s="2"/>
      <c r="C216" s="2"/>
      <c r="D216" s="2"/>
      <c r="F216" s="2"/>
      <c r="H216" s="2"/>
      <c r="I216" s="2"/>
      <c r="J216" s="2"/>
      <c r="M216" s="2"/>
    </row>
    <row r="217" ht="15.75" customHeight="1">
      <c r="A217" s="2"/>
      <c r="C217" s="2"/>
      <c r="D217" s="2"/>
      <c r="F217" s="2"/>
      <c r="H217" s="2"/>
      <c r="I217" s="2"/>
      <c r="J217" s="2"/>
      <c r="M217" s="2"/>
    </row>
    <row r="218" ht="15.75" customHeight="1">
      <c r="A218" s="2"/>
      <c r="C218" s="2"/>
      <c r="D218" s="2"/>
      <c r="F218" s="2"/>
      <c r="H218" s="2"/>
      <c r="I218" s="2"/>
      <c r="J218" s="2"/>
      <c r="M218" s="2"/>
    </row>
    <row r="219" ht="15.75" customHeight="1">
      <c r="A219" s="2"/>
      <c r="C219" s="2"/>
      <c r="D219" s="2"/>
      <c r="F219" s="2"/>
      <c r="H219" s="2"/>
      <c r="I219" s="2"/>
      <c r="J219" s="2"/>
      <c r="M219" s="2"/>
    </row>
    <row r="220" ht="15.75" customHeight="1">
      <c r="A220" s="2"/>
      <c r="C220" s="2"/>
      <c r="D220" s="2"/>
      <c r="F220" s="2"/>
      <c r="H220" s="2"/>
      <c r="I220" s="2"/>
      <c r="J220" s="2"/>
      <c r="M220" s="2"/>
    </row>
    <row r="221" ht="15.75" customHeight="1">
      <c r="A221" s="2"/>
      <c r="C221" s="2"/>
      <c r="D221" s="2"/>
      <c r="F221" s="2"/>
      <c r="H221" s="2"/>
      <c r="I221" s="2"/>
      <c r="J221" s="2"/>
      <c r="M221" s="2"/>
    </row>
    <row r="222" ht="15.75" customHeight="1">
      <c r="A222" s="2"/>
      <c r="C222" s="2"/>
      <c r="D222" s="2"/>
      <c r="F222" s="2"/>
      <c r="H222" s="2"/>
      <c r="I222" s="2"/>
      <c r="J222" s="2"/>
      <c r="M222" s="2"/>
    </row>
    <row r="223" ht="15.75" customHeight="1">
      <c r="A223" s="2"/>
      <c r="C223" s="2"/>
      <c r="D223" s="2"/>
      <c r="F223" s="2"/>
      <c r="H223" s="2"/>
      <c r="I223" s="2"/>
      <c r="J223" s="2"/>
      <c r="M223" s="2"/>
    </row>
    <row r="224" ht="15.75" customHeight="1">
      <c r="A224" s="2"/>
      <c r="C224" s="2"/>
      <c r="D224" s="2"/>
      <c r="F224" s="2"/>
      <c r="H224" s="2"/>
      <c r="I224" s="2"/>
      <c r="J224" s="2"/>
      <c r="M224" s="2"/>
    </row>
    <row r="225" ht="15.75" customHeight="1">
      <c r="A225" s="2"/>
      <c r="C225" s="2"/>
      <c r="D225" s="2"/>
      <c r="F225" s="2"/>
      <c r="H225" s="2"/>
      <c r="I225" s="2"/>
      <c r="J225" s="2"/>
      <c r="M225" s="2"/>
    </row>
    <row r="226" ht="15.75" customHeight="1">
      <c r="A226" s="2"/>
      <c r="C226" s="2"/>
      <c r="D226" s="2"/>
      <c r="F226" s="2"/>
      <c r="H226" s="2"/>
      <c r="I226" s="2"/>
      <c r="J226" s="2"/>
      <c r="M226" s="2"/>
    </row>
    <row r="227" ht="15.75" customHeight="1">
      <c r="A227" s="2"/>
      <c r="C227" s="2"/>
      <c r="D227" s="2"/>
      <c r="F227" s="2"/>
      <c r="H227" s="2"/>
      <c r="I227" s="2"/>
      <c r="J227" s="2"/>
      <c r="M227" s="2"/>
    </row>
    <row r="228" ht="15.75" customHeight="1">
      <c r="A228" s="2"/>
      <c r="C228" s="2"/>
      <c r="D228" s="2"/>
      <c r="F228" s="2"/>
      <c r="H228" s="2"/>
      <c r="I228" s="2"/>
      <c r="J228" s="2"/>
      <c r="M228" s="2"/>
    </row>
    <row r="229" ht="15.75" customHeight="1">
      <c r="A229" s="2"/>
      <c r="C229" s="2"/>
      <c r="D229" s="2"/>
      <c r="F229" s="2"/>
      <c r="H229" s="2"/>
      <c r="I229" s="2"/>
      <c r="J229" s="2"/>
      <c r="M229" s="2"/>
    </row>
    <row r="230" ht="15.75" customHeight="1">
      <c r="A230" s="2"/>
      <c r="C230" s="2"/>
      <c r="D230" s="2"/>
      <c r="F230" s="2"/>
      <c r="H230" s="2"/>
      <c r="I230" s="2"/>
      <c r="J230" s="2"/>
      <c r="M230" s="2"/>
    </row>
    <row r="231" ht="15.75" customHeight="1">
      <c r="A231" s="2"/>
      <c r="C231" s="2"/>
      <c r="D231" s="2"/>
      <c r="F231" s="2"/>
      <c r="H231" s="2"/>
      <c r="I231" s="2"/>
      <c r="J231" s="2"/>
      <c r="M231" s="2"/>
    </row>
    <row r="232" ht="15.75" customHeight="1">
      <c r="A232" s="2"/>
      <c r="C232" s="2"/>
      <c r="D232" s="2"/>
      <c r="F232" s="2"/>
      <c r="H232" s="2"/>
      <c r="I232" s="2"/>
      <c r="J232" s="2"/>
      <c r="M232" s="2"/>
    </row>
    <row r="233" ht="15.75" customHeight="1">
      <c r="A233" s="2"/>
      <c r="C233" s="2"/>
      <c r="D233" s="2"/>
      <c r="F233" s="2"/>
      <c r="H233" s="2"/>
      <c r="I233" s="2"/>
      <c r="J233" s="2"/>
      <c r="M233" s="2"/>
    </row>
    <row r="234" ht="15.75" customHeight="1">
      <c r="A234" s="2"/>
      <c r="C234" s="2"/>
      <c r="D234" s="2"/>
      <c r="F234" s="2"/>
      <c r="H234" s="2"/>
      <c r="I234" s="2"/>
      <c r="J234" s="2"/>
      <c r="M234" s="2"/>
    </row>
    <row r="235" ht="15.75" customHeight="1">
      <c r="A235" s="2"/>
      <c r="C235" s="2"/>
      <c r="D235" s="2"/>
      <c r="F235" s="2"/>
      <c r="H235" s="2"/>
      <c r="I235" s="2"/>
      <c r="J235" s="2"/>
      <c r="M235" s="2"/>
    </row>
    <row r="236" ht="15.75" customHeight="1">
      <c r="A236" s="2"/>
      <c r="C236" s="2"/>
      <c r="D236" s="2"/>
      <c r="F236" s="2"/>
      <c r="H236" s="2"/>
      <c r="I236" s="2"/>
      <c r="J236" s="2"/>
      <c r="M236" s="2"/>
    </row>
    <row r="237" ht="15.75" customHeight="1">
      <c r="A237" s="2"/>
      <c r="C237" s="2"/>
      <c r="D237" s="2"/>
      <c r="F237" s="2"/>
      <c r="H237" s="2"/>
      <c r="I237" s="2"/>
      <c r="J237" s="2"/>
      <c r="M237" s="2"/>
    </row>
    <row r="238" ht="15.75" customHeight="1">
      <c r="A238" s="2"/>
      <c r="C238" s="2"/>
      <c r="D238" s="2"/>
      <c r="F238" s="2"/>
      <c r="H238" s="2"/>
      <c r="I238" s="2"/>
      <c r="J238" s="2"/>
      <c r="M238" s="2"/>
    </row>
    <row r="239" ht="15.75" customHeight="1">
      <c r="A239" s="2"/>
      <c r="C239" s="2"/>
      <c r="D239" s="2"/>
      <c r="F239" s="2"/>
      <c r="H239" s="2"/>
      <c r="I239" s="2"/>
      <c r="J239" s="2"/>
      <c r="M239" s="2"/>
    </row>
    <row r="240" ht="15.75" customHeight="1">
      <c r="A240" s="2"/>
      <c r="C240" s="2"/>
      <c r="D240" s="2"/>
      <c r="F240" s="2"/>
      <c r="H240" s="2"/>
      <c r="I240" s="2"/>
      <c r="J240" s="2"/>
      <c r="M240" s="2"/>
    </row>
    <row r="241" ht="15.75" customHeight="1">
      <c r="A241" s="2"/>
      <c r="C241" s="2"/>
      <c r="D241" s="2"/>
      <c r="F241" s="2"/>
      <c r="H241" s="2"/>
      <c r="I241" s="2"/>
      <c r="J241" s="2"/>
      <c r="M241" s="2"/>
    </row>
    <row r="242" ht="15.75" customHeight="1">
      <c r="A242" s="2"/>
      <c r="C242" s="2"/>
      <c r="D242" s="2"/>
      <c r="F242" s="2"/>
      <c r="H242" s="2"/>
      <c r="I242" s="2"/>
      <c r="J242" s="2"/>
      <c r="M242" s="2"/>
    </row>
    <row r="243" ht="15.75" customHeight="1">
      <c r="A243" s="2"/>
      <c r="C243" s="2"/>
      <c r="D243" s="2"/>
      <c r="F243" s="2"/>
      <c r="H243" s="2"/>
      <c r="I243" s="2"/>
      <c r="J243" s="2"/>
      <c r="M243" s="2"/>
    </row>
    <row r="244" ht="15.75" customHeight="1">
      <c r="A244" s="2"/>
      <c r="C244" s="2"/>
      <c r="D244" s="2"/>
      <c r="F244" s="2"/>
      <c r="H244" s="2"/>
      <c r="I244" s="2"/>
      <c r="J244" s="2"/>
      <c r="M244" s="2"/>
    </row>
    <row r="245" ht="15.75" customHeight="1">
      <c r="A245" s="2"/>
      <c r="C245" s="2"/>
      <c r="D245" s="2"/>
      <c r="F245" s="2"/>
      <c r="H245" s="2"/>
      <c r="I245" s="2"/>
      <c r="J245" s="2"/>
      <c r="M245" s="2"/>
    </row>
    <row r="246" ht="15.75" customHeight="1">
      <c r="A246" s="2"/>
      <c r="C246" s="2"/>
      <c r="D246" s="2"/>
      <c r="F246" s="2"/>
      <c r="H246" s="2"/>
      <c r="I246" s="2"/>
      <c r="J246" s="2"/>
      <c r="M246" s="2"/>
    </row>
    <row r="247" ht="15.75" customHeight="1">
      <c r="A247" s="2"/>
      <c r="C247" s="2"/>
      <c r="D247" s="2"/>
      <c r="F247" s="2"/>
      <c r="H247" s="2"/>
      <c r="I247" s="2"/>
      <c r="J247" s="2"/>
      <c r="M247" s="2"/>
    </row>
    <row r="248" ht="15.75" customHeight="1">
      <c r="A248" s="2"/>
      <c r="C248" s="2"/>
      <c r="D248" s="2"/>
      <c r="F248" s="2"/>
      <c r="H248" s="2"/>
      <c r="I248" s="2"/>
      <c r="J248" s="2"/>
      <c r="M248" s="2"/>
    </row>
    <row r="249" ht="15.75" customHeight="1">
      <c r="A249" s="2"/>
      <c r="C249" s="2"/>
      <c r="D249" s="2"/>
      <c r="F249" s="2"/>
      <c r="H249" s="2"/>
      <c r="I249" s="2"/>
      <c r="J249" s="2"/>
      <c r="M249" s="2"/>
    </row>
    <row r="250" ht="15.75" customHeight="1">
      <c r="A250" s="2"/>
      <c r="C250" s="2"/>
      <c r="D250" s="2"/>
      <c r="F250" s="2"/>
      <c r="H250" s="2"/>
      <c r="I250" s="2"/>
      <c r="J250" s="2"/>
      <c r="M250" s="2"/>
    </row>
    <row r="251" ht="15.75" customHeight="1">
      <c r="A251" s="2"/>
      <c r="C251" s="2"/>
      <c r="D251" s="2"/>
      <c r="F251" s="2"/>
      <c r="H251" s="2"/>
      <c r="I251" s="2"/>
      <c r="J251" s="2"/>
      <c r="M251" s="2"/>
    </row>
    <row r="252" ht="15.75" customHeight="1">
      <c r="A252" s="2"/>
      <c r="C252" s="2"/>
      <c r="D252" s="2"/>
      <c r="F252" s="2"/>
      <c r="H252" s="2"/>
      <c r="I252" s="2"/>
      <c r="J252" s="2"/>
      <c r="M252" s="2"/>
    </row>
    <row r="253" ht="15.75" customHeight="1">
      <c r="A253" s="2"/>
      <c r="C253" s="2"/>
      <c r="D253" s="2"/>
      <c r="F253" s="2"/>
      <c r="H253" s="2"/>
      <c r="I253" s="2"/>
      <c r="J253" s="2"/>
      <c r="M253" s="2"/>
    </row>
    <row r="254" ht="15.75" customHeight="1">
      <c r="A254" s="2"/>
      <c r="C254" s="2"/>
      <c r="D254" s="2"/>
      <c r="F254" s="2"/>
      <c r="H254" s="2"/>
      <c r="I254" s="2"/>
      <c r="J254" s="2"/>
      <c r="M254" s="2"/>
    </row>
    <row r="255" ht="15.75" customHeight="1">
      <c r="A255" s="2"/>
      <c r="C255" s="2"/>
      <c r="D255" s="2"/>
      <c r="F255" s="2"/>
      <c r="H255" s="2"/>
      <c r="I255" s="2"/>
      <c r="J255" s="2"/>
      <c r="M255" s="2"/>
    </row>
    <row r="256" ht="15.75" customHeight="1">
      <c r="A256" s="2"/>
      <c r="C256" s="2"/>
      <c r="D256" s="2"/>
      <c r="F256" s="2"/>
      <c r="H256" s="2"/>
      <c r="I256" s="2"/>
      <c r="J256" s="2"/>
      <c r="M256" s="2"/>
    </row>
    <row r="257" ht="15.75" customHeight="1">
      <c r="A257" s="2"/>
      <c r="C257" s="2"/>
      <c r="D257" s="2"/>
      <c r="F257" s="2"/>
      <c r="H257" s="2"/>
      <c r="I257" s="2"/>
      <c r="J257" s="2"/>
      <c r="M257" s="2"/>
    </row>
    <row r="258" ht="15.75" customHeight="1">
      <c r="A258" s="2"/>
      <c r="C258" s="2"/>
      <c r="D258" s="2"/>
      <c r="F258" s="2"/>
      <c r="H258" s="2"/>
      <c r="I258" s="2"/>
      <c r="J258" s="2"/>
      <c r="M258" s="2"/>
    </row>
    <row r="259" ht="15.75" customHeight="1">
      <c r="A259" s="2"/>
      <c r="C259" s="2"/>
      <c r="D259" s="2"/>
      <c r="F259" s="2"/>
      <c r="H259" s="2"/>
      <c r="I259" s="2"/>
      <c r="J259" s="2"/>
      <c r="M259" s="2"/>
    </row>
    <row r="260" ht="15.75" customHeight="1">
      <c r="A260" s="2"/>
      <c r="C260" s="2"/>
      <c r="D260" s="2"/>
      <c r="F260" s="2"/>
      <c r="H260" s="2"/>
      <c r="I260" s="2"/>
      <c r="J260" s="2"/>
      <c r="M260" s="2"/>
    </row>
    <row r="261" ht="15.75" customHeight="1">
      <c r="A261" s="2"/>
      <c r="C261" s="2"/>
      <c r="D261" s="2"/>
      <c r="F261" s="2"/>
      <c r="H261" s="2"/>
      <c r="I261" s="2"/>
      <c r="J261" s="2"/>
      <c r="M261" s="2"/>
    </row>
    <row r="262" ht="15.75" customHeight="1">
      <c r="A262" s="2"/>
      <c r="C262" s="2"/>
      <c r="D262" s="2"/>
      <c r="F262" s="2"/>
      <c r="H262" s="2"/>
      <c r="I262" s="2"/>
      <c r="J262" s="2"/>
      <c r="M262" s="2"/>
    </row>
    <row r="263" ht="15.75" customHeight="1">
      <c r="A263" s="2"/>
      <c r="C263" s="2"/>
      <c r="D263" s="2"/>
      <c r="F263" s="2"/>
      <c r="H263" s="2"/>
      <c r="I263" s="2"/>
      <c r="J263" s="2"/>
      <c r="M263" s="2"/>
    </row>
    <row r="264" ht="15.75" customHeight="1">
      <c r="A264" s="2"/>
      <c r="C264" s="2"/>
      <c r="D264" s="2"/>
      <c r="F264" s="2"/>
      <c r="H264" s="2"/>
      <c r="I264" s="2"/>
      <c r="J264" s="2"/>
      <c r="M264" s="2"/>
    </row>
    <row r="265" ht="15.75" customHeight="1">
      <c r="A265" s="2"/>
      <c r="C265" s="2"/>
      <c r="D265" s="2"/>
      <c r="F265" s="2"/>
      <c r="H265" s="2"/>
      <c r="I265" s="2"/>
      <c r="J265" s="2"/>
      <c r="M265" s="2"/>
    </row>
    <row r="266" ht="15.75" customHeight="1">
      <c r="A266" s="2"/>
      <c r="C266" s="2"/>
      <c r="D266" s="2"/>
      <c r="F266" s="2"/>
      <c r="H266" s="2"/>
      <c r="I266" s="2"/>
      <c r="J266" s="2"/>
      <c r="M266" s="2"/>
    </row>
    <row r="267" ht="15.75" customHeight="1">
      <c r="A267" s="2"/>
      <c r="C267" s="2"/>
      <c r="D267" s="2"/>
      <c r="F267" s="2"/>
      <c r="H267" s="2"/>
      <c r="I267" s="2"/>
      <c r="J267" s="2"/>
      <c r="M267" s="2"/>
    </row>
    <row r="268" ht="15.75" customHeight="1">
      <c r="A268" s="2"/>
      <c r="C268" s="2"/>
      <c r="D268" s="2"/>
      <c r="F268" s="2"/>
      <c r="H268" s="2"/>
      <c r="I268" s="2"/>
      <c r="J268" s="2"/>
      <c r="M268" s="2"/>
    </row>
    <row r="269" ht="15.75" customHeight="1">
      <c r="A269" s="2"/>
      <c r="C269" s="2"/>
      <c r="D269" s="2"/>
      <c r="F269" s="2"/>
      <c r="H269" s="2"/>
      <c r="I269" s="2"/>
      <c r="J269" s="2"/>
      <c r="M269" s="2"/>
    </row>
    <row r="270" ht="15.75" customHeight="1">
      <c r="A270" s="2"/>
      <c r="C270" s="2"/>
      <c r="D270" s="2"/>
      <c r="F270" s="2"/>
      <c r="H270" s="2"/>
      <c r="I270" s="2"/>
      <c r="J270" s="2"/>
      <c r="M270" s="2"/>
    </row>
    <row r="271" ht="15.75" customHeight="1">
      <c r="A271" s="2"/>
      <c r="C271" s="2"/>
      <c r="D271" s="2"/>
      <c r="F271" s="2"/>
      <c r="H271" s="2"/>
      <c r="I271" s="2"/>
      <c r="J271" s="2"/>
      <c r="M271" s="2"/>
    </row>
    <row r="272" ht="15.75" customHeight="1">
      <c r="A272" s="2"/>
      <c r="C272" s="2"/>
      <c r="D272" s="2"/>
      <c r="F272" s="2"/>
      <c r="H272" s="2"/>
      <c r="I272" s="2"/>
      <c r="J272" s="2"/>
      <c r="M272" s="2"/>
    </row>
    <row r="273" ht="15.75" customHeight="1">
      <c r="A273" s="2"/>
      <c r="C273" s="2"/>
      <c r="D273" s="2"/>
      <c r="F273" s="2"/>
      <c r="H273" s="2"/>
      <c r="I273" s="2"/>
      <c r="J273" s="2"/>
      <c r="M273" s="2"/>
    </row>
    <row r="274" ht="15.75" customHeight="1">
      <c r="A274" s="2"/>
      <c r="C274" s="2"/>
      <c r="D274" s="2"/>
      <c r="F274" s="2"/>
      <c r="H274" s="2"/>
      <c r="I274" s="2"/>
      <c r="J274" s="2"/>
      <c r="M274" s="2"/>
    </row>
    <row r="275" ht="15.75" customHeight="1">
      <c r="A275" s="2"/>
      <c r="C275" s="2"/>
      <c r="D275" s="2"/>
      <c r="F275" s="2"/>
      <c r="H275" s="2"/>
      <c r="I275" s="2"/>
      <c r="J275" s="2"/>
      <c r="M275" s="2"/>
    </row>
    <row r="276" ht="15.75" customHeight="1">
      <c r="A276" s="2"/>
      <c r="C276" s="2"/>
      <c r="D276" s="2"/>
      <c r="F276" s="2"/>
      <c r="H276" s="2"/>
      <c r="I276" s="2"/>
      <c r="J276" s="2"/>
      <c r="M276" s="2"/>
    </row>
    <row r="277" ht="15.75" customHeight="1">
      <c r="A277" s="2"/>
      <c r="C277" s="2"/>
      <c r="D277" s="2"/>
      <c r="F277" s="2"/>
      <c r="H277" s="2"/>
      <c r="I277" s="2"/>
      <c r="J277" s="2"/>
      <c r="M277" s="2"/>
    </row>
    <row r="278" ht="15.75" customHeight="1">
      <c r="A278" s="2"/>
      <c r="C278" s="2"/>
      <c r="D278" s="2"/>
      <c r="F278" s="2"/>
      <c r="H278" s="2"/>
      <c r="I278" s="2"/>
      <c r="J278" s="2"/>
      <c r="M278" s="2"/>
    </row>
    <row r="279" ht="15.75" customHeight="1">
      <c r="A279" s="2"/>
      <c r="C279" s="2"/>
      <c r="D279" s="2"/>
      <c r="F279" s="2"/>
      <c r="H279" s="2"/>
      <c r="I279" s="2"/>
      <c r="J279" s="2"/>
      <c r="M279" s="2"/>
    </row>
    <row r="280" ht="15.75" customHeight="1">
      <c r="A280" s="2"/>
      <c r="C280" s="2"/>
      <c r="D280" s="2"/>
      <c r="F280" s="2"/>
      <c r="H280" s="2"/>
      <c r="I280" s="2"/>
      <c r="J280" s="2"/>
      <c r="M280" s="2"/>
    </row>
    <row r="281" ht="15.75" customHeight="1">
      <c r="A281" s="2"/>
      <c r="C281" s="2"/>
      <c r="D281" s="2"/>
      <c r="F281" s="2"/>
      <c r="H281" s="2"/>
      <c r="I281" s="2"/>
      <c r="J281" s="2"/>
      <c r="M281" s="2"/>
    </row>
    <row r="282" ht="15.75" customHeight="1">
      <c r="A282" s="2"/>
      <c r="C282" s="2"/>
      <c r="D282" s="2"/>
      <c r="F282" s="2"/>
      <c r="H282" s="2"/>
      <c r="I282" s="2"/>
      <c r="J282" s="2"/>
      <c r="M282" s="2"/>
    </row>
    <row r="283" ht="15.75" customHeight="1">
      <c r="A283" s="2"/>
      <c r="C283" s="2"/>
      <c r="D283" s="2"/>
      <c r="F283" s="2"/>
      <c r="H283" s="2"/>
      <c r="I283" s="2"/>
      <c r="J283" s="2"/>
      <c r="M283" s="2"/>
    </row>
    <row r="284" ht="15.75" customHeight="1">
      <c r="A284" s="2"/>
      <c r="C284" s="2"/>
      <c r="D284" s="2"/>
      <c r="F284" s="2"/>
      <c r="H284" s="2"/>
      <c r="I284" s="2"/>
      <c r="J284" s="2"/>
      <c r="M284" s="2"/>
    </row>
    <row r="285" ht="15.75" customHeight="1">
      <c r="A285" s="2"/>
      <c r="C285" s="2"/>
      <c r="D285" s="2"/>
      <c r="F285" s="2"/>
      <c r="H285" s="2"/>
      <c r="I285" s="2"/>
      <c r="J285" s="2"/>
      <c r="M285" s="2"/>
    </row>
    <row r="286" ht="15.75" customHeight="1">
      <c r="A286" s="2"/>
      <c r="C286" s="2"/>
      <c r="D286" s="2"/>
      <c r="F286" s="2"/>
      <c r="H286" s="2"/>
      <c r="I286" s="2"/>
      <c r="J286" s="2"/>
      <c r="M286" s="2"/>
    </row>
    <row r="287" ht="15.75" customHeight="1">
      <c r="A287" s="2"/>
      <c r="C287" s="2"/>
      <c r="D287" s="2"/>
      <c r="F287" s="2"/>
      <c r="H287" s="2"/>
      <c r="I287" s="2"/>
      <c r="J287" s="2"/>
      <c r="M287" s="2"/>
    </row>
    <row r="288" ht="15.75" customHeight="1">
      <c r="A288" s="2"/>
      <c r="C288" s="2"/>
      <c r="D288" s="2"/>
      <c r="F288" s="2"/>
      <c r="H288" s="2"/>
      <c r="I288" s="2"/>
      <c r="J288" s="2"/>
      <c r="M288" s="2"/>
    </row>
    <row r="289" ht="15.75" customHeight="1">
      <c r="A289" s="2"/>
      <c r="C289" s="2"/>
      <c r="D289" s="2"/>
      <c r="F289" s="2"/>
      <c r="H289" s="2"/>
      <c r="I289" s="2"/>
      <c r="J289" s="2"/>
      <c r="M289" s="2"/>
    </row>
    <row r="290" ht="15.75" customHeight="1">
      <c r="A290" s="2"/>
      <c r="C290" s="2"/>
      <c r="D290" s="2"/>
      <c r="F290" s="2"/>
      <c r="H290" s="2"/>
      <c r="I290" s="2"/>
      <c r="J290" s="2"/>
      <c r="M290" s="2"/>
    </row>
    <row r="291" ht="15.75" customHeight="1">
      <c r="A291" s="2"/>
      <c r="C291" s="2"/>
      <c r="D291" s="2"/>
      <c r="F291" s="2"/>
      <c r="H291" s="2"/>
      <c r="I291" s="2"/>
      <c r="J291" s="2"/>
      <c r="M291" s="2"/>
    </row>
    <row r="292" ht="15.75" customHeight="1">
      <c r="A292" s="2"/>
      <c r="C292" s="2"/>
      <c r="D292" s="2"/>
      <c r="F292" s="2"/>
      <c r="H292" s="2"/>
      <c r="I292" s="2"/>
      <c r="J292" s="2"/>
      <c r="M292" s="2"/>
    </row>
    <row r="293" ht="15.75" customHeight="1">
      <c r="A293" s="2"/>
      <c r="C293" s="2"/>
      <c r="D293" s="2"/>
      <c r="F293" s="2"/>
      <c r="H293" s="2"/>
      <c r="I293" s="2"/>
      <c r="J293" s="2"/>
      <c r="M293" s="2"/>
    </row>
    <row r="294" ht="15.75" customHeight="1">
      <c r="A294" s="2"/>
      <c r="C294" s="2"/>
      <c r="D294" s="2"/>
      <c r="F294" s="2"/>
      <c r="H294" s="2"/>
      <c r="I294" s="2"/>
      <c r="J294" s="2"/>
      <c r="M294" s="2"/>
    </row>
    <row r="295" ht="15.75" customHeight="1">
      <c r="A295" s="2"/>
      <c r="C295" s="2"/>
      <c r="D295" s="2"/>
      <c r="F295" s="2"/>
      <c r="H295" s="2"/>
      <c r="I295" s="2"/>
      <c r="J295" s="2"/>
      <c r="M295" s="2"/>
    </row>
    <row r="296" ht="15.75" customHeight="1">
      <c r="A296" s="2"/>
      <c r="C296" s="2"/>
      <c r="D296" s="2"/>
      <c r="F296" s="2"/>
      <c r="H296" s="2"/>
      <c r="I296" s="2"/>
      <c r="J296" s="2"/>
      <c r="M296" s="2"/>
    </row>
    <row r="297" ht="15.75" customHeight="1">
      <c r="A297" s="2"/>
      <c r="C297" s="2"/>
      <c r="D297" s="2"/>
      <c r="F297" s="2"/>
      <c r="H297" s="2"/>
      <c r="I297" s="2"/>
      <c r="J297" s="2"/>
      <c r="M297" s="2"/>
    </row>
    <row r="298" ht="15.75" customHeight="1">
      <c r="A298" s="2"/>
      <c r="C298" s="2"/>
      <c r="D298" s="2"/>
      <c r="F298" s="2"/>
      <c r="H298" s="2"/>
      <c r="I298" s="2"/>
      <c r="J298" s="2"/>
      <c r="M298" s="2"/>
    </row>
    <row r="299" ht="15.75" customHeight="1">
      <c r="A299" s="2"/>
      <c r="C299" s="2"/>
      <c r="D299" s="2"/>
      <c r="F299" s="2"/>
      <c r="H299" s="2"/>
      <c r="I299" s="2"/>
      <c r="J299" s="2"/>
      <c r="M299" s="2"/>
    </row>
    <row r="300" ht="15.75" customHeight="1">
      <c r="A300" s="2"/>
      <c r="C300" s="2"/>
      <c r="D300" s="2"/>
      <c r="F300" s="2"/>
      <c r="H300" s="2"/>
      <c r="I300" s="2"/>
      <c r="J300" s="2"/>
      <c r="M300" s="2"/>
    </row>
    <row r="301" ht="15.75" customHeight="1">
      <c r="A301" s="2"/>
      <c r="C301" s="2"/>
      <c r="D301" s="2"/>
      <c r="F301" s="2"/>
      <c r="H301" s="2"/>
      <c r="I301" s="2"/>
      <c r="J301" s="2"/>
      <c r="M301" s="2"/>
    </row>
    <row r="302" ht="15.75" customHeight="1">
      <c r="A302" s="2"/>
      <c r="C302" s="2"/>
      <c r="D302" s="2"/>
      <c r="F302" s="2"/>
      <c r="H302" s="2"/>
      <c r="I302" s="2"/>
      <c r="J302" s="2"/>
      <c r="M302" s="2"/>
    </row>
    <row r="303" ht="15.75" customHeight="1">
      <c r="A303" s="2"/>
      <c r="C303" s="2"/>
      <c r="D303" s="2"/>
      <c r="F303" s="2"/>
      <c r="H303" s="2"/>
      <c r="I303" s="2"/>
      <c r="J303" s="2"/>
      <c r="M303" s="2"/>
    </row>
    <row r="304" ht="15.75" customHeight="1">
      <c r="A304" s="2"/>
      <c r="C304" s="2"/>
      <c r="D304" s="2"/>
      <c r="F304" s="2"/>
      <c r="H304" s="2"/>
      <c r="I304" s="2"/>
      <c r="J304" s="2"/>
      <c r="M304" s="2"/>
    </row>
    <row r="305" ht="15.75" customHeight="1">
      <c r="A305" s="2"/>
      <c r="C305" s="2"/>
      <c r="D305" s="2"/>
      <c r="F305" s="2"/>
      <c r="H305" s="2"/>
      <c r="I305" s="2"/>
      <c r="J305" s="2"/>
      <c r="M305" s="2"/>
    </row>
    <row r="306" ht="15.75" customHeight="1">
      <c r="A306" s="2"/>
      <c r="C306" s="2"/>
      <c r="D306" s="2"/>
      <c r="F306" s="2"/>
      <c r="H306" s="2"/>
      <c r="I306" s="2"/>
      <c r="J306" s="2"/>
      <c r="M306" s="2"/>
    </row>
    <row r="307" ht="15.75" customHeight="1">
      <c r="A307" s="2"/>
      <c r="C307" s="2"/>
      <c r="D307" s="2"/>
      <c r="F307" s="2"/>
      <c r="H307" s="2"/>
      <c r="I307" s="2"/>
      <c r="J307" s="2"/>
      <c r="M307" s="2"/>
    </row>
    <row r="308" ht="15.75" customHeight="1">
      <c r="A308" s="2"/>
      <c r="C308" s="2"/>
      <c r="D308" s="2"/>
      <c r="F308" s="2"/>
      <c r="H308" s="2"/>
      <c r="I308" s="2"/>
      <c r="J308" s="2"/>
      <c r="M308" s="2"/>
    </row>
    <row r="309" ht="15.75" customHeight="1">
      <c r="A309" s="2"/>
      <c r="C309" s="2"/>
      <c r="D309" s="2"/>
      <c r="F309" s="2"/>
      <c r="H309" s="2"/>
      <c r="I309" s="2"/>
      <c r="J309" s="2"/>
      <c r="M309" s="2"/>
    </row>
    <row r="310" ht="15.75" customHeight="1">
      <c r="A310" s="2"/>
      <c r="C310" s="2"/>
      <c r="D310" s="2"/>
      <c r="F310" s="2"/>
      <c r="H310" s="2"/>
      <c r="I310" s="2"/>
      <c r="J310" s="2"/>
      <c r="M310" s="2"/>
    </row>
    <row r="311" ht="15.75" customHeight="1">
      <c r="A311" s="2"/>
      <c r="C311" s="2"/>
      <c r="D311" s="2"/>
      <c r="F311" s="2"/>
      <c r="H311" s="2"/>
      <c r="I311" s="2"/>
      <c r="J311" s="2"/>
      <c r="M311" s="2"/>
    </row>
    <row r="312" ht="15.75" customHeight="1">
      <c r="A312" s="2"/>
      <c r="C312" s="2"/>
      <c r="D312" s="2"/>
      <c r="F312" s="2"/>
      <c r="H312" s="2"/>
      <c r="I312" s="2"/>
      <c r="J312" s="2"/>
      <c r="M312" s="2"/>
    </row>
    <row r="313" ht="15.75" customHeight="1">
      <c r="A313" s="2"/>
      <c r="C313" s="2"/>
      <c r="D313" s="2"/>
      <c r="F313" s="2"/>
      <c r="H313" s="2"/>
      <c r="I313" s="2"/>
      <c r="J313" s="2"/>
      <c r="M313" s="2"/>
    </row>
    <row r="314" ht="15.75" customHeight="1">
      <c r="A314" s="2"/>
      <c r="C314" s="2"/>
      <c r="D314" s="2"/>
      <c r="F314" s="2"/>
      <c r="H314" s="2"/>
      <c r="I314" s="2"/>
      <c r="J314" s="2"/>
      <c r="M314" s="2"/>
    </row>
    <row r="315" ht="15.75" customHeight="1">
      <c r="A315" s="2"/>
      <c r="C315" s="2"/>
      <c r="D315" s="2"/>
      <c r="F315" s="2"/>
      <c r="H315" s="2"/>
      <c r="I315" s="2"/>
      <c r="J315" s="2"/>
      <c r="M315" s="2"/>
    </row>
    <row r="316" ht="15.75" customHeight="1">
      <c r="A316" s="2"/>
      <c r="C316" s="2"/>
      <c r="D316" s="2"/>
      <c r="F316" s="2"/>
      <c r="H316" s="2"/>
      <c r="I316" s="2"/>
      <c r="J316" s="2"/>
      <c r="M316" s="2"/>
    </row>
    <row r="317" ht="15.75" customHeight="1">
      <c r="A317" s="2"/>
      <c r="C317" s="2"/>
      <c r="D317" s="2"/>
      <c r="F317" s="2"/>
      <c r="H317" s="2"/>
      <c r="I317" s="2"/>
      <c r="J317" s="2"/>
      <c r="M317" s="2"/>
    </row>
    <row r="318" ht="15.75" customHeight="1">
      <c r="A318" s="2"/>
      <c r="C318" s="2"/>
      <c r="D318" s="2"/>
      <c r="F318" s="2"/>
      <c r="H318" s="2"/>
      <c r="I318" s="2"/>
      <c r="J318" s="2"/>
      <c r="M318" s="2"/>
    </row>
    <row r="319" ht="15.75" customHeight="1">
      <c r="A319" s="2"/>
      <c r="C319" s="2"/>
      <c r="D319" s="2"/>
      <c r="F319" s="2"/>
      <c r="H319" s="2"/>
      <c r="I319" s="2"/>
      <c r="J319" s="2"/>
      <c r="M319" s="2"/>
    </row>
    <row r="320" ht="15.75" customHeight="1">
      <c r="A320" s="2"/>
      <c r="C320" s="2"/>
      <c r="D320" s="2"/>
      <c r="F320" s="2"/>
      <c r="H320" s="2"/>
      <c r="I320" s="2"/>
      <c r="J320" s="2"/>
      <c r="M320" s="2"/>
    </row>
    <row r="321" ht="15.75" customHeight="1">
      <c r="A321" s="2"/>
      <c r="C321" s="2"/>
      <c r="D321" s="2"/>
      <c r="F321" s="2"/>
      <c r="H321" s="2"/>
      <c r="I321" s="2"/>
      <c r="J321" s="2"/>
      <c r="M321" s="2"/>
    </row>
    <row r="322" ht="15.75" customHeight="1">
      <c r="A322" s="2"/>
      <c r="C322" s="2"/>
      <c r="D322" s="2"/>
      <c r="F322" s="2"/>
      <c r="H322" s="2"/>
      <c r="I322" s="2"/>
      <c r="J322" s="2"/>
      <c r="M322" s="2"/>
    </row>
    <row r="323" ht="15.75" customHeight="1">
      <c r="A323" s="2"/>
      <c r="C323" s="2"/>
      <c r="D323" s="2"/>
      <c r="F323" s="2"/>
      <c r="H323" s="2"/>
      <c r="I323" s="2"/>
      <c r="J323" s="2"/>
      <c r="M323" s="2"/>
    </row>
    <row r="324" ht="15.75" customHeight="1">
      <c r="A324" s="2"/>
      <c r="C324" s="2"/>
      <c r="D324" s="2"/>
      <c r="F324" s="2"/>
      <c r="H324" s="2"/>
      <c r="I324" s="2"/>
      <c r="J324" s="2"/>
      <c r="M324" s="2"/>
    </row>
    <row r="325" ht="15.75" customHeight="1">
      <c r="A325" s="2"/>
      <c r="C325" s="2"/>
      <c r="D325" s="2"/>
      <c r="F325" s="2"/>
      <c r="H325" s="2"/>
      <c r="I325" s="2"/>
      <c r="J325" s="2"/>
      <c r="M325" s="2"/>
    </row>
    <row r="326" ht="15.75" customHeight="1">
      <c r="A326" s="2"/>
      <c r="C326" s="2"/>
      <c r="D326" s="2"/>
      <c r="F326" s="2"/>
      <c r="H326" s="2"/>
      <c r="I326" s="2"/>
      <c r="J326" s="2"/>
      <c r="M326" s="2"/>
    </row>
    <row r="327" ht="15.75" customHeight="1">
      <c r="A327" s="2"/>
      <c r="C327" s="2"/>
      <c r="D327" s="2"/>
      <c r="F327" s="2"/>
      <c r="H327" s="2"/>
      <c r="I327" s="2"/>
      <c r="J327" s="2"/>
      <c r="M327" s="2"/>
    </row>
    <row r="328" ht="15.75" customHeight="1">
      <c r="A328" s="2"/>
      <c r="C328" s="2"/>
      <c r="D328" s="2"/>
      <c r="F328" s="2"/>
      <c r="H328" s="2"/>
      <c r="I328" s="2"/>
      <c r="J328" s="2"/>
      <c r="M328" s="2"/>
    </row>
    <row r="329" ht="15.75" customHeight="1">
      <c r="A329" s="2"/>
      <c r="C329" s="2"/>
      <c r="D329" s="2"/>
      <c r="F329" s="2"/>
      <c r="H329" s="2"/>
      <c r="I329" s="2"/>
      <c r="J329" s="2"/>
      <c r="M329" s="2"/>
    </row>
    <row r="330" ht="15.75" customHeight="1">
      <c r="A330" s="2"/>
      <c r="C330" s="2"/>
      <c r="D330" s="2"/>
      <c r="F330" s="2"/>
      <c r="H330" s="2"/>
      <c r="I330" s="2"/>
      <c r="J330" s="2"/>
      <c r="M330" s="2"/>
    </row>
    <row r="331" ht="15.75" customHeight="1">
      <c r="A331" s="2"/>
      <c r="C331" s="2"/>
      <c r="D331" s="2"/>
      <c r="F331" s="2"/>
      <c r="H331" s="2"/>
      <c r="I331" s="2"/>
      <c r="J331" s="2"/>
      <c r="M331" s="2"/>
    </row>
    <row r="332" ht="15.75" customHeight="1">
      <c r="A332" s="2"/>
      <c r="C332" s="2"/>
      <c r="D332" s="2"/>
      <c r="F332" s="2"/>
      <c r="H332" s="2"/>
      <c r="I332" s="2"/>
      <c r="J332" s="2"/>
      <c r="M332" s="2"/>
    </row>
    <row r="333" ht="15.75" customHeight="1">
      <c r="A333" s="2"/>
      <c r="C333" s="2"/>
      <c r="D333" s="2"/>
      <c r="F333" s="2"/>
      <c r="H333" s="2"/>
      <c r="I333" s="2"/>
      <c r="J333" s="2"/>
      <c r="M333" s="2"/>
    </row>
    <row r="334" ht="15.75" customHeight="1">
      <c r="A334" s="2"/>
      <c r="C334" s="2"/>
      <c r="D334" s="2"/>
      <c r="F334" s="2"/>
      <c r="H334" s="2"/>
      <c r="I334" s="2"/>
      <c r="J334" s="2"/>
      <c r="M334" s="2"/>
    </row>
    <row r="335" ht="15.75" customHeight="1">
      <c r="A335" s="2"/>
      <c r="C335" s="2"/>
      <c r="D335" s="2"/>
      <c r="F335" s="2"/>
      <c r="H335" s="2"/>
      <c r="I335" s="2"/>
      <c r="J335" s="2"/>
      <c r="M335" s="2"/>
    </row>
    <row r="336" ht="15.75" customHeight="1">
      <c r="A336" s="2"/>
      <c r="C336" s="2"/>
      <c r="D336" s="2"/>
      <c r="F336" s="2"/>
      <c r="H336" s="2"/>
      <c r="I336" s="2"/>
      <c r="J336" s="2"/>
      <c r="M336" s="2"/>
    </row>
    <row r="337" ht="15.75" customHeight="1">
      <c r="A337" s="2"/>
      <c r="C337" s="2"/>
      <c r="D337" s="2"/>
      <c r="F337" s="2"/>
      <c r="H337" s="2"/>
      <c r="I337" s="2"/>
      <c r="J337" s="2"/>
      <c r="M337" s="2"/>
    </row>
    <row r="338" ht="15.75" customHeight="1">
      <c r="A338" s="2"/>
      <c r="C338" s="2"/>
      <c r="D338" s="2"/>
      <c r="F338" s="2"/>
      <c r="H338" s="2"/>
      <c r="I338" s="2"/>
      <c r="J338" s="2"/>
      <c r="M338" s="2"/>
    </row>
    <row r="339" ht="15.75" customHeight="1">
      <c r="A339" s="2"/>
      <c r="C339" s="2"/>
      <c r="D339" s="2"/>
      <c r="F339" s="2"/>
      <c r="H339" s="2"/>
      <c r="I339" s="2"/>
      <c r="J339" s="2"/>
      <c r="M339" s="2"/>
    </row>
    <row r="340" ht="15.75" customHeight="1">
      <c r="A340" s="2"/>
      <c r="C340" s="2"/>
      <c r="D340" s="2"/>
      <c r="F340" s="2"/>
      <c r="H340" s="2"/>
      <c r="I340" s="2"/>
      <c r="J340" s="2"/>
      <c r="M340" s="2"/>
    </row>
    <row r="341" ht="15.75" customHeight="1">
      <c r="A341" s="2"/>
      <c r="C341" s="2"/>
      <c r="D341" s="2"/>
      <c r="F341" s="2"/>
      <c r="H341" s="2"/>
      <c r="I341" s="2"/>
      <c r="J341" s="2"/>
      <c r="M341" s="2"/>
    </row>
    <row r="342" ht="15.75" customHeight="1">
      <c r="A342" s="2"/>
      <c r="C342" s="2"/>
      <c r="D342" s="2"/>
      <c r="F342" s="2"/>
      <c r="H342" s="2"/>
      <c r="I342" s="2"/>
      <c r="J342" s="2"/>
      <c r="M342" s="2"/>
    </row>
    <row r="343" ht="15.75" customHeight="1">
      <c r="A343" s="2"/>
      <c r="C343" s="2"/>
      <c r="D343" s="2"/>
      <c r="F343" s="2"/>
      <c r="H343" s="2"/>
      <c r="I343" s="2"/>
      <c r="J343" s="2"/>
      <c r="M343" s="2"/>
    </row>
    <row r="344" ht="15.75" customHeight="1">
      <c r="A344" s="2"/>
      <c r="C344" s="2"/>
      <c r="D344" s="2"/>
      <c r="F344" s="2"/>
      <c r="H344" s="2"/>
      <c r="I344" s="2"/>
      <c r="J344" s="2"/>
      <c r="M344" s="2"/>
    </row>
    <row r="345" ht="15.75" customHeight="1">
      <c r="A345" s="2"/>
      <c r="C345" s="2"/>
      <c r="D345" s="2"/>
      <c r="F345" s="2"/>
      <c r="H345" s="2"/>
      <c r="I345" s="2"/>
      <c r="J345" s="2"/>
      <c r="M345" s="2"/>
    </row>
    <row r="346" ht="15.75" customHeight="1">
      <c r="A346" s="2"/>
      <c r="C346" s="2"/>
      <c r="D346" s="2"/>
      <c r="F346" s="2"/>
      <c r="H346" s="2"/>
      <c r="I346" s="2"/>
      <c r="J346" s="2"/>
      <c r="M346" s="2"/>
    </row>
    <row r="347" ht="15.75" customHeight="1">
      <c r="A347" s="2"/>
      <c r="C347" s="2"/>
      <c r="D347" s="2"/>
      <c r="F347" s="2"/>
      <c r="H347" s="2"/>
      <c r="I347" s="2"/>
      <c r="J347" s="2"/>
      <c r="M347" s="2"/>
    </row>
    <row r="348" ht="15.75" customHeight="1">
      <c r="A348" s="2"/>
      <c r="C348" s="2"/>
      <c r="D348" s="2"/>
      <c r="F348" s="2"/>
      <c r="H348" s="2"/>
      <c r="I348" s="2"/>
      <c r="J348" s="2"/>
      <c r="M348" s="2"/>
    </row>
    <row r="349" ht="15.75" customHeight="1">
      <c r="A349" s="2"/>
      <c r="C349" s="2"/>
      <c r="D349" s="2"/>
      <c r="F349" s="2"/>
      <c r="H349" s="2"/>
      <c r="I349" s="2"/>
      <c r="J349" s="2"/>
      <c r="M349" s="2"/>
    </row>
    <row r="350" ht="15.75" customHeight="1">
      <c r="A350" s="2"/>
      <c r="C350" s="2"/>
      <c r="D350" s="2"/>
      <c r="F350" s="2"/>
      <c r="H350" s="2"/>
      <c r="I350" s="2"/>
      <c r="J350" s="2"/>
      <c r="M350" s="2"/>
    </row>
    <row r="351" ht="15.75" customHeight="1">
      <c r="A351" s="2"/>
      <c r="C351" s="2"/>
      <c r="D351" s="2"/>
      <c r="F351" s="2"/>
      <c r="H351" s="2"/>
      <c r="I351" s="2"/>
      <c r="J351" s="2"/>
      <c r="M351" s="2"/>
    </row>
    <row r="352" ht="15.75" customHeight="1">
      <c r="A352" s="2"/>
      <c r="C352" s="2"/>
      <c r="D352" s="2"/>
      <c r="F352" s="2"/>
      <c r="H352" s="2"/>
      <c r="I352" s="2"/>
      <c r="J352" s="2"/>
      <c r="M352" s="2"/>
    </row>
    <row r="353" ht="15.75" customHeight="1">
      <c r="A353" s="2"/>
      <c r="C353" s="2"/>
      <c r="D353" s="2"/>
      <c r="F353" s="2"/>
      <c r="H353" s="2"/>
      <c r="I353" s="2"/>
      <c r="J353" s="2"/>
      <c r="M353" s="2"/>
    </row>
    <row r="354" ht="15.75" customHeight="1">
      <c r="A354" s="2"/>
      <c r="C354" s="2"/>
      <c r="D354" s="2"/>
      <c r="F354" s="2"/>
      <c r="H354" s="2"/>
      <c r="I354" s="2"/>
      <c r="J354" s="2"/>
      <c r="M354" s="2"/>
    </row>
    <row r="355" ht="15.75" customHeight="1">
      <c r="A355" s="2"/>
      <c r="C355" s="2"/>
      <c r="D355" s="2"/>
      <c r="F355" s="2"/>
      <c r="H355" s="2"/>
      <c r="I355" s="2"/>
      <c r="J355" s="2"/>
      <c r="M355" s="2"/>
    </row>
    <row r="356" ht="15.75" customHeight="1">
      <c r="A356" s="2"/>
      <c r="C356" s="2"/>
      <c r="D356" s="2"/>
      <c r="F356" s="2"/>
      <c r="H356" s="2"/>
      <c r="I356" s="2"/>
      <c r="J356" s="2"/>
      <c r="M356" s="2"/>
    </row>
    <row r="357" ht="15.75" customHeight="1">
      <c r="A357" s="2"/>
      <c r="C357" s="2"/>
      <c r="D357" s="2"/>
      <c r="F357" s="2"/>
      <c r="H357" s="2"/>
      <c r="I357" s="2"/>
      <c r="J357" s="2"/>
      <c r="M357" s="2"/>
    </row>
    <row r="358" ht="15.75" customHeight="1">
      <c r="A358" s="2"/>
      <c r="C358" s="2"/>
      <c r="D358" s="2"/>
      <c r="F358" s="2"/>
      <c r="H358" s="2"/>
      <c r="I358" s="2"/>
      <c r="J358" s="2"/>
      <c r="M358" s="2"/>
    </row>
    <row r="359" ht="15.75" customHeight="1">
      <c r="A359" s="2"/>
      <c r="C359" s="2"/>
      <c r="D359" s="2"/>
      <c r="F359" s="2"/>
      <c r="H359" s="2"/>
      <c r="I359" s="2"/>
      <c r="J359" s="2"/>
      <c r="M359" s="2"/>
    </row>
    <row r="360" ht="15.75" customHeight="1">
      <c r="A360" s="2"/>
      <c r="C360" s="2"/>
      <c r="D360" s="2"/>
      <c r="F360" s="2"/>
      <c r="H360" s="2"/>
      <c r="I360" s="2"/>
      <c r="J360" s="2"/>
      <c r="M360" s="2"/>
    </row>
    <row r="361" ht="15.75" customHeight="1">
      <c r="A361" s="2"/>
      <c r="C361" s="2"/>
      <c r="D361" s="2"/>
      <c r="F361" s="2"/>
      <c r="H361" s="2"/>
      <c r="I361" s="2"/>
      <c r="J361" s="2"/>
      <c r="M361" s="2"/>
    </row>
    <row r="362" ht="15.75" customHeight="1">
      <c r="A362" s="2"/>
      <c r="C362" s="2"/>
      <c r="D362" s="2"/>
      <c r="F362" s="2"/>
      <c r="H362" s="2"/>
      <c r="I362" s="2"/>
      <c r="J362" s="2"/>
      <c r="M362" s="2"/>
    </row>
    <row r="363" ht="15.75" customHeight="1">
      <c r="A363" s="2"/>
      <c r="C363" s="2"/>
      <c r="D363" s="2"/>
      <c r="F363" s="2"/>
      <c r="H363" s="2"/>
      <c r="I363" s="2"/>
      <c r="J363" s="2"/>
      <c r="M363" s="2"/>
    </row>
    <row r="364" ht="15.75" customHeight="1">
      <c r="A364" s="2"/>
      <c r="C364" s="2"/>
      <c r="D364" s="2"/>
      <c r="F364" s="2"/>
      <c r="H364" s="2"/>
      <c r="I364" s="2"/>
      <c r="J364" s="2"/>
      <c r="M364" s="2"/>
    </row>
    <row r="365" ht="15.75" customHeight="1">
      <c r="A365" s="2"/>
      <c r="C365" s="2"/>
      <c r="D365" s="2"/>
      <c r="F365" s="2"/>
      <c r="H365" s="2"/>
      <c r="I365" s="2"/>
      <c r="J365" s="2"/>
      <c r="M365" s="2"/>
    </row>
    <row r="366" ht="15.75" customHeight="1">
      <c r="A366" s="2"/>
      <c r="C366" s="2"/>
      <c r="D366" s="2"/>
      <c r="F366" s="2"/>
      <c r="H366" s="2"/>
      <c r="I366" s="2"/>
      <c r="J366" s="2"/>
      <c r="M366" s="2"/>
    </row>
    <row r="367" ht="15.75" customHeight="1">
      <c r="A367" s="2"/>
      <c r="C367" s="2"/>
      <c r="D367" s="2"/>
      <c r="F367" s="2"/>
      <c r="H367" s="2"/>
      <c r="I367" s="2"/>
      <c r="J367" s="2"/>
      <c r="M367" s="2"/>
    </row>
    <row r="368" ht="15.75" customHeight="1">
      <c r="A368" s="2"/>
      <c r="C368" s="2"/>
      <c r="D368" s="2"/>
      <c r="F368" s="2"/>
      <c r="H368" s="2"/>
      <c r="I368" s="2"/>
      <c r="J368" s="2"/>
      <c r="M368" s="2"/>
    </row>
    <row r="369" ht="15.75" customHeight="1">
      <c r="A369" s="2"/>
      <c r="C369" s="2"/>
      <c r="D369" s="2"/>
      <c r="F369" s="2"/>
      <c r="H369" s="2"/>
      <c r="I369" s="2"/>
      <c r="J369" s="2"/>
      <c r="M369" s="2"/>
    </row>
    <row r="370" ht="15.75" customHeight="1">
      <c r="A370" s="2"/>
      <c r="C370" s="2"/>
      <c r="D370" s="2"/>
      <c r="F370" s="2"/>
      <c r="H370" s="2"/>
      <c r="I370" s="2"/>
      <c r="J370" s="2"/>
      <c r="M370" s="2"/>
    </row>
    <row r="371" ht="15.75" customHeight="1">
      <c r="A371" s="2"/>
      <c r="C371" s="2"/>
      <c r="D371" s="2"/>
      <c r="F371" s="2"/>
      <c r="H371" s="2"/>
      <c r="I371" s="2"/>
      <c r="J371" s="2"/>
      <c r="M371" s="2"/>
    </row>
    <row r="372" ht="15.75" customHeight="1">
      <c r="A372" s="2"/>
      <c r="C372" s="2"/>
      <c r="D372" s="2"/>
      <c r="F372" s="2"/>
      <c r="H372" s="2"/>
      <c r="I372" s="2"/>
      <c r="J372" s="2"/>
      <c r="M372" s="2"/>
    </row>
    <row r="373" ht="15.75" customHeight="1">
      <c r="A373" s="2"/>
      <c r="C373" s="2"/>
      <c r="D373" s="2"/>
      <c r="F373" s="2"/>
      <c r="H373" s="2"/>
      <c r="I373" s="2"/>
      <c r="J373" s="2"/>
      <c r="M373" s="2"/>
    </row>
    <row r="374" ht="15.75" customHeight="1">
      <c r="A374" s="2"/>
      <c r="C374" s="2"/>
      <c r="D374" s="2"/>
      <c r="F374" s="2"/>
      <c r="H374" s="2"/>
      <c r="I374" s="2"/>
      <c r="J374" s="2"/>
      <c r="M374" s="2"/>
    </row>
    <row r="375" ht="15.75" customHeight="1">
      <c r="A375" s="2"/>
      <c r="C375" s="2"/>
      <c r="D375" s="2"/>
      <c r="F375" s="2"/>
      <c r="H375" s="2"/>
      <c r="I375" s="2"/>
      <c r="J375" s="2"/>
      <c r="M375" s="2"/>
    </row>
    <row r="376" ht="15.75" customHeight="1">
      <c r="A376" s="2"/>
      <c r="C376" s="2"/>
      <c r="D376" s="2"/>
      <c r="F376" s="2"/>
      <c r="H376" s="2"/>
      <c r="I376" s="2"/>
      <c r="J376" s="2"/>
      <c r="M376" s="2"/>
    </row>
    <row r="377" ht="15.75" customHeight="1">
      <c r="A377" s="2"/>
      <c r="C377" s="2"/>
      <c r="D377" s="2"/>
      <c r="F377" s="2"/>
      <c r="H377" s="2"/>
      <c r="I377" s="2"/>
      <c r="J377" s="2"/>
      <c r="M377" s="2"/>
    </row>
    <row r="378" ht="15.75" customHeight="1">
      <c r="A378" s="2"/>
      <c r="C378" s="2"/>
      <c r="D378" s="2"/>
      <c r="F378" s="2"/>
      <c r="H378" s="2"/>
      <c r="I378" s="2"/>
      <c r="J378" s="2"/>
      <c r="M378" s="2"/>
    </row>
    <row r="379" ht="15.75" customHeight="1">
      <c r="A379" s="2"/>
      <c r="C379" s="2"/>
      <c r="D379" s="2"/>
      <c r="F379" s="2"/>
      <c r="H379" s="2"/>
      <c r="I379" s="2"/>
      <c r="J379" s="2"/>
      <c r="M379" s="2"/>
    </row>
    <row r="380" ht="15.75" customHeight="1">
      <c r="A380" s="2"/>
      <c r="C380" s="2"/>
      <c r="D380" s="2"/>
      <c r="F380" s="2"/>
      <c r="H380" s="2"/>
      <c r="I380" s="2"/>
      <c r="J380" s="2"/>
      <c r="M380" s="2"/>
    </row>
    <row r="381" ht="15.75" customHeight="1">
      <c r="A381" s="2"/>
      <c r="C381" s="2"/>
      <c r="D381" s="2"/>
      <c r="F381" s="2"/>
      <c r="H381" s="2"/>
      <c r="I381" s="2"/>
      <c r="J381" s="2"/>
      <c r="M381" s="2"/>
    </row>
    <row r="382" ht="15.75" customHeight="1">
      <c r="A382" s="2"/>
      <c r="C382" s="2"/>
      <c r="D382" s="2"/>
      <c r="F382" s="2"/>
      <c r="H382" s="2"/>
      <c r="I382" s="2"/>
      <c r="J382" s="2"/>
      <c r="M382" s="2"/>
    </row>
    <row r="383" ht="15.75" customHeight="1">
      <c r="A383" s="2"/>
      <c r="C383" s="2"/>
      <c r="D383" s="2"/>
      <c r="F383" s="2"/>
      <c r="H383" s="2"/>
      <c r="I383" s="2"/>
      <c r="J383" s="2"/>
      <c r="M383" s="2"/>
    </row>
    <row r="384" ht="15.75" customHeight="1">
      <c r="A384" s="2"/>
      <c r="C384" s="2"/>
      <c r="D384" s="2"/>
      <c r="F384" s="2"/>
      <c r="H384" s="2"/>
      <c r="I384" s="2"/>
      <c r="J384" s="2"/>
      <c r="M384" s="2"/>
    </row>
    <row r="385" ht="15.75" customHeight="1">
      <c r="A385" s="2"/>
      <c r="C385" s="2"/>
      <c r="D385" s="2"/>
      <c r="F385" s="2"/>
      <c r="H385" s="2"/>
      <c r="I385" s="2"/>
      <c r="J385" s="2"/>
      <c r="M385" s="2"/>
    </row>
    <row r="386" ht="15.75" customHeight="1">
      <c r="A386" s="2"/>
      <c r="C386" s="2"/>
      <c r="D386" s="2"/>
      <c r="F386" s="2"/>
      <c r="H386" s="2"/>
      <c r="I386" s="2"/>
      <c r="J386" s="2"/>
      <c r="M386" s="2"/>
    </row>
    <row r="387" ht="15.75" customHeight="1">
      <c r="A387" s="2"/>
      <c r="C387" s="2"/>
      <c r="D387" s="2"/>
      <c r="F387" s="2"/>
      <c r="H387" s="2"/>
      <c r="I387" s="2"/>
      <c r="J387" s="2"/>
      <c r="M387" s="2"/>
    </row>
    <row r="388" ht="15.75" customHeight="1">
      <c r="A388" s="2"/>
      <c r="C388" s="2"/>
      <c r="D388" s="2"/>
      <c r="F388" s="2"/>
      <c r="H388" s="2"/>
      <c r="I388" s="2"/>
      <c r="J388" s="2"/>
      <c r="M388" s="2"/>
    </row>
    <row r="389" ht="15.75" customHeight="1">
      <c r="A389" s="2"/>
      <c r="C389" s="2"/>
      <c r="D389" s="2"/>
      <c r="F389" s="2"/>
      <c r="H389" s="2"/>
      <c r="I389" s="2"/>
      <c r="J389" s="2"/>
      <c r="M389" s="2"/>
    </row>
    <row r="390" ht="15.75" customHeight="1">
      <c r="A390" s="2"/>
      <c r="C390" s="2"/>
      <c r="D390" s="2"/>
      <c r="F390" s="2"/>
      <c r="H390" s="2"/>
      <c r="I390" s="2"/>
      <c r="J390" s="2"/>
      <c r="M390" s="2"/>
    </row>
    <row r="391" ht="15.75" customHeight="1">
      <c r="A391" s="2"/>
      <c r="C391" s="2"/>
      <c r="D391" s="2"/>
      <c r="F391" s="2"/>
      <c r="H391" s="2"/>
      <c r="I391" s="2"/>
      <c r="J391" s="2"/>
      <c r="M391" s="2"/>
    </row>
    <row r="392" ht="15.75" customHeight="1">
      <c r="A392" s="2"/>
      <c r="C392" s="2"/>
      <c r="D392" s="2"/>
      <c r="F392" s="2"/>
      <c r="H392" s="2"/>
      <c r="I392" s="2"/>
      <c r="J392" s="2"/>
      <c r="M392" s="2"/>
    </row>
    <row r="393" ht="15.75" customHeight="1">
      <c r="A393" s="2"/>
      <c r="C393" s="2"/>
      <c r="D393" s="2"/>
      <c r="F393" s="2"/>
      <c r="H393" s="2"/>
      <c r="I393" s="2"/>
      <c r="J393" s="2"/>
      <c r="M393" s="2"/>
    </row>
    <row r="394" ht="15.75" customHeight="1">
      <c r="A394" s="2"/>
      <c r="C394" s="2"/>
      <c r="D394" s="2"/>
      <c r="F394" s="2"/>
      <c r="H394" s="2"/>
      <c r="I394" s="2"/>
      <c r="J394" s="2"/>
      <c r="M394" s="2"/>
    </row>
    <row r="395" ht="15.75" customHeight="1">
      <c r="A395" s="2"/>
      <c r="C395" s="2"/>
      <c r="D395" s="2"/>
      <c r="F395" s="2"/>
      <c r="H395" s="2"/>
      <c r="I395" s="2"/>
      <c r="J395" s="2"/>
      <c r="M395" s="2"/>
    </row>
    <row r="396" ht="15.75" customHeight="1">
      <c r="A396" s="2"/>
      <c r="C396" s="2"/>
      <c r="D396" s="2"/>
      <c r="F396" s="2"/>
      <c r="H396" s="2"/>
      <c r="I396" s="2"/>
      <c r="J396" s="2"/>
      <c r="M396" s="2"/>
    </row>
    <row r="397" ht="15.75" customHeight="1">
      <c r="A397" s="2"/>
      <c r="C397" s="2"/>
      <c r="D397" s="2"/>
      <c r="F397" s="2"/>
      <c r="H397" s="2"/>
      <c r="I397" s="2"/>
      <c r="J397" s="2"/>
      <c r="M397" s="2"/>
    </row>
    <row r="398" ht="15.75" customHeight="1">
      <c r="A398" s="2"/>
      <c r="C398" s="2"/>
      <c r="D398" s="2"/>
      <c r="F398" s="2"/>
      <c r="H398" s="2"/>
      <c r="I398" s="2"/>
      <c r="J398" s="2"/>
      <c r="M398" s="2"/>
    </row>
    <row r="399" ht="15.75" customHeight="1">
      <c r="A399" s="2"/>
      <c r="C399" s="2"/>
      <c r="D399" s="2"/>
      <c r="F399" s="2"/>
      <c r="H399" s="2"/>
      <c r="I399" s="2"/>
      <c r="J399" s="2"/>
      <c r="M399" s="2"/>
    </row>
    <row r="400" ht="15.75" customHeight="1">
      <c r="A400" s="2"/>
      <c r="C400" s="2"/>
      <c r="D400" s="2"/>
      <c r="F400" s="2"/>
      <c r="H400" s="2"/>
      <c r="I400" s="2"/>
      <c r="J400" s="2"/>
      <c r="M400" s="2"/>
    </row>
    <row r="401" ht="15.75" customHeight="1">
      <c r="A401" s="2"/>
      <c r="C401" s="2"/>
      <c r="D401" s="2"/>
      <c r="F401" s="2"/>
      <c r="H401" s="2"/>
      <c r="I401" s="2"/>
      <c r="J401" s="2"/>
      <c r="M401" s="2"/>
    </row>
    <row r="402" ht="15.75" customHeight="1">
      <c r="A402" s="2"/>
      <c r="C402" s="2"/>
      <c r="D402" s="2"/>
      <c r="F402" s="2"/>
      <c r="H402" s="2"/>
      <c r="I402" s="2"/>
      <c r="J402" s="2"/>
      <c r="M402" s="2"/>
    </row>
    <row r="403" ht="15.75" customHeight="1">
      <c r="A403" s="2"/>
      <c r="C403" s="2"/>
      <c r="D403" s="2"/>
      <c r="F403" s="2"/>
      <c r="H403" s="2"/>
      <c r="I403" s="2"/>
      <c r="J403" s="2"/>
      <c r="M403" s="2"/>
    </row>
    <row r="404" ht="15.75" customHeight="1">
      <c r="A404" s="2"/>
      <c r="C404" s="2"/>
      <c r="D404" s="2"/>
      <c r="F404" s="2"/>
      <c r="H404" s="2"/>
      <c r="I404" s="2"/>
      <c r="J404" s="2"/>
      <c r="M404" s="2"/>
    </row>
    <row r="405" ht="15.75" customHeight="1">
      <c r="A405" s="2"/>
      <c r="C405" s="2"/>
      <c r="D405" s="2"/>
      <c r="F405" s="2"/>
      <c r="H405" s="2"/>
      <c r="I405" s="2"/>
      <c r="J405" s="2"/>
      <c r="M405" s="2"/>
    </row>
    <row r="406" ht="15.75" customHeight="1">
      <c r="A406" s="2"/>
      <c r="C406" s="2"/>
      <c r="D406" s="2"/>
      <c r="F406" s="2"/>
      <c r="H406" s="2"/>
      <c r="I406" s="2"/>
      <c r="J406" s="2"/>
      <c r="M406" s="2"/>
    </row>
    <row r="407" ht="15.75" customHeight="1">
      <c r="A407" s="2"/>
      <c r="C407" s="2"/>
      <c r="D407" s="2"/>
      <c r="F407" s="2"/>
      <c r="H407" s="2"/>
      <c r="I407" s="2"/>
      <c r="J407" s="2"/>
      <c r="M407" s="2"/>
    </row>
    <row r="408" ht="15.75" customHeight="1">
      <c r="A408" s="2"/>
      <c r="C408" s="2"/>
      <c r="D408" s="2"/>
      <c r="F408" s="2"/>
      <c r="H408" s="2"/>
      <c r="I408" s="2"/>
      <c r="J408" s="2"/>
      <c r="M408" s="2"/>
    </row>
    <row r="409" ht="15.75" customHeight="1">
      <c r="A409" s="2"/>
      <c r="C409" s="2"/>
      <c r="D409" s="2"/>
      <c r="F409" s="2"/>
      <c r="H409" s="2"/>
      <c r="I409" s="2"/>
      <c r="J409" s="2"/>
      <c r="M409" s="2"/>
    </row>
    <row r="410" ht="15.75" customHeight="1">
      <c r="A410" s="2"/>
      <c r="C410" s="2"/>
      <c r="D410" s="2"/>
      <c r="F410" s="2"/>
      <c r="H410" s="2"/>
      <c r="I410" s="2"/>
      <c r="J410" s="2"/>
      <c r="M410" s="2"/>
    </row>
    <row r="411" ht="15.75" customHeight="1">
      <c r="A411" s="2"/>
      <c r="C411" s="2"/>
      <c r="D411" s="2"/>
      <c r="F411" s="2"/>
      <c r="H411" s="2"/>
      <c r="I411" s="2"/>
      <c r="J411" s="2"/>
      <c r="M411" s="2"/>
    </row>
    <row r="412" ht="15.75" customHeight="1">
      <c r="A412" s="2"/>
      <c r="C412" s="2"/>
      <c r="D412" s="2"/>
      <c r="F412" s="2"/>
      <c r="H412" s="2"/>
      <c r="I412" s="2"/>
      <c r="J412" s="2"/>
      <c r="M412" s="2"/>
    </row>
    <row r="413" ht="15.75" customHeight="1">
      <c r="A413" s="2"/>
      <c r="C413" s="2"/>
      <c r="D413" s="2"/>
      <c r="F413" s="2"/>
      <c r="H413" s="2"/>
      <c r="I413" s="2"/>
      <c r="J413" s="2"/>
      <c r="M413" s="2"/>
    </row>
    <row r="414" ht="15.75" customHeight="1">
      <c r="A414" s="2"/>
      <c r="C414" s="2"/>
      <c r="D414" s="2"/>
      <c r="F414" s="2"/>
      <c r="H414" s="2"/>
      <c r="I414" s="2"/>
      <c r="J414" s="2"/>
      <c r="M414" s="2"/>
    </row>
    <row r="415" ht="15.75" customHeight="1">
      <c r="A415" s="2"/>
      <c r="C415" s="2"/>
      <c r="D415" s="2"/>
      <c r="F415" s="2"/>
      <c r="H415" s="2"/>
      <c r="I415" s="2"/>
      <c r="J415" s="2"/>
      <c r="M415" s="2"/>
    </row>
    <row r="416" ht="15.75" customHeight="1">
      <c r="A416" s="2"/>
      <c r="C416" s="2"/>
      <c r="D416" s="2"/>
      <c r="F416" s="2"/>
      <c r="H416" s="2"/>
      <c r="I416" s="2"/>
      <c r="J416" s="2"/>
      <c r="M416" s="2"/>
    </row>
    <row r="417" ht="15.75" customHeight="1">
      <c r="A417" s="2"/>
      <c r="C417" s="2"/>
      <c r="D417" s="2"/>
      <c r="F417" s="2"/>
      <c r="H417" s="2"/>
      <c r="I417" s="2"/>
      <c r="J417" s="2"/>
      <c r="M417" s="2"/>
    </row>
    <row r="418" ht="15.75" customHeight="1">
      <c r="A418" s="2"/>
      <c r="C418" s="2"/>
      <c r="D418" s="2"/>
      <c r="F418" s="2"/>
      <c r="H418" s="2"/>
      <c r="I418" s="2"/>
      <c r="J418" s="2"/>
      <c r="M418" s="2"/>
    </row>
    <row r="419" ht="15.75" customHeight="1">
      <c r="A419" s="2"/>
      <c r="C419" s="2"/>
      <c r="D419" s="2"/>
      <c r="F419" s="2"/>
      <c r="H419" s="2"/>
      <c r="I419" s="2"/>
      <c r="J419" s="2"/>
      <c r="M419" s="2"/>
    </row>
    <row r="420" ht="15.75" customHeight="1">
      <c r="A420" s="2"/>
      <c r="C420" s="2"/>
      <c r="D420" s="2"/>
      <c r="F420" s="2"/>
      <c r="H420" s="2"/>
      <c r="I420" s="2"/>
      <c r="J420" s="2"/>
      <c r="M420" s="2"/>
    </row>
    <row r="421" ht="15.75" customHeight="1">
      <c r="A421" s="2"/>
      <c r="C421" s="2"/>
      <c r="D421" s="2"/>
      <c r="F421" s="2"/>
      <c r="H421" s="2"/>
      <c r="I421" s="2"/>
      <c r="J421" s="2"/>
      <c r="M421" s="2"/>
    </row>
    <row r="422" ht="15.75" customHeight="1">
      <c r="A422" s="2"/>
      <c r="C422" s="2"/>
      <c r="D422" s="2"/>
      <c r="F422" s="2"/>
      <c r="H422" s="2"/>
      <c r="I422" s="2"/>
      <c r="J422" s="2"/>
      <c r="M422" s="2"/>
    </row>
    <row r="423" ht="15.75" customHeight="1">
      <c r="A423" s="2"/>
      <c r="C423" s="2"/>
      <c r="D423" s="2"/>
      <c r="F423" s="2"/>
      <c r="H423" s="2"/>
      <c r="I423" s="2"/>
      <c r="J423" s="2"/>
      <c r="M423" s="2"/>
    </row>
    <row r="424" ht="15.75" customHeight="1">
      <c r="A424" s="2"/>
      <c r="C424" s="2"/>
      <c r="D424" s="2"/>
      <c r="F424" s="2"/>
      <c r="H424" s="2"/>
      <c r="I424" s="2"/>
      <c r="J424" s="2"/>
      <c r="M424" s="2"/>
    </row>
    <row r="425" ht="15.75" customHeight="1">
      <c r="A425" s="2"/>
      <c r="C425" s="2"/>
      <c r="D425" s="2"/>
      <c r="F425" s="2"/>
      <c r="H425" s="2"/>
      <c r="I425" s="2"/>
      <c r="J425" s="2"/>
      <c r="M425" s="2"/>
    </row>
    <row r="426" ht="15.75" customHeight="1">
      <c r="A426" s="2"/>
      <c r="C426" s="2"/>
      <c r="D426" s="2"/>
      <c r="F426" s="2"/>
      <c r="H426" s="2"/>
      <c r="I426" s="2"/>
      <c r="J426" s="2"/>
      <c r="M426" s="2"/>
    </row>
    <row r="427" ht="15.75" customHeight="1">
      <c r="A427" s="2"/>
      <c r="C427" s="2"/>
      <c r="D427" s="2"/>
      <c r="F427" s="2"/>
      <c r="H427" s="2"/>
      <c r="I427" s="2"/>
      <c r="J427" s="2"/>
      <c r="M427" s="2"/>
    </row>
    <row r="428" ht="15.75" customHeight="1">
      <c r="A428" s="2"/>
      <c r="C428" s="2"/>
      <c r="D428" s="2"/>
      <c r="F428" s="2"/>
      <c r="H428" s="2"/>
      <c r="I428" s="2"/>
      <c r="J428" s="2"/>
      <c r="M428" s="2"/>
    </row>
    <row r="429" ht="15.75" customHeight="1">
      <c r="A429" s="2"/>
      <c r="C429" s="2"/>
      <c r="D429" s="2"/>
      <c r="F429" s="2"/>
      <c r="H429" s="2"/>
      <c r="I429" s="2"/>
      <c r="J429" s="2"/>
      <c r="M429" s="2"/>
    </row>
    <row r="430" ht="15.75" customHeight="1">
      <c r="A430" s="2"/>
      <c r="C430" s="2"/>
      <c r="D430" s="2"/>
      <c r="F430" s="2"/>
      <c r="H430" s="2"/>
      <c r="I430" s="2"/>
      <c r="J430" s="2"/>
      <c r="M430" s="2"/>
    </row>
    <row r="431" ht="15.75" customHeight="1">
      <c r="A431" s="2"/>
      <c r="C431" s="2"/>
      <c r="D431" s="2"/>
      <c r="F431" s="2"/>
      <c r="H431" s="2"/>
      <c r="I431" s="2"/>
      <c r="J431" s="2"/>
      <c r="M431" s="2"/>
    </row>
    <row r="432" ht="15.75" customHeight="1">
      <c r="A432" s="2"/>
      <c r="C432" s="2"/>
      <c r="D432" s="2"/>
      <c r="F432" s="2"/>
      <c r="H432" s="2"/>
      <c r="I432" s="2"/>
      <c r="J432" s="2"/>
      <c r="M432" s="2"/>
    </row>
    <row r="433" ht="15.75" customHeight="1">
      <c r="A433" s="2"/>
      <c r="C433" s="2"/>
      <c r="D433" s="2"/>
      <c r="F433" s="2"/>
      <c r="H433" s="2"/>
      <c r="I433" s="2"/>
      <c r="J433" s="2"/>
      <c r="M433" s="2"/>
    </row>
    <row r="434" ht="15.75" customHeight="1">
      <c r="A434" s="2"/>
      <c r="C434" s="2"/>
      <c r="D434" s="2"/>
      <c r="F434" s="2"/>
      <c r="H434" s="2"/>
      <c r="I434" s="2"/>
      <c r="J434" s="2"/>
      <c r="M434" s="2"/>
    </row>
    <row r="435" ht="15.75" customHeight="1">
      <c r="A435" s="2"/>
      <c r="C435" s="2"/>
      <c r="D435" s="2"/>
      <c r="F435" s="2"/>
      <c r="H435" s="2"/>
      <c r="I435" s="2"/>
      <c r="J435" s="2"/>
      <c r="M435" s="2"/>
    </row>
    <row r="436" ht="15.75" customHeight="1">
      <c r="A436" s="2"/>
      <c r="C436" s="2"/>
      <c r="D436" s="2"/>
      <c r="F436" s="2"/>
      <c r="H436" s="2"/>
      <c r="I436" s="2"/>
      <c r="J436" s="2"/>
      <c r="M436" s="2"/>
    </row>
    <row r="437" ht="15.75" customHeight="1">
      <c r="A437" s="2"/>
      <c r="C437" s="2"/>
      <c r="D437" s="2"/>
      <c r="F437" s="2"/>
      <c r="H437" s="2"/>
      <c r="I437" s="2"/>
      <c r="J437" s="2"/>
      <c r="M437" s="2"/>
    </row>
    <row r="438" ht="15.75" customHeight="1">
      <c r="A438" s="2"/>
      <c r="C438" s="2"/>
      <c r="D438" s="2"/>
      <c r="F438" s="2"/>
      <c r="H438" s="2"/>
      <c r="I438" s="2"/>
      <c r="J438" s="2"/>
      <c r="M438" s="2"/>
    </row>
    <row r="439" ht="15.75" customHeight="1">
      <c r="A439" s="2"/>
      <c r="C439" s="2"/>
      <c r="D439" s="2"/>
      <c r="F439" s="2"/>
      <c r="H439" s="2"/>
      <c r="I439" s="2"/>
      <c r="J439" s="2"/>
      <c r="M439" s="2"/>
    </row>
    <row r="440" ht="15.75" customHeight="1">
      <c r="A440" s="2"/>
      <c r="C440" s="2"/>
      <c r="D440" s="2"/>
      <c r="F440" s="2"/>
      <c r="H440" s="2"/>
      <c r="I440" s="2"/>
      <c r="J440" s="2"/>
      <c r="M440" s="2"/>
    </row>
    <row r="441" ht="15.75" customHeight="1">
      <c r="A441" s="2"/>
      <c r="C441" s="2"/>
      <c r="D441" s="2"/>
      <c r="F441" s="2"/>
      <c r="H441" s="2"/>
      <c r="I441" s="2"/>
      <c r="J441" s="2"/>
      <c r="M441" s="2"/>
    </row>
    <row r="442" ht="15.75" customHeight="1">
      <c r="A442" s="2"/>
      <c r="C442" s="2"/>
      <c r="D442" s="2"/>
      <c r="F442" s="2"/>
      <c r="H442" s="2"/>
      <c r="I442" s="2"/>
      <c r="J442" s="2"/>
      <c r="M442" s="2"/>
    </row>
    <row r="443" ht="15.75" customHeight="1">
      <c r="A443" s="2"/>
      <c r="C443" s="2"/>
      <c r="D443" s="2"/>
      <c r="F443" s="2"/>
      <c r="H443" s="2"/>
      <c r="I443" s="2"/>
      <c r="J443" s="2"/>
      <c r="M443" s="2"/>
    </row>
    <row r="444" ht="15.75" customHeight="1">
      <c r="A444" s="2"/>
      <c r="C444" s="2"/>
      <c r="D444" s="2"/>
      <c r="F444" s="2"/>
      <c r="H444" s="2"/>
      <c r="I444" s="2"/>
      <c r="J444" s="2"/>
      <c r="M444" s="2"/>
    </row>
    <row r="445" ht="15.75" customHeight="1">
      <c r="A445" s="2"/>
      <c r="C445" s="2"/>
      <c r="D445" s="2"/>
      <c r="F445" s="2"/>
      <c r="H445" s="2"/>
      <c r="I445" s="2"/>
      <c r="J445" s="2"/>
      <c r="M445" s="2"/>
    </row>
    <row r="446" ht="15.75" customHeight="1">
      <c r="A446" s="2"/>
      <c r="C446" s="2"/>
      <c r="D446" s="2"/>
      <c r="F446" s="2"/>
      <c r="H446" s="2"/>
      <c r="I446" s="2"/>
      <c r="J446" s="2"/>
      <c r="M446" s="2"/>
    </row>
    <row r="447" ht="15.75" customHeight="1">
      <c r="A447" s="2"/>
      <c r="C447" s="2"/>
      <c r="D447" s="2"/>
      <c r="F447" s="2"/>
      <c r="H447" s="2"/>
      <c r="I447" s="2"/>
      <c r="J447" s="2"/>
      <c r="M447" s="2"/>
    </row>
    <row r="448" ht="15.75" customHeight="1">
      <c r="A448" s="2"/>
      <c r="C448" s="2"/>
      <c r="D448" s="2"/>
      <c r="F448" s="2"/>
      <c r="H448" s="2"/>
      <c r="I448" s="2"/>
      <c r="J448" s="2"/>
      <c r="M448" s="2"/>
    </row>
    <row r="449" ht="15.75" customHeight="1">
      <c r="A449" s="2"/>
      <c r="C449" s="2"/>
      <c r="D449" s="2"/>
      <c r="F449" s="2"/>
      <c r="H449" s="2"/>
      <c r="I449" s="2"/>
      <c r="J449" s="2"/>
      <c r="M449" s="2"/>
    </row>
    <row r="450" ht="15.75" customHeight="1">
      <c r="A450" s="2"/>
      <c r="C450" s="2"/>
      <c r="D450" s="2"/>
      <c r="F450" s="2"/>
      <c r="H450" s="2"/>
      <c r="I450" s="2"/>
      <c r="J450" s="2"/>
      <c r="M450" s="2"/>
    </row>
    <row r="451" ht="15.75" customHeight="1">
      <c r="A451" s="2"/>
      <c r="C451" s="2"/>
      <c r="D451" s="2"/>
      <c r="F451" s="2"/>
      <c r="H451" s="2"/>
      <c r="I451" s="2"/>
      <c r="J451" s="2"/>
      <c r="M451" s="2"/>
    </row>
    <row r="452" ht="15.75" customHeight="1">
      <c r="A452" s="2"/>
      <c r="C452" s="2"/>
      <c r="D452" s="2"/>
      <c r="F452" s="2"/>
      <c r="H452" s="2"/>
      <c r="I452" s="2"/>
      <c r="J452" s="2"/>
      <c r="M452" s="2"/>
    </row>
    <row r="453" ht="15.75" customHeight="1">
      <c r="A453" s="2"/>
      <c r="C453" s="2"/>
      <c r="D453" s="2"/>
      <c r="F453" s="2"/>
      <c r="H453" s="2"/>
      <c r="I453" s="2"/>
      <c r="J453" s="2"/>
      <c r="M453" s="2"/>
    </row>
    <row r="454" ht="15.75" customHeight="1">
      <c r="A454" s="2"/>
      <c r="C454" s="2"/>
      <c r="D454" s="2"/>
      <c r="F454" s="2"/>
      <c r="H454" s="2"/>
      <c r="I454" s="2"/>
      <c r="J454" s="2"/>
      <c r="M454" s="2"/>
    </row>
    <row r="455" ht="15.75" customHeight="1">
      <c r="A455" s="2"/>
      <c r="C455" s="2"/>
      <c r="D455" s="2"/>
      <c r="F455" s="2"/>
      <c r="H455" s="2"/>
      <c r="I455" s="2"/>
      <c r="J455" s="2"/>
      <c r="M455" s="2"/>
    </row>
    <row r="456" ht="15.75" customHeight="1">
      <c r="A456" s="2"/>
      <c r="C456" s="2"/>
      <c r="D456" s="2"/>
      <c r="F456" s="2"/>
      <c r="H456" s="2"/>
      <c r="I456" s="2"/>
      <c r="J456" s="2"/>
      <c r="M456" s="2"/>
    </row>
    <row r="457" ht="15.75" customHeight="1">
      <c r="A457" s="2"/>
      <c r="C457" s="2"/>
      <c r="D457" s="2"/>
      <c r="F457" s="2"/>
      <c r="H457" s="2"/>
      <c r="I457" s="2"/>
      <c r="J457" s="2"/>
      <c r="M457" s="2"/>
    </row>
    <row r="458" ht="15.75" customHeight="1">
      <c r="A458" s="2"/>
      <c r="C458" s="2"/>
      <c r="D458" s="2"/>
      <c r="F458" s="2"/>
      <c r="H458" s="2"/>
      <c r="I458" s="2"/>
      <c r="J458" s="2"/>
      <c r="M458" s="2"/>
    </row>
    <row r="459" ht="15.75" customHeight="1">
      <c r="A459" s="2"/>
      <c r="C459" s="2"/>
      <c r="D459" s="2"/>
      <c r="F459" s="2"/>
      <c r="H459" s="2"/>
      <c r="I459" s="2"/>
      <c r="J459" s="2"/>
      <c r="M459" s="2"/>
    </row>
    <row r="460" ht="15.75" customHeight="1">
      <c r="A460" s="2"/>
      <c r="C460" s="2"/>
      <c r="D460" s="2"/>
      <c r="F460" s="2"/>
      <c r="H460" s="2"/>
      <c r="I460" s="2"/>
      <c r="J460" s="2"/>
      <c r="M460" s="2"/>
    </row>
    <row r="461" ht="15.75" customHeight="1">
      <c r="A461" s="2"/>
      <c r="C461" s="2"/>
      <c r="D461" s="2"/>
      <c r="F461" s="2"/>
      <c r="H461" s="2"/>
      <c r="I461" s="2"/>
      <c r="J461" s="2"/>
      <c r="M461" s="2"/>
    </row>
    <row r="462" ht="15.75" customHeight="1">
      <c r="A462" s="2"/>
      <c r="C462" s="2"/>
      <c r="D462" s="2"/>
      <c r="F462" s="2"/>
      <c r="H462" s="2"/>
      <c r="I462" s="2"/>
      <c r="J462" s="2"/>
      <c r="M462" s="2"/>
    </row>
    <row r="463" ht="15.75" customHeight="1">
      <c r="A463" s="2"/>
      <c r="C463" s="2"/>
      <c r="D463" s="2"/>
      <c r="F463" s="2"/>
      <c r="H463" s="2"/>
      <c r="I463" s="2"/>
      <c r="J463" s="2"/>
      <c r="M463" s="2"/>
    </row>
    <row r="464" ht="15.75" customHeight="1">
      <c r="A464" s="2"/>
      <c r="C464" s="2"/>
      <c r="D464" s="2"/>
      <c r="F464" s="2"/>
      <c r="H464" s="2"/>
      <c r="I464" s="2"/>
      <c r="J464" s="2"/>
      <c r="M464" s="2"/>
    </row>
    <row r="465" ht="15.75" customHeight="1">
      <c r="A465" s="2"/>
      <c r="C465" s="2"/>
      <c r="D465" s="2"/>
      <c r="F465" s="2"/>
      <c r="H465" s="2"/>
      <c r="I465" s="2"/>
      <c r="J465" s="2"/>
      <c r="M465" s="2"/>
    </row>
    <row r="466" ht="15.75" customHeight="1">
      <c r="A466" s="2"/>
      <c r="C466" s="2"/>
      <c r="D466" s="2"/>
      <c r="F466" s="2"/>
      <c r="H466" s="2"/>
      <c r="I466" s="2"/>
      <c r="J466" s="2"/>
      <c r="M466" s="2"/>
    </row>
    <row r="467" ht="15.75" customHeight="1">
      <c r="A467" s="2"/>
      <c r="C467" s="2"/>
      <c r="D467" s="2"/>
      <c r="F467" s="2"/>
      <c r="H467" s="2"/>
      <c r="I467" s="2"/>
      <c r="J467" s="2"/>
      <c r="M467" s="2"/>
    </row>
    <row r="468" ht="15.75" customHeight="1">
      <c r="A468" s="2"/>
      <c r="C468" s="2"/>
      <c r="D468" s="2"/>
      <c r="F468" s="2"/>
      <c r="H468" s="2"/>
      <c r="I468" s="2"/>
      <c r="J468" s="2"/>
      <c r="M468" s="2"/>
    </row>
    <row r="469" ht="15.75" customHeight="1">
      <c r="A469" s="2"/>
      <c r="C469" s="2"/>
      <c r="D469" s="2"/>
      <c r="F469" s="2"/>
      <c r="H469" s="2"/>
      <c r="I469" s="2"/>
      <c r="J469" s="2"/>
      <c r="M469" s="2"/>
    </row>
    <row r="470" ht="15.75" customHeight="1">
      <c r="A470" s="2"/>
      <c r="C470" s="2"/>
      <c r="D470" s="2"/>
      <c r="F470" s="2"/>
      <c r="H470" s="2"/>
      <c r="I470" s="2"/>
      <c r="J470" s="2"/>
      <c r="M470" s="2"/>
    </row>
    <row r="471" ht="15.75" customHeight="1">
      <c r="A471" s="2"/>
      <c r="C471" s="2"/>
      <c r="D471" s="2"/>
      <c r="F471" s="2"/>
      <c r="H471" s="2"/>
      <c r="I471" s="2"/>
      <c r="J471" s="2"/>
      <c r="M471" s="2"/>
    </row>
    <row r="472" ht="15.75" customHeight="1">
      <c r="A472" s="2"/>
      <c r="C472" s="2"/>
      <c r="D472" s="2"/>
      <c r="F472" s="2"/>
      <c r="H472" s="2"/>
      <c r="I472" s="2"/>
      <c r="J472" s="2"/>
      <c r="M472" s="2"/>
    </row>
    <row r="473" ht="15.75" customHeight="1">
      <c r="A473" s="2"/>
      <c r="C473" s="2"/>
      <c r="D473" s="2"/>
      <c r="F473" s="2"/>
      <c r="H473" s="2"/>
      <c r="I473" s="2"/>
      <c r="J473" s="2"/>
      <c r="M473" s="2"/>
    </row>
    <row r="474" ht="15.75" customHeight="1">
      <c r="A474" s="2"/>
      <c r="C474" s="2"/>
      <c r="D474" s="2"/>
      <c r="F474" s="2"/>
      <c r="H474" s="2"/>
      <c r="I474" s="2"/>
      <c r="J474" s="2"/>
      <c r="M474" s="2"/>
    </row>
    <row r="475" ht="15.75" customHeight="1">
      <c r="A475" s="2"/>
      <c r="C475" s="2"/>
      <c r="D475" s="2"/>
      <c r="F475" s="2"/>
      <c r="H475" s="2"/>
      <c r="I475" s="2"/>
      <c r="J475" s="2"/>
      <c r="M475" s="2"/>
    </row>
    <row r="476" ht="15.75" customHeight="1">
      <c r="A476" s="2"/>
      <c r="C476" s="2"/>
      <c r="D476" s="2"/>
      <c r="F476" s="2"/>
      <c r="H476" s="2"/>
      <c r="I476" s="2"/>
      <c r="J476" s="2"/>
      <c r="M476" s="2"/>
    </row>
    <row r="477" ht="15.75" customHeight="1">
      <c r="A477" s="2"/>
      <c r="C477" s="2"/>
      <c r="D477" s="2"/>
      <c r="F477" s="2"/>
      <c r="H477" s="2"/>
      <c r="I477" s="2"/>
      <c r="J477" s="2"/>
      <c r="M477" s="2"/>
    </row>
    <row r="478" ht="15.75" customHeight="1">
      <c r="A478" s="2"/>
      <c r="C478" s="2"/>
      <c r="D478" s="2"/>
      <c r="F478" s="2"/>
      <c r="H478" s="2"/>
      <c r="I478" s="2"/>
      <c r="J478" s="2"/>
      <c r="M478" s="2"/>
    </row>
    <row r="479" ht="15.75" customHeight="1">
      <c r="A479" s="2"/>
      <c r="C479" s="2"/>
      <c r="D479" s="2"/>
      <c r="F479" s="2"/>
      <c r="H479" s="2"/>
      <c r="I479" s="2"/>
      <c r="J479" s="2"/>
      <c r="M479" s="2"/>
    </row>
    <row r="480" ht="15.75" customHeight="1">
      <c r="A480" s="2"/>
      <c r="C480" s="2"/>
      <c r="D480" s="2"/>
      <c r="F480" s="2"/>
      <c r="H480" s="2"/>
      <c r="I480" s="2"/>
      <c r="J480" s="2"/>
      <c r="M480" s="2"/>
    </row>
    <row r="481" ht="15.75" customHeight="1">
      <c r="A481" s="2"/>
      <c r="C481" s="2"/>
      <c r="D481" s="2"/>
      <c r="F481" s="2"/>
      <c r="H481" s="2"/>
      <c r="I481" s="2"/>
      <c r="J481" s="2"/>
      <c r="M481" s="2"/>
    </row>
    <row r="482" ht="15.75" customHeight="1">
      <c r="A482" s="2"/>
      <c r="C482" s="2"/>
      <c r="D482" s="2"/>
      <c r="F482" s="2"/>
      <c r="H482" s="2"/>
      <c r="I482" s="2"/>
      <c r="J482" s="2"/>
      <c r="M482" s="2"/>
    </row>
    <row r="483" ht="15.75" customHeight="1">
      <c r="A483" s="2"/>
      <c r="C483" s="2"/>
      <c r="D483" s="2"/>
      <c r="F483" s="2"/>
      <c r="H483" s="2"/>
      <c r="I483" s="2"/>
      <c r="J483" s="2"/>
      <c r="M483" s="2"/>
    </row>
    <row r="484" ht="15.75" customHeight="1">
      <c r="A484" s="2"/>
      <c r="C484" s="2"/>
      <c r="D484" s="2"/>
      <c r="F484" s="2"/>
      <c r="H484" s="2"/>
      <c r="I484" s="2"/>
      <c r="J484" s="2"/>
      <c r="M484" s="2"/>
    </row>
    <row r="485" ht="15.75" customHeight="1">
      <c r="A485" s="2"/>
      <c r="C485" s="2"/>
      <c r="D485" s="2"/>
      <c r="F485" s="2"/>
      <c r="H485" s="2"/>
      <c r="I485" s="2"/>
      <c r="J485" s="2"/>
      <c r="M485" s="2"/>
    </row>
    <row r="486" ht="15.75" customHeight="1">
      <c r="A486" s="2"/>
      <c r="C486" s="2"/>
      <c r="D486" s="2"/>
      <c r="F486" s="2"/>
      <c r="H486" s="2"/>
      <c r="I486" s="2"/>
      <c r="J486" s="2"/>
      <c r="M486" s="2"/>
    </row>
    <row r="487" ht="15.75" customHeight="1">
      <c r="A487" s="2"/>
      <c r="C487" s="2"/>
      <c r="D487" s="2"/>
      <c r="F487" s="2"/>
      <c r="H487" s="2"/>
      <c r="I487" s="2"/>
      <c r="J487" s="2"/>
      <c r="M487" s="2"/>
    </row>
    <row r="488" ht="15.75" customHeight="1">
      <c r="A488" s="2"/>
      <c r="C488" s="2"/>
      <c r="D488" s="2"/>
      <c r="F488" s="2"/>
      <c r="H488" s="2"/>
      <c r="I488" s="2"/>
      <c r="J488" s="2"/>
      <c r="M488" s="2"/>
    </row>
    <row r="489" ht="15.75" customHeight="1">
      <c r="A489" s="2"/>
      <c r="C489" s="2"/>
      <c r="D489" s="2"/>
      <c r="F489" s="2"/>
      <c r="H489" s="2"/>
      <c r="I489" s="2"/>
      <c r="J489" s="2"/>
      <c r="M489" s="2"/>
    </row>
    <row r="490" ht="15.75" customHeight="1">
      <c r="A490" s="2"/>
      <c r="C490" s="2"/>
      <c r="D490" s="2"/>
      <c r="F490" s="2"/>
      <c r="H490" s="2"/>
      <c r="I490" s="2"/>
      <c r="J490" s="2"/>
      <c r="M490" s="2"/>
    </row>
    <row r="491" ht="15.75" customHeight="1">
      <c r="A491" s="2"/>
      <c r="C491" s="2"/>
      <c r="D491" s="2"/>
      <c r="F491" s="2"/>
      <c r="H491" s="2"/>
      <c r="I491" s="2"/>
      <c r="J491" s="2"/>
      <c r="M491" s="2"/>
    </row>
    <row r="492" ht="15.75" customHeight="1">
      <c r="A492" s="2"/>
      <c r="C492" s="2"/>
      <c r="D492" s="2"/>
      <c r="F492" s="2"/>
      <c r="H492" s="2"/>
      <c r="I492" s="2"/>
      <c r="J492" s="2"/>
      <c r="M492" s="2"/>
    </row>
    <row r="493" ht="15.75" customHeight="1">
      <c r="A493" s="2"/>
      <c r="C493" s="2"/>
      <c r="D493" s="2"/>
      <c r="F493" s="2"/>
      <c r="H493" s="2"/>
      <c r="I493" s="2"/>
      <c r="J493" s="2"/>
      <c r="M493" s="2"/>
    </row>
    <row r="494" ht="15.75" customHeight="1">
      <c r="A494" s="2"/>
      <c r="C494" s="2"/>
      <c r="D494" s="2"/>
      <c r="F494" s="2"/>
      <c r="H494" s="2"/>
      <c r="I494" s="2"/>
      <c r="J494" s="2"/>
      <c r="M494" s="2"/>
    </row>
    <row r="495" ht="15.75" customHeight="1">
      <c r="A495" s="2"/>
      <c r="C495" s="2"/>
      <c r="D495" s="2"/>
      <c r="F495" s="2"/>
      <c r="H495" s="2"/>
      <c r="I495" s="2"/>
      <c r="J495" s="2"/>
      <c r="M495" s="2"/>
    </row>
    <row r="496" ht="15.75" customHeight="1">
      <c r="A496" s="2"/>
      <c r="C496" s="2"/>
      <c r="D496" s="2"/>
      <c r="F496" s="2"/>
      <c r="H496" s="2"/>
      <c r="I496" s="2"/>
      <c r="J496" s="2"/>
      <c r="M496" s="2"/>
    </row>
    <row r="497" ht="15.75" customHeight="1">
      <c r="A497" s="2"/>
      <c r="C497" s="2"/>
      <c r="D497" s="2"/>
      <c r="F497" s="2"/>
      <c r="H497" s="2"/>
      <c r="I497" s="2"/>
      <c r="J497" s="2"/>
      <c r="M497" s="2"/>
    </row>
    <row r="498" ht="15.75" customHeight="1">
      <c r="A498" s="2"/>
      <c r="C498" s="2"/>
      <c r="D498" s="2"/>
      <c r="F498" s="2"/>
      <c r="H498" s="2"/>
      <c r="I498" s="2"/>
      <c r="J498" s="2"/>
      <c r="M498" s="2"/>
    </row>
    <row r="499" ht="15.75" customHeight="1">
      <c r="A499" s="2"/>
      <c r="C499" s="2"/>
      <c r="D499" s="2"/>
      <c r="F499" s="2"/>
      <c r="H499" s="2"/>
      <c r="I499" s="2"/>
      <c r="J499" s="2"/>
      <c r="M499" s="2"/>
    </row>
    <row r="500" ht="15.75" customHeight="1">
      <c r="A500" s="2"/>
      <c r="C500" s="2"/>
      <c r="D500" s="2"/>
      <c r="F500" s="2"/>
      <c r="H500" s="2"/>
      <c r="I500" s="2"/>
      <c r="J500" s="2"/>
      <c r="M500" s="2"/>
    </row>
    <row r="501" ht="15.75" customHeight="1">
      <c r="A501" s="2"/>
      <c r="C501" s="2"/>
      <c r="D501" s="2"/>
      <c r="F501" s="2"/>
      <c r="H501" s="2"/>
      <c r="I501" s="2"/>
      <c r="J501" s="2"/>
      <c r="M501" s="2"/>
    </row>
    <row r="502" ht="15.75" customHeight="1">
      <c r="A502" s="2"/>
      <c r="C502" s="2"/>
      <c r="D502" s="2"/>
      <c r="F502" s="2"/>
      <c r="H502" s="2"/>
      <c r="I502" s="2"/>
      <c r="J502" s="2"/>
      <c r="M502" s="2"/>
    </row>
    <row r="503" ht="15.75" customHeight="1">
      <c r="A503" s="2"/>
      <c r="C503" s="2"/>
      <c r="D503" s="2"/>
      <c r="F503" s="2"/>
      <c r="H503" s="2"/>
      <c r="I503" s="2"/>
      <c r="J503" s="2"/>
      <c r="M503" s="2"/>
    </row>
    <row r="504" ht="15.75" customHeight="1">
      <c r="A504" s="2"/>
      <c r="C504" s="2"/>
      <c r="D504" s="2"/>
      <c r="F504" s="2"/>
      <c r="H504" s="2"/>
      <c r="I504" s="2"/>
      <c r="J504" s="2"/>
      <c r="M504" s="2"/>
    </row>
    <row r="505" ht="15.75" customHeight="1">
      <c r="A505" s="2"/>
      <c r="C505" s="2"/>
      <c r="D505" s="2"/>
      <c r="F505" s="2"/>
      <c r="H505" s="2"/>
      <c r="I505" s="2"/>
      <c r="J505" s="2"/>
      <c r="M505" s="2"/>
    </row>
    <row r="506" ht="15.75" customHeight="1">
      <c r="A506" s="2"/>
      <c r="C506" s="2"/>
      <c r="D506" s="2"/>
      <c r="F506" s="2"/>
      <c r="H506" s="2"/>
      <c r="I506" s="2"/>
      <c r="J506" s="2"/>
      <c r="M506" s="2"/>
    </row>
    <row r="507" ht="15.75" customHeight="1">
      <c r="A507" s="2"/>
      <c r="C507" s="2"/>
      <c r="D507" s="2"/>
      <c r="F507" s="2"/>
      <c r="H507" s="2"/>
      <c r="I507" s="2"/>
      <c r="J507" s="2"/>
      <c r="M507" s="2"/>
    </row>
    <row r="508" ht="15.75" customHeight="1">
      <c r="A508" s="2"/>
      <c r="C508" s="2"/>
      <c r="D508" s="2"/>
      <c r="F508" s="2"/>
      <c r="H508" s="2"/>
      <c r="I508" s="2"/>
      <c r="J508" s="2"/>
      <c r="M508" s="2"/>
    </row>
    <row r="509" ht="15.75" customHeight="1">
      <c r="A509" s="2"/>
      <c r="C509" s="2"/>
      <c r="D509" s="2"/>
      <c r="F509" s="2"/>
      <c r="H509" s="2"/>
      <c r="I509" s="2"/>
      <c r="J509" s="2"/>
      <c r="M509" s="2"/>
    </row>
    <row r="510" ht="15.75" customHeight="1">
      <c r="A510" s="2"/>
      <c r="C510" s="2"/>
      <c r="D510" s="2"/>
      <c r="F510" s="2"/>
      <c r="H510" s="2"/>
      <c r="I510" s="2"/>
      <c r="J510" s="2"/>
      <c r="M510" s="2"/>
    </row>
    <row r="511" ht="15.75" customHeight="1">
      <c r="A511" s="2"/>
      <c r="C511" s="2"/>
      <c r="D511" s="2"/>
      <c r="F511" s="2"/>
      <c r="H511" s="2"/>
      <c r="I511" s="2"/>
      <c r="J511" s="2"/>
      <c r="M511" s="2"/>
    </row>
    <row r="512" ht="15.75" customHeight="1">
      <c r="A512" s="2"/>
      <c r="C512" s="2"/>
      <c r="D512" s="2"/>
      <c r="F512" s="2"/>
      <c r="H512" s="2"/>
      <c r="I512" s="2"/>
      <c r="J512" s="2"/>
      <c r="M512" s="2"/>
    </row>
    <row r="513" ht="15.75" customHeight="1">
      <c r="A513" s="2"/>
      <c r="C513" s="2"/>
      <c r="D513" s="2"/>
      <c r="F513" s="2"/>
      <c r="H513" s="2"/>
      <c r="I513" s="2"/>
      <c r="J513" s="2"/>
      <c r="M513" s="2"/>
    </row>
    <row r="514" ht="15.75" customHeight="1">
      <c r="A514" s="2"/>
      <c r="C514" s="2"/>
      <c r="D514" s="2"/>
      <c r="F514" s="2"/>
      <c r="H514" s="2"/>
      <c r="I514" s="2"/>
      <c r="J514" s="2"/>
      <c r="M514" s="2"/>
    </row>
    <row r="515" ht="15.75" customHeight="1">
      <c r="A515" s="2"/>
      <c r="C515" s="2"/>
      <c r="D515" s="2"/>
      <c r="F515" s="2"/>
      <c r="H515" s="2"/>
      <c r="I515" s="2"/>
      <c r="J515" s="2"/>
      <c r="M515" s="2"/>
    </row>
    <row r="516" ht="15.75" customHeight="1">
      <c r="A516" s="2"/>
      <c r="C516" s="2"/>
      <c r="D516" s="2"/>
      <c r="F516" s="2"/>
      <c r="H516" s="2"/>
      <c r="I516" s="2"/>
      <c r="J516" s="2"/>
      <c r="M516" s="2"/>
    </row>
    <row r="517" ht="15.75" customHeight="1">
      <c r="A517" s="2"/>
      <c r="C517" s="2"/>
      <c r="D517" s="2"/>
      <c r="F517" s="2"/>
      <c r="H517" s="2"/>
      <c r="I517" s="2"/>
      <c r="J517" s="2"/>
      <c r="M517" s="2"/>
    </row>
    <row r="518" ht="15.75" customHeight="1">
      <c r="A518" s="2"/>
      <c r="C518" s="2"/>
      <c r="D518" s="2"/>
      <c r="F518" s="2"/>
      <c r="H518" s="2"/>
      <c r="I518" s="2"/>
      <c r="J518" s="2"/>
      <c r="M518" s="2"/>
    </row>
    <row r="519" ht="15.75" customHeight="1">
      <c r="A519" s="2"/>
      <c r="C519" s="2"/>
      <c r="D519" s="2"/>
      <c r="F519" s="2"/>
      <c r="H519" s="2"/>
      <c r="I519" s="2"/>
      <c r="J519" s="2"/>
      <c r="M519" s="2"/>
    </row>
    <row r="520" ht="15.75" customHeight="1">
      <c r="A520" s="2"/>
      <c r="C520" s="2"/>
      <c r="D520" s="2"/>
      <c r="F520" s="2"/>
      <c r="H520" s="2"/>
      <c r="I520" s="2"/>
      <c r="J520" s="2"/>
      <c r="M520" s="2"/>
    </row>
    <row r="521" ht="15.75" customHeight="1">
      <c r="A521" s="2"/>
      <c r="C521" s="2"/>
      <c r="D521" s="2"/>
      <c r="F521" s="2"/>
      <c r="H521" s="2"/>
      <c r="I521" s="2"/>
      <c r="J521" s="2"/>
      <c r="M521" s="2"/>
    </row>
    <row r="522" ht="15.75" customHeight="1">
      <c r="A522" s="2"/>
      <c r="C522" s="2"/>
      <c r="D522" s="2"/>
      <c r="F522" s="2"/>
      <c r="H522" s="2"/>
      <c r="I522" s="2"/>
      <c r="J522" s="2"/>
      <c r="M522" s="2"/>
    </row>
    <row r="523" ht="15.75" customHeight="1">
      <c r="A523" s="2"/>
      <c r="C523" s="2"/>
      <c r="D523" s="2"/>
      <c r="F523" s="2"/>
      <c r="H523" s="2"/>
      <c r="I523" s="2"/>
      <c r="J523" s="2"/>
      <c r="M523" s="2"/>
    </row>
    <row r="524" ht="15.75" customHeight="1">
      <c r="A524" s="2"/>
      <c r="C524" s="2"/>
      <c r="D524" s="2"/>
      <c r="F524" s="2"/>
      <c r="H524" s="2"/>
      <c r="I524" s="2"/>
      <c r="J524" s="2"/>
      <c r="M524" s="2"/>
    </row>
    <row r="525" ht="15.75" customHeight="1">
      <c r="A525" s="2"/>
      <c r="C525" s="2"/>
      <c r="D525" s="2"/>
      <c r="F525" s="2"/>
      <c r="H525" s="2"/>
      <c r="I525" s="2"/>
      <c r="J525" s="2"/>
      <c r="M525" s="2"/>
    </row>
    <row r="526" ht="15.75" customHeight="1">
      <c r="A526" s="2"/>
      <c r="C526" s="2"/>
      <c r="D526" s="2"/>
      <c r="F526" s="2"/>
      <c r="H526" s="2"/>
      <c r="I526" s="2"/>
      <c r="J526" s="2"/>
      <c r="M526" s="2"/>
    </row>
    <row r="527" ht="15.75" customHeight="1">
      <c r="A527" s="2"/>
      <c r="C527" s="2"/>
      <c r="D527" s="2"/>
      <c r="F527" s="2"/>
      <c r="H527" s="2"/>
      <c r="I527" s="2"/>
      <c r="J527" s="2"/>
      <c r="M527" s="2"/>
    </row>
    <row r="528" ht="15.75" customHeight="1">
      <c r="A528" s="2"/>
      <c r="C528" s="2"/>
      <c r="D528" s="2"/>
      <c r="F528" s="2"/>
      <c r="H528" s="2"/>
      <c r="I528" s="2"/>
      <c r="J528" s="2"/>
      <c r="M528" s="2"/>
    </row>
    <row r="529" ht="15.75" customHeight="1">
      <c r="A529" s="2"/>
      <c r="C529" s="2"/>
      <c r="D529" s="2"/>
      <c r="F529" s="2"/>
      <c r="H529" s="2"/>
      <c r="I529" s="2"/>
      <c r="J529" s="2"/>
      <c r="M529" s="2"/>
    </row>
    <row r="530" ht="15.75" customHeight="1">
      <c r="A530" s="2"/>
      <c r="C530" s="2"/>
      <c r="D530" s="2"/>
      <c r="F530" s="2"/>
      <c r="H530" s="2"/>
      <c r="I530" s="2"/>
      <c r="J530" s="2"/>
      <c r="M530" s="2"/>
    </row>
    <row r="531" ht="15.75" customHeight="1">
      <c r="A531" s="2"/>
      <c r="C531" s="2"/>
      <c r="D531" s="2"/>
      <c r="F531" s="2"/>
      <c r="H531" s="2"/>
      <c r="I531" s="2"/>
      <c r="J531" s="2"/>
      <c r="M531" s="2"/>
    </row>
    <row r="532" ht="15.75" customHeight="1">
      <c r="A532" s="2"/>
      <c r="C532" s="2"/>
      <c r="D532" s="2"/>
      <c r="F532" s="2"/>
      <c r="H532" s="2"/>
      <c r="I532" s="2"/>
      <c r="J532" s="2"/>
      <c r="M532" s="2"/>
    </row>
    <row r="533" ht="15.75" customHeight="1">
      <c r="A533" s="2"/>
      <c r="C533" s="2"/>
      <c r="D533" s="2"/>
      <c r="F533" s="2"/>
      <c r="H533" s="2"/>
      <c r="I533" s="2"/>
      <c r="J533" s="2"/>
      <c r="M533" s="2"/>
    </row>
    <row r="534" ht="15.75" customHeight="1">
      <c r="A534" s="2"/>
      <c r="C534" s="2"/>
      <c r="D534" s="2"/>
      <c r="F534" s="2"/>
      <c r="H534" s="2"/>
      <c r="I534" s="2"/>
      <c r="J534" s="2"/>
      <c r="M534" s="2"/>
    </row>
    <row r="535" ht="15.75" customHeight="1">
      <c r="A535" s="2"/>
      <c r="C535" s="2"/>
      <c r="D535" s="2"/>
      <c r="F535" s="2"/>
      <c r="H535" s="2"/>
      <c r="I535" s="2"/>
      <c r="J535" s="2"/>
      <c r="M535" s="2"/>
    </row>
    <row r="536" ht="15.75" customHeight="1">
      <c r="A536" s="2"/>
      <c r="C536" s="2"/>
      <c r="D536" s="2"/>
      <c r="F536" s="2"/>
      <c r="H536" s="2"/>
      <c r="I536" s="2"/>
      <c r="J536" s="2"/>
      <c r="M536" s="2"/>
    </row>
    <row r="537" ht="15.75" customHeight="1">
      <c r="A537" s="2"/>
      <c r="C537" s="2"/>
      <c r="D537" s="2"/>
      <c r="F537" s="2"/>
      <c r="H537" s="2"/>
      <c r="I537" s="2"/>
      <c r="J537" s="2"/>
      <c r="M537" s="2"/>
    </row>
    <row r="538" ht="15.75" customHeight="1">
      <c r="A538" s="2"/>
      <c r="C538" s="2"/>
      <c r="D538" s="2"/>
      <c r="F538" s="2"/>
      <c r="H538" s="2"/>
      <c r="I538" s="2"/>
      <c r="J538" s="2"/>
      <c r="M538" s="2"/>
    </row>
    <row r="539" ht="15.75" customHeight="1">
      <c r="A539" s="2"/>
      <c r="C539" s="2"/>
      <c r="D539" s="2"/>
      <c r="F539" s="2"/>
      <c r="H539" s="2"/>
      <c r="I539" s="2"/>
      <c r="J539" s="2"/>
      <c r="M539" s="2"/>
    </row>
    <row r="540" ht="15.75" customHeight="1">
      <c r="A540" s="2"/>
      <c r="C540" s="2"/>
      <c r="D540" s="2"/>
      <c r="F540" s="2"/>
      <c r="H540" s="2"/>
      <c r="I540" s="2"/>
      <c r="J540" s="2"/>
      <c r="M540" s="2"/>
    </row>
    <row r="541" ht="15.75" customHeight="1">
      <c r="A541" s="2"/>
      <c r="C541" s="2"/>
      <c r="D541" s="2"/>
      <c r="F541" s="2"/>
      <c r="H541" s="2"/>
      <c r="I541" s="2"/>
      <c r="J541" s="2"/>
      <c r="M541" s="2"/>
    </row>
    <row r="542" ht="15.75" customHeight="1">
      <c r="A542" s="2"/>
      <c r="C542" s="2"/>
      <c r="D542" s="2"/>
      <c r="F542" s="2"/>
      <c r="H542" s="2"/>
      <c r="I542" s="2"/>
      <c r="J542" s="2"/>
      <c r="M542" s="2"/>
    </row>
    <row r="543" ht="15.75" customHeight="1">
      <c r="A543" s="2"/>
      <c r="C543" s="2"/>
      <c r="D543" s="2"/>
      <c r="F543" s="2"/>
      <c r="H543" s="2"/>
      <c r="I543" s="2"/>
      <c r="J543" s="2"/>
      <c r="M543" s="2"/>
    </row>
    <row r="544" ht="15.75" customHeight="1">
      <c r="A544" s="2"/>
      <c r="C544" s="2"/>
      <c r="D544" s="2"/>
      <c r="F544" s="2"/>
      <c r="H544" s="2"/>
      <c r="I544" s="2"/>
      <c r="J544" s="2"/>
      <c r="M544" s="2"/>
    </row>
    <row r="545" ht="15.75" customHeight="1">
      <c r="A545" s="2"/>
      <c r="C545" s="2"/>
      <c r="D545" s="2"/>
      <c r="F545" s="2"/>
      <c r="H545" s="2"/>
      <c r="I545" s="2"/>
      <c r="J545" s="2"/>
      <c r="M545" s="2"/>
    </row>
    <row r="546" ht="15.75" customHeight="1">
      <c r="A546" s="2"/>
      <c r="C546" s="2"/>
      <c r="D546" s="2"/>
      <c r="F546" s="2"/>
      <c r="H546" s="2"/>
      <c r="I546" s="2"/>
      <c r="J546" s="2"/>
      <c r="M546" s="2"/>
    </row>
    <row r="547" ht="15.75" customHeight="1">
      <c r="A547" s="2"/>
      <c r="C547" s="2"/>
      <c r="D547" s="2"/>
      <c r="F547" s="2"/>
      <c r="H547" s="2"/>
      <c r="I547" s="2"/>
      <c r="J547" s="2"/>
      <c r="M547" s="2"/>
    </row>
    <row r="548" ht="15.75" customHeight="1">
      <c r="A548" s="2"/>
      <c r="C548" s="2"/>
      <c r="D548" s="2"/>
      <c r="F548" s="2"/>
      <c r="H548" s="2"/>
      <c r="I548" s="2"/>
      <c r="J548" s="2"/>
      <c r="M548" s="2"/>
    </row>
    <row r="549" ht="15.75" customHeight="1">
      <c r="A549" s="2"/>
      <c r="C549" s="2"/>
      <c r="D549" s="2"/>
      <c r="F549" s="2"/>
      <c r="H549" s="2"/>
      <c r="I549" s="2"/>
      <c r="J549" s="2"/>
      <c r="M549" s="2"/>
    </row>
    <row r="550" ht="15.75" customHeight="1">
      <c r="A550" s="2"/>
      <c r="C550" s="2"/>
      <c r="D550" s="2"/>
      <c r="F550" s="2"/>
      <c r="H550" s="2"/>
      <c r="I550" s="2"/>
      <c r="J550" s="2"/>
      <c r="M550" s="2"/>
    </row>
    <row r="551" ht="15.75" customHeight="1">
      <c r="A551" s="2"/>
      <c r="C551" s="2"/>
      <c r="D551" s="2"/>
      <c r="F551" s="2"/>
      <c r="H551" s="2"/>
      <c r="I551" s="2"/>
      <c r="J551" s="2"/>
      <c r="M551" s="2"/>
    </row>
    <row r="552" ht="15.75" customHeight="1">
      <c r="A552" s="2"/>
      <c r="C552" s="2"/>
      <c r="D552" s="2"/>
      <c r="F552" s="2"/>
      <c r="H552" s="2"/>
      <c r="I552" s="2"/>
      <c r="J552" s="2"/>
      <c r="M552" s="2"/>
    </row>
    <row r="553" ht="15.75" customHeight="1">
      <c r="A553" s="2"/>
      <c r="C553" s="2"/>
      <c r="D553" s="2"/>
      <c r="F553" s="2"/>
      <c r="H553" s="2"/>
      <c r="I553" s="2"/>
      <c r="J553" s="2"/>
      <c r="M553" s="2"/>
    </row>
    <row r="554" ht="15.75" customHeight="1">
      <c r="A554" s="2"/>
      <c r="C554" s="2"/>
      <c r="D554" s="2"/>
      <c r="F554" s="2"/>
      <c r="H554" s="2"/>
      <c r="I554" s="2"/>
      <c r="J554" s="2"/>
      <c r="M554" s="2"/>
    </row>
    <row r="555" ht="15.75" customHeight="1">
      <c r="A555" s="2"/>
      <c r="C555" s="2"/>
      <c r="D555" s="2"/>
      <c r="F555" s="2"/>
      <c r="H555" s="2"/>
      <c r="I555" s="2"/>
      <c r="J555" s="2"/>
      <c r="M555" s="2"/>
    </row>
    <row r="556" ht="15.75" customHeight="1">
      <c r="A556" s="2"/>
      <c r="C556" s="2"/>
      <c r="D556" s="2"/>
      <c r="F556" s="2"/>
      <c r="H556" s="2"/>
      <c r="I556" s="2"/>
      <c r="J556" s="2"/>
      <c r="M556" s="2"/>
    </row>
    <row r="557" ht="15.75" customHeight="1">
      <c r="A557" s="2"/>
      <c r="C557" s="2"/>
      <c r="D557" s="2"/>
      <c r="F557" s="2"/>
      <c r="H557" s="2"/>
      <c r="I557" s="2"/>
      <c r="J557" s="2"/>
      <c r="M557" s="2"/>
    </row>
    <row r="558" ht="15.75" customHeight="1">
      <c r="A558" s="2"/>
      <c r="C558" s="2"/>
      <c r="D558" s="2"/>
      <c r="F558" s="2"/>
      <c r="H558" s="2"/>
      <c r="I558" s="2"/>
      <c r="J558" s="2"/>
      <c r="M558" s="2"/>
    </row>
    <row r="559" ht="15.75" customHeight="1">
      <c r="A559" s="2"/>
      <c r="C559" s="2"/>
      <c r="D559" s="2"/>
      <c r="F559" s="2"/>
      <c r="H559" s="2"/>
      <c r="I559" s="2"/>
      <c r="J559" s="2"/>
      <c r="M559" s="2"/>
    </row>
    <row r="560" ht="15.75" customHeight="1">
      <c r="A560" s="2"/>
      <c r="C560" s="2"/>
      <c r="D560" s="2"/>
      <c r="F560" s="2"/>
      <c r="H560" s="2"/>
      <c r="I560" s="2"/>
      <c r="J560" s="2"/>
      <c r="M560" s="2"/>
    </row>
    <row r="561" ht="15.75" customHeight="1">
      <c r="A561" s="2"/>
      <c r="C561" s="2"/>
      <c r="D561" s="2"/>
      <c r="F561" s="2"/>
      <c r="H561" s="2"/>
      <c r="I561" s="2"/>
      <c r="J561" s="2"/>
      <c r="M561" s="2"/>
    </row>
    <row r="562" ht="15.75" customHeight="1">
      <c r="A562" s="2"/>
      <c r="C562" s="2"/>
      <c r="D562" s="2"/>
      <c r="F562" s="2"/>
      <c r="H562" s="2"/>
      <c r="I562" s="2"/>
      <c r="J562" s="2"/>
      <c r="M562" s="2"/>
    </row>
    <row r="563" ht="15.75" customHeight="1">
      <c r="A563" s="2"/>
      <c r="C563" s="2"/>
      <c r="D563" s="2"/>
      <c r="F563" s="2"/>
      <c r="H563" s="2"/>
      <c r="I563" s="2"/>
      <c r="J563" s="2"/>
      <c r="M563" s="2"/>
    </row>
    <row r="564" ht="15.75" customHeight="1">
      <c r="A564" s="2"/>
      <c r="C564" s="2"/>
      <c r="D564" s="2"/>
      <c r="F564" s="2"/>
      <c r="H564" s="2"/>
      <c r="I564" s="2"/>
      <c r="J564" s="2"/>
      <c r="M564" s="2"/>
    </row>
    <row r="565" ht="15.75" customHeight="1">
      <c r="A565" s="2"/>
      <c r="C565" s="2"/>
      <c r="D565" s="2"/>
      <c r="F565" s="2"/>
      <c r="H565" s="2"/>
      <c r="I565" s="2"/>
      <c r="J565" s="2"/>
      <c r="M565" s="2"/>
    </row>
    <row r="566" ht="15.75" customHeight="1">
      <c r="A566" s="2"/>
      <c r="C566" s="2"/>
      <c r="D566" s="2"/>
      <c r="F566" s="2"/>
      <c r="H566" s="2"/>
      <c r="I566" s="2"/>
      <c r="J566" s="2"/>
      <c r="M566" s="2"/>
    </row>
    <row r="567" ht="15.75" customHeight="1">
      <c r="A567" s="2"/>
      <c r="C567" s="2"/>
      <c r="D567" s="2"/>
      <c r="F567" s="2"/>
      <c r="H567" s="2"/>
      <c r="I567" s="2"/>
      <c r="J567" s="2"/>
      <c r="M567" s="2"/>
    </row>
    <row r="568" ht="15.75" customHeight="1">
      <c r="A568" s="2"/>
      <c r="C568" s="2"/>
      <c r="D568" s="2"/>
      <c r="F568" s="2"/>
      <c r="H568" s="2"/>
      <c r="I568" s="2"/>
      <c r="J568" s="2"/>
      <c r="M568" s="2"/>
    </row>
    <row r="569" ht="15.75" customHeight="1">
      <c r="A569" s="2"/>
      <c r="C569" s="2"/>
      <c r="D569" s="2"/>
      <c r="F569" s="2"/>
      <c r="H569" s="2"/>
      <c r="I569" s="2"/>
      <c r="J569" s="2"/>
      <c r="M569" s="2"/>
    </row>
    <row r="570" ht="15.75" customHeight="1">
      <c r="A570" s="2"/>
      <c r="C570" s="2"/>
      <c r="D570" s="2"/>
      <c r="F570" s="2"/>
      <c r="H570" s="2"/>
      <c r="I570" s="2"/>
      <c r="J570" s="2"/>
      <c r="M570" s="2"/>
    </row>
    <row r="571" ht="15.75" customHeight="1">
      <c r="A571" s="2"/>
      <c r="C571" s="2"/>
      <c r="D571" s="2"/>
      <c r="F571" s="2"/>
      <c r="H571" s="2"/>
      <c r="I571" s="2"/>
      <c r="J571" s="2"/>
      <c r="M571" s="2"/>
    </row>
    <row r="572" ht="15.75" customHeight="1">
      <c r="A572" s="2"/>
      <c r="C572" s="2"/>
      <c r="D572" s="2"/>
      <c r="F572" s="2"/>
      <c r="H572" s="2"/>
      <c r="I572" s="2"/>
      <c r="J572" s="2"/>
      <c r="M572" s="2"/>
    </row>
    <row r="573" ht="15.75" customHeight="1">
      <c r="A573" s="2"/>
      <c r="C573" s="2"/>
      <c r="D573" s="2"/>
      <c r="F573" s="2"/>
      <c r="H573" s="2"/>
      <c r="I573" s="2"/>
      <c r="J573" s="2"/>
      <c r="M573" s="2"/>
    </row>
    <row r="574" ht="15.75" customHeight="1">
      <c r="A574" s="2"/>
      <c r="C574" s="2"/>
      <c r="D574" s="2"/>
      <c r="F574" s="2"/>
      <c r="H574" s="2"/>
      <c r="I574" s="2"/>
      <c r="J574" s="2"/>
      <c r="M574" s="2"/>
    </row>
    <row r="575" ht="15.75" customHeight="1">
      <c r="A575" s="2"/>
      <c r="C575" s="2"/>
      <c r="D575" s="2"/>
      <c r="F575" s="2"/>
      <c r="H575" s="2"/>
      <c r="I575" s="2"/>
      <c r="J575" s="2"/>
      <c r="M575" s="2"/>
    </row>
    <row r="576" ht="15.75" customHeight="1">
      <c r="A576" s="2"/>
      <c r="C576" s="2"/>
      <c r="D576" s="2"/>
      <c r="F576" s="2"/>
      <c r="H576" s="2"/>
      <c r="I576" s="2"/>
      <c r="J576" s="2"/>
      <c r="M576" s="2"/>
    </row>
    <row r="577" ht="15.75" customHeight="1">
      <c r="A577" s="2"/>
      <c r="C577" s="2"/>
      <c r="D577" s="2"/>
      <c r="F577" s="2"/>
      <c r="H577" s="2"/>
      <c r="I577" s="2"/>
      <c r="J577" s="2"/>
      <c r="M577" s="2"/>
    </row>
    <row r="578" ht="15.75" customHeight="1">
      <c r="A578" s="2"/>
      <c r="C578" s="2"/>
      <c r="D578" s="2"/>
      <c r="F578" s="2"/>
      <c r="H578" s="2"/>
      <c r="I578" s="2"/>
      <c r="J578" s="2"/>
      <c r="M578" s="2"/>
    </row>
    <row r="579" ht="15.75" customHeight="1">
      <c r="A579" s="2"/>
      <c r="C579" s="2"/>
      <c r="D579" s="2"/>
      <c r="F579" s="2"/>
      <c r="H579" s="2"/>
      <c r="I579" s="2"/>
      <c r="J579" s="2"/>
      <c r="M579" s="2"/>
    </row>
    <row r="580" ht="15.75" customHeight="1">
      <c r="A580" s="2"/>
      <c r="C580" s="2"/>
      <c r="D580" s="2"/>
      <c r="F580" s="2"/>
      <c r="H580" s="2"/>
      <c r="I580" s="2"/>
      <c r="J580" s="2"/>
      <c r="M580" s="2"/>
    </row>
    <row r="581" ht="15.75" customHeight="1">
      <c r="A581" s="2"/>
      <c r="C581" s="2"/>
      <c r="D581" s="2"/>
      <c r="F581" s="2"/>
      <c r="H581" s="2"/>
      <c r="I581" s="2"/>
      <c r="J581" s="2"/>
      <c r="M581" s="2"/>
    </row>
    <row r="582" ht="15.75" customHeight="1">
      <c r="A582" s="2"/>
      <c r="C582" s="2"/>
      <c r="D582" s="2"/>
      <c r="F582" s="2"/>
      <c r="H582" s="2"/>
      <c r="I582" s="2"/>
      <c r="J582" s="2"/>
      <c r="M582" s="2"/>
    </row>
    <row r="583" ht="15.75" customHeight="1">
      <c r="A583" s="2"/>
      <c r="C583" s="2"/>
      <c r="D583" s="2"/>
      <c r="F583" s="2"/>
      <c r="H583" s="2"/>
      <c r="I583" s="2"/>
      <c r="J583" s="2"/>
      <c r="M583" s="2"/>
    </row>
    <row r="584" ht="15.75" customHeight="1">
      <c r="A584" s="2"/>
      <c r="C584" s="2"/>
      <c r="D584" s="2"/>
      <c r="F584" s="2"/>
      <c r="H584" s="2"/>
      <c r="I584" s="2"/>
      <c r="J584" s="2"/>
      <c r="M584" s="2"/>
    </row>
    <row r="585" ht="15.75" customHeight="1">
      <c r="A585" s="2"/>
      <c r="C585" s="2"/>
      <c r="D585" s="2"/>
      <c r="F585" s="2"/>
      <c r="H585" s="2"/>
      <c r="I585" s="2"/>
      <c r="J585" s="2"/>
      <c r="M585" s="2"/>
    </row>
    <row r="586" ht="15.75" customHeight="1">
      <c r="A586" s="2"/>
      <c r="C586" s="2"/>
      <c r="D586" s="2"/>
      <c r="F586" s="2"/>
      <c r="H586" s="2"/>
      <c r="I586" s="2"/>
      <c r="J586" s="2"/>
      <c r="M586" s="2"/>
    </row>
    <row r="587" ht="15.75" customHeight="1">
      <c r="A587" s="2"/>
      <c r="C587" s="2"/>
      <c r="D587" s="2"/>
      <c r="F587" s="2"/>
      <c r="H587" s="2"/>
      <c r="I587" s="2"/>
      <c r="J587" s="2"/>
      <c r="M587" s="2"/>
    </row>
    <row r="588" ht="15.75" customHeight="1">
      <c r="A588" s="2"/>
      <c r="C588" s="2"/>
      <c r="D588" s="2"/>
      <c r="F588" s="2"/>
      <c r="H588" s="2"/>
      <c r="I588" s="2"/>
      <c r="J588" s="2"/>
      <c r="M588" s="2"/>
    </row>
    <row r="589" ht="15.75" customHeight="1">
      <c r="A589" s="2"/>
      <c r="C589" s="2"/>
      <c r="D589" s="2"/>
      <c r="F589" s="2"/>
      <c r="H589" s="2"/>
      <c r="I589" s="2"/>
      <c r="J589" s="2"/>
      <c r="M589" s="2"/>
    </row>
    <row r="590" ht="15.75" customHeight="1">
      <c r="A590" s="2"/>
      <c r="C590" s="2"/>
      <c r="D590" s="2"/>
      <c r="F590" s="2"/>
      <c r="H590" s="2"/>
      <c r="I590" s="2"/>
      <c r="J590" s="2"/>
      <c r="M590" s="2"/>
    </row>
    <row r="591" ht="15.75" customHeight="1">
      <c r="A591" s="2"/>
      <c r="C591" s="2"/>
      <c r="D591" s="2"/>
      <c r="F591" s="2"/>
      <c r="H591" s="2"/>
      <c r="I591" s="2"/>
      <c r="J591" s="2"/>
      <c r="M591" s="2"/>
    </row>
    <row r="592" ht="15.75" customHeight="1">
      <c r="A592" s="2"/>
      <c r="C592" s="2"/>
      <c r="D592" s="2"/>
      <c r="F592" s="2"/>
      <c r="H592" s="2"/>
      <c r="I592" s="2"/>
      <c r="J592" s="2"/>
      <c r="M592" s="2"/>
    </row>
    <row r="593" ht="15.75" customHeight="1">
      <c r="A593" s="2"/>
      <c r="C593" s="2"/>
      <c r="D593" s="2"/>
      <c r="F593" s="2"/>
      <c r="H593" s="2"/>
      <c r="I593" s="2"/>
      <c r="J593" s="2"/>
      <c r="M593" s="2"/>
    </row>
    <row r="594" ht="15.75" customHeight="1">
      <c r="A594" s="2"/>
      <c r="C594" s="2"/>
      <c r="D594" s="2"/>
      <c r="F594" s="2"/>
      <c r="H594" s="2"/>
      <c r="I594" s="2"/>
      <c r="J594" s="2"/>
      <c r="M594" s="2"/>
    </row>
    <row r="595" ht="15.75" customHeight="1">
      <c r="A595" s="2"/>
      <c r="C595" s="2"/>
      <c r="D595" s="2"/>
      <c r="F595" s="2"/>
      <c r="H595" s="2"/>
      <c r="I595" s="2"/>
      <c r="J595" s="2"/>
      <c r="M595" s="2"/>
    </row>
    <row r="596" ht="15.75" customHeight="1">
      <c r="A596" s="2"/>
      <c r="C596" s="2"/>
      <c r="D596" s="2"/>
      <c r="F596" s="2"/>
      <c r="H596" s="2"/>
      <c r="I596" s="2"/>
      <c r="J596" s="2"/>
      <c r="M596" s="2"/>
    </row>
    <row r="597" ht="15.75" customHeight="1">
      <c r="A597" s="2"/>
      <c r="C597" s="2"/>
      <c r="D597" s="2"/>
      <c r="F597" s="2"/>
      <c r="H597" s="2"/>
      <c r="I597" s="2"/>
      <c r="J597" s="2"/>
      <c r="M597" s="2"/>
    </row>
    <row r="598" ht="15.75" customHeight="1">
      <c r="A598" s="2"/>
      <c r="C598" s="2"/>
      <c r="D598" s="2"/>
      <c r="F598" s="2"/>
      <c r="H598" s="2"/>
      <c r="I598" s="2"/>
      <c r="J598" s="2"/>
      <c r="M598" s="2"/>
    </row>
    <row r="599" ht="15.75" customHeight="1">
      <c r="A599" s="2"/>
      <c r="C599" s="2"/>
      <c r="D599" s="2"/>
      <c r="F599" s="2"/>
      <c r="H599" s="2"/>
      <c r="I599" s="2"/>
      <c r="J599" s="2"/>
      <c r="M599" s="2"/>
    </row>
    <row r="600" ht="15.75" customHeight="1">
      <c r="A600" s="2"/>
      <c r="C600" s="2"/>
      <c r="D600" s="2"/>
      <c r="F600" s="2"/>
      <c r="H600" s="2"/>
      <c r="I600" s="2"/>
      <c r="J600" s="2"/>
      <c r="M600" s="2"/>
    </row>
    <row r="601" ht="15.75" customHeight="1">
      <c r="A601" s="2"/>
      <c r="C601" s="2"/>
      <c r="D601" s="2"/>
      <c r="F601" s="2"/>
      <c r="H601" s="2"/>
      <c r="I601" s="2"/>
      <c r="J601" s="2"/>
      <c r="M601" s="2"/>
    </row>
    <row r="602" ht="15.75" customHeight="1">
      <c r="A602" s="2"/>
      <c r="C602" s="2"/>
      <c r="D602" s="2"/>
      <c r="F602" s="2"/>
      <c r="H602" s="2"/>
      <c r="I602" s="2"/>
      <c r="J602" s="2"/>
      <c r="M602" s="2"/>
    </row>
    <row r="603" ht="15.75" customHeight="1">
      <c r="A603" s="2"/>
      <c r="C603" s="2"/>
      <c r="D603" s="2"/>
      <c r="F603" s="2"/>
      <c r="H603" s="2"/>
      <c r="I603" s="2"/>
      <c r="J603" s="2"/>
      <c r="M603" s="2"/>
    </row>
    <row r="604" ht="15.75" customHeight="1">
      <c r="A604" s="2"/>
      <c r="C604" s="2"/>
      <c r="D604" s="2"/>
      <c r="F604" s="2"/>
      <c r="H604" s="2"/>
      <c r="I604" s="2"/>
      <c r="J604" s="2"/>
      <c r="M604" s="2"/>
    </row>
    <row r="605" ht="15.75" customHeight="1">
      <c r="A605" s="2"/>
      <c r="C605" s="2"/>
      <c r="D605" s="2"/>
      <c r="F605" s="2"/>
      <c r="H605" s="2"/>
      <c r="I605" s="2"/>
      <c r="J605" s="2"/>
      <c r="M605" s="2"/>
    </row>
    <row r="606" ht="15.75" customHeight="1">
      <c r="A606" s="2"/>
      <c r="C606" s="2"/>
      <c r="D606" s="2"/>
      <c r="F606" s="2"/>
      <c r="H606" s="2"/>
      <c r="I606" s="2"/>
      <c r="J606" s="2"/>
      <c r="M606" s="2"/>
    </row>
    <row r="607" ht="15.75" customHeight="1">
      <c r="A607" s="2"/>
      <c r="C607" s="2"/>
      <c r="D607" s="2"/>
      <c r="F607" s="2"/>
      <c r="H607" s="2"/>
      <c r="I607" s="2"/>
      <c r="J607" s="2"/>
      <c r="M607" s="2"/>
    </row>
    <row r="608" ht="15.75" customHeight="1">
      <c r="A608" s="2"/>
      <c r="C608" s="2"/>
      <c r="D608" s="2"/>
      <c r="F608" s="2"/>
      <c r="H608" s="2"/>
      <c r="I608" s="2"/>
      <c r="J608" s="2"/>
      <c r="M608" s="2"/>
    </row>
    <row r="609" ht="15.75" customHeight="1">
      <c r="A609" s="2"/>
      <c r="C609" s="2"/>
      <c r="D609" s="2"/>
      <c r="F609" s="2"/>
      <c r="H609" s="2"/>
      <c r="I609" s="2"/>
      <c r="J609" s="2"/>
      <c r="M609" s="2"/>
    </row>
    <row r="610" ht="15.75" customHeight="1">
      <c r="A610" s="2"/>
      <c r="C610" s="2"/>
      <c r="D610" s="2"/>
      <c r="F610" s="2"/>
      <c r="H610" s="2"/>
      <c r="I610" s="2"/>
      <c r="J610" s="2"/>
      <c r="M610" s="2"/>
    </row>
    <row r="611" ht="15.75" customHeight="1">
      <c r="A611" s="2"/>
      <c r="C611" s="2"/>
      <c r="D611" s="2"/>
      <c r="F611" s="2"/>
      <c r="H611" s="2"/>
      <c r="I611" s="2"/>
      <c r="J611" s="2"/>
      <c r="M611" s="2"/>
    </row>
    <row r="612" ht="15.75" customHeight="1">
      <c r="A612" s="2"/>
      <c r="C612" s="2"/>
      <c r="D612" s="2"/>
      <c r="F612" s="2"/>
      <c r="H612" s="2"/>
      <c r="I612" s="2"/>
      <c r="J612" s="2"/>
      <c r="M612" s="2"/>
    </row>
    <row r="613" ht="15.75" customHeight="1">
      <c r="A613" s="2"/>
      <c r="C613" s="2"/>
      <c r="D613" s="2"/>
      <c r="F613" s="2"/>
      <c r="H613" s="2"/>
      <c r="I613" s="2"/>
      <c r="J613" s="2"/>
      <c r="M613" s="2"/>
    </row>
    <row r="614" ht="15.75" customHeight="1">
      <c r="A614" s="2"/>
      <c r="C614" s="2"/>
      <c r="D614" s="2"/>
      <c r="F614" s="2"/>
      <c r="H614" s="2"/>
      <c r="I614" s="2"/>
      <c r="J614" s="2"/>
      <c r="M614" s="2"/>
    </row>
    <row r="615" ht="15.75" customHeight="1">
      <c r="A615" s="2"/>
      <c r="C615" s="2"/>
      <c r="D615" s="2"/>
      <c r="F615" s="2"/>
      <c r="H615" s="2"/>
      <c r="I615" s="2"/>
      <c r="J615" s="2"/>
      <c r="M615" s="2"/>
    </row>
    <row r="616" ht="15.75" customHeight="1">
      <c r="A616" s="2"/>
      <c r="C616" s="2"/>
      <c r="D616" s="2"/>
      <c r="F616" s="2"/>
      <c r="H616" s="2"/>
      <c r="I616" s="2"/>
      <c r="J616" s="2"/>
      <c r="M616" s="2"/>
    </row>
    <row r="617" ht="15.75" customHeight="1">
      <c r="A617" s="2"/>
      <c r="C617" s="2"/>
      <c r="D617" s="2"/>
      <c r="F617" s="2"/>
      <c r="H617" s="2"/>
      <c r="I617" s="2"/>
      <c r="J617" s="2"/>
      <c r="M617" s="2"/>
    </row>
    <row r="618" ht="15.75" customHeight="1">
      <c r="A618" s="2"/>
      <c r="C618" s="2"/>
      <c r="D618" s="2"/>
      <c r="F618" s="2"/>
      <c r="H618" s="2"/>
      <c r="I618" s="2"/>
      <c r="J618" s="2"/>
      <c r="M618" s="2"/>
    </row>
    <row r="619" ht="15.75" customHeight="1">
      <c r="A619" s="2"/>
      <c r="C619" s="2"/>
      <c r="D619" s="2"/>
      <c r="F619" s="2"/>
      <c r="H619" s="2"/>
      <c r="I619" s="2"/>
      <c r="J619" s="2"/>
      <c r="M619" s="2"/>
    </row>
    <row r="620" ht="15.75" customHeight="1">
      <c r="A620" s="2"/>
      <c r="C620" s="2"/>
      <c r="D620" s="2"/>
      <c r="F620" s="2"/>
      <c r="H620" s="2"/>
      <c r="I620" s="2"/>
      <c r="J620" s="2"/>
      <c r="M620" s="2"/>
    </row>
    <row r="621" ht="15.75" customHeight="1">
      <c r="A621" s="2"/>
      <c r="C621" s="2"/>
      <c r="D621" s="2"/>
      <c r="F621" s="2"/>
      <c r="H621" s="2"/>
      <c r="I621" s="2"/>
      <c r="J621" s="2"/>
      <c r="M621" s="2"/>
    </row>
    <row r="622" ht="15.75" customHeight="1">
      <c r="A622" s="2"/>
      <c r="C622" s="2"/>
      <c r="D622" s="2"/>
      <c r="F622" s="2"/>
      <c r="H622" s="2"/>
      <c r="I622" s="2"/>
      <c r="J622" s="2"/>
      <c r="M622" s="2"/>
    </row>
    <row r="623" ht="15.75" customHeight="1">
      <c r="A623" s="2"/>
      <c r="C623" s="2"/>
      <c r="D623" s="2"/>
      <c r="F623" s="2"/>
      <c r="H623" s="2"/>
      <c r="I623" s="2"/>
      <c r="J623" s="2"/>
      <c r="M623" s="2"/>
    </row>
    <row r="624" ht="15.75" customHeight="1">
      <c r="A624" s="2"/>
      <c r="C624" s="2"/>
      <c r="D624" s="2"/>
      <c r="F624" s="2"/>
      <c r="H624" s="2"/>
      <c r="I624" s="2"/>
      <c r="J624" s="2"/>
      <c r="M624" s="2"/>
    </row>
    <row r="625" ht="15.75" customHeight="1">
      <c r="A625" s="2"/>
      <c r="C625" s="2"/>
      <c r="D625" s="2"/>
      <c r="F625" s="2"/>
      <c r="H625" s="2"/>
      <c r="I625" s="2"/>
      <c r="J625" s="2"/>
      <c r="M625" s="2"/>
    </row>
    <row r="626" ht="15.75" customHeight="1">
      <c r="A626" s="2"/>
      <c r="C626" s="2"/>
      <c r="D626" s="2"/>
      <c r="F626" s="2"/>
      <c r="H626" s="2"/>
      <c r="I626" s="2"/>
      <c r="J626" s="2"/>
      <c r="M626" s="2"/>
    </row>
    <row r="627" ht="15.75" customHeight="1">
      <c r="A627" s="2"/>
      <c r="C627" s="2"/>
      <c r="D627" s="2"/>
      <c r="F627" s="2"/>
      <c r="H627" s="2"/>
      <c r="I627" s="2"/>
      <c r="J627" s="2"/>
      <c r="M627" s="2"/>
    </row>
    <row r="628" ht="15.75" customHeight="1">
      <c r="A628" s="2"/>
      <c r="C628" s="2"/>
      <c r="D628" s="2"/>
      <c r="F628" s="2"/>
      <c r="H628" s="2"/>
      <c r="I628" s="2"/>
      <c r="J628" s="2"/>
      <c r="M628" s="2"/>
    </row>
    <row r="629" ht="15.75" customHeight="1">
      <c r="A629" s="2"/>
      <c r="C629" s="2"/>
      <c r="D629" s="2"/>
      <c r="F629" s="2"/>
      <c r="H629" s="2"/>
      <c r="I629" s="2"/>
      <c r="J629" s="2"/>
      <c r="M629" s="2"/>
    </row>
    <row r="630" ht="15.75" customHeight="1">
      <c r="A630" s="2"/>
      <c r="C630" s="2"/>
      <c r="D630" s="2"/>
      <c r="F630" s="2"/>
      <c r="H630" s="2"/>
      <c r="I630" s="2"/>
      <c r="J630" s="2"/>
      <c r="M630" s="2"/>
    </row>
    <row r="631" ht="15.75" customHeight="1">
      <c r="A631" s="2"/>
      <c r="C631" s="2"/>
      <c r="D631" s="2"/>
      <c r="F631" s="2"/>
      <c r="H631" s="2"/>
      <c r="I631" s="2"/>
      <c r="J631" s="2"/>
      <c r="M631" s="2"/>
    </row>
    <row r="632" ht="15.75" customHeight="1">
      <c r="A632" s="2"/>
      <c r="C632" s="2"/>
      <c r="D632" s="2"/>
      <c r="F632" s="2"/>
      <c r="H632" s="2"/>
      <c r="I632" s="2"/>
      <c r="J632" s="2"/>
      <c r="M632" s="2"/>
    </row>
    <row r="633" ht="15.75" customHeight="1">
      <c r="A633" s="2"/>
      <c r="C633" s="2"/>
      <c r="D633" s="2"/>
      <c r="F633" s="2"/>
      <c r="H633" s="2"/>
      <c r="I633" s="2"/>
      <c r="J633" s="2"/>
      <c r="M633" s="2"/>
    </row>
    <row r="634" ht="15.75" customHeight="1">
      <c r="A634" s="2"/>
      <c r="C634" s="2"/>
      <c r="D634" s="2"/>
      <c r="F634" s="2"/>
      <c r="H634" s="2"/>
      <c r="I634" s="2"/>
      <c r="J634" s="2"/>
      <c r="M634" s="2"/>
    </row>
    <row r="635" ht="15.75" customHeight="1">
      <c r="A635" s="2"/>
      <c r="C635" s="2"/>
      <c r="D635" s="2"/>
      <c r="F635" s="2"/>
      <c r="H635" s="2"/>
      <c r="I635" s="2"/>
      <c r="J635" s="2"/>
      <c r="M635" s="2"/>
    </row>
    <row r="636" ht="15.75" customHeight="1">
      <c r="A636" s="2"/>
      <c r="C636" s="2"/>
      <c r="D636" s="2"/>
      <c r="F636" s="2"/>
      <c r="H636" s="2"/>
      <c r="I636" s="2"/>
      <c r="J636" s="2"/>
      <c r="M636" s="2"/>
    </row>
    <row r="637" ht="15.75" customHeight="1">
      <c r="A637" s="2"/>
      <c r="C637" s="2"/>
      <c r="D637" s="2"/>
      <c r="F637" s="2"/>
      <c r="H637" s="2"/>
      <c r="I637" s="2"/>
      <c r="J637" s="2"/>
      <c r="M637" s="2"/>
    </row>
    <row r="638" ht="15.75" customHeight="1">
      <c r="A638" s="2"/>
      <c r="C638" s="2"/>
      <c r="D638" s="2"/>
      <c r="F638" s="2"/>
      <c r="H638" s="2"/>
      <c r="I638" s="2"/>
      <c r="J638" s="2"/>
      <c r="M638" s="2"/>
    </row>
    <row r="639" ht="15.75" customHeight="1">
      <c r="A639" s="2"/>
      <c r="C639" s="2"/>
      <c r="D639" s="2"/>
      <c r="F639" s="2"/>
      <c r="H639" s="2"/>
      <c r="I639" s="2"/>
      <c r="J639" s="2"/>
      <c r="M639" s="2"/>
    </row>
    <row r="640" ht="15.75" customHeight="1">
      <c r="A640" s="2"/>
      <c r="C640" s="2"/>
      <c r="D640" s="2"/>
      <c r="F640" s="2"/>
      <c r="H640" s="2"/>
      <c r="I640" s="2"/>
      <c r="J640" s="2"/>
      <c r="M640" s="2"/>
    </row>
    <row r="641" ht="15.75" customHeight="1">
      <c r="A641" s="2"/>
      <c r="C641" s="2"/>
      <c r="D641" s="2"/>
      <c r="F641" s="2"/>
      <c r="H641" s="2"/>
      <c r="I641" s="2"/>
      <c r="J641" s="2"/>
      <c r="M641" s="2"/>
    </row>
    <row r="642" ht="15.75" customHeight="1">
      <c r="A642" s="2"/>
      <c r="C642" s="2"/>
      <c r="D642" s="2"/>
      <c r="F642" s="2"/>
      <c r="H642" s="2"/>
      <c r="I642" s="2"/>
      <c r="J642" s="2"/>
      <c r="M642" s="2"/>
    </row>
    <row r="643" ht="15.75" customHeight="1">
      <c r="A643" s="2"/>
      <c r="C643" s="2"/>
      <c r="D643" s="2"/>
      <c r="F643" s="2"/>
      <c r="H643" s="2"/>
      <c r="I643" s="2"/>
      <c r="J643" s="2"/>
      <c r="M643" s="2"/>
    </row>
    <row r="644" ht="15.75" customHeight="1">
      <c r="A644" s="2"/>
      <c r="C644" s="2"/>
      <c r="D644" s="2"/>
      <c r="F644" s="2"/>
      <c r="H644" s="2"/>
      <c r="I644" s="2"/>
      <c r="J644" s="2"/>
      <c r="M644" s="2"/>
    </row>
    <row r="645" ht="15.75" customHeight="1">
      <c r="A645" s="2"/>
      <c r="C645" s="2"/>
      <c r="D645" s="2"/>
      <c r="F645" s="2"/>
      <c r="H645" s="2"/>
      <c r="I645" s="2"/>
      <c r="J645" s="2"/>
      <c r="M645" s="2"/>
    </row>
    <row r="646" ht="15.75" customHeight="1">
      <c r="A646" s="2"/>
      <c r="C646" s="2"/>
      <c r="D646" s="2"/>
      <c r="F646" s="2"/>
      <c r="H646" s="2"/>
      <c r="I646" s="2"/>
      <c r="J646" s="2"/>
      <c r="M646" s="2"/>
    </row>
    <row r="647" ht="15.75" customHeight="1">
      <c r="A647" s="2"/>
      <c r="C647" s="2"/>
      <c r="D647" s="2"/>
      <c r="F647" s="2"/>
      <c r="H647" s="2"/>
      <c r="I647" s="2"/>
      <c r="J647" s="2"/>
      <c r="M647" s="2"/>
    </row>
    <row r="648" ht="15.75" customHeight="1">
      <c r="A648" s="2"/>
      <c r="C648" s="2"/>
      <c r="D648" s="2"/>
      <c r="F648" s="2"/>
      <c r="H648" s="2"/>
      <c r="I648" s="2"/>
      <c r="J648" s="2"/>
      <c r="M648" s="2"/>
    </row>
    <row r="649" ht="15.75" customHeight="1">
      <c r="A649" s="2"/>
      <c r="C649" s="2"/>
      <c r="D649" s="2"/>
      <c r="F649" s="2"/>
      <c r="H649" s="2"/>
      <c r="I649" s="2"/>
      <c r="J649" s="2"/>
      <c r="M649" s="2"/>
    </row>
    <row r="650" ht="15.75" customHeight="1">
      <c r="A650" s="2"/>
      <c r="C650" s="2"/>
      <c r="D650" s="2"/>
      <c r="F650" s="2"/>
      <c r="H650" s="2"/>
      <c r="I650" s="2"/>
      <c r="J650" s="2"/>
      <c r="M650" s="2"/>
    </row>
    <row r="651" ht="15.75" customHeight="1">
      <c r="A651" s="2"/>
      <c r="C651" s="2"/>
      <c r="D651" s="2"/>
      <c r="F651" s="2"/>
      <c r="H651" s="2"/>
      <c r="I651" s="2"/>
      <c r="J651" s="2"/>
      <c r="M651" s="2"/>
    </row>
    <row r="652" ht="15.75" customHeight="1">
      <c r="A652" s="2"/>
      <c r="C652" s="2"/>
      <c r="D652" s="2"/>
      <c r="F652" s="2"/>
      <c r="H652" s="2"/>
      <c r="I652" s="2"/>
      <c r="J652" s="2"/>
      <c r="M652" s="2"/>
    </row>
    <row r="653" ht="15.75" customHeight="1">
      <c r="A653" s="2"/>
      <c r="C653" s="2"/>
      <c r="D653" s="2"/>
      <c r="F653" s="2"/>
      <c r="H653" s="2"/>
      <c r="I653" s="2"/>
      <c r="J653" s="2"/>
      <c r="M653" s="2"/>
    </row>
    <row r="654" ht="15.75" customHeight="1">
      <c r="A654" s="2"/>
      <c r="C654" s="2"/>
      <c r="D654" s="2"/>
      <c r="F654" s="2"/>
      <c r="H654" s="2"/>
      <c r="I654" s="2"/>
      <c r="J654" s="2"/>
      <c r="M654" s="2"/>
    </row>
    <row r="655" ht="15.75" customHeight="1">
      <c r="A655" s="2"/>
      <c r="C655" s="2"/>
      <c r="D655" s="2"/>
      <c r="F655" s="2"/>
      <c r="H655" s="2"/>
      <c r="I655" s="2"/>
      <c r="J655" s="2"/>
      <c r="M655" s="2"/>
    </row>
    <row r="656" ht="15.75" customHeight="1">
      <c r="A656" s="2"/>
      <c r="C656" s="2"/>
      <c r="D656" s="2"/>
      <c r="F656" s="2"/>
      <c r="H656" s="2"/>
      <c r="I656" s="2"/>
      <c r="J656" s="2"/>
      <c r="M656" s="2"/>
    </row>
    <row r="657" ht="15.75" customHeight="1">
      <c r="A657" s="2"/>
      <c r="C657" s="2"/>
      <c r="D657" s="2"/>
      <c r="F657" s="2"/>
      <c r="H657" s="2"/>
      <c r="I657" s="2"/>
      <c r="J657" s="2"/>
      <c r="M657" s="2"/>
    </row>
    <row r="658" ht="15.75" customHeight="1">
      <c r="A658" s="2"/>
      <c r="C658" s="2"/>
      <c r="D658" s="2"/>
      <c r="F658" s="2"/>
      <c r="H658" s="2"/>
      <c r="I658" s="2"/>
      <c r="J658" s="2"/>
      <c r="M658" s="2"/>
    </row>
    <row r="659" ht="15.75" customHeight="1">
      <c r="A659" s="2"/>
      <c r="C659" s="2"/>
      <c r="D659" s="2"/>
      <c r="F659" s="2"/>
      <c r="H659" s="2"/>
      <c r="I659" s="2"/>
      <c r="J659" s="2"/>
      <c r="M659" s="2"/>
    </row>
    <row r="660" ht="15.75" customHeight="1">
      <c r="A660" s="2"/>
      <c r="C660" s="2"/>
      <c r="D660" s="2"/>
      <c r="F660" s="2"/>
      <c r="H660" s="2"/>
      <c r="I660" s="2"/>
      <c r="J660" s="2"/>
      <c r="M660" s="2"/>
    </row>
    <row r="661" ht="15.75" customHeight="1">
      <c r="A661" s="2"/>
      <c r="C661" s="2"/>
      <c r="D661" s="2"/>
      <c r="F661" s="2"/>
      <c r="H661" s="2"/>
      <c r="I661" s="2"/>
      <c r="J661" s="2"/>
      <c r="M661" s="2"/>
    </row>
    <row r="662" ht="15.75" customHeight="1">
      <c r="A662" s="2"/>
      <c r="C662" s="2"/>
      <c r="D662" s="2"/>
      <c r="F662" s="2"/>
      <c r="H662" s="2"/>
      <c r="I662" s="2"/>
      <c r="J662" s="2"/>
      <c r="M662" s="2"/>
    </row>
    <row r="663" ht="15.75" customHeight="1">
      <c r="A663" s="2"/>
      <c r="C663" s="2"/>
      <c r="D663" s="2"/>
      <c r="F663" s="2"/>
      <c r="H663" s="2"/>
      <c r="I663" s="2"/>
      <c r="J663" s="2"/>
      <c r="M663" s="2"/>
    </row>
    <row r="664" ht="15.75" customHeight="1">
      <c r="A664" s="2"/>
      <c r="C664" s="2"/>
      <c r="D664" s="2"/>
      <c r="F664" s="2"/>
      <c r="H664" s="2"/>
      <c r="I664" s="2"/>
      <c r="J664" s="2"/>
      <c r="M664" s="2"/>
    </row>
    <row r="665" ht="15.75" customHeight="1">
      <c r="A665" s="2"/>
      <c r="C665" s="2"/>
      <c r="D665" s="2"/>
      <c r="F665" s="2"/>
      <c r="H665" s="2"/>
      <c r="I665" s="2"/>
      <c r="J665" s="2"/>
      <c r="M665" s="2"/>
    </row>
    <row r="666" ht="15.75" customHeight="1">
      <c r="A666" s="2"/>
      <c r="C666" s="2"/>
      <c r="D666" s="2"/>
      <c r="F666" s="2"/>
      <c r="H666" s="2"/>
      <c r="I666" s="2"/>
      <c r="J666" s="2"/>
      <c r="M666" s="2"/>
    </row>
    <row r="667" ht="15.75" customHeight="1">
      <c r="A667" s="2"/>
      <c r="C667" s="2"/>
      <c r="D667" s="2"/>
      <c r="F667" s="2"/>
      <c r="H667" s="2"/>
      <c r="I667" s="2"/>
      <c r="J667" s="2"/>
      <c r="M667" s="2"/>
    </row>
    <row r="668" ht="15.75" customHeight="1">
      <c r="A668" s="2"/>
      <c r="C668" s="2"/>
      <c r="D668" s="2"/>
      <c r="F668" s="2"/>
      <c r="H668" s="2"/>
      <c r="I668" s="2"/>
      <c r="J668" s="2"/>
      <c r="M668" s="2"/>
    </row>
    <row r="669" ht="15.75" customHeight="1">
      <c r="A669" s="2"/>
      <c r="C669" s="2"/>
      <c r="D669" s="2"/>
      <c r="F669" s="2"/>
      <c r="H669" s="2"/>
      <c r="I669" s="2"/>
      <c r="J669" s="2"/>
      <c r="M669" s="2"/>
    </row>
    <row r="670" ht="15.75" customHeight="1">
      <c r="A670" s="2"/>
      <c r="C670" s="2"/>
      <c r="D670" s="2"/>
      <c r="F670" s="2"/>
      <c r="H670" s="2"/>
      <c r="I670" s="2"/>
      <c r="J670" s="2"/>
      <c r="M670" s="2"/>
    </row>
    <row r="671" ht="15.75" customHeight="1">
      <c r="A671" s="2"/>
      <c r="C671" s="2"/>
      <c r="D671" s="2"/>
      <c r="F671" s="2"/>
      <c r="H671" s="2"/>
      <c r="I671" s="2"/>
      <c r="J671" s="2"/>
      <c r="M671" s="2"/>
    </row>
    <row r="672" ht="15.75" customHeight="1">
      <c r="A672" s="2"/>
      <c r="C672" s="2"/>
      <c r="D672" s="2"/>
      <c r="F672" s="2"/>
      <c r="H672" s="2"/>
      <c r="I672" s="2"/>
      <c r="J672" s="2"/>
      <c r="M672" s="2"/>
    </row>
    <row r="673" ht="15.75" customHeight="1">
      <c r="A673" s="2"/>
      <c r="C673" s="2"/>
      <c r="D673" s="2"/>
      <c r="F673" s="2"/>
      <c r="H673" s="2"/>
      <c r="I673" s="2"/>
      <c r="J673" s="2"/>
      <c r="M673" s="2"/>
    </row>
    <row r="674" ht="15.75" customHeight="1">
      <c r="A674" s="2"/>
      <c r="C674" s="2"/>
      <c r="D674" s="2"/>
      <c r="F674" s="2"/>
      <c r="H674" s="2"/>
      <c r="I674" s="2"/>
      <c r="J674" s="2"/>
      <c r="M674" s="2"/>
    </row>
    <row r="675" ht="15.75" customHeight="1">
      <c r="A675" s="2"/>
      <c r="C675" s="2"/>
      <c r="D675" s="2"/>
      <c r="F675" s="2"/>
      <c r="H675" s="2"/>
      <c r="I675" s="2"/>
      <c r="J675" s="2"/>
      <c r="M675" s="2"/>
    </row>
    <row r="676" ht="15.75" customHeight="1">
      <c r="A676" s="2"/>
      <c r="C676" s="2"/>
      <c r="D676" s="2"/>
      <c r="F676" s="2"/>
      <c r="H676" s="2"/>
      <c r="I676" s="2"/>
      <c r="J676" s="2"/>
      <c r="M676" s="2"/>
    </row>
    <row r="677" ht="15.75" customHeight="1">
      <c r="A677" s="2"/>
      <c r="C677" s="2"/>
      <c r="D677" s="2"/>
      <c r="F677" s="2"/>
      <c r="H677" s="2"/>
      <c r="I677" s="2"/>
      <c r="J677" s="2"/>
      <c r="M677" s="2"/>
    </row>
    <row r="678" ht="15.75" customHeight="1">
      <c r="A678" s="2"/>
      <c r="C678" s="2"/>
      <c r="D678" s="2"/>
      <c r="F678" s="2"/>
      <c r="H678" s="2"/>
      <c r="I678" s="2"/>
      <c r="J678" s="2"/>
      <c r="M678" s="2"/>
    </row>
    <row r="679" ht="15.75" customHeight="1">
      <c r="A679" s="2"/>
      <c r="C679" s="2"/>
      <c r="D679" s="2"/>
      <c r="F679" s="2"/>
      <c r="H679" s="2"/>
      <c r="I679" s="2"/>
      <c r="J679" s="2"/>
      <c r="M679" s="2"/>
    </row>
    <row r="680" ht="15.75" customHeight="1">
      <c r="A680" s="2"/>
      <c r="C680" s="2"/>
      <c r="D680" s="2"/>
      <c r="F680" s="2"/>
      <c r="H680" s="2"/>
      <c r="I680" s="2"/>
      <c r="J680" s="2"/>
      <c r="M680" s="2"/>
    </row>
    <row r="681" ht="15.75" customHeight="1">
      <c r="A681" s="2"/>
      <c r="C681" s="2"/>
      <c r="D681" s="2"/>
      <c r="F681" s="2"/>
      <c r="H681" s="2"/>
      <c r="I681" s="2"/>
      <c r="J681" s="2"/>
      <c r="M681" s="2"/>
    </row>
    <row r="682" ht="15.75" customHeight="1">
      <c r="A682" s="2"/>
      <c r="C682" s="2"/>
      <c r="D682" s="2"/>
      <c r="F682" s="2"/>
      <c r="H682" s="2"/>
      <c r="I682" s="2"/>
      <c r="J682" s="2"/>
      <c r="M682" s="2"/>
    </row>
    <row r="683" ht="15.75" customHeight="1">
      <c r="A683" s="2"/>
      <c r="C683" s="2"/>
      <c r="D683" s="2"/>
      <c r="F683" s="2"/>
      <c r="H683" s="2"/>
      <c r="I683" s="2"/>
      <c r="J683" s="2"/>
      <c r="M683" s="2"/>
    </row>
    <row r="684" ht="15.75" customHeight="1">
      <c r="A684" s="2"/>
      <c r="C684" s="2"/>
      <c r="D684" s="2"/>
      <c r="F684" s="2"/>
      <c r="H684" s="2"/>
      <c r="I684" s="2"/>
      <c r="J684" s="2"/>
      <c r="M684" s="2"/>
    </row>
    <row r="685" ht="15.75" customHeight="1">
      <c r="A685" s="2"/>
      <c r="C685" s="2"/>
      <c r="D685" s="2"/>
      <c r="F685" s="2"/>
      <c r="H685" s="2"/>
      <c r="I685" s="2"/>
      <c r="J685" s="2"/>
      <c r="M685" s="2"/>
    </row>
    <row r="686" ht="15.75" customHeight="1">
      <c r="A686" s="2"/>
      <c r="C686" s="2"/>
      <c r="D686" s="2"/>
      <c r="F686" s="2"/>
      <c r="H686" s="2"/>
      <c r="I686" s="2"/>
      <c r="J686" s="2"/>
      <c r="M686" s="2"/>
    </row>
    <row r="687" ht="15.75" customHeight="1">
      <c r="A687" s="2"/>
      <c r="C687" s="2"/>
      <c r="D687" s="2"/>
      <c r="F687" s="2"/>
      <c r="H687" s="2"/>
      <c r="I687" s="2"/>
      <c r="J687" s="2"/>
      <c r="M687" s="2"/>
    </row>
    <row r="688" ht="15.75" customHeight="1">
      <c r="A688" s="2"/>
      <c r="C688" s="2"/>
      <c r="D688" s="2"/>
      <c r="F688" s="2"/>
      <c r="H688" s="2"/>
      <c r="I688" s="2"/>
      <c r="J688" s="2"/>
      <c r="M688" s="2"/>
    </row>
    <row r="689" ht="15.75" customHeight="1">
      <c r="A689" s="2"/>
      <c r="C689" s="2"/>
      <c r="D689" s="2"/>
      <c r="F689" s="2"/>
      <c r="H689" s="2"/>
      <c r="I689" s="2"/>
      <c r="J689" s="2"/>
      <c r="M689" s="2"/>
    </row>
    <row r="690" ht="15.75" customHeight="1">
      <c r="A690" s="2"/>
      <c r="C690" s="2"/>
      <c r="D690" s="2"/>
      <c r="F690" s="2"/>
      <c r="H690" s="2"/>
      <c r="I690" s="2"/>
      <c r="J690" s="2"/>
      <c r="M690" s="2"/>
    </row>
    <row r="691" ht="15.75" customHeight="1">
      <c r="A691" s="2"/>
      <c r="C691" s="2"/>
      <c r="D691" s="2"/>
      <c r="F691" s="2"/>
      <c r="H691" s="2"/>
      <c r="I691" s="2"/>
      <c r="J691" s="2"/>
      <c r="M691" s="2"/>
    </row>
    <row r="692" ht="15.75" customHeight="1">
      <c r="A692" s="2"/>
      <c r="C692" s="2"/>
      <c r="D692" s="2"/>
      <c r="F692" s="2"/>
      <c r="H692" s="2"/>
      <c r="I692" s="2"/>
      <c r="J692" s="2"/>
      <c r="M692" s="2"/>
    </row>
    <row r="693" ht="15.75" customHeight="1">
      <c r="A693" s="2"/>
      <c r="C693" s="2"/>
      <c r="D693" s="2"/>
      <c r="F693" s="2"/>
      <c r="H693" s="2"/>
      <c r="I693" s="2"/>
      <c r="J693" s="2"/>
      <c r="M693" s="2"/>
    </row>
    <row r="694" ht="15.75" customHeight="1">
      <c r="A694" s="2"/>
      <c r="C694" s="2"/>
      <c r="D694" s="2"/>
      <c r="F694" s="2"/>
      <c r="H694" s="2"/>
      <c r="I694" s="2"/>
      <c r="J694" s="2"/>
      <c r="M694" s="2"/>
    </row>
    <row r="695" ht="15.75" customHeight="1">
      <c r="A695" s="2"/>
      <c r="C695" s="2"/>
      <c r="D695" s="2"/>
      <c r="F695" s="2"/>
      <c r="H695" s="2"/>
      <c r="I695" s="2"/>
      <c r="J695" s="2"/>
      <c r="M695" s="2"/>
    </row>
    <row r="696" ht="15.75" customHeight="1">
      <c r="A696" s="2"/>
      <c r="C696" s="2"/>
      <c r="D696" s="2"/>
      <c r="F696" s="2"/>
      <c r="H696" s="2"/>
      <c r="I696" s="2"/>
      <c r="J696" s="2"/>
      <c r="M696" s="2"/>
    </row>
    <row r="697" ht="15.75" customHeight="1">
      <c r="A697" s="2"/>
      <c r="C697" s="2"/>
      <c r="D697" s="2"/>
      <c r="F697" s="2"/>
      <c r="H697" s="2"/>
      <c r="I697" s="2"/>
      <c r="J697" s="2"/>
      <c r="M697" s="2"/>
    </row>
    <row r="698" ht="15.75" customHeight="1">
      <c r="A698" s="2"/>
      <c r="C698" s="2"/>
      <c r="D698" s="2"/>
      <c r="F698" s="2"/>
      <c r="H698" s="2"/>
      <c r="I698" s="2"/>
      <c r="J698" s="2"/>
      <c r="M698" s="2"/>
    </row>
    <row r="699" ht="15.75" customHeight="1">
      <c r="A699" s="2"/>
      <c r="C699" s="2"/>
      <c r="D699" s="2"/>
      <c r="F699" s="2"/>
      <c r="H699" s="2"/>
      <c r="I699" s="2"/>
      <c r="J699" s="2"/>
      <c r="M699" s="2"/>
    </row>
    <row r="700" ht="15.75" customHeight="1">
      <c r="A700" s="2"/>
      <c r="C700" s="2"/>
      <c r="D700" s="2"/>
      <c r="F700" s="2"/>
      <c r="H700" s="2"/>
      <c r="I700" s="2"/>
      <c r="J700" s="2"/>
      <c r="M700" s="2"/>
    </row>
    <row r="701" ht="15.75" customHeight="1">
      <c r="A701" s="2"/>
      <c r="C701" s="2"/>
      <c r="D701" s="2"/>
      <c r="F701" s="2"/>
      <c r="H701" s="2"/>
      <c r="I701" s="2"/>
      <c r="J701" s="2"/>
      <c r="M701" s="2"/>
    </row>
    <row r="702" ht="15.75" customHeight="1">
      <c r="A702" s="2"/>
      <c r="C702" s="2"/>
      <c r="D702" s="2"/>
      <c r="F702" s="2"/>
      <c r="H702" s="2"/>
      <c r="I702" s="2"/>
      <c r="J702" s="2"/>
      <c r="M702" s="2"/>
    </row>
    <row r="703" ht="15.75" customHeight="1">
      <c r="A703" s="2"/>
      <c r="C703" s="2"/>
      <c r="D703" s="2"/>
      <c r="F703" s="2"/>
      <c r="H703" s="2"/>
      <c r="I703" s="2"/>
      <c r="J703" s="2"/>
      <c r="M703" s="2"/>
    </row>
    <row r="704" ht="15.75" customHeight="1">
      <c r="A704" s="2"/>
      <c r="C704" s="2"/>
      <c r="D704" s="2"/>
      <c r="F704" s="2"/>
      <c r="H704" s="2"/>
      <c r="I704" s="2"/>
      <c r="J704" s="2"/>
      <c r="M704" s="2"/>
    </row>
    <row r="705" ht="15.75" customHeight="1">
      <c r="A705" s="2"/>
      <c r="C705" s="2"/>
      <c r="D705" s="2"/>
      <c r="F705" s="2"/>
      <c r="H705" s="2"/>
      <c r="I705" s="2"/>
      <c r="J705" s="2"/>
      <c r="M705" s="2"/>
    </row>
    <row r="706" ht="15.75" customHeight="1">
      <c r="A706" s="2"/>
      <c r="C706" s="2"/>
      <c r="D706" s="2"/>
      <c r="F706" s="2"/>
      <c r="H706" s="2"/>
      <c r="I706" s="2"/>
      <c r="J706" s="2"/>
      <c r="M706" s="2"/>
    </row>
    <row r="707" ht="15.75" customHeight="1">
      <c r="A707" s="2"/>
      <c r="C707" s="2"/>
      <c r="D707" s="2"/>
      <c r="F707" s="2"/>
      <c r="H707" s="2"/>
      <c r="I707" s="2"/>
      <c r="J707" s="2"/>
      <c r="M707" s="2"/>
    </row>
    <row r="708" ht="15.75" customHeight="1">
      <c r="A708" s="2"/>
      <c r="C708" s="2"/>
      <c r="D708" s="2"/>
      <c r="F708" s="2"/>
      <c r="H708" s="2"/>
      <c r="I708" s="2"/>
      <c r="J708" s="2"/>
      <c r="M708" s="2"/>
    </row>
    <row r="709" ht="15.75" customHeight="1">
      <c r="A709" s="2"/>
      <c r="C709" s="2"/>
      <c r="D709" s="2"/>
      <c r="F709" s="2"/>
      <c r="H709" s="2"/>
      <c r="I709" s="2"/>
      <c r="J709" s="2"/>
      <c r="M709" s="2"/>
    </row>
    <row r="710" ht="15.75" customHeight="1">
      <c r="A710" s="2"/>
      <c r="C710" s="2"/>
      <c r="D710" s="2"/>
      <c r="F710" s="2"/>
      <c r="H710" s="2"/>
      <c r="I710" s="2"/>
      <c r="J710" s="2"/>
      <c r="M710" s="2"/>
    </row>
    <row r="711" ht="15.75" customHeight="1">
      <c r="A711" s="2"/>
      <c r="C711" s="2"/>
      <c r="D711" s="2"/>
      <c r="F711" s="2"/>
      <c r="H711" s="2"/>
      <c r="I711" s="2"/>
      <c r="J711" s="2"/>
      <c r="M711" s="2"/>
    </row>
    <row r="712" ht="15.75" customHeight="1">
      <c r="A712" s="2"/>
      <c r="C712" s="2"/>
      <c r="D712" s="2"/>
      <c r="F712" s="2"/>
      <c r="H712" s="2"/>
      <c r="I712" s="2"/>
      <c r="J712" s="2"/>
      <c r="M712" s="2"/>
    </row>
    <row r="713" ht="15.75" customHeight="1">
      <c r="A713" s="2"/>
      <c r="C713" s="2"/>
      <c r="D713" s="2"/>
      <c r="F713" s="2"/>
      <c r="H713" s="2"/>
      <c r="I713" s="2"/>
      <c r="J713" s="2"/>
      <c r="M713" s="2"/>
    </row>
    <row r="714" ht="15.75" customHeight="1">
      <c r="A714" s="2"/>
      <c r="C714" s="2"/>
      <c r="D714" s="2"/>
      <c r="F714" s="2"/>
      <c r="H714" s="2"/>
      <c r="I714" s="2"/>
      <c r="J714" s="2"/>
      <c r="M714" s="2"/>
    </row>
    <row r="715" ht="15.75" customHeight="1">
      <c r="A715" s="2"/>
      <c r="C715" s="2"/>
      <c r="D715" s="2"/>
      <c r="F715" s="2"/>
      <c r="H715" s="2"/>
      <c r="I715" s="2"/>
      <c r="J715" s="2"/>
      <c r="M715" s="2"/>
    </row>
    <row r="716" ht="15.75" customHeight="1">
      <c r="A716" s="2"/>
      <c r="C716" s="2"/>
      <c r="D716" s="2"/>
      <c r="F716" s="2"/>
      <c r="H716" s="2"/>
      <c r="I716" s="2"/>
      <c r="J716" s="2"/>
      <c r="M716" s="2"/>
    </row>
    <row r="717" ht="15.75" customHeight="1">
      <c r="A717" s="2"/>
      <c r="C717" s="2"/>
      <c r="D717" s="2"/>
      <c r="F717" s="2"/>
      <c r="H717" s="2"/>
      <c r="I717" s="2"/>
      <c r="J717" s="2"/>
      <c r="M717" s="2"/>
    </row>
    <row r="718" ht="15.75" customHeight="1">
      <c r="A718" s="2"/>
      <c r="C718" s="2"/>
      <c r="D718" s="2"/>
      <c r="F718" s="2"/>
      <c r="H718" s="2"/>
      <c r="I718" s="2"/>
      <c r="J718" s="2"/>
      <c r="M718" s="2"/>
    </row>
    <row r="719" ht="15.75" customHeight="1">
      <c r="A719" s="2"/>
      <c r="C719" s="2"/>
      <c r="D719" s="2"/>
      <c r="F719" s="2"/>
      <c r="H719" s="2"/>
      <c r="I719" s="2"/>
      <c r="J719" s="2"/>
      <c r="M719" s="2"/>
    </row>
    <row r="720" ht="15.75" customHeight="1">
      <c r="A720" s="2"/>
      <c r="C720" s="2"/>
      <c r="D720" s="2"/>
      <c r="F720" s="2"/>
      <c r="H720" s="2"/>
      <c r="I720" s="2"/>
      <c r="J720" s="2"/>
      <c r="M720" s="2"/>
    </row>
    <row r="721" ht="15.75" customHeight="1">
      <c r="A721" s="2"/>
      <c r="C721" s="2"/>
      <c r="D721" s="2"/>
      <c r="F721" s="2"/>
      <c r="H721" s="2"/>
      <c r="I721" s="2"/>
      <c r="J721" s="2"/>
      <c r="M721" s="2"/>
    </row>
    <row r="722" ht="15.75" customHeight="1">
      <c r="A722" s="2"/>
      <c r="C722" s="2"/>
      <c r="D722" s="2"/>
      <c r="F722" s="2"/>
      <c r="H722" s="2"/>
      <c r="I722" s="2"/>
      <c r="J722" s="2"/>
      <c r="M722" s="2"/>
    </row>
    <row r="723" ht="15.75" customHeight="1">
      <c r="A723" s="2"/>
      <c r="C723" s="2"/>
      <c r="D723" s="2"/>
      <c r="F723" s="2"/>
      <c r="H723" s="2"/>
      <c r="I723" s="2"/>
      <c r="J723" s="2"/>
      <c r="M723" s="2"/>
    </row>
    <row r="724" ht="15.75" customHeight="1">
      <c r="A724" s="2"/>
      <c r="C724" s="2"/>
      <c r="D724" s="2"/>
      <c r="F724" s="2"/>
      <c r="H724" s="2"/>
      <c r="I724" s="2"/>
      <c r="J724" s="2"/>
      <c r="M724" s="2"/>
    </row>
    <row r="725" ht="15.75" customHeight="1">
      <c r="A725" s="2"/>
      <c r="C725" s="2"/>
      <c r="D725" s="2"/>
      <c r="F725" s="2"/>
      <c r="H725" s="2"/>
      <c r="I725" s="2"/>
      <c r="J725" s="2"/>
      <c r="M725" s="2"/>
    </row>
    <row r="726" ht="15.75" customHeight="1">
      <c r="A726" s="2"/>
      <c r="C726" s="2"/>
      <c r="D726" s="2"/>
      <c r="F726" s="2"/>
      <c r="H726" s="2"/>
      <c r="I726" s="2"/>
      <c r="J726" s="2"/>
      <c r="M726" s="2"/>
    </row>
    <row r="727" ht="15.75" customHeight="1">
      <c r="A727" s="2"/>
      <c r="C727" s="2"/>
      <c r="D727" s="2"/>
      <c r="F727" s="2"/>
      <c r="H727" s="2"/>
      <c r="I727" s="2"/>
      <c r="J727" s="2"/>
      <c r="M727" s="2"/>
    </row>
    <row r="728" ht="15.75" customHeight="1">
      <c r="A728" s="2"/>
      <c r="C728" s="2"/>
      <c r="D728" s="2"/>
      <c r="F728" s="2"/>
      <c r="H728" s="2"/>
      <c r="I728" s="2"/>
      <c r="J728" s="2"/>
      <c r="M728" s="2"/>
    </row>
    <row r="729" ht="15.75" customHeight="1">
      <c r="A729" s="2"/>
      <c r="C729" s="2"/>
      <c r="D729" s="2"/>
      <c r="F729" s="2"/>
      <c r="H729" s="2"/>
      <c r="I729" s="2"/>
      <c r="J729" s="2"/>
      <c r="M729" s="2"/>
    </row>
    <row r="730" ht="15.75" customHeight="1">
      <c r="A730" s="2"/>
      <c r="C730" s="2"/>
      <c r="D730" s="2"/>
      <c r="F730" s="2"/>
      <c r="H730" s="2"/>
      <c r="I730" s="2"/>
      <c r="J730" s="2"/>
      <c r="M730" s="2"/>
    </row>
    <row r="731" ht="15.75" customHeight="1">
      <c r="A731" s="2"/>
      <c r="C731" s="2"/>
      <c r="D731" s="2"/>
      <c r="F731" s="2"/>
      <c r="H731" s="2"/>
      <c r="I731" s="2"/>
      <c r="J731" s="2"/>
      <c r="M731" s="2"/>
    </row>
    <row r="732" ht="15.75" customHeight="1">
      <c r="A732" s="2"/>
      <c r="C732" s="2"/>
      <c r="D732" s="2"/>
      <c r="F732" s="2"/>
      <c r="H732" s="2"/>
      <c r="I732" s="2"/>
      <c r="J732" s="2"/>
      <c r="M732" s="2"/>
    </row>
    <row r="733" ht="15.75" customHeight="1">
      <c r="A733" s="2"/>
      <c r="C733" s="2"/>
      <c r="D733" s="2"/>
      <c r="F733" s="2"/>
      <c r="H733" s="2"/>
      <c r="I733" s="2"/>
      <c r="J733" s="2"/>
      <c r="M733" s="2"/>
    </row>
    <row r="734" ht="15.75" customHeight="1">
      <c r="A734" s="2"/>
      <c r="C734" s="2"/>
      <c r="D734" s="2"/>
      <c r="F734" s="2"/>
      <c r="H734" s="2"/>
      <c r="I734" s="2"/>
      <c r="J734" s="2"/>
      <c r="M734" s="2"/>
    </row>
    <row r="735" ht="15.75" customHeight="1">
      <c r="A735" s="2"/>
      <c r="C735" s="2"/>
      <c r="D735" s="2"/>
      <c r="F735" s="2"/>
      <c r="H735" s="2"/>
      <c r="I735" s="2"/>
      <c r="J735" s="2"/>
      <c r="M735" s="2"/>
    </row>
    <row r="736" ht="15.75" customHeight="1">
      <c r="A736" s="2"/>
      <c r="C736" s="2"/>
      <c r="D736" s="2"/>
      <c r="F736" s="2"/>
      <c r="H736" s="2"/>
      <c r="I736" s="2"/>
      <c r="J736" s="2"/>
      <c r="M736" s="2"/>
    </row>
    <row r="737" ht="15.75" customHeight="1">
      <c r="A737" s="2"/>
      <c r="C737" s="2"/>
      <c r="D737" s="2"/>
      <c r="F737" s="2"/>
      <c r="H737" s="2"/>
      <c r="I737" s="2"/>
      <c r="J737" s="2"/>
      <c r="M737" s="2"/>
    </row>
    <row r="738" ht="15.75" customHeight="1">
      <c r="A738" s="2"/>
      <c r="C738" s="2"/>
      <c r="D738" s="2"/>
      <c r="F738" s="2"/>
      <c r="H738" s="2"/>
      <c r="I738" s="2"/>
      <c r="J738" s="2"/>
      <c r="M738" s="2"/>
    </row>
    <row r="739" ht="15.75" customHeight="1">
      <c r="A739" s="2"/>
      <c r="C739" s="2"/>
      <c r="D739" s="2"/>
      <c r="F739" s="2"/>
      <c r="H739" s="2"/>
      <c r="I739" s="2"/>
      <c r="J739" s="2"/>
      <c r="M739" s="2"/>
    </row>
    <row r="740" ht="15.75" customHeight="1">
      <c r="A740" s="2"/>
      <c r="C740" s="2"/>
      <c r="D740" s="2"/>
      <c r="F740" s="2"/>
      <c r="H740" s="2"/>
      <c r="I740" s="2"/>
      <c r="J740" s="2"/>
      <c r="M740" s="2"/>
    </row>
    <row r="741" ht="15.75" customHeight="1">
      <c r="A741" s="2"/>
      <c r="C741" s="2"/>
      <c r="D741" s="2"/>
      <c r="F741" s="2"/>
      <c r="H741" s="2"/>
      <c r="I741" s="2"/>
      <c r="J741" s="2"/>
      <c r="M741" s="2"/>
    </row>
    <row r="742" ht="15.75" customHeight="1">
      <c r="A742" s="2"/>
      <c r="C742" s="2"/>
      <c r="D742" s="2"/>
      <c r="F742" s="2"/>
      <c r="H742" s="2"/>
      <c r="I742" s="2"/>
      <c r="J742" s="2"/>
      <c r="M742" s="2"/>
    </row>
    <row r="743" ht="15.75" customHeight="1">
      <c r="A743" s="2"/>
      <c r="C743" s="2"/>
      <c r="D743" s="2"/>
      <c r="F743" s="2"/>
      <c r="H743" s="2"/>
      <c r="I743" s="2"/>
      <c r="J743" s="2"/>
      <c r="M743" s="2"/>
    </row>
    <row r="744" ht="15.75" customHeight="1">
      <c r="A744" s="2"/>
      <c r="C744" s="2"/>
      <c r="D744" s="2"/>
      <c r="F744" s="2"/>
      <c r="H744" s="2"/>
      <c r="I744" s="2"/>
      <c r="J744" s="2"/>
      <c r="M744" s="2"/>
    </row>
    <row r="745" ht="15.75" customHeight="1">
      <c r="A745" s="2"/>
      <c r="C745" s="2"/>
      <c r="D745" s="2"/>
      <c r="F745" s="2"/>
      <c r="H745" s="2"/>
      <c r="I745" s="2"/>
      <c r="J745" s="2"/>
      <c r="M745" s="2"/>
    </row>
    <row r="746" ht="15.75" customHeight="1">
      <c r="A746" s="2"/>
      <c r="C746" s="2"/>
      <c r="D746" s="2"/>
      <c r="F746" s="2"/>
      <c r="H746" s="2"/>
      <c r="I746" s="2"/>
      <c r="J746" s="2"/>
      <c r="M746" s="2"/>
    </row>
    <row r="747" ht="15.75" customHeight="1">
      <c r="A747" s="2"/>
      <c r="C747" s="2"/>
      <c r="D747" s="2"/>
      <c r="F747" s="2"/>
      <c r="H747" s="2"/>
      <c r="I747" s="2"/>
      <c r="J747" s="2"/>
      <c r="M747" s="2"/>
    </row>
    <row r="748" ht="15.75" customHeight="1">
      <c r="A748" s="2"/>
      <c r="C748" s="2"/>
      <c r="D748" s="2"/>
      <c r="F748" s="2"/>
      <c r="H748" s="2"/>
      <c r="I748" s="2"/>
      <c r="J748" s="2"/>
      <c r="M748" s="2"/>
    </row>
    <row r="749" ht="15.75" customHeight="1">
      <c r="A749" s="2"/>
      <c r="C749" s="2"/>
      <c r="D749" s="2"/>
      <c r="F749" s="2"/>
      <c r="H749" s="2"/>
      <c r="I749" s="2"/>
      <c r="J749" s="2"/>
      <c r="M749" s="2"/>
    </row>
    <row r="750" ht="15.75" customHeight="1">
      <c r="A750" s="2"/>
      <c r="C750" s="2"/>
      <c r="D750" s="2"/>
      <c r="F750" s="2"/>
      <c r="H750" s="2"/>
      <c r="I750" s="2"/>
      <c r="J750" s="2"/>
      <c r="M750" s="2"/>
    </row>
    <row r="751" ht="15.75" customHeight="1">
      <c r="A751" s="2"/>
      <c r="C751" s="2"/>
      <c r="D751" s="2"/>
      <c r="F751" s="2"/>
      <c r="H751" s="2"/>
      <c r="I751" s="2"/>
      <c r="J751" s="2"/>
      <c r="M751" s="2"/>
    </row>
    <row r="752" ht="15.75" customHeight="1">
      <c r="A752" s="2"/>
      <c r="C752" s="2"/>
      <c r="D752" s="2"/>
      <c r="F752" s="2"/>
      <c r="H752" s="2"/>
      <c r="I752" s="2"/>
      <c r="J752" s="2"/>
      <c r="M752" s="2"/>
    </row>
    <row r="753" ht="15.75" customHeight="1">
      <c r="A753" s="2"/>
      <c r="C753" s="2"/>
      <c r="D753" s="2"/>
      <c r="F753" s="2"/>
      <c r="H753" s="2"/>
      <c r="I753" s="2"/>
      <c r="J753" s="2"/>
      <c r="M753" s="2"/>
    </row>
    <row r="754" ht="15.75" customHeight="1">
      <c r="A754" s="2"/>
      <c r="C754" s="2"/>
      <c r="D754" s="2"/>
      <c r="F754" s="2"/>
      <c r="H754" s="2"/>
      <c r="I754" s="2"/>
      <c r="J754" s="2"/>
      <c r="M754" s="2"/>
    </row>
    <row r="755" ht="15.75" customHeight="1">
      <c r="A755" s="2"/>
      <c r="C755" s="2"/>
      <c r="D755" s="2"/>
      <c r="F755" s="2"/>
      <c r="H755" s="2"/>
      <c r="I755" s="2"/>
      <c r="J755" s="2"/>
      <c r="M755" s="2"/>
    </row>
    <row r="756" ht="15.75" customHeight="1">
      <c r="A756" s="2"/>
      <c r="C756" s="2"/>
      <c r="D756" s="2"/>
      <c r="F756" s="2"/>
      <c r="H756" s="2"/>
      <c r="I756" s="2"/>
      <c r="J756" s="2"/>
      <c r="M756" s="2"/>
    </row>
    <row r="757" ht="15.75" customHeight="1">
      <c r="A757" s="2"/>
      <c r="C757" s="2"/>
      <c r="D757" s="2"/>
      <c r="F757" s="2"/>
      <c r="H757" s="2"/>
      <c r="I757" s="2"/>
      <c r="J757" s="2"/>
      <c r="M757" s="2"/>
    </row>
    <row r="758" ht="15.75" customHeight="1">
      <c r="A758" s="2"/>
      <c r="C758" s="2"/>
      <c r="D758" s="2"/>
      <c r="F758" s="2"/>
      <c r="H758" s="2"/>
      <c r="I758" s="2"/>
      <c r="J758" s="2"/>
      <c r="M758" s="2"/>
    </row>
    <row r="759" ht="15.75" customHeight="1">
      <c r="A759" s="2"/>
      <c r="C759" s="2"/>
      <c r="D759" s="2"/>
      <c r="F759" s="2"/>
      <c r="H759" s="2"/>
      <c r="I759" s="2"/>
      <c r="J759" s="2"/>
      <c r="M759" s="2"/>
    </row>
    <row r="760" ht="15.75" customHeight="1">
      <c r="A760" s="2"/>
      <c r="C760" s="2"/>
      <c r="D760" s="2"/>
      <c r="F760" s="2"/>
      <c r="H760" s="2"/>
      <c r="I760" s="2"/>
      <c r="J760" s="2"/>
      <c r="M760" s="2"/>
    </row>
    <row r="761" ht="15.75" customHeight="1">
      <c r="A761" s="2"/>
      <c r="C761" s="2"/>
      <c r="D761" s="2"/>
      <c r="F761" s="2"/>
      <c r="H761" s="2"/>
      <c r="I761" s="2"/>
      <c r="J761" s="2"/>
      <c r="M761" s="2"/>
    </row>
    <row r="762" ht="15.75" customHeight="1">
      <c r="A762" s="2"/>
      <c r="C762" s="2"/>
      <c r="D762" s="2"/>
      <c r="F762" s="2"/>
      <c r="H762" s="2"/>
      <c r="I762" s="2"/>
      <c r="J762" s="2"/>
      <c r="M762" s="2"/>
    </row>
    <row r="763" ht="15.75" customHeight="1">
      <c r="A763" s="2"/>
      <c r="C763" s="2"/>
      <c r="D763" s="2"/>
      <c r="F763" s="2"/>
      <c r="H763" s="2"/>
      <c r="I763" s="2"/>
      <c r="J763" s="2"/>
      <c r="M763" s="2"/>
    </row>
    <row r="764" ht="15.75" customHeight="1">
      <c r="A764" s="2"/>
      <c r="C764" s="2"/>
      <c r="D764" s="2"/>
      <c r="F764" s="2"/>
      <c r="H764" s="2"/>
      <c r="I764" s="2"/>
      <c r="J764" s="2"/>
      <c r="M764" s="2"/>
    </row>
    <row r="765" ht="15.75" customHeight="1">
      <c r="A765" s="2"/>
      <c r="C765" s="2"/>
      <c r="D765" s="2"/>
      <c r="F765" s="2"/>
      <c r="H765" s="2"/>
      <c r="I765" s="2"/>
      <c r="J765" s="2"/>
      <c r="M765" s="2"/>
    </row>
    <row r="766" ht="15.75" customHeight="1">
      <c r="A766" s="2"/>
      <c r="C766" s="2"/>
      <c r="D766" s="2"/>
      <c r="F766" s="2"/>
      <c r="H766" s="2"/>
      <c r="I766" s="2"/>
      <c r="J766" s="2"/>
      <c r="M766" s="2"/>
    </row>
    <row r="767" ht="15.75" customHeight="1">
      <c r="A767" s="2"/>
      <c r="C767" s="2"/>
      <c r="D767" s="2"/>
      <c r="F767" s="2"/>
      <c r="H767" s="2"/>
      <c r="I767" s="2"/>
      <c r="J767" s="2"/>
      <c r="M767" s="2"/>
    </row>
    <row r="768" ht="15.75" customHeight="1">
      <c r="A768" s="2"/>
      <c r="C768" s="2"/>
      <c r="D768" s="2"/>
      <c r="F768" s="2"/>
      <c r="H768" s="2"/>
      <c r="I768" s="2"/>
      <c r="J768" s="2"/>
      <c r="M768" s="2"/>
    </row>
    <row r="769" ht="15.75" customHeight="1">
      <c r="A769" s="2"/>
      <c r="C769" s="2"/>
      <c r="D769" s="2"/>
      <c r="F769" s="2"/>
      <c r="H769" s="2"/>
      <c r="I769" s="2"/>
      <c r="J769" s="2"/>
      <c r="M769" s="2"/>
    </row>
    <row r="770" ht="15.75" customHeight="1">
      <c r="A770" s="2"/>
      <c r="C770" s="2"/>
      <c r="D770" s="2"/>
      <c r="F770" s="2"/>
      <c r="H770" s="2"/>
      <c r="I770" s="2"/>
      <c r="J770" s="2"/>
      <c r="M770" s="2"/>
    </row>
    <row r="771" ht="15.75" customHeight="1">
      <c r="A771" s="2"/>
      <c r="C771" s="2"/>
      <c r="D771" s="2"/>
      <c r="F771" s="2"/>
      <c r="H771" s="2"/>
      <c r="I771" s="2"/>
      <c r="J771" s="2"/>
      <c r="M771" s="2"/>
    </row>
    <row r="772" ht="15.75" customHeight="1">
      <c r="A772" s="2"/>
      <c r="C772" s="2"/>
      <c r="D772" s="2"/>
      <c r="F772" s="2"/>
      <c r="H772" s="2"/>
      <c r="I772" s="2"/>
      <c r="J772" s="2"/>
      <c r="M772" s="2"/>
    </row>
    <row r="773" ht="15.75" customHeight="1">
      <c r="A773" s="2"/>
      <c r="C773" s="2"/>
      <c r="D773" s="2"/>
      <c r="F773" s="2"/>
      <c r="H773" s="2"/>
      <c r="I773" s="2"/>
      <c r="J773" s="2"/>
      <c r="M773" s="2"/>
    </row>
    <row r="774" ht="15.75" customHeight="1">
      <c r="A774" s="2"/>
      <c r="C774" s="2"/>
      <c r="D774" s="2"/>
      <c r="F774" s="2"/>
      <c r="H774" s="2"/>
      <c r="I774" s="2"/>
      <c r="J774" s="2"/>
      <c r="M774" s="2"/>
    </row>
    <row r="775" ht="15.75" customHeight="1">
      <c r="A775" s="2"/>
      <c r="C775" s="2"/>
      <c r="D775" s="2"/>
      <c r="F775" s="2"/>
      <c r="H775" s="2"/>
      <c r="I775" s="2"/>
      <c r="J775" s="2"/>
      <c r="M775" s="2"/>
    </row>
    <row r="776" ht="15.75" customHeight="1">
      <c r="A776" s="2"/>
      <c r="C776" s="2"/>
      <c r="D776" s="2"/>
      <c r="F776" s="2"/>
      <c r="H776" s="2"/>
      <c r="I776" s="2"/>
      <c r="J776" s="2"/>
      <c r="M776" s="2"/>
    </row>
    <row r="777" ht="15.75" customHeight="1">
      <c r="A777" s="2"/>
      <c r="C777" s="2"/>
      <c r="D777" s="2"/>
      <c r="F777" s="2"/>
      <c r="H777" s="2"/>
      <c r="I777" s="2"/>
      <c r="J777" s="2"/>
      <c r="M777" s="2"/>
    </row>
    <row r="778" ht="15.75" customHeight="1">
      <c r="A778" s="2"/>
      <c r="C778" s="2"/>
      <c r="D778" s="2"/>
      <c r="F778" s="2"/>
      <c r="H778" s="2"/>
      <c r="I778" s="2"/>
      <c r="J778" s="2"/>
      <c r="M778" s="2"/>
    </row>
    <row r="779" ht="15.75" customHeight="1">
      <c r="A779" s="2"/>
      <c r="C779" s="2"/>
      <c r="D779" s="2"/>
      <c r="F779" s="2"/>
      <c r="H779" s="2"/>
      <c r="I779" s="2"/>
      <c r="J779" s="2"/>
      <c r="M779" s="2"/>
    </row>
    <row r="780" ht="15.75" customHeight="1">
      <c r="A780" s="2"/>
      <c r="C780" s="2"/>
      <c r="D780" s="2"/>
      <c r="F780" s="2"/>
      <c r="H780" s="2"/>
      <c r="I780" s="2"/>
      <c r="J780" s="2"/>
      <c r="M780" s="2"/>
    </row>
    <row r="781" ht="15.75" customHeight="1">
      <c r="A781" s="2"/>
      <c r="C781" s="2"/>
      <c r="D781" s="2"/>
      <c r="F781" s="2"/>
      <c r="H781" s="2"/>
      <c r="I781" s="2"/>
      <c r="J781" s="2"/>
      <c r="M781" s="2"/>
    </row>
    <row r="782" ht="15.75" customHeight="1">
      <c r="A782" s="2"/>
      <c r="C782" s="2"/>
      <c r="D782" s="2"/>
      <c r="F782" s="2"/>
      <c r="H782" s="2"/>
      <c r="I782" s="2"/>
      <c r="J782" s="2"/>
      <c r="M782" s="2"/>
    </row>
    <row r="783" ht="15.75" customHeight="1">
      <c r="A783" s="2"/>
      <c r="C783" s="2"/>
      <c r="D783" s="2"/>
      <c r="F783" s="2"/>
      <c r="H783" s="2"/>
      <c r="I783" s="2"/>
      <c r="J783" s="2"/>
      <c r="M783" s="2"/>
    </row>
    <row r="784" ht="15.75" customHeight="1">
      <c r="A784" s="2"/>
      <c r="C784" s="2"/>
      <c r="D784" s="2"/>
      <c r="F784" s="2"/>
      <c r="H784" s="2"/>
      <c r="I784" s="2"/>
      <c r="J784" s="2"/>
      <c r="M784" s="2"/>
    </row>
    <row r="785" ht="15.75" customHeight="1">
      <c r="A785" s="2"/>
      <c r="C785" s="2"/>
      <c r="D785" s="2"/>
      <c r="F785" s="2"/>
      <c r="H785" s="2"/>
      <c r="I785" s="2"/>
      <c r="J785" s="2"/>
      <c r="M785" s="2"/>
    </row>
    <row r="786" ht="15.75" customHeight="1">
      <c r="A786" s="2"/>
      <c r="C786" s="2"/>
      <c r="D786" s="2"/>
      <c r="F786" s="2"/>
      <c r="H786" s="2"/>
      <c r="I786" s="2"/>
      <c r="J786" s="2"/>
      <c r="M786" s="2"/>
    </row>
    <row r="787" ht="15.75" customHeight="1">
      <c r="A787" s="2"/>
      <c r="C787" s="2"/>
      <c r="D787" s="2"/>
      <c r="F787" s="2"/>
      <c r="H787" s="2"/>
      <c r="I787" s="2"/>
      <c r="J787" s="2"/>
      <c r="M787" s="2"/>
    </row>
    <row r="788" ht="15.75" customHeight="1">
      <c r="A788" s="2"/>
      <c r="C788" s="2"/>
      <c r="D788" s="2"/>
      <c r="F788" s="2"/>
      <c r="H788" s="2"/>
      <c r="I788" s="2"/>
      <c r="J788" s="2"/>
      <c r="M788" s="2"/>
    </row>
    <row r="789" ht="15.75" customHeight="1">
      <c r="A789" s="2"/>
      <c r="C789" s="2"/>
      <c r="D789" s="2"/>
      <c r="F789" s="2"/>
      <c r="H789" s="2"/>
      <c r="I789" s="2"/>
      <c r="J789" s="2"/>
      <c r="M789" s="2"/>
    </row>
    <row r="790" ht="15.75" customHeight="1">
      <c r="A790" s="2"/>
      <c r="C790" s="2"/>
      <c r="D790" s="2"/>
      <c r="F790" s="2"/>
      <c r="H790" s="2"/>
      <c r="I790" s="2"/>
      <c r="J790" s="2"/>
      <c r="M790" s="2"/>
    </row>
    <row r="791" ht="15.75" customHeight="1">
      <c r="A791" s="2"/>
      <c r="C791" s="2"/>
      <c r="D791" s="2"/>
      <c r="F791" s="2"/>
      <c r="H791" s="2"/>
      <c r="I791" s="2"/>
      <c r="J791" s="2"/>
      <c r="M791" s="2"/>
    </row>
    <row r="792" ht="15.75" customHeight="1">
      <c r="A792" s="2"/>
      <c r="C792" s="2"/>
      <c r="D792" s="2"/>
      <c r="F792" s="2"/>
      <c r="H792" s="2"/>
      <c r="I792" s="2"/>
      <c r="J792" s="2"/>
      <c r="M792" s="2"/>
    </row>
    <row r="793" ht="15.75" customHeight="1">
      <c r="A793" s="2"/>
      <c r="C793" s="2"/>
      <c r="D793" s="2"/>
      <c r="F793" s="2"/>
      <c r="H793" s="2"/>
      <c r="I793" s="2"/>
      <c r="J793" s="2"/>
      <c r="M793" s="2"/>
    </row>
    <row r="794" ht="15.75" customHeight="1">
      <c r="A794" s="2"/>
      <c r="C794" s="2"/>
      <c r="D794" s="2"/>
      <c r="F794" s="2"/>
      <c r="H794" s="2"/>
      <c r="I794" s="2"/>
      <c r="J794" s="2"/>
      <c r="M794" s="2"/>
    </row>
    <row r="795" ht="15.75" customHeight="1">
      <c r="A795" s="2"/>
      <c r="C795" s="2"/>
      <c r="D795" s="2"/>
      <c r="F795" s="2"/>
      <c r="H795" s="2"/>
      <c r="I795" s="2"/>
      <c r="J795" s="2"/>
      <c r="M795" s="2"/>
    </row>
    <row r="796" ht="15.75" customHeight="1">
      <c r="A796" s="2"/>
      <c r="C796" s="2"/>
      <c r="D796" s="2"/>
      <c r="F796" s="2"/>
      <c r="H796" s="2"/>
      <c r="I796" s="2"/>
      <c r="J796" s="2"/>
      <c r="M796" s="2"/>
    </row>
    <row r="797" ht="15.75" customHeight="1">
      <c r="A797" s="2"/>
      <c r="C797" s="2"/>
      <c r="D797" s="2"/>
      <c r="F797" s="2"/>
      <c r="H797" s="2"/>
      <c r="I797" s="2"/>
      <c r="J797" s="2"/>
      <c r="M797" s="2"/>
    </row>
    <row r="798" ht="15.75" customHeight="1">
      <c r="A798" s="2"/>
      <c r="C798" s="2"/>
      <c r="D798" s="2"/>
      <c r="F798" s="2"/>
      <c r="H798" s="2"/>
      <c r="I798" s="2"/>
      <c r="J798" s="2"/>
      <c r="M798" s="2"/>
    </row>
    <row r="799" ht="15.75" customHeight="1">
      <c r="A799" s="2"/>
      <c r="C799" s="2"/>
      <c r="D799" s="2"/>
      <c r="F799" s="2"/>
      <c r="H799" s="2"/>
      <c r="I799" s="2"/>
      <c r="J799" s="2"/>
      <c r="M799" s="2"/>
    </row>
    <row r="800" ht="15.75" customHeight="1">
      <c r="A800" s="2"/>
      <c r="C800" s="2"/>
      <c r="D800" s="2"/>
      <c r="F800" s="2"/>
      <c r="H800" s="2"/>
      <c r="I800" s="2"/>
      <c r="J800" s="2"/>
      <c r="M800" s="2"/>
    </row>
    <row r="801" ht="15.75" customHeight="1">
      <c r="A801" s="2"/>
      <c r="C801" s="2"/>
      <c r="D801" s="2"/>
      <c r="F801" s="2"/>
      <c r="H801" s="2"/>
      <c r="I801" s="2"/>
      <c r="J801" s="2"/>
      <c r="M801" s="2"/>
    </row>
    <row r="802" ht="15.75" customHeight="1">
      <c r="A802" s="2"/>
      <c r="C802" s="2"/>
      <c r="D802" s="2"/>
      <c r="F802" s="2"/>
      <c r="H802" s="2"/>
      <c r="I802" s="2"/>
      <c r="J802" s="2"/>
      <c r="M802" s="2"/>
    </row>
    <row r="803" ht="15.75" customHeight="1">
      <c r="A803" s="2"/>
      <c r="C803" s="2"/>
      <c r="D803" s="2"/>
      <c r="F803" s="2"/>
      <c r="H803" s="2"/>
      <c r="I803" s="2"/>
      <c r="J803" s="2"/>
      <c r="M803" s="2"/>
    </row>
    <row r="804" ht="15.75" customHeight="1">
      <c r="A804" s="2"/>
      <c r="C804" s="2"/>
      <c r="D804" s="2"/>
      <c r="F804" s="2"/>
      <c r="H804" s="2"/>
      <c r="I804" s="2"/>
      <c r="J804" s="2"/>
      <c r="M804" s="2"/>
    </row>
    <row r="805" ht="15.75" customHeight="1">
      <c r="A805" s="2"/>
      <c r="C805" s="2"/>
      <c r="D805" s="2"/>
      <c r="F805" s="2"/>
      <c r="H805" s="2"/>
      <c r="I805" s="2"/>
      <c r="J805" s="2"/>
      <c r="M805" s="2"/>
    </row>
    <row r="806" ht="15.75" customHeight="1">
      <c r="A806" s="2"/>
      <c r="C806" s="2"/>
      <c r="D806" s="2"/>
      <c r="F806" s="2"/>
      <c r="H806" s="2"/>
      <c r="I806" s="2"/>
      <c r="J806" s="2"/>
      <c r="M806" s="2"/>
    </row>
    <row r="807" ht="15.75" customHeight="1">
      <c r="A807" s="2"/>
      <c r="C807" s="2"/>
      <c r="D807" s="2"/>
      <c r="F807" s="2"/>
      <c r="H807" s="2"/>
      <c r="I807" s="2"/>
      <c r="J807" s="2"/>
      <c r="M807" s="2"/>
    </row>
    <row r="808" ht="15.75" customHeight="1">
      <c r="A808" s="2"/>
      <c r="C808" s="2"/>
      <c r="D808" s="2"/>
      <c r="F808" s="2"/>
      <c r="H808" s="2"/>
      <c r="I808" s="2"/>
      <c r="J808" s="2"/>
      <c r="M808" s="2"/>
    </row>
    <row r="809" ht="15.75" customHeight="1">
      <c r="A809" s="2"/>
      <c r="C809" s="2"/>
      <c r="D809" s="2"/>
      <c r="F809" s="2"/>
      <c r="H809" s="2"/>
      <c r="I809" s="2"/>
      <c r="J809" s="2"/>
      <c r="M809" s="2"/>
    </row>
    <row r="810" ht="15.75" customHeight="1">
      <c r="A810" s="2"/>
      <c r="C810" s="2"/>
      <c r="D810" s="2"/>
      <c r="F810" s="2"/>
      <c r="H810" s="2"/>
      <c r="I810" s="2"/>
      <c r="J810" s="2"/>
      <c r="M810" s="2"/>
    </row>
    <row r="811" ht="15.75" customHeight="1">
      <c r="A811" s="2"/>
      <c r="C811" s="2"/>
      <c r="D811" s="2"/>
      <c r="F811" s="2"/>
      <c r="H811" s="2"/>
      <c r="I811" s="2"/>
      <c r="J811" s="2"/>
      <c r="M811" s="2"/>
    </row>
    <row r="812" ht="15.75" customHeight="1">
      <c r="A812" s="2"/>
      <c r="C812" s="2"/>
      <c r="D812" s="2"/>
      <c r="F812" s="2"/>
      <c r="H812" s="2"/>
      <c r="I812" s="2"/>
      <c r="J812" s="2"/>
      <c r="M812" s="2"/>
    </row>
    <row r="813" ht="15.75" customHeight="1">
      <c r="A813" s="2"/>
      <c r="C813" s="2"/>
      <c r="D813" s="2"/>
      <c r="F813" s="2"/>
      <c r="H813" s="2"/>
      <c r="I813" s="2"/>
      <c r="J813" s="2"/>
      <c r="M813" s="2"/>
    </row>
    <row r="814" ht="15.75" customHeight="1">
      <c r="A814" s="2"/>
      <c r="C814" s="2"/>
      <c r="D814" s="2"/>
      <c r="F814" s="2"/>
      <c r="H814" s="2"/>
      <c r="I814" s="2"/>
      <c r="J814" s="2"/>
      <c r="M814" s="2"/>
    </row>
    <row r="815" ht="15.75" customHeight="1">
      <c r="A815" s="2"/>
      <c r="C815" s="2"/>
      <c r="D815" s="2"/>
      <c r="F815" s="2"/>
      <c r="H815" s="2"/>
      <c r="I815" s="2"/>
      <c r="J815" s="2"/>
      <c r="M815" s="2"/>
    </row>
    <row r="816" ht="15.75" customHeight="1">
      <c r="A816" s="2"/>
      <c r="C816" s="2"/>
      <c r="D816" s="2"/>
      <c r="F816" s="2"/>
      <c r="H816" s="2"/>
      <c r="I816" s="2"/>
      <c r="J816" s="2"/>
      <c r="M816" s="2"/>
    </row>
    <row r="817" ht="15.75" customHeight="1">
      <c r="A817" s="2"/>
      <c r="C817" s="2"/>
      <c r="D817" s="2"/>
      <c r="F817" s="2"/>
      <c r="H817" s="2"/>
      <c r="I817" s="2"/>
      <c r="J817" s="2"/>
      <c r="M817" s="2"/>
    </row>
    <row r="818" ht="15.75" customHeight="1">
      <c r="A818" s="2"/>
      <c r="C818" s="2"/>
      <c r="D818" s="2"/>
      <c r="F818" s="2"/>
      <c r="H818" s="2"/>
      <c r="I818" s="2"/>
      <c r="J818" s="2"/>
      <c r="M818" s="2"/>
    </row>
    <row r="819" ht="15.75" customHeight="1">
      <c r="A819" s="2"/>
      <c r="C819" s="2"/>
      <c r="D819" s="2"/>
      <c r="F819" s="2"/>
      <c r="H819" s="2"/>
      <c r="I819" s="2"/>
      <c r="J819" s="2"/>
      <c r="M819" s="2"/>
    </row>
    <row r="820" ht="15.75" customHeight="1">
      <c r="A820" s="2"/>
      <c r="C820" s="2"/>
      <c r="D820" s="2"/>
      <c r="F820" s="2"/>
      <c r="H820" s="2"/>
      <c r="I820" s="2"/>
      <c r="J820" s="2"/>
      <c r="M820" s="2"/>
    </row>
    <row r="821" ht="15.75" customHeight="1">
      <c r="A821" s="2"/>
      <c r="C821" s="2"/>
      <c r="D821" s="2"/>
      <c r="F821" s="2"/>
      <c r="H821" s="2"/>
      <c r="I821" s="2"/>
      <c r="J821" s="2"/>
      <c r="M821" s="2"/>
    </row>
    <row r="822" ht="15.75" customHeight="1">
      <c r="A822" s="2"/>
      <c r="C822" s="2"/>
      <c r="D822" s="2"/>
      <c r="F822" s="2"/>
      <c r="H822" s="2"/>
      <c r="I822" s="2"/>
      <c r="J822" s="2"/>
      <c r="M822" s="2"/>
    </row>
    <row r="823" ht="15.75" customHeight="1">
      <c r="A823" s="2"/>
      <c r="C823" s="2"/>
      <c r="D823" s="2"/>
      <c r="F823" s="2"/>
      <c r="H823" s="2"/>
      <c r="I823" s="2"/>
      <c r="J823" s="2"/>
      <c r="M823" s="2"/>
    </row>
    <row r="824" ht="15.75" customHeight="1">
      <c r="A824" s="2"/>
      <c r="C824" s="2"/>
      <c r="D824" s="2"/>
      <c r="F824" s="2"/>
      <c r="H824" s="2"/>
      <c r="I824" s="2"/>
      <c r="J824" s="2"/>
      <c r="M824" s="2"/>
    </row>
    <row r="825" ht="15.75" customHeight="1">
      <c r="A825" s="2"/>
      <c r="C825" s="2"/>
      <c r="D825" s="2"/>
      <c r="F825" s="2"/>
      <c r="H825" s="2"/>
      <c r="I825" s="2"/>
      <c r="J825" s="2"/>
      <c r="M825" s="2"/>
    </row>
    <row r="826" ht="15.75" customHeight="1">
      <c r="A826" s="2"/>
      <c r="C826" s="2"/>
      <c r="D826" s="2"/>
      <c r="F826" s="2"/>
      <c r="H826" s="2"/>
      <c r="I826" s="2"/>
      <c r="J826" s="2"/>
      <c r="M826" s="2"/>
    </row>
    <row r="827" ht="15.75" customHeight="1">
      <c r="A827" s="2"/>
      <c r="C827" s="2"/>
      <c r="D827" s="2"/>
      <c r="F827" s="2"/>
      <c r="H827" s="2"/>
      <c r="I827" s="2"/>
      <c r="J827" s="2"/>
      <c r="M827" s="2"/>
    </row>
    <row r="828" ht="15.75" customHeight="1">
      <c r="A828" s="2"/>
      <c r="C828" s="2"/>
      <c r="D828" s="2"/>
      <c r="F828" s="2"/>
      <c r="H828" s="2"/>
      <c r="I828" s="2"/>
      <c r="J828" s="2"/>
      <c r="M828" s="2"/>
    </row>
    <row r="829" ht="15.75" customHeight="1">
      <c r="A829" s="2"/>
      <c r="C829" s="2"/>
      <c r="D829" s="2"/>
      <c r="F829" s="2"/>
      <c r="H829" s="2"/>
      <c r="I829" s="2"/>
      <c r="J829" s="2"/>
      <c r="M829" s="2"/>
    </row>
    <row r="830" ht="15.75" customHeight="1">
      <c r="A830" s="2"/>
      <c r="C830" s="2"/>
      <c r="D830" s="2"/>
      <c r="F830" s="2"/>
      <c r="H830" s="2"/>
      <c r="I830" s="2"/>
      <c r="J830" s="2"/>
      <c r="M830" s="2"/>
    </row>
    <row r="831" ht="15.75" customHeight="1">
      <c r="A831" s="2"/>
      <c r="C831" s="2"/>
      <c r="D831" s="2"/>
      <c r="F831" s="2"/>
      <c r="H831" s="2"/>
      <c r="I831" s="2"/>
      <c r="J831" s="2"/>
      <c r="M831" s="2"/>
    </row>
    <row r="832" ht="15.75" customHeight="1">
      <c r="A832" s="2"/>
      <c r="C832" s="2"/>
      <c r="D832" s="2"/>
      <c r="F832" s="2"/>
      <c r="H832" s="2"/>
      <c r="I832" s="2"/>
      <c r="J832" s="2"/>
      <c r="M832" s="2"/>
    </row>
    <row r="833" ht="15.75" customHeight="1">
      <c r="A833" s="2"/>
      <c r="C833" s="2"/>
      <c r="D833" s="2"/>
      <c r="F833" s="2"/>
      <c r="H833" s="2"/>
      <c r="I833" s="2"/>
      <c r="J833" s="2"/>
      <c r="M833" s="2"/>
    </row>
    <row r="834" ht="15.75" customHeight="1">
      <c r="A834" s="2"/>
      <c r="C834" s="2"/>
      <c r="D834" s="2"/>
      <c r="F834" s="2"/>
      <c r="H834" s="2"/>
      <c r="I834" s="2"/>
      <c r="J834" s="2"/>
      <c r="M834" s="2"/>
    </row>
    <row r="835" ht="15.75" customHeight="1">
      <c r="A835" s="2"/>
      <c r="C835" s="2"/>
      <c r="D835" s="2"/>
      <c r="F835" s="2"/>
      <c r="H835" s="2"/>
      <c r="I835" s="2"/>
      <c r="J835" s="2"/>
      <c r="M835" s="2"/>
    </row>
    <row r="836" ht="15.75" customHeight="1">
      <c r="A836" s="2"/>
      <c r="C836" s="2"/>
      <c r="D836" s="2"/>
      <c r="F836" s="2"/>
      <c r="H836" s="2"/>
      <c r="I836" s="2"/>
      <c r="J836" s="2"/>
      <c r="M836" s="2"/>
    </row>
    <row r="837" ht="15.75" customHeight="1">
      <c r="A837" s="2"/>
      <c r="C837" s="2"/>
      <c r="D837" s="2"/>
      <c r="F837" s="2"/>
      <c r="H837" s="2"/>
      <c r="I837" s="2"/>
      <c r="J837" s="2"/>
      <c r="M837" s="2"/>
    </row>
    <row r="838" ht="15.75" customHeight="1">
      <c r="A838" s="2"/>
      <c r="C838" s="2"/>
      <c r="D838" s="2"/>
      <c r="F838" s="2"/>
      <c r="H838" s="2"/>
      <c r="I838" s="2"/>
      <c r="J838" s="2"/>
      <c r="M838" s="2"/>
    </row>
    <row r="839" ht="15.75" customHeight="1">
      <c r="A839" s="2"/>
      <c r="C839" s="2"/>
      <c r="D839" s="2"/>
      <c r="F839" s="2"/>
      <c r="H839" s="2"/>
      <c r="I839" s="2"/>
      <c r="J839" s="2"/>
      <c r="M839" s="2"/>
    </row>
    <row r="840" ht="15.75" customHeight="1">
      <c r="A840" s="2"/>
      <c r="C840" s="2"/>
      <c r="D840" s="2"/>
      <c r="F840" s="2"/>
      <c r="H840" s="2"/>
      <c r="I840" s="2"/>
      <c r="J840" s="2"/>
      <c r="M840" s="2"/>
    </row>
    <row r="841" ht="15.75" customHeight="1">
      <c r="A841" s="2"/>
      <c r="C841" s="2"/>
      <c r="D841" s="2"/>
      <c r="F841" s="2"/>
      <c r="H841" s="2"/>
      <c r="I841" s="2"/>
      <c r="J841" s="2"/>
      <c r="M841" s="2"/>
    </row>
    <row r="842" ht="15.75" customHeight="1">
      <c r="A842" s="2"/>
      <c r="C842" s="2"/>
      <c r="D842" s="2"/>
      <c r="F842" s="2"/>
      <c r="H842" s="2"/>
      <c r="I842" s="2"/>
      <c r="J842" s="2"/>
      <c r="M842" s="2"/>
    </row>
    <row r="843" ht="15.75" customHeight="1">
      <c r="A843" s="2"/>
      <c r="C843" s="2"/>
      <c r="D843" s="2"/>
      <c r="F843" s="2"/>
      <c r="H843" s="2"/>
      <c r="I843" s="2"/>
      <c r="J843" s="2"/>
      <c r="M843" s="2"/>
    </row>
    <row r="844" ht="15.75" customHeight="1">
      <c r="A844" s="2"/>
      <c r="C844" s="2"/>
      <c r="D844" s="2"/>
      <c r="F844" s="2"/>
      <c r="H844" s="2"/>
      <c r="I844" s="2"/>
      <c r="J844" s="2"/>
      <c r="M844" s="2"/>
    </row>
    <row r="845" ht="15.75" customHeight="1">
      <c r="A845" s="2"/>
      <c r="C845" s="2"/>
      <c r="D845" s="2"/>
      <c r="F845" s="2"/>
      <c r="H845" s="2"/>
      <c r="I845" s="2"/>
      <c r="J845" s="2"/>
      <c r="M845" s="2"/>
    </row>
    <row r="846" ht="15.75" customHeight="1">
      <c r="A846" s="2"/>
      <c r="C846" s="2"/>
      <c r="D846" s="2"/>
      <c r="F846" s="2"/>
      <c r="H846" s="2"/>
      <c r="I846" s="2"/>
      <c r="J846" s="2"/>
      <c r="M846" s="2"/>
    </row>
    <row r="847" ht="15.75" customHeight="1">
      <c r="A847" s="2"/>
      <c r="C847" s="2"/>
      <c r="D847" s="2"/>
      <c r="F847" s="2"/>
      <c r="H847" s="2"/>
      <c r="I847" s="2"/>
      <c r="J847" s="2"/>
      <c r="M847" s="2"/>
    </row>
    <row r="848" ht="15.75" customHeight="1">
      <c r="A848" s="2"/>
      <c r="C848" s="2"/>
      <c r="D848" s="2"/>
      <c r="F848" s="2"/>
      <c r="H848" s="2"/>
      <c r="I848" s="2"/>
      <c r="J848" s="2"/>
      <c r="M848" s="2"/>
    </row>
    <row r="849" ht="15.75" customHeight="1">
      <c r="A849" s="2"/>
      <c r="C849" s="2"/>
      <c r="D849" s="2"/>
      <c r="F849" s="2"/>
      <c r="H849" s="2"/>
      <c r="I849" s="2"/>
      <c r="J849" s="2"/>
      <c r="M849" s="2"/>
    </row>
    <row r="850" ht="15.75" customHeight="1">
      <c r="A850" s="2"/>
      <c r="C850" s="2"/>
      <c r="D850" s="2"/>
      <c r="F850" s="2"/>
      <c r="H850" s="2"/>
      <c r="I850" s="2"/>
      <c r="J850" s="2"/>
      <c r="M850" s="2"/>
    </row>
    <row r="851" ht="15.75" customHeight="1">
      <c r="A851" s="2"/>
      <c r="C851" s="2"/>
      <c r="D851" s="2"/>
      <c r="F851" s="2"/>
      <c r="H851" s="2"/>
      <c r="I851" s="2"/>
      <c r="J851" s="2"/>
      <c r="M851" s="2"/>
    </row>
    <row r="852" ht="15.75" customHeight="1">
      <c r="A852" s="2"/>
      <c r="C852" s="2"/>
      <c r="D852" s="2"/>
      <c r="F852" s="2"/>
      <c r="H852" s="2"/>
      <c r="I852" s="2"/>
      <c r="J852" s="2"/>
      <c r="M852" s="2"/>
    </row>
    <row r="853" ht="15.75" customHeight="1">
      <c r="A853" s="2"/>
      <c r="C853" s="2"/>
      <c r="D853" s="2"/>
      <c r="F853" s="2"/>
      <c r="H853" s="2"/>
      <c r="I853" s="2"/>
      <c r="J853" s="2"/>
      <c r="M853" s="2"/>
    </row>
    <row r="854" ht="15.75" customHeight="1">
      <c r="A854" s="2"/>
      <c r="C854" s="2"/>
      <c r="D854" s="2"/>
      <c r="F854" s="2"/>
      <c r="H854" s="2"/>
      <c r="I854" s="2"/>
      <c r="J854" s="2"/>
      <c r="M854" s="2"/>
    </row>
    <row r="855" ht="15.75" customHeight="1">
      <c r="A855" s="2"/>
      <c r="C855" s="2"/>
      <c r="D855" s="2"/>
      <c r="F855" s="2"/>
      <c r="H855" s="2"/>
      <c r="I855" s="2"/>
      <c r="J855" s="2"/>
      <c r="M855" s="2"/>
    </row>
    <row r="856" ht="15.75" customHeight="1">
      <c r="A856" s="2"/>
      <c r="C856" s="2"/>
      <c r="D856" s="2"/>
      <c r="F856" s="2"/>
      <c r="H856" s="2"/>
      <c r="I856" s="2"/>
      <c r="J856" s="2"/>
      <c r="M856" s="2"/>
    </row>
    <row r="857" ht="15.75" customHeight="1">
      <c r="A857" s="2"/>
      <c r="C857" s="2"/>
      <c r="D857" s="2"/>
      <c r="F857" s="2"/>
      <c r="H857" s="2"/>
      <c r="I857" s="2"/>
      <c r="J857" s="2"/>
      <c r="M857" s="2"/>
    </row>
    <row r="858" ht="15.75" customHeight="1">
      <c r="A858" s="2"/>
      <c r="C858" s="2"/>
      <c r="D858" s="2"/>
      <c r="F858" s="2"/>
      <c r="H858" s="2"/>
      <c r="I858" s="2"/>
      <c r="J858" s="2"/>
      <c r="M858" s="2"/>
    </row>
    <row r="859" ht="15.75" customHeight="1">
      <c r="A859" s="2"/>
      <c r="C859" s="2"/>
      <c r="D859" s="2"/>
      <c r="F859" s="2"/>
      <c r="H859" s="2"/>
      <c r="I859" s="2"/>
      <c r="J859" s="2"/>
      <c r="M859" s="2"/>
    </row>
    <row r="860" ht="15.75" customHeight="1">
      <c r="A860" s="2"/>
      <c r="C860" s="2"/>
      <c r="D860" s="2"/>
      <c r="F860" s="2"/>
      <c r="H860" s="2"/>
      <c r="I860" s="2"/>
      <c r="J860" s="2"/>
      <c r="M860" s="2"/>
    </row>
    <row r="861" ht="15.75" customHeight="1">
      <c r="A861" s="2"/>
      <c r="C861" s="2"/>
      <c r="D861" s="2"/>
      <c r="F861" s="2"/>
      <c r="H861" s="2"/>
      <c r="I861" s="2"/>
      <c r="J861" s="2"/>
      <c r="M861" s="2"/>
    </row>
    <row r="862" ht="15.75" customHeight="1">
      <c r="A862" s="2"/>
      <c r="C862" s="2"/>
      <c r="D862" s="2"/>
      <c r="F862" s="2"/>
      <c r="H862" s="2"/>
      <c r="I862" s="2"/>
      <c r="J862" s="2"/>
      <c r="M862" s="2"/>
    </row>
    <row r="863" ht="15.75" customHeight="1">
      <c r="A863" s="2"/>
      <c r="C863" s="2"/>
      <c r="D863" s="2"/>
      <c r="F863" s="2"/>
      <c r="H863" s="2"/>
      <c r="I863" s="2"/>
      <c r="J863" s="2"/>
      <c r="M863" s="2"/>
    </row>
    <row r="864" ht="15.75" customHeight="1">
      <c r="A864" s="2"/>
      <c r="C864" s="2"/>
      <c r="D864" s="2"/>
      <c r="F864" s="2"/>
      <c r="H864" s="2"/>
      <c r="I864" s="2"/>
      <c r="J864" s="2"/>
      <c r="M864" s="2"/>
    </row>
    <row r="865" ht="15.75" customHeight="1">
      <c r="A865" s="2"/>
      <c r="C865" s="2"/>
      <c r="D865" s="2"/>
      <c r="F865" s="2"/>
      <c r="H865" s="2"/>
      <c r="I865" s="2"/>
      <c r="J865" s="2"/>
      <c r="M865" s="2"/>
    </row>
    <row r="866" ht="15.75" customHeight="1">
      <c r="A866" s="2"/>
      <c r="C866" s="2"/>
      <c r="D866" s="2"/>
      <c r="F866" s="2"/>
      <c r="H866" s="2"/>
      <c r="I866" s="2"/>
      <c r="J866" s="2"/>
      <c r="M866" s="2"/>
    </row>
    <row r="867" ht="15.75" customHeight="1">
      <c r="A867" s="2"/>
      <c r="C867" s="2"/>
      <c r="D867" s="2"/>
      <c r="F867" s="2"/>
      <c r="H867" s="2"/>
      <c r="I867" s="2"/>
      <c r="J867" s="2"/>
      <c r="M867" s="2"/>
    </row>
    <row r="868" ht="15.75" customHeight="1">
      <c r="A868" s="2"/>
      <c r="C868" s="2"/>
      <c r="D868" s="2"/>
      <c r="F868" s="2"/>
      <c r="H868" s="2"/>
      <c r="I868" s="2"/>
      <c r="J868" s="2"/>
      <c r="M868" s="2"/>
    </row>
    <row r="869" ht="15.75" customHeight="1">
      <c r="A869" s="2"/>
      <c r="C869" s="2"/>
      <c r="D869" s="2"/>
      <c r="F869" s="2"/>
      <c r="H869" s="2"/>
      <c r="I869" s="2"/>
      <c r="J869" s="2"/>
      <c r="M869" s="2"/>
    </row>
    <row r="870" ht="15.75" customHeight="1">
      <c r="A870" s="2"/>
      <c r="C870" s="2"/>
      <c r="D870" s="2"/>
      <c r="F870" s="2"/>
      <c r="H870" s="2"/>
      <c r="I870" s="2"/>
      <c r="J870" s="2"/>
      <c r="M870" s="2"/>
    </row>
    <row r="871" ht="15.75" customHeight="1">
      <c r="A871" s="2"/>
      <c r="C871" s="2"/>
      <c r="D871" s="2"/>
      <c r="F871" s="2"/>
      <c r="H871" s="2"/>
      <c r="I871" s="2"/>
      <c r="J871" s="2"/>
      <c r="M871" s="2"/>
    </row>
    <row r="872" ht="15.75" customHeight="1">
      <c r="A872" s="2"/>
      <c r="C872" s="2"/>
      <c r="D872" s="2"/>
      <c r="F872" s="2"/>
      <c r="H872" s="2"/>
      <c r="I872" s="2"/>
      <c r="J872" s="2"/>
      <c r="M872" s="2"/>
    </row>
    <row r="873" ht="15.75" customHeight="1">
      <c r="A873" s="2"/>
      <c r="C873" s="2"/>
      <c r="D873" s="2"/>
      <c r="F873" s="2"/>
      <c r="H873" s="2"/>
      <c r="I873" s="2"/>
      <c r="J873" s="2"/>
      <c r="M873" s="2"/>
    </row>
    <row r="874" ht="15.75" customHeight="1">
      <c r="A874" s="2"/>
      <c r="C874" s="2"/>
      <c r="D874" s="2"/>
      <c r="F874" s="2"/>
      <c r="H874" s="2"/>
      <c r="I874" s="2"/>
      <c r="J874" s="2"/>
      <c r="M874" s="2"/>
    </row>
    <row r="875" ht="15.75" customHeight="1">
      <c r="A875" s="2"/>
      <c r="C875" s="2"/>
      <c r="D875" s="2"/>
      <c r="F875" s="2"/>
      <c r="H875" s="2"/>
      <c r="I875" s="2"/>
      <c r="J875" s="2"/>
      <c r="M875" s="2"/>
    </row>
    <row r="876" ht="15.75" customHeight="1">
      <c r="A876" s="2"/>
      <c r="C876" s="2"/>
      <c r="D876" s="2"/>
      <c r="F876" s="2"/>
      <c r="H876" s="2"/>
      <c r="I876" s="2"/>
      <c r="J876" s="2"/>
      <c r="M876" s="2"/>
    </row>
    <row r="877" ht="15.75" customHeight="1">
      <c r="A877" s="2"/>
      <c r="C877" s="2"/>
      <c r="D877" s="2"/>
      <c r="F877" s="2"/>
      <c r="H877" s="2"/>
      <c r="I877" s="2"/>
      <c r="J877" s="2"/>
      <c r="M877" s="2"/>
    </row>
    <row r="878" ht="15.75" customHeight="1">
      <c r="A878" s="2"/>
      <c r="C878" s="2"/>
      <c r="D878" s="2"/>
      <c r="F878" s="2"/>
      <c r="H878" s="2"/>
      <c r="I878" s="2"/>
      <c r="J878" s="2"/>
      <c r="M878" s="2"/>
    </row>
    <row r="879" ht="15.75" customHeight="1">
      <c r="A879" s="2"/>
      <c r="C879" s="2"/>
      <c r="D879" s="2"/>
      <c r="F879" s="2"/>
      <c r="H879" s="2"/>
      <c r="I879" s="2"/>
      <c r="J879" s="2"/>
      <c r="M879" s="2"/>
    </row>
    <row r="880" ht="15.75" customHeight="1">
      <c r="A880" s="2"/>
      <c r="C880" s="2"/>
      <c r="D880" s="2"/>
      <c r="F880" s="2"/>
      <c r="H880" s="2"/>
      <c r="I880" s="2"/>
      <c r="J880" s="2"/>
      <c r="M880" s="2"/>
    </row>
    <row r="881" ht="15.75" customHeight="1">
      <c r="A881" s="2"/>
      <c r="C881" s="2"/>
      <c r="D881" s="2"/>
      <c r="F881" s="2"/>
      <c r="H881" s="2"/>
      <c r="I881" s="2"/>
      <c r="J881" s="2"/>
      <c r="M881" s="2"/>
    </row>
    <row r="882" ht="15.75" customHeight="1">
      <c r="A882" s="2"/>
      <c r="C882" s="2"/>
      <c r="D882" s="2"/>
      <c r="F882" s="2"/>
      <c r="H882" s="2"/>
      <c r="I882" s="2"/>
      <c r="J882" s="2"/>
      <c r="M882" s="2"/>
    </row>
    <row r="883" ht="15.75" customHeight="1">
      <c r="A883" s="2"/>
      <c r="C883" s="2"/>
      <c r="D883" s="2"/>
      <c r="F883" s="2"/>
      <c r="H883" s="2"/>
      <c r="I883" s="2"/>
      <c r="J883" s="2"/>
      <c r="M883" s="2"/>
    </row>
    <row r="884" ht="15.75" customHeight="1">
      <c r="A884" s="2"/>
      <c r="C884" s="2"/>
      <c r="D884" s="2"/>
      <c r="F884" s="2"/>
      <c r="H884" s="2"/>
      <c r="I884" s="2"/>
      <c r="J884" s="2"/>
      <c r="M884" s="2"/>
    </row>
    <row r="885" ht="15.75" customHeight="1">
      <c r="A885" s="2"/>
      <c r="C885" s="2"/>
      <c r="D885" s="2"/>
      <c r="F885" s="2"/>
      <c r="H885" s="2"/>
      <c r="I885" s="2"/>
      <c r="J885" s="2"/>
      <c r="M885" s="2"/>
    </row>
    <row r="886" ht="15.75" customHeight="1">
      <c r="A886" s="2"/>
      <c r="C886" s="2"/>
      <c r="D886" s="2"/>
      <c r="F886" s="2"/>
      <c r="H886" s="2"/>
      <c r="I886" s="2"/>
      <c r="J886" s="2"/>
      <c r="M886" s="2"/>
    </row>
    <row r="887" ht="15.75" customHeight="1">
      <c r="A887" s="2"/>
      <c r="C887" s="2"/>
      <c r="D887" s="2"/>
      <c r="F887" s="2"/>
      <c r="H887" s="2"/>
      <c r="I887" s="2"/>
      <c r="J887" s="2"/>
      <c r="M887" s="2"/>
    </row>
    <row r="888" ht="15.75" customHeight="1">
      <c r="A888" s="2"/>
      <c r="C888" s="2"/>
      <c r="D888" s="2"/>
      <c r="F888" s="2"/>
      <c r="H888" s="2"/>
      <c r="I888" s="2"/>
      <c r="J888" s="2"/>
      <c r="M888" s="2"/>
    </row>
    <row r="889" ht="15.75" customHeight="1">
      <c r="A889" s="2"/>
      <c r="C889" s="2"/>
      <c r="D889" s="2"/>
      <c r="F889" s="2"/>
      <c r="H889" s="2"/>
      <c r="I889" s="2"/>
      <c r="J889" s="2"/>
      <c r="M889" s="2"/>
    </row>
    <row r="890" ht="15.75" customHeight="1">
      <c r="A890" s="2"/>
      <c r="C890" s="2"/>
      <c r="D890" s="2"/>
      <c r="F890" s="2"/>
      <c r="H890" s="2"/>
      <c r="I890" s="2"/>
      <c r="J890" s="2"/>
      <c r="M890" s="2"/>
    </row>
    <row r="891" ht="15.75" customHeight="1">
      <c r="A891" s="2"/>
      <c r="C891" s="2"/>
      <c r="D891" s="2"/>
      <c r="F891" s="2"/>
      <c r="H891" s="2"/>
      <c r="I891" s="2"/>
      <c r="J891" s="2"/>
      <c r="M891" s="2"/>
    </row>
    <row r="892" ht="15.75" customHeight="1">
      <c r="A892" s="2"/>
      <c r="C892" s="2"/>
      <c r="D892" s="2"/>
      <c r="F892" s="2"/>
      <c r="H892" s="2"/>
      <c r="I892" s="2"/>
      <c r="J892" s="2"/>
      <c r="M892" s="2"/>
    </row>
    <row r="893" ht="15.75" customHeight="1">
      <c r="A893" s="2"/>
      <c r="C893" s="2"/>
      <c r="D893" s="2"/>
      <c r="F893" s="2"/>
      <c r="H893" s="2"/>
      <c r="I893" s="2"/>
      <c r="J893" s="2"/>
      <c r="M893" s="2"/>
    </row>
    <row r="894" ht="15.75" customHeight="1">
      <c r="A894" s="2"/>
      <c r="C894" s="2"/>
      <c r="D894" s="2"/>
      <c r="F894" s="2"/>
      <c r="H894" s="2"/>
      <c r="I894" s="2"/>
      <c r="J894" s="2"/>
      <c r="M894" s="2"/>
    </row>
    <row r="895" ht="15.75" customHeight="1">
      <c r="A895" s="2"/>
      <c r="C895" s="2"/>
      <c r="D895" s="2"/>
      <c r="F895" s="2"/>
      <c r="H895" s="2"/>
      <c r="I895" s="2"/>
      <c r="J895" s="2"/>
      <c r="M895" s="2"/>
    </row>
    <row r="896" ht="15.75" customHeight="1">
      <c r="A896" s="2"/>
      <c r="C896" s="2"/>
      <c r="D896" s="2"/>
      <c r="F896" s="2"/>
      <c r="H896" s="2"/>
      <c r="I896" s="2"/>
      <c r="J896" s="2"/>
      <c r="M896" s="2"/>
    </row>
    <row r="897" ht="15.75" customHeight="1">
      <c r="A897" s="2"/>
      <c r="C897" s="2"/>
      <c r="D897" s="2"/>
      <c r="F897" s="2"/>
      <c r="H897" s="2"/>
      <c r="I897" s="2"/>
      <c r="J897" s="2"/>
      <c r="M897" s="2"/>
    </row>
    <row r="898" ht="15.75" customHeight="1">
      <c r="A898" s="2"/>
      <c r="C898" s="2"/>
      <c r="D898" s="2"/>
      <c r="F898" s="2"/>
      <c r="H898" s="2"/>
      <c r="I898" s="2"/>
      <c r="J898" s="2"/>
      <c r="M898" s="2"/>
    </row>
    <row r="899" ht="15.75" customHeight="1">
      <c r="A899" s="2"/>
      <c r="C899" s="2"/>
      <c r="D899" s="2"/>
      <c r="F899" s="2"/>
      <c r="H899" s="2"/>
      <c r="I899" s="2"/>
      <c r="J899" s="2"/>
      <c r="M899" s="2"/>
    </row>
    <row r="900" ht="15.75" customHeight="1">
      <c r="A900" s="2"/>
      <c r="C900" s="2"/>
      <c r="D900" s="2"/>
      <c r="F900" s="2"/>
      <c r="H900" s="2"/>
      <c r="I900" s="2"/>
      <c r="J900" s="2"/>
      <c r="M900" s="2"/>
    </row>
    <row r="901" ht="15.75" customHeight="1">
      <c r="A901" s="2"/>
      <c r="C901" s="2"/>
      <c r="D901" s="2"/>
      <c r="F901" s="2"/>
      <c r="H901" s="2"/>
      <c r="I901" s="2"/>
      <c r="J901" s="2"/>
      <c r="M901" s="2"/>
    </row>
    <row r="902" ht="15.75" customHeight="1">
      <c r="A902" s="2"/>
      <c r="C902" s="2"/>
      <c r="D902" s="2"/>
      <c r="F902" s="2"/>
      <c r="H902" s="2"/>
      <c r="I902" s="2"/>
      <c r="J902" s="2"/>
      <c r="M902" s="2"/>
    </row>
    <row r="903" ht="15.75" customHeight="1">
      <c r="A903" s="2"/>
      <c r="C903" s="2"/>
      <c r="D903" s="2"/>
      <c r="F903" s="2"/>
      <c r="H903" s="2"/>
      <c r="I903" s="2"/>
      <c r="J903" s="2"/>
      <c r="M903" s="2"/>
    </row>
    <row r="904" ht="15.75" customHeight="1">
      <c r="A904" s="2"/>
      <c r="C904" s="2"/>
      <c r="D904" s="2"/>
      <c r="F904" s="2"/>
      <c r="H904" s="2"/>
      <c r="I904" s="2"/>
      <c r="J904" s="2"/>
      <c r="M904" s="2"/>
    </row>
    <row r="905" ht="15.75" customHeight="1">
      <c r="A905" s="2"/>
      <c r="C905" s="2"/>
      <c r="D905" s="2"/>
      <c r="F905" s="2"/>
      <c r="H905" s="2"/>
      <c r="I905" s="2"/>
      <c r="J905" s="2"/>
      <c r="M905" s="2"/>
    </row>
    <row r="906" ht="15.75" customHeight="1">
      <c r="A906" s="2"/>
      <c r="C906" s="2"/>
      <c r="D906" s="2"/>
      <c r="F906" s="2"/>
      <c r="H906" s="2"/>
      <c r="I906" s="2"/>
      <c r="J906" s="2"/>
      <c r="M906" s="2"/>
    </row>
    <row r="907" ht="15.75" customHeight="1">
      <c r="A907" s="2"/>
      <c r="C907" s="2"/>
      <c r="D907" s="2"/>
      <c r="F907" s="2"/>
      <c r="H907" s="2"/>
      <c r="I907" s="2"/>
      <c r="J907" s="2"/>
      <c r="M907" s="2"/>
    </row>
    <row r="908" ht="15.75" customHeight="1">
      <c r="A908" s="2"/>
      <c r="C908" s="2"/>
      <c r="D908" s="2"/>
      <c r="F908" s="2"/>
      <c r="H908" s="2"/>
      <c r="I908" s="2"/>
      <c r="J908" s="2"/>
      <c r="M908" s="2"/>
    </row>
    <row r="909" ht="15.75" customHeight="1">
      <c r="A909" s="2"/>
      <c r="C909" s="2"/>
      <c r="D909" s="2"/>
      <c r="F909" s="2"/>
      <c r="H909" s="2"/>
      <c r="I909" s="2"/>
      <c r="J909" s="2"/>
      <c r="M909" s="2"/>
    </row>
    <row r="910" ht="15.75" customHeight="1">
      <c r="A910" s="2"/>
      <c r="C910" s="2"/>
      <c r="D910" s="2"/>
      <c r="F910" s="2"/>
      <c r="H910" s="2"/>
      <c r="I910" s="2"/>
      <c r="J910" s="2"/>
      <c r="M910" s="2"/>
    </row>
    <row r="911" ht="15.75" customHeight="1">
      <c r="A911" s="2"/>
      <c r="C911" s="2"/>
      <c r="D911" s="2"/>
      <c r="F911" s="2"/>
      <c r="H911" s="2"/>
      <c r="I911" s="2"/>
      <c r="J911" s="2"/>
      <c r="M911" s="2"/>
    </row>
    <row r="912" ht="15.75" customHeight="1">
      <c r="A912" s="2"/>
      <c r="C912" s="2"/>
      <c r="D912" s="2"/>
      <c r="F912" s="2"/>
      <c r="H912" s="2"/>
      <c r="I912" s="2"/>
      <c r="J912" s="2"/>
      <c r="M912" s="2"/>
    </row>
    <row r="913" ht="15.75" customHeight="1">
      <c r="A913" s="2"/>
      <c r="C913" s="2"/>
      <c r="D913" s="2"/>
      <c r="F913" s="2"/>
      <c r="H913" s="2"/>
      <c r="I913" s="2"/>
      <c r="J913" s="2"/>
      <c r="M913" s="2"/>
    </row>
    <row r="914" ht="15.75" customHeight="1">
      <c r="A914" s="2"/>
      <c r="C914" s="2"/>
      <c r="D914" s="2"/>
      <c r="F914" s="2"/>
      <c r="H914" s="2"/>
      <c r="I914" s="2"/>
      <c r="J914" s="2"/>
      <c r="M914" s="2"/>
    </row>
    <row r="915" ht="15.75" customHeight="1">
      <c r="A915" s="2"/>
      <c r="C915" s="2"/>
      <c r="D915" s="2"/>
      <c r="F915" s="2"/>
      <c r="H915" s="2"/>
      <c r="I915" s="2"/>
      <c r="J915" s="2"/>
      <c r="M915" s="2"/>
    </row>
    <row r="916" ht="15.75" customHeight="1">
      <c r="A916" s="2"/>
      <c r="C916" s="2"/>
      <c r="D916" s="2"/>
      <c r="F916" s="2"/>
      <c r="H916" s="2"/>
      <c r="I916" s="2"/>
      <c r="J916" s="2"/>
      <c r="M916" s="2"/>
    </row>
    <row r="917" ht="15.75" customHeight="1">
      <c r="A917" s="2"/>
      <c r="C917" s="2"/>
      <c r="D917" s="2"/>
      <c r="F917" s="2"/>
      <c r="H917" s="2"/>
      <c r="I917" s="2"/>
      <c r="J917" s="2"/>
      <c r="M917" s="2"/>
    </row>
    <row r="918" ht="15.75" customHeight="1">
      <c r="A918" s="2"/>
      <c r="C918" s="2"/>
      <c r="D918" s="2"/>
      <c r="F918" s="2"/>
      <c r="H918" s="2"/>
      <c r="I918" s="2"/>
      <c r="J918" s="2"/>
      <c r="M918" s="2"/>
    </row>
    <row r="919" ht="15.75" customHeight="1">
      <c r="A919" s="2"/>
      <c r="C919" s="2"/>
      <c r="D919" s="2"/>
      <c r="F919" s="2"/>
      <c r="H919" s="2"/>
      <c r="I919" s="2"/>
      <c r="J919" s="2"/>
      <c r="M919" s="2"/>
    </row>
    <row r="920" ht="15.75" customHeight="1">
      <c r="A920" s="2"/>
      <c r="C920" s="2"/>
      <c r="D920" s="2"/>
      <c r="F920" s="2"/>
      <c r="H920" s="2"/>
      <c r="I920" s="2"/>
      <c r="J920" s="2"/>
      <c r="M920" s="2"/>
    </row>
    <row r="921" ht="15.75" customHeight="1">
      <c r="A921" s="2"/>
      <c r="C921" s="2"/>
      <c r="D921" s="2"/>
      <c r="F921" s="2"/>
      <c r="H921" s="2"/>
      <c r="I921" s="2"/>
      <c r="J921" s="2"/>
      <c r="M921" s="2"/>
    </row>
    <row r="922" ht="15.75" customHeight="1">
      <c r="A922" s="2"/>
      <c r="C922" s="2"/>
      <c r="D922" s="2"/>
      <c r="F922" s="2"/>
      <c r="H922" s="2"/>
      <c r="I922" s="2"/>
      <c r="J922" s="2"/>
      <c r="M922" s="2"/>
    </row>
    <row r="923" ht="15.75" customHeight="1">
      <c r="A923" s="2"/>
      <c r="C923" s="2"/>
      <c r="D923" s="2"/>
      <c r="F923" s="2"/>
      <c r="H923" s="2"/>
      <c r="I923" s="2"/>
      <c r="J923" s="2"/>
      <c r="M923" s="2"/>
    </row>
    <row r="924" ht="15.75" customHeight="1">
      <c r="A924" s="2"/>
      <c r="C924" s="2"/>
      <c r="D924" s="2"/>
      <c r="F924" s="2"/>
      <c r="H924" s="2"/>
      <c r="I924" s="2"/>
      <c r="J924" s="2"/>
      <c r="M924" s="2"/>
    </row>
    <row r="925" ht="15.75" customHeight="1">
      <c r="A925" s="2"/>
      <c r="C925" s="2"/>
      <c r="D925" s="2"/>
      <c r="F925" s="2"/>
      <c r="H925" s="2"/>
      <c r="I925" s="2"/>
      <c r="J925" s="2"/>
      <c r="M925" s="2"/>
    </row>
    <row r="926" ht="15.75" customHeight="1">
      <c r="A926" s="2"/>
      <c r="C926" s="2"/>
      <c r="D926" s="2"/>
      <c r="F926" s="2"/>
      <c r="H926" s="2"/>
      <c r="I926" s="2"/>
      <c r="J926" s="2"/>
      <c r="M926" s="2"/>
    </row>
    <row r="927" ht="15.75" customHeight="1">
      <c r="A927" s="2"/>
      <c r="C927" s="2"/>
      <c r="D927" s="2"/>
      <c r="F927" s="2"/>
      <c r="H927" s="2"/>
      <c r="I927" s="2"/>
      <c r="J927" s="2"/>
      <c r="M927" s="2"/>
    </row>
    <row r="928" ht="15.75" customHeight="1">
      <c r="A928" s="2"/>
      <c r="C928" s="2"/>
      <c r="D928" s="2"/>
      <c r="F928" s="2"/>
      <c r="H928" s="2"/>
      <c r="I928" s="2"/>
      <c r="J928" s="2"/>
      <c r="M928" s="2"/>
    </row>
    <row r="929" ht="15.75" customHeight="1">
      <c r="A929" s="2"/>
      <c r="C929" s="2"/>
      <c r="D929" s="2"/>
      <c r="F929" s="2"/>
      <c r="H929" s="2"/>
      <c r="I929" s="2"/>
      <c r="J929" s="2"/>
      <c r="M929" s="2"/>
    </row>
    <row r="930" ht="15.75" customHeight="1">
      <c r="A930" s="2"/>
      <c r="C930" s="2"/>
      <c r="D930" s="2"/>
      <c r="F930" s="2"/>
      <c r="H930" s="2"/>
      <c r="I930" s="2"/>
      <c r="J930" s="2"/>
      <c r="M930" s="2"/>
    </row>
    <row r="931" ht="15.75" customHeight="1">
      <c r="A931" s="2"/>
      <c r="C931" s="2"/>
      <c r="D931" s="2"/>
      <c r="F931" s="2"/>
      <c r="H931" s="2"/>
      <c r="I931" s="2"/>
      <c r="J931" s="2"/>
      <c r="M931" s="2"/>
    </row>
    <row r="932" ht="15.75" customHeight="1">
      <c r="A932" s="2"/>
      <c r="C932" s="2"/>
      <c r="D932" s="2"/>
      <c r="F932" s="2"/>
      <c r="H932" s="2"/>
      <c r="I932" s="2"/>
      <c r="J932" s="2"/>
      <c r="M932" s="2"/>
    </row>
    <row r="933" ht="15.75" customHeight="1">
      <c r="A933" s="2"/>
      <c r="C933" s="2"/>
      <c r="D933" s="2"/>
      <c r="F933" s="2"/>
      <c r="H933" s="2"/>
      <c r="I933" s="2"/>
      <c r="J933" s="2"/>
      <c r="M933" s="2"/>
    </row>
    <row r="934" ht="15.75" customHeight="1">
      <c r="A934" s="2"/>
      <c r="C934" s="2"/>
      <c r="D934" s="2"/>
      <c r="F934" s="2"/>
      <c r="H934" s="2"/>
      <c r="I934" s="2"/>
      <c r="J934" s="2"/>
      <c r="M934" s="2"/>
    </row>
    <row r="935" ht="15.75" customHeight="1">
      <c r="A935" s="2"/>
      <c r="C935" s="2"/>
      <c r="D935" s="2"/>
      <c r="F935" s="2"/>
      <c r="H935" s="2"/>
      <c r="I935" s="2"/>
      <c r="J935" s="2"/>
      <c r="M935" s="2"/>
    </row>
    <row r="936" ht="15.75" customHeight="1">
      <c r="A936" s="2"/>
      <c r="C936" s="2"/>
      <c r="D936" s="2"/>
      <c r="F936" s="2"/>
      <c r="H936" s="2"/>
      <c r="I936" s="2"/>
      <c r="J936" s="2"/>
      <c r="M936" s="2"/>
    </row>
    <row r="937" ht="15.75" customHeight="1">
      <c r="A937" s="2"/>
      <c r="C937" s="2"/>
      <c r="D937" s="2"/>
      <c r="F937" s="2"/>
      <c r="H937" s="2"/>
      <c r="I937" s="2"/>
      <c r="J937" s="2"/>
      <c r="M937" s="2"/>
    </row>
    <row r="938" ht="15.75" customHeight="1">
      <c r="A938" s="2"/>
      <c r="C938" s="2"/>
      <c r="D938" s="2"/>
      <c r="F938" s="2"/>
      <c r="H938" s="2"/>
      <c r="I938" s="2"/>
      <c r="J938" s="2"/>
      <c r="M938" s="2"/>
    </row>
    <row r="939" ht="15.75" customHeight="1">
      <c r="A939" s="2"/>
      <c r="C939" s="2"/>
      <c r="D939" s="2"/>
      <c r="F939" s="2"/>
      <c r="H939" s="2"/>
      <c r="I939" s="2"/>
      <c r="J939" s="2"/>
      <c r="M939" s="2"/>
    </row>
    <row r="940" ht="15.75" customHeight="1">
      <c r="A940" s="2"/>
      <c r="C940" s="2"/>
      <c r="D940" s="2"/>
      <c r="F940" s="2"/>
      <c r="H940" s="2"/>
      <c r="I940" s="2"/>
      <c r="J940" s="2"/>
      <c r="M940" s="2"/>
    </row>
    <row r="941" ht="15.75" customHeight="1">
      <c r="A941" s="2"/>
      <c r="C941" s="2"/>
      <c r="D941" s="2"/>
      <c r="F941" s="2"/>
      <c r="H941" s="2"/>
      <c r="I941" s="2"/>
      <c r="J941" s="2"/>
      <c r="M941" s="2"/>
    </row>
    <row r="942" ht="15.75" customHeight="1">
      <c r="A942" s="2"/>
      <c r="C942" s="2"/>
      <c r="D942" s="2"/>
      <c r="F942" s="2"/>
      <c r="H942" s="2"/>
      <c r="I942" s="2"/>
      <c r="J942" s="2"/>
      <c r="M942" s="2"/>
    </row>
    <row r="943" ht="15.75" customHeight="1">
      <c r="A943" s="2"/>
      <c r="C943" s="2"/>
      <c r="D943" s="2"/>
      <c r="F943" s="2"/>
      <c r="H943" s="2"/>
      <c r="I943" s="2"/>
      <c r="J943" s="2"/>
      <c r="M943" s="2"/>
    </row>
    <row r="944" ht="15.75" customHeight="1">
      <c r="A944" s="2"/>
      <c r="C944" s="2"/>
      <c r="D944" s="2"/>
      <c r="F944" s="2"/>
      <c r="H944" s="2"/>
      <c r="I944" s="2"/>
      <c r="J944" s="2"/>
      <c r="M944" s="2"/>
    </row>
    <row r="945" ht="15.75" customHeight="1">
      <c r="A945" s="2"/>
      <c r="C945" s="2"/>
      <c r="D945" s="2"/>
      <c r="F945" s="2"/>
      <c r="H945" s="2"/>
      <c r="I945" s="2"/>
      <c r="J945" s="2"/>
      <c r="M945" s="2"/>
    </row>
    <row r="946" ht="15.75" customHeight="1">
      <c r="A946" s="2"/>
      <c r="C946" s="2"/>
      <c r="D946" s="2"/>
      <c r="F946" s="2"/>
      <c r="H946" s="2"/>
      <c r="I946" s="2"/>
      <c r="J946" s="2"/>
      <c r="M946" s="2"/>
    </row>
    <row r="947" ht="15.75" customHeight="1">
      <c r="A947" s="2"/>
      <c r="C947" s="2"/>
      <c r="D947" s="2"/>
      <c r="F947" s="2"/>
      <c r="H947" s="2"/>
      <c r="I947" s="2"/>
      <c r="J947" s="2"/>
      <c r="M947" s="2"/>
    </row>
    <row r="948" ht="15.75" customHeight="1">
      <c r="A948" s="2"/>
      <c r="C948" s="2"/>
      <c r="D948" s="2"/>
      <c r="F948" s="2"/>
      <c r="H948" s="2"/>
      <c r="I948" s="2"/>
      <c r="J948" s="2"/>
      <c r="M948" s="2"/>
    </row>
    <row r="949" ht="15.75" customHeight="1">
      <c r="A949" s="2"/>
      <c r="C949" s="2"/>
      <c r="D949" s="2"/>
      <c r="F949" s="2"/>
      <c r="H949" s="2"/>
      <c r="I949" s="2"/>
      <c r="J949" s="2"/>
      <c r="M949" s="2"/>
    </row>
    <row r="950" ht="15.75" customHeight="1">
      <c r="A950" s="2"/>
      <c r="C950" s="2"/>
      <c r="D950" s="2"/>
      <c r="F950" s="2"/>
      <c r="H950" s="2"/>
      <c r="I950" s="2"/>
      <c r="J950" s="2"/>
      <c r="M950" s="2"/>
    </row>
    <row r="951" ht="15.75" customHeight="1">
      <c r="A951" s="2"/>
      <c r="C951" s="2"/>
      <c r="D951" s="2"/>
      <c r="F951" s="2"/>
      <c r="H951" s="2"/>
      <c r="I951" s="2"/>
      <c r="J951" s="2"/>
      <c r="M951" s="2"/>
    </row>
    <row r="952" ht="15.75" customHeight="1">
      <c r="A952" s="2"/>
      <c r="C952" s="2"/>
      <c r="D952" s="2"/>
      <c r="F952" s="2"/>
      <c r="H952" s="2"/>
      <c r="I952" s="2"/>
      <c r="J952" s="2"/>
      <c r="M952" s="2"/>
    </row>
    <row r="953" ht="15.75" customHeight="1">
      <c r="A953" s="2"/>
      <c r="C953" s="2"/>
      <c r="D953" s="2"/>
      <c r="F953" s="2"/>
      <c r="H953" s="2"/>
      <c r="I953" s="2"/>
      <c r="J953" s="2"/>
      <c r="M953" s="2"/>
    </row>
    <row r="954" ht="15.75" customHeight="1">
      <c r="A954" s="2"/>
      <c r="C954" s="2"/>
      <c r="D954" s="2"/>
      <c r="F954" s="2"/>
      <c r="H954" s="2"/>
      <c r="I954" s="2"/>
      <c r="J954" s="2"/>
      <c r="M954" s="2"/>
    </row>
    <row r="955" ht="15.75" customHeight="1">
      <c r="A955" s="2"/>
      <c r="C955" s="2"/>
      <c r="D955" s="2"/>
      <c r="F955" s="2"/>
      <c r="H955" s="2"/>
      <c r="I955" s="2"/>
      <c r="J955" s="2"/>
      <c r="M955" s="2"/>
    </row>
    <row r="956" ht="15.75" customHeight="1">
      <c r="A956" s="2"/>
      <c r="C956" s="2"/>
      <c r="D956" s="2"/>
      <c r="F956" s="2"/>
      <c r="H956" s="2"/>
      <c r="I956" s="2"/>
      <c r="J956" s="2"/>
      <c r="M956" s="2"/>
    </row>
    <row r="957" ht="15.75" customHeight="1">
      <c r="A957" s="2"/>
      <c r="C957" s="2"/>
      <c r="D957" s="2"/>
      <c r="F957" s="2"/>
      <c r="H957" s="2"/>
      <c r="I957" s="2"/>
      <c r="J957" s="2"/>
      <c r="M957" s="2"/>
    </row>
    <row r="958" ht="15.75" customHeight="1">
      <c r="A958" s="2"/>
      <c r="C958" s="2"/>
      <c r="D958" s="2"/>
      <c r="F958" s="2"/>
      <c r="H958" s="2"/>
      <c r="I958" s="2"/>
      <c r="J958" s="2"/>
      <c r="M958" s="2"/>
    </row>
    <row r="959" ht="15.75" customHeight="1">
      <c r="A959" s="2"/>
      <c r="C959" s="2"/>
      <c r="D959" s="2"/>
      <c r="F959" s="2"/>
      <c r="H959" s="2"/>
      <c r="I959" s="2"/>
      <c r="J959" s="2"/>
      <c r="M959" s="2"/>
    </row>
    <row r="960" ht="15.75" customHeight="1">
      <c r="A960" s="2"/>
      <c r="C960" s="2"/>
      <c r="D960" s="2"/>
      <c r="F960" s="2"/>
      <c r="H960" s="2"/>
      <c r="I960" s="2"/>
      <c r="J960" s="2"/>
      <c r="M960" s="2"/>
    </row>
    <row r="961" ht="15.75" customHeight="1">
      <c r="A961" s="2"/>
      <c r="C961" s="2"/>
      <c r="D961" s="2"/>
      <c r="F961" s="2"/>
      <c r="H961" s="2"/>
      <c r="I961" s="2"/>
      <c r="J961" s="2"/>
      <c r="M961" s="2"/>
    </row>
    <row r="962" ht="15.75" customHeight="1">
      <c r="A962" s="2"/>
      <c r="C962" s="2"/>
      <c r="D962" s="2"/>
      <c r="F962" s="2"/>
      <c r="H962" s="2"/>
      <c r="I962" s="2"/>
      <c r="J962" s="2"/>
      <c r="M962" s="2"/>
    </row>
    <row r="963" ht="15.75" customHeight="1">
      <c r="A963" s="2"/>
      <c r="C963" s="2"/>
      <c r="D963" s="2"/>
      <c r="F963" s="2"/>
      <c r="H963" s="2"/>
      <c r="I963" s="2"/>
      <c r="J963" s="2"/>
      <c r="M963" s="2"/>
    </row>
    <row r="964" ht="15.75" customHeight="1">
      <c r="A964" s="2"/>
      <c r="C964" s="2"/>
      <c r="D964" s="2"/>
      <c r="F964" s="2"/>
      <c r="H964" s="2"/>
      <c r="I964" s="2"/>
      <c r="J964" s="2"/>
      <c r="M964" s="2"/>
    </row>
    <row r="965" ht="15.75" customHeight="1">
      <c r="A965" s="2"/>
      <c r="C965" s="2"/>
      <c r="D965" s="2"/>
      <c r="F965" s="2"/>
      <c r="H965" s="2"/>
      <c r="I965" s="2"/>
      <c r="J965" s="2"/>
      <c r="M965" s="2"/>
    </row>
    <row r="966" ht="15.75" customHeight="1">
      <c r="A966" s="2"/>
      <c r="C966" s="2"/>
      <c r="D966" s="2"/>
      <c r="F966" s="2"/>
      <c r="H966" s="2"/>
      <c r="I966" s="2"/>
      <c r="J966" s="2"/>
      <c r="M966" s="2"/>
    </row>
    <row r="967" ht="15.75" customHeight="1">
      <c r="A967" s="2"/>
      <c r="C967" s="2"/>
      <c r="D967" s="2"/>
      <c r="F967" s="2"/>
      <c r="H967" s="2"/>
      <c r="I967" s="2"/>
      <c r="J967" s="2"/>
      <c r="M967" s="2"/>
    </row>
    <row r="968" ht="15.75" customHeight="1">
      <c r="A968" s="2"/>
      <c r="C968" s="2"/>
      <c r="D968" s="2"/>
      <c r="F968" s="2"/>
      <c r="H968" s="2"/>
      <c r="I968" s="2"/>
      <c r="J968" s="2"/>
      <c r="M968" s="2"/>
    </row>
    <row r="969" ht="15.75" customHeight="1">
      <c r="A969" s="2"/>
      <c r="C969" s="2"/>
      <c r="D969" s="2"/>
      <c r="F969" s="2"/>
      <c r="H969" s="2"/>
      <c r="I969" s="2"/>
      <c r="J969" s="2"/>
      <c r="M969" s="2"/>
    </row>
    <row r="970" ht="15.75" customHeight="1">
      <c r="A970" s="2"/>
      <c r="C970" s="2"/>
      <c r="D970" s="2"/>
      <c r="F970" s="2"/>
      <c r="H970" s="2"/>
      <c r="I970" s="2"/>
      <c r="J970" s="2"/>
      <c r="M970" s="2"/>
    </row>
    <row r="971" ht="15.75" customHeight="1">
      <c r="A971" s="2"/>
      <c r="C971" s="2"/>
      <c r="D971" s="2"/>
      <c r="F971" s="2"/>
      <c r="H971" s="2"/>
      <c r="I971" s="2"/>
      <c r="J971" s="2"/>
      <c r="M971" s="2"/>
    </row>
    <row r="972" ht="15.75" customHeight="1">
      <c r="A972" s="2"/>
      <c r="C972" s="2"/>
      <c r="D972" s="2"/>
      <c r="F972" s="2"/>
      <c r="H972" s="2"/>
      <c r="I972" s="2"/>
      <c r="J972" s="2"/>
      <c r="M972" s="2"/>
    </row>
    <row r="973" ht="15.75" customHeight="1">
      <c r="A973" s="2"/>
      <c r="C973" s="2"/>
      <c r="D973" s="2"/>
      <c r="F973" s="2"/>
      <c r="H973" s="2"/>
      <c r="I973" s="2"/>
      <c r="J973" s="2"/>
      <c r="M973" s="2"/>
    </row>
    <row r="974" ht="15.75" customHeight="1">
      <c r="A974" s="2"/>
      <c r="C974" s="2"/>
      <c r="D974" s="2"/>
      <c r="F974" s="2"/>
      <c r="H974" s="2"/>
      <c r="I974" s="2"/>
      <c r="J974" s="2"/>
      <c r="M974" s="2"/>
    </row>
    <row r="975" ht="15.75" customHeight="1">
      <c r="A975" s="2"/>
      <c r="C975" s="2"/>
      <c r="D975" s="2"/>
      <c r="F975" s="2"/>
      <c r="H975" s="2"/>
      <c r="I975" s="2"/>
      <c r="J975" s="2"/>
      <c r="M975" s="2"/>
    </row>
    <row r="976" ht="15.75" customHeight="1">
      <c r="A976" s="2"/>
      <c r="C976" s="2"/>
      <c r="D976" s="2"/>
      <c r="F976" s="2"/>
      <c r="H976" s="2"/>
      <c r="I976" s="2"/>
      <c r="J976" s="2"/>
      <c r="M976" s="2"/>
    </row>
    <row r="977" ht="15.75" customHeight="1">
      <c r="A977" s="2"/>
      <c r="C977" s="2"/>
      <c r="D977" s="2"/>
      <c r="F977" s="2"/>
      <c r="H977" s="2"/>
      <c r="I977" s="2"/>
      <c r="J977" s="2"/>
      <c r="M977" s="2"/>
    </row>
    <row r="978" ht="15.75" customHeight="1">
      <c r="A978" s="2"/>
      <c r="C978" s="2"/>
      <c r="D978" s="2"/>
      <c r="F978" s="2"/>
      <c r="H978" s="2"/>
      <c r="I978" s="2"/>
      <c r="J978" s="2"/>
      <c r="M978" s="2"/>
    </row>
    <row r="979" ht="15.75" customHeight="1">
      <c r="A979" s="2"/>
      <c r="C979" s="2"/>
      <c r="D979" s="2"/>
      <c r="F979" s="2"/>
      <c r="H979" s="2"/>
      <c r="I979" s="2"/>
      <c r="J979" s="2"/>
      <c r="M979" s="2"/>
    </row>
    <row r="980" ht="15.75" customHeight="1">
      <c r="A980" s="2"/>
      <c r="C980" s="2"/>
      <c r="D980" s="2"/>
      <c r="F980" s="2"/>
      <c r="H980" s="2"/>
      <c r="I980" s="2"/>
      <c r="J980" s="2"/>
      <c r="M980" s="2"/>
    </row>
    <row r="981" ht="15.75" customHeight="1">
      <c r="A981" s="2"/>
      <c r="C981" s="2"/>
      <c r="D981" s="2"/>
      <c r="F981" s="2"/>
      <c r="H981" s="2"/>
      <c r="I981" s="2"/>
      <c r="J981" s="2"/>
      <c r="M981" s="2"/>
    </row>
    <row r="982" ht="15.75" customHeight="1">
      <c r="A982" s="2"/>
      <c r="C982" s="2"/>
      <c r="D982" s="2"/>
      <c r="F982" s="2"/>
      <c r="H982" s="2"/>
      <c r="I982" s="2"/>
      <c r="J982" s="2"/>
      <c r="M982" s="2"/>
    </row>
    <row r="983" ht="15.75" customHeight="1">
      <c r="A983" s="2"/>
      <c r="C983" s="2"/>
      <c r="D983" s="2"/>
      <c r="F983" s="2"/>
      <c r="H983" s="2"/>
      <c r="I983" s="2"/>
      <c r="J983" s="2"/>
      <c r="M983" s="2"/>
    </row>
    <row r="984" ht="15.75" customHeight="1">
      <c r="A984" s="2"/>
      <c r="C984" s="2"/>
      <c r="D984" s="2"/>
      <c r="F984" s="2"/>
      <c r="H984" s="2"/>
      <c r="I984" s="2"/>
      <c r="J984" s="2"/>
      <c r="M984" s="2"/>
    </row>
    <row r="985" ht="15.75" customHeight="1">
      <c r="A985" s="2"/>
      <c r="C985" s="2"/>
      <c r="D985" s="2"/>
      <c r="F985" s="2"/>
      <c r="H985" s="2"/>
      <c r="I985" s="2"/>
      <c r="J985" s="2"/>
      <c r="M985" s="2"/>
    </row>
    <row r="986" ht="15.75" customHeight="1">
      <c r="A986" s="2"/>
      <c r="C986" s="2"/>
      <c r="D986" s="2"/>
      <c r="F986" s="2"/>
      <c r="H986" s="2"/>
      <c r="I986" s="2"/>
      <c r="J986" s="2"/>
      <c r="M986" s="2"/>
    </row>
    <row r="987" ht="15.75" customHeight="1">
      <c r="A987" s="2"/>
      <c r="C987" s="2"/>
      <c r="D987" s="2"/>
      <c r="F987" s="2"/>
      <c r="H987" s="2"/>
      <c r="I987" s="2"/>
      <c r="J987" s="2"/>
      <c r="M987" s="2"/>
    </row>
    <row r="988" ht="15.75" customHeight="1">
      <c r="A988" s="2"/>
      <c r="C988" s="2"/>
      <c r="D988" s="2"/>
      <c r="F988" s="2"/>
      <c r="H988" s="2"/>
      <c r="I988" s="2"/>
      <c r="J988" s="2"/>
      <c r="M988" s="2"/>
    </row>
    <row r="989" ht="15.75" customHeight="1">
      <c r="A989" s="2"/>
      <c r="C989" s="2"/>
      <c r="D989" s="2"/>
      <c r="F989" s="2"/>
      <c r="H989" s="2"/>
      <c r="I989" s="2"/>
      <c r="J989" s="2"/>
      <c r="M989" s="2"/>
    </row>
    <row r="990" ht="15.75" customHeight="1">
      <c r="A990" s="2"/>
      <c r="C990" s="2"/>
      <c r="D990" s="2"/>
      <c r="F990" s="2"/>
      <c r="H990" s="2"/>
      <c r="I990" s="2"/>
      <c r="J990" s="2"/>
      <c r="M990" s="2"/>
    </row>
    <row r="991" ht="15.75" customHeight="1">
      <c r="A991" s="2"/>
      <c r="C991" s="2"/>
      <c r="D991" s="2"/>
      <c r="F991" s="2"/>
      <c r="H991" s="2"/>
      <c r="I991" s="2"/>
      <c r="J991" s="2"/>
      <c r="M991" s="2"/>
    </row>
    <row r="992" ht="15.75" customHeight="1">
      <c r="A992" s="2"/>
      <c r="C992" s="2"/>
      <c r="D992" s="2"/>
      <c r="F992" s="2"/>
      <c r="H992" s="2"/>
      <c r="I992" s="2"/>
      <c r="J992" s="2"/>
      <c r="M992" s="2"/>
    </row>
    <row r="993" ht="15.75" customHeight="1">
      <c r="A993" s="2"/>
      <c r="C993" s="2"/>
      <c r="D993" s="2"/>
      <c r="F993" s="2"/>
      <c r="H993" s="2"/>
      <c r="I993" s="2"/>
      <c r="J993" s="2"/>
      <c r="M993" s="2"/>
    </row>
    <row r="994" ht="15.75" customHeight="1">
      <c r="A994" s="2"/>
      <c r="C994" s="2"/>
      <c r="D994" s="2"/>
      <c r="F994" s="2"/>
      <c r="H994" s="2"/>
      <c r="I994" s="2"/>
      <c r="J994" s="2"/>
      <c r="M994" s="2"/>
    </row>
    <row r="995" ht="15.75" customHeight="1">
      <c r="A995" s="2"/>
      <c r="C995" s="2"/>
      <c r="D995" s="2"/>
      <c r="F995" s="2"/>
      <c r="H995" s="2"/>
      <c r="I995" s="2"/>
      <c r="J995" s="2"/>
      <c r="M995" s="2"/>
    </row>
    <row r="996" ht="15.75" customHeight="1">
      <c r="A996" s="2"/>
      <c r="C996" s="2"/>
      <c r="D996" s="2"/>
      <c r="F996" s="2"/>
      <c r="H996" s="2"/>
      <c r="I996" s="2"/>
      <c r="J996" s="2"/>
      <c r="M996" s="2"/>
    </row>
    <row r="997" ht="15.75" customHeight="1">
      <c r="A997" s="2"/>
      <c r="C997" s="2"/>
      <c r="D997" s="2"/>
      <c r="F997" s="2"/>
      <c r="H997" s="2"/>
      <c r="I997" s="2"/>
      <c r="J997" s="2"/>
      <c r="M997" s="2"/>
    </row>
    <row r="998" ht="15.75" customHeight="1">
      <c r="A998" s="2"/>
      <c r="C998" s="2"/>
      <c r="D998" s="2"/>
      <c r="F998" s="2"/>
      <c r="H998" s="2"/>
      <c r="I998" s="2"/>
      <c r="J998" s="2"/>
      <c r="M998" s="2"/>
    </row>
    <row r="999" ht="15.75" customHeight="1">
      <c r="A999" s="2"/>
      <c r="C999" s="2"/>
      <c r="D999" s="2"/>
      <c r="F999" s="2"/>
      <c r="H999" s="2"/>
      <c r="I999" s="2"/>
      <c r="J999" s="2"/>
      <c r="M999" s="2"/>
    </row>
    <row r="1000" ht="15.75" customHeight="1">
      <c r="A1000" s="2"/>
      <c r="C1000" s="2"/>
      <c r="D1000" s="2"/>
      <c r="F1000" s="2"/>
      <c r="H1000" s="2"/>
      <c r="I1000" s="2"/>
      <c r="J1000" s="2"/>
      <c r="M1000" s="2"/>
    </row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271</v>
      </c>
      <c r="B1" s="2"/>
    </row>
    <row r="2" ht="39.75" customHeight="1">
      <c r="A2" s="10" t="s">
        <v>272</v>
      </c>
      <c r="B2" s="2"/>
    </row>
    <row r="3">
      <c r="B3" s="2"/>
    </row>
    <row r="4" ht="15.0" customHeight="1">
      <c r="A4" s="4" t="s">
        <v>273</v>
      </c>
      <c r="B4" s="2"/>
    </row>
    <row r="5" ht="15.0" customHeight="1">
      <c r="A5" s="2" t="s">
        <v>274</v>
      </c>
      <c r="B5" s="2">
        <f>SUMPRODUCT((DQStatus="BLOCKED")*(DQWeek=CurrentWeek))</f>
        <v>0</v>
      </c>
    </row>
    <row r="6" ht="15.0" customHeight="1">
      <c r="A6" s="2" t="s">
        <v>275</v>
      </c>
      <c r="B6" s="2">
        <f>SUMPRODUCT((DQStatus="WARNING")*(DQWeek=CurrentWeek))</f>
        <v>0</v>
      </c>
    </row>
    <row r="7" ht="15.0" customHeight="1">
      <c r="A7" s="2" t="s">
        <v>276</v>
      </c>
      <c r="B7" s="2">
        <f>SUMPRODUCT(CLUnmatched)</f>
        <v>0</v>
      </c>
    </row>
    <row r="8" ht="15.0" customHeight="1">
      <c r="A8" s="2" t="s">
        <v>277</v>
      </c>
      <c r="B8" s="2" t="str">
        <f>ABS(CALC!$B$42)</f>
        <v>#DIV/0!</v>
      </c>
    </row>
    <row r="9" ht="15.0" customHeight="1">
      <c r="A9" s="2" t="s">
        <v>278</v>
      </c>
      <c r="B9" s="2">
        <f>COUNTIF(CalcGoverned,"&gt;"&amp;RatingRange)+COUNTIF(CalcGoverned,"&lt;"&amp;(-RatingRange))</f>
        <v>0</v>
      </c>
    </row>
    <row r="10">
      <c r="B10" s="2"/>
    </row>
    <row r="11" ht="53.25" customHeight="1">
      <c r="A11" s="5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279</v>
      </c>
      <c r="G11" s="5" t="s">
        <v>280</v>
      </c>
      <c r="H11" s="5" t="s">
        <v>281</v>
      </c>
      <c r="I11" s="5" t="s">
        <v>282</v>
      </c>
      <c r="J11" s="5" t="s">
        <v>283</v>
      </c>
      <c r="K11" s="5" t="s">
        <v>284</v>
      </c>
      <c r="L11" s="5" t="s">
        <v>285</v>
      </c>
      <c r="M11" s="5" t="s">
        <v>286</v>
      </c>
      <c r="N11" s="5" t="s">
        <v>287</v>
      </c>
      <c r="O11" s="5" t="s">
        <v>288</v>
      </c>
      <c r="P11" s="5" t="s">
        <v>289</v>
      </c>
    </row>
    <row r="12" ht="15.0" customHeight="1">
      <c r="A12" s="2">
        <v>1.0</v>
      </c>
      <c r="B12" s="2" t="str">
        <f t="array" ref="B12">IFERROR(INDEX(SchedZone,MATCH($A12,SchedSeq,0),MAP!$B$6),"")</f>
        <v>2026_01_NE_SEA</v>
      </c>
      <c r="C12" s="2">
        <f t="array" ref="C12">IF($B12="","",INDEX(SchedZone,MATCH($A12,SchedSeq,0),MAP!$B$4))</f>
        <v>1</v>
      </c>
      <c r="D12" s="2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2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2" t="str">
        <f>IF($B12="","",IF(COUNTIF(EngGameID,$B12)&gt;1,"DUP",""))</f>
        <v/>
      </c>
      <c r="G12" s="2" t="str">
        <f>IF($B12="","",IF(OR(COUNTIFS(EngWeek,$C12,EngAway,$D12)+COUNTIFS(EngWeek,$C12,EngHome,$D12)&gt;1,COUNTIFS(EngWeek,$C12,EngAway,$E12)+COUNTIFS(EngWeek,$C12,EngHome,$E12)&gt;1),"DUP",""))</f>
        <v/>
      </c>
      <c r="H12" s="2" t="str">
        <f>IF($B12="","",IF(OR(SUMPRODUCT((CLGameID=$B12)*CLUnmatched)&gt;0,LEFT($D12,1)="⚠",LEFT($E12,1)="⚠"),"UNMATCHED",""))</f>
        <v/>
      </c>
      <c r="I12" s="2" t="str">
        <f t="array" ref="I12">IF($B12="","",IF(OR(NOT(ISNUMBER(IFERROR(INDEX(RatEff,MATCH($D12,RatTeams,0)),"x"))),NOT(ISNUMBER(IFERROR(INDEX(RatEff,MATCH($E12,RatTeams,0)),"x")))),"MISSING",""))</f>
        <v/>
      </c>
      <c r="J12" s="2" t="str">
        <f>IF($B12="","",IF(SUMPRODUCT((CLGameID=$B12)*CLPlayed*(CLUseCur+CLUsePrev&gt;0)*(CLPlays=0))&gt;0,"MISSING",""))</f>
        <v/>
      </c>
      <c r="K12" s="2" t="str">
        <f>IF($B12="","",IF(SUMPRODUCT((CLGameID=$B12)*CLPlayed*((CLOffPts&lt;-20)+(CLOffPts&gt;90)))&gt;0,"CHECK",""))</f>
        <v/>
      </c>
      <c r="L12" s="2" t="str">
        <f t="array" ref="L12">IF($B12="","",IF(OR(ABS(IFERROR(INDEX(RatEff,MATCH($D12,RatTeams,0)),0))&gt;RatingRange,ABS(IFERROR(INDEX(RatEff,MATCH($E12,RatTeams,0)),0))&gt;RatingRange),"RANGE",""))</f>
        <v/>
      </c>
      <c r="M12" s="2" t="str">
        <f t="array" ref="M12">IF($B12="","",IF(OR(IFERROR(INDEX(CalcMoveFlag,MATCH($D12,CalcTeams,0)),"")="CAPPED",IFERROR(INDEX(CalcMoveFlag,MATCH($E12,CalcTeams,0)),"")="CAPPED"),"CAPPED",""))</f>
        <v/>
      </c>
      <c r="N12" s="2" t="str">
        <f>IF($B12="","",IF(ABS(SUMIFS(AdjSpread,AdjGameID,$B12,AdjActive,1))&gt;AdjCap,"LARGE",""))</f>
        <v/>
      </c>
      <c r="O12" s="2" t="str">
        <f t="array" ref="O12">IF($B12="","",IFERROR(INDEX(MktStale,MATCH($B12,MktGameID,0)),""))</f>
        <v/>
      </c>
      <c r="P12" s="2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2">
        <v>2.0</v>
      </c>
      <c r="B13" s="2" t="str">
        <f t="array" ref="B13">IFERROR(INDEX(SchedZone,MATCH($A13,SchedSeq,0),MAP!$B$6),"")</f>
        <v>2026_01_SF_LA</v>
      </c>
      <c r="C13" s="2">
        <f t="array" ref="C13">IF($B13="","",INDEX(SchedZone,MATCH($A13,SchedSeq,0),MAP!$B$4))</f>
        <v>1</v>
      </c>
      <c r="D13" s="2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2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2" t="str">
        <f>IF($B13="","",IF(COUNTIF(EngGameID,$B13)&gt;1,"DUP",""))</f>
        <v/>
      </c>
      <c r="G13" s="2" t="str">
        <f>IF($B13="","",IF(OR(COUNTIFS(EngWeek,$C13,EngAway,$D13)+COUNTIFS(EngWeek,$C13,EngHome,$D13)&gt;1,COUNTIFS(EngWeek,$C13,EngAway,$E13)+COUNTIFS(EngWeek,$C13,EngHome,$E13)&gt;1),"DUP",""))</f>
        <v/>
      </c>
      <c r="H13" s="2" t="str">
        <f>IF($B13="","",IF(OR(SUMPRODUCT((CLGameID=$B13)*CLUnmatched)&gt;0,LEFT($D13,1)="⚠",LEFT($E13,1)="⚠"),"UNMATCHED",""))</f>
        <v/>
      </c>
      <c r="I13" s="2" t="str">
        <f t="array" ref="I13">IF($B13="","",IF(OR(NOT(ISNUMBER(IFERROR(INDEX(RatEff,MATCH($D13,RatTeams,0)),"x"))),NOT(ISNUMBER(IFERROR(INDEX(RatEff,MATCH($E13,RatTeams,0)),"x")))),"MISSING",""))</f>
        <v/>
      </c>
      <c r="J13" s="2" t="str">
        <f>IF($B13="","",IF(SUMPRODUCT((CLGameID=$B13)*CLPlayed*(CLUseCur+CLUsePrev&gt;0)*(CLPlays=0))&gt;0,"MISSING",""))</f>
        <v/>
      </c>
      <c r="K13" s="2" t="str">
        <f>IF($B13="","",IF(SUMPRODUCT((CLGameID=$B13)*CLPlayed*((CLOffPts&lt;-20)+(CLOffPts&gt;90)))&gt;0,"CHECK",""))</f>
        <v/>
      </c>
      <c r="L13" s="2" t="str">
        <f t="array" ref="L13">IF($B13="","",IF(OR(ABS(IFERROR(INDEX(RatEff,MATCH($D13,RatTeams,0)),0))&gt;RatingRange,ABS(IFERROR(INDEX(RatEff,MATCH($E13,RatTeams,0)),0))&gt;RatingRange),"RANGE",""))</f>
        <v/>
      </c>
      <c r="M13" s="2" t="str">
        <f t="array" ref="M13">IF($B13="","",IF(OR(IFERROR(INDEX(CalcMoveFlag,MATCH($D13,CalcTeams,0)),"")="CAPPED",IFERROR(INDEX(CalcMoveFlag,MATCH($E13,CalcTeams,0)),"")="CAPPED"),"CAPPED",""))</f>
        <v/>
      </c>
      <c r="N13" s="2" t="str">
        <f>IF($B13="","",IF(ABS(SUMIFS(AdjSpread,AdjGameID,$B13,AdjActive,1))&gt;AdjCap,"LARGE",""))</f>
        <v/>
      </c>
      <c r="O13" s="2" t="str">
        <f t="array" ref="O13">IF($B13="","",IFERROR(INDEX(MktStale,MATCH($B13,MktGameID,0)),""))</f>
        <v/>
      </c>
      <c r="P13" s="2" t="str">
        <f t="shared" si="1"/>
        <v>READY</v>
      </c>
    </row>
    <row r="14" ht="15.0" customHeight="1">
      <c r="A14" s="2">
        <v>3.0</v>
      </c>
      <c r="B14" s="2" t="str">
        <f t="array" ref="B14">IFERROR(INDEX(SchedZone,MATCH($A14,SchedSeq,0),MAP!$B$6),"")</f>
        <v>2026_01_CHI_CAR</v>
      </c>
      <c r="C14" s="2">
        <f t="array" ref="C14">IF($B14="","",INDEX(SchedZone,MATCH($A14,SchedSeq,0),MAP!$B$4))</f>
        <v>1</v>
      </c>
      <c r="D14" s="2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2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2" t="str">
        <f>IF($B14="","",IF(COUNTIF(EngGameID,$B14)&gt;1,"DUP",""))</f>
        <v/>
      </c>
      <c r="G14" s="2" t="str">
        <f>IF($B14="","",IF(OR(COUNTIFS(EngWeek,$C14,EngAway,$D14)+COUNTIFS(EngWeek,$C14,EngHome,$D14)&gt;1,COUNTIFS(EngWeek,$C14,EngAway,$E14)+COUNTIFS(EngWeek,$C14,EngHome,$E14)&gt;1),"DUP",""))</f>
        <v/>
      </c>
      <c r="H14" s="2" t="str">
        <f>IF($B14="","",IF(OR(SUMPRODUCT((CLGameID=$B14)*CLUnmatched)&gt;0,LEFT($D14,1)="⚠",LEFT($E14,1)="⚠"),"UNMATCHED",""))</f>
        <v/>
      </c>
      <c r="I14" s="2" t="str">
        <f t="array" ref="I14">IF($B14="","",IF(OR(NOT(ISNUMBER(IFERROR(INDEX(RatEff,MATCH($D14,RatTeams,0)),"x"))),NOT(ISNUMBER(IFERROR(INDEX(RatEff,MATCH($E14,RatTeams,0)),"x")))),"MISSING",""))</f>
        <v/>
      </c>
      <c r="J14" s="2" t="str">
        <f>IF($B14="","",IF(SUMPRODUCT((CLGameID=$B14)*CLPlayed*(CLUseCur+CLUsePrev&gt;0)*(CLPlays=0))&gt;0,"MISSING",""))</f>
        <v/>
      </c>
      <c r="K14" s="2" t="str">
        <f>IF($B14="","",IF(SUMPRODUCT((CLGameID=$B14)*CLPlayed*((CLOffPts&lt;-20)+(CLOffPts&gt;90)))&gt;0,"CHECK",""))</f>
        <v/>
      </c>
      <c r="L14" s="2" t="str">
        <f t="array" ref="L14">IF($B14="","",IF(OR(ABS(IFERROR(INDEX(RatEff,MATCH($D14,RatTeams,0)),0))&gt;RatingRange,ABS(IFERROR(INDEX(RatEff,MATCH($E14,RatTeams,0)),0))&gt;RatingRange),"RANGE",""))</f>
        <v/>
      </c>
      <c r="M14" s="2" t="str">
        <f t="array" ref="M14">IF($B14="","",IF(OR(IFERROR(INDEX(CalcMoveFlag,MATCH($D14,CalcTeams,0)),"")="CAPPED",IFERROR(INDEX(CalcMoveFlag,MATCH($E14,CalcTeams,0)),"")="CAPPED"),"CAPPED",""))</f>
        <v/>
      </c>
      <c r="N14" s="2" t="str">
        <f>IF($B14="","",IF(ABS(SUMIFS(AdjSpread,AdjGameID,$B14,AdjActive,1))&gt;AdjCap,"LARGE",""))</f>
        <v/>
      </c>
      <c r="O14" s="2" t="str">
        <f t="array" ref="O14">IF($B14="","",IFERROR(INDEX(MktStale,MATCH($B14,MktGameID,0)),""))</f>
        <v/>
      </c>
      <c r="P14" s="2" t="str">
        <f t="shared" si="1"/>
        <v>READY</v>
      </c>
    </row>
    <row r="15" ht="15.0" customHeight="1">
      <c r="A15" s="2">
        <v>4.0</v>
      </c>
      <c r="B15" s="2" t="str">
        <f t="array" ref="B15">IFERROR(INDEX(SchedZone,MATCH($A15,SchedSeq,0),MAP!$B$6),"")</f>
        <v>2026_01_TB_CIN</v>
      </c>
      <c r="C15" s="2">
        <f t="array" ref="C15">IF($B15="","",INDEX(SchedZone,MATCH($A15,SchedSeq,0),MAP!$B$4))</f>
        <v>1</v>
      </c>
      <c r="D15" s="2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2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2" t="str">
        <f>IF($B15="","",IF(COUNTIF(EngGameID,$B15)&gt;1,"DUP",""))</f>
        <v/>
      </c>
      <c r="G15" s="2" t="str">
        <f>IF($B15="","",IF(OR(COUNTIFS(EngWeek,$C15,EngAway,$D15)+COUNTIFS(EngWeek,$C15,EngHome,$D15)&gt;1,COUNTIFS(EngWeek,$C15,EngAway,$E15)+COUNTIFS(EngWeek,$C15,EngHome,$E15)&gt;1),"DUP",""))</f>
        <v/>
      </c>
      <c r="H15" s="2" t="str">
        <f>IF($B15="","",IF(OR(SUMPRODUCT((CLGameID=$B15)*CLUnmatched)&gt;0,LEFT($D15,1)="⚠",LEFT($E15,1)="⚠"),"UNMATCHED",""))</f>
        <v/>
      </c>
      <c r="I15" s="2" t="str">
        <f t="array" ref="I15">IF($B15="","",IF(OR(NOT(ISNUMBER(IFERROR(INDEX(RatEff,MATCH($D15,RatTeams,0)),"x"))),NOT(ISNUMBER(IFERROR(INDEX(RatEff,MATCH($E15,RatTeams,0)),"x")))),"MISSING",""))</f>
        <v/>
      </c>
      <c r="J15" s="2" t="str">
        <f>IF($B15="","",IF(SUMPRODUCT((CLGameID=$B15)*CLPlayed*(CLUseCur+CLUsePrev&gt;0)*(CLPlays=0))&gt;0,"MISSING",""))</f>
        <v/>
      </c>
      <c r="K15" s="2" t="str">
        <f>IF($B15="","",IF(SUMPRODUCT((CLGameID=$B15)*CLPlayed*((CLOffPts&lt;-20)+(CLOffPts&gt;90)))&gt;0,"CHECK",""))</f>
        <v/>
      </c>
      <c r="L15" s="2" t="str">
        <f t="array" ref="L15">IF($B15="","",IF(OR(ABS(IFERROR(INDEX(RatEff,MATCH($D15,RatTeams,0)),0))&gt;RatingRange,ABS(IFERROR(INDEX(RatEff,MATCH($E15,RatTeams,0)),0))&gt;RatingRange),"RANGE",""))</f>
        <v/>
      </c>
      <c r="M15" s="2" t="str">
        <f t="array" ref="M15">IF($B15="","",IF(OR(IFERROR(INDEX(CalcMoveFlag,MATCH($D15,CalcTeams,0)),"")="CAPPED",IFERROR(INDEX(CalcMoveFlag,MATCH($E15,CalcTeams,0)),"")="CAPPED"),"CAPPED",""))</f>
        <v/>
      </c>
      <c r="N15" s="2" t="str">
        <f>IF($B15="","",IF(ABS(SUMIFS(AdjSpread,AdjGameID,$B15,AdjActive,1))&gt;AdjCap,"LARGE",""))</f>
        <v/>
      </c>
      <c r="O15" s="2" t="str">
        <f t="array" ref="O15">IF($B15="","",IFERROR(INDEX(MktStale,MATCH($B15,MktGameID,0)),""))</f>
        <v/>
      </c>
      <c r="P15" s="2" t="str">
        <f t="shared" si="1"/>
        <v>READY</v>
      </c>
    </row>
    <row r="16" ht="15.0" customHeight="1">
      <c r="A16" s="2">
        <v>5.0</v>
      </c>
      <c r="B16" s="2" t="str">
        <f t="array" ref="B16">IFERROR(INDEX(SchedZone,MATCH($A16,SchedSeq,0),MAP!$B$6),"")</f>
        <v>2026_01_NO_DET</v>
      </c>
      <c r="C16" s="2">
        <f t="array" ref="C16">IF($B16="","",INDEX(SchedZone,MATCH($A16,SchedSeq,0),MAP!$B$4))</f>
        <v>1</v>
      </c>
      <c r="D16" s="2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2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2" t="str">
        <f>IF($B16="","",IF(COUNTIF(EngGameID,$B16)&gt;1,"DUP",""))</f>
        <v/>
      </c>
      <c r="G16" s="2" t="str">
        <f>IF($B16="","",IF(OR(COUNTIFS(EngWeek,$C16,EngAway,$D16)+COUNTIFS(EngWeek,$C16,EngHome,$D16)&gt;1,COUNTIFS(EngWeek,$C16,EngAway,$E16)+COUNTIFS(EngWeek,$C16,EngHome,$E16)&gt;1),"DUP",""))</f>
        <v/>
      </c>
      <c r="H16" s="2" t="str">
        <f>IF($B16="","",IF(OR(SUMPRODUCT((CLGameID=$B16)*CLUnmatched)&gt;0,LEFT($D16,1)="⚠",LEFT($E16,1)="⚠"),"UNMATCHED",""))</f>
        <v/>
      </c>
      <c r="I16" s="2" t="str">
        <f t="array" ref="I16">IF($B16="","",IF(OR(NOT(ISNUMBER(IFERROR(INDEX(RatEff,MATCH($D16,RatTeams,0)),"x"))),NOT(ISNUMBER(IFERROR(INDEX(RatEff,MATCH($E16,RatTeams,0)),"x")))),"MISSING",""))</f>
        <v/>
      </c>
      <c r="J16" s="2" t="str">
        <f>IF($B16="","",IF(SUMPRODUCT((CLGameID=$B16)*CLPlayed*(CLUseCur+CLUsePrev&gt;0)*(CLPlays=0))&gt;0,"MISSING",""))</f>
        <v/>
      </c>
      <c r="K16" s="2" t="str">
        <f>IF($B16="","",IF(SUMPRODUCT((CLGameID=$B16)*CLPlayed*((CLOffPts&lt;-20)+(CLOffPts&gt;90)))&gt;0,"CHECK",""))</f>
        <v/>
      </c>
      <c r="L16" s="2" t="str">
        <f t="array" ref="L16">IF($B16="","",IF(OR(ABS(IFERROR(INDEX(RatEff,MATCH($D16,RatTeams,0)),0))&gt;RatingRange,ABS(IFERROR(INDEX(RatEff,MATCH($E16,RatTeams,0)),0))&gt;RatingRange),"RANGE",""))</f>
        <v/>
      </c>
      <c r="M16" s="2" t="str">
        <f t="array" ref="M16">IF($B16="","",IF(OR(IFERROR(INDEX(CalcMoveFlag,MATCH($D16,CalcTeams,0)),"")="CAPPED",IFERROR(INDEX(CalcMoveFlag,MATCH($E16,CalcTeams,0)),"")="CAPPED"),"CAPPED",""))</f>
        <v/>
      </c>
      <c r="N16" s="2" t="str">
        <f>IF($B16="","",IF(ABS(SUMIFS(AdjSpread,AdjGameID,$B16,AdjActive,1))&gt;AdjCap,"LARGE",""))</f>
        <v/>
      </c>
      <c r="O16" s="2" t="str">
        <f t="array" ref="O16">IF($B16="","",IFERROR(INDEX(MktStale,MATCH($B16,MktGameID,0)),""))</f>
        <v/>
      </c>
      <c r="P16" s="2" t="str">
        <f t="shared" si="1"/>
        <v>READY</v>
      </c>
    </row>
    <row r="17" ht="15.0" customHeight="1">
      <c r="A17" s="2">
        <v>6.0</v>
      </c>
      <c r="B17" s="2" t="str">
        <f t="array" ref="B17">IFERROR(INDEX(SchedZone,MATCH($A17,SchedSeq,0),MAP!$B$6),"")</f>
        <v>2026_01_BUF_HOU</v>
      </c>
      <c r="C17" s="2">
        <f t="array" ref="C17">IF($B17="","",INDEX(SchedZone,MATCH($A17,SchedSeq,0),MAP!$B$4))</f>
        <v>1</v>
      </c>
      <c r="D17" s="2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2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2" t="str">
        <f>IF($B17="","",IF(COUNTIF(EngGameID,$B17)&gt;1,"DUP",""))</f>
        <v/>
      </c>
      <c r="G17" s="2" t="str">
        <f>IF($B17="","",IF(OR(COUNTIFS(EngWeek,$C17,EngAway,$D17)+COUNTIFS(EngWeek,$C17,EngHome,$D17)&gt;1,COUNTIFS(EngWeek,$C17,EngAway,$E17)+COUNTIFS(EngWeek,$C17,EngHome,$E17)&gt;1),"DUP",""))</f>
        <v/>
      </c>
      <c r="H17" s="2" t="str">
        <f>IF($B17="","",IF(OR(SUMPRODUCT((CLGameID=$B17)*CLUnmatched)&gt;0,LEFT($D17,1)="⚠",LEFT($E17,1)="⚠"),"UNMATCHED",""))</f>
        <v/>
      </c>
      <c r="I17" s="2" t="str">
        <f t="array" ref="I17">IF($B17="","",IF(OR(NOT(ISNUMBER(IFERROR(INDEX(RatEff,MATCH($D17,RatTeams,0)),"x"))),NOT(ISNUMBER(IFERROR(INDEX(RatEff,MATCH($E17,RatTeams,0)),"x")))),"MISSING",""))</f>
        <v/>
      </c>
      <c r="J17" s="2" t="str">
        <f>IF($B17="","",IF(SUMPRODUCT((CLGameID=$B17)*CLPlayed*(CLUseCur+CLUsePrev&gt;0)*(CLPlays=0))&gt;0,"MISSING",""))</f>
        <v/>
      </c>
      <c r="K17" s="2" t="str">
        <f>IF($B17="","",IF(SUMPRODUCT((CLGameID=$B17)*CLPlayed*((CLOffPts&lt;-20)+(CLOffPts&gt;90)))&gt;0,"CHECK",""))</f>
        <v/>
      </c>
      <c r="L17" s="2" t="str">
        <f t="array" ref="L17">IF($B17="","",IF(OR(ABS(IFERROR(INDEX(RatEff,MATCH($D17,RatTeams,0)),0))&gt;RatingRange,ABS(IFERROR(INDEX(RatEff,MATCH($E17,RatTeams,0)),0))&gt;RatingRange),"RANGE",""))</f>
        <v/>
      </c>
      <c r="M17" s="2" t="str">
        <f t="array" ref="M17">IF($B17="","",IF(OR(IFERROR(INDEX(CalcMoveFlag,MATCH($D17,CalcTeams,0)),"")="CAPPED",IFERROR(INDEX(CalcMoveFlag,MATCH($E17,CalcTeams,0)),"")="CAPPED"),"CAPPED",""))</f>
        <v/>
      </c>
      <c r="N17" s="2" t="str">
        <f>IF($B17="","",IF(ABS(SUMIFS(AdjSpread,AdjGameID,$B17,AdjActive,1))&gt;AdjCap,"LARGE",""))</f>
        <v/>
      </c>
      <c r="O17" s="2" t="str">
        <f t="array" ref="O17">IF($B17="","",IFERROR(INDEX(MktStale,MATCH($B17,MktGameID,0)),""))</f>
        <v/>
      </c>
      <c r="P17" s="2" t="str">
        <f t="shared" si="1"/>
        <v>READY</v>
      </c>
    </row>
    <row r="18" ht="15.0" customHeight="1">
      <c r="A18" s="2">
        <v>7.0</v>
      </c>
      <c r="B18" s="2" t="str">
        <f t="array" ref="B18">IFERROR(INDEX(SchedZone,MATCH($A18,SchedSeq,0),MAP!$B$6),"")</f>
        <v>2026_01_BAL_IND</v>
      </c>
      <c r="C18" s="2">
        <f t="array" ref="C18">IF($B18="","",INDEX(SchedZone,MATCH($A18,SchedSeq,0),MAP!$B$4))</f>
        <v>1</v>
      </c>
      <c r="D18" s="2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2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2" t="str">
        <f>IF($B18="","",IF(COUNTIF(EngGameID,$B18)&gt;1,"DUP",""))</f>
        <v/>
      </c>
      <c r="G18" s="2" t="str">
        <f>IF($B18="","",IF(OR(COUNTIFS(EngWeek,$C18,EngAway,$D18)+COUNTIFS(EngWeek,$C18,EngHome,$D18)&gt;1,COUNTIFS(EngWeek,$C18,EngAway,$E18)+COUNTIFS(EngWeek,$C18,EngHome,$E18)&gt;1),"DUP",""))</f>
        <v/>
      </c>
      <c r="H18" s="2" t="str">
        <f>IF($B18="","",IF(OR(SUMPRODUCT((CLGameID=$B18)*CLUnmatched)&gt;0,LEFT($D18,1)="⚠",LEFT($E18,1)="⚠"),"UNMATCHED",""))</f>
        <v/>
      </c>
      <c r="I18" s="2" t="str">
        <f t="array" ref="I18">IF($B18="","",IF(OR(NOT(ISNUMBER(IFERROR(INDEX(RatEff,MATCH($D18,RatTeams,0)),"x"))),NOT(ISNUMBER(IFERROR(INDEX(RatEff,MATCH($E18,RatTeams,0)),"x")))),"MISSING",""))</f>
        <v/>
      </c>
      <c r="J18" s="2" t="str">
        <f>IF($B18="","",IF(SUMPRODUCT((CLGameID=$B18)*CLPlayed*(CLUseCur+CLUsePrev&gt;0)*(CLPlays=0))&gt;0,"MISSING",""))</f>
        <v/>
      </c>
      <c r="K18" s="2" t="str">
        <f>IF($B18="","",IF(SUMPRODUCT((CLGameID=$B18)*CLPlayed*((CLOffPts&lt;-20)+(CLOffPts&gt;90)))&gt;0,"CHECK",""))</f>
        <v/>
      </c>
      <c r="L18" s="2" t="str">
        <f t="array" ref="L18">IF($B18="","",IF(OR(ABS(IFERROR(INDEX(RatEff,MATCH($D18,RatTeams,0)),0))&gt;RatingRange,ABS(IFERROR(INDEX(RatEff,MATCH($E18,RatTeams,0)),0))&gt;RatingRange),"RANGE",""))</f>
        <v/>
      </c>
      <c r="M18" s="2" t="str">
        <f t="array" ref="M18">IF($B18="","",IF(OR(IFERROR(INDEX(CalcMoveFlag,MATCH($D18,CalcTeams,0)),"")="CAPPED",IFERROR(INDEX(CalcMoveFlag,MATCH($E18,CalcTeams,0)),"")="CAPPED"),"CAPPED",""))</f>
        <v/>
      </c>
      <c r="N18" s="2" t="str">
        <f>IF($B18="","",IF(ABS(SUMIFS(AdjSpread,AdjGameID,$B18,AdjActive,1))&gt;AdjCap,"LARGE",""))</f>
        <v/>
      </c>
      <c r="O18" s="2" t="str">
        <f t="array" ref="O18">IF($B18="","",IFERROR(INDEX(MktStale,MATCH($B18,MktGameID,0)),""))</f>
        <v/>
      </c>
      <c r="P18" s="2" t="str">
        <f t="shared" si="1"/>
        <v>READY</v>
      </c>
    </row>
    <row r="19" ht="15.0" customHeight="1">
      <c r="A19" s="2">
        <v>8.0</v>
      </c>
      <c r="B19" s="2" t="str">
        <f t="array" ref="B19">IFERROR(INDEX(SchedZone,MATCH($A19,SchedSeq,0),MAP!$B$6),"")</f>
        <v>2026_01_CLE_JAX</v>
      </c>
      <c r="C19" s="2">
        <f t="array" ref="C19">IF($B19="","",INDEX(SchedZone,MATCH($A19,SchedSeq,0),MAP!$B$4))</f>
        <v>1</v>
      </c>
      <c r="D19" s="2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2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2" t="str">
        <f>IF($B19="","",IF(COUNTIF(EngGameID,$B19)&gt;1,"DUP",""))</f>
        <v/>
      </c>
      <c r="G19" s="2" t="str">
        <f>IF($B19="","",IF(OR(COUNTIFS(EngWeek,$C19,EngAway,$D19)+COUNTIFS(EngWeek,$C19,EngHome,$D19)&gt;1,COUNTIFS(EngWeek,$C19,EngAway,$E19)+COUNTIFS(EngWeek,$C19,EngHome,$E19)&gt;1),"DUP",""))</f>
        <v/>
      </c>
      <c r="H19" s="2" t="str">
        <f>IF($B19="","",IF(OR(SUMPRODUCT((CLGameID=$B19)*CLUnmatched)&gt;0,LEFT($D19,1)="⚠",LEFT($E19,1)="⚠"),"UNMATCHED",""))</f>
        <v/>
      </c>
      <c r="I19" s="2" t="str">
        <f t="array" ref="I19">IF($B19="","",IF(OR(NOT(ISNUMBER(IFERROR(INDEX(RatEff,MATCH($D19,RatTeams,0)),"x"))),NOT(ISNUMBER(IFERROR(INDEX(RatEff,MATCH($E19,RatTeams,0)),"x")))),"MISSING",""))</f>
        <v/>
      </c>
      <c r="J19" s="2" t="str">
        <f>IF($B19="","",IF(SUMPRODUCT((CLGameID=$B19)*CLPlayed*(CLUseCur+CLUsePrev&gt;0)*(CLPlays=0))&gt;0,"MISSING",""))</f>
        <v/>
      </c>
      <c r="K19" s="2" t="str">
        <f>IF($B19="","",IF(SUMPRODUCT((CLGameID=$B19)*CLPlayed*((CLOffPts&lt;-20)+(CLOffPts&gt;90)))&gt;0,"CHECK",""))</f>
        <v/>
      </c>
      <c r="L19" s="2" t="str">
        <f t="array" ref="L19">IF($B19="","",IF(OR(ABS(IFERROR(INDEX(RatEff,MATCH($D19,RatTeams,0)),0))&gt;RatingRange,ABS(IFERROR(INDEX(RatEff,MATCH($E19,RatTeams,0)),0))&gt;RatingRange),"RANGE",""))</f>
        <v/>
      </c>
      <c r="M19" s="2" t="str">
        <f t="array" ref="M19">IF($B19="","",IF(OR(IFERROR(INDEX(CalcMoveFlag,MATCH($D19,CalcTeams,0)),"")="CAPPED",IFERROR(INDEX(CalcMoveFlag,MATCH($E19,CalcTeams,0)),"")="CAPPED"),"CAPPED",""))</f>
        <v/>
      </c>
      <c r="N19" s="2" t="str">
        <f>IF($B19="","",IF(ABS(SUMIFS(AdjSpread,AdjGameID,$B19,AdjActive,1))&gt;AdjCap,"LARGE",""))</f>
        <v/>
      </c>
      <c r="O19" s="2" t="str">
        <f t="array" ref="O19">IF($B19="","",IFERROR(INDEX(MktStale,MATCH($B19,MktGameID,0)),""))</f>
        <v/>
      </c>
      <c r="P19" s="2" t="str">
        <f t="shared" si="1"/>
        <v>READY</v>
      </c>
    </row>
    <row r="20" ht="15.0" customHeight="1">
      <c r="A20" s="2">
        <v>9.0</v>
      </c>
      <c r="B20" s="2" t="str">
        <f t="array" ref="B20">IFERROR(INDEX(SchedZone,MATCH($A20,SchedSeq,0),MAP!$B$6),"")</f>
        <v>2026_01_ATL_PIT</v>
      </c>
      <c r="C20" s="2">
        <f t="array" ref="C20">IF($B20="","",INDEX(SchedZone,MATCH($A20,SchedSeq,0),MAP!$B$4))</f>
        <v>1</v>
      </c>
      <c r="D20" s="2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2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2" t="str">
        <f>IF($B20="","",IF(COUNTIF(EngGameID,$B20)&gt;1,"DUP",""))</f>
        <v/>
      </c>
      <c r="G20" s="2" t="str">
        <f>IF($B20="","",IF(OR(COUNTIFS(EngWeek,$C20,EngAway,$D20)+COUNTIFS(EngWeek,$C20,EngHome,$D20)&gt;1,COUNTIFS(EngWeek,$C20,EngAway,$E20)+COUNTIFS(EngWeek,$C20,EngHome,$E20)&gt;1),"DUP",""))</f>
        <v/>
      </c>
      <c r="H20" s="2" t="str">
        <f>IF($B20="","",IF(OR(SUMPRODUCT((CLGameID=$B20)*CLUnmatched)&gt;0,LEFT($D20,1)="⚠",LEFT($E20,1)="⚠"),"UNMATCHED",""))</f>
        <v/>
      </c>
      <c r="I20" s="2" t="str">
        <f t="array" ref="I20">IF($B20="","",IF(OR(NOT(ISNUMBER(IFERROR(INDEX(RatEff,MATCH($D20,RatTeams,0)),"x"))),NOT(ISNUMBER(IFERROR(INDEX(RatEff,MATCH($E20,RatTeams,0)),"x")))),"MISSING",""))</f>
        <v/>
      </c>
      <c r="J20" s="2" t="str">
        <f>IF($B20="","",IF(SUMPRODUCT((CLGameID=$B20)*CLPlayed*(CLUseCur+CLUsePrev&gt;0)*(CLPlays=0))&gt;0,"MISSING",""))</f>
        <v/>
      </c>
      <c r="K20" s="2" t="str">
        <f>IF($B20="","",IF(SUMPRODUCT((CLGameID=$B20)*CLPlayed*((CLOffPts&lt;-20)+(CLOffPts&gt;90)))&gt;0,"CHECK",""))</f>
        <v/>
      </c>
      <c r="L20" s="2" t="str">
        <f t="array" ref="L20">IF($B20="","",IF(OR(ABS(IFERROR(INDEX(RatEff,MATCH($D20,RatTeams,0)),0))&gt;RatingRange,ABS(IFERROR(INDEX(RatEff,MATCH($E20,RatTeams,0)),0))&gt;RatingRange),"RANGE",""))</f>
        <v/>
      </c>
      <c r="M20" s="2" t="str">
        <f t="array" ref="M20">IF($B20="","",IF(OR(IFERROR(INDEX(CalcMoveFlag,MATCH($D20,CalcTeams,0)),"")="CAPPED",IFERROR(INDEX(CalcMoveFlag,MATCH($E20,CalcTeams,0)),"")="CAPPED"),"CAPPED",""))</f>
        <v/>
      </c>
      <c r="N20" s="2" t="str">
        <f>IF($B20="","",IF(ABS(SUMIFS(AdjSpread,AdjGameID,$B20,AdjActive,1))&gt;AdjCap,"LARGE",""))</f>
        <v/>
      </c>
      <c r="O20" s="2" t="str">
        <f t="array" ref="O20">IF($B20="","",IFERROR(INDEX(MktStale,MATCH($B20,MktGameID,0)),""))</f>
        <v/>
      </c>
      <c r="P20" s="2" t="str">
        <f t="shared" si="1"/>
        <v>READY</v>
      </c>
    </row>
    <row r="21" ht="15.0" customHeight="1">
      <c r="A21" s="2">
        <v>10.0</v>
      </c>
      <c r="B21" s="2" t="str">
        <f t="array" ref="B21">IFERROR(INDEX(SchedZone,MATCH($A21,SchedSeq,0),MAP!$B$6),"")</f>
        <v>2026_01_NYJ_TEN</v>
      </c>
      <c r="C21" s="2">
        <f t="array" ref="C21">IF($B21="","",INDEX(SchedZone,MATCH($A21,SchedSeq,0),MAP!$B$4))</f>
        <v>1</v>
      </c>
      <c r="D21" s="2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2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2" t="str">
        <f>IF($B21="","",IF(COUNTIF(EngGameID,$B21)&gt;1,"DUP",""))</f>
        <v/>
      </c>
      <c r="G21" s="2" t="str">
        <f>IF($B21="","",IF(OR(COUNTIFS(EngWeek,$C21,EngAway,$D21)+COUNTIFS(EngWeek,$C21,EngHome,$D21)&gt;1,COUNTIFS(EngWeek,$C21,EngAway,$E21)+COUNTIFS(EngWeek,$C21,EngHome,$E21)&gt;1),"DUP",""))</f>
        <v/>
      </c>
      <c r="H21" s="2" t="str">
        <f>IF($B21="","",IF(OR(SUMPRODUCT((CLGameID=$B21)*CLUnmatched)&gt;0,LEFT($D21,1)="⚠",LEFT($E21,1)="⚠"),"UNMATCHED",""))</f>
        <v/>
      </c>
      <c r="I21" s="2" t="str">
        <f t="array" ref="I21">IF($B21="","",IF(OR(NOT(ISNUMBER(IFERROR(INDEX(RatEff,MATCH($D21,RatTeams,0)),"x"))),NOT(ISNUMBER(IFERROR(INDEX(RatEff,MATCH($E21,RatTeams,0)),"x")))),"MISSING",""))</f>
        <v/>
      </c>
      <c r="J21" s="2" t="str">
        <f>IF($B21="","",IF(SUMPRODUCT((CLGameID=$B21)*CLPlayed*(CLUseCur+CLUsePrev&gt;0)*(CLPlays=0))&gt;0,"MISSING",""))</f>
        <v/>
      </c>
      <c r="K21" s="2" t="str">
        <f>IF($B21="","",IF(SUMPRODUCT((CLGameID=$B21)*CLPlayed*((CLOffPts&lt;-20)+(CLOffPts&gt;90)))&gt;0,"CHECK",""))</f>
        <v/>
      </c>
      <c r="L21" s="2" t="str">
        <f t="array" ref="L21">IF($B21="","",IF(OR(ABS(IFERROR(INDEX(RatEff,MATCH($D21,RatTeams,0)),0))&gt;RatingRange,ABS(IFERROR(INDEX(RatEff,MATCH($E21,RatTeams,0)),0))&gt;RatingRange),"RANGE",""))</f>
        <v/>
      </c>
      <c r="M21" s="2" t="str">
        <f t="array" ref="M21">IF($B21="","",IF(OR(IFERROR(INDEX(CalcMoveFlag,MATCH($D21,CalcTeams,0)),"")="CAPPED",IFERROR(INDEX(CalcMoveFlag,MATCH($E21,CalcTeams,0)),"")="CAPPED"),"CAPPED",""))</f>
        <v/>
      </c>
      <c r="N21" s="2" t="str">
        <f>IF($B21="","",IF(ABS(SUMIFS(AdjSpread,AdjGameID,$B21,AdjActive,1))&gt;AdjCap,"LARGE",""))</f>
        <v/>
      </c>
      <c r="O21" s="2" t="str">
        <f t="array" ref="O21">IF($B21="","",IFERROR(INDEX(MktStale,MATCH($B21,MktGameID,0)),""))</f>
        <v/>
      </c>
      <c r="P21" s="2" t="str">
        <f t="shared" si="1"/>
        <v>READY</v>
      </c>
    </row>
    <row r="22" ht="15.0" customHeight="1">
      <c r="A22" s="2">
        <v>11.0</v>
      </c>
      <c r="B22" s="2" t="str">
        <f t="array" ref="B22">IFERROR(INDEX(SchedZone,MATCH($A22,SchedSeq,0),MAP!$B$6),"")</f>
        <v>2026_01_ARI_LAC</v>
      </c>
      <c r="C22" s="2">
        <f t="array" ref="C22">IF($B22="","",INDEX(SchedZone,MATCH($A22,SchedSeq,0),MAP!$B$4))</f>
        <v>1</v>
      </c>
      <c r="D22" s="2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2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2" t="str">
        <f>IF($B22="","",IF(COUNTIF(EngGameID,$B22)&gt;1,"DUP",""))</f>
        <v/>
      </c>
      <c r="G22" s="2" t="str">
        <f>IF($B22="","",IF(OR(COUNTIFS(EngWeek,$C22,EngAway,$D22)+COUNTIFS(EngWeek,$C22,EngHome,$D22)&gt;1,COUNTIFS(EngWeek,$C22,EngAway,$E22)+COUNTIFS(EngWeek,$C22,EngHome,$E22)&gt;1),"DUP",""))</f>
        <v/>
      </c>
      <c r="H22" s="2" t="str">
        <f>IF($B22="","",IF(OR(SUMPRODUCT((CLGameID=$B22)*CLUnmatched)&gt;0,LEFT($D22,1)="⚠",LEFT($E22,1)="⚠"),"UNMATCHED",""))</f>
        <v/>
      </c>
      <c r="I22" s="2" t="str">
        <f t="array" ref="I22">IF($B22="","",IF(OR(NOT(ISNUMBER(IFERROR(INDEX(RatEff,MATCH($D22,RatTeams,0)),"x"))),NOT(ISNUMBER(IFERROR(INDEX(RatEff,MATCH($E22,RatTeams,0)),"x")))),"MISSING",""))</f>
        <v/>
      </c>
      <c r="J22" s="2" t="str">
        <f>IF($B22="","",IF(SUMPRODUCT((CLGameID=$B22)*CLPlayed*(CLUseCur+CLUsePrev&gt;0)*(CLPlays=0))&gt;0,"MISSING",""))</f>
        <v/>
      </c>
      <c r="K22" s="2" t="str">
        <f>IF($B22="","",IF(SUMPRODUCT((CLGameID=$B22)*CLPlayed*((CLOffPts&lt;-20)+(CLOffPts&gt;90)))&gt;0,"CHECK",""))</f>
        <v/>
      </c>
      <c r="L22" s="2" t="str">
        <f t="array" ref="L22">IF($B22="","",IF(OR(ABS(IFERROR(INDEX(RatEff,MATCH($D22,RatTeams,0)),0))&gt;RatingRange,ABS(IFERROR(INDEX(RatEff,MATCH($E22,RatTeams,0)),0))&gt;RatingRange),"RANGE",""))</f>
        <v/>
      </c>
      <c r="M22" s="2" t="str">
        <f t="array" ref="M22">IF($B22="","",IF(OR(IFERROR(INDEX(CalcMoveFlag,MATCH($D22,CalcTeams,0)),"")="CAPPED",IFERROR(INDEX(CalcMoveFlag,MATCH($E22,CalcTeams,0)),"")="CAPPED"),"CAPPED",""))</f>
        <v/>
      </c>
      <c r="N22" s="2" t="str">
        <f>IF($B22="","",IF(ABS(SUMIFS(AdjSpread,AdjGameID,$B22,AdjActive,1))&gt;AdjCap,"LARGE",""))</f>
        <v/>
      </c>
      <c r="O22" s="2" t="str">
        <f t="array" ref="O22">IF($B22="","",IFERROR(INDEX(MktStale,MATCH($B22,MktGameID,0)),""))</f>
        <v/>
      </c>
      <c r="P22" s="2" t="str">
        <f t="shared" si="1"/>
        <v>READY</v>
      </c>
    </row>
    <row r="23" ht="15.0" customHeight="1">
      <c r="A23" s="2">
        <v>12.0</v>
      </c>
      <c r="B23" s="2" t="str">
        <f t="array" ref="B23">IFERROR(INDEX(SchedZone,MATCH($A23,SchedSeq,0),MAP!$B$6),"")</f>
        <v>2026_01_MIA_LV</v>
      </c>
      <c r="C23" s="2">
        <f t="array" ref="C23">IF($B23="","",INDEX(SchedZone,MATCH($A23,SchedSeq,0),MAP!$B$4))</f>
        <v>1</v>
      </c>
      <c r="D23" s="2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2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2" t="str">
        <f>IF($B23="","",IF(COUNTIF(EngGameID,$B23)&gt;1,"DUP",""))</f>
        <v/>
      </c>
      <c r="G23" s="2" t="str">
        <f>IF($B23="","",IF(OR(COUNTIFS(EngWeek,$C23,EngAway,$D23)+COUNTIFS(EngWeek,$C23,EngHome,$D23)&gt;1,COUNTIFS(EngWeek,$C23,EngAway,$E23)+COUNTIFS(EngWeek,$C23,EngHome,$E23)&gt;1),"DUP",""))</f>
        <v/>
      </c>
      <c r="H23" s="2" t="str">
        <f>IF($B23="","",IF(OR(SUMPRODUCT((CLGameID=$B23)*CLUnmatched)&gt;0,LEFT($D23,1)="⚠",LEFT($E23,1)="⚠"),"UNMATCHED",""))</f>
        <v/>
      </c>
      <c r="I23" s="2" t="str">
        <f t="array" ref="I23">IF($B23="","",IF(OR(NOT(ISNUMBER(IFERROR(INDEX(RatEff,MATCH($D23,RatTeams,0)),"x"))),NOT(ISNUMBER(IFERROR(INDEX(RatEff,MATCH($E23,RatTeams,0)),"x")))),"MISSING",""))</f>
        <v/>
      </c>
      <c r="J23" s="2" t="str">
        <f>IF($B23="","",IF(SUMPRODUCT((CLGameID=$B23)*CLPlayed*(CLUseCur+CLUsePrev&gt;0)*(CLPlays=0))&gt;0,"MISSING",""))</f>
        <v/>
      </c>
      <c r="K23" s="2" t="str">
        <f>IF($B23="","",IF(SUMPRODUCT((CLGameID=$B23)*CLPlayed*((CLOffPts&lt;-20)+(CLOffPts&gt;90)))&gt;0,"CHECK",""))</f>
        <v/>
      </c>
      <c r="L23" s="2" t="str">
        <f t="array" ref="L23">IF($B23="","",IF(OR(ABS(IFERROR(INDEX(RatEff,MATCH($D23,RatTeams,0)),0))&gt;RatingRange,ABS(IFERROR(INDEX(RatEff,MATCH($E23,RatTeams,0)),0))&gt;RatingRange),"RANGE",""))</f>
        <v/>
      </c>
      <c r="M23" s="2" t="str">
        <f t="array" ref="M23">IF($B23="","",IF(OR(IFERROR(INDEX(CalcMoveFlag,MATCH($D23,CalcTeams,0)),"")="CAPPED",IFERROR(INDEX(CalcMoveFlag,MATCH($E23,CalcTeams,0)),"")="CAPPED"),"CAPPED",""))</f>
        <v/>
      </c>
      <c r="N23" s="2" t="str">
        <f>IF($B23="","",IF(ABS(SUMIFS(AdjSpread,AdjGameID,$B23,AdjActive,1))&gt;AdjCap,"LARGE",""))</f>
        <v/>
      </c>
      <c r="O23" s="2" t="str">
        <f t="array" ref="O23">IF($B23="","",IFERROR(INDEX(MktStale,MATCH($B23,MktGameID,0)),""))</f>
        <v/>
      </c>
      <c r="P23" s="2" t="str">
        <f t="shared" si="1"/>
        <v>READY</v>
      </c>
    </row>
    <row r="24" ht="15.0" customHeight="1">
      <c r="A24" s="2">
        <v>13.0</v>
      </c>
      <c r="B24" s="2" t="str">
        <f t="array" ref="B24">IFERROR(INDEX(SchedZone,MATCH($A24,SchedSeq,0),MAP!$B$6),"")</f>
        <v>2026_01_GB_MIN</v>
      </c>
      <c r="C24" s="2">
        <f t="array" ref="C24">IF($B24="","",INDEX(SchedZone,MATCH($A24,SchedSeq,0),MAP!$B$4))</f>
        <v>1</v>
      </c>
      <c r="D24" s="2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2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2" t="str">
        <f>IF($B24="","",IF(COUNTIF(EngGameID,$B24)&gt;1,"DUP",""))</f>
        <v/>
      </c>
      <c r="G24" s="2" t="str">
        <f>IF($B24="","",IF(OR(COUNTIFS(EngWeek,$C24,EngAway,$D24)+COUNTIFS(EngWeek,$C24,EngHome,$D24)&gt;1,COUNTIFS(EngWeek,$C24,EngAway,$E24)+COUNTIFS(EngWeek,$C24,EngHome,$E24)&gt;1),"DUP",""))</f>
        <v/>
      </c>
      <c r="H24" s="2" t="str">
        <f>IF($B24="","",IF(OR(SUMPRODUCT((CLGameID=$B24)*CLUnmatched)&gt;0,LEFT($D24,1)="⚠",LEFT($E24,1)="⚠"),"UNMATCHED",""))</f>
        <v/>
      </c>
      <c r="I24" s="2" t="str">
        <f t="array" ref="I24">IF($B24="","",IF(OR(NOT(ISNUMBER(IFERROR(INDEX(RatEff,MATCH($D24,RatTeams,0)),"x"))),NOT(ISNUMBER(IFERROR(INDEX(RatEff,MATCH($E24,RatTeams,0)),"x")))),"MISSING",""))</f>
        <v/>
      </c>
      <c r="J24" s="2" t="str">
        <f>IF($B24="","",IF(SUMPRODUCT((CLGameID=$B24)*CLPlayed*(CLUseCur+CLUsePrev&gt;0)*(CLPlays=0))&gt;0,"MISSING",""))</f>
        <v/>
      </c>
      <c r="K24" s="2" t="str">
        <f>IF($B24="","",IF(SUMPRODUCT((CLGameID=$B24)*CLPlayed*((CLOffPts&lt;-20)+(CLOffPts&gt;90)))&gt;0,"CHECK",""))</f>
        <v/>
      </c>
      <c r="L24" s="2" t="str">
        <f t="array" ref="L24">IF($B24="","",IF(OR(ABS(IFERROR(INDEX(RatEff,MATCH($D24,RatTeams,0)),0))&gt;RatingRange,ABS(IFERROR(INDEX(RatEff,MATCH($E24,RatTeams,0)),0))&gt;RatingRange),"RANGE",""))</f>
        <v/>
      </c>
      <c r="M24" s="2" t="str">
        <f t="array" ref="M24">IF($B24="","",IF(OR(IFERROR(INDEX(CalcMoveFlag,MATCH($D24,CalcTeams,0)),"")="CAPPED",IFERROR(INDEX(CalcMoveFlag,MATCH($E24,CalcTeams,0)),"")="CAPPED"),"CAPPED",""))</f>
        <v/>
      </c>
      <c r="N24" s="2" t="str">
        <f>IF($B24="","",IF(ABS(SUMIFS(AdjSpread,AdjGameID,$B24,AdjActive,1))&gt;AdjCap,"LARGE",""))</f>
        <v/>
      </c>
      <c r="O24" s="2" t="str">
        <f t="array" ref="O24">IF($B24="","",IFERROR(INDEX(MktStale,MATCH($B24,MktGameID,0)),""))</f>
        <v/>
      </c>
      <c r="P24" s="2" t="str">
        <f t="shared" si="1"/>
        <v>READY</v>
      </c>
    </row>
    <row r="25" ht="15.0" customHeight="1">
      <c r="A25" s="2">
        <v>14.0</v>
      </c>
      <c r="B25" s="2" t="str">
        <f t="array" ref="B25">IFERROR(INDEX(SchedZone,MATCH($A25,SchedSeq,0),MAP!$B$6),"")</f>
        <v>2026_01_WAS_PHI</v>
      </c>
      <c r="C25" s="2">
        <f t="array" ref="C25">IF($B25="","",INDEX(SchedZone,MATCH($A25,SchedSeq,0),MAP!$B$4))</f>
        <v>1</v>
      </c>
      <c r="D25" s="2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2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2" t="str">
        <f>IF($B25="","",IF(COUNTIF(EngGameID,$B25)&gt;1,"DUP",""))</f>
        <v/>
      </c>
      <c r="G25" s="2" t="str">
        <f>IF($B25="","",IF(OR(COUNTIFS(EngWeek,$C25,EngAway,$D25)+COUNTIFS(EngWeek,$C25,EngHome,$D25)&gt;1,COUNTIFS(EngWeek,$C25,EngAway,$E25)+COUNTIFS(EngWeek,$C25,EngHome,$E25)&gt;1),"DUP",""))</f>
        <v/>
      </c>
      <c r="H25" s="2" t="str">
        <f>IF($B25="","",IF(OR(SUMPRODUCT((CLGameID=$B25)*CLUnmatched)&gt;0,LEFT($D25,1)="⚠",LEFT($E25,1)="⚠"),"UNMATCHED",""))</f>
        <v/>
      </c>
      <c r="I25" s="2" t="str">
        <f t="array" ref="I25">IF($B25="","",IF(OR(NOT(ISNUMBER(IFERROR(INDEX(RatEff,MATCH($D25,RatTeams,0)),"x"))),NOT(ISNUMBER(IFERROR(INDEX(RatEff,MATCH($E25,RatTeams,0)),"x")))),"MISSING",""))</f>
        <v/>
      </c>
      <c r="J25" s="2" t="str">
        <f>IF($B25="","",IF(SUMPRODUCT((CLGameID=$B25)*CLPlayed*(CLUseCur+CLUsePrev&gt;0)*(CLPlays=0))&gt;0,"MISSING",""))</f>
        <v/>
      </c>
      <c r="K25" s="2" t="str">
        <f>IF($B25="","",IF(SUMPRODUCT((CLGameID=$B25)*CLPlayed*((CLOffPts&lt;-20)+(CLOffPts&gt;90)))&gt;0,"CHECK",""))</f>
        <v/>
      </c>
      <c r="L25" s="2" t="str">
        <f t="array" ref="L25">IF($B25="","",IF(OR(ABS(IFERROR(INDEX(RatEff,MATCH($D25,RatTeams,0)),0))&gt;RatingRange,ABS(IFERROR(INDEX(RatEff,MATCH($E25,RatTeams,0)),0))&gt;RatingRange),"RANGE",""))</f>
        <v/>
      </c>
      <c r="M25" s="2" t="str">
        <f t="array" ref="M25">IF($B25="","",IF(OR(IFERROR(INDEX(CalcMoveFlag,MATCH($D25,CalcTeams,0)),"")="CAPPED",IFERROR(INDEX(CalcMoveFlag,MATCH($E25,CalcTeams,0)),"")="CAPPED"),"CAPPED",""))</f>
        <v/>
      </c>
      <c r="N25" s="2" t="str">
        <f>IF($B25="","",IF(ABS(SUMIFS(AdjSpread,AdjGameID,$B25,AdjActive,1))&gt;AdjCap,"LARGE",""))</f>
        <v/>
      </c>
      <c r="O25" s="2" t="str">
        <f t="array" ref="O25">IF($B25="","",IFERROR(INDEX(MktStale,MATCH($B25,MktGameID,0)),""))</f>
        <v/>
      </c>
      <c r="P25" s="2" t="str">
        <f t="shared" si="1"/>
        <v>READY</v>
      </c>
    </row>
    <row r="26" ht="15.0" customHeight="1">
      <c r="A26" s="2">
        <v>15.0</v>
      </c>
      <c r="B26" s="2" t="str">
        <f t="array" ref="B26">IFERROR(INDEX(SchedZone,MATCH($A26,SchedSeq,0),MAP!$B$6),"")</f>
        <v>2026_01_DAL_NYG</v>
      </c>
      <c r="C26" s="2">
        <f t="array" ref="C26">IF($B26="","",INDEX(SchedZone,MATCH($A26,SchedSeq,0),MAP!$B$4))</f>
        <v>1</v>
      </c>
      <c r="D26" s="2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2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2" t="str">
        <f>IF($B26="","",IF(COUNTIF(EngGameID,$B26)&gt;1,"DUP",""))</f>
        <v/>
      </c>
      <c r="G26" s="2" t="str">
        <f>IF($B26="","",IF(OR(COUNTIFS(EngWeek,$C26,EngAway,$D26)+COUNTIFS(EngWeek,$C26,EngHome,$D26)&gt;1,COUNTIFS(EngWeek,$C26,EngAway,$E26)+COUNTIFS(EngWeek,$C26,EngHome,$E26)&gt;1),"DUP",""))</f>
        <v/>
      </c>
      <c r="H26" s="2" t="str">
        <f>IF($B26="","",IF(OR(SUMPRODUCT((CLGameID=$B26)*CLUnmatched)&gt;0,LEFT($D26,1)="⚠",LEFT($E26,1)="⚠"),"UNMATCHED",""))</f>
        <v/>
      </c>
      <c r="I26" s="2" t="str">
        <f t="array" ref="I26">IF($B26="","",IF(OR(NOT(ISNUMBER(IFERROR(INDEX(RatEff,MATCH($D26,RatTeams,0)),"x"))),NOT(ISNUMBER(IFERROR(INDEX(RatEff,MATCH($E26,RatTeams,0)),"x")))),"MISSING",""))</f>
        <v/>
      </c>
      <c r="J26" s="2" t="str">
        <f>IF($B26="","",IF(SUMPRODUCT((CLGameID=$B26)*CLPlayed*(CLUseCur+CLUsePrev&gt;0)*(CLPlays=0))&gt;0,"MISSING",""))</f>
        <v/>
      </c>
      <c r="K26" s="2" t="str">
        <f>IF($B26="","",IF(SUMPRODUCT((CLGameID=$B26)*CLPlayed*((CLOffPts&lt;-20)+(CLOffPts&gt;90)))&gt;0,"CHECK",""))</f>
        <v/>
      </c>
      <c r="L26" s="2" t="str">
        <f t="array" ref="L26">IF($B26="","",IF(OR(ABS(IFERROR(INDEX(RatEff,MATCH($D26,RatTeams,0)),0))&gt;RatingRange,ABS(IFERROR(INDEX(RatEff,MATCH($E26,RatTeams,0)),0))&gt;RatingRange),"RANGE",""))</f>
        <v/>
      </c>
      <c r="M26" s="2" t="str">
        <f t="array" ref="M26">IF($B26="","",IF(OR(IFERROR(INDEX(CalcMoveFlag,MATCH($D26,CalcTeams,0)),"")="CAPPED",IFERROR(INDEX(CalcMoveFlag,MATCH($E26,CalcTeams,0)),"")="CAPPED"),"CAPPED",""))</f>
        <v/>
      </c>
      <c r="N26" s="2" t="str">
        <f>IF($B26="","",IF(ABS(SUMIFS(AdjSpread,AdjGameID,$B26,AdjActive,1))&gt;AdjCap,"LARGE",""))</f>
        <v/>
      </c>
      <c r="O26" s="2" t="str">
        <f t="array" ref="O26">IF($B26="","",IFERROR(INDEX(MktStale,MATCH($B26,MktGameID,0)),""))</f>
        <v/>
      </c>
      <c r="P26" s="2" t="str">
        <f t="shared" si="1"/>
        <v>READY</v>
      </c>
    </row>
    <row r="27" ht="15.0" customHeight="1">
      <c r="A27" s="2">
        <v>16.0</v>
      </c>
      <c r="B27" s="2" t="str">
        <f t="array" ref="B27">IFERROR(INDEX(SchedZone,MATCH($A27,SchedSeq,0),MAP!$B$6),"")</f>
        <v>2026_01_DEN_KC</v>
      </c>
      <c r="C27" s="2">
        <f t="array" ref="C27">IF($B27="","",INDEX(SchedZone,MATCH($A27,SchedSeq,0),MAP!$B$4))</f>
        <v>1</v>
      </c>
      <c r="D27" s="2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2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2" t="str">
        <f>IF($B27="","",IF(COUNTIF(EngGameID,$B27)&gt;1,"DUP",""))</f>
        <v/>
      </c>
      <c r="G27" s="2" t="str">
        <f>IF($B27="","",IF(OR(COUNTIFS(EngWeek,$C27,EngAway,$D27)+COUNTIFS(EngWeek,$C27,EngHome,$D27)&gt;1,COUNTIFS(EngWeek,$C27,EngAway,$E27)+COUNTIFS(EngWeek,$C27,EngHome,$E27)&gt;1),"DUP",""))</f>
        <v/>
      </c>
      <c r="H27" s="2" t="str">
        <f>IF($B27="","",IF(OR(SUMPRODUCT((CLGameID=$B27)*CLUnmatched)&gt;0,LEFT($D27,1)="⚠",LEFT($E27,1)="⚠"),"UNMATCHED",""))</f>
        <v/>
      </c>
      <c r="I27" s="2" t="str">
        <f t="array" ref="I27">IF($B27="","",IF(OR(NOT(ISNUMBER(IFERROR(INDEX(RatEff,MATCH($D27,RatTeams,0)),"x"))),NOT(ISNUMBER(IFERROR(INDEX(RatEff,MATCH($E27,RatTeams,0)),"x")))),"MISSING",""))</f>
        <v/>
      </c>
      <c r="J27" s="2" t="str">
        <f>IF($B27="","",IF(SUMPRODUCT((CLGameID=$B27)*CLPlayed*(CLUseCur+CLUsePrev&gt;0)*(CLPlays=0))&gt;0,"MISSING",""))</f>
        <v/>
      </c>
      <c r="K27" s="2" t="str">
        <f>IF($B27="","",IF(SUMPRODUCT((CLGameID=$B27)*CLPlayed*((CLOffPts&lt;-20)+(CLOffPts&gt;90)))&gt;0,"CHECK",""))</f>
        <v/>
      </c>
      <c r="L27" s="2" t="str">
        <f t="array" ref="L27">IF($B27="","",IF(OR(ABS(IFERROR(INDEX(RatEff,MATCH($D27,RatTeams,0)),0))&gt;RatingRange,ABS(IFERROR(INDEX(RatEff,MATCH($E27,RatTeams,0)),0))&gt;RatingRange),"RANGE",""))</f>
        <v/>
      </c>
      <c r="M27" s="2" t="str">
        <f t="array" ref="M27">IF($B27="","",IF(OR(IFERROR(INDEX(CalcMoveFlag,MATCH($D27,CalcTeams,0)),"")="CAPPED",IFERROR(INDEX(CalcMoveFlag,MATCH($E27,CalcTeams,0)),"")="CAPPED"),"CAPPED",""))</f>
        <v/>
      </c>
      <c r="N27" s="2" t="str">
        <f>IF($B27="","",IF(ABS(SUMIFS(AdjSpread,AdjGameID,$B27,AdjActive,1))&gt;AdjCap,"LARGE",""))</f>
        <v/>
      </c>
      <c r="O27" s="2" t="str">
        <f t="array" ref="O27">IF($B27="","",IFERROR(INDEX(MktStale,MATCH($B27,MktGameID,0)),""))</f>
        <v/>
      </c>
      <c r="P27" s="2" t="str">
        <f t="shared" si="1"/>
        <v>READY</v>
      </c>
    </row>
    <row r="28" ht="15.0" customHeight="1">
      <c r="A28" s="2">
        <v>17.0</v>
      </c>
      <c r="B28" s="2" t="str">
        <f t="array" ref="B28">IFERROR(INDEX(SchedZone,MATCH($A28,SchedSeq,0),MAP!$B$6),"")</f>
        <v>2026_02_DET_BUF</v>
      </c>
      <c r="C28" s="2">
        <f t="array" ref="C28">IF($B28="","",INDEX(SchedZone,MATCH($A28,SchedSeq,0),MAP!$B$4))</f>
        <v>2</v>
      </c>
      <c r="D28" s="2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2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2" t="str">
        <f>IF($B28="","",IF(COUNTIF(EngGameID,$B28)&gt;1,"DUP",""))</f>
        <v/>
      </c>
      <c r="G28" s="2" t="str">
        <f>IF($B28="","",IF(OR(COUNTIFS(EngWeek,$C28,EngAway,$D28)+COUNTIFS(EngWeek,$C28,EngHome,$D28)&gt;1,COUNTIFS(EngWeek,$C28,EngAway,$E28)+COUNTIFS(EngWeek,$C28,EngHome,$E28)&gt;1),"DUP",""))</f>
        <v/>
      </c>
      <c r="H28" s="2" t="str">
        <f>IF($B28="","",IF(OR(SUMPRODUCT((CLGameID=$B28)*CLUnmatched)&gt;0,LEFT($D28,1)="⚠",LEFT($E28,1)="⚠"),"UNMATCHED",""))</f>
        <v/>
      </c>
      <c r="I28" s="2" t="str">
        <f t="array" ref="I28">IF($B28="","",IF(OR(NOT(ISNUMBER(IFERROR(INDEX(RatEff,MATCH($D28,RatTeams,0)),"x"))),NOT(ISNUMBER(IFERROR(INDEX(RatEff,MATCH($E28,RatTeams,0)),"x")))),"MISSING",""))</f>
        <v/>
      </c>
      <c r="J28" s="2" t="str">
        <f>IF($B28="","",IF(SUMPRODUCT((CLGameID=$B28)*CLPlayed*(CLUseCur+CLUsePrev&gt;0)*(CLPlays=0))&gt;0,"MISSING",""))</f>
        <v/>
      </c>
      <c r="K28" s="2" t="str">
        <f>IF($B28="","",IF(SUMPRODUCT((CLGameID=$B28)*CLPlayed*((CLOffPts&lt;-20)+(CLOffPts&gt;90)))&gt;0,"CHECK",""))</f>
        <v/>
      </c>
      <c r="L28" s="2" t="str">
        <f t="array" ref="L28">IF($B28="","",IF(OR(ABS(IFERROR(INDEX(RatEff,MATCH($D28,RatTeams,0)),0))&gt;RatingRange,ABS(IFERROR(INDEX(RatEff,MATCH($E28,RatTeams,0)),0))&gt;RatingRange),"RANGE",""))</f>
        <v/>
      </c>
      <c r="M28" s="2" t="str">
        <f t="array" ref="M28">IF($B28="","",IF(OR(IFERROR(INDEX(CalcMoveFlag,MATCH($D28,CalcTeams,0)),"")="CAPPED",IFERROR(INDEX(CalcMoveFlag,MATCH($E28,CalcTeams,0)),"")="CAPPED"),"CAPPED",""))</f>
        <v/>
      </c>
      <c r="N28" s="2" t="str">
        <f>IF($B28="","",IF(ABS(SUMIFS(AdjSpread,AdjGameID,$B28,AdjActive,1))&gt;AdjCap,"LARGE",""))</f>
        <v/>
      </c>
      <c r="O28" s="2" t="str">
        <f t="array" ref="O28">IF($B28="","",IFERROR(INDEX(MktStale,MATCH($B28,MktGameID,0)),""))</f>
        <v/>
      </c>
      <c r="P28" s="2" t="str">
        <f t="shared" si="1"/>
        <v>READY</v>
      </c>
    </row>
    <row r="29" ht="15.0" customHeight="1">
      <c r="A29" s="2">
        <v>18.0</v>
      </c>
      <c r="B29" s="2" t="str">
        <f t="array" ref="B29">IFERROR(INDEX(SchedZone,MATCH($A29,SchedSeq,0),MAP!$B$6),"")</f>
        <v>2026_02_CAR_ATL</v>
      </c>
      <c r="C29" s="2">
        <f t="array" ref="C29">IF($B29="","",INDEX(SchedZone,MATCH($A29,SchedSeq,0),MAP!$B$4))</f>
        <v>2</v>
      </c>
      <c r="D29" s="2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2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2" t="str">
        <f>IF($B29="","",IF(COUNTIF(EngGameID,$B29)&gt;1,"DUP",""))</f>
        <v/>
      </c>
      <c r="G29" s="2" t="str">
        <f>IF($B29="","",IF(OR(COUNTIFS(EngWeek,$C29,EngAway,$D29)+COUNTIFS(EngWeek,$C29,EngHome,$D29)&gt;1,COUNTIFS(EngWeek,$C29,EngAway,$E29)+COUNTIFS(EngWeek,$C29,EngHome,$E29)&gt;1),"DUP",""))</f>
        <v/>
      </c>
      <c r="H29" s="2" t="str">
        <f>IF($B29="","",IF(OR(SUMPRODUCT((CLGameID=$B29)*CLUnmatched)&gt;0,LEFT($D29,1)="⚠",LEFT($E29,1)="⚠"),"UNMATCHED",""))</f>
        <v/>
      </c>
      <c r="I29" s="2" t="str">
        <f t="array" ref="I29">IF($B29="","",IF(OR(NOT(ISNUMBER(IFERROR(INDEX(RatEff,MATCH($D29,RatTeams,0)),"x"))),NOT(ISNUMBER(IFERROR(INDEX(RatEff,MATCH($E29,RatTeams,0)),"x")))),"MISSING",""))</f>
        <v/>
      </c>
      <c r="J29" s="2" t="str">
        <f>IF($B29="","",IF(SUMPRODUCT((CLGameID=$B29)*CLPlayed*(CLUseCur+CLUsePrev&gt;0)*(CLPlays=0))&gt;0,"MISSING",""))</f>
        <v/>
      </c>
      <c r="K29" s="2" t="str">
        <f>IF($B29="","",IF(SUMPRODUCT((CLGameID=$B29)*CLPlayed*((CLOffPts&lt;-20)+(CLOffPts&gt;90)))&gt;0,"CHECK",""))</f>
        <v/>
      </c>
      <c r="L29" s="2" t="str">
        <f t="array" ref="L29">IF($B29="","",IF(OR(ABS(IFERROR(INDEX(RatEff,MATCH($D29,RatTeams,0)),0))&gt;RatingRange,ABS(IFERROR(INDEX(RatEff,MATCH($E29,RatTeams,0)),0))&gt;RatingRange),"RANGE",""))</f>
        <v/>
      </c>
      <c r="M29" s="2" t="str">
        <f t="array" ref="M29">IF($B29="","",IF(OR(IFERROR(INDEX(CalcMoveFlag,MATCH($D29,CalcTeams,0)),"")="CAPPED",IFERROR(INDEX(CalcMoveFlag,MATCH($E29,CalcTeams,0)),"")="CAPPED"),"CAPPED",""))</f>
        <v/>
      </c>
      <c r="N29" s="2" t="str">
        <f>IF($B29="","",IF(ABS(SUMIFS(AdjSpread,AdjGameID,$B29,AdjActive,1))&gt;AdjCap,"LARGE",""))</f>
        <v/>
      </c>
      <c r="O29" s="2" t="str">
        <f t="array" ref="O29">IF($B29="","",IFERROR(INDEX(MktStale,MATCH($B29,MktGameID,0)),""))</f>
        <v/>
      </c>
      <c r="P29" s="2" t="str">
        <f t="shared" si="1"/>
        <v>READY</v>
      </c>
    </row>
    <row r="30" ht="15.0" customHeight="1">
      <c r="A30" s="2">
        <v>19.0</v>
      </c>
      <c r="B30" s="2" t="str">
        <f t="array" ref="B30">IFERROR(INDEX(SchedZone,MATCH($A30,SchedSeq,0),MAP!$B$6),"")</f>
        <v>2026_02_NO_BAL</v>
      </c>
      <c r="C30" s="2">
        <f t="array" ref="C30">IF($B30="","",INDEX(SchedZone,MATCH($A30,SchedSeq,0),MAP!$B$4))</f>
        <v>2</v>
      </c>
      <c r="D30" s="2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2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2" t="str">
        <f>IF($B30="","",IF(COUNTIF(EngGameID,$B30)&gt;1,"DUP",""))</f>
        <v/>
      </c>
      <c r="G30" s="2" t="str">
        <f>IF($B30="","",IF(OR(COUNTIFS(EngWeek,$C30,EngAway,$D30)+COUNTIFS(EngWeek,$C30,EngHome,$D30)&gt;1,COUNTIFS(EngWeek,$C30,EngAway,$E30)+COUNTIFS(EngWeek,$C30,EngHome,$E30)&gt;1),"DUP",""))</f>
        <v/>
      </c>
      <c r="H30" s="2" t="str">
        <f>IF($B30="","",IF(OR(SUMPRODUCT((CLGameID=$B30)*CLUnmatched)&gt;0,LEFT($D30,1)="⚠",LEFT($E30,1)="⚠"),"UNMATCHED",""))</f>
        <v/>
      </c>
      <c r="I30" s="2" t="str">
        <f t="array" ref="I30">IF($B30="","",IF(OR(NOT(ISNUMBER(IFERROR(INDEX(RatEff,MATCH($D30,RatTeams,0)),"x"))),NOT(ISNUMBER(IFERROR(INDEX(RatEff,MATCH($E30,RatTeams,0)),"x")))),"MISSING",""))</f>
        <v/>
      </c>
      <c r="J30" s="2" t="str">
        <f>IF($B30="","",IF(SUMPRODUCT((CLGameID=$B30)*CLPlayed*(CLUseCur+CLUsePrev&gt;0)*(CLPlays=0))&gt;0,"MISSING",""))</f>
        <v/>
      </c>
      <c r="K30" s="2" t="str">
        <f>IF($B30="","",IF(SUMPRODUCT((CLGameID=$B30)*CLPlayed*((CLOffPts&lt;-20)+(CLOffPts&gt;90)))&gt;0,"CHECK",""))</f>
        <v/>
      </c>
      <c r="L30" s="2" t="str">
        <f t="array" ref="L30">IF($B30="","",IF(OR(ABS(IFERROR(INDEX(RatEff,MATCH($D30,RatTeams,0)),0))&gt;RatingRange,ABS(IFERROR(INDEX(RatEff,MATCH($E30,RatTeams,0)),0))&gt;RatingRange),"RANGE",""))</f>
        <v/>
      </c>
      <c r="M30" s="2" t="str">
        <f t="array" ref="M30">IF($B30="","",IF(OR(IFERROR(INDEX(CalcMoveFlag,MATCH($D30,CalcTeams,0)),"")="CAPPED",IFERROR(INDEX(CalcMoveFlag,MATCH($E30,CalcTeams,0)),"")="CAPPED"),"CAPPED",""))</f>
        <v/>
      </c>
      <c r="N30" s="2" t="str">
        <f>IF($B30="","",IF(ABS(SUMIFS(AdjSpread,AdjGameID,$B30,AdjActive,1))&gt;AdjCap,"LARGE",""))</f>
        <v/>
      </c>
      <c r="O30" s="2" t="str">
        <f t="array" ref="O30">IF($B30="","",IFERROR(INDEX(MktStale,MATCH($B30,MktGameID,0)),""))</f>
        <v/>
      </c>
      <c r="P30" s="2" t="str">
        <f t="shared" si="1"/>
        <v>READY</v>
      </c>
    </row>
    <row r="31" ht="15.0" customHeight="1">
      <c r="A31" s="2">
        <v>20.0</v>
      </c>
      <c r="B31" s="2" t="str">
        <f t="array" ref="B31">IFERROR(INDEX(SchedZone,MATCH($A31,SchedSeq,0),MAP!$B$6),"")</f>
        <v>2026_02_MIN_CHI</v>
      </c>
      <c r="C31" s="2">
        <f t="array" ref="C31">IF($B31="","",INDEX(SchedZone,MATCH($A31,SchedSeq,0),MAP!$B$4))</f>
        <v>2</v>
      </c>
      <c r="D31" s="2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2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2" t="str">
        <f>IF($B31="","",IF(COUNTIF(EngGameID,$B31)&gt;1,"DUP",""))</f>
        <v/>
      </c>
      <c r="G31" s="2" t="str">
        <f>IF($B31="","",IF(OR(COUNTIFS(EngWeek,$C31,EngAway,$D31)+COUNTIFS(EngWeek,$C31,EngHome,$D31)&gt;1,COUNTIFS(EngWeek,$C31,EngAway,$E31)+COUNTIFS(EngWeek,$C31,EngHome,$E31)&gt;1),"DUP",""))</f>
        <v/>
      </c>
      <c r="H31" s="2" t="str">
        <f>IF($B31="","",IF(OR(SUMPRODUCT((CLGameID=$B31)*CLUnmatched)&gt;0,LEFT($D31,1)="⚠",LEFT($E31,1)="⚠"),"UNMATCHED",""))</f>
        <v/>
      </c>
      <c r="I31" s="2" t="str">
        <f t="array" ref="I31">IF($B31="","",IF(OR(NOT(ISNUMBER(IFERROR(INDEX(RatEff,MATCH($D31,RatTeams,0)),"x"))),NOT(ISNUMBER(IFERROR(INDEX(RatEff,MATCH($E31,RatTeams,0)),"x")))),"MISSING",""))</f>
        <v/>
      </c>
      <c r="J31" s="2" t="str">
        <f>IF($B31="","",IF(SUMPRODUCT((CLGameID=$B31)*CLPlayed*(CLUseCur+CLUsePrev&gt;0)*(CLPlays=0))&gt;0,"MISSING",""))</f>
        <v/>
      </c>
      <c r="K31" s="2" t="str">
        <f>IF($B31="","",IF(SUMPRODUCT((CLGameID=$B31)*CLPlayed*((CLOffPts&lt;-20)+(CLOffPts&gt;90)))&gt;0,"CHECK",""))</f>
        <v/>
      </c>
      <c r="L31" s="2" t="str">
        <f t="array" ref="L31">IF($B31="","",IF(OR(ABS(IFERROR(INDEX(RatEff,MATCH($D31,RatTeams,0)),0))&gt;RatingRange,ABS(IFERROR(INDEX(RatEff,MATCH($E31,RatTeams,0)),0))&gt;RatingRange),"RANGE",""))</f>
        <v/>
      </c>
      <c r="M31" s="2" t="str">
        <f t="array" ref="M31">IF($B31="","",IF(OR(IFERROR(INDEX(CalcMoveFlag,MATCH($D31,CalcTeams,0)),"")="CAPPED",IFERROR(INDEX(CalcMoveFlag,MATCH($E31,CalcTeams,0)),"")="CAPPED"),"CAPPED",""))</f>
        <v/>
      </c>
      <c r="N31" s="2" t="str">
        <f>IF($B31="","",IF(ABS(SUMIFS(AdjSpread,AdjGameID,$B31,AdjActive,1))&gt;AdjCap,"LARGE",""))</f>
        <v/>
      </c>
      <c r="O31" s="2" t="str">
        <f t="array" ref="O31">IF($B31="","",IFERROR(INDEX(MktStale,MATCH($B31,MktGameID,0)),""))</f>
        <v/>
      </c>
      <c r="P31" s="2" t="str">
        <f t="shared" si="1"/>
        <v>READY</v>
      </c>
    </row>
    <row r="32" ht="15.0" customHeight="1">
      <c r="A32" s="2">
        <v>21.0</v>
      </c>
      <c r="B32" s="2" t="str">
        <f t="array" ref="B32">IFERROR(INDEX(SchedZone,MATCH($A32,SchedSeq,0),MAP!$B$6),"")</f>
        <v>2026_02_CIN_HOU</v>
      </c>
      <c r="C32" s="2">
        <f t="array" ref="C32">IF($B32="","",INDEX(SchedZone,MATCH($A32,SchedSeq,0),MAP!$B$4))</f>
        <v>2</v>
      </c>
      <c r="D32" s="2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2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2" t="str">
        <f>IF($B32="","",IF(COUNTIF(EngGameID,$B32)&gt;1,"DUP",""))</f>
        <v/>
      </c>
      <c r="G32" s="2" t="str">
        <f>IF($B32="","",IF(OR(COUNTIFS(EngWeek,$C32,EngAway,$D32)+COUNTIFS(EngWeek,$C32,EngHome,$D32)&gt;1,COUNTIFS(EngWeek,$C32,EngAway,$E32)+COUNTIFS(EngWeek,$C32,EngHome,$E32)&gt;1),"DUP",""))</f>
        <v/>
      </c>
      <c r="H32" s="2" t="str">
        <f>IF($B32="","",IF(OR(SUMPRODUCT((CLGameID=$B32)*CLUnmatched)&gt;0,LEFT($D32,1)="⚠",LEFT($E32,1)="⚠"),"UNMATCHED",""))</f>
        <v/>
      </c>
      <c r="I32" s="2" t="str">
        <f t="array" ref="I32">IF($B32="","",IF(OR(NOT(ISNUMBER(IFERROR(INDEX(RatEff,MATCH($D32,RatTeams,0)),"x"))),NOT(ISNUMBER(IFERROR(INDEX(RatEff,MATCH($E32,RatTeams,0)),"x")))),"MISSING",""))</f>
        <v/>
      </c>
      <c r="J32" s="2" t="str">
        <f>IF($B32="","",IF(SUMPRODUCT((CLGameID=$B32)*CLPlayed*(CLUseCur+CLUsePrev&gt;0)*(CLPlays=0))&gt;0,"MISSING",""))</f>
        <v/>
      </c>
      <c r="K32" s="2" t="str">
        <f>IF($B32="","",IF(SUMPRODUCT((CLGameID=$B32)*CLPlayed*((CLOffPts&lt;-20)+(CLOffPts&gt;90)))&gt;0,"CHECK",""))</f>
        <v/>
      </c>
      <c r="L32" s="2" t="str">
        <f t="array" ref="L32">IF($B32="","",IF(OR(ABS(IFERROR(INDEX(RatEff,MATCH($D32,RatTeams,0)),0))&gt;RatingRange,ABS(IFERROR(INDEX(RatEff,MATCH($E32,RatTeams,0)),0))&gt;RatingRange),"RANGE",""))</f>
        <v/>
      </c>
      <c r="M32" s="2" t="str">
        <f t="array" ref="M32">IF($B32="","",IF(OR(IFERROR(INDEX(CalcMoveFlag,MATCH($D32,CalcTeams,0)),"")="CAPPED",IFERROR(INDEX(CalcMoveFlag,MATCH($E32,CalcTeams,0)),"")="CAPPED"),"CAPPED",""))</f>
        <v/>
      </c>
      <c r="N32" s="2" t="str">
        <f>IF($B32="","",IF(ABS(SUMIFS(AdjSpread,AdjGameID,$B32,AdjActive,1))&gt;AdjCap,"LARGE",""))</f>
        <v/>
      </c>
      <c r="O32" s="2" t="str">
        <f t="array" ref="O32">IF($B32="","",IFERROR(INDEX(MktStale,MATCH($B32,MktGameID,0)),""))</f>
        <v/>
      </c>
      <c r="P32" s="2" t="str">
        <f t="shared" si="1"/>
        <v>READY</v>
      </c>
    </row>
    <row r="33" ht="15.0" customHeight="1">
      <c r="A33" s="2">
        <v>22.0</v>
      </c>
      <c r="B33" s="2" t="str">
        <f t="array" ref="B33">IFERROR(INDEX(SchedZone,MATCH($A33,SchedSeq,0),MAP!$B$6),"")</f>
        <v>2026_02_PIT_NE</v>
      </c>
      <c r="C33" s="2">
        <f t="array" ref="C33">IF($B33="","",INDEX(SchedZone,MATCH($A33,SchedSeq,0),MAP!$B$4))</f>
        <v>2</v>
      </c>
      <c r="D33" s="2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2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2" t="str">
        <f>IF($B33="","",IF(COUNTIF(EngGameID,$B33)&gt;1,"DUP",""))</f>
        <v/>
      </c>
      <c r="G33" s="2" t="str">
        <f>IF($B33="","",IF(OR(COUNTIFS(EngWeek,$C33,EngAway,$D33)+COUNTIFS(EngWeek,$C33,EngHome,$D33)&gt;1,COUNTIFS(EngWeek,$C33,EngAway,$E33)+COUNTIFS(EngWeek,$C33,EngHome,$E33)&gt;1),"DUP",""))</f>
        <v/>
      </c>
      <c r="H33" s="2" t="str">
        <f>IF($B33="","",IF(OR(SUMPRODUCT((CLGameID=$B33)*CLUnmatched)&gt;0,LEFT($D33,1)="⚠",LEFT($E33,1)="⚠"),"UNMATCHED",""))</f>
        <v/>
      </c>
      <c r="I33" s="2" t="str">
        <f t="array" ref="I33">IF($B33="","",IF(OR(NOT(ISNUMBER(IFERROR(INDEX(RatEff,MATCH($D33,RatTeams,0)),"x"))),NOT(ISNUMBER(IFERROR(INDEX(RatEff,MATCH($E33,RatTeams,0)),"x")))),"MISSING",""))</f>
        <v/>
      </c>
      <c r="J33" s="2" t="str">
        <f>IF($B33="","",IF(SUMPRODUCT((CLGameID=$B33)*CLPlayed*(CLUseCur+CLUsePrev&gt;0)*(CLPlays=0))&gt;0,"MISSING",""))</f>
        <v/>
      </c>
      <c r="K33" s="2" t="str">
        <f>IF($B33="","",IF(SUMPRODUCT((CLGameID=$B33)*CLPlayed*((CLOffPts&lt;-20)+(CLOffPts&gt;90)))&gt;0,"CHECK",""))</f>
        <v/>
      </c>
      <c r="L33" s="2" t="str">
        <f t="array" ref="L33">IF($B33="","",IF(OR(ABS(IFERROR(INDEX(RatEff,MATCH($D33,RatTeams,0)),0))&gt;RatingRange,ABS(IFERROR(INDEX(RatEff,MATCH($E33,RatTeams,0)),0))&gt;RatingRange),"RANGE",""))</f>
        <v/>
      </c>
      <c r="M33" s="2" t="str">
        <f t="array" ref="M33">IF($B33="","",IF(OR(IFERROR(INDEX(CalcMoveFlag,MATCH($D33,CalcTeams,0)),"")="CAPPED",IFERROR(INDEX(CalcMoveFlag,MATCH($E33,CalcTeams,0)),"")="CAPPED"),"CAPPED",""))</f>
        <v/>
      </c>
      <c r="N33" s="2" t="str">
        <f>IF($B33="","",IF(ABS(SUMIFS(AdjSpread,AdjGameID,$B33,AdjActive,1))&gt;AdjCap,"LARGE",""))</f>
        <v/>
      </c>
      <c r="O33" s="2" t="str">
        <f t="array" ref="O33">IF($B33="","",IFERROR(INDEX(MktStale,MATCH($B33,MktGameID,0)),""))</f>
        <v/>
      </c>
      <c r="P33" s="2" t="str">
        <f t="shared" si="1"/>
        <v>READY</v>
      </c>
    </row>
    <row r="34" ht="15.0" customHeight="1">
      <c r="A34" s="2">
        <v>23.0</v>
      </c>
      <c r="B34" s="2" t="str">
        <f t="array" ref="B34">IFERROR(INDEX(SchedZone,MATCH($A34,SchedSeq,0),MAP!$B$6),"")</f>
        <v>2026_02_GB_NYJ</v>
      </c>
      <c r="C34" s="2">
        <f t="array" ref="C34">IF($B34="","",INDEX(SchedZone,MATCH($A34,SchedSeq,0),MAP!$B$4))</f>
        <v>2</v>
      </c>
      <c r="D34" s="2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2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2" t="str">
        <f>IF($B34="","",IF(COUNTIF(EngGameID,$B34)&gt;1,"DUP",""))</f>
        <v/>
      </c>
      <c r="G34" s="2" t="str">
        <f>IF($B34="","",IF(OR(COUNTIFS(EngWeek,$C34,EngAway,$D34)+COUNTIFS(EngWeek,$C34,EngHome,$D34)&gt;1,COUNTIFS(EngWeek,$C34,EngAway,$E34)+COUNTIFS(EngWeek,$C34,EngHome,$E34)&gt;1),"DUP",""))</f>
        <v/>
      </c>
      <c r="H34" s="2" t="str">
        <f>IF($B34="","",IF(OR(SUMPRODUCT((CLGameID=$B34)*CLUnmatched)&gt;0,LEFT($D34,1)="⚠",LEFT($E34,1)="⚠"),"UNMATCHED",""))</f>
        <v/>
      </c>
      <c r="I34" s="2" t="str">
        <f t="array" ref="I34">IF($B34="","",IF(OR(NOT(ISNUMBER(IFERROR(INDEX(RatEff,MATCH($D34,RatTeams,0)),"x"))),NOT(ISNUMBER(IFERROR(INDEX(RatEff,MATCH($E34,RatTeams,0)),"x")))),"MISSING",""))</f>
        <v/>
      </c>
      <c r="J34" s="2" t="str">
        <f>IF($B34="","",IF(SUMPRODUCT((CLGameID=$B34)*CLPlayed*(CLUseCur+CLUsePrev&gt;0)*(CLPlays=0))&gt;0,"MISSING",""))</f>
        <v/>
      </c>
      <c r="K34" s="2" t="str">
        <f>IF($B34="","",IF(SUMPRODUCT((CLGameID=$B34)*CLPlayed*((CLOffPts&lt;-20)+(CLOffPts&gt;90)))&gt;0,"CHECK",""))</f>
        <v/>
      </c>
      <c r="L34" s="2" t="str">
        <f t="array" ref="L34">IF($B34="","",IF(OR(ABS(IFERROR(INDEX(RatEff,MATCH($D34,RatTeams,0)),0))&gt;RatingRange,ABS(IFERROR(INDEX(RatEff,MATCH($E34,RatTeams,0)),0))&gt;RatingRange),"RANGE",""))</f>
        <v/>
      </c>
      <c r="M34" s="2" t="str">
        <f t="array" ref="M34">IF($B34="","",IF(OR(IFERROR(INDEX(CalcMoveFlag,MATCH($D34,CalcTeams,0)),"")="CAPPED",IFERROR(INDEX(CalcMoveFlag,MATCH($E34,CalcTeams,0)),"")="CAPPED"),"CAPPED",""))</f>
        <v/>
      </c>
      <c r="N34" s="2" t="str">
        <f>IF($B34="","",IF(ABS(SUMIFS(AdjSpread,AdjGameID,$B34,AdjActive,1))&gt;AdjCap,"LARGE",""))</f>
        <v/>
      </c>
      <c r="O34" s="2" t="str">
        <f t="array" ref="O34">IF($B34="","",IFERROR(INDEX(MktStale,MATCH($B34,MktGameID,0)),""))</f>
        <v/>
      </c>
      <c r="P34" s="2" t="str">
        <f t="shared" si="1"/>
        <v>READY</v>
      </c>
    </row>
    <row r="35" ht="15.0" customHeight="1">
      <c r="A35" s="2">
        <v>24.0</v>
      </c>
      <c r="B35" s="2" t="str">
        <f t="array" ref="B35">IFERROR(INDEX(SchedZone,MATCH($A35,SchedSeq,0),MAP!$B$6),"")</f>
        <v>2026_02_CLE_TB</v>
      </c>
      <c r="C35" s="2">
        <f t="array" ref="C35">IF($B35="","",INDEX(SchedZone,MATCH($A35,SchedSeq,0),MAP!$B$4))</f>
        <v>2</v>
      </c>
      <c r="D35" s="2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2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2" t="str">
        <f>IF($B35="","",IF(COUNTIF(EngGameID,$B35)&gt;1,"DUP",""))</f>
        <v/>
      </c>
      <c r="G35" s="2" t="str">
        <f>IF($B35="","",IF(OR(COUNTIFS(EngWeek,$C35,EngAway,$D35)+COUNTIFS(EngWeek,$C35,EngHome,$D35)&gt;1,COUNTIFS(EngWeek,$C35,EngAway,$E35)+COUNTIFS(EngWeek,$C35,EngHome,$E35)&gt;1),"DUP",""))</f>
        <v/>
      </c>
      <c r="H35" s="2" t="str">
        <f>IF($B35="","",IF(OR(SUMPRODUCT((CLGameID=$B35)*CLUnmatched)&gt;0,LEFT($D35,1)="⚠",LEFT($E35,1)="⚠"),"UNMATCHED",""))</f>
        <v/>
      </c>
      <c r="I35" s="2" t="str">
        <f t="array" ref="I35">IF($B35="","",IF(OR(NOT(ISNUMBER(IFERROR(INDEX(RatEff,MATCH($D35,RatTeams,0)),"x"))),NOT(ISNUMBER(IFERROR(INDEX(RatEff,MATCH($E35,RatTeams,0)),"x")))),"MISSING",""))</f>
        <v/>
      </c>
      <c r="J35" s="2" t="str">
        <f>IF($B35="","",IF(SUMPRODUCT((CLGameID=$B35)*CLPlayed*(CLUseCur+CLUsePrev&gt;0)*(CLPlays=0))&gt;0,"MISSING",""))</f>
        <v/>
      </c>
      <c r="K35" s="2" t="str">
        <f>IF($B35="","",IF(SUMPRODUCT((CLGameID=$B35)*CLPlayed*((CLOffPts&lt;-20)+(CLOffPts&gt;90)))&gt;0,"CHECK",""))</f>
        <v/>
      </c>
      <c r="L35" s="2" t="str">
        <f t="array" ref="L35">IF($B35="","",IF(OR(ABS(IFERROR(INDEX(RatEff,MATCH($D35,RatTeams,0)),0))&gt;RatingRange,ABS(IFERROR(INDEX(RatEff,MATCH($E35,RatTeams,0)),0))&gt;RatingRange),"RANGE",""))</f>
        <v/>
      </c>
      <c r="M35" s="2" t="str">
        <f t="array" ref="M35">IF($B35="","",IF(OR(IFERROR(INDEX(CalcMoveFlag,MATCH($D35,CalcTeams,0)),"")="CAPPED",IFERROR(INDEX(CalcMoveFlag,MATCH($E35,CalcTeams,0)),"")="CAPPED"),"CAPPED",""))</f>
        <v/>
      </c>
      <c r="N35" s="2" t="str">
        <f>IF($B35="","",IF(ABS(SUMIFS(AdjSpread,AdjGameID,$B35,AdjActive,1))&gt;AdjCap,"LARGE",""))</f>
        <v/>
      </c>
      <c r="O35" s="2" t="str">
        <f t="array" ref="O35">IF($B35="","",IFERROR(INDEX(MktStale,MATCH($B35,MktGameID,0)),""))</f>
        <v/>
      </c>
      <c r="P35" s="2" t="str">
        <f t="shared" si="1"/>
        <v>READY</v>
      </c>
    </row>
    <row r="36" ht="15.0" customHeight="1">
      <c r="A36" s="2">
        <v>25.0</v>
      </c>
      <c r="B36" s="2" t="str">
        <f t="array" ref="B36">IFERROR(INDEX(SchedZone,MATCH($A36,SchedSeq,0),MAP!$B$6),"")</f>
        <v>2026_02_PHI_TEN</v>
      </c>
      <c r="C36" s="2">
        <f t="array" ref="C36">IF($B36="","",INDEX(SchedZone,MATCH($A36,SchedSeq,0),MAP!$B$4))</f>
        <v>2</v>
      </c>
      <c r="D36" s="2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2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2" t="str">
        <f>IF($B36="","",IF(COUNTIF(EngGameID,$B36)&gt;1,"DUP",""))</f>
        <v/>
      </c>
      <c r="G36" s="2" t="str">
        <f>IF($B36="","",IF(OR(COUNTIFS(EngWeek,$C36,EngAway,$D36)+COUNTIFS(EngWeek,$C36,EngHome,$D36)&gt;1,COUNTIFS(EngWeek,$C36,EngAway,$E36)+COUNTIFS(EngWeek,$C36,EngHome,$E36)&gt;1),"DUP",""))</f>
        <v/>
      </c>
      <c r="H36" s="2" t="str">
        <f>IF($B36="","",IF(OR(SUMPRODUCT((CLGameID=$B36)*CLUnmatched)&gt;0,LEFT($D36,1)="⚠",LEFT($E36,1)="⚠"),"UNMATCHED",""))</f>
        <v/>
      </c>
      <c r="I36" s="2" t="str">
        <f t="array" ref="I36">IF($B36="","",IF(OR(NOT(ISNUMBER(IFERROR(INDEX(RatEff,MATCH($D36,RatTeams,0)),"x"))),NOT(ISNUMBER(IFERROR(INDEX(RatEff,MATCH($E36,RatTeams,0)),"x")))),"MISSING",""))</f>
        <v/>
      </c>
      <c r="J36" s="2" t="str">
        <f>IF($B36="","",IF(SUMPRODUCT((CLGameID=$B36)*CLPlayed*(CLUseCur+CLUsePrev&gt;0)*(CLPlays=0))&gt;0,"MISSING",""))</f>
        <v/>
      </c>
      <c r="K36" s="2" t="str">
        <f>IF($B36="","",IF(SUMPRODUCT((CLGameID=$B36)*CLPlayed*((CLOffPts&lt;-20)+(CLOffPts&gt;90)))&gt;0,"CHECK",""))</f>
        <v/>
      </c>
      <c r="L36" s="2" t="str">
        <f t="array" ref="L36">IF($B36="","",IF(OR(ABS(IFERROR(INDEX(RatEff,MATCH($D36,RatTeams,0)),0))&gt;RatingRange,ABS(IFERROR(INDEX(RatEff,MATCH($E36,RatTeams,0)),0))&gt;RatingRange),"RANGE",""))</f>
        <v/>
      </c>
      <c r="M36" s="2" t="str">
        <f t="array" ref="M36">IF($B36="","",IF(OR(IFERROR(INDEX(CalcMoveFlag,MATCH($D36,CalcTeams,0)),"")="CAPPED",IFERROR(INDEX(CalcMoveFlag,MATCH($E36,CalcTeams,0)),"")="CAPPED"),"CAPPED",""))</f>
        <v/>
      </c>
      <c r="N36" s="2" t="str">
        <f>IF($B36="","",IF(ABS(SUMIFS(AdjSpread,AdjGameID,$B36,AdjActive,1))&gt;AdjCap,"LARGE",""))</f>
        <v/>
      </c>
      <c r="O36" s="2" t="str">
        <f t="array" ref="O36">IF($B36="","",IFERROR(INDEX(MktStale,MATCH($B36,MktGameID,0)),""))</f>
        <v/>
      </c>
      <c r="P36" s="2" t="str">
        <f t="shared" si="1"/>
        <v>READY</v>
      </c>
    </row>
    <row r="37" ht="15.0" customHeight="1">
      <c r="A37" s="2">
        <v>26.0</v>
      </c>
      <c r="B37" s="2" t="str">
        <f t="array" ref="B37">IFERROR(INDEX(SchedZone,MATCH($A37,SchedSeq,0),MAP!$B$6),"")</f>
        <v>2026_02_JAX_DEN</v>
      </c>
      <c r="C37" s="2">
        <f t="array" ref="C37">IF($B37="","",INDEX(SchedZone,MATCH($A37,SchedSeq,0),MAP!$B$4))</f>
        <v>2</v>
      </c>
      <c r="D37" s="2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2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2" t="str">
        <f>IF($B37="","",IF(COUNTIF(EngGameID,$B37)&gt;1,"DUP",""))</f>
        <v/>
      </c>
      <c r="G37" s="2" t="str">
        <f>IF($B37="","",IF(OR(COUNTIFS(EngWeek,$C37,EngAway,$D37)+COUNTIFS(EngWeek,$C37,EngHome,$D37)&gt;1,COUNTIFS(EngWeek,$C37,EngAway,$E37)+COUNTIFS(EngWeek,$C37,EngHome,$E37)&gt;1),"DUP",""))</f>
        <v/>
      </c>
      <c r="H37" s="2" t="str">
        <f>IF($B37="","",IF(OR(SUMPRODUCT((CLGameID=$B37)*CLUnmatched)&gt;0,LEFT($D37,1)="⚠",LEFT($E37,1)="⚠"),"UNMATCHED",""))</f>
        <v/>
      </c>
      <c r="I37" s="2" t="str">
        <f t="array" ref="I37">IF($B37="","",IF(OR(NOT(ISNUMBER(IFERROR(INDEX(RatEff,MATCH($D37,RatTeams,0)),"x"))),NOT(ISNUMBER(IFERROR(INDEX(RatEff,MATCH($E37,RatTeams,0)),"x")))),"MISSING",""))</f>
        <v/>
      </c>
      <c r="J37" s="2" t="str">
        <f>IF($B37="","",IF(SUMPRODUCT((CLGameID=$B37)*CLPlayed*(CLUseCur+CLUsePrev&gt;0)*(CLPlays=0))&gt;0,"MISSING",""))</f>
        <v/>
      </c>
      <c r="K37" s="2" t="str">
        <f>IF($B37="","",IF(SUMPRODUCT((CLGameID=$B37)*CLPlayed*((CLOffPts&lt;-20)+(CLOffPts&gt;90)))&gt;0,"CHECK",""))</f>
        <v/>
      </c>
      <c r="L37" s="2" t="str">
        <f t="array" ref="L37">IF($B37="","",IF(OR(ABS(IFERROR(INDEX(RatEff,MATCH($D37,RatTeams,0)),0))&gt;RatingRange,ABS(IFERROR(INDEX(RatEff,MATCH($E37,RatTeams,0)),0))&gt;RatingRange),"RANGE",""))</f>
        <v/>
      </c>
      <c r="M37" s="2" t="str">
        <f t="array" ref="M37">IF($B37="","",IF(OR(IFERROR(INDEX(CalcMoveFlag,MATCH($D37,CalcTeams,0)),"")="CAPPED",IFERROR(INDEX(CalcMoveFlag,MATCH($E37,CalcTeams,0)),"")="CAPPED"),"CAPPED",""))</f>
        <v/>
      </c>
      <c r="N37" s="2" t="str">
        <f>IF($B37="","",IF(ABS(SUMIFS(AdjSpread,AdjGameID,$B37,AdjActive,1))&gt;AdjCap,"LARGE",""))</f>
        <v/>
      </c>
      <c r="O37" s="2" t="str">
        <f t="array" ref="O37">IF($B37="","",IFERROR(INDEX(MktStale,MATCH($B37,MktGameID,0)),""))</f>
        <v/>
      </c>
      <c r="P37" s="2" t="str">
        <f t="shared" si="1"/>
        <v>READY</v>
      </c>
    </row>
    <row r="38" ht="15.0" customHeight="1">
      <c r="A38" s="2">
        <v>27.0</v>
      </c>
      <c r="B38" s="2" t="str">
        <f t="array" ref="B38">IFERROR(INDEX(SchedZone,MATCH($A38,SchedSeq,0),MAP!$B$6),"")</f>
        <v>2026_02_LV_LAC</v>
      </c>
      <c r="C38" s="2">
        <f t="array" ref="C38">IF($B38="","",INDEX(SchedZone,MATCH($A38,SchedSeq,0),MAP!$B$4))</f>
        <v>2</v>
      </c>
      <c r="D38" s="2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2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2" t="str">
        <f>IF($B38="","",IF(COUNTIF(EngGameID,$B38)&gt;1,"DUP",""))</f>
        <v/>
      </c>
      <c r="G38" s="2" t="str">
        <f>IF($B38="","",IF(OR(COUNTIFS(EngWeek,$C38,EngAway,$D38)+COUNTIFS(EngWeek,$C38,EngHome,$D38)&gt;1,COUNTIFS(EngWeek,$C38,EngAway,$E38)+COUNTIFS(EngWeek,$C38,EngHome,$E38)&gt;1),"DUP",""))</f>
        <v/>
      </c>
      <c r="H38" s="2" t="str">
        <f>IF($B38="","",IF(OR(SUMPRODUCT((CLGameID=$B38)*CLUnmatched)&gt;0,LEFT($D38,1)="⚠",LEFT($E38,1)="⚠"),"UNMATCHED",""))</f>
        <v/>
      </c>
      <c r="I38" s="2" t="str">
        <f t="array" ref="I38">IF($B38="","",IF(OR(NOT(ISNUMBER(IFERROR(INDEX(RatEff,MATCH($D38,RatTeams,0)),"x"))),NOT(ISNUMBER(IFERROR(INDEX(RatEff,MATCH($E38,RatTeams,0)),"x")))),"MISSING",""))</f>
        <v/>
      </c>
      <c r="J38" s="2" t="str">
        <f>IF($B38="","",IF(SUMPRODUCT((CLGameID=$B38)*CLPlayed*(CLUseCur+CLUsePrev&gt;0)*(CLPlays=0))&gt;0,"MISSING",""))</f>
        <v/>
      </c>
      <c r="K38" s="2" t="str">
        <f>IF($B38="","",IF(SUMPRODUCT((CLGameID=$B38)*CLPlayed*((CLOffPts&lt;-20)+(CLOffPts&gt;90)))&gt;0,"CHECK",""))</f>
        <v/>
      </c>
      <c r="L38" s="2" t="str">
        <f t="array" ref="L38">IF($B38="","",IF(OR(ABS(IFERROR(INDEX(RatEff,MATCH($D38,RatTeams,0)),0))&gt;RatingRange,ABS(IFERROR(INDEX(RatEff,MATCH($E38,RatTeams,0)),0))&gt;RatingRange),"RANGE",""))</f>
        <v/>
      </c>
      <c r="M38" s="2" t="str">
        <f t="array" ref="M38">IF($B38="","",IF(OR(IFERROR(INDEX(CalcMoveFlag,MATCH($D38,CalcTeams,0)),"")="CAPPED",IFERROR(INDEX(CalcMoveFlag,MATCH($E38,CalcTeams,0)),"")="CAPPED"),"CAPPED",""))</f>
        <v/>
      </c>
      <c r="N38" s="2" t="str">
        <f>IF($B38="","",IF(ABS(SUMIFS(AdjSpread,AdjGameID,$B38,AdjActive,1))&gt;AdjCap,"LARGE",""))</f>
        <v/>
      </c>
      <c r="O38" s="2" t="str">
        <f t="array" ref="O38">IF($B38="","",IFERROR(INDEX(MktStale,MATCH($B38,MktGameID,0)),""))</f>
        <v/>
      </c>
      <c r="P38" s="2" t="str">
        <f t="shared" si="1"/>
        <v>READY</v>
      </c>
    </row>
    <row r="39" ht="15.0" customHeight="1">
      <c r="A39" s="2">
        <v>28.0</v>
      </c>
      <c r="B39" s="2" t="str">
        <f t="array" ref="B39">IFERROR(INDEX(SchedZone,MATCH($A39,SchedSeq,0),MAP!$B$6),"")</f>
        <v>2026_02_SEA_ARI</v>
      </c>
      <c r="C39" s="2">
        <f t="array" ref="C39">IF($B39="","",INDEX(SchedZone,MATCH($A39,SchedSeq,0),MAP!$B$4))</f>
        <v>2</v>
      </c>
      <c r="D39" s="2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2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2" t="str">
        <f>IF($B39="","",IF(COUNTIF(EngGameID,$B39)&gt;1,"DUP",""))</f>
        <v/>
      </c>
      <c r="G39" s="2" t="str">
        <f>IF($B39="","",IF(OR(COUNTIFS(EngWeek,$C39,EngAway,$D39)+COUNTIFS(EngWeek,$C39,EngHome,$D39)&gt;1,COUNTIFS(EngWeek,$C39,EngAway,$E39)+COUNTIFS(EngWeek,$C39,EngHome,$E39)&gt;1),"DUP",""))</f>
        <v/>
      </c>
      <c r="H39" s="2" t="str">
        <f>IF($B39="","",IF(OR(SUMPRODUCT((CLGameID=$B39)*CLUnmatched)&gt;0,LEFT($D39,1)="⚠",LEFT($E39,1)="⚠"),"UNMATCHED",""))</f>
        <v/>
      </c>
      <c r="I39" s="2" t="str">
        <f t="array" ref="I39">IF($B39="","",IF(OR(NOT(ISNUMBER(IFERROR(INDEX(RatEff,MATCH($D39,RatTeams,0)),"x"))),NOT(ISNUMBER(IFERROR(INDEX(RatEff,MATCH($E39,RatTeams,0)),"x")))),"MISSING",""))</f>
        <v/>
      </c>
      <c r="J39" s="2" t="str">
        <f>IF($B39="","",IF(SUMPRODUCT((CLGameID=$B39)*CLPlayed*(CLUseCur+CLUsePrev&gt;0)*(CLPlays=0))&gt;0,"MISSING",""))</f>
        <v/>
      </c>
      <c r="K39" s="2" t="str">
        <f>IF($B39="","",IF(SUMPRODUCT((CLGameID=$B39)*CLPlayed*((CLOffPts&lt;-20)+(CLOffPts&gt;90)))&gt;0,"CHECK",""))</f>
        <v/>
      </c>
      <c r="L39" s="2" t="str">
        <f t="array" ref="L39">IF($B39="","",IF(OR(ABS(IFERROR(INDEX(RatEff,MATCH($D39,RatTeams,0)),0))&gt;RatingRange,ABS(IFERROR(INDEX(RatEff,MATCH($E39,RatTeams,0)),0))&gt;RatingRange),"RANGE",""))</f>
        <v/>
      </c>
      <c r="M39" s="2" t="str">
        <f t="array" ref="M39">IF($B39="","",IF(OR(IFERROR(INDEX(CalcMoveFlag,MATCH($D39,CalcTeams,0)),"")="CAPPED",IFERROR(INDEX(CalcMoveFlag,MATCH($E39,CalcTeams,0)),"")="CAPPED"),"CAPPED",""))</f>
        <v/>
      </c>
      <c r="N39" s="2" t="str">
        <f>IF($B39="","",IF(ABS(SUMIFS(AdjSpread,AdjGameID,$B39,AdjActive,1))&gt;AdjCap,"LARGE",""))</f>
        <v/>
      </c>
      <c r="O39" s="2" t="str">
        <f t="array" ref="O39">IF($B39="","",IFERROR(INDEX(MktStale,MATCH($B39,MktGameID,0)),""))</f>
        <v/>
      </c>
      <c r="P39" s="2" t="str">
        <f t="shared" si="1"/>
        <v>READY</v>
      </c>
    </row>
    <row r="40" ht="15.0" customHeight="1">
      <c r="A40" s="2">
        <v>29.0</v>
      </c>
      <c r="B40" s="2" t="str">
        <f t="array" ref="B40">IFERROR(INDEX(SchedZone,MATCH($A40,SchedSeq,0),MAP!$B$6),"")</f>
        <v>2026_02_WAS_DAL</v>
      </c>
      <c r="C40" s="2">
        <f t="array" ref="C40">IF($B40="","",INDEX(SchedZone,MATCH($A40,SchedSeq,0),MAP!$B$4))</f>
        <v>2</v>
      </c>
      <c r="D40" s="2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2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2" t="str">
        <f>IF($B40="","",IF(COUNTIF(EngGameID,$B40)&gt;1,"DUP",""))</f>
        <v/>
      </c>
      <c r="G40" s="2" t="str">
        <f>IF($B40="","",IF(OR(COUNTIFS(EngWeek,$C40,EngAway,$D40)+COUNTIFS(EngWeek,$C40,EngHome,$D40)&gt;1,COUNTIFS(EngWeek,$C40,EngAway,$E40)+COUNTIFS(EngWeek,$C40,EngHome,$E40)&gt;1),"DUP",""))</f>
        <v/>
      </c>
      <c r="H40" s="2" t="str">
        <f>IF($B40="","",IF(OR(SUMPRODUCT((CLGameID=$B40)*CLUnmatched)&gt;0,LEFT($D40,1)="⚠",LEFT($E40,1)="⚠"),"UNMATCHED",""))</f>
        <v/>
      </c>
      <c r="I40" s="2" t="str">
        <f t="array" ref="I40">IF($B40="","",IF(OR(NOT(ISNUMBER(IFERROR(INDEX(RatEff,MATCH($D40,RatTeams,0)),"x"))),NOT(ISNUMBER(IFERROR(INDEX(RatEff,MATCH($E40,RatTeams,0)),"x")))),"MISSING",""))</f>
        <v/>
      </c>
      <c r="J40" s="2" t="str">
        <f>IF($B40="","",IF(SUMPRODUCT((CLGameID=$B40)*CLPlayed*(CLUseCur+CLUsePrev&gt;0)*(CLPlays=0))&gt;0,"MISSING",""))</f>
        <v/>
      </c>
      <c r="K40" s="2" t="str">
        <f>IF($B40="","",IF(SUMPRODUCT((CLGameID=$B40)*CLPlayed*((CLOffPts&lt;-20)+(CLOffPts&gt;90)))&gt;0,"CHECK",""))</f>
        <v/>
      </c>
      <c r="L40" s="2" t="str">
        <f t="array" ref="L40">IF($B40="","",IF(OR(ABS(IFERROR(INDEX(RatEff,MATCH($D40,RatTeams,0)),0))&gt;RatingRange,ABS(IFERROR(INDEX(RatEff,MATCH($E40,RatTeams,0)),0))&gt;RatingRange),"RANGE",""))</f>
        <v/>
      </c>
      <c r="M40" s="2" t="str">
        <f t="array" ref="M40">IF($B40="","",IF(OR(IFERROR(INDEX(CalcMoveFlag,MATCH($D40,CalcTeams,0)),"")="CAPPED",IFERROR(INDEX(CalcMoveFlag,MATCH($E40,CalcTeams,0)),"")="CAPPED"),"CAPPED",""))</f>
        <v/>
      </c>
      <c r="N40" s="2" t="str">
        <f>IF($B40="","",IF(ABS(SUMIFS(AdjSpread,AdjGameID,$B40,AdjActive,1))&gt;AdjCap,"LARGE",""))</f>
        <v/>
      </c>
      <c r="O40" s="2" t="str">
        <f t="array" ref="O40">IF($B40="","",IFERROR(INDEX(MktStale,MATCH($B40,MktGameID,0)),""))</f>
        <v/>
      </c>
      <c r="P40" s="2" t="str">
        <f t="shared" si="1"/>
        <v>READY</v>
      </c>
    </row>
    <row r="41" ht="15.0" customHeight="1">
      <c r="A41" s="2">
        <v>30.0</v>
      </c>
      <c r="B41" s="2" t="str">
        <f t="array" ref="B41">IFERROR(INDEX(SchedZone,MATCH($A41,SchedSeq,0),MAP!$B$6),"")</f>
        <v>2026_02_MIA_SF</v>
      </c>
      <c r="C41" s="2">
        <f t="array" ref="C41">IF($B41="","",INDEX(SchedZone,MATCH($A41,SchedSeq,0),MAP!$B$4))</f>
        <v>2</v>
      </c>
      <c r="D41" s="2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2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2" t="str">
        <f>IF($B41="","",IF(COUNTIF(EngGameID,$B41)&gt;1,"DUP",""))</f>
        <v/>
      </c>
      <c r="G41" s="2" t="str">
        <f>IF($B41="","",IF(OR(COUNTIFS(EngWeek,$C41,EngAway,$D41)+COUNTIFS(EngWeek,$C41,EngHome,$D41)&gt;1,COUNTIFS(EngWeek,$C41,EngAway,$E41)+COUNTIFS(EngWeek,$C41,EngHome,$E41)&gt;1),"DUP",""))</f>
        <v/>
      </c>
      <c r="H41" s="2" t="str">
        <f>IF($B41="","",IF(OR(SUMPRODUCT((CLGameID=$B41)*CLUnmatched)&gt;0,LEFT($D41,1)="⚠",LEFT($E41,1)="⚠"),"UNMATCHED",""))</f>
        <v/>
      </c>
      <c r="I41" s="2" t="str">
        <f t="array" ref="I41">IF($B41="","",IF(OR(NOT(ISNUMBER(IFERROR(INDEX(RatEff,MATCH($D41,RatTeams,0)),"x"))),NOT(ISNUMBER(IFERROR(INDEX(RatEff,MATCH($E41,RatTeams,0)),"x")))),"MISSING",""))</f>
        <v/>
      </c>
      <c r="J41" s="2" t="str">
        <f>IF($B41="","",IF(SUMPRODUCT((CLGameID=$B41)*CLPlayed*(CLUseCur+CLUsePrev&gt;0)*(CLPlays=0))&gt;0,"MISSING",""))</f>
        <v/>
      </c>
      <c r="K41" s="2" t="str">
        <f>IF($B41="","",IF(SUMPRODUCT((CLGameID=$B41)*CLPlayed*((CLOffPts&lt;-20)+(CLOffPts&gt;90)))&gt;0,"CHECK",""))</f>
        <v/>
      </c>
      <c r="L41" s="2" t="str">
        <f t="array" ref="L41">IF($B41="","",IF(OR(ABS(IFERROR(INDEX(RatEff,MATCH($D41,RatTeams,0)),0))&gt;RatingRange,ABS(IFERROR(INDEX(RatEff,MATCH($E41,RatTeams,0)),0))&gt;RatingRange),"RANGE",""))</f>
        <v/>
      </c>
      <c r="M41" s="2" t="str">
        <f t="array" ref="M41">IF($B41="","",IF(OR(IFERROR(INDEX(CalcMoveFlag,MATCH($D41,CalcTeams,0)),"")="CAPPED",IFERROR(INDEX(CalcMoveFlag,MATCH($E41,CalcTeams,0)),"")="CAPPED"),"CAPPED",""))</f>
        <v/>
      </c>
      <c r="N41" s="2" t="str">
        <f>IF($B41="","",IF(ABS(SUMIFS(AdjSpread,AdjGameID,$B41,AdjActive,1))&gt;AdjCap,"LARGE",""))</f>
        <v/>
      </c>
      <c r="O41" s="2" t="str">
        <f t="array" ref="O41">IF($B41="","",IFERROR(INDEX(MktStale,MATCH($B41,MktGameID,0)),""))</f>
        <v/>
      </c>
      <c r="P41" s="2" t="str">
        <f t="shared" si="1"/>
        <v>READY</v>
      </c>
    </row>
    <row r="42" ht="15.0" customHeight="1">
      <c r="A42" s="2">
        <v>31.0</v>
      </c>
      <c r="B42" s="2" t="str">
        <f t="array" ref="B42">IFERROR(INDEX(SchedZone,MATCH($A42,SchedSeq,0),MAP!$B$6),"")</f>
        <v>2026_02_IND_KC</v>
      </c>
      <c r="C42" s="2">
        <f t="array" ref="C42">IF($B42="","",INDEX(SchedZone,MATCH($A42,SchedSeq,0),MAP!$B$4))</f>
        <v>2</v>
      </c>
      <c r="D42" s="2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2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2" t="str">
        <f>IF($B42="","",IF(COUNTIF(EngGameID,$B42)&gt;1,"DUP",""))</f>
        <v/>
      </c>
      <c r="G42" s="2" t="str">
        <f>IF($B42="","",IF(OR(COUNTIFS(EngWeek,$C42,EngAway,$D42)+COUNTIFS(EngWeek,$C42,EngHome,$D42)&gt;1,COUNTIFS(EngWeek,$C42,EngAway,$E42)+COUNTIFS(EngWeek,$C42,EngHome,$E42)&gt;1),"DUP",""))</f>
        <v/>
      </c>
      <c r="H42" s="2" t="str">
        <f>IF($B42="","",IF(OR(SUMPRODUCT((CLGameID=$B42)*CLUnmatched)&gt;0,LEFT($D42,1)="⚠",LEFT($E42,1)="⚠"),"UNMATCHED",""))</f>
        <v/>
      </c>
      <c r="I42" s="2" t="str">
        <f t="array" ref="I42">IF($B42="","",IF(OR(NOT(ISNUMBER(IFERROR(INDEX(RatEff,MATCH($D42,RatTeams,0)),"x"))),NOT(ISNUMBER(IFERROR(INDEX(RatEff,MATCH($E42,RatTeams,0)),"x")))),"MISSING",""))</f>
        <v/>
      </c>
      <c r="J42" s="2" t="str">
        <f>IF($B42="","",IF(SUMPRODUCT((CLGameID=$B42)*CLPlayed*(CLUseCur+CLUsePrev&gt;0)*(CLPlays=0))&gt;0,"MISSING",""))</f>
        <v/>
      </c>
      <c r="K42" s="2" t="str">
        <f>IF($B42="","",IF(SUMPRODUCT((CLGameID=$B42)*CLPlayed*((CLOffPts&lt;-20)+(CLOffPts&gt;90)))&gt;0,"CHECK",""))</f>
        <v/>
      </c>
      <c r="L42" s="2" t="str">
        <f t="array" ref="L42">IF($B42="","",IF(OR(ABS(IFERROR(INDEX(RatEff,MATCH($D42,RatTeams,0)),0))&gt;RatingRange,ABS(IFERROR(INDEX(RatEff,MATCH($E42,RatTeams,0)),0))&gt;RatingRange),"RANGE",""))</f>
        <v/>
      </c>
      <c r="M42" s="2" t="str">
        <f t="array" ref="M42">IF($B42="","",IF(OR(IFERROR(INDEX(CalcMoveFlag,MATCH($D42,CalcTeams,0)),"")="CAPPED",IFERROR(INDEX(CalcMoveFlag,MATCH($E42,CalcTeams,0)),"")="CAPPED"),"CAPPED",""))</f>
        <v/>
      </c>
      <c r="N42" s="2" t="str">
        <f>IF($B42="","",IF(ABS(SUMIFS(AdjSpread,AdjGameID,$B42,AdjActive,1))&gt;AdjCap,"LARGE",""))</f>
        <v/>
      </c>
      <c r="O42" s="2" t="str">
        <f t="array" ref="O42">IF($B42="","",IFERROR(INDEX(MktStale,MATCH($B42,MktGameID,0)),""))</f>
        <v/>
      </c>
      <c r="P42" s="2" t="str">
        <f t="shared" si="1"/>
        <v>READY</v>
      </c>
    </row>
    <row r="43" ht="15.0" customHeight="1">
      <c r="A43" s="2">
        <v>32.0</v>
      </c>
      <c r="B43" s="2" t="str">
        <f t="array" ref="B43">IFERROR(INDEX(SchedZone,MATCH($A43,SchedSeq,0),MAP!$B$6),"")</f>
        <v>2026_02_NYG_LA</v>
      </c>
      <c r="C43" s="2">
        <f t="array" ref="C43">IF($B43="","",INDEX(SchedZone,MATCH($A43,SchedSeq,0),MAP!$B$4))</f>
        <v>2</v>
      </c>
      <c r="D43" s="2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2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2" t="str">
        <f>IF($B43="","",IF(COUNTIF(EngGameID,$B43)&gt;1,"DUP",""))</f>
        <v/>
      </c>
      <c r="G43" s="2" t="str">
        <f>IF($B43="","",IF(OR(COUNTIFS(EngWeek,$C43,EngAway,$D43)+COUNTIFS(EngWeek,$C43,EngHome,$D43)&gt;1,COUNTIFS(EngWeek,$C43,EngAway,$E43)+COUNTIFS(EngWeek,$C43,EngHome,$E43)&gt;1),"DUP",""))</f>
        <v/>
      </c>
      <c r="H43" s="2" t="str">
        <f>IF($B43="","",IF(OR(SUMPRODUCT((CLGameID=$B43)*CLUnmatched)&gt;0,LEFT($D43,1)="⚠",LEFT($E43,1)="⚠"),"UNMATCHED",""))</f>
        <v/>
      </c>
      <c r="I43" s="2" t="str">
        <f t="array" ref="I43">IF($B43="","",IF(OR(NOT(ISNUMBER(IFERROR(INDEX(RatEff,MATCH($D43,RatTeams,0)),"x"))),NOT(ISNUMBER(IFERROR(INDEX(RatEff,MATCH($E43,RatTeams,0)),"x")))),"MISSING",""))</f>
        <v/>
      </c>
      <c r="J43" s="2" t="str">
        <f>IF($B43="","",IF(SUMPRODUCT((CLGameID=$B43)*CLPlayed*(CLUseCur+CLUsePrev&gt;0)*(CLPlays=0))&gt;0,"MISSING",""))</f>
        <v/>
      </c>
      <c r="K43" s="2" t="str">
        <f>IF($B43="","",IF(SUMPRODUCT((CLGameID=$B43)*CLPlayed*((CLOffPts&lt;-20)+(CLOffPts&gt;90)))&gt;0,"CHECK",""))</f>
        <v/>
      </c>
      <c r="L43" s="2" t="str">
        <f t="array" ref="L43">IF($B43="","",IF(OR(ABS(IFERROR(INDEX(RatEff,MATCH($D43,RatTeams,0)),0))&gt;RatingRange,ABS(IFERROR(INDEX(RatEff,MATCH($E43,RatTeams,0)),0))&gt;RatingRange),"RANGE",""))</f>
        <v/>
      </c>
      <c r="M43" s="2" t="str">
        <f t="array" ref="M43">IF($B43="","",IF(OR(IFERROR(INDEX(CalcMoveFlag,MATCH($D43,CalcTeams,0)),"")="CAPPED",IFERROR(INDEX(CalcMoveFlag,MATCH($E43,CalcTeams,0)),"")="CAPPED"),"CAPPED",""))</f>
        <v/>
      </c>
      <c r="N43" s="2" t="str">
        <f>IF($B43="","",IF(ABS(SUMIFS(AdjSpread,AdjGameID,$B43,AdjActive,1))&gt;AdjCap,"LARGE",""))</f>
        <v/>
      </c>
      <c r="O43" s="2" t="str">
        <f t="array" ref="O43">IF($B43="","",IFERROR(INDEX(MktStale,MATCH($B43,MktGameID,0)),""))</f>
        <v/>
      </c>
      <c r="P43" s="2" t="str">
        <f t="shared" si="1"/>
        <v>READY</v>
      </c>
    </row>
    <row r="44" ht="15.0" customHeight="1">
      <c r="A44" s="2">
        <v>33.0</v>
      </c>
      <c r="B44" s="2" t="str">
        <f t="array" ref="B44">IFERROR(INDEX(SchedZone,MATCH($A44,SchedSeq,0),MAP!$B$6),"")</f>
        <v>2026_03_ATL_GB</v>
      </c>
      <c r="C44" s="2">
        <f t="array" ref="C44">IF($B44="","",INDEX(SchedZone,MATCH($A44,SchedSeq,0),MAP!$B$4))</f>
        <v>3</v>
      </c>
      <c r="D44" s="2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2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2" t="str">
        <f>IF($B44="","",IF(COUNTIF(EngGameID,$B44)&gt;1,"DUP",""))</f>
        <v/>
      </c>
      <c r="G44" s="2" t="str">
        <f>IF($B44="","",IF(OR(COUNTIFS(EngWeek,$C44,EngAway,$D44)+COUNTIFS(EngWeek,$C44,EngHome,$D44)&gt;1,COUNTIFS(EngWeek,$C44,EngAway,$E44)+COUNTIFS(EngWeek,$C44,EngHome,$E44)&gt;1),"DUP",""))</f>
        <v/>
      </c>
      <c r="H44" s="2" t="str">
        <f>IF($B44="","",IF(OR(SUMPRODUCT((CLGameID=$B44)*CLUnmatched)&gt;0,LEFT($D44,1)="⚠",LEFT($E44,1)="⚠"),"UNMATCHED",""))</f>
        <v/>
      </c>
      <c r="I44" s="2" t="str">
        <f t="array" ref="I44">IF($B44="","",IF(OR(NOT(ISNUMBER(IFERROR(INDEX(RatEff,MATCH($D44,RatTeams,0)),"x"))),NOT(ISNUMBER(IFERROR(INDEX(RatEff,MATCH($E44,RatTeams,0)),"x")))),"MISSING",""))</f>
        <v/>
      </c>
      <c r="J44" s="2" t="str">
        <f>IF($B44="","",IF(SUMPRODUCT((CLGameID=$B44)*CLPlayed*(CLUseCur+CLUsePrev&gt;0)*(CLPlays=0))&gt;0,"MISSING",""))</f>
        <v/>
      </c>
      <c r="K44" s="2" t="str">
        <f>IF($B44="","",IF(SUMPRODUCT((CLGameID=$B44)*CLPlayed*((CLOffPts&lt;-20)+(CLOffPts&gt;90)))&gt;0,"CHECK",""))</f>
        <v/>
      </c>
      <c r="L44" s="2" t="str">
        <f t="array" ref="L44">IF($B44="","",IF(OR(ABS(IFERROR(INDEX(RatEff,MATCH($D44,RatTeams,0)),0))&gt;RatingRange,ABS(IFERROR(INDEX(RatEff,MATCH($E44,RatTeams,0)),0))&gt;RatingRange),"RANGE",""))</f>
        <v/>
      </c>
      <c r="M44" s="2" t="str">
        <f t="array" ref="M44">IF($B44="","",IF(OR(IFERROR(INDEX(CalcMoveFlag,MATCH($D44,CalcTeams,0)),"")="CAPPED",IFERROR(INDEX(CalcMoveFlag,MATCH($E44,CalcTeams,0)),"")="CAPPED"),"CAPPED",""))</f>
        <v/>
      </c>
      <c r="N44" s="2" t="str">
        <f>IF($B44="","",IF(ABS(SUMIFS(AdjSpread,AdjGameID,$B44,AdjActive,1))&gt;AdjCap,"LARGE",""))</f>
        <v/>
      </c>
      <c r="O44" s="2" t="str">
        <f t="array" ref="O44">IF($B44="","",IFERROR(INDEX(MktStale,MATCH($B44,MktGameID,0)),""))</f>
        <v/>
      </c>
      <c r="P44" s="2" t="str">
        <f t="shared" si="1"/>
        <v>READY</v>
      </c>
    </row>
    <row r="45" ht="15.0" customHeight="1">
      <c r="A45" s="2">
        <v>34.0</v>
      </c>
      <c r="B45" s="2" t="str">
        <f t="array" ref="B45">IFERROR(INDEX(SchedZone,MATCH($A45,SchedSeq,0),MAP!$B$6),"")</f>
        <v>2026_03_LAC_BUF</v>
      </c>
      <c r="C45" s="2">
        <f t="array" ref="C45">IF($B45="","",INDEX(SchedZone,MATCH($A45,SchedSeq,0),MAP!$B$4))</f>
        <v>3</v>
      </c>
      <c r="D45" s="2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2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2" t="str">
        <f>IF($B45="","",IF(COUNTIF(EngGameID,$B45)&gt;1,"DUP",""))</f>
        <v/>
      </c>
      <c r="G45" s="2" t="str">
        <f>IF($B45="","",IF(OR(COUNTIFS(EngWeek,$C45,EngAway,$D45)+COUNTIFS(EngWeek,$C45,EngHome,$D45)&gt;1,COUNTIFS(EngWeek,$C45,EngAway,$E45)+COUNTIFS(EngWeek,$C45,EngHome,$E45)&gt;1),"DUP",""))</f>
        <v/>
      </c>
      <c r="H45" s="2" t="str">
        <f>IF($B45="","",IF(OR(SUMPRODUCT((CLGameID=$B45)*CLUnmatched)&gt;0,LEFT($D45,1)="⚠",LEFT($E45,1)="⚠"),"UNMATCHED",""))</f>
        <v/>
      </c>
      <c r="I45" s="2" t="str">
        <f t="array" ref="I45">IF($B45="","",IF(OR(NOT(ISNUMBER(IFERROR(INDEX(RatEff,MATCH($D45,RatTeams,0)),"x"))),NOT(ISNUMBER(IFERROR(INDEX(RatEff,MATCH($E45,RatTeams,0)),"x")))),"MISSING",""))</f>
        <v/>
      </c>
      <c r="J45" s="2" t="str">
        <f>IF($B45="","",IF(SUMPRODUCT((CLGameID=$B45)*CLPlayed*(CLUseCur+CLUsePrev&gt;0)*(CLPlays=0))&gt;0,"MISSING",""))</f>
        <v/>
      </c>
      <c r="K45" s="2" t="str">
        <f>IF($B45="","",IF(SUMPRODUCT((CLGameID=$B45)*CLPlayed*((CLOffPts&lt;-20)+(CLOffPts&gt;90)))&gt;0,"CHECK",""))</f>
        <v/>
      </c>
      <c r="L45" s="2" t="str">
        <f t="array" ref="L45">IF($B45="","",IF(OR(ABS(IFERROR(INDEX(RatEff,MATCH($D45,RatTeams,0)),0))&gt;RatingRange,ABS(IFERROR(INDEX(RatEff,MATCH($E45,RatTeams,0)),0))&gt;RatingRange),"RANGE",""))</f>
        <v/>
      </c>
      <c r="M45" s="2" t="str">
        <f t="array" ref="M45">IF($B45="","",IF(OR(IFERROR(INDEX(CalcMoveFlag,MATCH($D45,CalcTeams,0)),"")="CAPPED",IFERROR(INDEX(CalcMoveFlag,MATCH($E45,CalcTeams,0)),"")="CAPPED"),"CAPPED",""))</f>
        <v/>
      </c>
      <c r="N45" s="2" t="str">
        <f>IF($B45="","",IF(ABS(SUMIFS(AdjSpread,AdjGameID,$B45,AdjActive,1))&gt;AdjCap,"LARGE",""))</f>
        <v/>
      </c>
      <c r="O45" s="2" t="str">
        <f t="array" ref="O45">IF($B45="","",IFERROR(INDEX(MktStale,MATCH($B45,MktGameID,0)),""))</f>
        <v/>
      </c>
      <c r="P45" s="2" t="str">
        <f t="shared" si="1"/>
        <v>READY</v>
      </c>
    </row>
    <row r="46" ht="15.0" customHeight="1">
      <c r="A46" s="2">
        <v>35.0</v>
      </c>
      <c r="B46" s="2" t="str">
        <f t="array" ref="B46">IFERROR(INDEX(SchedZone,MATCH($A46,SchedSeq,0),MAP!$B$6),"")</f>
        <v>2026_03_CAR_CLE</v>
      </c>
      <c r="C46" s="2">
        <f t="array" ref="C46">IF($B46="","",INDEX(SchedZone,MATCH($A46,SchedSeq,0),MAP!$B$4))</f>
        <v>3</v>
      </c>
      <c r="D46" s="2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2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2" t="str">
        <f>IF($B46="","",IF(COUNTIF(EngGameID,$B46)&gt;1,"DUP",""))</f>
        <v/>
      </c>
      <c r="G46" s="2" t="str">
        <f>IF($B46="","",IF(OR(COUNTIFS(EngWeek,$C46,EngAway,$D46)+COUNTIFS(EngWeek,$C46,EngHome,$D46)&gt;1,COUNTIFS(EngWeek,$C46,EngAway,$E46)+COUNTIFS(EngWeek,$C46,EngHome,$E46)&gt;1),"DUP",""))</f>
        <v/>
      </c>
      <c r="H46" s="2" t="str">
        <f>IF($B46="","",IF(OR(SUMPRODUCT((CLGameID=$B46)*CLUnmatched)&gt;0,LEFT($D46,1)="⚠",LEFT($E46,1)="⚠"),"UNMATCHED",""))</f>
        <v/>
      </c>
      <c r="I46" s="2" t="str">
        <f t="array" ref="I46">IF($B46="","",IF(OR(NOT(ISNUMBER(IFERROR(INDEX(RatEff,MATCH($D46,RatTeams,0)),"x"))),NOT(ISNUMBER(IFERROR(INDEX(RatEff,MATCH($E46,RatTeams,0)),"x")))),"MISSING",""))</f>
        <v/>
      </c>
      <c r="J46" s="2" t="str">
        <f>IF($B46="","",IF(SUMPRODUCT((CLGameID=$B46)*CLPlayed*(CLUseCur+CLUsePrev&gt;0)*(CLPlays=0))&gt;0,"MISSING",""))</f>
        <v/>
      </c>
      <c r="K46" s="2" t="str">
        <f>IF($B46="","",IF(SUMPRODUCT((CLGameID=$B46)*CLPlayed*((CLOffPts&lt;-20)+(CLOffPts&gt;90)))&gt;0,"CHECK",""))</f>
        <v/>
      </c>
      <c r="L46" s="2" t="str">
        <f t="array" ref="L46">IF($B46="","",IF(OR(ABS(IFERROR(INDEX(RatEff,MATCH($D46,RatTeams,0)),0))&gt;RatingRange,ABS(IFERROR(INDEX(RatEff,MATCH($E46,RatTeams,0)),0))&gt;RatingRange),"RANGE",""))</f>
        <v/>
      </c>
      <c r="M46" s="2" t="str">
        <f t="array" ref="M46">IF($B46="","",IF(OR(IFERROR(INDEX(CalcMoveFlag,MATCH($D46,CalcTeams,0)),"")="CAPPED",IFERROR(INDEX(CalcMoveFlag,MATCH($E46,CalcTeams,0)),"")="CAPPED"),"CAPPED",""))</f>
        <v/>
      </c>
      <c r="N46" s="2" t="str">
        <f>IF($B46="","",IF(ABS(SUMIFS(AdjSpread,AdjGameID,$B46,AdjActive,1))&gt;AdjCap,"LARGE",""))</f>
        <v/>
      </c>
      <c r="O46" s="2" t="str">
        <f t="array" ref="O46">IF($B46="","",IFERROR(INDEX(MktStale,MATCH($B46,MktGameID,0)),""))</f>
        <v/>
      </c>
      <c r="P46" s="2" t="str">
        <f t="shared" si="1"/>
        <v>READY</v>
      </c>
    </row>
    <row r="47" ht="15.0" customHeight="1">
      <c r="A47" s="2">
        <v>36.0</v>
      </c>
      <c r="B47" s="2" t="str">
        <f t="array" ref="B47">IFERROR(INDEX(SchedZone,MATCH($A47,SchedSeq,0),MAP!$B$6),"")</f>
        <v>2026_03_NYJ_DET</v>
      </c>
      <c r="C47" s="2">
        <f t="array" ref="C47">IF($B47="","",INDEX(SchedZone,MATCH($A47,SchedSeq,0),MAP!$B$4))</f>
        <v>3</v>
      </c>
      <c r="D47" s="2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2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2" t="str">
        <f>IF($B47="","",IF(COUNTIF(EngGameID,$B47)&gt;1,"DUP",""))</f>
        <v/>
      </c>
      <c r="G47" s="2" t="str">
        <f>IF($B47="","",IF(OR(COUNTIFS(EngWeek,$C47,EngAway,$D47)+COUNTIFS(EngWeek,$C47,EngHome,$D47)&gt;1,COUNTIFS(EngWeek,$C47,EngAway,$E47)+COUNTIFS(EngWeek,$C47,EngHome,$E47)&gt;1),"DUP",""))</f>
        <v/>
      </c>
      <c r="H47" s="2" t="str">
        <f>IF($B47="","",IF(OR(SUMPRODUCT((CLGameID=$B47)*CLUnmatched)&gt;0,LEFT($D47,1)="⚠",LEFT($E47,1)="⚠"),"UNMATCHED",""))</f>
        <v/>
      </c>
      <c r="I47" s="2" t="str">
        <f t="array" ref="I47">IF($B47="","",IF(OR(NOT(ISNUMBER(IFERROR(INDEX(RatEff,MATCH($D47,RatTeams,0)),"x"))),NOT(ISNUMBER(IFERROR(INDEX(RatEff,MATCH($E47,RatTeams,0)),"x")))),"MISSING",""))</f>
        <v/>
      </c>
      <c r="J47" s="2" t="str">
        <f>IF($B47="","",IF(SUMPRODUCT((CLGameID=$B47)*CLPlayed*(CLUseCur+CLUsePrev&gt;0)*(CLPlays=0))&gt;0,"MISSING",""))</f>
        <v/>
      </c>
      <c r="K47" s="2" t="str">
        <f>IF($B47="","",IF(SUMPRODUCT((CLGameID=$B47)*CLPlayed*((CLOffPts&lt;-20)+(CLOffPts&gt;90)))&gt;0,"CHECK",""))</f>
        <v/>
      </c>
      <c r="L47" s="2" t="str">
        <f t="array" ref="L47">IF($B47="","",IF(OR(ABS(IFERROR(INDEX(RatEff,MATCH($D47,RatTeams,0)),0))&gt;RatingRange,ABS(IFERROR(INDEX(RatEff,MATCH($E47,RatTeams,0)),0))&gt;RatingRange),"RANGE",""))</f>
        <v/>
      </c>
      <c r="M47" s="2" t="str">
        <f t="array" ref="M47">IF($B47="","",IF(OR(IFERROR(INDEX(CalcMoveFlag,MATCH($D47,CalcTeams,0)),"")="CAPPED",IFERROR(INDEX(CalcMoveFlag,MATCH($E47,CalcTeams,0)),"")="CAPPED"),"CAPPED",""))</f>
        <v/>
      </c>
      <c r="N47" s="2" t="str">
        <f>IF($B47="","",IF(ABS(SUMIFS(AdjSpread,AdjGameID,$B47,AdjActive,1))&gt;AdjCap,"LARGE",""))</f>
        <v/>
      </c>
      <c r="O47" s="2" t="str">
        <f t="array" ref="O47">IF($B47="","",IFERROR(INDEX(MktStale,MATCH($B47,MktGameID,0)),""))</f>
        <v/>
      </c>
      <c r="P47" s="2" t="str">
        <f t="shared" si="1"/>
        <v>READY</v>
      </c>
    </row>
    <row r="48" ht="15.0" customHeight="1">
      <c r="A48" s="2">
        <v>37.0</v>
      </c>
      <c r="B48" s="2" t="str">
        <f t="array" ref="B48">IFERROR(INDEX(SchedZone,MATCH($A48,SchedSeq,0),MAP!$B$6),"")</f>
        <v>2026_03_HOU_IND</v>
      </c>
      <c r="C48" s="2">
        <f t="array" ref="C48">IF($B48="","",INDEX(SchedZone,MATCH($A48,SchedSeq,0),MAP!$B$4))</f>
        <v>3</v>
      </c>
      <c r="D48" s="2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2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2" t="str">
        <f>IF($B48="","",IF(COUNTIF(EngGameID,$B48)&gt;1,"DUP",""))</f>
        <v/>
      </c>
      <c r="G48" s="2" t="str">
        <f>IF($B48="","",IF(OR(COUNTIFS(EngWeek,$C48,EngAway,$D48)+COUNTIFS(EngWeek,$C48,EngHome,$D48)&gt;1,COUNTIFS(EngWeek,$C48,EngAway,$E48)+COUNTIFS(EngWeek,$C48,EngHome,$E48)&gt;1),"DUP",""))</f>
        <v/>
      </c>
      <c r="H48" s="2" t="str">
        <f>IF($B48="","",IF(OR(SUMPRODUCT((CLGameID=$B48)*CLUnmatched)&gt;0,LEFT($D48,1)="⚠",LEFT($E48,1)="⚠"),"UNMATCHED",""))</f>
        <v/>
      </c>
      <c r="I48" s="2" t="str">
        <f t="array" ref="I48">IF($B48="","",IF(OR(NOT(ISNUMBER(IFERROR(INDEX(RatEff,MATCH($D48,RatTeams,0)),"x"))),NOT(ISNUMBER(IFERROR(INDEX(RatEff,MATCH($E48,RatTeams,0)),"x")))),"MISSING",""))</f>
        <v/>
      </c>
      <c r="J48" s="2" t="str">
        <f>IF($B48="","",IF(SUMPRODUCT((CLGameID=$B48)*CLPlayed*(CLUseCur+CLUsePrev&gt;0)*(CLPlays=0))&gt;0,"MISSING",""))</f>
        <v/>
      </c>
      <c r="K48" s="2" t="str">
        <f>IF($B48="","",IF(SUMPRODUCT((CLGameID=$B48)*CLPlayed*((CLOffPts&lt;-20)+(CLOffPts&gt;90)))&gt;0,"CHECK",""))</f>
        <v/>
      </c>
      <c r="L48" s="2" t="str">
        <f t="array" ref="L48">IF($B48="","",IF(OR(ABS(IFERROR(INDEX(RatEff,MATCH($D48,RatTeams,0)),0))&gt;RatingRange,ABS(IFERROR(INDEX(RatEff,MATCH($E48,RatTeams,0)),0))&gt;RatingRange),"RANGE",""))</f>
        <v/>
      </c>
      <c r="M48" s="2" t="str">
        <f t="array" ref="M48">IF($B48="","",IF(OR(IFERROR(INDEX(CalcMoveFlag,MATCH($D48,CalcTeams,0)),"")="CAPPED",IFERROR(INDEX(CalcMoveFlag,MATCH($E48,CalcTeams,0)),"")="CAPPED"),"CAPPED",""))</f>
        <v/>
      </c>
      <c r="N48" s="2" t="str">
        <f>IF($B48="","",IF(ABS(SUMIFS(AdjSpread,AdjGameID,$B48,AdjActive,1))&gt;AdjCap,"LARGE",""))</f>
        <v/>
      </c>
      <c r="O48" s="2" t="str">
        <f t="array" ref="O48">IF($B48="","",IFERROR(INDEX(MktStale,MATCH($B48,MktGameID,0)),""))</f>
        <v/>
      </c>
      <c r="P48" s="2" t="str">
        <f t="shared" si="1"/>
        <v>READY</v>
      </c>
    </row>
    <row r="49" ht="15.0" customHeight="1">
      <c r="A49" s="2">
        <v>38.0</v>
      </c>
      <c r="B49" s="2" t="str">
        <f t="array" ref="B49">IFERROR(INDEX(SchedZone,MATCH($A49,SchedSeq,0),MAP!$B$6),"")</f>
        <v>2026_03_NE_JAX</v>
      </c>
      <c r="C49" s="2">
        <f t="array" ref="C49">IF($B49="","",INDEX(SchedZone,MATCH($A49,SchedSeq,0),MAP!$B$4))</f>
        <v>3</v>
      </c>
      <c r="D49" s="2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2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2" t="str">
        <f>IF($B49="","",IF(COUNTIF(EngGameID,$B49)&gt;1,"DUP",""))</f>
        <v/>
      </c>
      <c r="G49" s="2" t="str">
        <f>IF($B49="","",IF(OR(COUNTIFS(EngWeek,$C49,EngAway,$D49)+COUNTIFS(EngWeek,$C49,EngHome,$D49)&gt;1,COUNTIFS(EngWeek,$C49,EngAway,$E49)+COUNTIFS(EngWeek,$C49,EngHome,$E49)&gt;1),"DUP",""))</f>
        <v/>
      </c>
      <c r="H49" s="2" t="str">
        <f>IF($B49="","",IF(OR(SUMPRODUCT((CLGameID=$B49)*CLUnmatched)&gt;0,LEFT($D49,1)="⚠",LEFT($E49,1)="⚠"),"UNMATCHED",""))</f>
        <v/>
      </c>
      <c r="I49" s="2" t="str">
        <f t="array" ref="I49">IF($B49="","",IF(OR(NOT(ISNUMBER(IFERROR(INDEX(RatEff,MATCH($D49,RatTeams,0)),"x"))),NOT(ISNUMBER(IFERROR(INDEX(RatEff,MATCH($E49,RatTeams,0)),"x")))),"MISSING",""))</f>
        <v/>
      </c>
      <c r="J49" s="2" t="str">
        <f>IF($B49="","",IF(SUMPRODUCT((CLGameID=$B49)*CLPlayed*(CLUseCur+CLUsePrev&gt;0)*(CLPlays=0))&gt;0,"MISSING",""))</f>
        <v/>
      </c>
      <c r="K49" s="2" t="str">
        <f>IF($B49="","",IF(SUMPRODUCT((CLGameID=$B49)*CLPlayed*((CLOffPts&lt;-20)+(CLOffPts&gt;90)))&gt;0,"CHECK",""))</f>
        <v/>
      </c>
      <c r="L49" s="2" t="str">
        <f t="array" ref="L49">IF($B49="","",IF(OR(ABS(IFERROR(INDEX(RatEff,MATCH($D49,RatTeams,0)),0))&gt;RatingRange,ABS(IFERROR(INDEX(RatEff,MATCH($E49,RatTeams,0)),0))&gt;RatingRange),"RANGE",""))</f>
        <v/>
      </c>
      <c r="M49" s="2" t="str">
        <f t="array" ref="M49">IF($B49="","",IF(OR(IFERROR(INDEX(CalcMoveFlag,MATCH($D49,CalcTeams,0)),"")="CAPPED",IFERROR(INDEX(CalcMoveFlag,MATCH($E49,CalcTeams,0)),"")="CAPPED"),"CAPPED",""))</f>
        <v/>
      </c>
      <c r="N49" s="2" t="str">
        <f>IF($B49="","",IF(ABS(SUMIFS(AdjSpread,AdjGameID,$B49,AdjActive,1))&gt;AdjCap,"LARGE",""))</f>
        <v/>
      </c>
      <c r="O49" s="2" t="str">
        <f t="array" ref="O49">IF($B49="","",IFERROR(INDEX(MktStale,MATCH($B49,MktGameID,0)),""))</f>
        <v/>
      </c>
      <c r="P49" s="2" t="str">
        <f t="shared" si="1"/>
        <v>READY</v>
      </c>
    </row>
    <row r="50" ht="15.0" customHeight="1">
      <c r="A50" s="2">
        <v>39.0</v>
      </c>
      <c r="B50" s="2" t="str">
        <f t="array" ref="B50">IFERROR(INDEX(SchedZone,MATCH($A50,SchedSeq,0),MAP!$B$6),"")</f>
        <v>2026_03_KC_MIA</v>
      </c>
      <c r="C50" s="2">
        <f t="array" ref="C50">IF($B50="","",INDEX(SchedZone,MATCH($A50,SchedSeq,0),MAP!$B$4))</f>
        <v>3</v>
      </c>
      <c r="D50" s="2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2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2" t="str">
        <f>IF($B50="","",IF(COUNTIF(EngGameID,$B50)&gt;1,"DUP",""))</f>
        <v/>
      </c>
      <c r="G50" s="2" t="str">
        <f>IF($B50="","",IF(OR(COUNTIFS(EngWeek,$C50,EngAway,$D50)+COUNTIFS(EngWeek,$C50,EngHome,$D50)&gt;1,COUNTIFS(EngWeek,$C50,EngAway,$E50)+COUNTIFS(EngWeek,$C50,EngHome,$E50)&gt;1),"DUP",""))</f>
        <v/>
      </c>
      <c r="H50" s="2" t="str">
        <f>IF($B50="","",IF(OR(SUMPRODUCT((CLGameID=$B50)*CLUnmatched)&gt;0,LEFT($D50,1)="⚠",LEFT($E50,1)="⚠"),"UNMATCHED",""))</f>
        <v/>
      </c>
      <c r="I50" s="2" t="str">
        <f t="array" ref="I50">IF($B50="","",IF(OR(NOT(ISNUMBER(IFERROR(INDEX(RatEff,MATCH($D50,RatTeams,0)),"x"))),NOT(ISNUMBER(IFERROR(INDEX(RatEff,MATCH($E50,RatTeams,0)),"x")))),"MISSING",""))</f>
        <v/>
      </c>
      <c r="J50" s="2" t="str">
        <f>IF($B50="","",IF(SUMPRODUCT((CLGameID=$B50)*CLPlayed*(CLUseCur+CLUsePrev&gt;0)*(CLPlays=0))&gt;0,"MISSING",""))</f>
        <v/>
      </c>
      <c r="K50" s="2" t="str">
        <f>IF($B50="","",IF(SUMPRODUCT((CLGameID=$B50)*CLPlayed*((CLOffPts&lt;-20)+(CLOffPts&gt;90)))&gt;0,"CHECK",""))</f>
        <v/>
      </c>
      <c r="L50" s="2" t="str">
        <f t="array" ref="L50">IF($B50="","",IF(OR(ABS(IFERROR(INDEX(RatEff,MATCH($D50,RatTeams,0)),0))&gt;RatingRange,ABS(IFERROR(INDEX(RatEff,MATCH($E50,RatTeams,0)),0))&gt;RatingRange),"RANGE",""))</f>
        <v/>
      </c>
      <c r="M50" s="2" t="str">
        <f t="array" ref="M50">IF($B50="","",IF(OR(IFERROR(INDEX(CalcMoveFlag,MATCH($D50,CalcTeams,0)),"")="CAPPED",IFERROR(INDEX(CalcMoveFlag,MATCH($E50,CalcTeams,0)),"")="CAPPED"),"CAPPED",""))</f>
        <v/>
      </c>
      <c r="N50" s="2" t="str">
        <f>IF($B50="","",IF(ABS(SUMIFS(AdjSpread,AdjGameID,$B50,AdjActive,1))&gt;AdjCap,"LARGE",""))</f>
        <v/>
      </c>
      <c r="O50" s="2" t="str">
        <f t="array" ref="O50">IF($B50="","",IFERROR(INDEX(MktStale,MATCH($B50,MktGameID,0)),""))</f>
        <v/>
      </c>
      <c r="P50" s="2" t="str">
        <f t="shared" si="1"/>
        <v>READY</v>
      </c>
    </row>
    <row r="51" ht="15.0" customHeight="1">
      <c r="A51" s="2">
        <v>40.0</v>
      </c>
      <c r="B51" s="2" t="str">
        <f t="array" ref="B51">IFERROR(INDEX(SchedZone,MATCH($A51,SchedSeq,0),MAP!$B$6),"")</f>
        <v>2026_03_TEN_NYG</v>
      </c>
      <c r="C51" s="2">
        <f t="array" ref="C51">IF($B51="","",INDEX(SchedZone,MATCH($A51,SchedSeq,0),MAP!$B$4))</f>
        <v>3</v>
      </c>
      <c r="D51" s="2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2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2" t="str">
        <f>IF($B51="","",IF(COUNTIF(EngGameID,$B51)&gt;1,"DUP",""))</f>
        <v/>
      </c>
      <c r="G51" s="2" t="str">
        <f>IF($B51="","",IF(OR(COUNTIFS(EngWeek,$C51,EngAway,$D51)+COUNTIFS(EngWeek,$C51,EngHome,$D51)&gt;1,COUNTIFS(EngWeek,$C51,EngAway,$E51)+COUNTIFS(EngWeek,$C51,EngHome,$E51)&gt;1),"DUP",""))</f>
        <v/>
      </c>
      <c r="H51" s="2" t="str">
        <f>IF($B51="","",IF(OR(SUMPRODUCT((CLGameID=$B51)*CLUnmatched)&gt;0,LEFT($D51,1)="⚠",LEFT($E51,1)="⚠"),"UNMATCHED",""))</f>
        <v/>
      </c>
      <c r="I51" s="2" t="str">
        <f t="array" ref="I51">IF($B51="","",IF(OR(NOT(ISNUMBER(IFERROR(INDEX(RatEff,MATCH($D51,RatTeams,0)),"x"))),NOT(ISNUMBER(IFERROR(INDEX(RatEff,MATCH($E51,RatTeams,0)),"x")))),"MISSING",""))</f>
        <v/>
      </c>
      <c r="J51" s="2" t="str">
        <f>IF($B51="","",IF(SUMPRODUCT((CLGameID=$B51)*CLPlayed*(CLUseCur+CLUsePrev&gt;0)*(CLPlays=0))&gt;0,"MISSING",""))</f>
        <v/>
      </c>
      <c r="K51" s="2" t="str">
        <f>IF($B51="","",IF(SUMPRODUCT((CLGameID=$B51)*CLPlayed*((CLOffPts&lt;-20)+(CLOffPts&gt;90)))&gt;0,"CHECK",""))</f>
        <v/>
      </c>
      <c r="L51" s="2" t="str">
        <f t="array" ref="L51">IF($B51="","",IF(OR(ABS(IFERROR(INDEX(RatEff,MATCH($D51,RatTeams,0)),0))&gt;RatingRange,ABS(IFERROR(INDEX(RatEff,MATCH($E51,RatTeams,0)),0))&gt;RatingRange),"RANGE",""))</f>
        <v/>
      </c>
      <c r="M51" s="2" t="str">
        <f t="array" ref="M51">IF($B51="","",IF(OR(IFERROR(INDEX(CalcMoveFlag,MATCH($D51,CalcTeams,0)),"")="CAPPED",IFERROR(INDEX(CalcMoveFlag,MATCH($E51,CalcTeams,0)),"")="CAPPED"),"CAPPED",""))</f>
        <v/>
      </c>
      <c r="N51" s="2" t="str">
        <f>IF($B51="","",IF(ABS(SUMIFS(AdjSpread,AdjGameID,$B51,AdjActive,1))&gt;AdjCap,"LARGE",""))</f>
        <v/>
      </c>
      <c r="O51" s="2" t="str">
        <f t="array" ref="O51">IF($B51="","",IFERROR(INDEX(MktStale,MATCH($B51,MktGameID,0)),""))</f>
        <v/>
      </c>
      <c r="P51" s="2" t="str">
        <f t="shared" si="1"/>
        <v>READY</v>
      </c>
    </row>
    <row r="52" ht="15.0" customHeight="1">
      <c r="A52" s="2">
        <v>41.0</v>
      </c>
      <c r="B52" s="2" t="str">
        <f t="array" ref="B52">IFERROR(INDEX(SchedZone,MATCH($A52,SchedSeq,0),MAP!$B$6),"")</f>
        <v>2026_03_CIN_PIT</v>
      </c>
      <c r="C52" s="2">
        <f t="array" ref="C52">IF($B52="","",INDEX(SchedZone,MATCH($A52,SchedSeq,0),MAP!$B$4))</f>
        <v>3</v>
      </c>
      <c r="D52" s="2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2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2" t="str">
        <f>IF($B52="","",IF(COUNTIF(EngGameID,$B52)&gt;1,"DUP",""))</f>
        <v/>
      </c>
      <c r="G52" s="2" t="str">
        <f>IF($B52="","",IF(OR(COUNTIFS(EngWeek,$C52,EngAway,$D52)+COUNTIFS(EngWeek,$C52,EngHome,$D52)&gt;1,COUNTIFS(EngWeek,$C52,EngAway,$E52)+COUNTIFS(EngWeek,$C52,EngHome,$E52)&gt;1),"DUP",""))</f>
        <v/>
      </c>
      <c r="H52" s="2" t="str">
        <f>IF($B52="","",IF(OR(SUMPRODUCT((CLGameID=$B52)*CLUnmatched)&gt;0,LEFT($D52,1)="⚠",LEFT($E52,1)="⚠"),"UNMATCHED",""))</f>
        <v/>
      </c>
      <c r="I52" s="2" t="str">
        <f t="array" ref="I52">IF($B52="","",IF(OR(NOT(ISNUMBER(IFERROR(INDEX(RatEff,MATCH($D52,RatTeams,0)),"x"))),NOT(ISNUMBER(IFERROR(INDEX(RatEff,MATCH($E52,RatTeams,0)),"x")))),"MISSING",""))</f>
        <v/>
      </c>
      <c r="J52" s="2" t="str">
        <f>IF($B52="","",IF(SUMPRODUCT((CLGameID=$B52)*CLPlayed*(CLUseCur+CLUsePrev&gt;0)*(CLPlays=0))&gt;0,"MISSING",""))</f>
        <v/>
      </c>
      <c r="K52" s="2" t="str">
        <f>IF($B52="","",IF(SUMPRODUCT((CLGameID=$B52)*CLPlayed*((CLOffPts&lt;-20)+(CLOffPts&gt;90)))&gt;0,"CHECK",""))</f>
        <v/>
      </c>
      <c r="L52" s="2" t="str">
        <f t="array" ref="L52">IF($B52="","",IF(OR(ABS(IFERROR(INDEX(RatEff,MATCH($D52,RatTeams,0)),0))&gt;RatingRange,ABS(IFERROR(INDEX(RatEff,MATCH($E52,RatTeams,0)),0))&gt;RatingRange),"RANGE",""))</f>
        <v/>
      </c>
      <c r="M52" s="2" t="str">
        <f t="array" ref="M52">IF($B52="","",IF(OR(IFERROR(INDEX(CalcMoveFlag,MATCH($D52,CalcTeams,0)),"")="CAPPED",IFERROR(INDEX(CalcMoveFlag,MATCH($E52,CalcTeams,0)),"")="CAPPED"),"CAPPED",""))</f>
        <v/>
      </c>
      <c r="N52" s="2" t="str">
        <f>IF($B52="","",IF(ABS(SUMIFS(AdjSpread,AdjGameID,$B52,AdjActive,1))&gt;AdjCap,"LARGE",""))</f>
        <v/>
      </c>
      <c r="O52" s="2" t="str">
        <f t="array" ref="O52">IF($B52="","",IFERROR(INDEX(MktStale,MATCH($B52,MktGameID,0)),""))</f>
        <v/>
      </c>
      <c r="P52" s="2" t="str">
        <f t="shared" si="1"/>
        <v>READY</v>
      </c>
    </row>
    <row r="53" ht="15.0" customHeight="1">
      <c r="A53" s="2">
        <v>42.0</v>
      </c>
      <c r="B53" s="2" t="str">
        <f t="array" ref="B53">IFERROR(INDEX(SchedZone,MATCH($A53,SchedSeq,0),MAP!$B$6),"")</f>
        <v>2026_03_SEA_WAS</v>
      </c>
      <c r="C53" s="2">
        <f t="array" ref="C53">IF($B53="","",INDEX(SchedZone,MATCH($A53,SchedSeq,0),MAP!$B$4))</f>
        <v>3</v>
      </c>
      <c r="D53" s="2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2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2" t="str">
        <f>IF($B53="","",IF(COUNTIF(EngGameID,$B53)&gt;1,"DUP",""))</f>
        <v/>
      </c>
      <c r="G53" s="2" t="str">
        <f>IF($B53="","",IF(OR(COUNTIFS(EngWeek,$C53,EngAway,$D53)+COUNTIFS(EngWeek,$C53,EngHome,$D53)&gt;1,COUNTIFS(EngWeek,$C53,EngAway,$E53)+COUNTIFS(EngWeek,$C53,EngHome,$E53)&gt;1),"DUP",""))</f>
        <v/>
      </c>
      <c r="H53" s="2" t="str">
        <f>IF($B53="","",IF(OR(SUMPRODUCT((CLGameID=$B53)*CLUnmatched)&gt;0,LEFT($D53,1)="⚠",LEFT($E53,1)="⚠"),"UNMATCHED",""))</f>
        <v/>
      </c>
      <c r="I53" s="2" t="str">
        <f t="array" ref="I53">IF($B53="","",IF(OR(NOT(ISNUMBER(IFERROR(INDEX(RatEff,MATCH($D53,RatTeams,0)),"x"))),NOT(ISNUMBER(IFERROR(INDEX(RatEff,MATCH($E53,RatTeams,0)),"x")))),"MISSING",""))</f>
        <v/>
      </c>
      <c r="J53" s="2" t="str">
        <f>IF($B53="","",IF(SUMPRODUCT((CLGameID=$B53)*CLPlayed*(CLUseCur+CLUsePrev&gt;0)*(CLPlays=0))&gt;0,"MISSING",""))</f>
        <v/>
      </c>
      <c r="K53" s="2" t="str">
        <f>IF($B53="","",IF(SUMPRODUCT((CLGameID=$B53)*CLPlayed*((CLOffPts&lt;-20)+(CLOffPts&gt;90)))&gt;0,"CHECK",""))</f>
        <v/>
      </c>
      <c r="L53" s="2" t="str">
        <f t="array" ref="L53">IF($B53="","",IF(OR(ABS(IFERROR(INDEX(RatEff,MATCH($D53,RatTeams,0)),0))&gt;RatingRange,ABS(IFERROR(INDEX(RatEff,MATCH($E53,RatTeams,0)),0))&gt;RatingRange),"RANGE",""))</f>
        <v/>
      </c>
      <c r="M53" s="2" t="str">
        <f t="array" ref="M53">IF($B53="","",IF(OR(IFERROR(INDEX(CalcMoveFlag,MATCH($D53,CalcTeams,0)),"")="CAPPED",IFERROR(INDEX(CalcMoveFlag,MATCH($E53,CalcTeams,0)),"")="CAPPED"),"CAPPED",""))</f>
        <v/>
      </c>
      <c r="N53" s="2" t="str">
        <f>IF($B53="","",IF(ABS(SUMIFS(AdjSpread,AdjGameID,$B53,AdjActive,1))&gt;AdjCap,"LARGE",""))</f>
        <v/>
      </c>
      <c r="O53" s="2" t="str">
        <f t="array" ref="O53">IF($B53="","",IFERROR(INDEX(MktStale,MATCH($B53,MktGameID,0)),""))</f>
        <v/>
      </c>
      <c r="P53" s="2" t="str">
        <f t="shared" si="1"/>
        <v>READY</v>
      </c>
    </row>
    <row r="54" ht="15.0" customHeight="1">
      <c r="A54" s="2">
        <v>43.0</v>
      </c>
      <c r="B54" s="2" t="str">
        <f t="array" ref="B54">IFERROR(INDEX(SchedZone,MATCH($A54,SchedSeq,0),MAP!$B$6),"")</f>
        <v>2026_03_ARI_SF</v>
      </c>
      <c r="C54" s="2">
        <f t="array" ref="C54">IF($B54="","",INDEX(SchedZone,MATCH($A54,SchedSeq,0),MAP!$B$4))</f>
        <v>3</v>
      </c>
      <c r="D54" s="2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2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2" t="str">
        <f>IF($B54="","",IF(COUNTIF(EngGameID,$B54)&gt;1,"DUP",""))</f>
        <v/>
      </c>
      <c r="G54" s="2" t="str">
        <f>IF($B54="","",IF(OR(COUNTIFS(EngWeek,$C54,EngAway,$D54)+COUNTIFS(EngWeek,$C54,EngHome,$D54)&gt;1,COUNTIFS(EngWeek,$C54,EngAway,$E54)+COUNTIFS(EngWeek,$C54,EngHome,$E54)&gt;1),"DUP",""))</f>
        <v/>
      </c>
      <c r="H54" s="2" t="str">
        <f>IF($B54="","",IF(OR(SUMPRODUCT((CLGameID=$B54)*CLUnmatched)&gt;0,LEFT($D54,1)="⚠",LEFT($E54,1)="⚠"),"UNMATCHED",""))</f>
        <v/>
      </c>
      <c r="I54" s="2" t="str">
        <f t="array" ref="I54">IF($B54="","",IF(OR(NOT(ISNUMBER(IFERROR(INDEX(RatEff,MATCH($D54,RatTeams,0)),"x"))),NOT(ISNUMBER(IFERROR(INDEX(RatEff,MATCH($E54,RatTeams,0)),"x")))),"MISSING",""))</f>
        <v/>
      </c>
      <c r="J54" s="2" t="str">
        <f>IF($B54="","",IF(SUMPRODUCT((CLGameID=$B54)*CLPlayed*(CLUseCur+CLUsePrev&gt;0)*(CLPlays=0))&gt;0,"MISSING",""))</f>
        <v/>
      </c>
      <c r="K54" s="2" t="str">
        <f>IF($B54="","",IF(SUMPRODUCT((CLGameID=$B54)*CLPlayed*((CLOffPts&lt;-20)+(CLOffPts&gt;90)))&gt;0,"CHECK",""))</f>
        <v/>
      </c>
      <c r="L54" s="2" t="str">
        <f t="array" ref="L54">IF($B54="","",IF(OR(ABS(IFERROR(INDEX(RatEff,MATCH($D54,RatTeams,0)),0))&gt;RatingRange,ABS(IFERROR(INDEX(RatEff,MATCH($E54,RatTeams,0)),0))&gt;RatingRange),"RANGE",""))</f>
        <v/>
      </c>
      <c r="M54" s="2" t="str">
        <f t="array" ref="M54">IF($B54="","",IF(OR(IFERROR(INDEX(CalcMoveFlag,MATCH($D54,CalcTeams,0)),"")="CAPPED",IFERROR(INDEX(CalcMoveFlag,MATCH($E54,CalcTeams,0)),"")="CAPPED"),"CAPPED",""))</f>
        <v/>
      </c>
      <c r="N54" s="2" t="str">
        <f>IF($B54="","",IF(ABS(SUMIFS(AdjSpread,AdjGameID,$B54,AdjActive,1))&gt;AdjCap,"LARGE",""))</f>
        <v/>
      </c>
      <c r="O54" s="2" t="str">
        <f t="array" ref="O54">IF($B54="","",IFERROR(INDEX(MktStale,MATCH($B54,MktGameID,0)),""))</f>
        <v/>
      </c>
      <c r="P54" s="2" t="str">
        <f t="shared" si="1"/>
        <v>READY</v>
      </c>
    </row>
    <row r="55" ht="15.0" customHeight="1">
      <c r="A55" s="2">
        <v>44.0</v>
      </c>
      <c r="B55" s="2" t="str">
        <f t="array" ref="B55">IFERROR(INDEX(SchedZone,MATCH($A55,SchedSeq,0),MAP!$B$6),"")</f>
        <v>2026_03_MIN_TB</v>
      </c>
      <c r="C55" s="2">
        <f t="array" ref="C55">IF($B55="","",INDEX(SchedZone,MATCH($A55,SchedSeq,0),MAP!$B$4))</f>
        <v>3</v>
      </c>
      <c r="D55" s="2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2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2" t="str">
        <f>IF($B55="","",IF(COUNTIF(EngGameID,$B55)&gt;1,"DUP",""))</f>
        <v/>
      </c>
      <c r="G55" s="2" t="str">
        <f>IF($B55="","",IF(OR(COUNTIFS(EngWeek,$C55,EngAway,$D55)+COUNTIFS(EngWeek,$C55,EngHome,$D55)&gt;1,COUNTIFS(EngWeek,$C55,EngAway,$E55)+COUNTIFS(EngWeek,$C55,EngHome,$E55)&gt;1),"DUP",""))</f>
        <v/>
      </c>
      <c r="H55" s="2" t="str">
        <f>IF($B55="","",IF(OR(SUMPRODUCT((CLGameID=$B55)*CLUnmatched)&gt;0,LEFT($D55,1)="⚠",LEFT($E55,1)="⚠"),"UNMATCHED",""))</f>
        <v/>
      </c>
      <c r="I55" s="2" t="str">
        <f t="array" ref="I55">IF($B55="","",IF(OR(NOT(ISNUMBER(IFERROR(INDEX(RatEff,MATCH($D55,RatTeams,0)),"x"))),NOT(ISNUMBER(IFERROR(INDEX(RatEff,MATCH($E55,RatTeams,0)),"x")))),"MISSING",""))</f>
        <v/>
      </c>
      <c r="J55" s="2" t="str">
        <f>IF($B55="","",IF(SUMPRODUCT((CLGameID=$B55)*CLPlayed*(CLUseCur+CLUsePrev&gt;0)*(CLPlays=0))&gt;0,"MISSING",""))</f>
        <v/>
      </c>
      <c r="K55" s="2" t="str">
        <f>IF($B55="","",IF(SUMPRODUCT((CLGameID=$B55)*CLPlayed*((CLOffPts&lt;-20)+(CLOffPts&gt;90)))&gt;0,"CHECK",""))</f>
        <v/>
      </c>
      <c r="L55" s="2" t="str">
        <f t="array" ref="L55">IF($B55="","",IF(OR(ABS(IFERROR(INDEX(RatEff,MATCH($D55,RatTeams,0)),0))&gt;RatingRange,ABS(IFERROR(INDEX(RatEff,MATCH($E55,RatTeams,0)),0))&gt;RatingRange),"RANGE",""))</f>
        <v/>
      </c>
      <c r="M55" s="2" t="str">
        <f t="array" ref="M55">IF($B55="","",IF(OR(IFERROR(INDEX(CalcMoveFlag,MATCH($D55,CalcTeams,0)),"")="CAPPED",IFERROR(INDEX(CalcMoveFlag,MATCH($E55,CalcTeams,0)),"")="CAPPED"),"CAPPED",""))</f>
        <v/>
      </c>
      <c r="N55" s="2" t="str">
        <f>IF($B55="","",IF(ABS(SUMIFS(AdjSpread,AdjGameID,$B55,AdjActive,1))&gt;AdjCap,"LARGE",""))</f>
        <v/>
      </c>
      <c r="O55" s="2" t="str">
        <f t="array" ref="O55">IF($B55="","",IFERROR(INDEX(MktStale,MATCH($B55,MktGameID,0)),""))</f>
        <v/>
      </c>
      <c r="P55" s="2" t="str">
        <f t="shared" si="1"/>
        <v>READY</v>
      </c>
    </row>
    <row r="56" ht="15.0" customHeight="1">
      <c r="A56" s="2">
        <v>45.0</v>
      </c>
      <c r="B56" s="2" t="str">
        <f t="array" ref="B56">IFERROR(INDEX(SchedZone,MATCH($A56,SchedSeq,0),MAP!$B$6),"")</f>
        <v>2026_03_BAL_DAL</v>
      </c>
      <c r="C56" s="2">
        <f t="array" ref="C56">IF($B56="","",INDEX(SchedZone,MATCH($A56,SchedSeq,0),MAP!$B$4))</f>
        <v>3</v>
      </c>
      <c r="D56" s="2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2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2" t="str">
        <f>IF($B56="","",IF(COUNTIF(EngGameID,$B56)&gt;1,"DUP",""))</f>
        <v/>
      </c>
      <c r="G56" s="2" t="str">
        <f>IF($B56="","",IF(OR(COUNTIFS(EngWeek,$C56,EngAway,$D56)+COUNTIFS(EngWeek,$C56,EngHome,$D56)&gt;1,COUNTIFS(EngWeek,$C56,EngAway,$E56)+COUNTIFS(EngWeek,$C56,EngHome,$E56)&gt;1),"DUP",""))</f>
        <v/>
      </c>
      <c r="H56" s="2" t="str">
        <f>IF($B56="","",IF(OR(SUMPRODUCT((CLGameID=$B56)*CLUnmatched)&gt;0,LEFT($D56,1)="⚠",LEFT($E56,1)="⚠"),"UNMATCHED",""))</f>
        <v/>
      </c>
      <c r="I56" s="2" t="str">
        <f t="array" ref="I56">IF($B56="","",IF(OR(NOT(ISNUMBER(IFERROR(INDEX(RatEff,MATCH($D56,RatTeams,0)),"x"))),NOT(ISNUMBER(IFERROR(INDEX(RatEff,MATCH($E56,RatTeams,0)),"x")))),"MISSING",""))</f>
        <v/>
      </c>
      <c r="J56" s="2" t="str">
        <f>IF($B56="","",IF(SUMPRODUCT((CLGameID=$B56)*CLPlayed*(CLUseCur+CLUsePrev&gt;0)*(CLPlays=0))&gt;0,"MISSING",""))</f>
        <v/>
      </c>
      <c r="K56" s="2" t="str">
        <f>IF($B56="","",IF(SUMPRODUCT((CLGameID=$B56)*CLPlayed*((CLOffPts&lt;-20)+(CLOffPts&gt;90)))&gt;0,"CHECK",""))</f>
        <v/>
      </c>
      <c r="L56" s="2" t="str">
        <f t="array" ref="L56">IF($B56="","",IF(OR(ABS(IFERROR(INDEX(RatEff,MATCH($D56,RatTeams,0)),0))&gt;RatingRange,ABS(IFERROR(INDEX(RatEff,MATCH($E56,RatTeams,0)),0))&gt;RatingRange),"RANGE",""))</f>
        <v/>
      </c>
      <c r="M56" s="2" t="str">
        <f t="array" ref="M56">IF($B56="","",IF(OR(IFERROR(INDEX(CalcMoveFlag,MATCH($D56,CalcTeams,0)),"")="CAPPED",IFERROR(INDEX(CalcMoveFlag,MATCH($E56,CalcTeams,0)),"")="CAPPED"),"CAPPED",""))</f>
        <v/>
      </c>
      <c r="N56" s="2" t="str">
        <f>IF($B56="","",IF(ABS(SUMIFS(AdjSpread,AdjGameID,$B56,AdjActive,1))&gt;AdjCap,"LARGE",""))</f>
        <v/>
      </c>
      <c r="O56" s="2" t="str">
        <f t="array" ref="O56">IF($B56="","",IFERROR(INDEX(MktStale,MATCH($B56,MktGameID,0)),""))</f>
        <v/>
      </c>
      <c r="P56" s="2" t="str">
        <f t="shared" si="1"/>
        <v>READY</v>
      </c>
    </row>
    <row r="57" ht="15.0" customHeight="1">
      <c r="A57" s="2">
        <v>46.0</v>
      </c>
      <c r="B57" s="2" t="str">
        <f t="array" ref="B57">IFERROR(INDEX(SchedZone,MATCH($A57,SchedSeq,0),MAP!$B$6),"")</f>
        <v>2026_03_LV_NO</v>
      </c>
      <c r="C57" s="2">
        <f t="array" ref="C57">IF($B57="","",INDEX(SchedZone,MATCH($A57,SchedSeq,0),MAP!$B$4))</f>
        <v>3</v>
      </c>
      <c r="D57" s="2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2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2" t="str">
        <f>IF($B57="","",IF(COUNTIF(EngGameID,$B57)&gt;1,"DUP",""))</f>
        <v/>
      </c>
      <c r="G57" s="2" t="str">
        <f>IF($B57="","",IF(OR(COUNTIFS(EngWeek,$C57,EngAway,$D57)+COUNTIFS(EngWeek,$C57,EngHome,$D57)&gt;1,COUNTIFS(EngWeek,$C57,EngAway,$E57)+COUNTIFS(EngWeek,$C57,EngHome,$E57)&gt;1),"DUP",""))</f>
        <v/>
      </c>
      <c r="H57" s="2" t="str">
        <f>IF($B57="","",IF(OR(SUMPRODUCT((CLGameID=$B57)*CLUnmatched)&gt;0,LEFT($D57,1)="⚠",LEFT($E57,1)="⚠"),"UNMATCHED",""))</f>
        <v/>
      </c>
      <c r="I57" s="2" t="str">
        <f t="array" ref="I57">IF($B57="","",IF(OR(NOT(ISNUMBER(IFERROR(INDEX(RatEff,MATCH($D57,RatTeams,0)),"x"))),NOT(ISNUMBER(IFERROR(INDEX(RatEff,MATCH($E57,RatTeams,0)),"x")))),"MISSING",""))</f>
        <v/>
      </c>
      <c r="J57" s="2" t="str">
        <f>IF($B57="","",IF(SUMPRODUCT((CLGameID=$B57)*CLPlayed*(CLUseCur+CLUsePrev&gt;0)*(CLPlays=0))&gt;0,"MISSING",""))</f>
        <v/>
      </c>
      <c r="K57" s="2" t="str">
        <f>IF($B57="","",IF(SUMPRODUCT((CLGameID=$B57)*CLPlayed*((CLOffPts&lt;-20)+(CLOffPts&gt;90)))&gt;0,"CHECK",""))</f>
        <v/>
      </c>
      <c r="L57" s="2" t="str">
        <f t="array" ref="L57">IF($B57="","",IF(OR(ABS(IFERROR(INDEX(RatEff,MATCH($D57,RatTeams,0)),0))&gt;RatingRange,ABS(IFERROR(INDEX(RatEff,MATCH($E57,RatTeams,0)),0))&gt;RatingRange),"RANGE",""))</f>
        <v/>
      </c>
      <c r="M57" s="2" t="str">
        <f t="array" ref="M57">IF($B57="","",IF(OR(IFERROR(INDEX(CalcMoveFlag,MATCH($D57,CalcTeams,0)),"")="CAPPED",IFERROR(INDEX(CalcMoveFlag,MATCH($E57,CalcTeams,0)),"")="CAPPED"),"CAPPED",""))</f>
        <v/>
      </c>
      <c r="N57" s="2" t="str">
        <f>IF($B57="","",IF(ABS(SUMIFS(AdjSpread,AdjGameID,$B57,AdjActive,1))&gt;AdjCap,"LARGE",""))</f>
        <v/>
      </c>
      <c r="O57" s="2" t="str">
        <f t="array" ref="O57">IF($B57="","",IFERROR(INDEX(MktStale,MATCH($B57,MktGameID,0)),""))</f>
        <v/>
      </c>
      <c r="P57" s="2" t="str">
        <f t="shared" si="1"/>
        <v>READY</v>
      </c>
    </row>
    <row r="58" ht="15.0" customHeight="1">
      <c r="A58" s="2">
        <v>47.0</v>
      </c>
      <c r="B58" s="2" t="str">
        <f t="array" ref="B58">IFERROR(INDEX(SchedZone,MATCH($A58,SchedSeq,0),MAP!$B$6),"")</f>
        <v>2026_03_LA_DEN</v>
      </c>
      <c r="C58" s="2">
        <f t="array" ref="C58">IF($B58="","",INDEX(SchedZone,MATCH($A58,SchedSeq,0),MAP!$B$4))</f>
        <v>3</v>
      </c>
      <c r="D58" s="2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2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2" t="str">
        <f>IF($B58="","",IF(COUNTIF(EngGameID,$B58)&gt;1,"DUP",""))</f>
        <v/>
      </c>
      <c r="G58" s="2" t="str">
        <f>IF($B58="","",IF(OR(COUNTIFS(EngWeek,$C58,EngAway,$D58)+COUNTIFS(EngWeek,$C58,EngHome,$D58)&gt;1,COUNTIFS(EngWeek,$C58,EngAway,$E58)+COUNTIFS(EngWeek,$C58,EngHome,$E58)&gt;1),"DUP",""))</f>
        <v/>
      </c>
      <c r="H58" s="2" t="str">
        <f>IF($B58="","",IF(OR(SUMPRODUCT((CLGameID=$B58)*CLUnmatched)&gt;0,LEFT($D58,1)="⚠",LEFT($E58,1)="⚠"),"UNMATCHED",""))</f>
        <v/>
      </c>
      <c r="I58" s="2" t="str">
        <f t="array" ref="I58">IF($B58="","",IF(OR(NOT(ISNUMBER(IFERROR(INDEX(RatEff,MATCH($D58,RatTeams,0)),"x"))),NOT(ISNUMBER(IFERROR(INDEX(RatEff,MATCH($E58,RatTeams,0)),"x")))),"MISSING",""))</f>
        <v/>
      </c>
      <c r="J58" s="2" t="str">
        <f>IF($B58="","",IF(SUMPRODUCT((CLGameID=$B58)*CLPlayed*(CLUseCur+CLUsePrev&gt;0)*(CLPlays=0))&gt;0,"MISSING",""))</f>
        <v/>
      </c>
      <c r="K58" s="2" t="str">
        <f>IF($B58="","",IF(SUMPRODUCT((CLGameID=$B58)*CLPlayed*((CLOffPts&lt;-20)+(CLOffPts&gt;90)))&gt;0,"CHECK",""))</f>
        <v/>
      </c>
      <c r="L58" s="2" t="str">
        <f t="array" ref="L58">IF($B58="","",IF(OR(ABS(IFERROR(INDEX(RatEff,MATCH($D58,RatTeams,0)),0))&gt;RatingRange,ABS(IFERROR(INDEX(RatEff,MATCH($E58,RatTeams,0)),0))&gt;RatingRange),"RANGE",""))</f>
        <v/>
      </c>
      <c r="M58" s="2" t="str">
        <f t="array" ref="M58">IF($B58="","",IF(OR(IFERROR(INDEX(CalcMoveFlag,MATCH($D58,CalcTeams,0)),"")="CAPPED",IFERROR(INDEX(CalcMoveFlag,MATCH($E58,CalcTeams,0)),"")="CAPPED"),"CAPPED",""))</f>
        <v/>
      </c>
      <c r="N58" s="2" t="str">
        <f>IF($B58="","",IF(ABS(SUMIFS(AdjSpread,AdjGameID,$B58,AdjActive,1))&gt;AdjCap,"LARGE",""))</f>
        <v/>
      </c>
      <c r="O58" s="2" t="str">
        <f t="array" ref="O58">IF($B58="","",IFERROR(INDEX(MktStale,MATCH($B58,MktGameID,0)),""))</f>
        <v/>
      </c>
      <c r="P58" s="2" t="str">
        <f t="shared" si="1"/>
        <v>READY</v>
      </c>
    </row>
    <row r="59" ht="15.0" customHeight="1">
      <c r="A59" s="2">
        <v>48.0</v>
      </c>
      <c r="B59" s="2" t="str">
        <f t="array" ref="B59">IFERROR(INDEX(SchedZone,MATCH($A59,SchedSeq,0),MAP!$B$6),"")</f>
        <v>2026_03_PHI_CHI</v>
      </c>
      <c r="C59" s="2">
        <f t="array" ref="C59">IF($B59="","",INDEX(SchedZone,MATCH($A59,SchedSeq,0),MAP!$B$4))</f>
        <v>3</v>
      </c>
      <c r="D59" s="2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2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2" t="str">
        <f>IF($B59="","",IF(COUNTIF(EngGameID,$B59)&gt;1,"DUP",""))</f>
        <v/>
      </c>
      <c r="G59" s="2" t="str">
        <f>IF($B59="","",IF(OR(COUNTIFS(EngWeek,$C59,EngAway,$D59)+COUNTIFS(EngWeek,$C59,EngHome,$D59)&gt;1,COUNTIFS(EngWeek,$C59,EngAway,$E59)+COUNTIFS(EngWeek,$C59,EngHome,$E59)&gt;1),"DUP",""))</f>
        <v/>
      </c>
      <c r="H59" s="2" t="str">
        <f>IF($B59="","",IF(OR(SUMPRODUCT((CLGameID=$B59)*CLUnmatched)&gt;0,LEFT($D59,1)="⚠",LEFT($E59,1)="⚠"),"UNMATCHED",""))</f>
        <v/>
      </c>
      <c r="I59" s="2" t="str">
        <f t="array" ref="I59">IF($B59="","",IF(OR(NOT(ISNUMBER(IFERROR(INDEX(RatEff,MATCH($D59,RatTeams,0)),"x"))),NOT(ISNUMBER(IFERROR(INDEX(RatEff,MATCH($E59,RatTeams,0)),"x")))),"MISSING",""))</f>
        <v/>
      </c>
      <c r="J59" s="2" t="str">
        <f>IF($B59="","",IF(SUMPRODUCT((CLGameID=$B59)*CLPlayed*(CLUseCur+CLUsePrev&gt;0)*(CLPlays=0))&gt;0,"MISSING",""))</f>
        <v/>
      </c>
      <c r="K59" s="2" t="str">
        <f>IF($B59="","",IF(SUMPRODUCT((CLGameID=$B59)*CLPlayed*((CLOffPts&lt;-20)+(CLOffPts&gt;90)))&gt;0,"CHECK",""))</f>
        <v/>
      </c>
      <c r="L59" s="2" t="str">
        <f t="array" ref="L59">IF($B59="","",IF(OR(ABS(IFERROR(INDEX(RatEff,MATCH($D59,RatTeams,0)),0))&gt;RatingRange,ABS(IFERROR(INDEX(RatEff,MATCH($E59,RatTeams,0)),0))&gt;RatingRange),"RANGE",""))</f>
        <v/>
      </c>
      <c r="M59" s="2" t="str">
        <f t="array" ref="M59">IF($B59="","",IF(OR(IFERROR(INDEX(CalcMoveFlag,MATCH($D59,CalcTeams,0)),"")="CAPPED",IFERROR(INDEX(CalcMoveFlag,MATCH($E59,CalcTeams,0)),"")="CAPPED"),"CAPPED",""))</f>
        <v/>
      </c>
      <c r="N59" s="2" t="str">
        <f>IF($B59="","",IF(ABS(SUMIFS(AdjSpread,AdjGameID,$B59,AdjActive,1))&gt;AdjCap,"LARGE",""))</f>
        <v/>
      </c>
      <c r="O59" s="2" t="str">
        <f t="array" ref="O59">IF($B59="","",IFERROR(INDEX(MktStale,MATCH($B59,MktGameID,0)),""))</f>
        <v/>
      </c>
      <c r="P59" s="2" t="str">
        <f t="shared" si="1"/>
        <v>READY</v>
      </c>
    </row>
    <row r="60" ht="15.0" customHeight="1">
      <c r="A60" s="2">
        <v>49.0</v>
      </c>
      <c r="B60" s="2" t="str">
        <f t="array" ref="B60">IFERROR(INDEX(SchedZone,MATCH($A60,SchedSeq,0),MAP!$B$6),"")</f>
        <v>2026_04_PIT_CLE</v>
      </c>
      <c r="C60" s="2">
        <f t="array" ref="C60">IF($B60="","",INDEX(SchedZone,MATCH($A60,SchedSeq,0),MAP!$B$4))</f>
        <v>4</v>
      </c>
      <c r="D60" s="2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2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2" t="str">
        <f>IF($B60="","",IF(COUNTIF(EngGameID,$B60)&gt;1,"DUP",""))</f>
        <v/>
      </c>
      <c r="G60" s="2" t="str">
        <f>IF($B60="","",IF(OR(COUNTIFS(EngWeek,$C60,EngAway,$D60)+COUNTIFS(EngWeek,$C60,EngHome,$D60)&gt;1,COUNTIFS(EngWeek,$C60,EngAway,$E60)+COUNTIFS(EngWeek,$C60,EngHome,$E60)&gt;1),"DUP",""))</f>
        <v/>
      </c>
      <c r="H60" s="2" t="str">
        <f>IF($B60="","",IF(OR(SUMPRODUCT((CLGameID=$B60)*CLUnmatched)&gt;0,LEFT($D60,1)="⚠",LEFT($E60,1)="⚠"),"UNMATCHED",""))</f>
        <v/>
      </c>
      <c r="I60" s="2" t="str">
        <f t="array" ref="I60">IF($B60="","",IF(OR(NOT(ISNUMBER(IFERROR(INDEX(RatEff,MATCH($D60,RatTeams,0)),"x"))),NOT(ISNUMBER(IFERROR(INDEX(RatEff,MATCH($E60,RatTeams,0)),"x")))),"MISSING",""))</f>
        <v/>
      </c>
      <c r="J60" s="2" t="str">
        <f>IF($B60="","",IF(SUMPRODUCT((CLGameID=$B60)*CLPlayed*(CLUseCur+CLUsePrev&gt;0)*(CLPlays=0))&gt;0,"MISSING",""))</f>
        <v/>
      </c>
      <c r="K60" s="2" t="str">
        <f>IF($B60="","",IF(SUMPRODUCT((CLGameID=$B60)*CLPlayed*((CLOffPts&lt;-20)+(CLOffPts&gt;90)))&gt;0,"CHECK",""))</f>
        <v/>
      </c>
      <c r="L60" s="2" t="str">
        <f t="array" ref="L60">IF($B60="","",IF(OR(ABS(IFERROR(INDEX(RatEff,MATCH($D60,RatTeams,0)),0))&gt;RatingRange,ABS(IFERROR(INDEX(RatEff,MATCH($E60,RatTeams,0)),0))&gt;RatingRange),"RANGE",""))</f>
        <v/>
      </c>
      <c r="M60" s="2" t="str">
        <f t="array" ref="M60">IF($B60="","",IF(OR(IFERROR(INDEX(CalcMoveFlag,MATCH($D60,CalcTeams,0)),"")="CAPPED",IFERROR(INDEX(CalcMoveFlag,MATCH($E60,CalcTeams,0)),"")="CAPPED"),"CAPPED",""))</f>
        <v/>
      </c>
      <c r="N60" s="2" t="str">
        <f>IF($B60="","",IF(ABS(SUMIFS(AdjSpread,AdjGameID,$B60,AdjActive,1))&gt;AdjCap,"LARGE",""))</f>
        <v/>
      </c>
      <c r="O60" s="2" t="str">
        <f t="array" ref="O60">IF($B60="","",IFERROR(INDEX(MktStale,MATCH($B60,MktGameID,0)),""))</f>
        <v/>
      </c>
      <c r="P60" s="2" t="str">
        <f t="shared" si="1"/>
        <v>READY</v>
      </c>
    </row>
    <row r="61" ht="15.0" customHeight="1">
      <c r="A61" s="2">
        <v>50.0</v>
      </c>
      <c r="B61" s="2" t="str">
        <f t="array" ref="B61">IFERROR(INDEX(SchedZone,MATCH($A61,SchedSeq,0),MAP!$B$6),"")</f>
        <v>2026_04_IND_WAS</v>
      </c>
      <c r="C61" s="2">
        <f t="array" ref="C61">IF($B61="","",INDEX(SchedZone,MATCH($A61,SchedSeq,0),MAP!$B$4))</f>
        <v>4</v>
      </c>
      <c r="D61" s="2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2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2" t="str">
        <f>IF($B61="","",IF(COUNTIF(EngGameID,$B61)&gt;1,"DUP",""))</f>
        <v/>
      </c>
      <c r="G61" s="2" t="str">
        <f>IF($B61="","",IF(OR(COUNTIFS(EngWeek,$C61,EngAway,$D61)+COUNTIFS(EngWeek,$C61,EngHome,$D61)&gt;1,COUNTIFS(EngWeek,$C61,EngAway,$E61)+COUNTIFS(EngWeek,$C61,EngHome,$E61)&gt;1),"DUP",""))</f>
        <v/>
      </c>
      <c r="H61" s="2" t="str">
        <f>IF($B61="","",IF(OR(SUMPRODUCT((CLGameID=$B61)*CLUnmatched)&gt;0,LEFT($D61,1)="⚠",LEFT($E61,1)="⚠"),"UNMATCHED",""))</f>
        <v/>
      </c>
      <c r="I61" s="2" t="str">
        <f t="array" ref="I61">IF($B61="","",IF(OR(NOT(ISNUMBER(IFERROR(INDEX(RatEff,MATCH($D61,RatTeams,0)),"x"))),NOT(ISNUMBER(IFERROR(INDEX(RatEff,MATCH($E61,RatTeams,0)),"x")))),"MISSING",""))</f>
        <v/>
      </c>
      <c r="J61" s="2" t="str">
        <f>IF($B61="","",IF(SUMPRODUCT((CLGameID=$B61)*CLPlayed*(CLUseCur+CLUsePrev&gt;0)*(CLPlays=0))&gt;0,"MISSING",""))</f>
        <v/>
      </c>
      <c r="K61" s="2" t="str">
        <f>IF($B61="","",IF(SUMPRODUCT((CLGameID=$B61)*CLPlayed*((CLOffPts&lt;-20)+(CLOffPts&gt;90)))&gt;0,"CHECK",""))</f>
        <v/>
      </c>
      <c r="L61" s="2" t="str">
        <f t="array" ref="L61">IF($B61="","",IF(OR(ABS(IFERROR(INDEX(RatEff,MATCH($D61,RatTeams,0)),0))&gt;RatingRange,ABS(IFERROR(INDEX(RatEff,MATCH($E61,RatTeams,0)),0))&gt;RatingRange),"RANGE",""))</f>
        <v/>
      </c>
      <c r="M61" s="2" t="str">
        <f t="array" ref="M61">IF($B61="","",IF(OR(IFERROR(INDEX(CalcMoveFlag,MATCH($D61,CalcTeams,0)),"")="CAPPED",IFERROR(INDEX(CalcMoveFlag,MATCH($E61,CalcTeams,0)),"")="CAPPED"),"CAPPED",""))</f>
        <v/>
      </c>
      <c r="N61" s="2" t="str">
        <f>IF($B61="","",IF(ABS(SUMIFS(AdjSpread,AdjGameID,$B61,AdjActive,1))&gt;AdjCap,"LARGE",""))</f>
        <v/>
      </c>
      <c r="O61" s="2" t="str">
        <f t="array" ref="O61">IF($B61="","",IFERROR(INDEX(MktStale,MATCH($B61,MktGameID,0)),""))</f>
        <v/>
      </c>
      <c r="P61" s="2" t="str">
        <f t="shared" si="1"/>
        <v>READY</v>
      </c>
    </row>
    <row r="62" ht="15.0" customHeight="1">
      <c r="A62" s="2">
        <v>51.0</v>
      </c>
      <c r="B62" s="2" t="str">
        <f t="array" ref="B62">IFERROR(INDEX(SchedZone,MATCH($A62,SchedSeq,0),MAP!$B$6),"")</f>
        <v>2026_04_TEN_BAL</v>
      </c>
      <c r="C62" s="2">
        <f t="array" ref="C62">IF($B62="","",INDEX(SchedZone,MATCH($A62,SchedSeq,0),MAP!$B$4))</f>
        <v>4</v>
      </c>
      <c r="D62" s="2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2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2" t="str">
        <f>IF($B62="","",IF(COUNTIF(EngGameID,$B62)&gt;1,"DUP",""))</f>
        <v/>
      </c>
      <c r="G62" s="2" t="str">
        <f>IF($B62="","",IF(OR(COUNTIFS(EngWeek,$C62,EngAway,$D62)+COUNTIFS(EngWeek,$C62,EngHome,$D62)&gt;1,COUNTIFS(EngWeek,$C62,EngAway,$E62)+COUNTIFS(EngWeek,$C62,EngHome,$E62)&gt;1),"DUP",""))</f>
        <v/>
      </c>
      <c r="H62" s="2" t="str">
        <f>IF($B62="","",IF(OR(SUMPRODUCT((CLGameID=$B62)*CLUnmatched)&gt;0,LEFT($D62,1)="⚠",LEFT($E62,1)="⚠"),"UNMATCHED",""))</f>
        <v/>
      </c>
      <c r="I62" s="2" t="str">
        <f t="array" ref="I62">IF($B62="","",IF(OR(NOT(ISNUMBER(IFERROR(INDEX(RatEff,MATCH($D62,RatTeams,0)),"x"))),NOT(ISNUMBER(IFERROR(INDEX(RatEff,MATCH($E62,RatTeams,0)),"x")))),"MISSING",""))</f>
        <v/>
      </c>
      <c r="J62" s="2" t="str">
        <f>IF($B62="","",IF(SUMPRODUCT((CLGameID=$B62)*CLPlayed*(CLUseCur+CLUsePrev&gt;0)*(CLPlays=0))&gt;0,"MISSING",""))</f>
        <v/>
      </c>
      <c r="K62" s="2" t="str">
        <f>IF($B62="","",IF(SUMPRODUCT((CLGameID=$B62)*CLPlayed*((CLOffPts&lt;-20)+(CLOffPts&gt;90)))&gt;0,"CHECK",""))</f>
        <v/>
      </c>
      <c r="L62" s="2" t="str">
        <f t="array" ref="L62">IF($B62="","",IF(OR(ABS(IFERROR(INDEX(RatEff,MATCH($D62,RatTeams,0)),0))&gt;RatingRange,ABS(IFERROR(INDEX(RatEff,MATCH($E62,RatTeams,0)),0))&gt;RatingRange),"RANGE",""))</f>
        <v/>
      </c>
      <c r="M62" s="2" t="str">
        <f t="array" ref="M62">IF($B62="","",IF(OR(IFERROR(INDEX(CalcMoveFlag,MATCH($D62,CalcTeams,0)),"")="CAPPED",IFERROR(INDEX(CalcMoveFlag,MATCH($E62,CalcTeams,0)),"")="CAPPED"),"CAPPED",""))</f>
        <v/>
      </c>
      <c r="N62" s="2" t="str">
        <f>IF($B62="","",IF(ABS(SUMIFS(AdjSpread,AdjGameID,$B62,AdjActive,1))&gt;AdjCap,"LARGE",""))</f>
        <v/>
      </c>
      <c r="O62" s="2" t="str">
        <f t="array" ref="O62">IF($B62="","",IFERROR(INDEX(MktStale,MATCH($B62,MktGameID,0)),""))</f>
        <v/>
      </c>
      <c r="P62" s="2" t="str">
        <f t="shared" si="1"/>
        <v>READY</v>
      </c>
    </row>
    <row r="63" ht="15.0" customHeight="1">
      <c r="A63" s="2">
        <v>52.0</v>
      </c>
      <c r="B63" s="2" t="str">
        <f t="array" ref="B63">IFERROR(INDEX(SchedZone,MATCH($A63,SchedSeq,0),MAP!$B$6),"")</f>
        <v>2026_04_NE_BUF</v>
      </c>
      <c r="C63" s="2">
        <f t="array" ref="C63">IF($B63="","",INDEX(SchedZone,MATCH($A63,SchedSeq,0),MAP!$B$4))</f>
        <v>4</v>
      </c>
      <c r="D63" s="2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2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2" t="str">
        <f>IF($B63="","",IF(COUNTIF(EngGameID,$B63)&gt;1,"DUP",""))</f>
        <v/>
      </c>
      <c r="G63" s="2" t="str">
        <f>IF($B63="","",IF(OR(COUNTIFS(EngWeek,$C63,EngAway,$D63)+COUNTIFS(EngWeek,$C63,EngHome,$D63)&gt;1,COUNTIFS(EngWeek,$C63,EngAway,$E63)+COUNTIFS(EngWeek,$C63,EngHome,$E63)&gt;1),"DUP",""))</f>
        <v/>
      </c>
      <c r="H63" s="2" t="str">
        <f>IF($B63="","",IF(OR(SUMPRODUCT((CLGameID=$B63)*CLUnmatched)&gt;0,LEFT($D63,1)="⚠",LEFT($E63,1)="⚠"),"UNMATCHED",""))</f>
        <v/>
      </c>
      <c r="I63" s="2" t="str">
        <f t="array" ref="I63">IF($B63="","",IF(OR(NOT(ISNUMBER(IFERROR(INDEX(RatEff,MATCH($D63,RatTeams,0)),"x"))),NOT(ISNUMBER(IFERROR(INDEX(RatEff,MATCH($E63,RatTeams,0)),"x")))),"MISSING",""))</f>
        <v/>
      </c>
      <c r="J63" s="2" t="str">
        <f>IF($B63="","",IF(SUMPRODUCT((CLGameID=$B63)*CLPlayed*(CLUseCur+CLUsePrev&gt;0)*(CLPlays=0))&gt;0,"MISSING",""))</f>
        <v/>
      </c>
      <c r="K63" s="2" t="str">
        <f>IF($B63="","",IF(SUMPRODUCT((CLGameID=$B63)*CLPlayed*((CLOffPts&lt;-20)+(CLOffPts&gt;90)))&gt;0,"CHECK",""))</f>
        <v/>
      </c>
      <c r="L63" s="2" t="str">
        <f t="array" ref="L63">IF($B63="","",IF(OR(ABS(IFERROR(INDEX(RatEff,MATCH($D63,RatTeams,0)),0))&gt;RatingRange,ABS(IFERROR(INDEX(RatEff,MATCH($E63,RatTeams,0)),0))&gt;RatingRange),"RANGE",""))</f>
        <v/>
      </c>
      <c r="M63" s="2" t="str">
        <f t="array" ref="M63">IF($B63="","",IF(OR(IFERROR(INDEX(CalcMoveFlag,MATCH($D63,CalcTeams,0)),"")="CAPPED",IFERROR(INDEX(CalcMoveFlag,MATCH($E63,CalcTeams,0)),"")="CAPPED"),"CAPPED",""))</f>
        <v/>
      </c>
      <c r="N63" s="2" t="str">
        <f>IF($B63="","",IF(ABS(SUMIFS(AdjSpread,AdjGameID,$B63,AdjActive,1))&gt;AdjCap,"LARGE",""))</f>
        <v/>
      </c>
      <c r="O63" s="2" t="str">
        <f t="array" ref="O63">IF($B63="","",IFERROR(INDEX(MktStale,MATCH($B63,MktGameID,0)),""))</f>
        <v/>
      </c>
      <c r="P63" s="2" t="str">
        <f t="shared" si="1"/>
        <v>READY</v>
      </c>
    </row>
    <row r="64" ht="15.0" customHeight="1">
      <c r="A64" s="2">
        <v>53.0</v>
      </c>
      <c r="B64" s="2" t="str">
        <f t="array" ref="B64">IFERROR(INDEX(SchedZone,MATCH($A64,SchedSeq,0),MAP!$B$6),"")</f>
        <v>2026_04_NYJ_CHI</v>
      </c>
      <c r="C64" s="2">
        <f t="array" ref="C64">IF($B64="","",INDEX(SchedZone,MATCH($A64,SchedSeq,0),MAP!$B$4))</f>
        <v>4</v>
      </c>
      <c r="D64" s="2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2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2" t="str">
        <f>IF($B64="","",IF(COUNTIF(EngGameID,$B64)&gt;1,"DUP",""))</f>
        <v/>
      </c>
      <c r="G64" s="2" t="str">
        <f>IF($B64="","",IF(OR(COUNTIFS(EngWeek,$C64,EngAway,$D64)+COUNTIFS(EngWeek,$C64,EngHome,$D64)&gt;1,COUNTIFS(EngWeek,$C64,EngAway,$E64)+COUNTIFS(EngWeek,$C64,EngHome,$E64)&gt;1),"DUP",""))</f>
        <v/>
      </c>
      <c r="H64" s="2" t="str">
        <f>IF($B64="","",IF(OR(SUMPRODUCT((CLGameID=$B64)*CLUnmatched)&gt;0,LEFT($D64,1)="⚠",LEFT($E64,1)="⚠"),"UNMATCHED",""))</f>
        <v/>
      </c>
      <c r="I64" s="2" t="str">
        <f t="array" ref="I64">IF($B64="","",IF(OR(NOT(ISNUMBER(IFERROR(INDEX(RatEff,MATCH($D64,RatTeams,0)),"x"))),NOT(ISNUMBER(IFERROR(INDEX(RatEff,MATCH($E64,RatTeams,0)),"x")))),"MISSING",""))</f>
        <v/>
      </c>
      <c r="J64" s="2" t="str">
        <f>IF($B64="","",IF(SUMPRODUCT((CLGameID=$B64)*CLPlayed*(CLUseCur+CLUsePrev&gt;0)*(CLPlays=0))&gt;0,"MISSING",""))</f>
        <v/>
      </c>
      <c r="K64" s="2" t="str">
        <f>IF($B64="","",IF(SUMPRODUCT((CLGameID=$B64)*CLPlayed*((CLOffPts&lt;-20)+(CLOffPts&gt;90)))&gt;0,"CHECK",""))</f>
        <v/>
      </c>
      <c r="L64" s="2" t="str">
        <f t="array" ref="L64">IF($B64="","",IF(OR(ABS(IFERROR(INDEX(RatEff,MATCH($D64,RatTeams,0)),0))&gt;RatingRange,ABS(IFERROR(INDEX(RatEff,MATCH($E64,RatTeams,0)),0))&gt;RatingRange),"RANGE",""))</f>
        <v/>
      </c>
      <c r="M64" s="2" t="str">
        <f t="array" ref="M64">IF($B64="","",IF(OR(IFERROR(INDEX(CalcMoveFlag,MATCH($D64,CalcTeams,0)),"")="CAPPED",IFERROR(INDEX(CalcMoveFlag,MATCH($E64,CalcTeams,0)),"")="CAPPED"),"CAPPED",""))</f>
        <v/>
      </c>
      <c r="N64" s="2" t="str">
        <f>IF($B64="","",IF(ABS(SUMIFS(AdjSpread,AdjGameID,$B64,AdjActive,1))&gt;AdjCap,"LARGE",""))</f>
        <v/>
      </c>
      <c r="O64" s="2" t="str">
        <f t="array" ref="O64">IF($B64="","",IFERROR(INDEX(MktStale,MATCH($B64,MktGameID,0)),""))</f>
        <v/>
      </c>
      <c r="P64" s="2" t="str">
        <f t="shared" si="1"/>
        <v>READY</v>
      </c>
    </row>
    <row r="65" ht="15.0" customHeight="1">
      <c r="A65" s="2">
        <v>54.0</v>
      </c>
      <c r="B65" s="2" t="str">
        <f t="array" ref="B65">IFERROR(INDEX(SchedZone,MATCH($A65,SchedSeq,0),MAP!$B$6),"")</f>
        <v>2026_04_JAX_CIN</v>
      </c>
      <c r="C65" s="2">
        <f t="array" ref="C65">IF($B65="","",INDEX(SchedZone,MATCH($A65,SchedSeq,0),MAP!$B$4))</f>
        <v>4</v>
      </c>
      <c r="D65" s="2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2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2" t="str">
        <f>IF($B65="","",IF(COUNTIF(EngGameID,$B65)&gt;1,"DUP",""))</f>
        <v/>
      </c>
      <c r="G65" s="2" t="str">
        <f>IF($B65="","",IF(OR(COUNTIFS(EngWeek,$C65,EngAway,$D65)+COUNTIFS(EngWeek,$C65,EngHome,$D65)&gt;1,COUNTIFS(EngWeek,$C65,EngAway,$E65)+COUNTIFS(EngWeek,$C65,EngHome,$E65)&gt;1),"DUP",""))</f>
        <v/>
      </c>
      <c r="H65" s="2" t="str">
        <f>IF($B65="","",IF(OR(SUMPRODUCT((CLGameID=$B65)*CLUnmatched)&gt;0,LEFT($D65,1)="⚠",LEFT($E65,1)="⚠"),"UNMATCHED",""))</f>
        <v/>
      </c>
      <c r="I65" s="2" t="str">
        <f t="array" ref="I65">IF($B65="","",IF(OR(NOT(ISNUMBER(IFERROR(INDEX(RatEff,MATCH($D65,RatTeams,0)),"x"))),NOT(ISNUMBER(IFERROR(INDEX(RatEff,MATCH($E65,RatTeams,0)),"x")))),"MISSING",""))</f>
        <v/>
      </c>
      <c r="J65" s="2" t="str">
        <f>IF($B65="","",IF(SUMPRODUCT((CLGameID=$B65)*CLPlayed*(CLUseCur+CLUsePrev&gt;0)*(CLPlays=0))&gt;0,"MISSING",""))</f>
        <v/>
      </c>
      <c r="K65" s="2" t="str">
        <f>IF($B65="","",IF(SUMPRODUCT((CLGameID=$B65)*CLPlayed*((CLOffPts&lt;-20)+(CLOffPts&gt;90)))&gt;0,"CHECK",""))</f>
        <v/>
      </c>
      <c r="L65" s="2" t="str">
        <f t="array" ref="L65">IF($B65="","",IF(OR(ABS(IFERROR(INDEX(RatEff,MATCH($D65,RatTeams,0)),0))&gt;RatingRange,ABS(IFERROR(INDEX(RatEff,MATCH($E65,RatTeams,0)),0))&gt;RatingRange),"RANGE",""))</f>
        <v/>
      </c>
      <c r="M65" s="2" t="str">
        <f t="array" ref="M65">IF($B65="","",IF(OR(IFERROR(INDEX(CalcMoveFlag,MATCH($D65,CalcTeams,0)),"")="CAPPED",IFERROR(INDEX(CalcMoveFlag,MATCH($E65,CalcTeams,0)),"")="CAPPED"),"CAPPED",""))</f>
        <v/>
      </c>
      <c r="N65" s="2" t="str">
        <f>IF($B65="","",IF(ABS(SUMIFS(AdjSpread,AdjGameID,$B65,AdjActive,1))&gt;AdjCap,"LARGE",""))</f>
        <v/>
      </c>
      <c r="O65" s="2" t="str">
        <f t="array" ref="O65">IF($B65="","",IFERROR(INDEX(MktStale,MATCH($B65,MktGameID,0)),""))</f>
        <v/>
      </c>
      <c r="P65" s="2" t="str">
        <f t="shared" si="1"/>
        <v>READY</v>
      </c>
    </row>
    <row r="66" ht="15.0" customHeight="1">
      <c r="A66" s="2">
        <v>55.0</v>
      </c>
      <c r="B66" s="2" t="str">
        <f t="array" ref="B66">IFERROR(INDEX(SchedZone,MATCH($A66,SchedSeq,0),MAP!$B$6),"")</f>
        <v>2026_04_DAL_HOU</v>
      </c>
      <c r="C66" s="2">
        <f t="array" ref="C66">IF($B66="","",INDEX(SchedZone,MATCH($A66,SchedSeq,0),MAP!$B$4))</f>
        <v>4</v>
      </c>
      <c r="D66" s="2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2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2" t="str">
        <f>IF($B66="","",IF(COUNTIF(EngGameID,$B66)&gt;1,"DUP",""))</f>
        <v/>
      </c>
      <c r="G66" s="2" t="str">
        <f>IF($B66="","",IF(OR(COUNTIFS(EngWeek,$C66,EngAway,$D66)+COUNTIFS(EngWeek,$C66,EngHome,$D66)&gt;1,COUNTIFS(EngWeek,$C66,EngAway,$E66)+COUNTIFS(EngWeek,$C66,EngHome,$E66)&gt;1),"DUP",""))</f>
        <v/>
      </c>
      <c r="H66" s="2" t="str">
        <f>IF($B66="","",IF(OR(SUMPRODUCT((CLGameID=$B66)*CLUnmatched)&gt;0,LEFT($D66,1)="⚠",LEFT($E66,1)="⚠"),"UNMATCHED",""))</f>
        <v/>
      </c>
      <c r="I66" s="2" t="str">
        <f t="array" ref="I66">IF($B66="","",IF(OR(NOT(ISNUMBER(IFERROR(INDEX(RatEff,MATCH($D66,RatTeams,0)),"x"))),NOT(ISNUMBER(IFERROR(INDEX(RatEff,MATCH($E66,RatTeams,0)),"x")))),"MISSING",""))</f>
        <v/>
      </c>
      <c r="J66" s="2" t="str">
        <f>IF($B66="","",IF(SUMPRODUCT((CLGameID=$B66)*CLPlayed*(CLUseCur+CLUsePrev&gt;0)*(CLPlays=0))&gt;0,"MISSING",""))</f>
        <v/>
      </c>
      <c r="K66" s="2" t="str">
        <f>IF($B66="","",IF(SUMPRODUCT((CLGameID=$B66)*CLPlayed*((CLOffPts&lt;-20)+(CLOffPts&gt;90)))&gt;0,"CHECK",""))</f>
        <v/>
      </c>
      <c r="L66" s="2" t="str">
        <f t="array" ref="L66">IF($B66="","",IF(OR(ABS(IFERROR(INDEX(RatEff,MATCH($D66,RatTeams,0)),0))&gt;RatingRange,ABS(IFERROR(INDEX(RatEff,MATCH($E66,RatTeams,0)),0))&gt;RatingRange),"RANGE",""))</f>
        <v/>
      </c>
      <c r="M66" s="2" t="str">
        <f t="array" ref="M66">IF($B66="","",IF(OR(IFERROR(INDEX(CalcMoveFlag,MATCH($D66,CalcTeams,0)),"")="CAPPED",IFERROR(INDEX(CalcMoveFlag,MATCH($E66,CalcTeams,0)),"")="CAPPED"),"CAPPED",""))</f>
        <v/>
      </c>
      <c r="N66" s="2" t="str">
        <f>IF($B66="","",IF(ABS(SUMIFS(AdjSpread,AdjGameID,$B66,AdjActive,1))&gt;AdjCap,"LARGE",""))</f>
        <v/>
      </c>
      <c r="O66" s="2" t="str">
        <f t="array" ref="O66">IF($B66="","",IFERROR(INDEX(MktStale,MATCH($B66,MktGameID,0)),""))</f>
        <v/>
      </c>
      <c r="P66" s="2" t="str">
        <f t="shared" si="1"/>
        <v>READY</v>
      </c>
    </row>
    <row r="67" ht="15.0" customHeight="1">
      <c r="A67" s="2">
        <v>56.0</v>
      </c>
      <c r="B67" s="2" t="str">
        <f t="array" ref="B67">IFERROR(INDEX(SchedZone,MATCH($A67,SchedSeq,0),MAP!$B$6),"")</f>
        <v>2026_04_ARI_NYG</v>
      </c>
      <c r="C67" s="2">
        <f t="array" ref="C67">IF($B67="","",INDEX(SchedZone,MATCH($A67,SchedSeq,0),MAP!$B$4))</f>
        <v>4</v>
      </c>
      <c r="D67" s="2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2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2" t="str">
        <f>IF($B67="","",IF(COUNTIF(EngGameID,$B67)&gt;1,"DUP",""))</f>
        <v/>
      </c>
      <c r="G67" s="2" t="str">
        <f>IF($B67="","",IF(OR(COUNTIFS(EngWeek,$C67,EngAway,$D67)+COUNTIFS(EngWeek,$C67,EngHome,$D67)&gt;1,COUNTIFS(EngWeek,$C67,EngAway,$E67)+COUNTIFS(EngWeek,$C67,EngHome,$E67)&gt;1),"DUP",""))</f>
        <v/>
      </c>
      <c r="H67" s="2" t="str">
        <f>IF($B67="","",IF(OR(SUMPRODUCT((CLGameID=$B67)*CLUnmatched)&gt;0,LEFT($D67,1)="⚠",LEFT($E67,1)="⚠"),"UNMATCHED",""))</f>
        <v/>
      </c>
      <c r="I67" s="2" t="str">
        <f t="array" ref="I67">IF($B67="","",IF(OR(NOT(ISNUMBER(IFERROR(INDEX(RatEff,MATCH($D67,RatTeams,0)),"x"))),NOT(ISNUMBER(IFERROR(INDEX(RatEff,MATCH($E67,RatTeams,0)),"x")))),"MISSING",""))</f>
        <v/>
      </c>
      <c r="J67" s="2" t="str">
        <f>IF($B67="","",IF(SUMPRODUCT((CLGameID=$B67)*CLPlayed*(CLUseCur+CLUsePrev&gt;0)*(CLPlays=0))&gt;0,"MISSING",""))</f>
        <v/>
      </c>
      <c r="K67" s="2" t="str">
        <f>IF($B67="","",IF(SUMPRODUCT((CLGameID=$B67)*CLPlayed*((CLOffPts&lt;-20)+(CLOffPts&gt;90)))&gt;0,"CHECK",""))</f>
        <v/>
      </c>
      <c r="L67" s="2" t="str">
        <f t="array" ref="L67">IF($B67="","",IF(OR(ABS(IFERROR(INDEX(RatEff,MATCH($D67,RatTeams,0)),0))&gt;RatingRange,ABS(IFERROR(INDEX(RatEff,MATCH($E67,RatTeams,0)),0))&gt;RatingRange),"RANGE",""))</f>
        <v/>
      </c>
      <c r="M67" s="2" t="str">
        <f t="array" ref="M67">IF($B67="","",IF(OR(IFERROR(INDEX(CalcMoveFlag,MATCH($D67,CalcTeams,0)),"")="CAPPED",IFERROR(INDEX(CalcMoveFlag,MATCH($E67,CalcTeams,0)),"")="CAPPED"),"CAPPED",""))</f>
        <v/>
      </c>
      <c r="N67" s="2" t="str">
        <f>IF($B67="","",IF(ABS(SUMIFS(AdjSpread,AdjGameID,$B67,AdjActive,1))&gt;AdjCap,"LARGE",""))</f>
        <v/>
      </c>
      <c r="O67" s="2" t="str">
        <f t="array" ref="O67">IF($B67="","",IFERROR(INDEX(MktStale,MATCH($B67,MktGameID,0)),""))</f>
        <v/>
      </c>
      <c r="P67" s="2" t="str">
        <f t="shared" si="1"/>
        <v>READY</v>
      </c>
    </row>
    <row r="68" ht="15.0" customHeight="1">
      <c r="A68" s="2">
        <v>57.0</v>
      </c>
      <c r="B68" s="2" t="str">
        <f t="array" ref="B68">IFERROR(INDEX(SchedZone,MATCH($A68,SchedSeq,0),MAP!$B$6),"")</f>
        <v>2026_04_LA_PHI</v>
      </c>
      <c r="C68" s="2">
        <f t="array" ref="C68">IF($B68="","",INDEX(SchedZone,MATCH($A68,SchedSeq,0),MAP!$B$4))</f>
        <v>4</v>
      </c>
      <c r="D68" s="2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2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2" t="str">
        <f>IF($B68="","",IF(COUNTIF(EngGameID,$B68)&gt;1,"DUP",""))</f>
        <v/>
      </c>
      <c r="G68" s="2" t="str">
        <f>IF($B68="","",IF(OR(COUNTIFS(EngWeek,$C68,EngAway,$D68)+COUNTIFS(EngWeek,$C68,EngHome,$D68)&gt;1,COUNTIFS(EngWeek,$C68,EngAway,$E68)+COUNTIFS(EngWeek,$C68,EngHome,$E68)&gt;1),"DUP",""))</f>
        <v/>
      </c>
      <c r="H68" s="2" t="str">
        <f>IF($B68="","",IF(OR(SUMPRODUCT((CLGameID=$B68)*CLUnmatched)&gt;0,LEFT($D68,1)="⚠",LEFT($E68,1)="⚠"),"UNMATCHED",""))</f>
        <v/>
      </c>
      <c r="I68" s="2" t="str">
        <f t="array" ref="I68">IF($B68="","",IF(OR(NOT(ISNUMBER(IFERROR(INDEX(RatEff,MATCH($D68,RatTeams,0)),"x"))),NOT(ISNUMBER(IFERROR(INDEX(RatEff,MATCH($E68,RatTeams,0)),"x")))),"MISSING",""))</f>
        <v/>
      </c>
      <c r="J68" s="2" t="str">
        <f>IF($B68="","",IF(SUMPRODUCT((CLGameID=$B68)*CLPlayed*(CLUseCur+CLUsePrev&gt;0)*(CLPlays=0))&gt;0,"MISSING",""))</f>
        <v/>
      </c>
      <c r="K68" s="2" t="str">
        <f>IF($B68="","",IF(SUMPRODUCT((CLGameID=$B68)*CLPlayed*((CLOffPts&lt;-20)+(CLOffPts&gt;90)))&gt;0,"CHECK",""))</f>
        <v/>
      </c>
      <c r="L68" s="2" t="str">
        <f t="array" ref="L68">IF($B68="","",IF(OR(ABS(IFERROR(INDEX(RatEff,MATCH($D68,RatTeams,0)),0))&gt;RatingRange,ABS(IFERROR(INDEX(RatEff,MATCH($E68,RatTeams,0)),0))&gt;RatingRange),"RANGE",""))</f>
        <v/>
      </c>
      <c r="M68" s="2" t="str">
        <f t="array" ref="M68">IF($B68="","",IF(OR(IFERROR(INDEX(CalcMoveFlag,MATCH($D68,CalcTeams,0)),"")="CAPPED",IFERROR(INDEX(CalcMoveFlag,MATCH($E68,CalcTeams,0)),"")="CAPPED"),"CAPPED",""))</f>
        <v/>
      </c>
      <c r="N68" s="2" t="str">
        <f>IF($B68="","",IF(ABS(SUMIFS(AdjSpread,AdjGameID,$B68,AdjActive,1))&gt;AdjCap,"LARGE",""))</f>
        <v/>
      </c>
      <c r="O68" s="2" t="str">
        <f t="array" ref="O68">IF($B68="","",IFERROR(INDEX(MktStale,MATCH($B68,MktGameID,0)),""))</f>
        <v/>
      </c>
      <c r="P68" s="2" t="str">
        <f t="shared" si="1"/>
        <v>READY</v>
      </c>
    </row>
    <row r="69" ht="15.0" customHeight="1">
      <c r="A69" s="2">
        <v>58.0</v>
      </c>
      <c r="B69" s="2" t="str">
        <f t="array" ref="B69">IFERROR(INDEX(SchedZone,MATCH($A69,SchedSeq,0),MAP!$B$6),"")</f>
        <v>2026_04_GB_TB</v>
      </c>
      <c r="C69" s="2">
        <f t="array" ref="C69">IF($B69="","",INDEX(SchedZone,MATCH($A69,SchedSeq,0),MAP!$B$4))</f>
        <v>4</v>
      </c>
      <c r="D69" s="2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2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2" t="str">
        <f>IF($B69="","",IF(COUNTIF(EngGameID,$B69)&gt;1,"DUP",""))</f>
        <v/>
      </c>
      <c r="G69" s="2" t="str">
        <f>IF($B69="","",IF(OR(COUNTIFS(EngWeek,$C69,EngAway,$D69)+COUNTIFS(EngWeek,$C69,EngHome,$D69)&gt;1,COUNTIFS(EngWeek,$C69,EngAway,$E69)+COUNTIFS(EngWeek,$C69,EngHome,$E69)&gt;1),"DUP",""))</f>
        <v/>
      </c>
      <c r="H69" s="2" t="str">
        <f>IF($B69="","",IF(OR(SUMPRODUCT((CLGameID=$B69)*CLUnmatched)&gt;0,LEFT($D69,1)="⚠",LEFT($E69,1)="⚠"),"UNMATCHED",""))</f>
        <v/>
      </c>
      <c r="I69" s="2" t="str">
        <f t="array" ref="I69">IF($B69="","",IF(OR(NOT(ISNUMBER(IFERROR(INDEX(RatEff,MATCH($D69,RatTeams,0)),"x"))),NOT(ISNUMBER(IFERROR(INDEX(RatEff,MATCH($E69,RatTeams,0)),"x")))),"MISSING",""))</f>
        <v/>
      </c>
      <c r="J69" s="2" t="str">
        <f>IF($B69="","",IF(SUMPRODUCT((CLGameID=$B69)*CLPlayed*(CLUseCur+CLUsePrev&gt;0)*(CLPlays=0))&gt;0,"MISSING",""))</f>
        <v/>
      </c>
      <c r="K69" s="2" t="str">
        <f>IF($B69="","",IF(SUMPRODUCT((CLGameID=$B69)*CLPlayed*((CLOffPts&lt;-20)+(CLOffPts&gt;90)))&gt;0,"CHECK",""))</f>
        <v/>
      </c>
      <c r="L69" s="2" t="str">
        <f t="array" ref="L69">IF($B69="","",IF(OR(ABS(IFERROR(INDEX(RatEff,MATCH($D69,RatTeams,0)),0))&gt;RatingRange,ABS(IFERROR(INDEX(RatEff,MATCH($E69,RatTeams,0)),0))&gt;RatingRange),"RANGE",""))</f>
        <v/>
      </c>
      <c r="M69" s="2" t="str">
        <f t="array" ref="M69">IF($B69="","",IF(OR(IFERROR(INDEX(CalcMoveFlag,MATCH($D69,CalcTeams,0)),"")="CAPPED",IFERROR(INDEX(CalcMoveFlag,MATCH($E69,CalcTeams,0)),"")="CAPPED"),"CAPPED",""))</f>
        <v/>
      </c>
      <c r="N69" s="2" t="str">
        <f>IF($B69="","",IF(ABS(SUMIFS(AdjSpread,AdjGameID,$B69,AdjActive,1))&gt;AdjCap,"LARGE",""))</f>
        <v/>
      </c>
      <c r="O69" s="2" t="str">
        <f t="array" ref="O69">IF($B69="","",IFERROR(INDEX(MktStale,MATCH($B69,MktGameID,0)),""))</f>
        <v/>
      </c>
      <c r="P69" s="2" t="str">
        <f t="shared" si="1"/>
        <v>READY</v>
      </c>
    </row>
    <row r="70" ht="15.0" customHeight="1">
      <c r="A70" s="2">
        <v>59.0</v>
      </c>
      <c r="B70" s="2" t="str">
        <f t="array" ref="B70">IFERROR(INDEX(SchedZone,MATCH($A70,SchedSeq,0),MAP!$B$6),"")</f>
        <v>2026_04_MIA_MIN</v>
      </c>
      <c r="C70" s="2">
        <f t="array" ref="C70">IF($B70="","",INDEX(SchedZone,MATCH($A70,SchedSeq,0),MAP!$B$4))</f>
        <v>4</v>
      </c>
      <c r="D70" s="2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2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2" t="str">
        <f>IF($B70="","",IF(COUNTIF(EngGameID,$B70)&gt;1,"DUP",""))</f>
        <v/>
      </c>
      <c r="G70" s="2" t="str">
        <f>IF($B70="","",IF(OR(COUNTIFS(EngWeek,$C70,EngAway,$D70)+COUNTIFS(EngWeek,$C70,EngHome,$D70)&gt;1,COUNTIFS(EngWeek,$C70,EngAway,$E70)+COUNTIFS(EngWeek,$C70,EngHome,$E70)&gt;1),"DUP",""))</f>
        <v/>
      </c>
      <c r="H70" s="2" t="str">
        <f>IF($B70="","",IF(OR(SUMPRODUCT((CLGameID=$B70)*CLUnmatched)&gt;0,LEFT($D70,1)="⚠",LEFT($E70,1)="⚠"),"UNMATCHED",""))</f>
        <v/>
      </c>
      <c r="I70" s="2" t="str">
        <f t="array" ref="I70">IF($B70="","",IF(OR(NOT(ISNUMBER(IFERROR(INDEX(RatEff,MATCH($D70,RatTeams,0)),"x"))),NOT(ISNUMBER(IFERROR(INDEX(RatEff,MATCH($E70,RatTeams,0)),"x")))),"MISSING",""))</f>
        <v/>
      </c>
      <c r="J70" s="2" t="str">
        <f>IF($B70="","",IF(SUMPRODUCT((CLGameID=$B70)*CLPlayed*(CLUseCur+CLUsePrev&gt;0)*(CLPlays=0))&gt;0,"MISSING",""))</f>
        <v/>
      </c>
      <c r="K70" s="2" t="str">
        <f>IF($B70="","",IF(SUMPRODUCT((CLGameID=$B70)*CLPlayed*((CLOffPts&lt;-20)+(CLOffPts&gt;90)))&gt;0,"CHECK",""))</f>
        <v/>
      </c>
      <c r="L70" s="2" t="str">
        <f t="array" ref="L70">IF($B70="","",IF(OR(ABS(IFERROR(INDEX(RatEff,MATCH($D70,RatTeams,0)),0))&gt;RatingRange,ABS(IFERROR(INDEX(RatEff,MATCH($E70,RatTeams,0)),0))&gt;RatingRange),"RANGE",""))</f>
        <v/>
      </c>
      <c r="M70" s="2" t="str">
        <f t="array" ref="M70">IF($B70="","",IF(OR(IFERROR(INDEX(CalcMoveFlag,MATCH($D70,CalcTeams,0)),"")="CAPPED",IFERROR(INDEX(CalcMoveFlag,MATCH($E70,CalcTeams,0)),"")="CAPPED"),"CAPPED",""))</f>
        <v/>
      </c>
      <c r="N70" s="2" t="str">
        <f>IF($B70="","",IF(ABS(SUMIFS(AdjSpread,AdjGameID,$B70,AdjActive,1))&gt;AdjCap,"LARGE",""))</f>
        <v/>
      </c>
      <c r="O70" s="2" t="str">
        <f t="array" ref="O70">IF($B70="","",IFERROR(INDEX(MktStale,MATCH($B70,MktGameID,0)),""))</f>
        <v/>
      </c>
      <c r="P70" s="2" t="str">
        <f t="shared" si="1"/>
        <v>READY</v>
      </c>
    </row>
    <row r="71" ht="15.0" customHeight="1">
      <c r="A71" s="2">
        <v>60.0</v>
      </c>
      <c r="B71" s="2" t="str">
        <f t="array" ref="B71">IFERROR(INDEX(SchedZone,MATCH($A71,SchedSeq,0),MAP!$B$6),"")</f>
        <v>2026_04_KC_LV</v>
      </c>
      <c r="C71" s="2">
        <f t="array" ref="C71">IF($B71="","",INDEX(SchedZone,MATCH($A71,SchedSeq,0),MAP!$B$4))</f>
        <v>4</v>
      </c>
      <c r="D71" s="2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2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2" t="str">
        <f>IF($B71="","",IF(COUNTIF(EngGameID,$B71)&gt;1,"DUP",""))</f>
        <v/>
      </c>
      <c r="G71" s="2" t="str">
        <f>IF($B71="","",IF(OR(COUNTIFS(EngWeek,$C71,EngAway,$D71)+COUNTIFS(EngWeek,$C71,EngHome,$D71)&gt;1,COUNTIFS(EngWeek,$C71,EngAway,$E71)+COUNTIFS(EngWeek,$C71,EngHome,$E71)&gt;1),"DUP",""))</f>
        <v/>
      </c>
      <c r="H71" s="2" t="str">
        <f>IF($B71="","",IF(OR(SUMPRODUCT((CLGameID=$B71)*CLUnmatched)&gt;0,LEFT($D71,1)="⚠",LEFT($E71,1)="⚠"),"UNMATCHED",""))</f>
        <v/>
      </c>
      <c r="I71" s="2" t="str">
        <f t="array" ref="I71">IF($B71="","",IF(OR(NOT(ISNUMBER(IFERROR(INDEX(RatEff,MATCH($D71,RatTeams,0)),"x"))),NOT(ISNUMBER(IFERROR(INDEX(RatEff,MATCH($E71,RatTeams,0)),"x")))),"MISSING",""))</f>
        <v/>
      </c>
      <c r="J71" s="2" t="str">
        <f>IF($B71="","",IF(SUMPRODUCT((CLGameID=$B71)*CLPlayed*(CLUseCur+CLUsePrev&gt;0)*(CLPlays=0))&gt;0,"MISSING",""))</f>
        <v/>
      </c>
      <c r="K71" s="2" t="str">
        <f>IF($B71="","",IF(SUMPRODUCT((CLGameID=$B71)*CLPlayed*((CLOffPts&lt;-20)+(CLOffPts&gt;90)))&gt;0,"CHECK",""))</f>
        <v/>
      </c>
      <c r="L71" s="2" t="str">
        <f t="array" ref="L71">IF($B71="","",IF(OR(ABS(IFERROR(INDEX(RatEff,MATCH($D71,RatTeams,0)),0))&gt;RatingRange,ABS(IFERROR(INDEX(RatEff,MATCH($E71,RatTeams,0)),0))&gt;RatingRange),"RANGE",""))</f>
        <v/>
      </c>
      <c r="M71" s="2" t="str">
        <f t="array" ref="M71">IF($B71="","",IF(OR(IFERROR(INDEX(CalcMoveFlag,MATCH($D71,CalcTeams,0)),"")="CAPPED",IFERROR(INDEX(CalcMoveFlag,MATCH($E71,CalcTeams,0)),"")="CAPPED"),"CAPPED",""))</f>
        <v/>
      </c>
      <c r="N71" s="2" t="str">
        <f>IF($B71="","",IF(ABS(SUMIFS(AdjSpread,AdjGameID,$B71,AdjActive,1))&gt;AdjCap,"LARGE",""))</f>
        <v/>
      </c>
      <c r="O71" s="2" t="str">
        <f t="array" ref="O71">IF($B71="","",IFERROR(INDEX(MktStale,MATCH($B71,MktGameID,0)),""))</f>
        <v/>
      </c>
      <c r="P71" s="2" t="str">
        <f t="shared" si="1"/>
        <v>READY</v>
      </c>
    </row>
    <row r="72" ht="15.0" customHeight="1">
      <c r="A72" s="2">
        <v>61.0</v>
      </c>
      <c r="B72" s="2" t="str">
        <f t="array" ref="B72">IFERROR(INDEX(SchedZone,MATCH($A72,SchedSeq,0),MAP!$B$6),"")</f>
        <v>2026_04_LAC_SEA</v>
      </c>
      <c r="C72" s="2">
        <f t="array" ref="C72">IF($B72="","",INDEX(SchedZone,MATCH($A72,SchedSeq,0),MAP!$B$4))</f>
        <v>4</v>
      </c>
      <c r="D72" s="2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2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2" t="str">
        <f>IF($B72="","",IF(COUNTIF(EngGameID,$B72)&gt;1,"DUP",""))</f>
        <v/>
      </c>
      <c r="G72" s="2" t="str">
        <f>IF($B72="","",IF(OR(COUNTIFS(EngWeek,$C72,EngAway,$D72)+COUNTIFS(EngWeek,$C72,EngHome,$D72)&gt;1,COUNTIFS(EngWeek,$C72,EngAway,$E72)+COUNTIFS(EngWeek,$C72,EngHome,$E72)&gt;1),"DUP",""))</f>
        <v/>
      </c>
      <c r="H72" s="2" t="str">
        <f>IF($B72="","",IF(OR(SUMPRODUCT((CLGameID=$B72)*CLUnmatched)&gt;0,LEFT($D72,1)="⚠",LEFT($E72,1)="⚠"),"UNMATCHED",""))</f>
        <v/>
      </c>
      <c r="I72" s="2" t="str">
        <f t="array" ref="I72">IF($B72="","",IF(OR(NOT(ISNUMBER(IFERROR(INDEX(RatEff,MATCH($D72,RatTeams,0)),"x"))),NOT(ISNUMBER(IFERROR(INDEX(RatEff,MATCH($E72,RatTeams,0)),"x")))),"MISSING",""))</f>
        <v/>
      </c>
      <c r="J72" s="2" t="str">
        <f>IF($B72="","",IF(SUMPRODUCT((CLGameID=$B72)*CLPlayed*(CLUseCur+CLUsePrev&gt;0)*(CLPlays=0))&gt;0,"MISSING",""))</f>
        <v/>
      </c>
      <c r="K72" s="2" t="str">
        <f>IF($B72="","",IF(SUMPRODUCT((CLGameID=$B72)*CLPlayed*((CLOffPts&lt;-20)+(CLOffPts&gt;90)))&gt;0,"CHECK",""))</f>
        <v/>
      </c>
      <c r="L72" s="2" t="str">
        <f t="array" ref="L72">IF($B72="","",IF(OR(ABS(IFERROR(INDEX(RatEff,MATCH($D72,RatTeams,0)),0))&gt;RatingRange,ABS(IFERROR(INDEX(RatEff,MATCH($E72,RatTeams,0)),0))&gt;RatingRange),"RANGE",""))</f>
        <v/>
      </c>
      <c r="M72" s="2" t="str">
        <f t="array" ref="M72">IF($B72="","",IF(OR(IFERROR(INDEX(CalcMoveFlag,MATCH($D72,CalcTeams,0)),"")="CAPPED",IFERROR(INDEX(CalcMoveFlag,MATCH($E72,CalcTeams,0)),"")="CAPPED"),"CAPPED",""))</f>
        <v/>
      </c>
      <c r="N72" s="2" t="str">
        <f>IF($B72="","",IF(ABS(SUMIFS(AdjSpread,AdjGameID,$B72,AdjActive,1))&gt;AdjCap,"LARGE",""))</f>
        <v/>
      </c>
      <c r="O72" s="2" t="str">
        <f t="array" ref="O72">IF($B72="","",IFERROR(INDEX(MktStale,MATCH($B72,MktGameID,0)),""))</f>
        <v/>
      </c>
      <c r="P72" s="2" t="str">
        <f t="shared" si="1"/>
        <v>READY</v>
      </c>
    </row>
    <row r="73" ht="15.0" customHeight="1">
      <c r="A73" s="2">
        <v>62.0</v>
      </c>
      <c r="B73" s="2" t="str">
        <f t="array" ref="B73">IFERROR(INDEX(SchedZone,MATCH($A73,SchedSeq,0),MAP!$B$6),"")</f>
        <v>2026_04_DEN_SF</v>
      </c>
      <c r="C73" s="2">
        <f t="array" ref="C73">IF($B73="","",INDEX(SchedZone,MATCH($A73,SchedSeq,0),MAP!$B$4))</f>
        <v>4</v>
      </c>
      <c r="D73" s="2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2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2" t="str">
        <f>IF($B73="","",IF(COUNTIF(EngGameID,$B73)&gt;1,"DUP",""))</f>
        <v/>
      </c>
      <c r="G73" s="2" t="str">
        <f>IF($B73="","",IF(OR(COUNTIFS(EngWeek,$C73,EngAway,$D73)+COUNTIFS(EngWeek,$C73,EngHome,$D73)&gt;1,COUNTIFS(EngWeek,$C73,EngAway,$E73)+COUNTIFS(EngWeek,$C73,EngHome,$E73)&gt;1),"DUP",""))</f>
        <v/>
      </c>
      <c r="H73" s="2" t="str">
        <f>IF($B73="","",IF(OR(SUMPRODUCT((CLGameID=$B73)*CLUnmatched)&gt;0,LEFT($D73,1)="⚠",LEFT($E73,1)="⚠"),"UNMATCHED",""))</f>
        <v/>
      </c>
      <c r="I73" s="2" t="str">
        <f t="array" ref="I73">IF($B73="","",IF(OR(NOT(ISNUMBER(IFERROR(INDEX(RatEff,MATCH($D73,RatTeams,0)),"x"))),NOT(ISNUMBER(IFERROR(INDEX(RatEff,MATCH($E73,RatTeams,0)),"x")))),"MISSING",""))</f>
        <v/>
      </c>
      <c r="J73" s="2" t="str">
        <f>IF($B73="","",IF(SUMPRODUCT((CLGameID=$B73)*CLPlayed*(CLUseCur+CLUsePrev&gt;0)*(CLPlays=0))&gt;0,"MISSING",""))</f>
        <v/>
      </c>
      <c r="K73" s="2" t="str">
        <f>IF($B73="","",IF(SUMPRODUCT((CLGameID=$B73)*CLPlayed*((CLOffPts&lt;-20)+(CLOffPts&gt;90)))&gt;0,"CHECK",""))</f>
        <v/>
      </c>
      <c r="L73" s="2" t="str">
        <f t="array" ref="L73">IF($B73="","",IF(OR(ABS(IFERROR(INDEX(RatEff,MATCH($D73,RatTeams,0)),0))&gt;RatingRange,ABS(IFERROR(INDEX(RatEff,MATCH($E73,RatTeams,0)),0))&gt;RatingRange),"RANGE",""))</f>
        <v/>
      </c>
      <c r="M73" s="2" t="str">
        <f t="array" ref="M73">IF($B73="","",IF(OR(IFERROR(INDEX(CalcMoveFlag,MATCH($D73,CalcTeams,0)),"")="CAPPED",IFERROR(INDEX(CalcMoveFlag,MATCH($E73,CalcTeams,0)),"")="CAPPED"),"CAPPED",""))</f>
        <v/>
      </c>
      <c r="N73" s="2" t="str">
        <f>IF($B73="","",IF(ABS(SUMIFS(AdjSpread,AdjGameID,$B73,AdjActive,1))&gt;AdjCap,"LARGE",""))</f>
        <v/>
      </c>
      <c r="O73" s="2" t="str">
        <f t="array" ref="O73">IF($B73="","",IFERROR(INDEX(MktStale,MATCH($B73,MktGameID,0)),""))</f>
        <v/>
      </c>
      <c r="P73" s="2" t="str">
        <f t="shared" si="1"/>
        <v>READY</v>
      </c>
    </row>
    <row r="74" ht="15.0" customHeight="1">
      <c r="A74" s="2">
        <v>63.0</v>
      </c>
      <c r="B74" s="2" t="str">
        <f t="array" ref="B74">IFERROR(INDEX(SchedZone,MATCH($A74,SchedSeq,0),MAP!$B$6),"")</f>
        <v>2026_04_DET_CAR</v>
      </c>
      <c r="C74" s="2">
        <f t="array" ref="C74">IF($B74="","",INDEX(SchedZone,MATCH($A74,SchedSeq,0),MAP!$B$4))</f>
        <v>4</v>
      </c>
      <c r="D74" s="2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2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2" t="str">
        <f>IF($B74="","",IF(COUNTIF(EngGameID,$B74)&gt;1,"DUP",""))</f>
        <v/>
      </c>
      <c r="G74" s="2" t="str">
        <f>IF($B74="","",IF(OR(COUNTIFS(EngWeek,$C74,EngAway,$D74)+COUNTIFS(EngWeek,$C74,EngHome,$D74)&gt;1,COUNTIFS(EngWeek,$C74,EngAway,$E74)+COUNTIFS(EngWeek,$C74,EngHome,$E74)&gt;1),"DUP",""))</f>
        <v/>
      </c>
      <c r="H74" s="2" t="str">
        <f>IF($B74="","",IF(OR(SUMPRODUCT((CLGameID=$B74)*CLUnmatched)&gt;0,LEFT($D74,1)="⚠",LEFT($E74,1)="⚠"),"UNMATCHED",""))</f>
        <v/>
      </c>
      <c r="I74" s="2" t="str">
        <f t="array" ref="I74">IF($B74="","",IF(OR(NOT(ISNUMBER(IFERROR(INDEX(RatEff,MATCH($D74,RatTeams,0)),"x"))),NOT(ISNUMBER(IFERROR(INDEX(RatEff,MATCH($E74,RatTeams,0)),"x")))),"MISSING",""))</f>
        <v/>
      </c>
      <c r="J74" s="2" t="str">
        <f>IF($B74="","",IF(SUMPRODUCT((CLGameID=$B74)*CLPlayed*(CLUseCur+CLUsePrev&gt;0)*(CLPlays=0))&gt;0,"MISSING",""))</f>
        <v/>
      </c>
      <c r="K74" s="2" t="str">
        <f>IF($B74="","",IF(SUMPRODUCT((CLGameID=$B74)*CLPlayed*((CLOffPts&lt;-20)+(CLOffPts&gt;90)))&gt;0,"CHECK",""))</f>
        <v/>
      </c>
      <c r="L74" s="2" t="str">
        <f t="array" ref="L74">IF($B74="","",IF(OR(ABS(IFERROR(INDEX(RatEff,MATCH($D74,RatTeams,0)),0))&gt;RatingRange,ABS(IFERROR(INDEX(RatEff,MATCH($E74,RatTeams,0)),0))&gt;RatingRange),"RANGE",""))</f>
        <v/>
      </c>
      <c r="M74" s="2" t="str">
        <f t="array" ref="M74">IF($B74="","",IF(OR(IFERROR(INDEX(CalcMoveFlag,MATCH($D74,CalcTeams,0)),"")="CAPPED",IFERROR(INDEX(CalcMoveFlag,MATCH($E74,CalcTeams,0)),"")="CAPPED"),"CAPPED",""))</f>
        <v/>
      </c>
      <c r="N74" s="2" t="str">
        <f>IF($B74="","",IF(ABS(SUMIFS(AdjSpread,AdjGameID,$B74,AdjActive,1))&gt;AdjCap,"LARGE",""))</f>
        <v/>
      </c>
      <c r="O74" s="2" t="str">
        <f t="array" ref="O74">IF($B74="","",IFERROR(INDEX(MktStale,MATCH($B74,MktGameID,0)),""))</f>
        <v/>
      </c>
      <c r="P74" s="2" t="str">
        <f t="shared" si="1"/>
        <v>READY</v>
      </c>
    </row>
    <row r="75" ht="15.0" customHeight="1">
      <c r="A75" s="2">
        <v>64.0</v>
      </c>
      <c r="B75" s="2" t="str">
        <f t="array" ref="B75">IFERROR(INDEX(SchedZone,MATCH($A75,SchedSeq,0),MAP!$B$6),"")</f>
        <v>2026_04_ATL_NO</v>
      </c>
      <c r="C75" s="2">
        <f t="array" ref="C75">IF($B75="","",INDEX(SchedZone,MATCH($A75,SchedSeq,0),MAP!$B$4))</f>
        <v>4</v>
      </c>
      <c r="D75" s="2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2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2" t="str">
        <f>IF($B75="","",IF(COUNTIF(EngGameID,$B75)&gt;1,"DUP",""))</f>
        <v/>
      </c>
      <c r="G75" s="2" t="str">
        <f>IF($B75="","",IF(OR(COUNTIFS(EngWeek,$C75,EngAway,$D75)+COUNTIFS(EngWeek,$C75,EngHome,$D75)&gt;1,COUNTIFS(EngWeek,$C75,EngAway,$E75)+COUNTIFS(EngWeek,$C75,EngHome,$E75)&gt;1),"DUP",""))</f>
        <v/>
      </c>
      <c r="H75" s="2" t="str">
        <f>IF($B75="","",IF(OR(SUMPRODUCT((CLGameID=$B75)*CLUnmatched)&gt;0,LEFT($D75,1)="⚠",LEFT($E75,1)="⚠"),"UNMATCHED",""))</f>
        <v/>
      </c>
      <c r="I75" s="2" t="str">
        <f t="array" ref="I75">IF($B75="","",IF(OR(NOT(ISNUMBER(IFERROR(INDEX(RatEff,MATCH($D75,RatTeams,0)),"x"))),NOT(ISNUMBER(IFERROR(INDEX(RatEff,MATCH($E75,RatTeams,0)),"x")))),"MISSING",""))</f>
        <v/>
      </c>
      <c r="J75" s="2" t="str">
        <f>IF($B75="","",IF(SUMPRODUCT((CLGameID=$B75)*CLPlayed*(CLUseCur+CLUsePrev&gt;0)*(CLPlays=0))&gt;0,"MISSING",""))</f>
        <v/>
      </c>
      <c r="K75" s="2" t="str">
        <f>IF($B75="","",IF(SUMPRODUCT((CLGameID=$B75)*CLPlayed*((CLOffPts&lt;-20)+(CLOffPts&gt;90)))&gt;0,"CHECK",""))</f>
        <v/>
      </c>
      <c r="L75" s="2" t="str">
        <f t="array" ref="L75">IF($B75="","",IF(OR(ABS(IFERROR(INDEX(RatEff,MATCH($D75,RatTeams,0)),0))&gt;RatingRange,ABS(IFERROR(INDEX(RatEff,MATCH($E75,RatTeams,0)),0))&gt;RatingRange),"RANGE",""))</f>
        <v/>
      </c>
      <c r="M75" s="2" t="str">
        <f t="array" ref="M75">IF($B75="","",IF(OR(IFERROR(INDEX(CalcMoveFlag,MATCH($D75,CalcTeams,0)),"")="CAPPED",IFERROR(INDEX(CalcMoveFlag,MATCH($E75,CalcTeams,0)),"")="CAPPED"),"CAPPED",""))</f>
        <v/>
      </c>
      <c r="N75" s="2" t="str">
        <f>IF($B75="","",IF(ABS(SUMIFS(AdjSpread,AdjGameID,$B75,AdjActive,1))&gt;AdjCap,"LARGE",""))</f>
        <v/>
      </c>
      <c r="O75" s="2" t="str">
        <f t="array" ref="O75">IF($B75="","",IFERROR(INDEX(MktStale,MATCH($B75,MktGameID,0)),""))</f>
        <v/>
      </c>
      <c r="P75" s="2" t="str">
        <f t="shared" si="1"/>
        <v>READY</v>
      </c>
    </row>
    <row r="76" ht="15.0" customHeight="1">
      <c r="A76" s="2">
        <v>65.0</v>
      </c>
      <c r="B76" s="2" t="str">
        <f t="array" ref="B76">IFERROR(INDEX(SchedZone,MATCH($A76,SchedSeq,0),MAP!$B$6),"")</f>
        <v>2026_05_TB_DAL</v>
      </c>
      <c r="C76" s="2">
        <f t="array" ref="C76">IF($B76="","",INDEX(SchedZone,MATCH($A76,SchedSeq,0),MAP!$B$4))</f>
        <v>5</v>
      </c>
      <c r="D76" s="2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2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2" t="str">
        <f>IF($B76="","",IF(COUNTIF(EngGameID,$B76)&gt;1,"DUP",""))</f>
        <v/>
      </c>
      <c r="G76" s="2" t="str">
        <f>IF($B76="","",IF(OR(COUNTIFS(EngWeek,$C76,EngAway,$D76)+COUNTIFS(EngWeek,$C76,EngHome,$D76)&gt;1,COUNTIFS(EngWeek,$C76,EngAway,$E76)+COUNTIFS(EngWeek,$C76,EngHome,$E76)&gt;1),"DUP",""))</f>
        <v/>
      </c>
      <c r="H76" s="2" t="str">
        <f>IF($B76="","",IF(OR(SUMPRODUCT((CLGameID=$B76)*CLUnmatched)&gt;0,LEFT($D76,1)="⚠",LEFT($E76,1)="⚠"),"UNMATCHED",""))</f>
        <v/>
      </c>
      <c r="I76" s="2" t="str">
        <f t="array" ref="I76">IF($B76="","",IF(OR(NOT(ISNUMBER(IFERROR(INDEX(RatEff,MATCH($D76,RatTeams,0)),"x"))),NOT(ISNUMBER(IFERROR(INDEX(RatEff,MATCH($E76,RatTeams,0)),"x")))),"MISSING",""))</f>
        <v/>
      </c>
      <c r="J76" s="2" t="str">
        <f>IF($B76="","",IF(SUMPRODUCT((CLGameID=$B76)*CLPlayed*(CLUseCur+CLUsePrev&gt;0)*(CLPlays=0))&gt;0,"MISSING",""))</f>
        <v/>
      </c>
      <c r="K76" s="2" t="str">
        <f>IF($B76="","",IF(SUMPRODUCT((CLGameID=$B76)*CLPlayed*((CLOffPts&lt;-20)+(CLOffPts&gt;90)))&gt;0,"CHECK",""))</f>
        <v/>
      </c>
      <c r="L76" s="2" t="str">
        <f t="array" ref="L76">IF($B76="","",IF(OR(ABS(IFERROR(INDEX(RatEff,MATCH($D76,RatTeams,0)),0))&gt;RatingRange,ABS(IFERROR(INDEX(RatEff,MATCH($E76,RatTeams,0)),0))&gt;RatingRange),"RANGE",""))</f>
        <v/>
      </c>
      <c r="M76" s="2" t="str">
        <f t="array" ref="M76">IF($B76="","",IF(OR(IFERROR(INDEX(CalcMoveFlag,MATCH($D76,CalcTeams,0)),"")="CAPPED",IFERROR(INDEX(CalcMoveFlag,MATCH($E76,CalcTeams,0)),"")="CAPPED"),"CAPPED",""))</f>
        <v/>
      </c>
      <c r="N76" s="2" t="str">
        <f>IF($B76="","",IF(ABS(SUMIFS(AdjSpread,AdjGameID,$B76,AdjActive,1))&gt;AdjCap,"LARGE",""))</f>
        <v/>
      </c>
      <c r="O76" s="2" t="str">
        <f t="array" ref="O76">IF($B76="","",IFERROR(INDEX(MktStale,MATCH($B76,MktGameID,0)),""))</f>
        <v/>
      </c>
      <c r="P76" s="2" t="str">
        <f t="shared" si="1"/>
        <v>READY</v>
      </c>
    </row>
    <row r="77" ht="15.0" customHeight="1">
      <c r="A77" s="2">
        <v>66.0</v>
      </c>
      <c r="B77" s="2" t="str">
        <f t="array" ref="B77">IFERROR(INDEX(SchedZone,MATCH($A77,SchedSeq,0),MAP!$B$6),"")</f>
        <v>2026_05_PHI_JAX</v>
      </c>
      <c r="C77" s="2">
        <f t="array" ref="C77">IF($B77="","",INDEX(SchedZone,MATCH($A77,SchedSeq,0),MAP!$B$4))</f>
        <v>5</v>
      </c>
      <c r="D77" s="2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2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2" t="str">
        <f>IF($B77="","",IF(COUNTIF(EngGameID,$B77)&gt;1,"DUP",""))</f>
        <v/>
      </c>
      <c r="G77" s="2" t="str">
        <f>IF($B77="","",IF(OR(COUNTIFS(EngWeek,$C77,EngAway,$D77)+COUNTIFS(EngWeek,$C77,EngHome,$D77)&gt;1,COUNTIFS(EngWeek,$C77,EngAway,$E77)+COUNTIFS(EngWeek,$C77,EngHome,$E77)&gt;1),"DUP",""))</f>
        <v/>
      </c>
      <c r="H77" s="2" t="str">
        <f>IF($B77="","",IF(OR(SUMPRODUCT((CLGameID=$B77)*CLUnmatched)&gt;0,LEFT($D77,1)="⚠",LEFT($E77,1)="⚠"),"UNMATCHED",""))</f>
        <v/>
      </c>
      <c r="I77" s="2" t="str">
        <f t="array" ref="I77">IF($B77="","",IF(OR(NOT(ISNUMBER(IFERROR(INDEX(RatEff,MATCH($D77,RatTeams,0)),"x"))),NOT(ISNUMBER(IFERROR(INDEX(RatEff,MATCH($E77,RatTeams,0)),"x")))),"MISSING",""))</f>
        <v/>
      </c>
      <c r="J77" s="2" t="str">
        <f>IF($B77="","",IF(SUMPRODUCT((CLGameID=$B77)*CLPlayed*(CLUseCur+CLUsePrev&gt;0)*(CLPlays=0))&gt;0,"MISSING",""))</f>
        <v/>
      </c>
      <c r="K77" s="2" t="str">
        <f>IF($B77="","",IF(SUMPRODUCT((CLGameID=$B77)*CLPlayed*((CLOffPts&lt;-20)+(CLOffPts&gt;90)))&gt;0,"CHECK",""))</f>
        <v/>
      </c>
      <c r="L77" s="2" t="str">
        <f t="array" ref="L77">IF($B77="","",IF(OR(ABS(IFERROR(INDEX(RatEff,MATCH($D77,RatTeams,0)),0))&gt;RatingRange,ABS(IFERROR(INDEX(RatEff,MATCH($E77,RatTeams,0)),0))&gt;RatingRange),"RANGE",""))</f>
        <v/>
      </c>
      <c r="M77" s="2" t="str">
        <f t="array" ref="M77">IF($B77="","",IF(OR(IFERROR(INDEX(CalcMoveFlag,MATCH($D77,CalcTeams,0)),"")="CAPPED",IFERROR(INDEX(CalcMoveFlag,MATCH($E77,CalcTeams,0)),"")="CAPPED"),"CAPPED",""))</f>
        <v/>
      </c>
      <c r="N77" s="2" t="str">
        <f>IF($B77="","",IF(ABS(SUMIFS(AdjSpread,AdjGameID,$B77,AdjActive,1))&gt;AdjCap,"LARGE",""))</f>
        <v/>
      </c>
      <c r="O77" s="2" t="str">
        <f t="array" ref="O77">IF($B77="","",IFERROR(INDEX(MktStale,MATCH($B77,MktGameID,0)),""))</f>
        <v/>
      </c>
      <c r="P77" s="2" t="str">
        <f t="shared" si="1"/>
        <v>READY</v>
      </c>
    </row>
    <row r="78" ht="15.0" customHeight="1">
      <c r="A78" s="2">
        <v>67.0</v>
      </c>
      <c r="B78" s="2" t="str">
        <f t="array" ref="B78">IFERROR(INDEX(SchedZone,MATCH($A78,SchedSeq,0),MAP!$B$6),"")</f>
        <v>2026_05_CIN_MIA</v>
      </c>
      <c r="C78" s="2">
        <f t="array" ref="C78">IF($B78="","",INDEX(SchedZone,MATCH($A78,SchedSeq,0),MAP!$B$4))</f>
        <v>5</v>
      </c>
      <c r="D78" s="2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2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2" t="str">
        <f>IF($B78="","",IF(COUNTIF(EngGameID,$B78)&gt;1,"DUP",""))</f>
        <v/>
      </c>
      <c r="G78" s="2" t="str">
        <f>IF($B78="","",IF(OR(COUNTIFS(EngWeek,$C78,EngAway,$D78)+COUNTIFS(EngWeek,$C78,EngHome,$D78)&gt;1,COUNTIFS(EngWeek,$C78,EngAway,$E78)+COUNTIFS(EngWeek,$C78,EngHome,$E78)&gt;1),"DUP",""))</f>
        <v/>
      </c>
      <c r="H78" s="2" t="str">
        <f>IF($B78="","",IF(OR(SUMPRODUCT((CLGameID=$B78)*CLUnmatched)&gt;0,LEFT($D78,1)="⚠",LEFT($E78,1)="⚠"),"UNMATCHED",""))</f>
        <v/>
      </c>
      <c r="I78" s="2" t="str">
        <f t="array" ref="I78">IF($B78="","",IF(OR(NOT(ISNUMBER(IFERROR(INDEX(RatEff,MATCH($D78,RatTeams,0)),"x"))),NOT(ISNUMBER(IFERROR(INDEX(RatEff,MATCH($E78,RatTeams,0)),"x")))),"MISSING",""))</f>
        <v/>
      </c>
      <c r="J78" s="2" t="str">
        <f>IF($B78="","",IF(SUMPRODUCT((CLGameID=$B78)*CLPlayed*(CLUseCur+CLUsePrev&gt;0)*(CLPlays=0))&gt;0,"MISSING",""))</f>
        <v/>
      </c>
      <c r="K78" s="2" t="str">
        <f>IF($B78="","",IF(SUMPRODUCT((CLGameID=$B78)*CLPlayed*((CLOffPts&lt;-20)+(CLOffPts&gt;90)))&gt;0,"CHECK",""))</f>
        <v/>
      </c>
      <c r="L78" s="2" t="str">
        <f t="array" ref="L78">IF($B78="","",IF(OR(ABS(IFERROR(INDEX(RatEff,MATCH($D78,RatTeams,0)),0))&gt;RatingRange,ABS(IFERROR(INDEX(RatEff,MATCH($E78,RatTeams,0)),0))&gt;RatingRange),"RANGE",""))</f>
        <v/>
      </c>
      <c r="M78" s="2" t="str">
        <f t="array" ref="M78">IF($B78="","",IF(OR(IFERROR(INDEX(CalcMoveFlag,MATCH($D78,CalcTeams,0)),"")="CAPPED",IFERROR(INDEX(CalcMoveFlag,MATCH($E78,CalcTeams,0)),"")="CAPPED"),"CAPPED",""))</f>
        <v/>
      </c>
      <c r="N78" s="2" t="str">
        <f>IF($B78="","",IF(ABS(SUMIFS(AdjSpread,AdjGameID,$B78,AdjActive,1))&gt;AdjCap,"LARGE",""))</f>
        <v/>
      </c>
      <c r="O78" s="2" t="str">
        <f t="array" ref="O78">IF($B78="","",IFERROR(INDEX(MktStale,MATCH($B78,MktGameID,0)),""))</f>
        <v/>
      </c>
      <c r="P78" s="2" t="str">
        <f t="shared" si="1"/>
        <v>READY</v>
      </c>
    </row>
    <row r="79" ht="15.0" customHeight="1">
      <c r="A79" s="2">
        <v>68.0</v>
      </c>
      <c r="B79" s="2" t="str">
        <f t="array" ref="B79">IFERROR(INDEX(SchedZone,MATCH($A79,SchedSeq,0),MAP!$B$6),"")</f>
        <v>2026_05_LV_NE</v>
      </c>
      <c r="C79" s="2">
        <f t="array" ref="C79">IF($B79="","",INDEX(SchedZone,MATCH($A79,SchedSeq,0),MAP!$B$4))</f>
        <v>5</v>
      </c>
      <c r="D79" s="2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2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2" t="str">
        <f>IF($B79="","",IF(COUNTIF(EngGameID,$B79)&gt;1,"DUP",""))</f>
        <v/>
      </c>
      <c r="G79" s="2" t="str">
        <f>IF($B79="","",IF(OR(COUNTIFS(EngWeek,$C79,EngAway,$D79)+COUNTIFS(EngWeek,$C79,EngHome,$D79)&gt;1,COUNTIFS(EngWeek,$C79,EngAway,$E79)+COUNTIFS(EngWeek,$C79,EngHome,$E79)&gt;1),"DUP",""))</f>
        <v/>
      </c>
      <c r="H79" s="2" t="str">
        <f>IF($B79="","",IF(OR(SUMPRODUCT((CLGameID=$B79)*CLUnmatched)&gt;0,LEFT($D79,1)="⚠",LEFT($E79,1)="⚠"),"UNMATCHED",""))</f>
        <v/>
      </c>
      <c r="I79" s="2" t="str">
        <f t="array" ref="I79">IF($B79="","",IF(OR(NOT(ISNUMBER(IFERROR(INDEX(RatEff,MATCH($D79,RatTeams,0)),"x"))),NOT(ISNUMBER(IFERROR(INDEX(RatEff,MATCH($E79,RatTeams,0)),"x")))),"MISSING",""))</f>
        <v/>
      </c>
      <c r="J79" s="2" t="str">
        <f>IF($B79="","",IF(SUMPRODUCT((CLGameID=$B79)*CLPlayed*(CLUseCur+CLUsePrev&gt;0)*(CLPlays=0))&gt;0,"MISSING",""))</f>
        <v/>
      </c>
      <c r="K79" s="2" t="str">
        <f>IF($B79="","",IF(SUMPRODUCT((CLGameID=$B79)*CLPlayed*((CLOffPts&lt;-20)+(CLOffPts&gt;90)))&gt;0,"CHECK",""))</f>
        <v/>
      </c>
      <c r="L79" s="2" t="str">
        <f t="array" ref="L79">IF($B79="","",IF(OR(ABS(IFERROR(INDEX(RatEff,MATCH($D79,RatTeams,0)),0))&gt;RatingRange,ABS(IFERROR(INDEX(RatEff,MATCH($E79,RatTeams,0)),0))&gt;RatingRange),"RANGE",""))</f>
        <v/>
      </c>
      <c r="M79" s="2" t="str">
        <f t="array" ref="M79">IF($B79="","",IF(OR(IFERROR(INDEX(CalcMoveFlag,MATCH($D79,CalcTeams,0)),"")="CAPPED",IFERROR(INDEX(CalcMoveFlag,MATCH($E79,CalcTeams,0)),"")="CAPPED"),"CAPPED",""))</f>
        <v/>
      </c>
      <c r="N79" s="2" t="str">
        <f>IF($B79="","",IF(ABS(SUMIFS(AdjSpread,AdjGameID,$B79,AdjActive,1))&gt;AdjCap,"LARGE",""))</f>
        <v/>
      </c>
      <c r="O79" s="2" t="str">
        <f t="array" ref="O79">IF($B79="","",IFERROR(INDEX(MktStale,MATCH($B79,MktGameID,0)),""))</f>
        <v/>
      </c>
      <c r="P79" s="2" t="str">
        <f t="shared" si="1"/>
        <v>READY</v>
      </c>
    </row>
    <row r="80" ht="15.0" customHeight="1">
      <c r="A80" s="2">
        <v>69.0</v>
      </c>
      <c r="B80" s="2" t="str">
        <f t="array" ref="B80">IFERROR(INDEX(SchedZone,MATCH($A80,SchedSeq,0),MAP!$B$6),"")</f>
        <v>2026_05_MIN_NO</v>
      </c>
      <c r="C80" s="2">
        <f t="array" ref="C80">IF($B80="","",INDEX(SchedZone,MATCH($A80,SchedSeq,0),MAP!$B$4))</f>
        <v>5</v>
      </c>
      <c r="D80" s="2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2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2" t="str">
        <f>IF($B80="","",IF(COUNTIF(EngGameID,$B80)&gt;1,"DUP",""))</f>
        <v/>
      </c>
      <c r="G80" s="2" t="str">
        <f>IF($B80="","",IF(OR(COUNTIFS(EngWeek,$C80,EngAway,$D80)+COUNTIFS(EngWeek,$C80,EngHome,$D80)&gt;1,COUNTIFS(EngWeek,$C80,EngAway,$E80)+COUNTIFS(EngWeek,$C80,EngHome,$E80)&gt;1),"DUP",""))</f>
        <v/>
      </c>
      <c r="H80" s="2" t="str">
        <f>IF($B80="","",IF(OR(SUMPRODUCT((CLGameID=$B80)*CLUnmatched)&gt;0,LEFT($D80,1)="⚠",LEFT($E80,1)="⚠"),"UNMATCHED",""))</f>
        <v/>
      </c>
      <c r="I80" s="2" t="str">
        <f t="array" ref="I80">IF($B80="","",IF(OR(NOT(ISNUMBER(IFERROR(INDEX(RatEff,MATCH($D80,RatTeams,0)),"x"))),NOT(ISNUMBER(IFERROR(INDEX(RatEff,MATCH($E80,RatTeams,0)),"x")))),"MISSING",""))</f>
        <v/>
      </c>
      <c r="J80" s="2" t="str">
        <f>IF($B80="","",IF(SUMPRODUCT((CLGameID=$B80)*CLPlayed*(CLUseCur+CLUsePrev&gt;0)*(CLPlays=0))&gt;0,"MISSING",""))</f>
        <v/>
      </c>
      <c r="K80" s="2" t="str">
        <f>IF($B80="","",IF(SUMPRODUCT((CLGameID=$B80)*CLPlayed*((CLOffPts&lt;-20)+(CLOffPts&gt;90)))&gt;0,"CHECK",""))</f>
        <v/>
      </c>
      <c r="L80" s="2" t="str">
        <f t="array" ref="L80">IF($B80="","",IF(OR(ABS(IFERROR(INDEX(RatEff,MATCH($D80,RatTeams,0)),0))&gt;RatingRange,ABS(IFERROR(INDEX(RatEff,MATCH($E80,RatTeams,0)),0))&gt;RatingRange),"RANGE",""))</f>
        <v/>
      </c>
      <c r="M80" s="2" t="str">
        <f t="array" ref="M80">IF($B80="","",IF(OR(IFERROR(INDEX(CalcMoveFlag,MATCH($D80,CalcTeams,0)),"")="CAPPED",IFERROR(INDEX(CalcMoveFlag,MATCH($E80,CalcTeams,0)),"")="CAPPED"),"CAPPED",""))</f>
        <v/>
      </c>
      <c r="N80" s="2" t="str">
        <f>IF($B80="","",IF(ABS(SUMIFS(AdjSpread,AdjGameID,$B80,AdjActive,1))&gt;AdjCap,"LARGE",""))</f>
        <v/>
      </c>
      <c r="O80" s="2" t="str">
        <f t="array" ref="O80">IF($B80="","",IFERROR(INDEX(MktStale,MATCH($B80,MktGameID,0)),""))</f>
        <v/>
      </c>
      <c r="P80" s="2" t="str">
        <f t="shared" si="1"/>
        <v>READY</v>
      </c>
    </row>
    <row r="81" ht="15.0" customHeight="1">
      <c r="A81" s="2">
        <v>70.0</v>
      </c>
      <c r="B81" s="2" t="str">
        <f t="array" ref="B81">IFERROR(INDEX(SchedZone,MATCH($A81,SchedSeq,0),MAP!$B$6),"")</f>
        <v>2026_05_CLE_NYJ</v>
      </c>
      <c r="C81" s="2">
        <f t="array" ref="C81">IF($B81="","",INDEX(SchedZone,MATCH($A81,SchedSeq,0),MAP!$B$4))</f>
        <v>5</v>
      </c>
      <c r="D81" s="2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2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2" t="str">
        <f>IF($B81="","",IF(COUNTIF(EngGameID,$B81)&gt;1,"DUP",""))</f>
        <v/>
      </c>
      <c r="G81" s="2" t="str">
        <f>IF($B81="","",IF(OR(COUNTIFS(EngWeek,$C81,EngAway,$D81)+COUNTIFS(EngWeek,$C81,EngHome,$D81)&gt;1,COUNTIFS(EngWeek,$C81,EngAway,$E81)+COUNTIFS(EngWeek,$C81,EngHome,$E81)&gt;1),"DUP",""))</f>
        <v/>
      </c>
      <c r="H81" s="2" t="str">
        <f>IF($B81="","",IF(OR(SUMPRODUCT((CLGameID=$B81)*CLUnmatched)&gt;0,LEFT($D81,1)="⚠",LEFT($E81,1)="⚠"),"UNMATCHED",""))</f>
        <v/>
      </c>
      <c r="I81" s="2" t="str">
        <f t="array" ref="I81">IF($B81="","",IF(OR(NOT(ISNUMBER(IFERROR(INDEX(RatEff,MATCH($D81,RatTeams,0)),"x"))),NOT(ISNUMBER(IFERROR(INDEX(RatEff,MATCH($E81,RatTeams,0)),"x")))),"MISSING",""))</f>
        <v/>
      </c>
      <c r="J81" s="2" t="str">
        <f>IF($B81="","",IF(SUMPRODUCT((CLGameID=$B81)*CLPlayed*(CLUseCur+CLUsePrev&gt;0)*(CLPlays=0))&gt;0,"MISSING",""))</f>
        <v/>
      </c>
      <c r="K81" s="2" t="str">
        <f>IF($B81="","",IF(SUMPRODUCT((CLGameID=$B81)*CLPlayed*((CLOffPts&lt;-20)+(CLOffPts&gt;90)))&gt;0,"CHECK",""))</f>
        <v/>
      </c>
      <c r="L81" s="2" t="str">
        <f t="array" ref="L81">IF($B81="","",IF(OR(ABS(IFERROR(INDEX(RatEff,MATCH($D81,RatTeams,0)),0))&gt;RatingRange,ABS(IFERROR(INDEX(RatEff,MATCH($E81,RatTeams,0)),0))&gt;RatingRange),"RANGE",""))</f>
        <v/>
      </c>
      <c r="M81" s="2" t="str">
        <f t="array" ref="M81">IF($B81="","",IF(OR(IFERROR(INDEX(CalcMoveFlag,MATCH($D81,CalcTeams,0)),"")="CAPPED",IFERROR(INDEX(CalcMoveFlag,MATCH($E81,CalcTeams,0)),"")="CAPPED"),"CAPPED",""))</f>
        <v/>
      </c>
      <c r="N81" s="2" t="str">
        <f>IF($B81="","",IF(ABS(SUMIFS(AdjSpread,AdjGameID,$B81,AdjActive,1))&gt;AdjCap,"LARGE",""))</f>
        <v/>
      </c>
      <c r="O81" s="2" t="str">
        <f t="array" ref="O81">IF($B81="","",IFERROR(INDEX(MktStale,MATCH($B81,MktGameID,0)),""))</f>
        <v/>
      </c>
      <c r="P81" s="2" t="str">
        <f t="shared" si="1"/>
        <v>READY</v>
      </c>
    </row>
    <row r="82" ht="15.0" customHeight="1">
      <c r="A82" s="2">
        <v>71.0</v>
      </c>
      <c r="B82" s="2" t="str">
        <f t="array" ref="B82">IFERROR(INDEX(SchedZone,MATCH($A82,SchedSeq,0),MAP!$B$6),"")</f>
        <v>2026_05_IND_PIT</v>
      </c>
      <c r="C82" s="2">
        <f t="array" ref="C82">IF($B82="","",INDEX(SchedZone,MATCH($A82,SchedSeq,0),MAP!$B$4))</f>
        <v>5</v>
      </c>
      <c r="D82" s="2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2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2" t="str">
        <f>IF($B82="","",IF(COUNTIF(EngGameID,$B82)&gt;1,"DUP",""))</f>
        <v/>
      </c>
      <c r="G82" s="2" t="str">
        <f>IF($B82="","",IF(OR(COUNTIFS(EngWeek,$C82,EngAway,$D82)+COUNTIFS(EngWeek,$C82,EngHome,$D82)&gt;1,COUNTIFS(EngWeek,$C82,EngAway,$E82)+COUNTIFS(EngWeek,$C82,EngHome,$E82)&gt;1),"DUP",""))</f>
        <v/>
      </c>
      <c r="H82" s="2" t="str">
        <f>IF($B82="","",IF(OR(SUMPRODUCT((CLGameID=$B82)*CLUnmatched)&gt;0,LEFT($D82,1)="⚠",LEFT($E82,1)="⚠"),"UNMATCHED",""))</f>
        <v/>
      </c>
      <c r="I82" s="2" t="str">
        <f t="array" ref="I82">IF($B82="","",IF(OR(NOT(ISNUMBER(IFERROR(INDEX(RatEff,MATCH($D82,RatTeams,0)),"x"))),NOT(ISNUMBER(IFERROR(INDEX(RatEff,MATCH($E82,RatTeams,0)),"x")))),"MISSING",""))</f>
        <v/>
      </c>
      <c r="J82" s="2" t="str">
        <f>IF($B82="","",IF(SUMPRODUCT((CLGameID=$B82)*CLPlayed*(CLUseCur+CLUsePrev&gt;0)*(CLPlays=0))&gt;0,"MISSING",""))</f>
        <v/>
      </c>
      <c r="K82" s="2" t="str">
        <f>IF($B82="","",IF(SUMPRODUCT((CLGameID=$B82)*CLPlayed*((CLOffPts&lt;-20)+(CLOffPts&gt;90)))&gt;0,"CHECK",""))</f>
        <v/>
      </c>
      <c r="L82" s="2" t="str">
        <f t="array" ref="L82">IF($B82="","",IF(OR(ABS(IFERROR(INDEX(RatEff,MATCH($D82,RatTeams,0)),0))&gt;RatingRange,ABS(IFERROR(INDEX(RatEff,MATCH($E82,RatTeams,0)),0))&gt;RatingRange),"RANGE",""))</f>
        <v/>
      </c>
      <c r="M82" s="2" t="str">
        <f t="array" ref="M82">IF($B82="","",IF(OR(IFERROR(INDEX(CalcMoveFlag,MATCH($D82,CalcTeams,0)),"")="CAPPED",IFERROR(INDEX(CalcMoveFlag,MATCH($E82,CalcTeams,0)),"")="CAPPED"),"CAPPED",""))</f>
        <v/>
      </c>
      <c r="N82" s="2" t="str">
        <f>IF($B82="","",IF(ABS(SUMIFS(AdjSpread,AdjGameID,$B82,AdjActive,1))&gt;AdjCap,"LARGE",""))</f>
        <v/>
      </c>
      <c r="O82" s="2" t="str">
        <f t="array" ref="O82">IF($B82="","",IFERROR(INDEX(MktStale,MATCH($B82,MktGameID,0)),""))</f>
        <v/>
      </c>
      <c r="P82" s="2" t="str">
        <f t="shared" si="1"/>
        <v>READY</v>
      </c>
    </row>
    <row r="83" ht="15.0" customHeight="1">
      <c r="A83" s="2">
        <v>72.0</v>
      </c>
      <c r="B83" s="2" t="str">
        <f t="array" ref="B83">IFERROR(INDEX(SchedZone,MATCH($A83,SchedSeq,0),MAP!$B$6),"")</f>
        <v>2026_05_HOU_TEN</v>
      </c>
      <c r="C83" s="2">
        <f t="array" ref="C83">IF($B83="","",INDEX(SchedZone,MATCH($A83,SchedSeq,0),MAP!$B$4))</f>
        <v>5</v>
      </c>
      <c r="D83" s="2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2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2" t="str">
        <f>IF($B83="","",IF(COUNTIF(EngGameID,$B83)&gt;1,"DUP",""))</f>
        <v/>
      </c>
      <c r="G83" s="2" t="str">
        <f>IF($B83="","",IF(OR(COUNTIFS(EngWeek,$C83,EngAway,$D83)+COUNTIFS(EngWeek,$C83,EngHome,$D83)&gt;1,COUNTIFS(EngWeek,$C83,EngAway,$E83)+COUNTIFS(EngWeek,$C83,EngHome,$E83)&gt;1),"DUP",""))</f>
        <v/>
      </c>
      <c r="H83" s="2" t="str">
        <f>IF($B83="","",IF(OR(SUMPRODUCT((CLGameID=$B83)*CLUnmatched)&gt;0,LEFT($D83,1)="⚠",LEFT($E83,1)="⚠"),"UNMATCHED",""))</f>
        <v/>
      </c>
      <c r="I83" s="2" t="str">
        <f t="array" ref="I83">IF($B83="","",IF(OR(NOT(ISNUMBER(IFERROR(INDEX(RatEff,MATCH($D83,RatTeams,0)),"x"))),NOT(ISNUMBER(IFERROR(INDEX(RatEff,MATCH($E83,RatTeams,0)),"x")))),"MISSING",""))</f>
        <v/>
      </c>
      <c r="J83" s="2" t="str">
        <f>IF($B83="","",IF(SUMPRODUCT((CLGameID=$B83)*CLPlayed*(CLUseCur+CLUsePrev&gt;0)*(CLPlays=0))&gt;0,"MISSING",""))</f>
        <v/>
      </c>
      <c r="K83" s="2" t="str">
        <f>IF($B83="","",IF(SUMPRODUCT((CLGameID=$B83)*CLPlayed*((CLOffPts&lt;-20)+(CLOffPts&gt;90)))&gt;0,"CHECK",""))</f>
        <v/>
      </c>
      <c r="L83" s="2" t="str">
        <f t="array" ref="L83">IF($B83="","",IF(OR(ABS(IFERROR(INDEX(RatEff,MATCH($D83,RatTeams,0)),0))&gt;RatingRange,ABS(IFERROR(INDEX(RatEff,MATCH($E83,RatTeams,0)),0))&gt;RatingRange),"RANGE",""))</f>
        <v/>
      </c>
      <c r="M83" s="2" t="str">
        <f t="array" ref="M83">IF($B83="","",IF(OR(IFERROR(INDEX(CalcMoveFlag,MATCH($D83,CalcTeams,0)),"")="CAPPED",IFERROR(INDEX(CalcMoveFlag,MATCH($E83,CalcTeams,0)),"")="CAPPED"),"CAPPED",""))</f>
        <v/>
      </c>
      <c r="N83" s="2" t="str">
        <f>IF($B83="","",IF(ABS(SUMIFS(AdjSpread,AdjGameID,$B83,AdjActive,1))&gt;AdjCap,"LARGE",""))</f>
        <v/>
      </c>
      <c r="O83" s="2" t="str">
        <f t="array" ref="O83">IF($B83="","",IFERROR(INDEX(MktStale,MATCH($B83,MktGameID,0)),""))</f>
        <v/>
      </c>
      <c r="P83" s="2" t="str">
        <f t="shared" si="1"/>
        <v>READY</v>
      </c>
    </row>
    <row r="84" ht="15.0" customHeight="1">
      <c r="A84" s="2">
        <v>73.0</v>
      </c>
      <c r="B84" s="2" t="str">
        <f t="array" ref="B84">IFERROR(INDEX(SchedZone,MATCH($A84,SchedSeq,0),MAP!$B$6),"")</f>
        <v>2026_05_NYG_WAS</v>
      </c>
      <c r="C84" s="2">
        <f t="array" ref="C84">IF($B84="","",INDEX(SchedZone,MATCH($A84,SchedSeq,0),MAP!$B$4))</f>
        <v>5</v>
      </c>
      <c r="D84" s="2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2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2" t="str">
        <f>IF($B84="","",IF(COUNTIF(EngGameID,$B84)&gt;1,"DUP",""))</f>
        <v/>
      </c>
      <c r="G84" s="2" t="str">
        <f>IF($B84="","",IF(OR(COUNTIFS(EngWeek,$C84,EngAway,$D84)+COUNTIFS(EngWeek,$C84,EngHome,$D84)&gt;1,COUNTIFS(EngWeek,$C84,EngAway,$E84)+COUNTIFS(EngWeek,$C84,EngHome,$E84)&gt;1),"DUP",""))</f>
        <v/>
      </c>
      <c r="H84" s="2" t="str">
        <f>IF($B84="","",IF(OR(SUMPRODUCT((CLGameID=$B84)*CLUnmatched)&gt;0,LEFT($D84,1)="⚠",LEFT($E84,1)="⚠"),"UNMATCHED",""))</f>
        <v/>
      </c>
      <c r="I84" s="2" t="str">
        <f t="array" ref="I84">IF($B84="","",IF(OR(NOT(ISNUMBER(IFERROR(INDEX(RatEff,MATCH($D84,RatTeams,0)),"x"))),NOT(ISNUMBER(IFERROR(INDEX(RatEff,MATCH($E84,RatTeams,0)),"x")))),"MISSING",""))</f>
        <v/>
      </c>
      <c r="J84" s="2" t="str">
        <f>IF($B84="","",IF(SUMPRODUCT((CLGameID=$B84)*CLPlayed*(CLUseCur+CLUsePrev&gt;0)*(CLPlays=0))&gt;0,"MISSING",""))</f>
        <v/>
      </c>
      <c r="K84" s="2" t="str">
        <f>IF($B84="","",IF(SUMPRODUCT((CLGameID=$B84)*CLPlayed*((CLOffPts&lt;-20)+(CLOffPts&gt;90)))&gt;0,"CHECK",""))</f>
        <v/>
      </c>
      <c r="L84" s="2" t="str">
        <f t="array" ref="L84">IF($B84="","",IF(OR(ABS(IFERROR(INDEX(RatEff,MATCH($D84,RatTeams,0)),0))&gt;RatingRange,ABS(IFERROR(INDEX(RatEff,MATCH($E84,RatTeams,0)),0))&gt;RatingRange),"RANGE",""))</f>
        <v/>
      </c>
      <c r="M84" s="2" t="str">
        <f t="array" ref="M84">IF($B84="","",IF(OR(IFERROR(INDEX(CalcMoveFlag,MATCH($D84,CalcTeams,0)),"")="CAPPED",IFERROR(INDEX(CalcMoveFlag,MATCH($E84,CalcTeams,0)),"")="CAPPED"),"CAPPED",""))</f>
        <v/>
      </c>
      <c r="N84" s="2" t="str">
        <f>IF($B84="","",IF(ABS(SUMIFS(AdjSpread,AdjGameID,$B84,AdjActive,1))&gt;AdjCap,"LARGE",""))</f>
        <v/>
      </c>
      <c r="O84" s="2" t="str">
        <f t="array" ref="O84">IF($B84="","",IFERROR(INDEX(MktStale,MATCH($B84,MktGameID,0)),""))</f>
        <v/>
      </c>
      <c r="P84" s="2" t="str">
        <f t="shared" si="1"/>
        <v>READY</v>
      </c>
    </row>
    <row r="85" ht="15.0" customHeight="1">
      <c r="A85" s="2">
        <v>74.0</v>
      </c>
      <c r="B85" s="2" t="str">
        <f t="array" ref="B85">IFERROR(INDEX(SchedZone,MATCH($A85,SchedSeq,0),MAP!$B$6),"")</f>
        <v>2026_05_DEN_LAC</v>
      </c>
      <c r="C85" s="2">
        <f t="array" ref="C85">IF($B85="","",INDEX(SchedZone,MATCH($A85,SchedSeq,0),MAP!$B$4))</f>
        <v>5</v>
      </c>
      <c r="D85" s="2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2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2" t="str">
        <f>IF($B85="","",IF(COUNTIF(EngGameID,$B85)&gt;1,"DUP",""))</f>
        <v/>
      </c>
      <c r="G85" s="2" t="str">
        <f>IF($B85="","",IF(OR(COUNTIFS(EngWeek,$C85,EngAway,$D85)+COUNTIFS(EngWeek,$C85,EngHome,$D85)&gt;1,COUNTIFS(EngWeek,$C85,EngAway,$E85)+COUNTIFS(EngWeek,$C85,EngHome,$E85)&gt;1),"DUP",""))</f>
        <v/>
      </c>
      <c r="H85" s="2" t="str">
        <f>IF($B85="","",IF(OR(SUMPRODUCT((CLGameID=$B85)*CLUnmatched)&gt;0,LEFT($D85,1)="⚠",LEFT($E85,1)="⚠"),"UNMATCHED",""))</f>
        <v/>
      </c>
      <c r="I85" s="2" t="str">
        <f t="array" ref="I85">IF($B85="","",IF(OR(NOT(ISNUMBER(IFERROR(INDEX(RatEff,MATCH($D85,RatTeams,0)),"x"))),NOT(ISNUMBER(IFERROR(INDEX(RatEff,MATCH($E85,RatTeams,0)),"x")))),"MISSING",""))</f>
        <v/>
      </c>
      <c r="J85" s="2" t="str">
        <f>IF($B85="","",IF(SUMPRODUCT((CLGameID=$B85)*CLPlayed*(CLUseCur+CLUsePrev&gt;0)*(CLPlays=0))&gt;0,"MISSING",""))</f>
        <v/>
      </c>
      <c r="K85" s="2" t="str">
        <f>IF($B85="","",IF(SUMPRODUCT((CLGameID=$B85)*CLPlayed*((CLOffPts&lt;-20)+(CLOffPts&gt;90)))&gt;0,"CHECK",""))</f>
        <v/>
      </c>
      <c r="L85" s="2" t="str">
        <f t="array" ref="L85">IF($B85="","",IF(OR(ABS(IFERROR(INDEX(RatEff,MATCH($D85,RatTeams,0)),0))&gt;RatingRange,ABS(IFERROR(INDEX(RatEff,MATCH($E85,RatTeams,0)),0))&gt;RatingRange),"RANGE",""))</f>
        <v/>
      </c>
      <c r="M85" s="2" t="str">
        <f t="array" ref="M85">IF($B85="","",IF(OR(IFERROR(INDEX(CalcMoveFlag,MATCH($D85,CalcTeams,0)),"")="CAPPED",IFERROR(INDEX(CalcMoveFlag,MATCH($E85,CalcTeams,0)),"")="CAPPED"),"CAPPED",""))</f>
        <v/>
      </c>
      <c r="N85" s="2" t="str">
        <f>IF($B85="","",IF(ABS(SUMIFS(AdjSpread,AdjGameID,$B85,AdjActive,1))&gt;AdjCap,"LARGE",""))</f>
        <v/>
      </c>
      <c r="O85" s="2" t="str">
        <f t="array" ref="O85">IF($B85="","",IFERROR(INDEX(MktStale,MATCH($B85,MktGameID,0)),""))</f>
        <v/>
      </c>
      <c r="P85" s="2" t="str">
        <f t="shared" si="1"/>
        <v>READY</v>
      </c>
    </row>
    <row r="86" ht="15.0" customHeight="1">
      <c r="A86" s="2">
        <v>75.0</v>
      </c>
      <c r="B86" s="2" t="str">
        <f t="array" ref="B86">IFERROR(INDEX(SchedZone,MATCH($A86,SchedSeq,0),MAP!$B$6),"")</f>
        <v>2026_05_DET_ARI</v>
      </c>
      <c r="C86" s="2">
        <f t="array" ref="C86">IF($B86="","",INDEX(SchedZone,MATCH($A86,SchedSeq,0),MAP!$B$4))</f>
        <v>5</v>
      </c>
      <c r="D86" s="2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2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2" t="str">
        <f>IF($B86="","",IF(COUNTIF(EngGameID,$B86)&gt;1,"DUP",""))</f>
        <v/>
      </c>
      <c r="G86" s="2" t="str">
        <f>IF($B86="","",IF(OR(COUNTIFS(EngWeek,$C86,EngAway,$D86)+COUNTIFS(EngWeek,$C86,EngHome,$D86)&gt;1,COUNTIFS(EngWeek,$C86,EngAway,$E86)+COUNTIFS(EngWeek,$C86,EngHome,$E86)&gt;1),"DUP",""))</f>
        <v/>
      </c>
      <c r="H86" s="2" t="str">
        <f>IF($B86="","",IF(OR(SUMPRODUCT((CLGameID=$B86)*CLUnmatched)&gt;0,LEFT($D86,1)="⚠",LEFT($E86,1)="⚠"),"UNMATCHED",""))</f>
        <v/>
      </c>
      <c r="I86" s="2" t="str">
        <f t="array" ref="I86">IF($B86="","",IF(OR(NOT(ISNUMBER(IFERROR(INDEX(RatEff,MATCH($D86,RatTeams,0)),"x"))),NOT(ISNUMBER(IFERROR(INDEX(RatEff,MATCH($E86,RatTeams,0)),"x")))),"MISSING",""))</f>
        <v/>
      </c>
      <c r="J86" s="2" t="str">
        <f>IF($B86="","",IF(SUMPRODUCT((CLGameID=$B86)*CLPlayed*(CLUseCur+CLUsePrev&gt;0)*(CLPlays=0))&gt;0,"MISSING",""))</f>
        <v/>
      </c>
      <c r="K86" s="2" t="str">
        <f>IF($B86="","",IF(SUMPRODUCT((CLGameID=$B86)*CLPlayed*((CLOffPts&lt;-20)+(CLOffPts&gt;90)))&gt;0,"CHECK",""))</f>
        <v/>
      </c>
      <c r="L86" s="2" t="str">
        <f t="array" ref="L86">IF($B86="","",IF(OR(ABS(IFERROR(INDEX(RatEff,MATCH($D86,RatTeams,0)),0))&gt;RatingRange,ABS(IFERROR(INDEX(RatEff,MATCH($E86,RatTeams,0)),0))&gt;RatingRange),"RANGE",""))</f>
        <v/>
      </c>
      <c r="M86" s="2" t="str">
        <f t="array" ref="M86">IF($B86="","",IF(OR(IFERROR(INDEX(CalcMoveFlag,MATCH($D86,CalcTeams,0)),"")="CAPPED",IFERROR(INDEX(CalcMoveFlag,MATCH($E86,CalcTeams,0)),"")="CAPPED"),"CAPPED",""))</f>
        <v/>
      </c>
      <c r="N86" s="2" t="str">
        <f>IF($B86="","",IF(ABS(SUMIFS(AdjSpread,AdjGameID,$B86,AdjActive,1))&gt;AdjCap,"LARGE",""))</f>
        <v/>
      </c>
      <c r="O86" s="2" t="str">
        <f t="array" ref="O86">IF($B86="","",IFERROR(INDEX(MktStale,MATCH($B86,MktGameID,0)),""))</f>
        <v/>
      </c>
      <c r="P86" s="2" t="str">
        <f t="shared" si="1"/>
        <v>READY</v>
      </c>
    </row>
    <row r="87" ht="15.0" customHeight="1">
      <c r="A87" s="2">
        <v>76.0</v>
      </c>
      <c r="B87" s="2" t="str">
        <f t="array" ref="B87">IFERROR(INDEX(SchedZone,MATCH($A87,SchedSeq,0),MAP!$B$6),"")</f>
        <v>2026_05_CHI_GB</v>
      </c>
      <c r="C87" s="2">
        <f t="array" ref="C87">IF($B87="","",INDEX(SchedZone,MATCH($A87,SchedSeq,0),MAP!$B$4))</f>
        <v>5</v>
      </c>
      <c r="D87" s="2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2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2" t="str">
        <f>IF($B87="","",IF(COUNTIF(EngGameID,$B87)&gt;1,"DUP",""))</f>
        <v/>
      </c>
      <c r="G87" s="2" t="str">
        <f>IF($B87="","",IF(OR(COUNTIFS(EngWeek,$C87,EngAway,$D87)+COUNTIFS(EngWeek,$C87,EngHome,$D87)&gt;1,COUNTIFS(EngWeek,$C87,EngAway,$E87)+COUNTIFS(EngWeek,$C87,EngHome,$E87)&gt;1),"DUP",""))</f>
        <v/>
      </c>
      <c r="H87" s="2" t="str">
        <f>IF($B87="","",IF(OR(SUMPRODUCT((CLGameID=$B87)*CLUnmatched)&gt;0,LEFT($D87,1)="⚠",LEFT($E87,1)="⚠"),"UNMATCHED",""))</f>
        <v/>
      </c>
      <c r="I87" s="2" t="str">
        <f t="array" ref="I87">IF($B87="","",IF(OR(NOT(ISNUMBER(IFERROR(INDEX(RatEff,MATCH($D87,RatTeams,0)),"x"))),NOT(ISNUMBER(IFERROR(INDEX(RatEff,MATCH($E87,RatTeams,0)),"x")))),"MISSING",""))</f>
        <v/>
      </c>
      <c r="J87" s="2" t="str">
        <f>IF($B87="","",IF(SUMPRODUCT((CLGameID=$B87)*CLPlayed*(CLUseCur+CLUsePrev&gt;0)*(CLPlays=0))&gt;0,"MISSING",""))</f>
        <v/>
      </c>
      <c r="K87" s="2" t="str">
        <f>IF($B87="","",IF(SUMPRODUCT((CLGameID=$B87)*CLPlayed*((CLOffPts&lt;-20)+(CLOffPts&gt;90)))&gt;0,"CHECK",""))</f>
        <v/>
      </c>
      <c r="L87" s="2" t="str">
        <f t="array" ref="L87">IF($B87="","",IF(OR(ABS(IFERROR(INDEX(RatEff,MATCH($D87,RatTeams,0)),0))&gt;RatingRange,ABS(IFERROR(INDEX(RatEff,MATCH($E87,RatTeams,0)),0))&gt;RatingRange),"RANGE",""))</f>
        <v/>
      </c>
      <c r="M87" s="2" t="str">
        <f t="array" ref="M87">IF($B87="","",IF(OR(IFERROR(INDEX(CalcMoveFlag,MATCH($D87,CalcTeams,0)),"")="CAPPED",IFERROR(INDEX(CalcMoveFlag,MATCH($E87,CalcTeams,0)),"")="CAPPED"),"CAPPED",""))</f>
        <v/>
      </c>
      <c r="N87" s="2" t="str">
        <f>IF($B87="","",IF(ABS(SUMIFS(AdjSpread,AdjGameID,$B87,AdjActive,1))&gt;AdjCap,"LARGE",""))</f>
        <v/>
      </c>
      <c r="O87" s="2" t="str">
        <f t="array" ref="O87">IF($B87="","",IFERROR(INDEX(MktStale,MATCH($B87,MktGameID,0)),""))</f>
        <v/>
      </c>
      <c r="P87" s="2" t="str">
        <f t="shared" si="1"/>
        <v>READY</v>
      </c>
    </row>
    <row r="88" ht="15.0" customHeight="1">
      <c r="A88" s="2">
        <v>77.0</v>
      </c>
      <c r="B88" s="2" t="str">
        <f t="array" ref="B88">IFERROR(INDEX(SchedZone,MATCH($A88,SchedSeq,0),MAP!$B$6),"")</f>
        <v>2026_05_SF_SEA</v>
      </c>
      <c r="C88" s="2">
        <f t="array" ref="C88">IF($B88="","",INDEX(SchedZone,MATCH($A88,SchedSeq,0),MAP!$B$4))</f>
        <v>5</v>
      </c>
      <c r="D88" s="2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2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2" t="str">
        <f>IF($B88="","",IF(COUNTIF(EngGameID,$B88)&gt;1,"DUP",""))</f>
        <v/>
      </c>
      <c r="G88" s="2" t="str">
        <f>IF($B88="","",IF(OR(COUNTIFS(EngWeek,$C88,EngAway,$D88)+COUNTIFS(EngWeek,$C88,EngHome,$D88)&gt;1,COUNTIFS(EngWeek,$C88,EngAway,$E88)+COUNTIFS(EngWeek,$C88,EngHome,$E88)&gt;1),"DUP",""))</f>
        <v/>
      </c>
      <c r="H88" s="2" t="str">
        <f>IF($B88="","",IF(OR(SUMPRODUCT((CLGameID=$B88)*CLUnmatched)&gt;0,LEFT($D88,1)="⚠",LEFT($E88,1)="⚠"),"UNMATCHED",""))</f>
        <v/>
      </c>
      <c r="I88" s="2" t="str">
        <f t="array" ref="I88">IF($B88="","",IF(OR(NOT(ISNUMBER(IFERROR(INDEX(RatEff,MATCH($D88,RatTeams,0)),"x"))),NOT(ISNUMBER(IFERROR(INDEX(RatEff,MATCH($E88,RatTeams,0)),"x")))),"MISSING",""))</f>
        <v/>
      </c>
      <c r="J88" s="2" t="str">
        <f>IF($B88="","",IF(SUMPRODUCT((CLGameID=$B88)*CLPlayed*(CLUseCur+CLUsePrev&gt;0)*(CLPlays=0))&gt;0,"MISSING",""))</f>
        <v/>
      </c>
      <c r="K88" s="2" t="str">
        <f>IF($B88="","",IF(SUMPRODUCT((CLGameID=$B88)*CLPlayed*((CLOffPts&lt;-20)+(CLOffPts&gt;90)))&gt;0,"CHECK",""))</f>
        <v/>
      </c>
      <c r="L88" s="2" t="str">
        <f t="array" ref="L88">IF($B88="","",IF(OR(ABS(IFERROR(INDEX(RatEff,MATCH($D88,RatTeams,0)),0))&gt;RatingRange,ABS(IFERROR(INDEX(RatEff,MATCH($E88,RatTeams,0)),0))&gt;RatingRange),"RANGE",""))</f>
        <v/>
      </c>
      <c r="M88" s="2" t="str">
        <f t="array" ref="M88">IF($B88="","",IF(OR(IFERROR(INDEX(CalcMoveFlag,MATCH($D88,CalcTeams,0)),"")="CAPPED",IFERROR(INDEX(CalcMoveFlag,MATCH($E88,CalcTeams,0)),"")="CAPPED"),"CAPPED",""))</f>
        <v/>
      </c>
      <c r="N88" s="2" t="str">
        <f>IF($B88="","",IF(ABS(SUMIFS(AdjSpread,AdjGameID,$B88,AdjActive,1))&gt;AdjCap,"LARGE",""))</f>
        <v/>
      </c>
      <c r="O88" s="2" t="str">
        <f t="array" ref="O88">IF($B88="","",IFERROR(INDEX(MktStale,MATCH($B88,MktGameID,0)),""))</f>
        <v/>
      </c>
      <c r="P88" s="2" t="str">
        <f t="shared" si="1"/>
        <v>READY</v>
      </c>
    </row>
    <row r="89" ht="15.0" customHeight="1">
      <c r="A89" s="2">
        <v>78.0</v>
      </c>
      <c r="B89" s="2" t="str">
        <f t="array" ref="B89">IFERROR(INDEX(SchedZone,MATCH($A89,SchedSeq,0),MAP!$B$6),"")</f>
        <v>2026_05_BAL_ATL</v>
      </c>
      <c r="C89" s="2">
        <f t="array" ref="C89">IF($B89="","",INDEX(SchedZone,MATCH($A89,SchedSeq,0),MAP!$B$4))</f>
        <v>5</v>
      </c>
      <c r="D89" s="2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2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2" t="str">
        <f>IF($B89="","",IF(COUNTIF(EngGameID,$B89)&gt;1,"DUP",""))</f>
        <v/>
      </c>
      <c r="G89" s="2" t="str">
        <f>IF($B89="","",IF(OR(COUNTIFS(EngWeek,$C89,EngAway,$D89)+COUNTIFS(EngWeek,$C89,EngHome,$D89)&gt;1,COUNTIFS(EngWeek,$C89,EngAway,$E89)+COUNTIFS(EngWeek,$C89,EngHome,$E89)&gt;1),"DUP",""))</f>
        <v/>
      </c>
      <c r="H89" s="2" t="str">
        <f>IF($B89="","",IF(OR(SUMPRODUCT((CLGameID=$B89)*CLUnmatched)&gt;0,LEFT($D89,1)="⚠",LEFT($E89,1)="⚠"),"UNMATCHED",""))</f>
        <v/>
      </c>
      <c r="I89" s="2" t="str">
        <f t="array" ref="I89">IF($B89="","",IF(OR(NOT(ISNUMBER(IFERROR(INDEX(RatEff,MATCH($D89,RatTeams,0)),"x"))),NOT(ISNUMBER(IFERROR(INDEX(RatEff,MATCH($E89,RatTeams,0)),"x")))),"MISSING",""))</f>
        <v/>
      </c>
      <c r="J89" s="2" t="str">
        <f>IF($B89="","",IF(SUMPRODUCT((CLGameID=$B89)*CLPlayed*(CLUseCur+CLUsePrev&gt;0)*(CLPlays=0))&gt;0,"MISSING",""))</f>
        <v/>
      </c>
      <c r="K89" s="2" t="str">
        <f>IF($B89="","",IF(SUMPRODUCT((CLGameID=$B89)*CLPlayed*((CLOffPts&lt;-20)+(CLOffPts&gt;90)))&gt;0,"CHECK",""))</f>
        <v/>
      </c>
      <c r="L89" s="2" t="str">
        <f t="array" ref="L89">IF($B89="","",IF(OR(ABS(IFERROR(INDEX(RatEff,MATCH($D89,RatTeams,0)),0))&gt;RatingRange,ABS(IFERROR(INDEX(RatEff,MATCH($E89,RatTeams,0)),0))&gt;RatingRange),"RANGE",""))</f>
        <v/>
      </c>
      <c r="M89" s="2" t="str">
        <f t="array" ref="M89">IF($B89="","",IF(OR(IFERROR(INDEX(CalcMoveFlag,MATCH($D89,CalcTeams,0)),"")="CAPPED",IFERROR(INDEX(CalcMoveFlag,MATCH($E89,CalcTeams,0)),"")="CAPPED"),"CAPPED",""))</f>
        <v/>
      </c>
      <c r="N89" s="2" t="str">
        <f>IF($B89="","",IF(ABS(SUMIFS(AdjSpread,AdjGameID,$B89,AdjActive,1))&gt;AdjCap,"LARGE",""))</f>
        <v/>
      </c>
      <c r="O89" s="2" t="str">
        <f t="array" ref="O89">IF($B89="","",IFERROR(INDEX(MktStale,MATCH($B89,MktGameID,0)),""))</f>
        <v/>
      </c>
      <c r="P89" s="2" t="str">
        <f t="shared" si="1"/>
        <v>READY</v>
      </c>
    </row>
    <row r="90" ht="15.0" customHeight="1">
      <c r="A90" s="2">
        <v>79.0</v>
      </c>
      <c r="B90" s="2" t="str">
        <f t="array" ref="B90">IFERROR(INDEX(SchedZone,MATCH($A90,SchedSeq,0),MAP!$B$6),"")</f>
        <v>2026_05_BUF_LA</v>
      </c>
      <c r="C90" s="2">
        <f t="array" ref="C90">IF($B90="","",INDEX(SchedZone,MATCH($A90,SchedSeq,0),MAP!$B$4))</f>
        <v>5</v>
      </c>
      <c r="D90" s="2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2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2" t="str">
        <f>IF($B90="","",IF(COUNTIF(EngGameID,$B90)&gt;1,"DUP",""))</f>
        <v/>
      </c>
      <c r="G90" s="2" t="str">
        <f>IF($B90="","",IF(OR(COUNTIFS(EngWeek,$C90,EngAway,$D90)+COUNTIFS(EngWeek,$C90,EngHome,$D90)&gt;1,COUNTIFS(EngWeek,$C90,EngAway,$E90)+COUNTIFS(EngWeek,$C90,EngHome,$E90)&gt;1),"DUP",""))</f>
        <v/>
      </c>
      <c r="H90" s="2" t="str">
        <f>IF($B90="","",IF(OR(SUMPRODUCT((CLGameID=$B90)*CLUnmatched)&gt;0,LEFT($D90,1)="⚠",LEFT($E90,1)="⚠"),"UNMATCHED",""))</f>
        <v/>
      </c>
      <c r="I90" s="2" t="str">
        <f t="array" ref="I90">IF($B90="","",IF(OR(NOT(ISNUMBER(IFERROR(INDEX(RatEff,MATCH($D90,RatTeams,0)),"x"))),NOT(ISNUMBER(IFERROR(INDEX(RatEff,MATCH($E90,RatTeams,0)),"x")))),"MISSING",""))</f>
        <v/>
      </c>
      <c r="J90" s="2" t="str">
        <f>IF($B90="","",IF(SUMPRODUCT((CLGameID=$B90)*CLPlayed*(CLUseCur+CLUsePrev&gt;0)*(CLPlays=0))&gt;0,"MISSING",""))</f>
        <v/>
      </c>
      <c r="K90" s="2" t="str">
        <f>IF($B90="","",IF(SUMPRODUCT((CLGameID=$B90)*CLPlayed*((CLOffPts&lt;-20)+(CLOffPts&gt;90)))&gt;0,"CHECK",""))</f>
        <v/>
      </c>
      <c r="L90" s="2" t="str">
        <f t="array" ref="L90">IF($B90="","",IF(OR(ABS(IFERROR(INDEX(RatEff,MATCH($D90,RatTeams,0)),0))&gt;RatingRange,ABS(IFERROR(INDEX(RatEff,MATCH($E90,RatTeams,0)),0))&gt;RatingRange),"RANGE",""))</f>
        <v/>
      </c>
      <c r="M90" s="2" t="str">
        <f t="array" ref="M90">IF($B90="","",IF(OR(IFERROR(INDEX(CalcMoveFlag,MATCH($D90,CalcTeams,0)),"")="CAPPED",IFERROR(INDEX(CalcMoveFlag,MATCH($E90,CalcTeams,0)),"")="CAPPED"),"CAPPED",""))</f>
        <v/>
      </c>
      <c r="N90" s="2" t="str">
        <f>IF($B90="","",IF(ABS(SUMIFS(AdjSpread,AdjGameID,$B90,AdjActive,1))&gt;AdjCap,"LARGE",""))</f>
        <v/>
      </c>
      <c r="O90" s="2" t="str">
        <f t="array" ref="O90">IF($B90="","",IFERROR(INDEX(MktStale,MATCH($B90,MktGameID,0)),""))</f>
        <v/>
      </c>
      <c r="P90" s="2" t="str">
        <f t="shared" si="1"/>
        <v>READY</v>
      </c>
    </row>
    <row r="91" ht="15.0" customHeight="1">
      <c r="A91" s="2">
        <v>80.0</v>
      </c>
      <c r="B91" s="2" t="str">
        <f t="array" ref="B91">IFERROR(INDEX(SchedZone,MATCH($A91,SchedSeq,0),MAP!$B$6),"")</f>
        <v>2026_06_SEA_DEN</v>
      </c>
      <c r="C91" s="2">
        <f t="array" ref="C91">IF($B91="","",INDEX(SchedZone,MATCH($A91,SchedSeq,0),MAP!$B$4))</f>
        <v>6</v>
      </c>
      <c r="D91" s="2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2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2" t="str">
        <f>IF($B91="","",IF(COUNTIF(EngGameID,$B91)&gt;1,"DUP",""))</f>
        <v/>
      </c>
      <c r="G91" s="2" t="str">
        <f>IF($B91="","",IF(OR(COUNTIFS(EngWeek,$C91,EngAway,$D91)+COUNTIFS(EngWeek,$C91,EngHome,$D91)&gt;1,COUNTIFS(EngWeek,$C91,EngAway,$E91)+COUNTIFS(EngWeek,$C91,EngHome,$E91)&gt;1),"DUP",""))</f>
        <v/>
      </c>
      <c r="H91" s="2" t="str">
        <f>IF($B91="","",IF(OR(SUMPRODUCT((CLGameID=$B91)*CLUnmatched)&gt;0,LEFT($D91,1)="⚠",LEFT($E91,1)="⚠"),"UNMATCHED",""))</f>
        <v/>
      </c>
      <c r="I91" s="2" t="str">
        <f t="array" ref="I91">IF($B91="","",IF(OR(NOT(ISNUMBER(IFERROR(INDEX(RatEff,MATCH($D91,RatTeams,0)),"x"))),NOT(ISNUMBER(IFERROR(INDEX(RatEff,MATCH($E91,RatTeams,0)),"x")))),"MISSING",""))</f>
        <v/>
      </c>
      <c r="J91" s="2" t="str">
        <f>IF($B91="","",IF(SUMPRODUCT((CLGameID=$B91)*CLPlayed*(CLUseCur+CLUsePrev&gt;0)*(CLPlays=0))&gt;0,"MISSING",""))</f>
        <v/>
      </c>
      <c r="K91" s="2" t="str">
        <f>IF($B91="","",IF(SUMPRODUCT((CLGameID=$B91)*CLPlayed*((CLOffPts&lt;-20)+(CLOffPts&gt;90)))&gt;0,"CHECK",""))</f>
        <v/>
      </c>
      <c r="L91" s="2" t="str">
        <f t="array" ref="L91">IF($B91="","",IF(OR(ABS(IFERROR(INDEX(RatEff,MATCH($D91,RatTeams,0)),0))&gt;RatingRange,ABS(IFERROR(INDEX(RatEff,MATCH($E91,RatTeams,0)),0))&gt;RatingRange),"RANGE",""))</f>
        <v/>
      </c>
      <c r="M91" s="2" t="str">
        <f t="array" ref="M91">IF($B91="","",IF(OR(IFERROR(INDEX(CalcMoveFlag,MATCH($D91,CalcTeams,0)),"")="CAPPED",IFERROR(INDEX(CalcMoveFlag,MATCH($E91,CalcTeams,0)),"")="CAPPED"),"CAPPED",""))</f>
        <v/>
      </c>
      <c r="N91" s="2" t="str">
        <f>IF($B91="","",IF(ABS(SUMIFS(AdjSpread,AdjGameID,$B91,AdjActive,1))&gt;AdjCap,"LARGE",""))</f>
        <v/>
      </c>
      <c r="O91" s="2" t="str">
        <f t="array" ref="O91">IF($B91="","",IFERROR(INDEX(MktStale,MATCH($B91,MktGameID,0)),""))</f>
        <v/>
      </c>
      <c r="P91" s="2" t="str">
        <f t="shared" si="1"/>
        <v>READY</v>
      </c>
    </row>
    <row r="92" ht="15.0" customHeight="1">
      <c r="A92" s="2">
        <v>81.0</v>
      </c>
      <c r="B92" s="2" t="str">
        <f t="array" ref="B92">IFERROR(INDEX(SchedZone,MATCH($A92,SchedSeq,0),MAP!$B$6),"")</f>
        <v>2026_06_HOU_JAX</v>
      </c>
      <c r="C92" s="2">
        <f t="array" ref="C92">IF($B92="","",INDEX(SchedZone,MATCH($A92,SchedSeq,0),MAP!$B$4))</f>
        <v>6</v>
      </c>
      <c r="D92" s="2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2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2" t="str">
        <f>IF($B92="","",IF(COUNTIF(EngGameID,$B92)&gt;1,"DUP",""))</f>
        <v/>
      </c>
      <c r="G92" s="2" t="str">
        <f>IF($B92="","",IF(OR(COUNTIFS(EngWeek,$C92,EngAway,$D92)+COUNTIFS(EngWeek,$C92,EngHome,$D92)&gt;1,COUNTIFS(EngWeek,$C92,EngAway,$E92)+COUNTIFS(EngWeek,$C92,EngHome,$E92)&gt;1),"DUP",""))</f>
        <v/>
      </c>
      <c r="H92" s="2" t="str">
        <f>IF($B92="","",IF(OR(SUMPRODUCT((CLGameID=$B92)*CLUnmatched)&gt;0,LEFT($D92,1)="⚠",LEFT($E92,1)="⚠"),"UNMATCHED",""))</f>
        <v/>
      </c>
      <c r="I92" s="2" t="str">
        <f t="array" ref="I92">IF($B92="","",IF(OR(NOT(ISNUMBER(IFERROR(INDEX(RatEff,MATCH($D92,RatTeams,0)),"x"))),NOT(ISNUMBER(IFERROR(INDEX(RatEff,MATCH($E92,RatTeams,0)),"x")))),"MISSING",""))</f>
        <v/>
      </c>
      <c r="J92" s="2" t="str">
        <f>IF($B92="","",IF(SUMPRODUCT((CLGameID=$B92)*CLPlayed*(CLUseCur+CLUsePrev&gt;0)*(CLPlays=0))&gt;0,"MISSING",""))</f>
        <v/>
      </c>
      <c r="K92" s="2" t="str">
        <f>IF($B92="","",IF(SUMPRODUCT((CLGameID=$B92)*CLPlayed*((CLOffPts&lt;-20)+(CLOffPts&gt;90)))&gt;0,"CHECK",""))</f>
        <v/>
      </c>
      <c r="L92" s="2" t="str">
        <f t="array" ref="L92">IF($B92="","",IF(OR(ABS(IFERROR(INDEX(RatEff,MATCH($D92,RatTeams,0)),0))&gt;RatingRange,ABS(IFERROR(INDEX(RatEff,MATCH($E92,RatTeams,0)),0))&gt;RatingRange),"RANGE",""))</f>
        <v/>
      </c>
      <c r="M92" s="2" t="str">
        <f t="array" ref="M92">IF($B92="","",IF(OR(IFERROR(INDEX(CalcMoveFlag,MATCH($D92,CalcTeams,0)),"")="CAPPED",IFERROR(INDEX(CalcMoveFlag,MATCH($E92,CalcTeams,0)),"")="CAPPED"),"CAPPED",""))</f>
        <v/>
      </c>
      <c r="N92" s="2" t="str">
        <f>IF($B92="","",IF(ABS(SUMIFS(AdjSpread,AdjGameID,$B92,AdjActive,1))&gt;AdjCap,"LARGE",""))</f>
        <v/>
      </c>
      <c r="O92" s="2" t="str">
        <f t="array" ref="O92">IF($B92="","",IFERROR(INDEX(MktStale,MATCH($B92,MktGameID,0)),""))</f>
        <v/>
      </c>
      <c r="P92" s="2" t="str">
        <f t="shared" si="1"/>
        <v>READY</v>
      </c>
    </row>
    <row r="93" ht="15.0" customHeight="1">
      <c r="A93" s="2">
        <v>82.0</v>
      </c>
      <c r="B93" s="2" t="str">
        <f t="array" ref="B93">IFERROR(INDEX(SchedZone,MATCH($A93,SchedSeq,0),MAP!$B$6),"")</f>
        <v>2026_06_CHI_ATL</v>
      </c>
      <c r="C93" s="2">
        <f t="array" ref="C93">IF($B93="","",INDEX(SchedZone,MATCH($A93,SchedSeq,0),MAP!$B$4))</f>
        <v>6</v>
      </c>
      <c r="D93" s="2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2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2" t="str">
        <f>IF($B93="","",IF(COUNTIF(EngGameID,$B93)&gt;1,"DUP",""))</f>
        <v/>
      </c>
      <c r="G93" s="2" t="str">
        <f>IF($B93="","",IF(OR(COUNTIFS(EngWeek,$C93,EngAway,$D93)+COUNTIFS(EngWeek,$C93,EngHome,$D93)&gt;1,COUNTIFS(EngWeek,$C93,EngAway,$E93)+COUNTIFS(EngWeek,$C93,EngHome,$E93)&gt;1),"DUP",""))</f>
        <v/>
      </c>
      <c r="H93" s="2" t="str">
        <f>IF($B93="","",IF(OR(SUMPRODUCT((CLGameID=$B93)*CLUnmatched)&gt;0,LEFT($D93,1)="⚠",LEFT($E93,1)="⚠"),"UNMATCHED",""))</f>
        <v/>
      </c>
      <c r="I93" s="2" t="str">
        <f t="array" ref="I93">IF($B93="","",IF(OR(NOT(ISNUMBER(IFERROR(INDEX(RatEff,MATCH($D93,RatTeams,0)),"x"))),NOT(ISNUMBER(IFERROR(INDEX(RatEff,MATCH($E93,RatTeams,0)),"x")))),"MISSING",""))</f>
        <v/>
      </c>
      <c r="J93" s="2" t="str">
        <f>IF($B93="","",IF(SUMPRODUCT((CLGameID=$B93)*CLPlayed*(CLUseCur+CLUsePrev&gt;0)*(CLPlays=0))&gt;0,"MISSING",""))</f>
        <v/>
      </c>
      <c r="K93" s="2" t="str">
        <f>IF($B93="","",IF(SUMPRODUCT((CLGameID=$B93)*CLPlayed*((CLOffPts&lt;-20)+(CLOffPts&gt;90)))&gt;0,"CHECK",""))</f>
        <v/>
      </c>
      <c r="L93" s="2" t="str">
        <f t="array" ref="L93">IF($B93="","",IF(OR(ABS(IFERROR(INDEX(RatEff,MATCH($D93,RatTeams,0)),0))&gt;RatingRange,ABS(IFERROR(INDEX(RatEff,MATCH($E93,RatTeams,0)),0))&gt;RatingRange),"RANGE",""))</f>
        <v/>
      </c>
      <c r="M93" s="2" t="str">
        <f t="array" ref="M93">IF($B93="","",IF(OR(IFERROR(INDEX(CalcMoveFlag,MATCH($D93,CalcTeams,0)),"")="CAPPED",IFERROR(INDEX(CalcMoveFlag,MATCH($E93,CalcTeams,0)),"")="CAPPED"),"CAPPED",""))</f>
        <v/>
      </c>
      <c r="N93" s="2" t="str">
        <f>IF($B93="","",IF(ABS(SUMIFS(AdjSpread,AdjGameID,$B93,AdjActive,1))&gt;AdjCap,"LARGE",""))</f>
        <v/>
      </c>
      <c r="O93" s="2" t="str">
        <f t="array" ref="O93">IF($B93="","",IFERROR(INDEX(MktStale,MATCH($B93,MktGameID,0)),""))</f>
        <v/>
      </c>
      <c r="P93" s="2" t="str">
        <f t="shared" si="1"/>
        <v>READY</v>
      </c>
    </row>
    <row r="94" ht="15.0" customHeight="1">
      <c r="A94" s="2">
        <v>83.0</v>
      </c>
      <c r="B94" s="2" t="str">
        <f t="array" ref="B94">IFERROR(INDEX(SchedZone,MATCH($A94,SchedSeq,0),MAP!$B$6),"")</f>
        <v>2026_06_BAL_CLE</v>
      </c>
      <c r="C94" s="2">
        <f t="array" ref="C94">IF($B94="","",INDEX(SchedZone,MATCH($A94,SchedSeq,0),MAP!$B$4))</f>
        <v>6</v>
      </c>
      <c r="D94" s="2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2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2" t="str">
        <f>IF($B94="","",IF(COUNTIF(EngGameID,$B94)&gt;1,"DUP",""))</f>
        <v/>
      </c>
      <c r="G94" s="2" t="str">
        <f>IF($B94="","",IF(OR(COUNTIFS(EngWeek,$C94,EngAway,$D94)+COUNTIFS(EngWeek,$C94,EngHome,$D94)&gt;1,COUNTIFS(EngWeek,$C94,EngAway,$E94)+COUNTIFS(EngWeek,$C94,EngHome,$E94)&gt;1),"DUP",""))</f>
        <v/>
      </c>
      <c r="H94" s="2" t="str">
        <f>IF($B94="","",IF(OR(SUMPRODUCT((CLGameID=$B94)*CLUnmatched)&gt;0,LEFT($D94,1)="⚠",LEFT($E94,1)="⚠"),"UNMATCHED",""))</f>
        <v/>
      </c>
      <c r="I94" s="2" t="str">
        <f t="array" ref="I94">IF($B94="","",IF(OR(NOT(ISNUMBER(IFERROR(INDEX(RatEff,MATCH($D94,RatTeams,0)),"x"))),NOT(ISNUMBER(IFERROR(INDEX(RatEff,MATCH($E94,RatTeams,0)),"x")))),"MISSING",""))</f>
        <v/>
      </c>
      <c r="J94" s="2" t="str">
        <f>IF($B94="","",IF(SUMPRODUCT((CLGameID=$B94)*CLPlayed*(CLUseCur+CLUsePrev&gt;0)*(CLPlays=0))&gt;0,"MISSING",""))</f>
        <v/>
      </c>
      <c r="K94" s="2" t="str">
        <f>IF($B94="","",IF(SUMPRODUCT((CLGameID=$B94)*CLPlayed*((CLOffPts&lt;-20)+(CLOffPts&gt;90)))&gt;0,"CHECK",""))</f>
        <v/>
      </c>
      <c r="L94" s="2" t="str">
        <f t="array" ref="L94">IF($B94="","",IF(OR(ABS(IFERROR(INDEX(RatEff,MATCH($D94,RatTeams,0)),0))&gt;RatingRange,ABS(IFERROR(INDEX(RatEff,MATCH($E94,RatTeams,0)),0))&gt;RatingRange),"RANGE",""))</f>
        <v/>
      </c>
      <c r="M94" s="2" t="str">
        <f t="array" ref="M94">IF($B94="","",IF(OR(IFERROR(INDEX(CalcMoveFlag,MATCH($D94,CalcTeams,0)),"")="CAPPED",IFERROR(INDEX(CalcMoveFlag,MATCH($E94,CalcTeams,0)),"")="CAPPED"),"CAPPED",""))</f>
        <v/>
      </c>
      <c r="N94" s="2" t="str">
        <f>IF($B94="","",IF(ABS(SUMIFS(AdjSpread,AdjGameID,$B94,AdjActive,1))&gt;AdjCap,"LARGE",""))</f>
        <v/>
      </c>
      <c r="O94" s="2" t="str">
        <f t="array" ref="O94">IF($B94="","",IFERROR(INDEX(MktStale,MATCH($B94,MktGameID,0)),""))</f>
        <v/>
      </c>
      <c r="P94" s="2" t="str">
        <f t="shared" si="1"/>
        <v>READY</v>
      </c>
    </row>
    <row r="95" ht="15.0" customHeight="1">
      <c r="A95" s="2">
        <v>84.0</v>
      </c>
      <c r="B95" s="2" t="str">
        <f t="array" ref="B95">IFERROR(INDEX(SchedZone,MATCH($A95,SchedSeq,0),MAP!$B$6),"")</f>
        <v>2026_06_TEN_IND</v>
      </c>
      <c r="C95" s="2">
        <f t="array" ref="C95">IF($B95="","",INDEX(SchedZone,MATCH($A95,SchedSeq,0),MAP!$B$4))</f>
        <v>6</v>
      </c>
      <c r="D95" s="2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2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2" t="str">
        <f>IF($B95="","",IF(COUNTIF(EngGameID,$B95)&gt;1,"DUP",""))</f>
        <v/>
      </c>
      <c r="G95" s="2" t="str">
        <f>IF($B95="","",IF(OR(COUNTIFS(EngWeek,$C95,EngAway,$D95)+COUNTIFS(EngWeek,$C95,EngHome,$D95)&gt;1,COUNTIFS(EngWeek,$C95,EngAway,$E95)+COUNTIFS(EngWeek,$C95,EngHome,$E95)&gt;1),"DUP",""))</f>
        <v/>
      </c>
      <c r="H95" s="2" t="str">
        <f>IF($B95="","",IF(OR(SUMPRODUCT((CLGameID=$B95)*CLUnmatched)&gt;0,LEFT($D95,1)="⚠",LEFT($E95,1)="⚠"),"UNMATCHED",""))</f>
        <v/>
      </c>
      <c r="I95" s="2" t="str">
        <f t="array" ref="I95">IF($B95="","",IF(OR(NOT(ISNUMBER(IFERROR(INDEX(RatEff,MATCH($D95,RatTeams,0)),"x"))),NOT(ISNUMBER(IFERROR(INDEX(RatEff,MATCH($E95,RatTeams,0)),"x")))),"MISSING",""))</f>
        <v/>
      </c>
      <c r="J95" s="2" t="str">
        <f>IF($B95="","",IF(SUMPRODUCT((CLGameID=$B95)*CLPlayed*(CLUseCur+CLUsePrev&gt;0)*(CLPlays=0))&gt;0,"MISSING",""))</f>
        <v/>
      </c>
      <c r="K95" s="2" t="str">
        <f>IF($B95="","",IF(SUMPRODUCT((CLGameID=$B95)*CLPlayed*((CLOffPts&lt;-20)+(CLOffPts&gt;90)))&gt;0,"CHECK",""))</f>
        <v/>
      </c>
      <c r="L95" s="2" t="str">
        <f t="array" ref="L95">IF($B95="","",IF(OR(ABS(IFERROR(INDEX(RatEff,MATCH($D95,RatTeams,0)),0))&gt;RatingRange,ABS(IFERROR(INDEX(RatEff,MATCH($E95,RatTeams,0)),0))&gt;RatingRange),"RANGE",""))</f>
        <v/>
      </c>
      <c r="M95" s="2" t="str">
        <f t="array" ref="M95">IF($B95="","",IF(OR(IFERROR(INDEX(CalcMoveFlag,MATCH($D95,CalcTeams,0)),"")="CAPPED",IFERROR(INDEX(CalcMoveFlag,MATCH($E95,CalcTeams,0)),"")="CAPPED"),"CAPPED",""))</f>
        <v/>
      </c>
      <c r="N95" s="2" t="str">
        <f>IF($B95="","",IF(ABS(SUMIFS(AdjSpread,AdjGameID,$B95,AdjActive,1))&gt;AdjCap,"LARGE",""))</f>
        <v/>
      </c>
      <c r="O95" s="2" t="str">
        <f t="array" ref="O95">IF($B95="","",IFERROR(INDEX(MktStale,MATCH($B95,MktGameID,0)),""))</f>
        <v/>
      </c>
      <c r="P95" s="2" t="str">
        <f t="shared" si="1"/>
        <v>READY</v>
      </c>
    </row>
    <row r="96" ht="15.0" customHeight="1">
      <c r="A96" s="2">
        <v>85.0</v>
      </c>
      <c r="B96" s="2" t="str">
        <f t="array" ref="B96">IFERROR(INDEX(SchedZone,MATCH($A96,SchedSeq,0),MAP!$B$6),"")</f>
        <v>2026_06_NYJ_NE</v>
      </c>
      <c r="C96" s="2">
        <f t="array" ref="C96">IF($B96="","",INDEX(SchedZone,MATCH($A96,SchedSeq,0),MAP!$B$4))</f>
        <v>6</v>
      </c>
      <c r="D96" s="2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2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2" t="str">
        <f>IF($B96="","",IF(COUNTIF(EngGameID,$B96)&gt;1,"DUP",""))</f>
        <v/>
      </c>
      <c r="G96" s="2" t="str">
        <f>IF($B96="","",IF(OR(COUNTIFS(EngWeek,$C96,EngAway,$D96)+COUNTIFS(EngWeek,$C96,EngHome,$D96)&gt;1,COUNTIFS(EngWeek,$C96,EngAway,$E96)+COUNTIFS(EngWeek,$C96,EngHome,$E96)&gt;1),"DUP",""))</f>
        <v/>
      </c>
      <c r="H96" s="2" t="str">
        <f>IF($B96="","",IF(OR(SUMPRODUCT((CLGameID=$B96)*CLUnmatched)&gt;0,LEFT($D96,1)="⚠",LEFT($E96,1)="⚠"),"UNMATCHED",""))</f>
        <v/>
      </c>
      <c r="I96" s="2" t="str">
        <f t="array" ref="I96">IF($B96="","",IF(OR(NOT(ISNUMBER(IFERROR(INDEX(RatEff,MATCH($D96,RatTeams,0)),"x"))),NOT(ISNUMBER(IFERROR(INDEX(RatEff,MATCH($E96,RatTeams,0)),"x")))),"MISSING",""))</f>
        <v/>
      </c>
      <c r="J96" s="2" t="str">
        <f>IF($B96="","",IF(SUMPRODUCT((CLGameID=$B96)*CLPlayed*(CLUseCur+CLUsePrev&gt;0)*(CLPlays=0))&gt;0,"MISSING",""))</f>
        <v/>
      </c>
      <c r="K96" s="2" t="str">
        <f>IF($B96="","",IF(SUMPRODUCT((CLGameID=$B96)*CLPlayed*((CLOffPts&lt;-20)+(CLOffPts&gt;90)))&gt;0,"CHECK",""))</f>
        <v/>
      </c>
      <c r="L96" s="2" t="str">
        <f t="array" ref="L96">IF($B96="","",IF(OR(ABS(IFERROR(INDEX(RatEff,MATCH($D96,RatTeams,0)),0))&gt;RatingRange,ABS(IFERROR(INDEX(RatEff,MATCH($E96,RatTeams,0)),0))&gt;RatingRange),"RANGE",""))</f>
        <v/>
      </c>
      <c r="M96" s="2" t="str">
        <f t="array" ref="M96">IF($B96="","",IF(OR(IFERROR(INDEX(CalcMoveFlag,MATCH($D96,CalcTeams,0)),"")="CAPPED",IFERROR(INDEX(CalcMoveFlag,MATCH($E96,CalcTeams,0)),"")="CAPPED"),"CAPPED",""))</f>
        <v/>
      </c>
      <c r="N96" s="2" t="str">
        <f>IF($B96="","",IF(ABS(SUMIFS(AdjSpread,AdjGameID,$B96,AdjActive,1))&gt;AdjCap,"LARGE",""))</f>
        <v/>
      </c>
      <c r="O96" s="2" t="str">
        <f t="array" ref="O96">IF($B96="","",IFERROR(INDEX(MktStale,MATCH($B96,MktGameID,0)),""))</f>
        <v/>
      </c>
      <c r="P96" s="2" t="str">
        <f t="shared" si="1"/>
        <v>READY</v>
      </c>
    </row>
    <row r="97" ht="15.0" customHeight="1">
      <c r="A97" s="2">
        <v>86.0</v>
      </c>
      <c r="B97" s="2" t="str">
        <f t="array" ref="B97">IFERROR(INDEX(SchedZone,MATCH($A97,SchedSeq,0),MAP!$B$6),"")</f>
        <v>2026_06_NO_NYG</v>
      </c>
      <c r="C97" s="2">
        <f t="array" ref="C97">IF($B97="","",INDEX(SchedZone,MATCH($A97,SchedSeq,0),MAP!$B$4))</f>
        <v>6</v>
      </c>
      <c r="D97" s="2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2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2" t="str">
        <f>IF($B97="","",IF(COUNTIF(EngGameID,$B97)&gt;1,"DUP",""))</f>
        <v/>
      </c>
      <c r="G97" s="2" t="str">
        <f>IF($B97="","",IF(OR(COUNTIFS(EngWeek,$C97,EngAway,$D97)+COUNTIFS(EngWeek,$C97,EngHome,$D97)&gt;1,COUNTIFS(EngWeek,$C97,EngAway,$E97)+COUNTIFS(EngWeek,$C97,EngHome,$E97)&gt;1),"DUP",""))</f>
        <v/>
      </c>
      <c r="H97" s="2" t="str">
        <f>IF($B97="","",IF(OR(SUMPRODUCT((CLGameID=$B97)*CLUnmatched)&gt;0,LEFT($D97,1)="⚠",LEFT($E97,1)="⚠"),"UNMATCHED",""))</f>
        <v/>
      </c>
      <c r="I97" s="2" t="str">
        <f t="array" ref="I97">IF($B97="","",IF(OR(NOT(ISNUMBER(IFERROR(INDEX(RatEff,MATCH($D97,RatTeams,0)),"x"))),NOT(ISNUMBER(IFERROR(INDEX(RatEff,MATCH($E97,RatTeams,0)),"x")))),"MISSING",""))</f>
        <v/>
      </c>
      <c r="J97" s="2" t="str">
        <f>IF($B97="","",IF(SUMPRODUCT((CLGameID=$B97)*CLPlayed*(CLUseCur+CLUsePrev&gt;0)*(CLPlays=0))&gt;0,"MISSING",""))</f>
        <v/>
      </c>
      <c r="K97" s="2" t="str">
        <f>IF($B97="","",IF(SUMPRODUCT((CLGameID=$B97)*CLPlayed*((CLOffPts&lt;-20)+(CLOffPts&gt;90)))&gt;0,"CHECK",""))</f>
        <v/>
      </c>
      <c r="L97" s="2" t="str">
        <f t="array" ref="L97">IF($B97="","",IF(OR(ABS(IFERROR(INDEX(RatEff,MATCH($D97,RatTeams,0)),0))&gt;RatingRange,ABS(IFERROR(INDEX(RatEff,MATCH($E97,RatTeams,0)),0))&gt;RatingRange),"RANGE",""))</f>
        <v/>
      </c>
      <c r="M97" s="2" t="str">
        <f t="array" ref="M97">IF($B97="","",IF(OR(IFERROR(INDEX(CalcMoveFlag,MATCH($D97,CalcTeams,0)),"")="CAPPED",IFERROR(INDEX(CalcMoveFlag,MATCH($E97,CalcTeams,0)),"")="CAPPED"),"CAPPED",""))</f>
        <v/>
      </c>
      <c r="N97" s="2" t="str">
        <f>IF($B97="","",IF(ABS(SUMIFS(AdjSpread,AdjGameID,$B97,AdjActive,1))&gt;AdjCap,"LARGE",""))</f>
        <v/>
      </c>
      <c r="O97" s="2" t="str">
        <f t="array" ref="O97">IF($B97="","",IFERROR(INDEX(MktStale,MATCH($B97,MktGameID,0)),""))</f>
        <v/>
      </c>
      <c r="P97" s="2" t="str">
        <f t="shared" si="1"/>
        <v>READY</v>
      </c>
    </row>
    <row r="98" ht="15.0" customHeight="1">
      <c r="A98" s="2">
        <v>87.0</v>
      </c>
      <c r="B98" s="2" t="str">
        <f t="array" ref="B98">IFERROR(INDEX(SchedZone,MATCH($A98,SchedSeq,0),MAP!$B$6),"")</f>
        <v>2026_06_CAR_PHI</v>
      </c>
      <c r="C98" s="2">
        <f t="array" ref="C98">IF($B98="","",INDEX(SchedZone,MATCH($A98,SchedSeq,0),MAP!$B$4))</f>
        <v>6</v>
      </c>
      <c r="D98" s="2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2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2" t="str">
        <f>IF($B98="","",IF(COUNTIF(EngGameID,$B98)&gt;1,"DUP",""))</f>
        <v/>
      </c>
      <c r="G98" s="2" t="str">
        <f>IF($B98="","",IF(OR(COUNTIFS(EngWeek,$C98,EngAway,$D98)+COUNTIFS(EngWeek,$C98,EngHome,$D98)&gt;1,COUNTIFS(EngWeek,$C98,EngAway,$E98)+COUNTIFS(EngWeek,$C98,EngHome,$E98)&gt;1),"DUP",""))</f>
        <v/>
      </c>
      <c r="H98" s="2" t="str">
        <f>IF($B98="","",IF(OR(SUMPRODUCT((CLGameID=$B98)*CLUnmatched)&gt;0,LEFT($D98,1)="⚠",LEFT($E98,1)="⚠"),"UNMATCHED",""))</f>
        <v/>
      </c>
      <c r="I98" s="2" t="str">
        <f t="array" ref="I98">IF($B98="","",IF(OR(NOT(ISNUMBER(IFERROR(INDEX(RatEff,MATCH($D98,RatTeams,0)),"x"))),NOT(ISNUMBER(IFERROR(INDEX(RatEff,MATCH($E98,RatTeams,0)),"x")))),"MISSING",""))</f>
        <v/>
      </c>
      <c r="J98" s="2" t="str">
        <f>IF($B98="","",IF(SUMPRODUCT((CLGameID=$B98)*CLPlayed*(CLUseCur+CLUsePrev&gt;0)*(CLPlays=0))&gt;0,"MISSING",""))</f>
        <v/>
      </c>
      <c r="K98" s="2" t="str">
        <f>IF($B98="","",IF(SUMPRODUCT((CLGameID=$B98)*CLPlayed*((CLOffPts&lt;-20)+(CLOffPts&gt;90)))&gt;0,"CHECK",""))</f>
        <v/>
      </c>
      <c r="L98" s="2" t="str">
        <f t="array" ref="L98">IF($B98="","",IF(OR(ABS(IFERROR(INDEX(RatEff,MATCH($D98,RatTeams,0)),0))&gt;RatingRange,ABS(IFERROR(INDEX(RatEff,MATCH($E98,RatTeams,0)),0))&gt;RatingRange),"RANGE",""))</f>
        <v/>
      </c>
      <c r="M98" s="2" t="str">
        <f t="array" ref="M98">IF($B98="","",IF(OR(IFERROR(INDEX(CalcMoveFlag,MATCH($D98,CalcTeams,0)),"")="CAPPED",IFERROR(INDEX(CalcMoveFlag,MATCH($E98,CalcTeams,0)),"")="CAPPED"),"CAPPED",""))</f>
        <v/>
      </c>
      <c r="N98" s="2" t="str">
        <f>IF($B98="","",IF(ABS(SUMIFS(AdjSpread,AdjGameID,$B98,AdjActive,1))&gt;AdjCap,"LARGE",""))</f>
        <v/>
      </c>
      <c r="O98" s="2" t="str">
        <f t="array" ref="O98">IF($B98="","",IFERROR(INDEX(MktStale,MATCH($B98,MktGameID,0)),""))</f>
        <v/>
      </c>
      <c r="P98" s="2" t="str">
        <f t="shared" si="1"/>
        <v>READY</v>
      </c>
    </row>
    <row r="99" ht="15.0" customHeight="1">
      <c r="A99" s="2">
        <v>88.0</v>
      </c>
      <c r="B99" s="2" t="str">
        <f t="array" ref="B99">IFERROR(INDEX(SchedZone,MATCH($A99,SchedSeq,0),MAP!$B$6),"")</f>
        <v>2026_06_PIT_TB</v>
      </c>
      <c r="C99" s="2">
        <f t="array" ref="C99">IF($B99="","",INDEX(SchedZone,MATCH($A99,SchedSeq,0),MAP!$B$4))</f>
        <v>6</v>
      </c>
      <c r="D99" s="2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2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2" t="str">
        <f>IF($B99="","",IF(COUNTIF(EngGameID,$B99)&gt;1,"DUP",""))</f>
        <v/>
      </c>
      <c r="G99" s="2" t="str">
        <f>IF($B99="","",IF(OR(COUNTIFS(EngWeek,$C99,EngAway,$D99)+COUNTIFS(EngWeek,$C99,EngHome,$D99)&gt;1,COUNTIFS(EngWeek,$C99,EngAway,$E99)+COUNTIFS(EngWeek,$C99,EngHome,$E99)&gt;1),"DUP",""))</f>
        <v/>
      </c>
      <c r="H99" s="2" t="str">
        <f>IF($B99="","",IF(OR(SUMPRODUCT((CLGameID=$B99)*CLUnmatched)&gt;0,LEFT($D99,1)="⚠",LEFT($E99,1)="⚠"),"UNMATCHED",""))</f>
        <v/>
      </c>
      <c r="I99" s="2" t="str">
        <f t="array" ref="I99">IF($B99="","",IF(OR(NOT(ISNUMBER(IFERROR(INDEX(RatEff,MATCH($D99,RatTeams,0)),"x"))),NOT(ISNUMBER(IFERROR(INDEX(RatEff,MATCH($E99,RatTeams,0)),"x")))),"MISSING",""))</f>
        <v/>
      </c>
      <c r="J99" s="2" t="str">
        <f>IF($B99="","",IF(SUMPRODUCT((CLGameID=$B99)*CLPlayed*(CLUseCur+CLUsePrev&gt;0)*(CLPlays=0))&gt;0,"MISSING",""))</f>
        <v/>
      </c>
      <c r="K99" s="2" t="str">
        <f>IF($B99="","",IF(SUMPRODUCT((CLGameID=$B99)*CLPlayed*((CLOffPts&lt;-20)+(CLOffPts&gt;90)))&gt;0,"CHECK",""))</f>
        <v/>
      </c>
      <c r="L99" s="2" t="str">
        <f t="array" ref="L99">IF($B99="","",IF(OR(ABS(IFERROR(INDEX(RatEff,MATCH($D99,RatTeams,0)),0))&gt;RatingRange,ABS(IFERROR(INDEX(RatEff,MATCH($E99,RatTeams,0)),0))&gt;RatingRange),"RANGE",""))</f>
        <v/>
      </c>
      <c r="M99" s="2" t="str">
        <f t="array" ref="M99">IF($B99="","",IF(OR(IFERROR(INDEX(CalcMoveFlag,MATCH($D99,CalcTeams,0)),"")="CAPPED",IFERROR(INDEX(CalcMoveFlag,MATCH($E99,CalcTeams,0)),"")="CAPPED"),"CAPPED",""))</f>
        <v/>
      </c>
      <c r="N99" s="2" t="str">
        <f>IF($B99="","",IF(ABS(SUMIFS(AdjSpread,AdjGameID,$B99,AdjActive,1))&gt;AdjCap,"LARGE",""))</f>
        <v/>
      </c>
      <c r="O99" s="2" t="str">
        <f t="array" ref="O99">IF($B99="","",IFERROR(INDEX(MktStale,MATCH($B99,MktGameID,0)),""))</f>
        <v/>
      </c>
      <c r="P99" s="2" t="str">
        <f t="shared" si="1"/>
        <v>READY</v>
      </c>
    </row>
    <row r="100" ht="15.0" customHeight="1">
      <c r="A100" s="2">
        <v>89.0</v>
      </c>
      <c r="B100" s="2" t="str">
        <f t="array" ref="B100">IFERROR(INDEX(SchedZone,MATCH($A100,SchedSeq,0),MAP!$B$6),"")</f>
        <v>2026_06_ARI_LA</v>
      </c>
      <c r="C100" s="2">
        <f t="array" ref="C100">IF($B100="","",INDEX(SchedZone,MATCH($A100,SchedSeq,0),MAP!$B$4))</f>
        <v>6</v>
      </c>
      <c r="D100" s="2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2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2" t="str">
        <f>IF($B100="","",IF(COUNTIF(EngGameID,$B100)&gt;1,"DUP",""))</f>
        <v/>
      </c>
      <c r="G100" s="2" t="str">
        <f>IF($B100="","",IF(OR(COUNTIFS(EngWeek,$C100,EngAway,$D100)+COUNTIFS(EngWeek,$C100,EngHome,$D100)&gt;1,COUNTIFS(EngWeek,$C100,EngAway,$E100)+COUNTIFS(EngWeek,$C100,EngHome,$E100)&gt;1),"DUP",""))</f>
        <v/>
      </c>
      <c r="H100" s="2" t="str">
        <f>IF($B100="","",IF(OR(SUMPRODUCT((CLGameID=$B100)*CLUnmatched)&gt;0,LEFT($D100,1)="⚠",LEFT($E100,1)="⚠"),"UNMATCHED",""))</f>
        <v/>
      </c>
      <c r="I100" s="2" t="str">
        <f t="array" ref="I100">IF($B100="","",IF(OR(NOT(ISNUMBER(IFERROR(INDEX(RatEff,MATCH($D100,RatTeams,0)),"x"))),NOT(ISNUMBER(IFERROR(INDEX(RatEff,MATCH($E100,RatTeams,0)),"x")))),"MISSING",""))</f>
        <v/>
      </c>
      <c r="J100" s="2" t="str">
        <f>IF($B100="","",IF(SUMPRODUCT((CLGameID=$B100)*CLPlayed*(CLUseCur+CLUsePrev&gt;0)*(CLPlays=0))&gt;0,"MISSING",""))</f>
        <v/>
      </c>
      <c r="K100" s="2" t="str">
        <f>IF($B100="","",IF(SUMPRODUCT((CLGameID=$B100)*CLPlayed*((CLOffPts&lt;-20)+(CLOffPts&gt;90)))&gt;0,"CHECK",""))</f>
        <v/>
      </c>
      <c r="L100" s="2" t="str">
        <f t="array" ref="L100">IF($B100="","",IF(OR(ABS(IFERROR(INDEX(RatEff,MATCH($D100,RatTeams,0)),0))&gt;RatingRange,ABS(IFERROR(INDEX(RatEff,MATCH($E100,RatTeams,0)),0))&gt;RatingRange),"RANGE",""))</f>
        <v/>
      </c>
      <c r="M100" s="2" t="str">
        <f t="array" ref="M100">IF($B100="","",IF(OR(IFERROR(INDEX(CalcMoveFlag,MATCH($D100,CalcTeams,0)),"")="CAPPED",IFERROR(INDEX(CalcMoveFlag,MATCH($E100,CalcTeams,0)),"")="CAPPED"),"CAPPED",""))</f>
        <v/>
      </c>
      <c r="N100" s="2" t="str">
        <f>IF($B100="","",IF(ABS(SUMIFS(AdjSpread,AdjGameID,$B100,AdjActive,1))&gt;AdjCap,"LARGE",""))</f>
        <v/>
      </c>
      <c r="O100" s="2" t="str">
        <f t="array" ref="O100">IF($B100="","",IFERROR(INDEX(MktStale,MATCH($B100,MktGameID,0)),""))</f>
        <v/>
      </c>
      <c r="P100" s="2" t="str">
        <f t="shared" si="1"/>
        <v>READY</v>
      </c>
    </row>
    <row r="101" ht="15.0" customHeight="1">
      <c r="A101" s="2">
        <v>90.0</v>
      </c>
      <c r="B101" s="2" t="str">
        <f t="array" ref="B101">IFERROR(INDEX(SchedZone,MATCH($A101,SchedSeq,0),MAP!$B$6),"")</f>
        <v>2026_06_LAC_KC</v>
      </c>
      <c r="C101" s="2">
        <f t="array" ref="C101">IF($B101="","",INDEX(SchedZone,MATCH($A101,SchedSeq,0),MAP!$B$4))</f>
        <v>6</v>
      </c>
      <c r="D101" s="2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2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2" t="str">
        <f>IF($B101="","",IF(COUNTIF(EngGameID,$B101)&gt;1,"DUP",""))</f>
        <v/>
      </c>
      <c r="G101" s="2" t="str">
        <f>IF($B101="","",IF(OR(COUNTIFS(EngWeek,$C101,EngAway,$D101)+COUNTIFS(EngWeek,$C101,EngHome,$D101)&gt;1,COUNTIFS(EngWeek,$C101,EngAway,$E101)+COUNTIFS(EngWeek,$C101,EngHome,$E101)&gt;1),"DUP",""))</f>
        <v/>
      </c>
      <c r="H101" s="2" t="str">
        <f>IF($B101="","",IF(OR(SUMPRODUCT((CLGameID=$B101)*CLUnmatched)&gt;0,LEFT($D101,1)="⚠",LEFT($E101,1)="⚠"),"UNMATCHED",""))</f>
        <v/>
      </c>
      <c r="I101" s="2" t="str">
        <f t="array" ref="I101">IF($B101="","",IF(OR(NOT(ISNUMBER(IFERROR(INDEX(RatEff,MATCH($D101,RatTeams,0)),"x"))),NOT(ISNUMBER(IFERROR(INDEX(RatEff,MATCH($E101,RatTeams,0)),"x")))),"MISSING",""))</f>
        <v/>
      </c>
      <c r="J101" s="2" t="str">
        <f>IF($B101="","",IF(SUMPRODUCT((CLGameID=$B101)*CLPlayed*(CLUseCur+CLUsePrev&gt;0)*(CLPlays=0))&gt;0,"MISSING",""))</f>
        <v/>
      </c>
      <c r="K101" s="2" t="str">
        <f>IF($B101="","",IF(SUMPRODUCT((CLGameID=$B101)*CLPlayed*((CLOffPts&lt;-20)+(CLOffPts&gt;90)))&gt;0,"CHECK",""))</f>
        <v/>
      </c>
      <c r="L101" s="2" t="str">
        <f t="array" ref="L101">IF($B101="","",IF(OR(ABS(IFERROR(INDEX(RatEff,MATCH($D101,RatTeams,0)),0))&gt;RatingRange,ABS(IFERROR(INDEX(RatEff,MATCH($E101,RatTeams,0)),0))&gt;RatingRange),"RANGE",""))</f>
        <v/>
      </c>
      <c r="M101" s="2" t="str">
        <f t="array" ref="M101">IF($B101="","",IF(OR(IFERROR(INDEX(CalcMoveFlag,MATCH($D101,CalcTeams,0)),"")="CAPPED",IFERROR(INDEX(CalcMoveFlag,MATCH($E101,CalcTeams,0)),"")="CAPPED"),"CAPPED",""))</f>
        <v/>
      </c>
      <c r="N101" s="2" t="str">
        <f>IF($B101="","",IF(ABS(SUMIFS(AdjSpread,AdjGameID,$B101,AdjActive,1))&gt;AdjCap,"LARGE",""))</f>
        <v/>
      </c>
      <c r="O101" s="2" t="str">
        <f t="array" ref="O101">IF($B101="","",IFERROR(INDEX(MktStale,MATCH($B101,MktGameID,0)),""))</f>
        <v/>
      </c>
      <c r="P101" s="2" t="str">
        <f t="shared" si="1"/>
        <v>READY</v>
      </c>
    </row>
    <row r="102" ht="15.0" customHeight="1">
      <c r="A102" s="2">
        <v>91.0</v>
      </c>
      <c r="B102" s="2" t="str">
        <f t="array" ref="B102">IFERROR(INDEX(SchedZone,MATCH($A102,SchedSeq,0),MAP!$B$6),"")</f>
        <v>2026_06_BUF_LV</v>
      </c>
      <c r="C102" s="2">
        <f t="array" ref="C102">IF($B102="","",INDEX(SchedZone,MATCH($A102,SchedSeq,0),MAP!$B$4))</f>
        <v>6</v>
      </c>
      <c r="D102" s="2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2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2" t="str">
        <f>IF($B102="","",IF(COUNTIF(EngGameID,$B102)&gt;1,"DUP",""))</f>
        <v/>
      </c>
      <c r="G102" s="2" t="str">
        <f>IF($B102="","",IF(OR(COUNTIFS(EngWeek,$C102,EngAway,$D102)+COUNTIFS(EngWeek,$C102,EngHome,$D102)&gt;1,COUNTIFS(EngWeek,$C102,EngAway,$E102)+COUNTIFS(EngWeek,$C102,EngHome,$E102)&gt;1),"DUP",""))</f>
        <v/>
      </c>
      <c r="H102" s="2" t="str">
        <f>IF($B102="","",IF(OR(SUMPRODUCT((CLGameID=$B102)*CLUnmatched)&gt;0,LEFT($D102,1)="⚠",LEFT($E102,1)="⚠"),"UNMATCHED",""))</f>
        <v/>
      </c>
      <c r="I102" s="2" t="str">
        <f t="array" ref="I102">IF($B102="","",IF(OR(NOT(ISNUMBER(IFERROR(INDEX(RatEff,MATCH($D102,RatTeams,0)),"x"))),NOT(ISNUMBER(IFERROR(INDEX(RatEff,MATCH($E102,RatTeams,0)),"x")))),"MISSING",""))</f>
        <v/>
      </c>
      <c r="J102" s="2" t="str">
        <f>IF($B102="","",IF(SUMPRODUCT((CLGameID=$B102)*CLPlayed*(CLUseCur+CLUsePrev&gt;0)*(CLPlays=0))&gt;0,"MISSING",""))</f>
        <v/>
      </c>
      <c r="K102" s="2" t="str">
        <f>IF($B102="","",IF(SUMPRODUCT((CLGameID=$B102)*CLPlayed*((CLOffPts&lt;-20)+(CLOffPts&gt;90)))&gt;0,"CHECK",""))</f>
        <v/>
      </c>
      <c r="L102" s="2" t="str">
        <f t="array" ref="L102">IF($B102="","",IF(OR(ABS(IFERROR(INDEX(RatEff,MATCH($D102,RatTeams,0)),0))&gt;RatingRange,ABS(IFERROR(INDEX(RatEff,MATCH($E102,RatTeams,0)),0))&gt;RatingRange),"RANGE",""))</f>
        <v/>
      </c>
      <c r="M102" s="2" t="str">
        <f t="array" ref="M102">IF($B102="","",IF(OR(IFERROR(INDEX(CalcMoveFlag,MATCH($D102,CalcTeams,0)),"")="CAPPED",IFERROR(INDEX(CalcMoveFlag,MATCH($E102,CalcTeams,0)),"")="CAPPED"),"CAPPED",""))</f>
        <v/>
      </c>
      <c r="N102" s="2" t="str">
        <f>IF($B102="","",IF(ABS(SUMIFS(AdjSpread,AdjGameID,$B102,AdjActive,1))&gt;AdjCap,"LARGE",""))</f>
        <v/>
      </c>
      <c r="O102" s="2" t="str">
        <f t="array" ref="O102">IF($B102="","",IFERROR(INDEX(MktStale,MATCH($B102,MktGameID,0)),""))</f>
        <v/>
      </c>
      <c r="P102" s="2" t="str">
        <f t="shared" si="1"/>
        <v>READY</v>
      </c>
    </row>
    <row r="103" ht="15.0" customHeight="1">
      <c r="A103" s="2">
        <v>92.0</v>
      </c>
      <c r="B103" s="2" t="str">
        <f t="array" ref="B103">IFERROR(INDEX(SchedZone,MATCH($A103,SchedSeq,0),MAP!$B$6),"")</f>
        <v>2026_06_DAL_GB</v>
      </c>
      <c r="C103" s="2">
        <f t="array" ref="C103">IF($B103="","",INDEX(SchedZone,MATCH($A103,SchedSeq,0),MAP!$B$4))</f>
        <v>6</v>
      </c>
      <c r="D103" s="2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2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2" t="str">
        <f>IF($B103="","",IF(COUNTIF(EngGameID,$B103)&gt;1,"DUP",""))</f>
        <v/>
      </c>
      <c r="G103" s="2" t="str">
        <f>IF($B103="","",IF(OR(COUNTIFS(EngWeek,$C103,EngAway,$D103)+COUNTIFS(EngWeek,$C103,EngHome,$D103)&gt;1,COUNTIFS(EngWeek,$C103,EngAway,$E103)+COUNTIFS(EngWeek,$C103,EngHome,$E103)&gt;1),"DUP",""))</f>
        <v/>
      </c>
      <c r="H103" s="2" t="str">
        <f>IF($B103="","",IF(OR(SUMPRODUCT((CLGameID=$B103)*CLUnmatched)&gt;0,LEFT($D103,1)="⚠",LEFT($E103,1)="⚠"),"UNMATCHED",""))</f>
        <v/>
      </c>
      <c r="I103" s="2" t="str">
        <f t="array" ref="I103">IF($B103="","",IF(OR(NOT(ISNUMBER(IFERROR(INDEX(RatEff,MATCH($D103,RatTeams,0)),"x"))),NOT(ISNUMBER(IFERROR(INDEX(RatEff,MATCH($E103,RatTeams,0)),"x")))),"MISSING",""))</f>
        <v/>
      </c>
      <c r="J103" s="2" t="str">
        <f>IF($B103="","",IF(SUMPRODUCT((CLGameID=$B103)*CLPlayed*(CLUseCur+CLUsePrev&gt;0)*(CLPlays=0))&gt;0,"MISSING",""))</f>
        <v/>
      </c>
      <c r="K103" s="2" t="str">
        <f>IF($B103="","",IF(SUMPRODUCT((CLGameID=$B103)*CLPlayed*((CLOffPts&lt;-20)+(CLOffPts&gt;90)))&gt;0,"CHECK",""))</f>
        <v/>
      </c>
      <c r="L103" s="2" t="str">
        <f t="array" ref="L103">IF($B103="","",IF(OR(ABS(IFERROR(INDEX(RatEff,MATCH($D103,RatTeams,0)),0))&gt;RatingRange,ABS(IFERROR(INDEX(RatEff,MATCH($E103,RatTeams,0)),0))&gt;RatingRange),"RANGE",""))</f>
        <v/>
      </c>
      <c r="M103" s="2" t="str">
        <f t="array" ref="M103">IF($B103="","",IF(OR(IFERROR(INDEX(CalcMoveFlag,MATCH($D103,CalcTeams,0)),"")="CAPPED",IFERROR(INDEX(CalcMoveFlag,MATCH($E103,CalcTeams,0)),"")="CAPPED"),"CAPPED",""))</f>
        <v/>
      </c>
      <c r="N103" s="2" t="str">
        <f>IF($B103="","",IF(ABS(SUMIFS(AdjSpread,AdjGameID,$B103,AdjActive,1))&gt;AdjCap,"LARGE",""))</f>
        <v/>
      </c>
      <c r="O103" s="2" t="str">
        <f t="array" ref="O103">IF($B103="","",IFERROR(INDEX(MktStale,MATCH($B103,MktGameID,0)),""))</f>
        <v/>
      </c>
      <c r="P103" s="2" t="str">
        <f t="shared" si="1"/>
        <v>READY</v>
      </c>
    </row>
    <row r="104" ht="15.0" customHeight="1">
      <c r="A104" s="2">
        <v>93.0</v>
      </c>
      <c r="B104" s="2" t="str">
        <f t="array" ref="B104">IFERROR(INDEX(SchedZone,MATCH($A104,SchedSeq,0),MAP!$B$6),"")</f>
        <v>2026_06_WAS_SF</v>
      </c>
      <c r="C104" s="2">
        <f t="array" ref="C104">IF($B104="","",INDEX(SchedZone,MATCH($A104,SchedSeq,0),MAP!$B$4))</f>
        <v>6</v>
      </c>
      <c r="D104" s="2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2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2" t="str">
        <f>IF($B104="","",IF(COUNTIF(EngGameID,$B104)&gt;1,"DUP",""))</f>
        <v/>
      </c>
      <c r="G104" s="2" t="str">
        <f>IF($B104="","",IF(OR(COUNTIFS(EngWeek,$C104,EngAway,$D104)+COUNTIFS(EngWeek,$C104,EngHome,$D104)&gt;1,COUNTIFS(EngWeek,$C104,EngAway,$E104)+COUNTIFS(EngWeek,$C104,EngHome,$E104)&gt;1),"DUP",""))</f>
        <v/>
      </c>
      <c r="H104" s="2" t="str">
        <f>IF($B104="","",IF(OR(SUMPRODUCT((CLGameID=$B104)*CLUnmatched)&gt;0,LEFT($D104,1)="⚠",LEFT($E104,1)="⚠"),"UNMATCHED",""))</f>
        <v/>
      </c>
      <c r="I104" s="2" t="str">
        <f t="array" ref="I104">IF($B104="","",IF(OR(NOT(ISNUMBER(IFERROR(INDEX(RatEff,MATCH($D104,RatTeams,0)),"x"))),NOT(ISNUMBER(IFERROR(INDEX(RatEff,MATCH($E104,RatTeams,0)),"x")))),"MISSING",""))</f>
        <v/>
      </c>
      <c r="J104" s="2" t="str">
        <f>IF($B104="","",IF(SUMPRODUCT((CLGameID=$B104)*CLPlayed*(CLUseCur+CLUsePrev&gt;0)*(CLPlays=0))&gt;0,"MISSING",""))</f>
        <v/>
      </c>
      <c r="K104" s="2" t="str">
        <f>IF($B104="","",IF(SUMPRODUCT((CLGameID=$B104)*CLPlayed*((CLOffPts&lt;-20)+(CLOffPts&gt;90)))&gt;0,"CHECK",""))</f>
        <v/>
      </c>
      <c r="L104" s="2" t="str">
        <f t="array" ref="L104">IF($B104="","",IF(OR(ABS(IFERROR(INDEX(RatEff,MATCH($D104,RatTeams,0)),0))&gt;RatingRange,ABS(IFERROR(INDEX(RatEff,MATCH($E104,RatTeams,0)),0))&gt;RatingRange),"RANGE",""))</f>
        <v/>
      </c>
      <c r="M104" s="2" t="str">
        <f t="array" ref="M104">IF($B104="","",IF(OR(IFERROR(INDEX(CalcMoveFlag,MATCH($D104,CalcTeams,0)),"")="CAPPED",IFERROR(INDEX(CalcMoveFlag,MATCH($E104,CalcTeams,0)),"")="CAPPED"),"CAPPED",""))</f>
        <v/>
      </c>
      <c r="N104" s="2" t="str">
        <f>IF($B104="","",IF(ABS(SUMIFS(AdjSpread,AdjGameID,$B104,AdjActive,1))&gt;AdjCap,"LARGE",""))</f>
        <v/>
      </c>
      <c r="O104" s="2" t="str">
        <f t="array" ref="O104">IF($B104="","",IFERROR(INDEX(MktStale,MATCH($B104,MktGameID,0)),""))</f>
        <v/>
      </c>
      <c r="P104" s="2" t="str">
        <f t="shared" si="1"/>
        <v>READY</v>
      </c>
    </row>
    <row r="105" ht="15.0" customHeight="1">
      <c r="A105" s="2">
        <v>94.0</v>
      </c>
      <c r="B105" s="2" t="str">
        <f t="array" ref="B105">IFERROR(INDEX(SchedZone,MATCH($A105,SchedSeq,0),MAP!$B$6),"")</f>
        <v>2026_07_NE_CHI</v>
      </c>
      <c r="C105" s="2">
        <f t="array" ref="C105">IF($B105="","",INDEX(SchedZone,MATCH($A105,SchedSeq,0),MAP!$B$4))</f>
        <v>7</v>
      </c>
      <c r="D105" s="2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2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2" t="str">
        <f>IF($B105="","",IF(COUNTIF(EngGameID,$B105)&gt;1,"DUP",""))</f>
        <v/>
      </c>
      <c r="G105" s="2" t="str">
        <f>IF($B105="","",IF(OR(COUNTIFS(EngWeek,$C105,EngAway,$D105)+COUNTIFS(EngWeek,$C105,EngHome,$D105)&gt;1,COUNTIFS(EngWeek,$C105,EngAway,$E105)+COUNTIFS(EngWeek,$C105,EngHome,$E105)&gt;1),"DUP",""))</f>
        <v/>
      </c>
      <c r="H105" s="2" t="str">
        <f>IF($B105="","",IF(OR(SUMPRODUCT((CLGameID=$B105)*CLUnmatched)&gt;0,LEFT($D105,1)="⚠",LEFT($E105,1)="⚠"),"UNMATCHED",""))</f>
        <v/>
      </c>
      <c r="I105" s="2" t="str">
        <f t="array" ref="I105">IF($B105="","",IF(OR(NOT(ISNUMBER(IFERROR(INDEX(RatEff,MATCH($D105,RatTeams,0)),"x"))),NOT(ISNUMBER(IFERROR(INDEX(RatEff,MATCH($E105,RatTeams,0)),"x")))),"MISSING",""))</f>
        <v/>
      </c>
      <c r="J105" s="2" t="str">
        <f>IF($B105="","",IF(SUMPRODUCT((CLGameID=$B105)*CLPlayed*(CLUseCur+CLUsePrev&gt;0)*(CLPlays=0))&gt;0,"MISSING",""))</f>
        <v/>
      </c>
      <c r="K105" s="2" t="str">
        <f>IF($B105="","",IF(SUMPRODUCT((CLGameID=$B105)*CLPlayed*((CLOffPts&lt;-20)+(CLOffPts&gt;90)))&gt;0,"CHECK",""))</f>
        <v/>
      </c>
      <c r="L105" s="2" t="str">
        <f t="array" ref="L105">IF($B105="","",IF(OR(ABS(IFERROR(INDEX(RatEff,MATCH($D105,RatTeams,0)),0))&gt;RatingRange,ABS(IFERROR(INDEX(RatEff,MATCH($E105,RatTeams,0)),0))&gt;RatingRange),"RANGE",""))</f>
        <v/>
      </c>
      <c r="M105" s="2" t="str">
        <f t="array" ref="M105">IF($B105="","",IF(OR(IFERROR(INDEX(CalcMoveFlag,MATCH($D105,CalcTeams,0)),"")="CAPPED",IFERROR(INDEX(CalcMoveFlag,MATCH($E105,CalcTeams,0)),"")="CAPPED"),"CAPPED",""))</f>
        <v/>
      </c>
      <c r="N105" s="2" t="str">
        <f>IF($B105="","",IF(ABS(SUMIFS(AdjSpread,AdjGameID,$B105,AdjActive,1))&gt;AdjCap,"LARGE",""))</f>
        <v/>
      </c>
      <c r="O105" s="2" t="str">
        <f t="array" ref="O105">IF($B105="","",IFERROR(INDEX(MktStale,MATCH($B105,MktGameID,0)),""))</f>
        <v/>
      </c>
      <c r="P105" s="2" t="str">
        <f t="shared" si="1"/>
        <v>READY</v>
      </c>
    </row>
    <row r="106" ht="15.0" customHeight="1">
      <c r="A106" s="2">
        <v>95.0</v>
      </c>
      <c r="B106" s="2" t="str">
        <f t="array" ref="B106">IFERROR(INDEX(SchedZone,MATCH($A106,SchedSeq,0),MAP!$B$6),"")</f>
        <v>2026_07_PIT_NO</v>
      </c>
      <c r="C106" s="2">
        <f t="array" ref="C106">IF($B106="","",INDEX(SchedZone,MATCH($A106,SchedSeq,0),MAP!$B$4))</f>
        <v>7</v>
      </c>
      <c r="D106" s="2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2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2" t="str">
        <f>IF($B106="","",IF(COUNTIF(EngGameID,$B106)&gt;1,"DUP",""))</f>
        <v/>
      </c>
      <c r="G106" s="2" t="str">
        <f>IF($B106="","",IF(OR(COUNTIFS(EngWeek,$C106,EngAway,$D106)+COUNTIFS(EngWeek,$C106,EngHome,$D106)&gt;1,COUNTIFS(EngWeek,$C106,EngAway,$E106)+COUNTIFS(EngWeek,$C106,EngHome,$E106)&gt;1),"DUP",""))</f>
        <v/>
      </c>
      <c r="H106" s="2" t="str">
        <f>IF($B106="","",IF(OR(SUMPRODUCT((CLGameID=$B106)*CLUnmatched)&gt;0,LEFT($D106,1)="⚠",LEFT($E106,1)="⚠"),"UNMATCHED",""))</f>
        <v/>
      </c>
      <c r="I106" s="2" t="str">
        <f t="array" ref="I106">IF($B106="","",IF(OR(NOT(ISNUMBER(IFERROR(INDEX(RatEff,MATCH($D106,RatTeams,0)),"x"))),NOT(ISNUMBER(IFERROR(INDEX(RatEff,MATCH($E106,RatTeams,0)),"x")))),"MISSING",""))</f>
        <v/>
      </c>
      <c r="J106" s="2" t="str">
        <f>IF($B106="","",IF(SUMPRODUCT((CLGameID=$B106)*CLPlayed*(CLUseCur+CLUsePrev&gt;0)*(CLPlays=0))&gt;0,"MISSING",""))</f>
        <v/>
      </c>
      <c r="K106" s="2" t="str">
        <f>IF($B106="","",IF(SUMPRODUCT((CLGameID=$B106)*CLPlayed*((CLOffPts&lt;-20)+(CLOffPts&gt;90)))&gt;0,"CHECK",""))</f>
        <v/>
      </c>
      <c r="L106" s="2" t="str">
        <f t="array" ref="L106">IF($B106="","",IF(OR(ABS(IFERROR(INDEX(RatEff,MATCH($D106,RatTeams,0)),0))&gt;RatingRange,ABS(IFERROR(INDEX(RatEff,MATCH($E106,RatTeams,0)),0))&gt;RatingRange),"RANGE",""))</f>
        <v/>
      </c>
      <c r="M106" s="2" t="str">
        <f t="array" ref="M106">IF($B106="","",IF(OR(IFERROR(INDEX(CalcMoveFlag,MATCH($D106,CalcTeams,0)),"")="CAPPED",IFERROR(INDEX(CalcMoveFlag,MATCH($E106,CalcTeams,0)),"")="CAPPED"),"CAPPED",""))</f>
        <v/>
      </c>
      <c r="N106" s="2" t="str">
        <f>IF($B106="","",IF(ABS(SUMIFS(AdjSpread,AdjGameID,$B106,AdjActive,1))&gt;AdjCap,"LARGE",""))</f>
        <v/>
      </c>
      <c r="O106" s="2" t="str">
        <f t="array" ref="O106">IF($B106="","",IFERROR(INDEX(MktStale,MATCH($B106,MktGameID,0)),""))</f>
        <v/>
      </c>
      <c r="P106" s="2" t="str">
        <f t="shared" si="1"/>
        <v>READY</v>
      </c>
    </row>
    <row r="107" ht="15.0" customHeight="1">
      <c r="A107" s="2">
        <v>96.0</v>
      </c>
      <c r="B107" s="2" t="str">
        <f t="array" ref="B107">IFERROR(INDEX(SchedZone,MATCH($A107,SchedSeq,0),MAP!$B$6),"")</f>
        <v>2026_07_SF_ATL</v>
      </c>
      <c r="C107" s="2">
        <f t="array" ref="C107">IF($B107="","",INDEX(SchedZone,MATCH($A107,SchedSeq,0),MAP!$B$4))</f>
        <v>7</v>
      </c>
      <c r="D107" s="2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2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2" t="str">
        <f>IF($B107="","",IF(COUNTIF(EngGameID,$B107)&gt;1,"DUP",""))</f>
        <v/>
      </c>
      <c r="G107" s="2" t="str">
        <f>IF($B107="","",IF(OR(COUNTIFS(EngWeek,$C107,EngAway,$D107)+COUNTIFS(EngWeek,$C107,EngHome,$D107)&gt;1,COUNTIFS(EngWeek,$C107,EngAway,$E107)+COUNTIFS(EngWeek,$C107,EngHome,$E107)&gt;1),"DUP",""))</f>
        <v/>
      </c>
      <c r="H107" s="2" t="str">
        <f>IF($B107="","",IF(OR(SUMPRODUCT((CLGameID=$B107)*CLUnmatched)&gt;0,LEFT($D107,1)="⚠",LEFT($E107,1)="⚠"),"UNMATCHED",""))</f>
        <v/>
      </c>
      <c r="I107" s="2" t="str">
        <f t="array" ref="I107">IF($B107="","",IF(OR(NOT(ISNUMBER(IFERROR(INDEX(RatEff,MATCH($D107,RatTeams,0)),"x"))),NOT(ISNUMBER(IFERROR(INDEX(RatEff,MATCH($E107,RatTeams,0)),"x")))),"MISSING",""))</f>
        <v/>
      </c>
      <c r="J107" s="2" t="str">
        <f>IF($B107="","",IF(SUMPRODUCT((CLGameID=$B107)*CLPlayed*(CLUseCur+CLUsePrev&gt;0)*(CLPlays=0))&gt;0,"MISSING",""))</f>
        <v/>
      </c>
      <c r="K107" s="2" t="str">
        <f>IF($B107="","",IF(SUMPRODUCT((CLGameID=$B107)*CLPlayed*((CLOffPts&lt;-20)+(CLOffPts&gt;90)))&gt;0,"CHECK",""))</f>
        <v/>
      </c>
      <c r="L107" s="2" t="str">
        <f t="array" ref="L107">IF($B107="","",IF(OR(ABS(IFERROR(INDEX(RatEff,MATCH($D107,RatTeams,0)),0))&gt;RatingRange,ABS(IFERROR(INDEX(RatEff,MATCH($E107,RatTeams,0)),0))&gt;RatingRange),"RANGE",""))</f>
        <v/>
      </c>
      <c r="M107" s="2" t="str">
        <f t="array" ref="M107">IF($B107="","",IF(OR(IFERROR(INDEX(CalcMoveFlag,MATCH($D107,CalcTeams,0)),"")="CAPPED",IFERROR(INDEX(CalcMoveFlag,MATCH($E107,CalcTeams,0)),"")="CAPPED"),"CAPPED",""))</f>
        <v/>
      </c>
      <c r="N107" s="2" t="str">
        <f>IF($B107="","",IF(ABS(SUMIFS(AdjSpread,AdjGameID,$B107,AdjActive,1))&gt;AdjCap,"LARGE",""))</f>
        <v/>
      </c>
      <c r="O107" s="2" t="str">
        <f t="array" ref="O107">IF($B107="","",IFERROR(INDEX(MktStale,MATCH($B107,MktGameID,0)),""))</f>
        <v/>
      </c>
      <c r="P107" s="2" t="str">
        <f t="shared" si="1"/>
        <v>READY</v>
      </c>
    </row>
    <row r="108" ht="15.0" customHeight="1">
      <c r="A108" s="2">
        <v>97.0</v>
      </c>
      <c r="B108" s="2" t="str">
        <f t="array" ref="B108">IFERROR(INDEX(SchedZone,MATCH($A108,SchedSeq,0),MAP!$B$6),"")</f>
        <v>2026_07_CIN_BAL</v>
      </c>
      <c r="C108" s="2">
        <f t="array" ref="C108">IF($B108="","",INDEX(SchedZone,MATCH($A108,SchedSeq,0),MAP!$B$4))</f>
        <v>7</v>
      </c>
      <c r="D108" s="2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2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2" t="str">
        <f>IF($B108="","",IF(COUNTIF(EngGameID,$B108)&gt;1,"DUP",""))</f>
        <v/>
      </c>
      <c r="G108" s="2" t="str">
        <f>IF($B108="","",IF(OR(COUNTIFS(EngWeek,$C108,EngAway,$D108)+COUNTIFS(EngWeek,$C108,EngHome,$D108)&gt;1,COUNTIFS(EngWeek,$C108,EngAway,$E108)+COUNTIFS(EngWeek,$C108,EngHome,$E108)&gt;1),"DUP",""))</f>
        <v/>
      </c>
      <c r="H108" s="2" t="str">
        <f>IF($B108="","",IF(OR(SUMPRODUCT((CLGameID=$B108)*CLUnmatched)&gt;0,LEFT($D108,1)="⚠",LEFT($E108,1)="⚠"),"UNMATCHED",""))</f>
        <v/>
      </c>
      <c r="I108" s="2" t="str">
        <f t="array" ref="I108">IF($B108="","",IF(OR(NOT(ISNUMBER(IFERROR(INDEX(RatEff,MATCH($D108,RatTeams,0)),"x"))),NOT(ISNUMBER(IFERROR(INDEX(RatEff,MATCH($E108,RatTeams,0)),"x")))),"MISSING",""))</f>
        <v/>
      </c>
      <c r="J108" s="2" t="str">
        <f>IF($B108="","",IF(SUMPRODUCT((CLGameID=$B108)*CLPlayed*(CLUseCur+CLUsePrev&gt;0)*(CLPlays=0))&gt;0,"MISSING",""))</f>
        <v/>
      </c>
      <c r="K108" s="2" t="str">
        <f>IF($B108="","",IF(SUMPRODUCT((CLGameID=$B108)*CLPlayed*((CLOffPts&lt;-20)+(CLOffPts&gt;90)))&gt;0,"CHECK",""))</f>
        <v/>
      </c>
      <c r="L108" s="2" t="str">
        <f t="array" ref="L108">IF($B108="","",IF(OR(ABS(IFERROR(INDEX(RatEff,MATCH($D108,RatTeams,0)),0))&gt;RatingRange,ABS(IFERROR(INDEX(RatEff,MATCH($E108,RatTeams,0)),0))&gt;RatingRange),"RANGE",""))</f>
        <v/>
      </c>
      <c r="M108" s="2" t="str">
        <f t="array" ref="M108">IF($B108="","",IF(OR(IFERROR(INDEX(CalcMoveFlag,MATCH($D108,CalcTeams,0)),"")="CAPPED",IFERROR(INDEX(CalcMoveFlag,MATCH($E108,CalcTeams,0)),"")="CAPPED"),"CAPPED",""))</f>
        <v/>
      </c>
      <c r="N108" s="2" t="str">
        <f>IF($B108="","",IF(ABS(SUMIFS(AdjSpread,AdjGameID,$B108,AdjActive,1))&gt;AdjCap,"LARGE",""))</f>
        <v/>
      </c>
      <c r="O108" s="2" t="str">
        <f t="array" ref="O108">IF($B108="","",IFERROR(INDEX(MktStale,MATCH($B108,MktGameID,0)),""))</f>
        <v/>
      </c>
      <c r="P108" s="2" t="str">
        <f t="shared" si="1"/>
        <v>READY</v>
      </c>
    </row>
    <row r="109" ht="15.0" customHeight="1">
      <c r="A109" s="2">
        <v>98.0</v>
      </c>
      <c r="B109" s="2" t="str">
        <f t="array" ref="B109">IFERROR(INDEX(SchedZone,MATCH($A109,SchedSeq,0),MAP!$B$6),"")</f>
        <v>2026_07_TB_CAR</v>
      </c>
      <c r="C109" s="2">
        <f t="array" ref="C109">IF($B109="","",INDEX(SchedZone,MATCH($A109,SchedSeq,0),MAP!$B$4))</f>
        <v>7</v>
      </c>
      <c r="D109" s="2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2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2" t="str">
        <f>IF($B109="","",IF(COUNTIF(EngGameID,$B109)&gt;1,"DUP",""))</f>
        <v/>
      </c>
      <c r="G109" s="2" t="str">
        <f>IF($B109="","",IF(OR(COUNTIFS(EngWeek,$C109,EngAway,$D109)+COUNTIFS(EngWeek,$C109,EngHome,$D109)&gt;1,COUNTIFS(EngWeek,$C109,EngAway,$E109)+COUNTIFS(EngWeek,$C109,EngHome,$E109)&gt;1),"DUP",""))</f>
        <v/>
      </c>
      <c r="H109" s="2" t="str">
        <f>IF($B109="","",IF(OR(SUMPRODUCT((CLGameID=$B109)*CLUnmatched)&gt;0,LEFT($D109,1)="⚠",LEFT($E109,1)="⚠"),"UNMATCHED",""))</f>
        <v/>
      </c>
      <c r="I109" s="2" t="str">
        <f t="array" ref="I109">IF($B109="","",IF(OR(NOT(ISNUMBER(IFERROR(INDEX(RatEff,MATCH($D109,RatTeams,0)),"x"))),NOT(ISNUMBER(IFERROR(INDEX(RatEff,MATCH($E109,RatTeams,0)),"x")))),"MISSING",""))</f>
        <v/>
      </c>
      <c r="J109" s="2" t="str">
        <f>IF($B109="","",IF(SUMPRODUCT((CLGameID=$B109)*CLPlayed*(CLUseCur+CLUsePrev&gt;0)*(CLPlays=0))&gt;0,"MISSING",""))</f>
        <v/>
      </c>
      <c r="K109" s="2" t="str">
        <f>IF($B109="","",IF(SUMPRODUCT((CLGameID=$B109)*CLPlayed*((CLOffPts&lt;-20)+(CLOffPts&gt;90)))&gt;0,"CHECK",""))</f>
        <v/>
      </c>
      <c r="L109" s="2" t="str">
        <f t="array" ref="L109">IF($B109="","",IF(OR(ABS(IFERROR(INDEX(RatEff,MATCH($D109,RatTeams,0)),0))&gt;RatingRange,ABS(IFERROR(INDEX(RatEff,MATCH($E109,RatTeams,0)),0))&gt;RatingRange),"RANGE",""))</f>
        <v/>
      </c>
      <c r="M109" s="2" t="str">
        <f t="array" ref="M109">IF($B109="","",IF(OR(IFERROR(INDEX(CalcMoveFlag,MATCH($D109,CalcTeams,0)),"")="CAPPED",IFERROR(INDEX(CalcMoveFlag,MATCH($E109,CalcTeams,0)),"")="CAPPED"),"CAPPED",""))</f>
        <v/>
      </c>
      <c r="N109" s="2" t="str">
        <f>IF($B109="","",IF(ABS(SUMIFS(AdjSpread,AdjGameID,$B109,AdjActive,1))&gt;AdjCap,"LARGE",""))</f>
        <v/>
      </c>
      <c r="O109" s="2" t="str">
        <f t="array" ref="O109">IF($B109="","",IFERROR(INDEX(MktStale,MATCH($B109,MktGameID,0)),""))</f>
        <v/>
      </c>
      <c r="P109" s="2" t="str">
        <f t="shared" si="1"/>
        <v>READY</v>
      </c>
    </row>
    <row r="110" ht="15.0" customHeight="1">
      <c r="A110" s="2">
        <v>99.0</v>
      </c>
      <c r="B110" s="2" t="str">
        <f t="array" ref="B110">IFERROR(INDEX(SchedZone,MATCH($A110,SchedSeq,0),MAP!$B$6),"")</f>
        <v>2026_07_NYG_HOU</v>
      </c>
      <c r="C110" s="2">
        <f t="array" ref="C110">IF($B110="","",INDEX(SchedZone,MATCH($A110,SchedSeq,0),MAP!$B$4))</f>
        <v>7</v>
      </c>
      <c r="D110" s="2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2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2" t="str">
        <f>IF($B110="","",IF(COUNTIF(EngGameID,$B110)&gt;1,"DUP",""))</f>
        <v/>
      </c>
      <c r="G110" s="2" t="str">
        <f>IF($B110="","",IF(OR(COUNTIFS(EngWeek,$C110,EngAway,$D110)+COUNTIFS(EngWeek,$C110,EngHome,$D110)&gt;1,COUNTIFS(EngWeek,$C110,EngAway,$E110)+COUNTIFS(EngWeek,$C110,EngHome,$E110)&gt;1),"DUP",""))</f>
        <v/>
      </c>
      <c r="H110" s="2" t="str">
        <f>IF($B110="","",IF(OR(SUMPRODUCT((CLGameID=$B110)*CLUnmatched)&gt;0,LEFT($D110,1)="⚠",LEFT($E110,1)="⚠"),"UNMATCHED",""))</f>
        <v/>
      </c>
      <c r="I110" s="2" t="str">
        <f t="array" ref="I110">IF($B110="","",IF(OR(NOT(ISNUMBER(IFERROR(INDEX(RatEff,MATCH($D110,RatTeams,0)),"x"))),NOT(ISNUMBER(IFERROR(INDEX(RatEff,MATCH($E110,RatTeams,0)),"x")))),"MISSING",""))</f>
        <v/>
      </c>
      <c r="J110" s="2" t="str">
        <f>IF($B110="","",IF(SUMPRODUCT((CLGameID=$B110)*CLPlayed*(CLUseCur+CLUsePrev&gt;0)*(CLPlays=0))&gt;0,"MISSING",""))</f>
        <v/>
      </c>
      <c r="K110" s="2" t="str">
        <f>IF($B110="","",IF(SUMPRODUCT((CLGameID=$B110)*CLPlayed*((CLOffPts&lt;-20)+(CLOffPts&gt;90)))&gt;0,"CHECK",""))</f>
        <v/>
      </c>
      <c r="L110" s="2" t="str">
        <f t="array" ref="L110">IF($B110="","",IF(OR(ABS(IFERROR(INDEX(RatEff,MATCH($D110,RatTeams,0)),0))&gt;RatingRange,ABS(IFERROR(INDEX(RatEff,MATCH($E110,RatTeams,0)),0))&gt;RatingRange),"RANGE",""))</f>
        <v/>
      </c>
      <c r="M110" s="2" t="str">
        <f t="array" ref="M110">IF($B110="","",IF(OR(IFERROR(INDEX(CalcMoveFlag,MATCH($D110,CalcTeams,0)),"")="CAPPED",IFERROR(INDEX(CalcMoveFlag,MATCH($E110,CalcTeams,0)),"")="CAPPED"),"CAPPED",""))</f>
        <v/>
      </c>
      <c r="N110" s="2" t="str">
        <f>IF($B110="","",IF(ABS(SUMIFS(AdjSpread,AdjGameID,$B110,AdjActive,1))&gt;AdjCap,"LARGE",""))</f>
        <v/>
      </c>
      <c r="O110" s="2" t="str">
        <f t="array" ref="O110">IF($B110="","",IFERROR(INDEX(MktStale,MATCH($B110,MktGameID,0)),""))</f>
        <v/>
      </c>
      <c r="P110" s="2" t="str">
        <f t="shared" si="1"/>
        <v>READY</v>
      </c>
    </row>
    <row r="111" ht="15.0" customHeight="1">
      <c r="A111" s="2">
        <v>100.0</v>
      </c>
      <c r="B111" s="2" t="str">
        <f t="array" ref="B111">IFERROR(INDEX(SchedZone,MATCH($A111,SchedSeq,0),MAP!$B$6),"")</f>
        <v>2026_07_IND_MIN</v>
      </c>
      <c r="C111" s="2">
        <f t="array" ref="C111">IF($B111="","",INDEX(SchedZone,MATCH($A111,SchedSeq,0),MAP!$B$4))</f>
        <v>7</v>
      </c>
      <c r="D111" s="2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2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2" t="str">
        <f>IF($B111="","",IF(COUNTIF(EngGameID,$B111)&gt;1,"DUP",""))</f>
        <v/>
      </c>
      <c r="G111" s="2" t="str">
        <f>IF($B111="","",IF(OR(COUNTIFS(EngWeek,$C111,EngAway,$D111)+COUNTIFS(EngWeek,$C111,EngHome,$D111)&gt;1,COUNTIFS(EngWeek,$C111,EngAway,$E111)+COUNTIFS(EngWeek,$C111,EngHome,$E111)&gt;1),"DUP",""))</f>
        <v/>
      </c>
      <c r="H111" s="2" t="str">
        <f>IF($B111="","",IF(OR(SUMPRODUCT((CLGameID=$B111)*CLUnmatched)&gt;0,LEFT($D111,1)="⚠",LEFT($E111,1)="⚠"),"UNMATCHED",""))</f>
        <v/>
      </c>
      <c r="I111" s="2" t="str">
        <f t="array" ref="I111">IF($B111="","",IF(OR(NOT(ISNUMBER(IFERROR(INDEX(RatEff,MATCH($D111,RatTeams,0)),"x"))),NOT(ISNUMBER(IFERROR(INDEX(RatEff,MATCH($E111,RatTeams,0)),"x")))),"MISSING",""))</f>
        <v/>
      </c>
      <c r="J111" s="2" t="str">
        <f>IF($B111="","",IF(SUMPRODUCT((CLGameID=$B111)*CLPlayed*(CLUseCur+CLUsePrev&gt;0)*(CLPlays=0))&gt;0,"MISSING",""))</f>
        <v/>
      </c>
      <c r="K111" s="2" t="str">
        <f>IF($B111="","",IF(SUMPRODUCT((CLGameID=$B111)*CLPlayed*((CLOffPts&lt;-20)+(CLOffPts&gt;90)))&gt;0,"CHECK",""))</f>
        <v/>
      </c>
      <c r="L111" s="2" t="str">
        <f t="array" ref="L111">IF($B111="","",IF(OR(ABS(IFERROR(INDEX(RatEff,MATCH($D111,RatTeams,0)),0))&gt;RatingRange,ABS(IFERROR(INDEX(RatEff,MATCH($E111,RatTeams,0)),0))&gt;RatingRange),"RANGE",""))</f>
        <v/>
      </c>
      <c r="M111" s="2" t="str">
        <f t="array" ref="M111">IF($B111="","",IF(OR(IFERROR(INDEX(CalcMoveFlag,MATCH($D111,CalcTeams,0)),"")="CAPPED",IFERROR(INDEX(CalcMoveFlag,MATCH($E111,CalcTeams,0)),"")="CAPPED"),"CAPPED",""))</f>
        <v/>
      </c>
      <c r="N111" s="2" t="str">
        <f>IF($B111="","",IF(ABS(SUMIFS(AdjSpread,AdjGameID,$B111,AdjActive,1))&gt;AdjCap,"LARGE",""))</f>
        <v/>
      </c>
      <c r="O111" s="2" t="str">
        <f t="array" ref="O111">IF($B111="","",IFERROR(INDEX(MktStale,MATCH($B111,MktGameID,0)),""))</f>
        <v/>
      </c>
      <c r="P111" s="2" t="str">
        <f t="shared" si="1"/>
        <v>READY</v>
      </c>
    </row>
    <row r="112" ht="15.0" customHeight="1">
      <c r="A112" s="2">
        <v>101.0</v>
      </c>
      <c r="B112" s="2" t="str">
        <f t="array" ref="B112">IFERROR(INDEX(SchedZone,MATCH($A112,SchedSeq,0),MAP!$B$6),"")</f>
        <v>2026_07_MIA_NYJ</v>
      </c>
      <c r="C112" s="2">
        <f t="array" ref="C112">IF($B112="","",INDEX(SchedZone,MATCH($A112,SchedSeq,0),MAP!$B$4))</f>
        <v>7</v>
      </c>
      <c r="D112" s="2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2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2" t="str">
        <f>IF($B112="","",IF(COUNTIF(EngGameID,$B112)&gt;1,"DUP",""))</f>
        <v/>
      </c>
      <c r="G112" s="2" t="str">
        <f>IF($B112="","",IF(OR(COUNTIFS(EngWeek,$C112,EngAway,$D112)+COUNTIFS(EngWeek,$C112,EngHome,$D112)&gt;1,COUNTIFS(EngWeek,$C112,EngAway,$E112)+COUNTIFS(EngWeek,$C112,EngHome,$E112)&gt;1),"DUP",""))</f>
        <v/>
      </c>
      <c r="H112" s="2" t="str">
        <f>IF($B112="","",IF(OR(SUMPRODUCT((CLGameID=$B112)*CLUnmatched)&gt;0,LEFT($D112,1)="⚠",LEFT($E112,1)="⚠"),"UNMATCHED",""))</f>
        <v/>
      </c>
      <c r="I112" s="2" t="str">
        <f t="array" ref="I112">IF($B112="","",IF(OR(NOT(ISNUMBER(IFERROR(INDEX(RatEff,MATCH($D112,RatTeams,0)),"x"))),NOT(ISNUMBER(IFERROR(INDEX(RatEff,MATCH($E112,RatTeams,0)),"x")))),"MISSING",""))</f>
        <v/>
      </c>
      <c r="J112" s="2" t="str">
        <f>IF($B112="","",IF(SUMPRODUCT((CLGameID=$B112)*CLPlayed*(CLUseCur+CLUsePrev&gt;0)*(CLPlays=0))&gt;0,"MISSING",""))</f>
        <v/>
      </c>
      <c r="K112" s="2" t="str">
        <f>IF($B112="","",IF(SUMPRODUCT((CLGameID=$B112)*CLPlayed*((CLOffPts&lt;-20)+(CLOffPts&gt;90)))&gt;0,"CHECK",""))</f>
        <v/>
      </c>
      <c r="L112" s="2" t="str">
        <f t="array" ref="L112">IF($B112="","",IF(OR(ABS(IFERROR(INDEX(RatEff,MATCH($D112,RatTeams,0)),0))&gt;RatingRange,ABS(IFERROR(INDEX(RatEff,MATCH($E112,RatTeams,0)),0))&gt;RatingRange),"RANGE",""))</f>
        <v/>
      </c>
      <c r="M112" s="2" t="str">
        <f t="array" ref="M112">IF($B112="","",IF(OR(IFERROR(INDEX(CalcMoveFlag,MATCH($D112,CalcTeams,0)),"")="CAPPED",IFERROR(INDEX(CalcMoveFlag,MATCH($E112,CalcTeams,0)),"")="CAPPED"),"CAPPED",""))</f>
        <v/>
      </c>
      <c r="N112" s="2" t="str">
        <f>IF($B112="","",IF(ABS(SUMIFS(AdjSpread,AdjGameID,$B112,AdjActive,1))&gt;AdjCap,"LARGE",""))</f>
        <v/>
      </c>
      <c r="O112" s="2" t="str">
        <f t="array" ref="O112">IF($B112="","",IFERROR(INDEX(MktStale,MATCH($B112,MktGameID,0)),""))</f>
        <v/>
      </c>
      <c r="P112" s="2" t="str">
        <f t="shared" si="1"/>
        <v>READY</v>
      </c>
    </row>
    <row r="113" ht="15.0" customHeight="1">
      <c r="A113" s="2">
        <v>102.0</v>
      </c>
      <c r="B113" s="2" t="str">
        <f t="array" ref="B113">IFERROR(INDEX(SchedZone,MATCH($A113,SchedSeq,0),MAP!$B$6),"")</f>
        <v>2026_07_CLE_TEN</v>
      </c>
      <c r="C113" s="2">
        <f t="array" ref="C113">IF($B113="","",INDEX(SchedZone,MATCH($A113,SchedSeq,0),MAP!$B$4))</f>
        <v>7</v>
      </c>
      <c r="D113" s="2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2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2" t="str">
        <f>IF($B113="","",IF(COUNTIF(EngGameID,$B113)&gt;1,"DUP",""))</f>
        <v/>
      </c>
      <c r="G113" s="2" t="str">
        <f>IF($B113="","",IF(OR(COUNTIFS(EngWeek,$C113,EngAway,$D113)+COUNTIFS(EngWeek,$C113,EngHome,$D113)&gt;1,COUNTIFS(EngWeek,$C113,EngAway,$E113)+COUNTIFS(EngWeek,$C113,EngHome,$E113)&gt;1),"DUP",""))</f>
        <v/>
      </c>
      <c r="H113" s="2" t="str">
        <f>IF($B113="","",IF(OR(SUMPRODUCT((CLGameID=$B113)*CLUnmatched)&gt;0,LEFT($D113,1)="⚠",LEFT($E113,1)="⚠"),"UNMATCHED",""))</f>
        <v/>
      </c>
      <c r="I113" s="2" t="str">
        <f t="array" ref="I113">IF($B113="","",IF(OR(NOT(ISNUMBER(IFERROR(INDEX(RatEff,MATCH($D113,RatTeams,0)),"x"))),NOT(ISNUMBER(IFERROR(INDEX(RatEff,MATCH($E113,RatTeams,0)),"x")))),"MISSING",""))</f>
        <v/>
      </c>
      <c r="J113" s="2" t="str">
        <f>IF($B113="","",IF(SUMPRODUCT((CLGameID=$B113)*CLPlayed*(CLUseCur+CLUsePrev&gt;0)*(CLPlays=0))&gt;0,"MISSING",""))</f>
        <v/>
      </c>
      <c r="K113" s="2" t="str">
        <f>IF($B113="","",IF(SUMPRODUCT((CLGameID=$B113)*CLPlayed*((CLOffPts&lt;-20)+(CLOffPts&gt;90)))&gt;0,"CHECK",""))</f>
        <v/>
      </c>
      <c r="L113" s="2" t="str">
        <f t="array" ref="L113">IF($B113="","",IF(OR(ABS(IFERROR(INDEX(RatEff,MATCH($D113,RatTeams,0)),0))&gt;RatingRange,ABS(IFERROR(INDEX(RatEff,MATCH($E113,RatTeams,0)),0))&gt;RatingRange),"RANGE",""))</f>
        <v/>
      </c>
      <c r="M113" s="2" t="str">
        <f t="array" ref="M113">IF($B113="","",IF(OR(IFERROR(INDEX(CalcMoveFlag,MATCH($D113,CalcTeams,0)),"")="CAPPED",IFERROR(INDEX(CalcMoveFlag,MATCH($E113,CalcTeams,0)),"")="CAPPED"),"CAPPED",""))</f>
        <v/>
      </c>
      <c r="N113" s="2" t="str">
        <f>IF($B113="","",IF(ABS(SUMIFS(AdjSpread,AdjGameID,$B113,AdjActive,1))&gt;AdjCap,"LARGE",""))</f>
        <v/>
      </c>
      <c r="O113" s="2" t="str">
        <f t="array" ref="O113">IF($B113="","",IFERROR(INDEX(MktStale,MATCH($B113,MktGameID,0)),""))</f>
        <v/>
      </c>
      <c r="P113" s="2" t="str">
        <f t="shared" si="1"/>
        <v>READY</v>
      </c>
    </row>
    <row r="114" ht="15.0" customHeight="1">
      <c r="A114" s="2">
        <v>103.0</v>
      </c>
      <c r="B114" s="2" t="str">
        <f t="array" ref="B114">IFERROR(INDEX(SchedZone,MATCH($A114,SchedSeq,0),MAP!$B$6),"")</f>
        <v>2026_07_DEN_ARI</v>
      </c>
      <c r="C114" s="2">
        <f t="array" ref="C114">IF($B114="","",INDEX(SchedZone,MATCH($A114,SchedSeq,0),MAP!$B$4))</f>
        <v>7</v>
      </c>
      <c r="D114" s="2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2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2" t="str">
        <f>IF($B114="","",IF(COUNTIF(EngGameID,$B114)&gt;1,"DUP",""))</f>
        <v/>
      </c>
      <c r="G114" s="2" t="str">
        <f>IF($B114="","",IF(OR(COUNTIFS(EngWeek,$C114,EngAway,$D114)+COUNTIFS(EngWeek,$C114,EngHome,$D114)&gt;1,COUNTIFS(EngWeek,$C114,EngAway,$E114)+COUNTIFS(EngWeek,$C114,EngHome,$E114)&gt;1),"DUP",""))</f>
        <v/>
      </c>
      <c r="H114" s="2" t="str">
        <f>IF($B114="","",IF(OR(SUMPRODUCT((CLGameID=$B114)*CLUnmatched)&gt;0,LEFT($D114,1)="⚠",LEFT($E114,1)="⚠"),"UNMATCHED",""))</f>
        <v/>
      </c>
      <c r="I114" s="2" t="str">
        <f t="array" ref="I114">IF($B114="","",IF(OR(NOT(ISNUMBER(IFERROR(INDEX(RatEff,MATCH($D114,RatTeams,0)),"x"))),NOT(ISNUMBER(IFERROR(INDEX(RatEff,MATCH($E114,RatTeams,0)),"x")))),"MISSING",""))</f>
        <v/>
      </c>
      <c r="J114" s="2" t="str">
        <f>IF($B114="","",IF(SUMPRODUCT((CLGameID=$B114)*CLPlayed*(CLUseCur+CLUsePrev&gt;0)*(CLPlays=0))&gt;0,"MISSING",""))</f>
        <v/>
      </c>
      <c r="K114" s="2" t="str">
        <f>IF($B114="","",IF(SUMPRODUCT((CLGameID=$B114)*CLPlayed*((CLOffPts&lt;-20)+(CLOffPts&gt;90)))&gt;0,"CHECK",""))</f>
        <v/>
      </c>
      <c r="L114" s="2" t="str">
        <f t="array" ref="L114">IF($B114="","",IF(OR(ABS(IFERROR(INDEX(RatEff,MATCH($D114,RatTeams,0)),0))&gt;RatingRange,ABS(IFERROR(INDEX(RatEff,MATCH($E114,RatTeams,0)),0))&gt;RatingRange),"RANGE",""))</f>
        <v/>
      </c>
      <c r="M114" s="2" t="str">
        <f t="array" ref="M114">IF($B114="","",IF(OR(IFERROR(INDEX(CalcMoveFlag,MATCH($D114,CalcTeams,0)),"")="CAPPED",IFERROR(INDEX(CalcMoveFlag,MATCH($E114,CalcTeams,0)),"")="CAPPED"),"CAPPED",""))</f>
        <v/>
      </c>
      <c r="N114" s="2" t="str">
        <f>IF($B114="","",IF(ABS(SUMIFS(AdjSpread,AdjGameID,$B114,AdjActive,1))&gt;AdjCap,"LARGE",""))</f>
        <v/>
      </c>
      <c r="O114" s="2" t="str">
        <f t="array" ref="O114">IF($B114="","",IFERROR(INDEX(MktStale,MATCH($B114,MktGameID,0)),""))</f>
        <v/>
      </c>
      <c r="P114" s="2" t="str">
        <f t="shared" si="1"/>
        <v>READY</v>
      </c>
    </row>
    <row r="115" ht="15.0" customHeight="1">
      <c r="A115" s="2">
        <v>104.0</v>
      </c>
      <c r="B115" s="2" t="str">
        <f t="array" ref="B115">IFERROR(INDEX(SchedZone,MATCH($A115,SchedSeq,0),MAP!$B$6),"")</f>
        <v>2026_07_GB_DET</v>
      </c>
      <c r="C115" s="2">
        <f t="array" ref="C115">IF($B115="","",INDEX(SchedZone,MATCH($A115,SchedSeq,0),MAP!$B$4))</f>
        <v>7</v>
      </c>
      <c r="D115" s="2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2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2" t="str">
        <f>IF($B115="","",IF(COUNTIF(EngGameID,$B115)&gt;1,"DUP",""))</f>
        <v/>
      </c>
      <c r="G115" s="2" t="str">
        <f>IF($B115="","",IF(OR(COUNTIFS(EngWeek,$C115,EngAway,$D115)+COUNTIFS(EngWeek,$C115,EngHome,$D115)&gt;1,COUNTIFS(EngWeek,$C115,EngAway,$E115)+COUNTIFS(EngWeek,$C115,EngHome,$E115)&gt;1),"DUP",""))</f>
        <v/>
      </c>
      <c r="H115" s="2" t="str">
        <f>IF($B115="","",IF(OR(SUMPRODUCT((CLGameID=$B115)*CLUnmatched)&gt;0,LEFT($D115,1)="⚠",LEFT($E115,1)="⚠"),"UNMATCHED",""))</f>
        <v/>
      </c>
      <c r="I115" s="2" t="str">
        <f t="array" ref="I115">IF($B115="","",IF(OR(NOT(ISNUMBER(IFERROR(INDEX(RatEff,MATCH($D115,RatTeams,0)),"x"))),NOT(ISNUMBER(IFERROR(INDEX(RatEff,MATCH($E115,RatTeams,0)),"x")))),"MISSING",""))</f>
        <v/>
      </c>
      <c r="J115" s="2" t="str">
        <f>IF($B115="","",IF(SUMPRODUCT((CLGameID=$B115)*CLPlayed*(CLUseCur+CLUsePrev&gt;0)*(CLPlays=0))&gt;0,"MISSING",""))</f>
        <v/>
      </c>
      <c r="K115" s="2" t="str">
        <f>IF($B115="","",IF(SUMPRODUCT((CLGameID=$B115)*CLPlayed*((CLOffPts&lt;-20)+(CLOffPts&gt;90)))&gt;0,"CHECK",""))</f>
        <v/>
      </c>
      <c r="L115" s="2" t="str">
        <f t="array" ref="L115">IF($B115="","",IF(OR(ABS(IFERROR(INDEX(RatEff,MATCH($D115,RatTeams,0)),0))&gt;RatingRange,ABS(IFERROR(INDEX(RatEff,MATCH($E115,RatTeams,0)),0))&gt;RatingRange),"RANGE",""))</f>
        <v/>
      </c>
      <c r="M115" s="2" t="str">
        <f t="array" ref="M115">IF($B115="","",IF(OR(IFERROR(INDEX(CalcMoveFlag,MATCH($D115,CalcTeams,0)),"")="CAPPED",IFERROR(INDEX(CalcMoveFlag,MATCH($E115,CalcTeams,0)),"")="CAPPED"),"CAPPED",""))</f>
        <v/>
      </c>
      <c r="N115" s="2" t="str">
        <f>IF($B115="","",IF(ABS(SUMIFS(AdjSpread,AdjGameID,$B115,AdjActive,1))&gt;AdjCap,"LARGE",""))</f>
        <v/>
      </c>
      <c r="O115" s="2" t="str">
        <f t="array" ref="O115">IF($B115="","",IFERROR(INDEX(MktStale,MATCH($B115,MktGameID,0)),""))</f>
        <v/>
      </c>
      <c r="P115" s="2" t="str">
        <f t="shared" si="1"/>
        <v>READY</v>
      </c>
    </row>
    <row r="116" ht="15.0" customHeight="1">
      <c r="A116" s="2">
        <v>105.0</v>
      </c>
      <c r="B116" s="2" t="str">
        <f t="array" ref="B116">IFERROR(INDEX(SchedZone,MATCH($A116,SchedSeq,0),MAP!$B$6),"")</f>
        <v>2026_07_LA_LV</v>
      </c>
      <c r="C116" s="2">
        <f t="array" ref="C116">IF($B116="","",INDEX(SchedZone,MATCH($A116,SchedSeq,0),MAP!$B$4))</f>
        <v>7</v>
      </c>
      <c r="D116" s="2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2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2" t="str">
        <f>IF($B116="","",IF(COUNTIF(EngGameID,$B116)&gt;1,"DUP",""))</f>
        <v/>
      </c>
      <c r="G116" s="2" t="str">
        <f>IF($B116="","",IF(OR(COUNTIFS(EngWeek,$C116,EngAway,$D116)+COUNTIFS(EngWeek,$C116,EngHome,$D116)&gt;1,COUNTIFS(EngWeek,$C116,EngAway,$E116)+COUNTIFS(EngWeek,$C116,EngHome,$E116)&gt;1),"DUP",""))</f>
        <v/>
      </c>
      <c r="H116" s="2" t="str">
        <f>IF($B116="","",IF(OR(SUMPRODUCT((CLGameID=$B116)*CLUnmatched)&gt;0,LEFT($D116,1)="⚠",LEFT($E116,1)="⚠"),"UNMATCHED",""))</f>
        <v/>
      </c>
      <c r="I116" s="2" t="str">
        <f t="array" ref="I116">IF($B116="","",IF(OR(NOT(ISNUMBER(IFERROR(INDEX(RatEff,MATCH($D116,RatTeams,0)),"x"))),NOT(ISNUMBER(IFERROR(INDEX(RatEff,MATCH($E116,RatTeams,0)),"x")))),"MISSING",""))</f>
        <v/>
      </c>
      <c r="J116" s="2" t="str">
        <f>IF($B116="","",IF(SUMPRODUCT((CLGameID=$B116)*CLPlayed*(CLUseCur+CLUsePrev&gt;0)*(CLPlays=0))&gt;0,"MISSING",""))</f>
        <v/>
      </c>
      <c r="K116" s="2" t="str">
        <f>IF($B116="","",IF(SUMPRODUCT((CLGameID=$B116)*CLPlayed*((CLOffPts&lt;-20)+(CLOffPts&gt;90)))&gt;0,"CHECK",""))</f>
        <v/>
      </c>
      <c r="L116" s="2" t="str">
        <f t="array" ref="L116">IF($B116="","",IF(OR(ABS(IFERROR(INDEX(RatEff,MATCH($D116,RatTeams,0)),0))&gt;RatingRange,ABS(IFERROR(INDEX(RatEff,MATCH($E116,RatTeams,0)),0))&gt;RatingRange),"RANGE",""))</f>
        <v/>
      </c>
      <c r="M116" s="2" t="str">
        <f t="array" ref="M116">IF($B116="","",IF(OR(IFERROR(INDEX(CalcMoveFlag,MATCH($D116,CalcTeams,0)),"")="CAPPED",IFERROR(INDEX(CalcMoveFlag,MATCH($E116,CalcTeams,0)),"")="CAPPED"),"CAPPED",""))</f>
        <v/>
      </c>
      <c r="N116" s="2" t="str">
        <f>IF($B116="","",IF(ABS(SUMIFS(AdjSpread,AdjGameID,$B116,AdjActive,1))&gt;AdjCap,"LARGE",""))</f>
        <v/>
      </c>
      <c r="O116" s="2" t="str">
        <f t="array" ref="O116">IF($B116="","",IFERROR(INDEX(MktStale,MATCH($B116,MktGameID,0)),""))</f>
        <v/>
      </c>
      <c r="P116" s="2" t="str">
        <f t="shared" si="1"/>
        <v>READY</v>
      </c>
    </row>
    <row r="117" ht="15.0" customHeight="1">
      <c r="A117" s="2">
        <v>106.0</v>
      </c>
      <c r="B117" s="2" t="str">
        <f t="array" ref="B117">IFERROR(INDEX(SchedZone,MATCH($A117,SchedSeq,0),MAP!$B$6),"")</f>
        <v>2026_07_KC_SEA</v>
      </c>
      <c r="C117" s="2">
        <f t="array" ref="C117">IF($B117="","",INDEX(SchedZone,MATCH($A117,SchedSeq,0),MAP!$B$4))</f>
        <v>7</v>
      </c>
      <c r="D117" s="2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2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2" t="str">
        <f>IF($B117="","",IF(COUNTIF(EngGameID,$B117)&gt;1,"DUP",""))</f>
        <v/>
      </c>
      <c r="G117" s="2" t="str">
        <f>IF($B117="","",IF(OR(COUNTIFS(EngWeek,$C117,EngAway,$D117)+COUNTIFS(EngWeek,$C117,EngHome,$D117)&gt;1,COUNTIFS(EngWeek,$C117,EngAway,$E117)+COUNTIFS(EngWeek,$C117,EngHome,$E117)&gt;1),"DUP",""))</f>
        <v/>
      </c>
      <c r="H117" s="2" t="str">
        <f>IF($B117="","",IF(OR(SUMPRODUCT((CLGameID=$B117)*CLUnmatched)&gt;0,LEFT($D117,1)="⚠",LEFT($E117,1)="⚠"),"UNMATCHED",""))</f>
        <v/>
      </c>
      <c r="I117" s="2" t="str">
        <f t="array" ref="I117">IF($B117="","",IF(OR(NOT(ISNUMBER(IFERROR(INDEX(RatEff,MATCH($D117,RatTeams,0)),"x"))),NOT(ISNUMBER(IFERROR(INDEX(RatEff,MATCH($E117,RatTeams,0)),"x")))),"MISSING",""))</f>
        <v/>
      </c>
      <c r="J117" s="2" t="str">
        <f>IF($B117="","",IF(SUMPRODUCT((CLGameID=$B117)*CLPlayed*(CLUseCur+CLUsePrev&gt;0)*(CLPlays=0))&gt;0,"MISSING",""))</f>
        <v/>
      </c>
      <c r="K117" s="2" t="str">
        <f>IF($B117="","",IF(SUMPRODUCT((CLGameID=$B117)*CLPlayed*((CLOffPts&lt;-20)+(CLOffPts&gt;90)))&gt;0,"CHECK",""))</f>
        <v/>
      </c>
      <c r="L117" s="2" t="str">
        <f t="array" ref="L117">IF($B117="","",IF(OR(ABS(IFERROR(INDEX(RatEff,MATCH($D117,RatTeams,0)),0))&gt;RatingRange,ABS(IFERROR(INDEX(RatEff,MATCH($E117,RatTeams,0)),0))&gt;RatingRange),"RANGE",""))</f>
        <v/>
      </c>
      <c r="M117" s="2" t="str">
        <f t="array" ref="M117">IF($B117="","",IF(OR(IFERROR(INDEX(CalcMoveFlag,MATCH($D117,CalcTeams,0)),"")="CAPPED",IFERROR(INDEX(CalcMoveFlag,MATCH($E117,CalcTeams,0)),"")="CAPPED"),"CAPPED",""))</f>
        <v/>
      </c>
      <c r="N117" s="2" t="str">
        <f>IF($B117="","",IF(ABS(SUMIFS(AdjSpread,AdjGameID,$B117,AdjActive,1))&gt;AdjCap,"LARGE",""))</f>
        <v/>
      </c>
      <c r="O117" s="2" t="str">
        <f t="array" ref="O117">IF($B117="","",IFERROR(INDEX(MktStale,MATCH($B117,MktGameID,0)),""))</f>
        <v/>
      </c>
      <c r="P117" s="2" t="str">
        <f t="shared" si="1"/>
        <v>READY</v>
      </c>
    </row>
    <row r="118" ht="15.0" customHeight="1">
      <c r="A118" s="2">
        <v>107.0</v>
      </c>
      <c r="B118" s="2" t="str">
        <f t="array" ref="B118">IFERROR(INDEX(SchedZone,MATCH($A118,SchedSeq,0),MAP!$B$6),"")</f>
        <v>2026_07_DAL_PHI</v>
      </c>
      <c r="C118" s="2">
        <f t="array" ref="C118">IF($B118="","",INDEX(SchedZone,MATCH($A118,SchedSeq,0),MAP!$B$4))</f>
        <v>7</v>
      </c>
      <c r="D118" s="2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2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2" t="str">
        <f>IF($B118="","",IF(COUNTIF(EngGameID,$B118)&gt;1,"DUP",""))</f>
        <v/>
      </c>
      <c r="G118" s="2" t="str">
        <f>IF($B118="","",IF(OR(COUNTIFS(EngWeek,$C118,EngAway,$D118)+COUNTIFS(EngWeek,$C118,EngHome,$D118)&gt;1,COUNTIFS(EngWeek,$C118,EngAway,$E118)+COUNTIFS(EngWeek,$C118,EngHome,$E118)&gt;1),"DUP",""))</f>
        <v/>
      </c>
      <c r="H118" s="2" t="str">
        <f>IF($B118="","",IF(OR(SUMPRODUCT((CLGameID=$B118)*CLUnmatched)&gt;0,LEFT($D118,1)="⚠",LEFT($E118,1)="⚠"),"UNMATCHED",""))</f>
        <v/>
      </c>
      <c r="I118" s="2" t="str">
        <f t="array" ref="I118">IF($B118="","",IF(OR(NOT(ISNUMBER(IFERROR(INDEX(RatEff,MATCH($D118,RatTeams,0)),"x"))),NOT(ISNUMBER(IFERROR(INDEX(RatEff,MATCH($E118,RatTeams,0)),"x")))),"MISSING",""))</f>
        <v/>
      </c>
      <c r="J118" s="2" t="str">
        <f>IF($B118="","",IF(SUMPRODUCT((CLGameID=$B118)*CLPlayed*(CLUseCur+CLUsePrev&gt;0)*(CLPlays=0))&gt;0,"MISSING",""))</f>
        <v/>
      </c>
      <c r="K118" s="2" t="str">
        <f>IF($B118="","",IF(SUMPRODUCT((CLGameID=$B118)*CLPlayed*((CLOffPts&lt;-20)+(CLOffPts&gt;90)))&gt;0,"CHECK",""))</f>
        <v/>
      </c>
      <c r="L118" s="2" t="str">
        <f t="array" ref="L118">IF($B118="","",IF(OR(ABS(IFERROR(INDEX(RatEff,MATCH($D118,RatTeams,0)),0))&gt;RatingRange,ABS(IFERROR(INDEX(RatEff,MATCH($E118,RatTeams,0)),0))&gt;RatingRange),"RANGE",""))</f>
        <v/>
      </c>
      <c r="M118" s="2" t="str">
        <f t="array" ref="M118">IF($B118="","",IF(OR(IFERROR(INDEX(CalcMoveFlag,MATCH($D118,CalcTeams,0)),"")="CAPPED",IFERROR(INDEX(CalcMoveFlag,MATCH($E118,CalcTeams,0)),"")="CAPPED"),"CAPPED",""))</f>
        <v/>
      </c>
      <c r="N118" s="2" t="str">
        <f>IF($B118="","",IF(ABS(SUMIFS(AdjSpread,AdjGameID,$B118,AdjActive,1))&gt;AdjCap,"LARGE",""))</f>
        <v/>
      </c>
      <c r="O118" s="2" t="str">
        <f t="array" ref="O118">IF($B118="","",IFERROR(INDEX(MktStale,MATCH($B118,MktGameID,0)),""))</f>
        <v/>
      </c>
      <c r="P118" s="2" t="str">
        <f t="shared" si="1"/>
        <v>READY</v>
      </c>
    </row>
    <row r="119" ht="15.0" customHeight="1">
      <c r="A119" s="2">
        <v>108.0</v>
      </c>
      <c r="B119" s="2" t="str">
        <f t="array" ref="B119">IFERROR(INDEX(SchedZone,MATCH($A119,SchedSeq,0),MAP!$B$6),"")</f>
        <v>2026_08_CAR_GB</v>
      </c>
      <c r="C119" s="2">
        <f t="array" ref="C119">IF($B119="","",INDEX(SchedZone,MATCH($A119,SchedSeq,0),MAP!$B$4))</f>
        <v>8</v>
      </c>
      <c r="D119" s="2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2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2" t="str">
        <f>IF($B119="","",IF(COUNTIF(EngGameID,$B119)&gt;1,"DUP",""))</f>
        <v/>
      </c>
      <c r="G119" s="2" t="str">
        <f>IF($B119="","",IF(OR(COUNTIFS(EngWeek,$C119,EngAway,$D119)+COUNTIFS(EngWeek,$C119,EngHome,$D119)&gt;1,COUNTIFS(EngWeek,$C119,EngAway,$E119)+COUNTIFS(EngWeek,$C119,EngHome,$E119)&gt;1),"DUP",""))</f>
        <v/>
      </c>
      <c r="H119" s="2" t="str">
        <f>IF($B119="","",IF(OR(SUMPRODUCT((CLGameID=$B119)*CLUnmatched)&gt;0,LEFT($D119,1)="⚠",LEFT($E119,1)="⚠"),"UNMATCHED",""))</f>
        <v/>
      </c>
      <c r="I119" s="2" t="str">
        <f t="array" ref="I119">IF($B119="","",IF(OR(NOT(ISNUMBER(IFERROR(INDEX(RatEff,MATCH($D119,RatTeams,0)),"x"))),NOT(ISNUMBER(IFERROR(INDEX(RatEff,MATCH($E119,RatTeams,0)),"x")))),"MISSING",""))</f>
        <v/>
      </c>
      <c r="J119" s="2" t="str">
        <f>IF($B119="","",IF(SUMPRODUCT((CLGameID=$B119)*CLPlayed*(CLUseCur+CLUsePrev&gt;0)*(CLPlays=0))&gt;0,"MISSING",""))</f>
        <v/>
      </c>
      <c r="K119" s="2" t="str">
        <f>IF($B119="","",IF(SUMPRODUCT((CLGameID=$B119)*CLPlayed*((CLOffPts&lt;-20)+(CLOffPts&gt;90)))&gt;0,"CHECK",""))</f>
        <v/>
      </c>
      <c r="L119" s="2" t="str">
        <f t="array" ref="L119">IF($B119="","",IF(OR(ABS(IFERROR(INDEX(RatEff,MATCH($D119,RatTeams,0)),0))&gt;RatingRange,ABS(IFERROR(INDEX(RatEff,MATCH($E119,RatTeams,0)),0))&gt;RatingRange),"RANGE",""))</f>
        <v/>
      </c>
      <c r="M119" s="2" t="str">
        <f t="array" ref="M119">IF($B119="","",IF(OR(IFERROR(INDEX(CalcMoveFlag,MATCH($D119,CalcTeams,0)),"")="CAPPED",IFERROR(INDEX(CalcMoveFlag,MATCH($E119,CalcTeams,0)),"")="CAPPED"),"CAPPED",""))</f>
        <v/>
      </c>
      <c r="N119" s="2" t="str">
        <f>IF($B119="","",IF(ABS(SUMIFS(AdjSpread,AdjGameID,$B119,AdjActive,1))&gt;AdjCap,"LARGE",""))</f>
        <v/>
      </c>
      <c r="O119" s="2" t="str">
        <f t="array" ref="O119">IF($B119="","",IFERROR(INDEX(MktStale,MATCH($B119,MktGameID,0)),""))</f>
        <v/>
      </c>
      <c r="P119" s="2" t="str">
        <f t="shared" si="1"/>
        <v>READY</v>
      </c>
    </row>
    <row r="120" ht="15.0" customHeight="1">
      <c r="A120" s="2">
        <v>109.0</v>
      </c>
      <c r="B120" s="2" t="str">
        <f t="array" ref="B120">IFERROR(INDEX(SchedZone,MATCH($A120,SchedSeq,0),MAP!$B$6),"")</f>
        <v>2026_08_BAL_BUF</v>
      </c>
      <c r="C120" s="2">
        <f t="array" ref="C120">IF($B120="","",INDEX(SchedZone,MATCH($A120,SchedSeq,0),MAP!$B$4))</f>
        <v>8</v>
      </c>
      <c r="D120" s="2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2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2" t="str">
        <f>IF($B120="","",IF(COUNTIF(EngGameID,$B120)&gt;1,"DUP",""))</f>
        <v/>
      </c>
      <c r="G120" s="2" t="str">
        <f>IF($B120="","",IF(OR(COUNTIFS(EngWeek,$C120,EngAway,$D120)+COUNTIFS(EngWeek,$C120,EngHome,$D120)&gt;1,COUNTIFS(EngWeek,$C120,EngAway,$E120)+COUNTIFS(EngWeek,$C120,EngHome,$E120)&gt;1),"DUP",""))</f>
        <v/>
      </c>
      <c r="H120" s="2" t="str">
        <f>IF($B120="","",IF(OR(SUMPRODUCT((CLGameID=$B120)*CLUnmatched)&gt;0,LEFT($D120,1)="⚠",LEFT($E120,1)="⚠"),"UNMATCHED",""))</f>
        <v/>
      </c>
      <c r="I120" s="2" t="str">
        <f t="array" ref="I120">IF($B120="","",IF(OR(NOT(ISNUMBER(IFERROR(INDEX(RatEff,MATCH($D120,RatTeams,0)),"x"))),NOT(ISNUMBER(IFERROR(INDEX(RatEff,MATCH($E120,RatTeams,0)),"x")))),"MISSING",""))</f>
        <v/>
      </c>
      <c r="J120" s="2" t="str">
        <f>IF($B120="","",IF(SUMPRODUCT((CLGameID=$B120)*CLPlayed*(CLUseCur+CLUsePrev&gt;0)*(CLPlays=0))&gt;0,"MISSING",""))</f>
        <v/>
      </c>
      <c r="K120" s="2" t="str">
        <f>IF($B120="","",IF(SUMPRODUCT((CLGameID=$B120)*CLPlayed*((CLOffPts&lt;-20)+(CLOffPts&gt;90)))&gt;0,"CHECK",""))</f>
        <v/>
      </c>
      <c r="L120" s="2" t="str">
        <f t="array" ref="L120">IF($B120="","",IF(OR(ABS(IFERROR(INDEX(RatEff,MATCH($D120,RatTeams,0)),0))&gt;RatingRange,ABS(IFERROR(INDEX(RatEff,MATCH($E120,RatTeams,0)),0))&gt;RatingRange),"RANGE",""))</f>
        <v/>
      </c>
      <c r="M120" s="2" t="str">
        <f t="array" ref="M120">IF($B120="","",IF(OR(IFERROR(INDEX(CalcMoveFlag,MATCH($D120,CalcTeams,0)),"")="CAPPED",IFERROR(INDEX(CalcMoveFlag,MATCH($E120,CalcTeams,0)),"")="CAPPED"),"CAPPED",""))</f>
        <v/>
      </c>
      <c r="N120" s="2" t="str">
        <f>IF($B120="","",IF(ABS(SUMIFS(AdjSpread,AdjGameID,$B120,AdjActive,1))&gt;AdjCap,"LARGE",""))</f>
        <v/>
      </c>
      <c r="O120" s="2" t="str">
        <f t="array" ref="O120">IF($B120="","",IFERROR(INDEX(MktStale,MATCH($B120,MktGameID,0)),""))</f>
        <v/>
      </c>
      <c r="P120" s="2" t="str">
        <f t="shared" si="1"/>
        <v>READY</v>
      </c>
    </row>
    <row r="121" ht="15.0" customHeight="1">
      <c r="A121" s="2">
        <v>110.0</v>
      </c>
      <c r="B121" s="2" t="str">
        <f t="array" ref="B121">IFERROR(INDEX(SchedZone,MATCH($A121,SchedSeq,0),MAP!$B$6),"")</f>
        <v>2026_08_TEN_CIN</v>
      </c>
      <c r="C121" s="2">
        <f t="array" ref="C121">IF($B121="","",INDEX(SchedZone,MATCH($A121,SchedSeq,0),MAP!$B$4))</f>
        <v>8</v>
      </c>
      <c r="D121" s="2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2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2" t="str">
        <f>IF($B121="","",IF(COUNTIF(EngGameID,$B121)&gt;1,"DUP",""))</f>
        <v/>
      </c>
      <c r="G121" s="2" t="str">
        <f>IF($B121="","",IF(OR(COUNTIFS(EngWeek,$C121,EngAway,$D121)+COUNTIFS(EngWeek,$C121,EngHome,$D121)&gt;1,COUNTIFS(EngWeek,$C121,EngAway,$E121)+COUNTIFS(EngWeek,$C121,EngHome,$E121)&gt;1),"DUP",""))</f>
        <v/>
      </c>
      <c r="H121" s="2" t="str">
        <f>IF($B121="","",IF(OR(SUMPRODUCT((CLGameID=$B121)*CLUnmatched)&gt;0,LEFT($D121,1)="⚠",LEFT($E121,1)="⚠"),"UNMATCHED",""))</f>
        <v/>
      </c>
      <c r="I121" s="2" t="str">
        <f t="array" ref="I121">IF($B121="","",IF(OR(NOT(ISNUMBER(IFERROR(INDEX(RatEff,MATCH($D121,RatTeams,0)),"x"))),NOT(ISNUMBER(IFERROR(INDEX(RatEff,MATCH($E121,RatTeams,0)),"x")))),"MISSING",""))</f>
        <v/>
      </c>
      <c r="J121" s="2" t="str">
        <f>IF($B121="","",IF(SUMPRODUCT((CLGameID=$B121)*CLPlayed*(CLUseCur+CLUsePrev&gt;0)*(CLPlays=0))&gt;0,"MISSING",""))</f>
        <v/>
      </c>
      <c r="K121" s="2" t="str">
        <f>IF($B121="","",IF(SUMPRODUCT((CLGameID=$B121)*CLPlayed*((CLOffPts&lt;-20)+(CLOffPts&gt;90)))&gt;0,"CHECK",""))</f>
        <v/>
      </c>
      <c r="L121" s="2" t="str">
        <f t="array" ref="L121">IF($B121="","",IF(OR(ABS(IFERROR(INDEX(RatEff,MATCH($D121,RatTeams,0)),0))&gt;RatingRange,ABS(IFERROR(INDEX(RatEff,MATCH($E121,RatTeams,0)),0))&gt;RatingRange),"RANGE",""))</f>
        <v/>
      </c>
      <c r="M121" s="2" t="str">
        <f t="array" ref="M121">IF($B121="","",IF(OR(IFERROR(INDEX(CalcMoveFlag,MATCH($D121,CalcTeams,0)),"")="CAPPED",IFERROR(INDEX(CalcMoveFlag,MATCH($E121,CalcTeams,0)),"")="CAPPED"),"CAPPED",""))</f>
        <v/>
      </c>
      <c r="N121" s="2" t="str">
        <f>IF($B121="","",IF(ABS(SUMIFS(AdjSpread,AdjGameID,$B121,AdjActive,1))&gt;AdjCap,"LARGE",""))</f>
        <v/>
      </c>
      <c r="O121" s="2" t="str">
        <f t="array" ref="O121">IF($B121="","",IFERROR(INDEX(MktStale,MATCH($B121,MktGameID,0)),""))</f>
        <v/>
      </c>
      <c r="P121" s="2" t="str">
        <f t="shared" si="1"/>
        <v>READY</v>
      </c>
    </row>
    <row r="122" ht="15.0" customHeight="1">
      <c r="A122" s="2">
        <v>111.0</v>
      </c>
      <c r="B122" s="2" t="str">
        <f t="array" ref="B122">IFERROR(INDEX(SchedZone,MATCH($A122,SchedSeq,0),MAP!$B$6),"")</f>
        <v>2026_08_ARI_DAL</v>
      </c>
      <c r="C122" s="2">
        <f t="array" ref="C122">IF($B122="","",INDEX(SchedZone,MATCH($A122,SchedSeq,0),MAP!$B$4))</f>
        <v>8</v>
      </c>
      <c r="D122" s="2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2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2" t="str">
        <f>IF($B122="","",IF(COUNTIF(EngGameID,$B122)&gt;1,"DUP",""))</f>
        <v/>
      </c>
      <c r="G122" s="2" t="str">
        <f>IF($B122="","",IF(OR(COUNTIFS(EngWeek,$C122,EngAway,$D122)+COUNTIFS(EngWeek,$C122,EngHome,$D122)&gt;1,COUNTIFS(EngWeek,$C122,EngAway,$E122)+COUNTIFS(EngWeek,$C122,EngHome,$E122)&gt;1),"DUP",""))</f>
        <v/>
      </c>
      <c r="H122" s="2" t="str">
        <f>IF($B122="","",IF(OR(SUMPRODUCT((CLGameID=$B122)*CLUnmatched)&gt;0,LEFT($D122,1)="⚠",LEFT($E122,1)="⚠"),"UNMATCHED",""))</f>
        <v/>
      </c>
      <c r="I122" s="2" t="str">
        <f t="array" ref="I122">IF($B122="","",IF(OR(NOT(ISNUMBER(IFERROR(INDEX(RatEff,MATCH($D122,RatTeams,0)),"x"))),NOT(ISNUMBER(IFERROR(INDEX(RatEff,MATCH($E122,RatTeams,0)),"x")))),"MISSING",""))</f>
        <v/>
      </c>
      <c r="J122" s="2" t="str">
        <f>IF($B122="","",IF(SUMPRODUCT((CLGameID=$B122)*CLPlayed*(CLUseCur+CLUsePrev&gt;0)*(CLPlays=0))&gt;0,"MISSING",""))</f>
        <v/>
      </c>
      <c r="K122" s="2" t="str">
        <f>IF($B122="","",IF(SUMPRODUCT((CLGameID=$B122)*CLPlayed*((CLOffPts&lt;-20)+(CLOffPts&gt;90)))&gt;0,"CHECK",""))</f>
        <v/>
      </c>
      <c r="L122" s="2" t="str">
        <f t="array" ref="L122">IF($B122="","",IF(OR(ABS(IFERROR(INDEX(RatEff,MATCH($D122,RatTeams,0)),0))&gt;RatingRange,ABS(IFERROR(INDEX(RatEff,MATCH($E122,RatTeams,0)),0))&gt;RatingRange),"RANGE",""))</f>
        <v/>
      </c>
      <c r="M122" s="2" t="str">
        <f t="array" ref="M122">IF($B122="","",IF(OR(IFERROR(INDEX(CalcMoveFlag,MATCH($D122,CalcTeams,0)),"")="CAPPED",IFERROR(INDEX(CalcMoveFlag,MATCH($E122,CalcTeams,0)),"")="CAPPED"),"CAPPED",""))</f>
        <v/>
      </c>
      <c r="N122" s="2" t="str">
        <f>IF($B122="","",IF(ABS(SUMIFS(AdjSpread,AdjGameID,$B122,AdjActive,1))&gt;AdjCap,"LARGE",""))</f>
        <v/>
      </c>
      <c r="O122" s="2" t="str">
        <f t="array" ref="O122">IF($B122="","",IFERROR(INDEX(MktStale,MATCH($B122,MktGameID,0)),""))</f>
        <v/>
      </c>
      <c r="P122" s="2" t="str">
        <f t="shared" si="1"/>
        <v>READY</v>
      </c>
    </row>
    <row r="123" ht="15.0" customHeight="1">
      <c r="A123" s="2">
        <v>112.0</v>
      </c>
      <c r="B123" s="2" t="str">
        <f t="array" ref="B123">IFERROR(INDEX(SchedZone,MATCH($A123,SchedSeq,0),MAP!$B$6),"")</f>
        <v>2026_08_MIN_DET</v>
      </c>
      <c r="C123" s="2">
        <f t="array" ref="C123">IF($B123="","",INDEX(SchedZone,MATCH($A123,SchedSeq,0),MAP!$B$4))</f>
        <v>8</v>
      </c>
      <c r="D123" s="2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2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2" t="str">
        <f>IF($B123="","",IF(COUNTIF(EngGameID,$B123)&gt;1,"DUP",""))</f>
        <v/>
      </c>
      <c r="G123" s="2" t="str">
        <f>IF($B123="","",IF(OR(COUNTIFS(EngWeek,$C123,EngAway,$D123)+COUNTIFS(EngWeek,$C123,EngHome,$D123)&gt;1,COUNTIFS(EngWeek,$C123,EngAway,$E123)+COUNTIFS(EngWeek,$C123,EngHome,$E123)&gt;1),"DUP",""))</f>
        <v/>
      </c>
      <c r="H123" s="2" t="str">
        <f>IF($B123="","",IF(OR(SUMPRODUCT((CLGameID=$B123)*CLUnmatched)&gt;0,LEFT($D123,1)="⚠",LEFT($E123,1)="⚠"),"UNMATCHED",""))</f>
        <v/>
      </c>
      <c r="I123" s="2" t="str">
        <f t="array" ref="I123">IF($B123="","",IF(OR(NOT(ISNUMBER(IFERROR(INDEX(RatEff,MATCH($D123,RatTeams,0)),"x"))),NOT(ISNUMBER(IFERROR(INDEX(RatEff,MATCH($E123,RatTeams,0)),"x")))),"MISSING",""))</f>
        <v/>
      </c>
      <c r="J123" s="2" t="str">
        <f>IF($B123="","",IF(SUMPRODUCT((CLGameID=$B123)*CLPlayed*(CLUseCur+CLUsePrev&gt;0)*(CLPlays=0))&gt;0,"MISSING",""))</f>
        <v/>
      </c>
      <c r="K123" s="2" t="str">
        <f>IF($B123="","",IF(SUMPRODUCT((CLGameID=$B123)*CLPlayed*((CLOffPts&lt;-20)+(CLOffPts&gt;90)))&gt;0,"CHECK",""))</f>
        <v/>
      </c>
      <c r="L123" s="2" t="str">
        <f t="array" ref="L123">IF($B123="","",IF(OR(ABS(IFERROR(INDEX(RatEff,MATCH($D123,RatTeams,0)),0))&gt;RatingRange,ABS(IFERROR(INDEX(RatEff,MATCH($E123,RatTeams,0)),0))&gt;RatingRange),"RANGE",""))</f>
        <v/>
      </c>
      <c r="M123" s="2" t="str">
        <f t="array" ref="M123">IF($B123="","",IF(OR(IFERROR(INDEX(CalcMoveFlag,MATCH($D123,CalcTeams,0)),"")="CAPPED",IFERROR(INDEX(CalcMoveFlag,MATCH($E123,CalcTeams,0)),"")="CAPPED"),"CAPPED",""))</f>
        <v/>
      </c>
      <c r="N123" s="2" t="str">
        <f>IF($B123="","",IF(ABS(SUMIFS(AdjSpread,AdjGameID,$B123,AdjActive,1))&gt;AdjCap,"LARGE",""))</f>
        <v/>
      </c>
      <c r="O123" s="2" t="str">
        <f t="array" ref="O123">IF($B123="","",IFERROR(INDEX(MktStale,MATCH($B123,MktGameID,0)),""))</f>
        <v/>
      </c>
      <c r="P123" s="2" t="str">
        <f t="shared" si="1"/>
        <v>READY</v>
      </c>
    </row>
    <row r="124" ht="15.0" customHeight="1">
      <c r="A124" s="2">
        <v>113.0</v>
      </c>
      <c r="B124" s="2" t="str">
        <f t="array" ref="B124">IFERROR(INDEX(SchedZone,MATCH($A124,SchedSeq,0),MAP!$B$6),"")</f>
        <v>2026_08_IND_JAX</v>
      </c>
      <c r="C124" s="2">
        <f t="array" ref="C124">IF($B124="","",INDEX(SchedZone,MATCH($A124,SchedSeq,0),MAP!$B$4))</f>
        <v>8</v>
      </c>
      <c r="D124" s="2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2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2" t="str">
        <f>IF($B124="","",IF(COUNTIF(EngGameID,$B124)&gt;1,"DUP",""))</f>
        <v/>
      </c>
      <c r="G124" s="2" t="str">
        <f>IF($B124="","",IF(OR(COUNTIFS(EngWeek,$C124,EngAway,$D124)+COUNTIFS(EngWeek,$C124,EngHome,$D124)&gt;1,COUNTIFS(EngWeek,$C124,EngAway,$E124)+COUNTIFS(EngWeek,$C124,EngHome,$E124)&gt;1),"DUP",""))</f>
        <v/>
      </c>
      <c r="H124" s="2" t="str">
        <f>IF($B124="","",IF(OR(SUMPRODUCT((CLGameID=$B124)*CLUnmatched)&gt;0,LEFT($D124,1)="⚠",LEFT($E124,1)="⚠"),"UNMATCHED",""))</f>
        <v/>
      </c>
      <c r="I124" s="2" t="str">
        <f t="array" ref="I124">IF($B124="","",IF(OR(NOT(ISNUMBER(IFERROR(INDEX(RatEff,MATCH($D124,RatTeams,0)),"x"))),NOT(ISNUMBER(IFERROR(INDEX(RatEff,MATCH($E124,RatTeams,0)),"x")))),"MISSING",""))</f>
        <v/>
      </c>
      <c r="J124" s="2" t="str">
        <f>IF($B124="","",IF(SUMPRODUCT((CLGameID=$B124)*CLPlayed*(CLUseCur+CLUsePrev&gt;0)*(CLPlays=0))&gt;0,"MISSING",""))</f>
        <v/>
      </c>
      <c r="K124" s="2" t="str">
        <f>IF($B124="","",IF(SUMPRODUCT((CLGameID=$B124)*CLPlayed*((CLOffPts&lt;-20)+(CLOffPts&gt;90)))&gt;0,"CHECK",""))</f>
        <v/>
      </c>
      <c r="L124" s="2" t="str">
        <f t="array" ref="L124">IF($B124="","",IF(OR(ABS(IFERROR(INDEX(RatEff,MATCH($D124,RatTeams,0)),0))&gt;RatingRange,ABS(IFERROR(INDEX(RatEff,MATCH($E124,RatTeams,0)),0))&gt;RatingRange),"RANGE",""))</f>
        <v/>
      </c>
      <c r="M124" s="2" t="str">
        <f t="array" ref="M124">IF($B124="","",IF(OR(IFERROR(INDEX(CalcMoveFlag,MATCH($D124,CalcTeams,0)),"")="CAPPED",IFERROR(INDEX(CalcMoveFlag,MATCH($E124,CalcTeams,0)),"")="CAPPED"),"CAPPED",""))</f>
        <v/>
      </c>
      <c r="N124" s="2" t="str">
        <f>IF($B124="","",IF(ABS(SUMIFS(AdjSpread,AdjGameID,$B124,AdjActive,1))&gt;AdjCap,"LARGE",""))</f>
        <v/>
      </c>
      <c r="O124" s="2" t="str">
        <f t="array" ref="O124">IF($B124="","",IFERROR(INDEX(MktStale,MATCH($B124,MktGameID,0)),""))</f>
        <v/>
      </c>
      <c r="P124" s="2" t="str">
        <f t="shared" si="1"/>
        <v>READY</v>
      </c>
    </row>
    <row r="125" ht="15.0" customHeight="1">
      <c r="A125" s="2">
        <v>114.0</v>
      </c>
      <c r="B125" s="2" t="str">
        <f t="array" ref="B125">IFERROR(INDEX(SchedZone,MATCH($A125,SchedSeq,0),MAP!$B$6),"")</f>
        <v>2026_08_LV_NYJ</v>
      </c>
      <c r="C125" s="2">
        <f t="array" ref="C125">IF($B125="","",INDEX(SchedZone,MATCH($A125,SchedSeq,0),MAP!$B$4))</f>
        <v>8</v>
      </c>
      <c r="D125" s="2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2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2" t="str">
        <f>IF($B125="","",IF(COUNTIF(EngGameID,$B125)&gt;1,"DUP",""))</f>
        <v/>
      </c>
      <c r="G125" s="2" t="str">
        <f>IF($B125="","",IF(OR(COUNTIFS(EngWeek,$C125,EngAway,$D125)+COUNTIFS(EngWeek,$C125,EngHome,$D125)&gt;1,COUNTIFS(EngWeek,$C125,EngAway,$E125)+COUNTIFS(EngWeek,$C125,EngHome,$E125)&gt;1),"DUP",""))</f>
        <v/>
      </c>
      <c r="H125" s="2" t="str">
        <f>IF($B125="","",IF(OR(SUMPRODUCT((CLGameID=$B125)*CLUnmatched)&gt;0,LEFT($D125,1)="⚠",LEFT($E125,1)="⚠"),"UNMATCHED",""))</f>
        <v/>
      </c>
      <c r="I125" s="2" t="str">
        <f t="array" ref="I125">IF($B125="","",IF(OR(NOT(ISNUMBER(IFERROR(INDEX(RatEff,MATCH($D125,RatTeams,0)),"x"))),NOT(ISNUMBER(IFERROR(INDEX(RatEff,MATCH($E125,RatTeams,0)),"x")))),"MISSING",""))</f>
        <v/>
      </c>
      <c r="J125" s="2" t="str">
        <f>IF($B125="","",IF(SUMPRODUCT((CLGameID=$B125)*CLPlayed*(CLUseCur+CLUsePrev&gt;0)*(CLPlays=0))&gt;0,"MISSING",""))</f>
        <v/>
      </c>
      <c r="K125" s="2" t="str">
        <f>IF($B125="","",IF(SUMPRODUCT((CLGameID=$B125)*CLPlayed*((CLOffPts&lt;-20)+(CLOffPts&gt;90)))&gt;0,"CHECK",""))</f>
        <v/>
      </c>
      <c r="L125" s="2" t="str">
        <f t="array" ref="L125">IF($B125="","",IF(OR(ABS(IFERROR(INDEX(RatEff,MATCH($D125,RatTeams,0)),0))&gt;RatingRange,ABS(IFERROR(INDEX(RatEff,MATCH($E125,RatTeams,0)),0))&gt;RatingRange),"RANGE",""))</f>
        <v/>
      </c>
      <c r="M125" s="2" t="str">
        <f t="array" ref="M125">IF($B125="","",IF(OR(IFERROR(INDEX(CalcMoveFlag,MATCH($D125,CalcTeams,0)),"")="CAPPED",IFERROR(INDEX(CalcMoveFlag,MATCH($E125,CalcTeams,0)),"")="CAPPED"),"CAPPED",""))</f>
        <v/>
      </c>
      <c r="N125" s="2" t="str">
        <f>IF($B125="","",IF(ABS(SUMIFS(AdjSpread,AdjGameID,$B125,AdjActive,1))&gt;AdjCap,"LARGE",""))</f>
        <v/>
      </c>
      <c r="O125" s="2" t="str">
        <f t="array" ref="O125">IF($B125="","",IFERROR(INDEX(MktStale,MATCH($B125,MktGameID,0)),""))</f>
        <v/>
      </c>
      <c r="P125" s="2" t="str">
        <f t="shared" si="1"/>
        <v>READY</v>
      </c>
    </row>
    <row r="126" ht="15.0" customHeight="1">
      <c r="A126" s="2">
        <v>115.0</v>
      </c>
      <c r="B126" s="2" t="str">
        <f t="array" ref="B126">IFERROR(INDEX(SchedZone,MATCH($A126,SchedSeq,0),MAP!$B$6),"")</f>
        <v>2026_08_CLE_PIT</v>
      </c>
      <c r="C126" s="2">
        <f t="array" ref="C126">IF($B126="","",INDEX(SchedZone,MATCH($A126,SchedSeq,0),MAP!$B$4))</f>
        <v>8</v>
      </c>
      <c r="D126" s="2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2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2" t="str">
        <f>IF($B126="","",IF(COUNTIF(EngGameID,$B126)&gt;1,"DUP",""))</f>
        <v/>
      </c>
      <c r="G126" s="2" t="str">
        <f>IF($B126="","",IF(OR(COUNTIFS(EngWeek,$C126,EngAway,$D126)+COUNTIFS(EngWeek,$C126,EngHome,$D126)&gt;1,COUNTIFS(EngWeek,$C126,EngAway,$E126)+COUNTIFS(EngWeek,$C126,EngHome,$E126)&gt;1),"DUP",""))</f>
        <v/>
      </c>
      <c r="H126" s="2" t="str">
        <f>IF($B126="","",IF(OR(SUMPRODUCT((CLGameID=$B126)*CLUnmatched)&gt;0,LEFT($D126,1)="⚠",LEFT($E126,1)="⚠"),"UNMATCHED",""))</f>
        <v/>
      </c>
      <c r="I126" s="2" t="str">
        <f t="array" ref="I126">IF($B126="","",IF(OR(NOT(ISNUMBER(IFERROR(INDEX(RatEff,MATCH($D126,RatTeams,0)),"x"))),NOT(ISNUMBER(IFERROR(INDEX(RatEff,MATCH($E126,RatTeams,0)),"x")))),"MISSING",""))</f>
        <v/>
      </c>
      <c r="J126" s="2" t="str">
        <f>IF($B126="","",IF(SUMPRODUCT((CLGameID=$B126)*CLPlayed*(CLUseCur+CLUsePrev&gt;0)*(CLPlays=0))&gt;0,"MISSING",""))</f>
        <v/>
      </c>
      <c r="K126" s="2" t="str">
        <f>IF($B126="","",IF(SUMPRODUCT((CLGameID=$B126)*CLPlayed*((CLOffPts&lt;-20)+(CLOffPts&gt;90)))&gt;0,"CHECK",""))</f>
        <v/>
      </c>
      <c r="L126" s="2" t="str">
        <f t="array" ref="L126">IF($B126="","",IF(OR(ABS(IFERROR(INDEX(RatEff,MATCH($D126,RatTeams,0)),0))&gt;RatingRange,ABS(IFERROR(INDEX(RatEff,MATCH($E126,RatTeams,0)),0))&gt;RatingRange),"RANGE",""))</f>
        <v/>
      </c>
      <c r="M126" s="2" t="str">
        <f t="array" ref="M126">IF($B126="","",IF(OR(IFERROR(INDEX(CalcMoveFlag,MATCH($D126,CalcTeams,0)),"")="CAPPED",IFERROR(INDEX(CalcMoveFlag,MATCH($E126,CalcTeams,0)),"")="CAPPED"),"CAPPED",""))</f>
        <v/>
      </c>
      <c r="N126" s="2" t="str">
        <f>IF($B126="","",IF(ABS(SUMIFS(AdjSpread,AdjGameID,$B126,AdjActive,1))&gt;AdjCap,"LARGE",""))</f>
        <v/>
      </c>
      <c r="O126" s="2" t="str">
        <f t="array" ref="O126">IF($B126="","",IFERROR(INDEX(MktStale,MATCH($B126,MktGameID,0)),""))</f>
        <v/>
      </c>
      <c r="P126" s="2" t="str">
        <f t="shared" si="1"/>
        <v>READY</v>
      </c>
    </row>
    <row r="127" ht="15.0" customHeight="1">
      <c r="A127" s="2">
        <v>116.0</v>
      </c>
      <c r="B127" s="2" t="str">
        <f t="array" ref="B127">IFERROR(INDEX(SchedZone,MATCH($A127,SchedSeq,0),MAP!$B$6),"")</f>
        <v>2026_08_ATL_TB</v>
      </c>
      <c r="C127" s="2">
        <f t="array" ref="C127">IF($B127="","",INDEX(SchedZone,MATCH($A127,SchedSeq,0),MAP!$B$4))</f>
        <v>8</v>
      </c>
      <c r="D127" s="2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2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2" t="str">
        <f>IF($B127="","",IF(COUNTIF(EngGameID,$B127)&gt;1,"DUP",""))</f>
        <v/>
      </c>
      <c r="G127" s="2" t="str">
        <f>IF($B127="","",IF(OR(COUNTIFS(EngWeek,$C127,EngAway,$D127)+COUNTIFS(EngWeek,$C127,EngHome,$D127)&gt;1,COUNTIFS(EngWeek,$C127,EngAway,$E127)+COUNTIFS(EngWeek,$C127,EngHome,$E127)&gt;1),"DUP",""))</f>
        <v/>
      </c>
      <c r="H127" s="2" t="str">
        <f>IF($B127="","",IF(OR(SUMPRODUCT((CLGameID=$B127)*CLUnmatched)&gt;0,LEFT($D127,1)="⚠",LEFT($E127,1)="⚠"),"UNMATCHED",""))</f>
        <v/>
      </c>
      <c r="I127" s="2" t="str">
        <f t="array" ref="I127">IF($B127="","",IF(OR(NOT(ISNUMBER(IFERROR(INDEX(RatEff,MATCH($D127,RatTeams,0)),"x"))),NOT(ISNUMBER(IFERROR(INDEX(RatEff,MATCH($E127,RatTeams,0)),"x")))),"MISSING",""))</f>
        <v/>
      </c>
      <c r="J127" s="2" t="str">
        <f>IF($B127="","",IF(SUMPRODUCT((CLGameID=$B127)*CLPlayed*(CLUseCur+CLUsePrev&gt;0)*(CLPlays=0))&gt;0,"MISSING",""))</f>
        <v/>
      </c>
      <c r="K127" s="2" t="str">
        <f>IF($B127="","",IF(SUMPRODUCT((CLGameID=$B127)*CLPlayed*((CLOffPts&lt;-20)+(CLOffPts&gt;90)))&gt;0,"CHECK",""))</f>
        <v/>
      </c>
      <c r="L127" s="2" t="str">
        <f t="array" ref="L127">IF($B127="","",IF(OR(ABS(IFERROR(INDEX(RatEff,MATCH($D127,RatTeams,0)),0))&gt;RatingRange,ABS(IFERROR(INDEX(RatEff,MATCH($E127,RatTeams,0)),0))&gt;RatingRange),"RANGE",""))</f>
        <v/>
      </c>
      <c r="M127" s="2" t="str">
        <f t="array" ref="M127">IF($B127="","",IF(OR(IFERROR(INDEX(CalcMoveFlag,MATCH($D127,CalcTeams,0)),"")="CAPPED",IFERROR(INDEX(CalcMoveFlag,MATCH($E127,CalcTeams,0)),"")="CAPPED"),"CAPPED",""))</f>
        <v/>
      </c>
      <c r="N127" s="2" t="str">
        <f>IF($B127="","",IF(ABS(SUMIFS(AdjSpread,AdjGameID,$B127,AdjActive,1))&gt;AdjCap,"LARGE",""))</f>
        <v/>
      </c>
      <c r="O127" s="2" t="str">
        <f t="array" ref="O127">IF($B127="","",IFERROR(INDEX(MktStale,MATCH($B127,MktGameID,0)),""))</f>
        <v/>
      </c>
      <c r="P127" s="2" t="str">
        <f t="shared" si="1"/>
        <v>READY</v>
      </c>
    </row>
    <row r="128" ht="15.0" customHeight="1">
      <c r="A128" s="2">
        <v>117.0</v>
      </c>
      <c r="B128" s="2" t="str">
        <f t="array" ref="B128">IFERROR(INDEX(SchedZone,MATCH($A128,SchedSeq,0),MAP!$B$6),"")</f>
        <v>2026_08_LAC_LA</v>
      </c>
      <c r="C128" s="2">
        <f t="array" ref="C128">IF($B128="","",INDEX(SchedZone,MATCH($A128,SchedSeq,0),MAP!$B$4))</f>
        <v>8</v>
      </c>
      <c r="D128" s="2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2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2" t="str">
        <f>IF($B128="","",IF(COUNTIF(EngGameID,$B128)&gt;1,"DUP",""))</f>
        <v/>
      </c>
      <c r="G128" s="2" t="str">
        <f>IF($B128="","",IF(OR(COUNTIFS(EngWeek,$C128,EngAway,$D128)+COUNTIFS(EngWeek,$C128,EngHome,$D128)&gt;1,COUNTIFS(EngWeek,$C128,EngAway,$E128)+COUNTIFS(EngWeek,$C128,EngHome,$E128)&gt;1),"DUP",""))</f>
        <v/>
      </c>
      <c r="H128" s="2" t="str">
        <f>IF($B128="","",IF(OR(SUMPRODUCT((CLGameID=$B128)*CLUnmatched)&gt;0,LEFT($D128,1)="⚠",LEFT($E128,1)="⚠"),"UNMATCHED",""))</f>
        <v/>
      </c>
      <c r="I128" s="2" t="str">
        <f t="array" ref="I128">IF($B128="","",IF(OR(NOT(ISNUMBER(IFERROR(INDEX(RatEff,MATCH($D128,RatTeams,0)),"x"))),NOT(ISNUMBER(IFERROR(INDEX(RatEff,MATCH($E128,RatTeams,0)),"x")))),"MISSING",""))</f>
        <v/>
      </c>
      <c r="J128" s="2" t="str">
        <f>IF($B128="","",IF(SUMPRODUCT((CLGameID=$B128)*CLPlayed*(CLUseCur+CLUsePrev&gt;0)*(CLPlays=0))&gt;0,"MISSING",""))</f>
        <v/>
      </c>
      <c r="K128" s="2" t="str">
        <f>IF($B128="","",IF(SUMPRODUCT((CLGameID=$B128)*CLPlayed*((CLOffPts&lt;-20)+(CLOffPts&gt;90)))&gt;0,"CHECK",""))</f>
        <v/>
      </c>
      <c r="L128" s="2" t="str">
        <f t="array" ref="L128">IF($B128="","",IF(OR(ABS(IFERROR(INDEX(RatEff,MATCH($D128,RatTeams,0)),0))&gt;RatingRange,ABS(IFERROR(INDEX(RatEff,MATCH($E128,RatTeams,0)),0))&gt;RatingRange),"RANGE",""))</f>
        <v/>
      </c>
      <c r="M128" s="2" t="str">
        <f t="array" ref="M128">IF($B128="","",IF(OR(IFERROR(INDEX(CalcMoveFlag,MATCH($D128,CalcTeams,0)),"")="CAPPED",IFERROR(INDEX(CalcMoveFlag,MATCH($E128,CalcTeams,0)),"")="CAPPED"),"CAPPED",""))</f>
        <v/>
      </c>
      <c r="N128" s="2" t="str">
        <f>IF($B128="","",IF(ABS(SUMIFS(AdjSpread,AdjGameID,$B128,AdjActive,1))&gt;AdjCap,"LARGE",""))</f>
        <v/>
      </c>
      <c r="O128" s="2" t="str">
        <f t="array" ref="O128">IF($B128="","",IFERROR(INDEX(MktStale,MATCH($B128,MktGameID,0)),""))</f>
        <v/>
      </c>
      <c r="P128" s="2" t="str">
        <f t="shared" si="1"/>
        <v>READY</v>
      </c>
    </row>
    <row r="129" ht="15.0" customHeight="1">
      <c r="A129" s="2">
        <v>118.0</v>
      </c>
      <c r="B129" s="2" t="str">
        <f t="array" ref="B129">IFERROR(INDEX(SchedZone,MATCH($A129,SchedSeq,0),MAP!$B$6),"")</f>
        <v>2026_08_KC_DEN</v>
      </c>
      <c r="C129" s="2">
        <f t="array" ref="C129">IF($B129="","",INDEX(SchedZone,MATCH($A129,SchedSeq,0),MAP!$B$4))</f>
        <v>8</v>
      </c>
      <c r="D129" s="2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2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2" t="str">
        <f>IF($B129="","",IF(COUNTIF(EngGameID,$B129)&gt;1,"DUP",""))</f>
        <v/>
      </c>
      <c r="G129" s="2" t="str">
        <f>IF($B129="","",IF(OR(COUNTIFS(EngWeek,$C129,EngAway,$D129)+COUNTIFS(EngWeek,$C129,EngHome,$D129)&gt;1,COUNTIFS(EngWeek,$C129,EngAway,$E129)+COUNTIFS(EngWeek,$C129,EngHome,$E129)&gt;1),"DUP",""))</f>
        <v/>
      </c>
      <c r="H129" s="2" t="str">
        <f>IF($B129="","",IF(OR(SUMPRODUCT((CLGameID=$B129)*CLUnmatched)&gt;0,LEFT($D129,1)="⚠",LEFT($E129,1)="⚠"),"UNMATCHED",""))</f>
        <v/>
      </c>
      <c r="I129" s="2" t="str">
        <f t="array" ref="I129">IF($B129="","",IF(OR(NOT(ISNUMBER(IFERROR(INDEX(RatEff,MATCH($D129,RatTeams,0)),"x"))),NOT(ISNUMBER(IFERROR(INDEX(RatEff,MATCH($E129,RatTeams,0)),"x")))),"MISSING",""))</f>
        <v/>
      </c>
      <c r="J129" s="2" t="str">
        <f>IF($B129="","",IF(SUMPRODUCT((CLGameID=$B129)*CLPlayed*(CLUseCur+CLUsePrev&gt;0)*(CLPlays=0))&gt;0,"MISSING",""))</f>
        <v/>
      </c>
      <c r="K129" s="2" t="str">
        <f>IF($B129="","",IF(SUMPRODUCT((CLGameID=$B129)*CLPlayed*((CLOffPts&lt;-20)+(CLOffPts&gt;90)))&gt;0,"CHECK",""))</f>
        <v/>
      </c>
      <c r="L129" s="2" t="str">
        <f t="array" ref="L129">IF($B129="","",IF(OR(ABS(IFERROR(INDEX(RatEff,MATCH($D129,RatTeams,0)),0))&gt;RatingRange,ABS(IFERROR(INDEX(RatEff,MATCH($E129,RatTeams,0)),0))&gt;RatingRange),"RANGE",""))</f>
        <v/>
      </c>
      <c r="M129" s="2" t="str">
        <f t="array" ref="M129">IF($B129="","",IF(OR(IFERROR(INDEX(CalcMoveFlag,MATCH($D129,CalcTeams,0)),"")="CAPPED",IFERROR(INDEX(CalcMoveFlag,MATCH($E129,CalcTeams,0)),"")="CAPPED"),"CAPPED",""))</f>
        <v/>
      </c>
      <c r="N129" s="2" t="str">
        <f>IF($B129="","",IF(ABS(SUMIFS(AdjSpread,AdjGameID,$B129,AdjActive,1))&gt;AdjCap,"LARGE",""))</f>
        <v/>
      </c>
      <c r="O129" s="2" t="str">
        <f t="array" ref="O129">IF($B129="","",IFERROR(INDEX(MktStale,MATCH($B129,MktGameID,0)),""))</f>
        <v/>
      </c>
      <c r="P129" s="2" t="str">
        <f t="shared" si="1"/>
        <v>READY</v>
      </c>
    </row>
    <row r="130" ht="15.0" customHeight="1">
      <c r="A130" s="2">
        <v>119.0</v>
      </c>
      <c r="B130" s="2" t="str">
        <f t="array" ref="B130">IFERROR(INDEX(SchedZone,MATCH($A130,SchedSeq,0),MAP!$B$6),"")</f>
        <v>2026_08_NE_MIA</v>
      </c>
      <c r="C130" s="2">
        <f t="array" ref="C130">IF($B130="","",INDEX(SchedZone,MATCH($A130,SchedSeq,0),MAP!$B$4))</f>
        <v>8</v>
      </c>
      <c r="D130" s="2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2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2" t="str">
        <f>IF($B130="","",IF(COUNTIF(EngGameID,$B130)&gt;1,"DUP",""))</f>
        <v/>
      </c>
      <c r="G130" s="2" t="str">
        <f>IF($B130="","",IF(OR(COUNTIFS(EngWeek,$C130,EngAway,$D130)+COUNTIFS(EngWeek,$C130,EngHome,$D130)&gt;1,COUNTIFS(EngWeek,$C130,EngAway,$E130)+COUNTIFS(EngWeek,$C130,EngHome,$E130)&gt;1),"DUP",""))</f>
        <v/>
      </c>
      <c r="H130" s="2" t="str">
        <f>IF($B130="","",IF(OR(SUMPRODUCT((CLGameID=$B130)*CLUnmatched)&gt;0,LEFT($D130,1)="⚠",LEFT($E130,1)="⚠"),"UNMATCHED",""))</f>
        <v/>
      </c>
      <c r="I130" s="2" t="str">
        <f t="array" ref="I130">IF($B130="","",IF(OR(NOT(ISNUMBER(IFERROR(INDEX(RatEff,MATCH($D130,RatTeams,0)),"x"))),NOT(ISNUMBER(IFERROR(INDEX(RatEff,MATCH($E130,RatTeams,0)),"x")))),"MISSING",""))</f>
        <v/>
      </c>
      <c r="J130" s="2" t="str">
        <f>IF($B130="","",IF(SUMPRODUCT((CLGameID=$B130)*CLPlayed*(CLUseCur+CLUsePrev&gt;0)*(CLPlays=0))&gt;0,"MISSING",""))</f>
        <v/>
      </c>
      <c r="K130" s="2" t="str">
        <f>IF($B130="","",IF(SUMPRODUCT((CLGameID=$B130)*CLPlayed*((CLOffPts&lt;-20)+(CLOffPts&gt;90)))&gt;0,"CHECK",""))</f>
        <v/>
      </c>
      <c r="L130" s="2" t="str">
        <f t="array" ref="L130">IF($B130="","",IF(OR(ABS(IFERROR(INDEX(RatEff,MATCH($D130,RatTeams,0)),0))&gt;RatingRange,ABS(IFERROR(INDEX(RatEff,MATCH($E130,RatTeams,0)),0))&gt;RatingRange),"RANGE",""))</f>
        <v/>
      </c>
      <c r="M130" s="2" t="str">
        <f t="array" ref="M130">IF($B130="","",IF(OR(IFERROR(INDEX(CalcMoveFlag,MATCH($D130,CalcTeams,0)),"")="CAPPED",IFERROR(INDEX(CalcMoveFlag,MATCH($E130,CalcTeams,0)),"")="CAPPED"),"CAPPED",""))</f>
        <v/>
      </c>
      <c r="N130" s="2" t="str">
        <f>IF($B130="","",IF(ABS(SUMIFS(AdjSpread,AdjGameID,$B130,AdjActive,1))&gt;AdjCap,"LARGE",""))</f>
        <v/>
      </c>
      <c r="O130" s="2" t="str">
        <f t="array" ref="O130">IF($B130="","",IFERROR(INDEX(MktStale,MATCH($B130,MktGameID,0)),""))</f>
        <v/>
      </c>
      <c r="P130" s="2" t="str">
        <f t="shared" si="1"/>
        <v>READY</v>
      </c>
    </row>
    <row r="131" ht="15.0" customHeight="1">
      <c r="A131" s="2">
        <v>120.0</v>
      </c>
      <c r="B131" s="2" t="str">
        <f t="array" ref="B131">IFERROR(INDEX(SchedZone,MATCH($A131,SchedSeq,0),MAP!$B$6),"")</f>
        <v>2026_08_PHI_WAS</v>
      </c>
      <c r="C131" s="2">
        <f t="array" ref="C131">IF($B131="","",INDEX(SchedZone,MATCH($A131,SchedSeq,0),MAP!$B$4))</f>
        <v>8</v>
      </c>
      <c r="D131" s="2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2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2" t="str">
        <f>IF($B131="","",IF(COUNTIF(EngGameID,$B131)&gt;1,"DUP",""))</f>
        <v/>
      </c>
      <c r="G131" s="2" t="str">
        <f>IF($B131="","",IF(OR(COUNTIFS(EngWeek,$C131,EngAway,$D131)+COUNTIFS(EngWeek,$C131,EngHome,$D131)&gt;1,COUNTIFS(EngWeek,$C131,EngAway,$E131)+COUNTIFS(EngWeek,$C131,EngHome,$E131)&gt;1),"DUP",""))</f>
        <v/>
      </c>
      <c r="H131" s="2" t="str">
        <f>IF($B131="","",IF(OR(SUMPRODUCT((CLGameID=$B131)*CLUnmatched)&gt;0,LEFT($D131,1)="⚠",LEFT($E131,1)="⚠"),"UNMATCHED",""))</f>
        <v/>
      </c>
      <c r="I131" s="2" t="str">
        <f t="array" ref="I131">IF($B131="","",IF(OR(NOT(ISNUMBER(IFERROR(INDEX(RatEff,MATCH($D131,RatTeams,0)),"x"))),NOT(ISNUMBER(IFERROR(INDEX(RatEff,MATCH($E131,RatTeams,0)),"x")))),"MISSING",""))</f>
        <v/>
      </c>
      <c r="J131" s="2" t="str">
        <f>IF($B131="","",IF(SUMPRODUCT((CLGameID=$B131)*CLPlayed*(CLUseCur+CLUsePrev&gt;0)*(CLPlays=0))&gt;0,"MISSING",""))</f>
        <v/>
      </c>
      <c r="K131" s="2" t="str">
        <f>IF($B131="","",IF(SUMPRODUCT((CLGameID=$B131)*CLPlayed*((CLOffPts&lt;-20)+(CLOffPts&gt;90)))&gt;0,"CHECK",""))</f>
        <v/>
      </c>
      <c r="L131" s="2" t="str">
        <f t="array" ref="L131">IF($B131="","",IF(OR(ABS(IFERROR(INDEX(RatEff,MATCH($D131,RatTeams,0)),0))&gt;RatingRange,ABS(IFERROR(INDEX(RatEff,MATCH($E131,RatTeams,0)),0))&gt;RatingRange),"RANGE",""))</f>
        <v/>
      </c>
      <c r="M131" s="2" t="str">
        <f t="array" ref="M131">IF($B131="","",IF(OR(IFERROR(INDEX(CalcMoveFlag,MATCH($D131,CalcTeams,0)),"")="CAPPED",IFERROR(INDEX(CalcMoveFlag,MATCH($E131,CalcTeams,0)),"")="CAPPED"),"CAPPED",""))</f>
        <v/>
      </c>
      <c r="N131" s="2" t="str">
        <f>IF($B131="","",IF(ABS(SUMIFS(AdjSpread,AdjGameID,$B131,AdjActive,1))&gt;AdjCap,"LARGE",""))</f>
        <v/>
      </c>
      <c r="O131" s="2" t="str">
        <f t="array" ref="O131">IF($B131="","",IFERROR(INDEX(MktStale,MATCH($B131,MktGameID,0)),""))</f>
        <v/>
      </c>
      <c r="P131" s="2" t="str">
        <f t="shared" si="1"/>
        <v>READY</v>
      </c>
    </row>
    <row r="132" ht="15.0" customHeight="1">
      <c r="A132" s="2">
        <v>121.0</v>
      </c>
      <c r="B132" s="2" t="str">
        <f t="array" ref="B132">IFERROR(INDEX(SchedZone,MATCH($A132,SchedSeq,0),MAP!$B$6),"")</f>
        <v>2026_08_CHI_SEA</v>
      </c>
      <c r="C132" s="2">
        <f t="array" ref="C132">IF($B132="","",INDEX(SchedZone,MATCH($A132,SchedSeq,0),MAP!$B$4))</f>
        <v>8</v>
      </c>
      <c r="D132" s="2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2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2" t="str">
        <f>IF($B132="","",IF(COUNTIF(EngGameID,$B132)&gt;1,"DUP",""))</f>
        <v/>
      </c>
      <c r="G132" s="2" t="str">
        <f>IF($B132="","",IF(OR(COUNTIFS(EngWeek,$C132,EngAway,$D132)+COUNTIFS(EngWeek,$C132,EngHome,$D132)&gt;1,COUNTIFS(EngWeek,$C132,EngAway,$E132)+COUNTIFS(EngWeek,$C132,EngHome,$E132)&gt;1),"DUP",""))</f>
        <v/>
      </c>
      <c r="H132" s="2" t="str">
        <f>IF($B132="","",IF(OR(SUMPRODUCT((CLGameID=$B132)*CLUnmatched)&gt;0,LEFT($D132,1)="⚠",LEFT($E132,1)="⚠"),"UNMATCHED",""))</f>
        <v/>
      </c>
      <c r="I132" s="2" t="str">
        <f t="array" ref="I132">IF($B132="","",IF(OR(NOT(ISNUMBER(IFERROR(INDEX(RatEff,MATCH($D132,RatTeams,0)),"x"))),NOT(ISNUMBER(IFERROR(INDEX(RatEff,MATCH($E132,RatTeams,0)),"x")))),"MISSING",""))</f>
        <v/>
      </c>
      <c r="J132" s="2" t="str">
        <f>IF($B132="","",IF(SUMPRODUCT((CLGameID=$B132)*CLPlayed*(CLUseCur+CLUsePrev&gt;0)*(CLPlays=0))&gt;0,"MISSING",""))</f>
        <v/>
      </c>
      <c r="K132" s="2" t="str">
        <f>IF($B132="","",IF(SUMPRODUCT((CLGameID=$B132)*CLPlayed*((CLOffPts&lt;-20)+(CLOffPts&gt;90)))&gt;0,"CHECK",""))</f>
        <v/>
      </c>
      <c r="L132" s="2" t="str">
        <f t="array" ref="L132">IF($B132="","",IF(OR(ABS(IFERROR(INDEX(RatEff,MATCH($D132,RatTeams,0)),0))&gt;RatingRange,ABS(IFERROR(INDEX(RatEff,MATCH($E132,RatTeams,0)),0))&gt;RatingRange),"RANGE",""))</f>
        <v/>
      </c>
      <c r="M132" s="2" t="str">
        <f t="array" ref="M132">IF($B132="","",IF(OR(IFERROR(INDEX(CalcMoveFlag,MATCH($D132,CalcTeams,0)),"")="CAPPED",IFERROR(INDEX(CalcMoveFlag,MATCH($E132,CalcTeams,0)),"")="CAPPED"),"CAPPED",""))</f>
        <v/>
      </c>
      <c r="N132" s="2" t="str">
        <f>IF($B132="","",IF(ABS(SUMIFS(AdjSpread,AdjGameID,$B132,AdjActive,1))&gt;AdjCap,"LARGE",""))</f>
        <v/>
      </c>
      <c r="O132" s="2" t="str">
        <f t="array" ref="O132">IF($B132="","",IFERROR(INDEX(MktStale,MATCH($B132,MktGameID,0)),""))</f>
        <v/>
      </c>
      <c r="P132" s="2" t="str">
        <f t="shared" si="1"/>
        <v>READY</v>
      </c>
    </row>
    <row r="133" ht="15.0" customHeight="1">
      <c r="A133" s="2">
        <v>122.0</v>
      </c>
      <c r="B133" s="2" t="str">
        <f t="array" ref="B133">IFERROR(INDEX(SchedZone,MATCH($A133,SchedSeq,0),MAP!$B$6),"")</f>
        <v>2026_09_JAX_BAL</v>
      </c>
      <c r="C133" s="2">
        <f t="array" ref="C133">IF($B133="","",INDEX(SchedZone,MATCH($A133,SchedSeq,0),MAP!$B$4))</f>
        <v>9</v>
      </c>
      <c r="D133" s="2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2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2" t="str">
        <f>IF($B133="","",IF(COUNTIF(EngGameID,$B133)&gt;1,"DUP",""))</f>
        <v/>
      </c>
      <c r="G133" s="2" t="str">
        <f>IF($B133="","",IF(OR(COUNTIFS(EngWeek,$C133,EngAway,$D133)+COUNTIFS(EngWeek,$C133,EngHome,$D133)&gt;1,COUNTIFS(EngWeek,$C133,EngAway,$E133)+COUNTIFS(EngWeek,$C133,EngHome,$E133)&gt;1),"DUP",""))</f>
        <v/>
      </c>
      <c r="H133" s="2" t="str">
        <f>IF($B133="","",IF(OR(SUMPRODUCT((CLGameID=$B133)*CLUnmatched)&gt;0,LEFT($D133,1)="⚠",LEFT($E133,1)="⚠"),"UNMATCHED",""))</f>
        <v/>
      </c>
      <c r="I133" s="2" t="str">
        <f t="array" ref="I133">IF($B133="","",IF(OR(NOT(ISNUMBER(IFERROR(INDEX(RatEff,MATCH($D133,RatTeams,0)),"x"))),NOT(ISNUMBER(IFERROR(INDEX(RatEff,MATCH($E133,RatTeams,0)),"x")))),"MISSING",""))</f>
        <v/>
      </c>
      <c r="J133" s="2" t="str">
        <f>IF($B133="","",IF(SUMPRODUCT((CLGameID=$B133)*CLPlayed*(CLUseCur+CLUsePrev&gt;0)*(CLPlays=0))&gt;0,"MISSING",""))</f>
        <v/>
      </c>
      <c r="K133" s="2" t="str">
        <f>IF($B133="","",IF(SUMPRODUCT((CLGameID=$B133)*CLPlayed*((CLOffPts&lt;-20)+(CLOffPts&gt;90)))&gt;0,"CHECK",""))</f>
        <v/>
      </c>
      <c r="L133" s="2" t="str">
        <f t="array" ref="L133">IF($B133="","",IF(OR(ABS(IFERROR(INDEX(RatEff,MATCH($D133,RatTeams,0)),0))&gt;RatingRange,ABS(IFERROR(INDEX(RatEff,MATCH($E133,RatTeams,0)),0))&gt;RatingRange),"RANGE",""))</f>
        <v/>
      </c>
      <c r="M133" s="2" t="str">
        <f t="array" ref="M133">IF($B133="","",IF(OR(IFERROR(INDEX(CalcMoveFlag,MATCH($D133,CalcTeams,0)),"")="CAPPED",IFERROR(INDEX(CalcMoveFlag,MATCH($E133,CalcTeams,0)),"")="CAPPED"),"CAPPED",""))</f>
        <v/>
      </c>
      <c r="N133" s="2" t="str">
        <f>IF($B133="","",IF(ABS(SUMIFS(AdjSpread,AdjGameID,$B133,AdjActive,1))&gt;AdjCap,"LARGE",""))</f>
        <v/>
      </c>
      <c r="O133" s="2" t="str">
        <f t="array" ref="O133">IF($B133="","",IFERROR(INDEX(MktStale,MATCH($B133,MktGameID,0)),""))</f>
        <v/>
      </c>
      <c r="P133" s="2" t="str">
        <f t="shared" si="1"/>
        <v>READY</v>
      </c>
    </row>
    <row r="134" ht="15.0" customHeight="1">
      <c r="A134" s="2">
        <v>123.0</v>
      </c>
      <c r="B134" s="2" t="str">
        <f t="array" ref="B134">IFERROR(INDEX(SchedZone,MATCH($A134,SchedSeq,0),MAP!$B$6),"")</f>
        <v>2026_09_CIN_ATL</v>
      </c>
      <c r="C134" s="2">
        <f t="array" ref="C134">IF($B134="","",INDEX(SchedZone,MATCH($A134,SchedSeq,0),MAP!$B$4))</f>
        <v>9</v>
      </c>
      <c r="D134" s="2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2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2" t="str">
        <f>IF($B134="","",IF(COUNTIF(EngGameID,$B134)&gt;1,"DUP",""))</f>
        <v/>
      </c>
      <c r="G134" s="2" t="str">
        <f>IF($B134="","",IF(OR(COUNTIFS(EngWeek,$C134,EngAway,$D134)+COUNTIFS(EngWeek,$C134,EngHome,$D134)&gt;1,COUNTIFS(EngWeek,$C134,EngAway,$E134)+COUNTIFS(EngWeek,$C134,EngHome,$E134)&gt;1),"DUP",""))</f>
        <v/>
      </c>
      <c r="H134" s="2" t="str">
        <f>IF($B134="","",IF(OR(SUMPRODUCT((CLGameID=$B134)*CLUnmatched)&gt;0,LEFT($D134,1)="⚠",LEFT($E134,1)="⚠"),"UNMATCHED",""))</f>
        <v/>
      </c>
      <c r="I134" s="2" t="str">
        <f t="array" ref="I134">IF($B134="","",IF(OR(NOT(ISNUMBER(IFERROR(INDEX(RatEff,MATCH($D134,RatTeams,0)),"x"))),NOT(ISNUMBER(IFERROR(INDEX(RatEff,MATCH($E134,RatTeams,0)),"x")))),"MISSING",""))</f>
        <v/>
      </c>
      <c r="J134" s="2" t="str">
        <f>IF($B134="","",IF(SUMPRODUCT((CLGameID=$B134)*CLPlayed*(CLUseCur+CLUsePrev&gt;0)*(CLPlays=0))&gt;0,"MISSING",""))</f>
        <v/>
      </c>
      <c r="K134" s="2" t="str">
        <f>IF($B134="","",IF(SUMPRODUCT((CLGameID=$B134)*CLPlayed*((CLOffPts&lt;-20)+(CLOffPts&gt;90)))&gt;0,"CHECK",""))</f>
        <v/>
      </c>
      <c r="L134" s="2" t="str">
        <f t="array" ref="L134">IF($B134="","",IF(OR(ABS(IFERROR(INDEX(RatEff,MATCH($D134,RatTeams,0)),0))&gt;RatingRange,ABS(IFERROR(INDEX(RatEff,MATCH($E134,RatTeams,0)),0))&gt;RatingRange),"RANGE",""))</f>
        <v/>
      </c>
      <c r="M134" s="2" t="str">
        <f t="array" ref="M134">IF($B134="","",IF(OR(IFERROR(INDEX(CalcMoveFlag,MATCH($D134,CalcTeams,0)),"")="CAPPED",IFERROR(INDEX(CalcMoveFlag,MATCH($E134,CalcTeams,0)),"")="CAPPED"),"CAPPED",""))</f>
        <v/>
      </c>
      <c r="N134" s="2" t="str">
        <f>IF($B134="","",IF(ABS(SUMIFS(AdjSpread,AdjGameID,$B134,AdjActive,1))&gt;AdjCap,"LARGE",""))</f>
        <v/>
      </c>
      <c r="O134" s="2" t="str">
        <f t="array" ref="O134">IF($B134="","",IFERROR(INDEX(MktStale,MATCH($B134,MktGameID,0)),""))</f>
        <v/>
      </c>
      <c r="P134" s="2" t="str">
        <f t="shared" si="1"/>
        <v>READY</v>
      </c>
    </row>
    <row r="135" ht="15.0" customHeight="1">
      <c r="A135" s="2">
        <v>124.0</v>
      </c>
      <c r="B135" s="2" t="str">
        <f t="array" ref="B135">IFERROR(INDEX(SchedZone,MATCH($A135,SchedSeq,0),MAP!$B$6),"")</f>
        <v>2026_09_DEN_CAR</v>
      </c>
      <c r="C135" s="2">
        <f t="array" ref="C135">IF($B135="","",INDEX(SchedZone,MATCH($A135,SchedSeq,0),MAP!$B$4))</f>
        <v>9</v>
      </c>
      <c r="D135" s="2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2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2" t="str">
        <f>IF($B135="","",IF(COUNTIF(EngGameID,$B135)&gt;1,"DUP",""))</f>
        <v/>
      </c>
      <c r="G135" s="2" t="str">
        <f>IF($B135="","",IF(OR(COUNTIFS(EngWeek,$C135,EngAway,$D135)+COUNTIFS(EngWeek,$C135,EngHome,$D135)&gt;1,COUNTIFS(EngWeek,$C135,EngAway,$E135)+COUNTIFS(EngWeek,$C135,EngHome,$E135)&gt;1),"DUP",""))</f>
        <v/>
      </c>
      <c r="H135" s="2" t="str">
        <f>IF($B135="","",IF(OR(SUMPRODUCT((CLGameID=$B135)*CLUnmatched)&gt;0,LEFT($D135,1)="⚠",LEFT($E135,1)="⚠"),"UNMATCHED",""))</f>
        <v/>
      </c>
      <c r="I135" s="2" t="str">
        <f t="array" ref="I135">IF($B135="","",IF(OR(NOT(ISNUMBER(IFERROR(INDEX(RatEff,MATCH($D135,RatTeams,0)),"x"))),NOT(ISNUMBER(IFERROR(INDEX(RatEff,MATCH($E135,RatTeams,0)),"x")))),"MISSING",""))</f>
        <v/>
      </c>
      <c r="J135" s="2" t="str">
        <f>IF($B135="","",IF(SUMPRODUCT((CLGameID=$B135)*CLPlayed*(CLUseCur+CLUsePrev&gt;0)*(CLPlays=0))&gt;0,"MISSING",""))</f>
        <v/>
      </c>
      <c r="K135" s="2" t="str">
        <f>IF($B135="","",IF(SUMPRODUCT((CLGameID=$B135)*CLPlayed*((CLOffPts&lt;-20)+(CLOffPts&gt;90)))&gt;0,"CHECK",""))</f>
        <v/>
      </c>
      <c r="L135" s="2" t="str">
        <f t="array" ref="L135">IF($B135="","",IF(OR(ABS(IFERROR(INDEX(RatEff,MATCH($D135,RatTeams,0)),0))&gt;RatingRange,ABS(IFERROR(INDEX(RatEff,MATCH($E135,RatTeams,0)),0))&gt;RatingRange),"RANGE",""))</f>
        <v/>
      </c>
      <c r="M135" s="2" t="str">
        <f t="array" ref="M135">IF($B135="","",IF(OR(IFERROR(INDEX(CalcMoveFlag,MATCH($D135,CalcTeams,0)),"")="CAPPED",IFERROR(INDEX(CalcMoveFlag,MATCH($E135,CalcTeams,0)),"")="CAPPED"),"CAPPED",""))</f>
        <v/>
      </c>
      <c r="N135" s="2" t="str">
        <f>IF($B135="","",IF(ABS(SUMIFS(AdjSpread,AdjGameID,$B135,AdjActive,1))&gt;AdjCap,"LARGE",""))</f>
        <v/>
      </c>
      <c r="O135" s="2" t="str">
        <f t="array" ref="O135">IF($B135="","",IFERROR(INDEX(MktStale,MATCH($B135,MktGameID,0)),""))</f>
        <v/>
      </c>
      <c r="P135" s="2" t="str">
        <f t="shared" si="1"/>
        <v>READY</v>
      </c>
    </row>
    <row r="136" ht="15.0" customHeight="1">
      <c r="A136" s="2">
        <v>125.0</v>
      </c>
      <c r="B136" s="2" t="str">
        <f t="array" ref="B136">IFERROR(INDEX(SchedZone,MATCH($A136,SchedSeq,0),MAP!$B$6),"")</f>
        <v>2026_09_DAL_IND</v>
      </c>
      <c r="C136" s="2">
        <f t="array" ref="C136">IF($B136="","",INDEX(SchedZone,MATCH($A136,SchedSeq,0),MAP!$B$4))</f>
        <v>9</v>
      </c>
      <c r="D136" s="2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2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2" t="str">
        <f>IF($B136="","",IF(COUNTIF(EngGameID,$B136)&gt;1,"DUP",""))</f>
        <v/>
      </c>
      <c r="G136" s="2" t="str">
        <f>IF($B136="","",IF(OR(COUNTIFS(EngWeek,$C136,EngAway,$D136)+COUNTIFS(EngWeek,$C136,EngHome,$D136)&gt;1,COUNTIFS(EngWeek,$C136,EngAway,$E136)+COUNTIFS(EngWeek,$C136,EngHome,$E136)&gt;1),"DUP",""))</f>
        <v/>
      </c>
      <c r="H136" s="2" t="str">
        <f>IF($B136="","",IF(OR(SUMPRODUCT((CLGameID=$B136)*CLUnmatched)&gt;0,LEFT($D136,1)="⚠",LEFT($E136,1)="⚠"),"UNMATCHED",""))</f>
        <v/>
      </c>
      <c r="I136" s="2" t="str">
        <f t="array" ref="I136">IF($B136="","",IF(OR(NOT(ISNUMBER(IFERROR(INDEX(RatEff,MATCH($D136,RatTeams,0)),"x"))),NOT(ISNUMBER(IFERROR(INDEX(RatEff,MATCH($E136,RatTeams,0)),"x")))),"MISSING",""))</f>
        <v/>
      </c>
      <c r="J136" s="2" t="str">
        <f>IF($B136="","",IF(SUMPRODUCT((CLGameID=$B136)*CLPlayed*(CLUseCur+CLUsePrev&gt;0)*(CLPlays=0))&gt;0,"MISSING",""))</f>
        <v/>
      </c>
      <c r="K136" s="2" t="str">
        <f>IF($B136="","",IF(SUMPRODUCT((CLGameID=$B136)*CLPlayed*((CLOffPts&lt;-20)+(CLOffPts&gt;90)))&gt;0,"CHECK",""))</f>
        <v/>
      </c>
      <c r="L136" s="2" t="str">
        <f t="array" ref="L136">IF($B136="","",IF(OR(ABS(IFERROR(INDEX(RatEff,MATCH($D136,RatTeams,0)),0))&gt;RatingRange,ABS(IFERROR(INDEX(RatEff,MATCH($E136,RatTeams,0)),0))&gt;RatingRange),"RANGE",""))</f>
        <v/>
      </c>
      <c r="M136" s="2" t="str">
        <f t="array" ref="M136">IF($B136="","",IF(OR(IFERROR(INDEX(CalcMoveFlag,MATCH($D136,CalcTeams,0)),"")="CAPPED",IFERROR(INDEX(CalcMoveFlag,MATCH($E136,CalcTeams,0)),"")="CAPPED"),"CAPPED",""))</f>
        <v/>
      </c>
      <c r="N136" s="2" t="str">
        <f>IF($B136="","",IF(ABS(SUMIFS(AdjSpread,AdjGameID,$B136,AdjActive,1))&gt;AdjCap,"LARGE",""))</f>
        <v/>
      </c>
      <c r="O136" s="2" t="str">
        <f t="array" ref="O136">IF($B136="","",IFERROR(INDEX(MktStale,MATCH($B136,MktGameID,0)),""))</f>
        <v/>
      </c>
      <c r="P136" s="2" t="str">
        <f t="shared" si="1"/>
        <v>READY</v>
      </c>
    </row>
    <row r="137" ht="15.0" customHeight="1">
      <c r="A137" s="2">
        <v>126.0</v>
      </c>
      <c r="B137" s="2" t="str">
        <f t="array" ref="B137">IFERROR(INDEX(SchedZone,MATCH($A137,SchedSeq,0),MAP!$B$6),"")</f>
        <v>2026_09_NYJ_KC</v>
      </c>
      <c r="C137" s="2">
        <f t="array" ref="C137">IF($B137="","",INDEX(SchedZone,MATCH($A137,SchedSeq,0),MAP!$B$4))</f>
        <v>9</v>
      </c>
      <c r="D137" s="2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2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2" t="str">
        <f>IF($B137="","",IF(COUNTIF(EngGameID,$B137)&gt;1,"DUP",""))</f>
        <v/>
      </c>
      <c r="G137" s="2" t="str">
        <f>IF($B137="","",IF(OR(COUNTIFS(EngWeek,$C137,EngAway,$D137)+COUNTIFS(EngWeek,$C137,EngHome,$D137)&gt;1,COUNTIFS(EngWeek,$C137,EngAway,$E137)+COUNTIFS(EngWeek,$C137,EngHome,$E137)&gt;1),"DUP",""))</f>
        <v/>
      </c>
      <c r="H137" s="2" t="str">
        <f>IF($B137="","",IF(OR(SUMPRODUCT((CLGameID=$B137)*CLUnmatched)&gt;0,LEFT($D137,1)="⚠",LEFT($E137,1)="⚠"),"UNMATCHED",""))</f>
        <v/>
      </c>
      <c r="I137" s="2" t="str">
        <f t="array" ref="I137">IF($B137="","",IF(OR(NOT(ISNUMBER(IFERROR(INDEX(RatEff,MATCH($D137,RatTeams,0)),"x"))),NOT(ISNUMBER(IFERROR(INDEX(RatEff,MATCH($E137,RatTeams,0)),"x")))),"MISSING",""))</f>
        <v/>
      </c>
      <c r="J137" s="2" t="str">
        <f>IF($B137="","",IF(SUMPRODUCT((CLGameID=$B137)*CLPlayed*(CLUseCur+CLUsePrev&gt;0)*(CLPlays=0))&gt;0,"MISSING",""))</f>
        <v/>
      </c>
      <c r="K137" s="2" t="str">
        <f>IF($B137="","",IF(SUMPRODUCT((CLGameID=$B137)*CLPlayed*((CLOffPts&lt;-20)+(CLOffPts&gt;90)))&gt;0,"CHECK",""))</f>
        <v/>
      </c>
      <c r="L137" s="2" t="str">
        <f t="array" ref="L137">IF($B137="","",IF(OR(ABS(IFERROR(INDEX(RatEff,MATCH($D137,RatTeams,0)),0))&gt;RatingRange,ABS(IFERROR(INDEX(RatEff,MATCH($E137,RatTeams,0)),0))&gt;RatingRange),"RANGE",""))</f>
        <v/>
      </c>
      <c r="M137" s="2" t="str">
        <f t="array" ref="M137">IF($B137="","",IF(OR(IFERROR(INDEX(CalcMoveFlag,MATCH($D137,CalcTeams,0)),"")="CAPPED",IFERROR(INDEX(CalcMoveFlag,MATCH($E137,CalcTeams,0)),"")="CAPPED"),"CAPPED",""))</f>
        <v/>
      </c>
      <c r="N137" s="2" t="str">
        <f>IF($B137="","",IF(ABS(SUMIFS(AdjSpread,AdjGameID,$B137,AdjActive,1))&gt;AdjCap,"LARGE",""))</f>
        <v/>
      </c>
      <c r="O137" s="2" t="str">
        <f t="array" ref="O137">IF($B137="","",IFERROR(INDEX(MktStale,MATCH($B137,MktGameID,0)),""))</f>
        <v/>
      </c>
      <c r="P137" s="2" t="str">
        <f t="shared" si="1"/>
        <v>READY</v>
      </c>
    </row>
    <row r="138" ht="15.0" customHeight="1">
      <c r="A138" s="2">
        <v>127.0</v>
      </c>
      <c r="B138" s="2" t="str">
        <f t="array" ref="B138">IFERROR(INDEX(SchedZone,MATCH($A138,SchedSeq,0),MAP!$B$6),"")</f>
        <v>2026_09_DET_MIA</v>
      </c>
      <c r="C138" s="2">
        <f t="array" ref="C138">IF($B138="","",INDEX(SchedZone,MATCH($A138,SchedSeq,0),MAP!$B$4))</f>
        <v>9</v>
      </c>
      <c r="D138" s="2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2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2" t="str">
        <f>IF($B138="","",IF(COUNTIF(EngGameID,$B138)&gt;1,"DUP",""))</f>
        <v/>
      </c>
      <c r="G138" s="2" t="str">
        <f>IF($B138="","",IF(OR(COUNTIFS(EngWeek,$C138,EngAway,$D138)+COUNTIFS(EngWeek,$C138,EngHome,$D138)&gt;1,COUNTIFS(EngWeek,$C138,EngAway,$E138)+COUNTIFS(EngWeek,$C138,EngHome,$E138)&gt;1),"DUP",""))</f>
        <v/>
      </c>
      <c r="H138" s="2" t="str">
        <f>IF($B138="","",IF(OR(SUMPRODUCT((CLGameID=$B138)*CLUnmatched)&gt;0,LEFT($D138,1)="⚠",LEFT($E138,1)="⚠"),"UNMATCHED",""))</f>
        <v/>
      </c>
      <c r="I138" s="2" t="str">
        <f t="array" ref="I138">IF($B138="","",IF(OR(NOT(ISNUMBER(IFERROR(INDEX(RatEff,MATCH($D138,RatTeams,0)),"x"))),NOT(ISNUMBER(IFERROR(INDEX(RatEff,MATCH($E138,RatTeams,0)),"x")))),"MISSING",""))</f>
        <v/>
      </c>
      <c r="J138" s="2" t="str">
        <f>IF($B138="","",IF(SUMPRODUCT((CLGameID=$B138)*CLPlayed*(CLUseCur+CLUsePrev&gt;0)*(CLPlays=0))&gt;0,"MISSING",""))</f>
        <v/>
      </c>
      <c r="K138" s="2" t="str">
        <f>IF($B138="","",IF(SUMPRODUCT((CLGameID=$B138)*CLPlayed*((CLOffPts&lt;-20)+(CLOffPts&gt;90)))&gt;0,"CHECK",""))</f>
        <v/>
      </c>
      <c r="L138" s="2" t="str">
        <f t="array" ref="L138">IF($B138="","",IF(OR(ABS(IFERROR(INDEX(RatEff,MATCH($D138,RatTeams,0)),0))&gt;RatingRange,ABS(IFERROR(INDEX(RatEff,MATCH($E138,RatTeams,0)),0))&gt;RatingRange),"RANGE",""))</f>
        <v/>
      </c>
      <c r="M138" s="2" t="str">
        <f t="array" ref="M138">IF($B138="","",IF(OR(IFERROR(INDEX(CalcMoveFlag,MATCH($D138,CalcTeams,0)),"")="CAPPED",IFERROR(INDEX(CalcMoveFlag,MATCH($E138,CalcTeams,0)),"")="CAPPED"),"CAPPED",""))</f>
        <v/>
      </c>
      <c r="N138" s="2" t="str">
        <f>IF($B138="","",IF(ABS(SUMIFS(AdjSpread,AdjGameID,$B138,AdjActive,1))&gt;AdjCap,"LARGE",""))</f>
        <v/>
      </c>
      <c r="O138" s="2" t="str">
        <f t="array" ref="O138">IF($B138="","",IFERROR(INDEX(MktStale,MATCH($B138,MktGameID,0)),""))</f>
        <v/>
      </c>
      <c r="P138" s="2" t="str">
        <f t="shared" si="1"/>
        <v>READY</v>
      </c>
    </row>
    <row r="139" ht="15.0" customHeight="1">
      <c r="A139" s="2">
        <v>128.0</v>
      </c>
      <c r="B139" s="2" t="str">
        <f t="array" ref="B139">IFERROR(INDEX(SchedZone,MATCH($A139,SchedSeq,0),MAP!$B$6),"")</f>
        <v>2026_09_CLE_NO</v>
      </c>
      <c r="C139" s="2">
        <f t="array" ref="C139">IF($B139="","",INDEX(SchedZone,MATCH($A139,SchedSeq,0),MAP!$B$4))</f>
        <v>9</v>
      </c>
      <c r="D139" s="2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2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2" t="str">
        <f>IF($B139="","",IF(COUNTIF(EngGameID,$B139)&gt;1,"DUP",""))</f>
        <v/>
      </c>
      <c r="G139" s="2" t="str">
        <f>IF($B139="","",IF(OR(COUNTIFS(EngWeek,$C139,EngAway,$D139)+COUNTIFS(EngWeek,$C139,EngHome,$D139)&gt;1,COUNTIFS(EngWeek,$C139,EngAway,$E139)+COUNTIFS(EngWeek,$C139,EngHome,$E139)&gt;1),"DUP",""))</f>
        <v/>
      </c>
      <c r="H139" s="2" t="str">
        <f>IF($B139="","",IF(OR(SUMPRODUCT((CLGameID=$B139)*CLUnmatched)&gt;0,LEFT($D139,1)="⚠",LEFT($E139,1)="⚠"),"UNMATCHED",""))</f>
        <v/>
      </c>
      <c r="I139" s="2" t="str">
        <f t="array" ref="I139">IF($B139="","",IF(OR(NOT(ISNUMBER(IFERROR(INDEX(RatEff,MATCH($D139,RatTeams,0)),"x"))),NOT(ISNUMBER(IFERROR(INDEX(RatEff,MATCH($E139,RatTeams,0)),"x")))),"MISSING",""))</f>
        <v/>
      </c>
      <c r="J139" s="2" t="str">
        <f>IF($B139="","",IF(SUMPRODUCT((CLGameID=$B139)*CLPlayed*(CLUseCur+CLUsePrev&gt;0)*(CLPlays=0))&gt;0,"MISSING",""))</f>
        <v/>
      </c>
      <c r="K139" s="2" t="str">
        <f>IF($B139="","",IF(SUMPRODUCT((CLGameID=$B139)*CLPlayed*((CLOffPts&lt;-20)+(CLOffPts&gt;90)))&gt;0,"CHECK",""))</f>
        <v/>
      </c>
      <c r="L139" s="2" t="str">
        <f t="array" ref="L139">IF($B139="","",IF(OR(ABS(IFERROR(INDEX(RatEff,MATCH($D139,RatTeams,0)),0))&gt;RatingRange,ABS(IFERROR(INDEX(RatEff,MATCH($E139,RatTeams,0)),0))&gt;RatingRange),"RANGE",""))</f>
        <v/>
      </c>
      <c r="M139" s="2" t="str">
        <f t="array" ref="M139">IF($B139="","",IF(OR(IFERROR(INDEX(CalcMoveFlag,MATCH($D139,CalcTeams,0)),"")="CAPPED",IFERROR(INDEX(CalcMoveFlag,MATCH($E139,CalcTeams,0)),"")="CAPPED"),"CAPPED",""))</f>
        <v/>
      </c>
      <c r="N139" s="2" t="str">
        <f>IF($B139="","",IF(ABS(SUMIFS(AdjSpread,AdjGameID,$B139,AdjActive,1))&gt;AdjCap,"LARGE",""))</f>
        <v/>
      </c>
      <c r="O139" s="2" t="str">
        <f t="array" ref="O139">IF($B139="","",IFERROR(INDEX(MktStale,MATCH($B139,MktGameID,0)),""))</f>
        <v/>
      </c>
      <c r="P139" s="2" t="str">
        <f t="shared" si="1"/>
        <v>READY</v>
      </c>
    </row>
    <row r="140" ht="15.0" customHeight="1">
      <c r="A140" s="2">
        <v>129.0</v>
      </c>
      <c r="B140" s="2" t="str">
        <f t="array" ref="B140">IFERROR(INDEX(SchedZone,MATCH($A140,SchedSeq,0),MAP!$B$6),"")</f>
        <v>2026_09_NYG_PHI</v>
      </c>
      <c r="C140" s="2">
        <f t="array" ref="C140">IF($B140="","",INDEX(SchedZone,MATCH($A140,SchedSeq,0),MAP!$B$4))</f>
        <v>9</v>
      </c>
      <c r="D140" s="2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2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2" t="str">
        <f>IF($B140="","",IF(COUNTIF(EngGameID,$B140)&gt;1,"DUP",""))</f>
        <v/>
      </c>
      <c r="G140" s="2" t="str">
        <f>IF($B140="","",IF(OR(COUNTIFS(EngWeek,$C140,EngAway,$D140)+COUNTIFS(EngWeek,$C140,EngHome,$D140)&gt;1,COUNTIFS(EngWeek,$C140,EngAway,$E140)+COUNTIFS(EngWeek,$C140,EngHome,$E140)&gt;1),"DUP",""))</f>
        <v/>
      </c>
      <c r="H140" s="2" t="str">
        <f>IF($B140="","",IF(OR(SUMPRODUCT((CLGameID=$B140)*CLUnmatched)&gt;0,LEFT($D140,1)="⚠",LEFT($E140,1)="⚠"),"UNMATCHED",""))</f>
        <v/>
      </c>
      <c r="I140" s="2" t="str">
        <f t="array" ref="I140">IF($B140="","",IF(OR(NOT(ISNUMBER(IFERROR(INDEX(RatEff,MATCH($D140,RatTeams,0)),"x"))),NOT(ISNUMBER(IFERROR(INDEX(RatEff,MATCH($E140,RatTeams,0)),"x")))),"MISSING",""))</f>
        <v/>
      </c>
      <c r="J140" s="2" t="str">
        <f>IF($B140="","",IF(SUMPRODUCT((CLGameID=$B140)*CLPlayed*(CLUseCur+CLUsePrev&gt;0)*(CLPlays=0))&gt;0,"MISSING",""))</f>
        <v/>
      </c>
      <c r="K140" s="2" t="str">
        <f>IF($B140="","",IF(SUMPRODUCT((CLGameID=$B140)*CLPlayed*((CLOffPts&lt;-20)+(CLOffPts&gt;90)))&gt;0,"CHECK",""))</f>
        <v/>
      </c>
      <c r="L140" s="2" t="str">
        <f t="array" ref="L140">IF($B140="","",IF(OR(ABS(IFERROR(INDEX(RatEff,MATCH($D140,RatTeams,0)),0))&gt;RatingRange,ABS(IFERROR(INDEX(RatEff,MATCH($E140,RatTeams,0)),0))&gt;RatingRange),"RANGE",""))</f>
        <v/>
      </c>
      <c r="M140" s="2" t="str">
        <f t="array" ref="M140">IF($B140="","",IF(OR(IFERROR(INDEX(CalcMoveFlag,MATCH($D140,CalcTeams,0)),"")="CAPPED",IFERROR(INDEX(CalcMoveFlag,MATCH($E140,CalcTeams,0)),"")="CAPPED"),"CAPPED",""))</f>
        <v/>
      </c>
      <c r="N140" s="2" t="str">
        <f>IF($B140="","",IF(ABS(SUMIFS(AdjSpread,AdjGameID,$B140,AdjActive,1))&gt;AdjCap,"LARGE",""))</f>
        <v/>
      </c>
      <c r="O140" s="2" t="str">
        <f t="array" ref="O140">IF($B140="","",IFERROR(INDEX(MktStale,MATCH($B140,MktGameID,0)),""))</f>
        <v/>
      </c>
      <c r="P140" s="2" t="str">
        <f t="shared" si="1"/>
        <v>READY</v>
      </c>
    </row>
    <row r="141" ht="15.0" customHeight="1">
      <c r="A141" s="2">
        <v>130.0</v>
      </c>
      <c r="B141" s="2" t="str">
        <f t="array" ref="B141">IFERROR(INDEX(SchedZone,MATCH($A141,SchedSeq,0),MAP!$B$6),"")</f>
        <v>2026_09_LA_WAS</v>
      </c>
      <c r="C141" s="2">
        <f t="array" ref="C141">IF($B141="","",INDEX(SchedZone,MATCH($A141,SchedSeq,0),MAP!$B$4))</f>
        <v>9</v>
      </c>
      <c r="D141" s="2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2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2" t="str">
        <f>IF($B141="","",IF(COUNTIF(EngGameID,$B141)&gt;1,"DUP",""))</f>
        <v/>
      </c>
      <c r="G141" s="2" t="str">
        <f>IF($B141="","",IF(OR(COUNTIFS(EngWeek,$C141,EngAway,$D141)+COUNTIFS(EngWeek,$C141,EngHome,$D141)&gt;1,COUNTIFS(EngWeek,$C141,EngAway,$E141)+COUNTIFS(EngWeek,$C141,EngHome,$E141)&gt;1),"DUP",""))</f>
        <v/>
      </c>
      <c r="H141" s="2" t="str">
        <f>IF($B141="","",IF(OR(SUMPRODUCT((CLGameID=$B141)*CLUnmatched)&gt;0,LEFT($D141,1)="⚠",LEFT($E141,1)="⚠"),"UNMATCHED",""))</f>
        <v/>
      </c>
      <c r="I141" s="2" t="str">
        <f t="array" ref="I141">IF($B141="","",IF(OR(NOT(ISNUMBER(IFERROR(INDEX(RatEff,MATCH($D141,RatTeams,0)),"x"))),NOT(ISNUMBER(IFERROR(INDEX(RatEff,MATCH($E141,RatTeams,0)),"x")))),"MISSING",""))</f>
        <v/>
      </c>
      <c r="J141" s="2" t="str">
        <f>IF($B141="","",IF(SUMPRODUCT((CLGameID=$B141)*CLPlayed*(CLUseCur+CLUsePrev&gt;0)*(CLPlays=0))&gt;0,"MISSING",""))</f>
        <v/>
      </c>
      <c r="K141" s="2" t="str">
        <f>IF($B141="","",IF(SUMPRODUCT((CLGameID=$B141)*CLPlayed*((CLOffPts&lt;-20)+(CLOffPts&gt;90)))&gt;0,"CHECK",""))</f>
        <v/>
      </c>
      <c r="L141" s="2" t="str">
        <f t="array" ref="L141">IF($B141="","",IF(OR(ABS(IFERROR(INDEX(RatEff,MATCH($D141,RatTeams,0)),0))&gt;RatingRange,ABS(IFERROR(INDEX(RatEff,MATCH($E141,RatTeams,0)),0))&gt;RatingRange),"RANGE",""))</f>
        <v/>
      </c>
      <c r="M141" s="2" t="str">
        <f t="array" ref="M141">IF($B141="","",IF(OR(IFERROR(INDEX(CalcMoveFlag,MATCH($D141,CalcTeams,0)),"")="CAPPED",IFERROR(INDEX(CalcMoveFlag,MATCH($E141,CalcTeams,0)),"")="CAPPED"),"CAPPED",""))</f>
        <v/>
      </c>
      <c r="N141" s="2" t="str">
        <f>IF($B141="","",IF(ABS(SUMIFS(AdjSpread,AdjGameID,$B141,AdjActive,1))&gt;AdjCap,"LARGE",""))</f>
        <v/>
      </c>
      <c r="O141" s="2" t="str">
        <f t="array" ref="O141">IF($B141="","",IFERROR(INDEX(MktStale,MATCH($B141,MktGameID,0)),""))</f>
        <v/>
      </c>
      <c r="P141" s="2" t="str">
        <f t="shared" si="1"/>
        <v>READY</v>
      </c>
    </row>
    <row r="142" ht="15.0" customHeight="1">
      <c r="A142" s="2">
        <v>131.0</v>
      </c>
      <c r="B142" s="2" t="str">
        <f t="array" ref="B142">IFERROR(INDEX(SchedZone,MATCH($A142,SchedSeq,0),MAP!$B$6),"")</f>
        <v>2026_09_HOU_LAC</v>
      </c>
      <c r="C142" s="2">
        <f t="array" ref="C142">IF($B142="","",INDEX(SchedZone,MATCH($A142,SchedSeq,0),MAP!$B$4))</f>
        <v>9</v>
      </c>
      <c r="D142" s="2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2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2" t="str">
        <f>IF($B142="","",IF(COUNTIF(EngGameID,$B142)&gt;1,"DUP",""))</f>
        <v/>
      </c>
      <c r="G142" s="2" t="str">
        <f>IF($B142="","",IF(OR(COUNTIFS(EngWeek,$C142,EngAway,$D142)+COUNTIFS(EngWeek,$C142,EngHome,$D142)&gt;1,COUNTIFS(EngWeek,$C142,EngAway,$E142)+COUNTIFS(EngWeek,$C142,EngHome,$E142)&gt;1),"DUP",""))</f>
        <v/>
      </c>
      <c r="H142" s="2" t="str">
        <f>IF($B142="","",IF(OR(SUMPRODUCT((CLGameID=$B142)*CLUnmatched)&gt;0,LEFT($D142,1)="⚠",LEFT($E142,1)="⚠"),"UNMATCHED",""))</f>
        <v/>
      </c>
      <c r="I142" s="2" t="str">
        <f t="array" ref="I142">IF($B142="","",IF(OR(NOT(ISNUMBER(IFERROR(INDEX(RatEff,MATCH($D142,RatTeams,0)),"x"))),NOT(ISNUMBER(IFERROR(INDEX(RatEff,MATCH($E142,RatTeams,0)),"x")))),"MISSING",""))</f>
        <v/>
      </c>
      <c r="J142" s="2" t="str">
        <f>IF($B142="","",IF(SUMPRODUCT((CLGameID=$B142)*CLPlayed*(CLUseCur+CLUsePrev&gt;0)*(CLPlays=0))&gt;0,"MISSING",""))</f>
        <v/>
      </c>
      <c r="K142" s="2" t="str">
        <f>IF($B142="","",IF(SUMPRODUCT((CLGameID=$B142)*CLPlayed*((CLOffPts&lt;-20)+(CLOffPts&gt;90)))&gt;0,"CHECK",""))</f>
        <v/>
      </c>
      <c r="L142" s="2" t="str">
        <f t="array" ref="L142">IF($B142="","",IF(OR(ABS(IFERROR(INDEX(RatEff,MATCH($D142,RatTeams,0)),0))&gt;RatingRange,ABS(IFERROR(INDEX(RatEff,MATCH($E142,RatTeams,0)),0))&gt;RatingRange),"RANGE",""))</f>
        <v/>
      </c>
      <c r="M142" s="2" t="str">
        <f t="array" ref="M142">IF($B142="","",IF(OR(IFERROR(INDEX(CalcMoveFlag,MATCH($D142,CalcTeams,0)),"")="CAPPED",IFERROR(INDEX(CalcMoveFlag,MATCH($E142,CalcTeams,0)),"")="CAPPED"),"CAPPED",""))</f>
        <v/>
      </c>
      <c r="N142" s="2" t="str">
        <f>IF($B142="","",IF(ABS(SUMIFS(AdjSpread,AdjGameID,$B142,AdjActive,1))&gt;AdjCap,"LARGE",""))</f>
        <v/>
      </c>
      <c r="O142" s="2" t="str">
        <f t="array" ref="O142">IF($B142="","",IFERROR(INDEX(MktStale,MATCH($B142,MktGameID,0)),""))</f>
        <v/>
      </c>
      <c r="P142" s="2" t="str">
        <f t="shared" si="1"/>
        <v>READY</v>
      </c>
    </row>
    <row r="143" ht="15.0" customHeight="1">
      <c r="A143" s="2">
        <v>132.0</v>
      </c>
      <c r="B143" s="2" t="str">
        <f t="array" ref="B143">IFERROR(INDEX(SchedZone,MATCH($A143,SchedSeq,0),MAP!$B$6),"")</f>
        <v>2026_09_LV_SF</v>
      </c>
      <c r="C143" s="2">
        <f t="array" ref="C143">IF($B143="","",INDEX(SchedZone,MATCH($A143,SchedSeq,0),MAP!$B$4))</f>
        <v>9</v>
      </c>
      <c r="D143" s="2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2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2" t="str">
        <f>IF($B143="","",IF(COUNTIF(EngGameID,$B143)&gt;1,"DUP",""))</f>
        <v/>
      </c>
      <c r="G143" s="2" t="str">
        <f>IF($B143="","",IF(OR(COUNTIFS(EngWeek,$C143,EngAway,$D143)+COUNTIFS(EngWeek,$C143,EngHome,$D143)&gt;1,COUNTIFS(EngWeek,$C143,EngAway,$E143)+COUNTIFS(EngWeek,$C143,EngHome,$E143)&gt;1),"DUP",""))</f>
        <v/>
      </c>
      <c r="H143" s="2" t="str">
        <f>IF($B143="","",IF(OR(SUMPRODUCT((CLGameID=$B143)*CLUnmatched)&gt;0,LEFT($D143,1)="⚠",LEFT($E143,1)="⚠"),"UNMATCHED",""))</f>
        <v/>
      </c>
      <c r="I143" s="2" t="str">
        <f t="array" ref="I143">IF($B143="","",IF(OR(NOT(ISNUMBER(IFERROR(INDEX(RatEff,MATCH($D143,RatTeams,0)),"x"))),NOT(ISNUMBER(IFERROR(INDEX(RatEff,MATCH($E143,RatTeams,0)),"x")))),"MISSING",""))</f>
        <v/>
      </c>
      <c r="J143" s="2" t="str">
        <f>IF($B143="","",IF(SUMPRODUCT((CLGameID=$B143)*CLPlayed*(CLUseCur+CLUsePrev&gt;0)*(CLPlays=0))&gt;0,"MISSING",""))</f>
        <v/>
      </c>
      <c r="K143" s="2" t="str">
        <f>IF($B143="","",IF(SUMPRODUCT((CLGameID=$B143)*CLPlayed*((CLOffPts&lt;-20)+(CLOffPts&gt;90)))&gt;0,"CHECK",""))</f>
        <v/>
      </c>
      <c r="L143" s="2" t="str">
        <f t="array" ref="L143">IF($B143="","",IF(OR(ABS(IFERROR(INDEX(RatEff,MATCH($D143,RatTeams,0)),0))&gt;RatingRange,ABS(IFERROR(INDEX(RatEff,MATCH($E143,RatTeams,0)),0))&gt;RatingRange),"RANGE",""))</f>
        <v/>
      </c>
      <c r="M143" s="2" t="str">
        <f t="array" ref="M143">IF($B143="","",IF(OR(IFERROR(INDEX(CalcMoveFlag,MATCH($D143,CalcTeams,0)),"")="CAPPED",IFERROR(INDEX(CalcMoveFlag,MATCH($E143,CalcTeams,0)),"")="CAPPED"),"CAPPED",""))</f>
        <v/>
      </c>
      <c r="N143" s="2" t="str">
        <f>IF($B143="","",IF(ABS(SUMIFS(AdjSpread,AdjGameID,$B143,AdjActive,1))&gt;AdjCap,"LARGE",""))</f>
        <v/>
      </c>
      <c r="O143" s="2" t="str">
        <f t="array" ref="O143">IF($B143="","",IFERROR(INDEX(MktStale,MATCH($B143,MktGameID,0)),""))</f>
        <v/>
      </c>
      <c r="P143" s="2" t="str">
        <f t="shared" si="1"/>
        <v>READY</v>
      </c>
    </row>
    <row r="144" ht="15.0" customHeight="1">
      <c r="A144" s="2">
        <v>133.0</v>
      </c>
      <c r="B144" s="2" t="str">
        <f t="array" ref="B144">IFERROR(INDEX(SchedZone,MATCH($A144,SchedSeq,0),MAP!$B$6),"")</f>
        <v>2026_09_GB_NE</v>
      </c>
      <c r="C144" s="2">
        <f t="array" ref="C144">IF($B144="","",INDEX(SchedZone,MATCH($A144,SchedSeq,0),MAP!$B$4))</f>
        <v>9</v>
      </c>
      <c r="D144" s="2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2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2" t="str">
        <f>IF($B144="","",IF(COUNTIF(EngGameID,$B144)&gt;1,"DUP",""))</f>
        <v/>
      </c>
      <c r="G144" s="2" t="str">
        <f>IF($B144="","",IF(OR(COUNTIFS(EngWeek,$C144,EngAway,$D144)+COUNTIFS(EngWeek,$C144,EngHome,$D144)&gt;1,COUNTIFS(EngWeek,$C144,EngAway,$E144)+COUNTIFS(EngWeek,$C144,EngHome,$E144)&gt;1),"DUP",""))</f>
        <v/>
      </c>
      <c r="H144" s="2" t="str">
        <f>IF($B144="","",IF(OR(SUMPRODUCT((CLGameID=$B144)*CLUnmatched)&gt;0,LEFT($D144,1)="⚠",LEFT($E144,1)="⚠"),"UNMATCHED",""))</f>
        <v/>
      </c>
      <c r="I144" s="2" t="str">
        <f t="array" ref="I144">IF($B144="","",IF(OR(NOT(ISNUMBER(IFERROR(INDEX(RatEff,MATCH($D144,RatTeams,0)),"x"))),NOT(ISNUMBER(IFERROR(INDEX(RatEff,MATCH($E144,RatTeams,0)),"x")))),"MISSING",""))</f>
        <v/>
      </c>
      <c r="J144" s="2" t="str">
        <f>IF($B144="","",IF(SUMPRODUCT((CLGameID=$B144)*CLPlayed*(CLUseCur+CLUsePrev&gt;0)*(CLPlays=0))&gt;0,"MISSING",""))</f>
        <v/>
      </c>
      <c r="K144" s="2" t="str">
        <f>IF($B144="","",IF(SUMPRODUCT((CLGameID=$B144)*CLPlayed*((CLOffPts&lt;-20)+(CLOffPts&gt;90)))&gt;0,"CHECK",""))</f>
        <v/>
      </c>
      <c r="L144" s="2" t="str">
        <f t="array" ref="L144">IF($B144="","",IF(OR(ABS(IFERROR(INDEX(RatEff,MATCH($D144,RatTeams,0)),0))&gt;RatingRange,ABS(IFERROR(INDEX(RatEff,MATCH($E144,RatTeams,0)),0))&gt;RatingRange),"RANGE",""))</f>
        <v/>
      </c>
      <c r="M144" s="2" t="str">
        <f t="array" ref="M144">IF($B144="","",IF(OR(IFERROR(INDEX(CalcMoveFlag,MATCH($D144,CalcTeams,0)),"")="CAPPED",IFERROR(INDEX(CalcMoveFlag,MATCH($E144,CalcTeams,0)),"")="CAPPED"),"CAPPED",""))</f>
        <v/>
      </c>
      <c r="N144" s="2" t="str">
        <f>IF($B144="","",IF(ABS(SUMIFS(AdjSpread,AdjGameID,$B144,AdjActive,1))&gt;AdjCap,"LARGE",""))</f>
        <v/>
      </c>
      <c r="O144" s="2" t="str">
        <f t="array" ref="O144">IF($B144="","",IFERROR(INDEX(MktStale,MATCH($B144,MktGameID,0)),""))</f>
        <v/>
      </c>
      <c r="P144" s="2" t="str">
        <f t="shared" si="1"/>
        <v>READY</v>
      </c>
    </row>
    <row r="145" ht="15.0" customHeight="1">
      <c r="A145" s="2">
        <v>134.0</v>
      </c>
      <c r="B145" s="2" t="str">
        <f t="array" ref="B145">IFERROR(INDEX(SchedZone,MATCH($A145,SchedSeq,0),MAP!$B$6),"")</f>
        <v>2026_09_ARI_SEA</v>
      </c>
      <c r="C145" s="2">
        <f t="array" ref="C145">IF($B145="","",INDEX(SchedZone,MATCH($A145,SchedSeq,0),MAP!$B$4))</f>
        <v>9</v>
      </c>
      <c r="D145" s="2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2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2" t="str">
        <f>IF($B145="","",IF(COUNTIF(EngGameID,$B145)&gt;1,"DUP",""))</f>
        <v/>
      </c>
      <c r="G145" s="2" t="str">
        <f>IF($B145="","",IF(OR(COUNTIFS(EngWeek,$C145,EngAway,$D145)+COUNTIFS(EngWeek,$C145,EngHome,$D145)&gt;1,COUNTIFS(EngWeek,$C145,EngAway,$E145)+COUNTIFS(EngWeek,$C145,EngHome,$E145)&gt;1),"DUP",""))</f>
        <v/>
      </c>
      <c r="H145" s="2" t="str">
        <f>IF($B145="","",IF(OR(SUMPRODUCT((CLGameID=$B145)*CLUnmatched)&gt;0,LEFT($D145,1)="⚠",LEFT($E145,1)="⚠"),"UNMATCHED",""))</f>
        <v/>
      </c>
      <c r="I145" s="2" t="str">
        <f t="array" ref="I145">IF($B145="","",IF(OR(NOT(ISNUMBER(IFERROR(INDEX(RatEff,MATCH($D145,RatTeams,0)),"x"))),NOT(ISNUMBER(IFERROR(INDEX(RatEff,MATCH($E145,RatTeams,0)),"x")))),"MISSING",""))</f>
        <v/>
      </c>
      <c r="J145" s="2" t="str">
        <f>IF($B145="","",IF(SUMPRODUCT((CLGameID=$B145)*CLPlayed*(CLUseCur+CLUsePrev&gt;0)*(CLPlays=0))&gt;0,"MISSING",""))</f>
        <v/>
      </c>
      <c r="K145" s="2" t="str">
        <f>IF($B145="","",IF(SUMPRODUCT((CLGameID=$B145)*CLPlayed*((CLOffPts&lt;-20)+(CLOffPts&gt;90)))&gt;0,"CHECK",""))</f>
        <v/>
      </c>
      <c r="L145" s="2" t="str">
        <f t="array" ref="L145">IF($B145="","",IF(OR(ABS(IFERROR(INDEX(RatEff,MATCH($D145,RatTeams,0)),0))&gt;RatingRange,ABS(IFERROR(INDEX(RatEff,MATCH($E145,RatTeams,0)),0))&gt;RatingRange),"RANGE",""))</f>
        <v/>
      </c>
      <c r="M145" s="2" t="str">
        <f t="array" ref="M145">IF($B145="","",IF(OR(IFERROR(INDEX(CalcMoveFlag,MATCH($D145,CalcTeams,0)),"")="CAPPED",IFERROR(INDEX(CalcMoveFlag,MATCH($E145,CalcTeams,0)),"")="CAPPED"),"CAPPED",""))</f>
        <v/>
      </c>
      <c r="N145" s="2" t="str">
        <f>IF($B145="","",IF(ABS(SUMIFS(AdjSpread,AdjGameID,$B145,AdjActive,1))&gt;AdjCap,"LARGE",""))</f>
        <v/>
      </c>
      <c r="O145" s="2" t="str">
        <f t="array" ref="O145">IF($B145="","",IFERROR(INDEX(MktStale,MATCH($B145,MktGameID,0)),""))</f>
        <v/>
      </c>
      <c r="P145" s="2" t="str">
        <f t="shared" si="1"/>
        <v>READY</v>
      </c>
    </row>
    <row r="146" ht="15.0" customHeight="1">
      <c r="A146" s="2">
        <v>135.0</v>
      </c>
      <c r="B146" s="2" t="str">
        <f t="array" ref="B146">IFERROR(INDEX(SchedZone,MATCH($A146,SchedSeq,0),MAP!$B$6),"")</f>
        <v>2026_09_TB_CHI</v>
      </c>
      <c r="C146" s="2">
        <f t="array" ref="C146">IF($B146="","",INDEX(SchedZone,MATCH($A146,SchedSeq,0),MAP!$B$4))</f>
        <v>9</v>
      </c>
      <c r="D146" s="2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2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2" t="str">
        <f>IF($B146="","",IF(COUNTIF(EngGameID,$B146)&gt;1,"DUP",""))</f>
        <v/>
      </c>
      <c r="G146" s="2" t="str">
        <f>IF($B146="","",IF(OR(COUNTIFS(EngWeek,$C146,EngAway,$D146)+COUNTIFS(EngWeek,$C146,EngHome,$D146)&gt;1,COUNTIFS(EngWeek,$C146,EngAway,$E146)+COUNTIFS(EngWeek,$C146,EngHome,$E146)&gt;1),"DUP",""))</f>
        <v/>
      </c>
      <c r="H146" s="2" t="str">
        <f>IF($B146="","",IF(OR(SUMPRODUCT((CLGameID=$B146)*CLUnmatched)&gt;0,LEFT($D146,1)="⚠",LEFT($E146,1)="⚠"),"UNMATCHED",""))</f>
        <v/>
      </c>
      <c r="I146" s="2" t="str">
        <f t="array" ref="I146">IF($B146="","",IF(OR(NOT(ISNUMBER(IFERROR(INDEX(RatEff,MATCH($D146,RatTeams,0)),"x"))),NOT(ISNUMBER(IFERROR(INDEX(RatEff,MATCH($E146,RatTeams,0)),"x")))),"MISSING",""))</f>
        <v/>
      </c>
      <c r="J146" s="2" t="str">
        <f>IF($B146="","",IF(SUMPRODUCT((CLGameID=$B146)*CLPlayed*(CLUseCur+CLUsePrev&gt;0)*(CLPlays=0))&gt;0,"MISSING",""))</f>
        <v/>
      </c>
      <c r="K146" s="2" t="str">
        <f>IF($B146="","",IF(SUMPRODUCT((CLGameID=$B146)*CLPlayed*((CLOffPts&lt;-20)+(CLOffPts&gt;90)))&gt;0,"CHECK",""))</f>
        <v/>
      </c>
      <c r="L146" s="2" t="str">
        <f t="array" ref="L146">IF($B146="","",IF(OR(ABS(IFERROR(INDEX(RatEff,MATCH($D146,RatTeams,0)),0))&gt;RatingRange,ABS(IFERROR(INDEX(RatEff,MATCH($E146,RatTeams,0)),0))&gt;RatingRange),"RANGE",""))</f>
        <v/>
      </c>
      <c r="M146" s="2" t="str">
        <f t="array" ref="M146">IF($B146="","",IF(OR(IFERROR(INDEX(CalcMoveFlag,MATCH($D146,CalcTeams,0)),"")="CAPPED",IFERROR(INDEX(CalcMoveFlag,MATCH($E146,CalcTeams,0)),"")="CAPPED"),"CAPPED",""))</f>
        <v/>
      </c>
      <c r="N146" s="2" t="str">
        <f>IF($B146="","",IF(ABS(SUMIFS(AdjSpread,AdjGameID,$B146,AdjActive,1))&gt;AdjCap,"LARGE",""))</f>
        <v/>
      </c>
      <c r="O146" s="2" t="str">
        <f t="array" ref="O146">IF($B146="","",IFERROR(INDEX(MktStale,MATCH($B146,MktGameID,0)),""))</f>
        <v/>
      </c>
      <c r="P146" s="2" t="str">
        <f t="shared" si="1"/>
        <v>READY</v>
      </c>
    </row>
    <row r="147" ht="15.0" customHeight="1">
      <c r="A147" s="2">
        <v>136.0</v>
      </c>
      <c r="B147" s="2" t="str">
        <f t="array" ref="B147">IFERROR(INDEX(SchedZone,MATCH($A147,SchedSeq,0),MAP!$B$6),"")</f>
        <v>2026_09_BUF_MIN</v>
      </c>
      <c r="C147" s="2">
        <f t="array" ref="C147">IF($B147="","",INDEX(SchedZone,MATCH($A147,SchedSeq,0),MAP!$B$4))</f>
        <v>9</v>
      </c>
      <c r="D147" s="2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2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2" t="str">
        <f>IF($B147="","",IF(COUNTIF(EngGameID,$B147)&gt;1,"DUP",""))</f>
        <v/>
      </c>
      <c r="G147" s="2" t="str">
        <f>IF($B147="","",IF(OR(COUNTIFS(EngWeek,$C147,EngAway,$D147)+COUNTIFS(EngWeek,$C147,EngHome,$D147)&gt;1,COUNTIFS(EngWeek,$C147,EngAway,$E147)+COUNTIFS(EngWeek,$C147,EngHome,$E147)&gt;1),"DUP",""))</f>
        <v/>
      </c>
      <c r="H147" s="2" t="str">
        <f>IF($B147="","",IF(OR(SUMPRODUCT((CLGameID=$B147)*CLUnmatched)&gt;0,LEFT($D147,1)="⚠",LEFT($E147,1)="⚠"),"UNMATCHED",""))</f>
        <v/>
      </c>
      <c r="I147" s="2" t="str">
        <f t="array" ref="I147">IF($B147="","",IF(OR(NOT(ISNUMBER(IFERROR(INDEX(RatEff,MATCH($D147,RatTeams,0)),"x"))),NOT(ISNUMBER(IFERROR(INDEX(RatEff,MATCH($E147,RatTeams,0)),"x")))),"MISSING",""))</f>
        <v/>
      </c>
      <c r="J147" s="2" t="str">
        <f>IF($B147="","",IF(SUMPRODUCT((CLGameID=$B147)*CLPlayed*(CLUseCur+CLUsePrev&gt;0)*(CLPlays=0))&gt;0,"MISSING",""))</f>
        <v/>
      </c>
      <c r="K147" s="2" t="str">
        <f>IF($B147="","",IF(SUMPRODUCT((CLGameID=$B147)*CLPlayed*((CLOffPts&lt;-20)+(CLOffPts&gt;90)))&gt;0,"CHECK",""))</f>
        <v/>
      </c>
      <c r="L147" s="2" t="str">
        <f t="array" ref="L147">IF($B147="","",IF(OR(ABS(IFERROR(INDEX(RatEff,MATCH($D147,RatTeams,0)),0))&gt;RatingRange,ABS(IFERROR(INDEX(RatEff,MATCH($E147,RatTeams,0)),0))&gt;RatingRange),"RANGE",""))</f>
        <v/>
      </c>
      <c r="M147" s="2" t="str">
        <f t="array" ref="M147">IF($B147="","",IF(OR(IFERROR(INDEX(CalcMoveFlag,MATCH($D147,CalcTeams,0)),"")="CAPPED",IFERROR(INDEX(CalcMoveFlag,MATCH($E147,CalcTeams,0)),"")="CAPPED"),"CAPPED",""))</f>
        <v/>
      </c>
      <c r="N147" s="2" t="str">
        <f>IF($B147="","",IF(ABS(SUMIFS(AdjSpread,AdjGameID,$B147,AdjActive,1))&gt;AdjCap,"LARGE",""))</f>
        <v/>
      </c>
      <c r="O147" s="2" t="str">
        <f t="array" ref="O147">IF($B147="","",IFERROR(INDEX(MktStale,MATCH($B147,MktGameID,0)),""))</f>
        <v/>
      </c>
      <c r="P147" s="2" t="str">
        <f t="shared" si="1"/>
        <v>READY</v>
      </c>
    </row>
    <row r="148" ht="15.0" customHeight="1">
      <c r="A148" s="2">
        <v>137.0</v>
      </c>
      <c r="B148" s="2" t="str">
        <f t="array" ref="B148">IFERROR(INDEX(SchedZone,MATCH($A148,SchedSeq,0),MAP!$B$6),"")</f>
        <v>2026_10_WAS_NYG</v>
      </c>
      <c r="C148" s="2">
        <f t="array" ref="C148">IF($B148="","",INDEX(SchedZone,MATCH($A148,SchedSeq,0),MAP!$B$4))</f>
        <v>10</v>
      </c>
      <c r="D148" s="2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2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2" t="str">
        <f>IF($B148="","",IF(COUNTIF(EngGameID,$B148)&gt;1,"DUP",""))</f>
        <v/>
      </c>
      <c r="G148" s="2" t="str">
        <f>IF($B148="","",IF(OR(COUNTIFS(EngWeek,$C148,EngAway,$D148)+COUNTIFS(EngWeek,$C148,EngHome,$D148)&gt;1,COUNTIFS(EngWeek,$C148,EngAway,$E148)+COUNTIFS(EngWeek,$C148,EngHome,$E148)&gt;1),"DUP",""))</f>
        <v/>
      </c>
      <c r="H148" s="2" t="str">
        <f>IF($B148="","",IF(OR(SUMPRODUCT((CLGameID=$B148)*CLUnmatched)&gt;0,LEFT($D148,1)="⚠",LEFT($E148,1)="⚠"),"UNMATCHED",""))</f>
        <v/>
      </c>
      <c r="I148" s="2" t="str">
        <f t="array" ref="I148">IF($B148="","",IF(OR(NOT(ISNUMBER(IFERROR(INDEX(RatEff,MATCH($D148,RatTeams,0)),"x"))),NOT(ISNUMBER(IFERROR(INDEX(RatEff,MATCH($E148,RatTeams,0)),"x")))),"MISSING",""))</f>
        <v/>
      </c>
      <c r="J148" s="2" t="str">
        <f>IF($B148="","",IF(SUMPRODUCT((CLGameID=$B148)*CLPlayed*(CLUseCur+CLUsePrev&gt;0)*(CLPlays=0))&gt;0,"MISSING",""))</f>
        <v/>
      </c>
      <c r="K148" s="2" t="str">
        <f>IF($B148="","",IF(SUMPRODUCT((CLGameID=$B148)*CLPlayed*((CLOffPts&lt;-20)+(CLOffPts&gt;90)))&gt;0,"CHECK",""))</f>
        <v/>
      </c>
      <c r="L148" s="2" t="str">
        <f t="array" ref="L148">IF($B148="","",IF(OR(ABS(IFERROR(INDEX(RatEff,MATCH($D148,RatTeams,0)),0))&gt;RatingRange,ABS(IFERROR(INDEX(RatEff,MATCH($E148,RatTeams,0)),0))&gt;RatingRange),"RANGE",""))</f>
        <v/>
      </c>
      <c r="M148" s="2" t="str">
        <f t="array" ref="M148">IF($B148="","",IF(OR(IFERROR(INDEX(CalcMoveFlag,MATCH($D148,CalcTeams,0)),"")="CAPPED",IFERROR(INDEX(CalcMoveFlag,MATCH($E148,CalcTeams,0)),"")="CAPPED"),"CAPPED",""))</f>
        <v/>
      </c>
      <c r="N148" s="2" t="str">
        <f>IF($B148="","",IF(ABS(SUMIFS(AdjSpread,AdjGameID,$B148,AdjActive,1))&gt;AdjCap,"LARGE",""))</f>
        <v/>
      </c>
      <c r="O148" s="2" t="str">
        <f t="array" ref="O148">IF($B148="","",IFERROR(INDEX(MktStale,MATCH($B148,MktGameID,0)),""))</f>
        <v/>
      </c>
      <c r="P148" s="2" t="str">
        <f t="shared" si="1"/>
        <v>READY</v>
      </c>
    </row>
    <row r="149" ht="15.0" customHeight="1">
      <c r="A149" s="2">
        <v>138.0</v>
      </c>
      <c r="B149" s="2" t="str">
        <f t="array" ref="B149">IFERROR(INDEX(SchedZone,MATCH($A149,SchedSeq,0),MAP!$B$6),"")</f>
        <v>2026_10_NE_DET</v>
      </c>
      <c r="C149" s="2">
        <f t="array" ref="C149">IF($B149="","",INDEX(SchedZone,MATCH($A149,SchedSeq,0),MAP!$B$4))</f>
        <v>10</v>
      </c>
      <c r="D149" s="2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2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2" t="str">
        <f>IF($B149="","",IF(COUNTIF(EngGameID,$B149)&gt;1,"DUP",""))</f>
        <v/>
      </c>
      <c r="G149" s="2" t="str">
        <f>IF($B149="","",IF(OR(COUNTIFS(EngWeek,$C149,EngAway,$D149)+COUNTIFS(EngWeek,$C149,EngHome,$D149)&gt;1,COUNTIFS(EngWeek,$C149,EngAway,$E149)+COUNTIFS(EngWeek,$C149,EngHome,$E149)&gt;1),"DUP",""))</f>
        <v/>
      </c>
      <c r="H149" s="2" t="str">
        <f>IF($B149="","",IF(OR(SUMPRODUCT((CLGameID=$B149)*CLUnmatched)&gt;0,LEFT($D149,1)="⚠",LEFT($E149,1)="⚠"),"UNMATCHED",""))</f>
        <v/>
      </c>
      <c r="I149" s="2" t="str">
        <f t="array" ref="I149">IF($B149="","",IF(OR(NOT(ISNUMBER(IFERROR(INDEX(RatEff,MATCH($D149,RatTeams,0)),"x"))),NOT(ISNUMBER(IFERROR(INDEX(RatEff,MATCH($E149,RatTeams,0)),"x")))),"MISSING",""))</f>
        <v/>
      </c>
      <c r="J149" s="2" t="str">
        <f>IF($B149="","",IF(SUMPRODUCT((CLGameID=$B149)*CLPlayed*(CLUseCur+CLUsePrev&gt;0)*(CLPlays=0))&gt;0,"MISSING",""))</f>
        <v/>
      </c>
      <c r="K149" s="2" t="str">
        <f>IF($B149="","",IF(SUMPRODUCT((CLGameID=$B149)*CLPlayed*((CLOffPts&lt;-20)+(CLOffPts&gt;90)))&gt;0,"CHECK",""))</f>
        <v/>
      </c>
      <c r="L149" s="2" t="str">
        <f t="array" ref="L149">IF($B149="","",IF(OR(ABS(IFERROR(INDEX(RatEff,MATCH($D149,RatTeams,0)),0))&gt;RatingRange,ABS(IFERROR(INDEX(RatEff,MATCH($E149,RatTeams,0)),0))&gt;RatingRange),"RANGE",""))</f>
        <v/>
      </c>
      <c r="M149" s="2" t="str">
        <f t="array" ref="M149">IF($B149="","",IF(OR(IFERROR(INDEX(CalcMoveFlag,MATCH($D149,CalcTeams,0)),"")="CAPPED",IFERROR(INDEX(CalcMoveFlag,MATCH($E149,CalcTeams,0)),"")="CAPPED"),"CAPPED",""))</f>
        <v/>
      </c>
      <c r="N149" s="2" t="str">
        <f>IF($B149="","",IF(ABS(SUMIFS(AdjSpread,AdjGameID,$B149,AdjActive,1))&gt;AdjCap,"LARGE",""))</f>
        <v/>
      </c>
      <c r="O149" s="2" t="str">
        <f t="array" ref="O149">IF($B149="","",IFERROR(INDEX(MktStale,MATCH($B149,MktGameID,0)),""))</f>
        <v/>
      </c>
      <c r="P149" s="2" t="str">
        <f t="shared" si="1"/>
        <v>READY</v>
      </c>
    </row>
    <row r="150" ht="15.0" customHeight="1">
      <c r="A150" s="2">
        <v>139.0</v>
      </c>
      <c r="B150" s="2" t="str">
        <f t="array" ref="B150">IFERROR(INDEX(SchedZone,MATCH($A150,SchedSeq,0),MAP!$B$6),"")</f>
        <v>2026_10_KC_ATL</v>
      </c>
      <c r="C150" s="2">
        <f t="array" ref="C150">IF($B150="","",INDEX(SchedZone,MATCH($A150,SchedSeq,0),MAP!$B$4))</f>
        <v>10</v>
      </c>
      <c r="D150" s="2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2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2" t="str">
        <f>IF($B150="","",IF(COUNTIF(EngGameID,$B150)&gt;1,"DUP",""))</f>
        <v/>
      </c>
      <c r="G150" s="2" t="str">
        <f>IF($B150="","",IF(OR(COUNTIFS(EngWeek,$C150,EngAway,$D150)+COUNTIFS(EngWeek,$C150,EngHome,$D150)&gt;1,COUNTIFS(EngWeek,$C150,EngAway,$E150)+COUNTIFS(EngWeek,$C150,EngHome,$E150)&gt;1),"DUP",""))</f>
        <v/>
      </c>
      <c r="H150" s="2" t="str">
        <f>IF($B150="","",IF(OR(SUMPRODUCT((CLGameID=$B150)*CLUnmatched)&gt;0,LEFT($D150,1)="⚠",LEFT($E150,1)="⚠"),"UNMATCHED",""))</f>
        <v/>
      </c>
      <c r="I150" s="2" t="str">
        <f t="array" ref="I150">IF($B150="","",IF(OR(NOT(ISNUMBER(IFERROR(INDEX(RatEff,MATCH($D150,RatTeams,0)),"x"))),NOT(ISNUMBER(IFERROR(INDEX(RatEff,MATCH($E150,RatTeams,0)),"x")))),"MISSING",""))</f>
        <v/>
      </c>
      <c r="J150" s="2" t="str">
        <f>IF($B150="","",IF(SUMPRODUCT((CLGameID=$B150)*CLPlayed*(CLUseCur+CLUsePrev&gt;0)*(CLPlays=0))&gt;0,"MISSING",""))</f>
        <v/>
      </c>
      <c r="K150" s="2" t="str">
        <f>IF($B150="","",IF(SUMPRODUCT((CLGameID=$B150)*CLPlayed*((CLOffPts&lt;-20)+(CLOffPts&gt;90)))&gt;0,"CHECK",""))</f>
        <v/>
      </c>
      <c r="L150" s="2" t="str">
        <f t="array" ref="L150">IF($B150="","",IF(OR(ABS(IFERROR(INDEX(RatEff,MATCH($D150,RatTeams,0)),0))&gt;RatingRange,ABS(IFERROR(INDEX(RatEff,MATCH($E150,RatTeams,0)),0))&gt;RatingRange),"RANGE",""))</f>
        <v/>
      </c>
      <c r="M150" s="2" t="str">
        <f t="array" ref="M150">IF($B150="","",IF(OR(IFERROR(INDEX(CalcMoveFlag,MATCH($D150,CalcTeams,0)),"")="CAPPED",IFERROR(INDEX(CalcMoveFlag,MATCH($E150,CalcTeams,0)),"")="CAPPED"),"CAPPED",""))</f>
        <v/>
      </c>
      <c r="N150" s="2" t="str">
        <f>IF($B150="","",IF(ABS(SUMIFS(AdjSpread,AdjGameID,$B150,AdjActive,1))&gt;AdjCap,"LARGE",""))</f>
        <v/>
      </c>
      <c r="O150" s="2" t="str">
        <f t="array" ref="O150">IF($B150="","",IFERROR(INDEX(MktStale,MATCH($B150,MktGameID,0)),""))</f>
        <v/>
      </c>
      <c r="P150" s="2" t="str">
        <f t="shared" si="1"/>
        <v>READY</v>
      </c>
    </row>
    <row r="151" ht="15.0" customHeight="1">
      <c r="A151" s="2">
        <v>140.0</v>
      </c>
      <c r="B151" s="2" t="str">
        <f t="array" ref="B151">IFERROR(INDEX(SchedZone,MATCH($A151,SchedSeq,0),MAP!$B$6),"")</f>
        <v>2026_10_HOU_CLE</v>
      </c>
      <c r="C151" s="2">
        <f t="array" ref="C151">IF($B151="","",INDEX(SchedZone,MATCH($A151,SchedSeq,0),MAP!$B$4))</f>
        <v>10</v>
      </c>
      <c r="D151" s="2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2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2" t="str">
        <f>IF($B151="","",IF(COUNTIF(EngGameID,$B151)&gt;1,"DUP",""))</f>
        <v/>
      </c>
      <c r="G151" s="2" t="str">
        <f>IF($B151="","",IF(OR(COUNTIFS(EngWeek,$C151,EngAway,$D151)+COUNTIFS(EngWeek,$C151,EngHome,$D151)&gt;1,COUNTIFS(EngWeek,$C151,EngAway,$E151)+COUNTIFS(EngWeek,$C151,EngHome,$E151)&gt;1),"DUP",""))</f>
        <v/>
      </c>
      <c r="H151" s="2" t="str">
        <f>IF($B151="","",IF(OR(SUMPRODUCT((CLGameID=$B151)*CLUnmatched)&gt;0,LEFT($D151,1)="⚠",LEFT($E151,1)="⚠"),"UNMATCHED",""))</f>
        <v/>
      </c>
      <c r="I151" s="2" t="str">
        <f t="array" ref="I151">IF($B151="","",IF(OR(NOT(ISNUMBER(IFERROR(INDEX(RatEff,MATCH($D151,RatTeams,0)),"x"))),NOT(ISNUMBER(IFERROR(INDEX(RatEff,MATCH($E151,RatTeams,0)),"x")))),"MISSING",""))</f>
        <v/>
      </c>
      <c r="J151" s="2" t="str">
        <f>IF($B151="","",IF(SUMPRODUCT((CLGameID=$B151)*CLPlayed*(CLUseCur+CLUsePrev&gt;0)*(CLPlays=0))&gt;0,"MISSING",""))</f>
        <v/>
      </c>
      <c r="K151" s="2" t="str">
        <f>IF($B151="","",IF(SUMPRODUCT((CLGameID=$B151)*CLPlayed*((CLOffPts&lt;-20)+(CLOffPts&gt;90)))&gt;0,"CHECK",""))</f>
        <v/>
      </c>
      <c r="L151" s="2" t="str">
        <f t="array" ref="L151">IF($B151="","",IF(OR(ABS(IFERROR(INDEX(RatEff,MATCH($D151,RatTeams,0)),0))&gt;RatingRange,ABS(IFERROR(INDEX(RatEff,MATCH($E151,RatTeams,0)),0))&gt;RatingRange),"RANGE",""))</f>
        <v/>
      </c>
      <c r="M151" s="2" t="str">
        <f t="array" ref="M151">IF($B151="","",IF(OR(IFERROR(INDEX(CalcMoveFlag,MATCH($D151,CalcTeams,0)),"")="CAPPED",IFERROR(INDEX(CalcMoveFlag,MATCH($E151,CalcTeams,0)),"")="CAPPED"),"CAPPED",""))</f>
        <v/>
      </c>
      <c r="N151" s="2" t="str">
        <f>IF($B151="","",IF(ABS(SUMIFS(AdjSpread,AdjGameID,$B151,AdjActive,1))&gt;AdjCap,"LARGE",""))</f>
        <v/>
      </c>
      <c r="O151" s="2" t="str">
        <f t="array" ref="O151">IF($B151="","",IFERROR(INDEX(MktStale,MATCH($B151,MktGameID,0)),""))</f>
        <v/>
      </c>
      <c r="P151" s="2" t="str">
        <f t="shared" si="1"/>
        <v>READY</v>
      </c>
    </row>
    <row r="152" ht="15.0" customHeight="1">
      <c r="A152" s="2">
        <v>141.0</v>
      </c>
      <c r="B152" s="2" t="str">
        <f t="array" ref="B152">IFERROR(INDEX(SchedZone,MATCH($A152,SchedSeq,0),MAP!$B$6),"")</f>
        <v>2026_10_MIN_GB</v>
      </c>
      <c r="C152" s="2">
        <f t="array" ref="C152">IF($B152="","",INDEX(SchedZone,MATCH($A152,SchedSeq,0),MAP!$B$4))</f>
        <v>10</v>
      </c>
      <c r="D152" s="2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2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2" t="str">
        <f>IF($B152="","",IF(COUNTIF(EngGameID,$B152)&gt;1,"DUP",""))</f>
        <v/>
      </c>
      <c r="G152" s="2" t="str">
        <f>IF($B152="","",IF(OR(COUNTIFS(EngWeek,$C152,EngAway,$D152)+COUNTIFS(EngWeek,$C152,EngHome,$D152)&gt;1,COUNTIFS(EngWeek,$C152,EngAway,$E152)+COUNTIFS(EngWeek,$C152,EngHome,$E152)&gt;1),"DUP",""))</f>
        <v/>
      </c>
      <c r="H152" s="2" t="str">
        <f>IF($B152="","",IF(OR(SUMPRODUCT((CLGameID=$B152)*CLUnmatched)&gt;0,LEFT($D152,1)="⚠",LEFT($E152,1)="⚠"),"UNMATCHED",""))</f>
        <v/>
      </c>
      <c r="I152" s="2" t="str">
        <f t="array" ref="I152">IF($B152="","",IF(OR(NOT(ISNUMBER(IFERROR(INDEX(RatEff,MATCH($D152,RatTeams,0)),"x"))),NOT(ISNUMBER(IFERROR(INDEX(RatEff,MATCH($E152,RatTeams,0)),"x")))),"MISSING",""))</f>
        <v/>
      </c>
      <c r="J152" s="2" t="str">
        <f>IF($B152="","",IF(SUMPRODUCT((CLGameID=$B152)*CLPlayed*(CLUseCur+CLUsePrev&gt;0)*(CLPlays=0))&gt;0,"MISSING",""))</f>
        <v/>
      </c>
      <c r="K152" s="2" t="str">
        <f>IF($B152="","",IF(SUMPRODUCT((CLGameID=$B152)*CLPlayed*((CLOffPts&lt;-20)+(CLOffPts&gt;90)))&gt;0,"CHECK",""))</f>
        <v/>
      </c>
      <c r="L152" s="2" t="str">
        <f t="array" ref="L152">IF($B152="","",IF(OR(ABS(IFERROR(INDEX(RatEff,MATCH($D152,RatTeams,0)),0))&gt;RatingRange,ABS(IFERROR(INDEX(RatEff,MATCH($E152,RatTeams,0)),0))&gt;RatingRange),"RANGE",""))</f>
        <v/>
      </c>
      <c r="M152" s="2" t="str">
        <f t="array" ref="M152">IF($B152="","",IF(OR(IFERROR(INDEX(CalcMoveFlag,MATCH($D152,CalcTeams,0)),"")="CAPPED",IFERROR(INDEX(CalcMoveFlag,MATCH($E152,CalcTeams,0)),"")="CAPPED"),"CAPPED",""))</f>
        <v/>
      </c>
      <c r="N152" s="2" t="str">
        <f>IF($B152="","",IF(ABS(SUMIFS(AdjSpread,AdjGameID,$B152,AdjActive,1))&gt;AdjCap,"LARGE",""))</f>
        <v/>
      </c>
      <c r="O152" s="2" t="str">
        <f t="array" ref="O152">IF($B152="","",IFERROR(INDEX(MktStale,MATCH($B152,MktGameID,0)),""))</f>
        <v/>
      </c>
      <c r="P152" s="2" t="str">
        <f t="shared" si="1"/>
        <v>READY</v>
      </c>
    </row>
    <row r="153" ht="15.0" customHeight="1">
      <c r="A153" s="2">
        <v>142.0</v>
      </c>
      <c r="B153" s="2" t="str">
        <f t="array" ref="B153">IFERROR(INDEX(SchedZone,MATCH($A153,SchedSeq,0),MAP!$B$6),"")</f>
        <v>2026_10_MIA_IND</v>
      </c>
      <c r="C153" s="2">
        <f t="array" ref="C153">IF($B153="","",INDEX(SchedZone,MATCH($A153,SchedSeq,0),MAP!$B$4))</f>
        <v>10</v>
      </c>
      <c r="D153" s="2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2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2" t="str">
        <f>IF($B153="","",IF(COUNTIF(EngGameID,$B153)&gt;1,"DUP",""))</f>
        <v/>
      </c>
      <c r="G153" s="2" t="str">
        <f>IF($B153="","",IF(OR(COUNTIFS(EngWeek,$C153,EngAway,$D153)+COUNTIFS(EngWeek,$C153,EngHome,$D153)&gt;1,COUNTIFS(EngWeek,$C153,EngAway,$E153)+COUNTIFS(EngWeek,$C153,EngHome,$E153)&gt;1),"DUP",""))</f>
        <v/>
      </c>
      <c r="H153" s="2" t="str">
        <f>IF($B153="","",IF(OR(SUMPRODUCT((CLGameID=$B153)*CLUnmatched)&gt;0,LEFT($D153,1)="⚠",LEFT($E153,1)="⚠"),"UNMATCHED",""))</f>
        <v/>
      </c>
      <c r="I153" s="2" t="str">
        <f t="array" ref="I153">IF($B153="","",IF(OR(NOT(ISNUMBER(IFERROR(INDEX(RatEff,MATCH($D153,RatTeams,0)),"x"))),NOT(ISNUMBER(IFERROR(INDEX(RatEff,MATCH($E153,RatTeams,0)),"x")))),"MISSING",""))</f>
        <v/>
      </c>
      <c r="J153" s="2" t="str">
        <f>IF($B153="","",IF(SUMPRODUCT((CLGameID=$B153)*CLPlayed*(CLUseCur+CLUsePrev&gt;0)*(CLPlays=0))&gt;0,"MISSING",""))</f>
        <v/>
      </c>
      <c r="K153" s="2" t="str">
        <f>IF($B153="","",IF(SUMPRODUCT((CLGameID=$B153)*CLPlayed*((CLOffPts&lt;-20)+(CLOffPts&gt;90)))&gt;0,"CHECK",""))</f>
        <v/>
      </c>
      <c r="L153" s="2" t="str">
        <f t="array" ref="L153">IF($B153="","",IF(OR(ABS(IFERROR(INDEX(RatEff,MATCH($D153,RatTeams,0)),0))&gt;RatingRange,ABS(IFERROR(INDEX(RatEff,MATCH($E153,RatTeams,0)),0))&gt;RatingRange),"RANGE",""))</f>
        <v/>
      </c>
      <c r="M153" s="2" t="str">
        <f t="array" ref="M153">IF($B153="","",IF(OR(IFERROR(INDEX(CalcMoveFlag,MATCH($D153,CalcTeams,0)),"")="CAPPED",IFERROR(INDEX(CalcMoveFlag,MATCH($E153,CalcTeams,0)),"")="CAPPED"),"CAPPED",""))</f>
        <v/>
      </c>
      <c r="N153" s="2" t="str">
        <f>IF($B153="","",IF(ABS(SUMIFS(AdjSpread,AdjGameID,$B153,AdjActive,1))&gt;AdjCap,"LARGE",""))</f>
        <v/>
      </c>
      <c r="O153" s="2" t="str">
        <f t="array" ref="O153">IF($B153="","",IFERROR(INDEX(MktStale,MATCH($B153,MktGameID,0)),""))</f>
        <v/>
      </c>
      <c r="P153" s="2" t="str">
        <f t="shared" si="1"/>
        <v>READY</v>
      </c>
    </row>
    <row r="154" ht="15.0" customHeight="1">
      <c r="A154" s="2">
        <v>143.0</v>
      </c>
      <c r="B154" s="2" t="str">
        <f t="array" ref="B154">IFERROR(INDEX(SchedZone,MATCH($A154,SchedSeq,0),MAP!$B$6),"")</f>
        <v>2026_10_CAR_NO</v>
      </c>
      <c r="C154" s="2">
        <f t="array" ref="C154">IF($B154="","",INDEX(SchedZone,MATCH($A154,SchedSeq,0),MAP!$B$4))</f>
        <v>10</v>
      </c>
      <c r="D154" s="2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2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2" t="str">
        <f>IF($B154="","",IF(COUNTIF(EngGameID,$B154)&gt;1,"DUP",""))</f>
        <v/>
      </c>
      <c r="G154" s="2" t="str">
        <f>IF($B154="","",IF(OR(COUNTIFS(EngWeek,$C154,EngAway,$D154)+COUNTIFS(EngWeek,$C154,EngHome,$D154)&gt;1,COUNTIFS(EngWeek,$C154,EngAway,$E154)+COUNTIFS(EngWeek,$C154,EngHome,$E154)&gt;1),"DUP",""))</f>
        <v/>
      </c>
      <c r="H154" s="2" t="str">
        <f>IF($B154="","",IF(OR(SUMPRODUCT((CLGameID=$B154)*CLUnmatched)&gt;0,LEFT($D154,1)="⚠",LEFT($E154,1)="⚠"),"UNMATCHED",""))</f>
        <v/>
      </c>
      <c r="I154" s="2" t="str">
        <f t="array" ref="I154">IF($B154="","",IF(OR(NOT(ISNUMBER(IFERROR(INDEX(RatEff,MATCH($D154,RatTeams,0)),"x"))),NOT(ISNUMBER(IFERROR(INDEX(RatEff,MATCH($E154,RatTeams,0)),"x")))),"MISSING",""))</f>
        <v/>
      </c>
      <c r="J154" s="2" t="str">
        <f>IF($B154="","",IF(SUMPRODUCT((CLGameID=$B154)*CLPlayed*(CLUseCur+CLUsePrev&gt;0)*(CLPlays=0))&gt;0,"MISSING",""))</f>
        <v/>
      </c>
      <c r="K154" s="2" t="str">
        <f>IF($B154="","",IF(SUMPRODUCT((CLGameID=$B154)*CLPlayed*((CLOffPts&lt;-20)+(CLOffPts&gt;90)))&gt;0,"CHECK",""))</f>
        <v/>
      </c>
      <c r="L154" s="2" t="str">
        <f t="array" ref="L154">IF($B154="","",IF(OR(ABS(IFERROR(INDEX(RatEff,MATCH($D154,RatTeams,0)),0))&gt;RatingRange,ABS(IFERROR(INDEX(RatEff,MATCH($E154,RatTeams,0)),0))&gt;RatingRange),"RANGE",""))</f>
        <v/>
      </c>
      <c r="M154" s="2" t="str">
        <f t="array" ref="M154">IF($B154="","",IF(OR(IFERROR(INDEX(CalcMoveFlag,MATCH($D154,CalcTeams,0)),"")="CAPPED",IFERROR(INDEX(CalcMoveFlag,MATCH($E154,CalcTeams,0)),"")="CAPPED"),"CAPPED",""))</f>
        <v/>
      </c>
      <c r="N154" s="2" t="str">
        <f>IF($B154="","",IF(ABS(SUMIFS(AdjSpread,AdjGameID,$B154,AdjActive,1))&gt;AdjCap,"LARGE",""))</f>
        <v/>
      </c>
      <c r="O154" s="2" t="str">
        <f t="array" ref="O154">IF($B154="","",IFERROR(INDEX(MktStale,MATCH($B154,MktGameID,0)),""))</f>
        <v/>
      </c>
      <c r="P154" s="2" t="str">
        <f t="shared" si="1"/>
        <v>READY</v>
      </c>
    </row>
    <row r="155" ht="15.0" customHeight="1">
      <c r="A155" s="2">
        <v>144.0</v>
      </c>
      <c r="B155" s="2" t="str">
        <f t="array" ref="B155">IFERROR(INDEX(SchedZone,MATCH($A155,SchedSeq,0),MAP!$B$6),"")</f>
        <v>2026_10_BUF_NYJ</v>
      </c>
      <c r="C155" s="2">
        <f t="array" ref="C155">IF($B155="","",INDEX(SchedZone,MATCH($A155,SchedSeq,0),MAP!$B$4))</f>
        <v>10</v>
      </c>
      <c r="D155" s="2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2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2" t="str">
        <f>IF($B155="","",IF(COUNTIF(EngGameID,$B155)&gt;1,"DUP",""))</f>
        <v/>
      </c>
      <c r="G155" s="2" t="str">
        <f>IF($B155="","",IF(OR(COUNTIFS(EngWeek,$C155,EngAway,$D155)+COUNTIFS(EngWeek,$C155,EngHome,$D155)&gt;1,COUNTIFS(EngWeek,$C155,EngAway,$E155)+COUNTIFS(EngWeek,$C155,EngHome,$E155)&gt;1),"DUP",""))</f>
        <v/>
      </c>
      <c r="H155" s="2" t="str">
        <f>IF($B155="","",IF(OR(SUMPRODUCT((CLGameID=$B155)*CLUnmatched)&gt;0,LEFT($D155,1)="⚠",LEFT($E155,1)="⚠"),"UNMATCHED",""))</f>
        <v/>
      </c>
      <c r="I155" s="2" t="str">
        <f t="array" ref="I155">IF($B155="","",IF(OR(NOT(ISNUMBER(IFERROR(INDEX(RatEff,MATCH($D155,RatTeams,0)),"x"))),NOT(ISNUMBER(IFERROR(INDEX(RatEff,MATCH($E155,RatTeams,0)),"x")))),"MISSING",""))</f>
        <v/>
      </c>
      <c r="J155" s="2" t="str">
        <f>IF($B155="","",IF(SUMPRODUCT((CLGameID=$B155)*CLPlayed*(CLUseCur+CLUsePrev&gt;0)*(CLPlays=0))&gt;0,"MISSING",""))</f>
        <v/>
      </c>
      <c r="K155" s="2" t="str">
        <f>IF($B155="","",IF(SUMPRODUCT((CLGameID=$B155)*CLPlayed*((CLOffPts&lt;-20)+(CLOffPts&gt;90)))&gt;0,"CHECK",""))</f>
        <v/>
      </c>
      <c r="L155" s="2" t="str">
        <f t="array" ref="L155">IF($B155="","",IF(OR(ABS(IFERROR(INDEX(RatEff,MATCH($D155,RatTeams,0)),0))&gt;RatingRange,ABS(IFERROR(INDEX(RatEff,MATCH($E155,RatTeams,0)),0))&gt;RatingRange),"RANGE",""))</f>
        <v/>
      </c>
      <c r="M155" s="2" t="str">
        <f t="array" ref="M155">IF($B155="","",IF(OR(IFERROR(INDEX(CalcMoveFlag,MATCH($D155,CalcTeams,0)),"")="CAPPED",IFERROR(INDEX(CalcMoveFlag,MATCH($E155,CalcTeams,0)),"")="CAPPED"),"CAPPED",""))</f>
        <v/>
      </c>
      <c r="N155" s="2" t="str">
        <f>IF($B155="","",IF(ABS(SUMIFS(AdjSpread,AdjGameID,$B155,AdjActive,1))&gt;AdjCap,"LARGE",""))</f>
        <v/>
      </c>
      <c r="O155" s="2" t="str">
        <f t="array" ref="O155">IF($B155="","",IFERROR(INDEX(MktStale,MATCH($B155,MktGameID,0)),""))</f>
        <v/>
      </c>
      <c r="P155" s="2" t="str">
        <f t="shared" si="1"/>
        <v>READY</v>
      </c>
    </row>
    <row r="156" ht="15.0" customHeight="1">
      <c r="A156" s="2">
        <v>145.0</v>
      </c>
      <c r="B156" s="2" t="str">
        <f t="array" ref="B156">IFERROR(INDEX(SchedZone,MATCH($A156,SchedSeq,0),MAP!$B$6),"")</f>
        <v>2026_10_JAX_TEN</v>
      </c>
      <c r="C156" s="2">
        <f t="array" ref="C156">IF($B156="","",INDEX(SchedZone,MATCH($A156,SchedSeq,0),MAP!$B$4))</f>
        <v>10</v>
      </c>
      <c r="D156" s="2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2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2" t="str">
        <f>IF($B156="","",IF(COUNTIF(EngGameID,$B156)&gt;1,"DUP",""))</f>
        <v/>
      </c>
      <c r="G156" s="2" t="str">
        <f>IF($B156="","",IF(OR(COUNTIFS(EngWeek,$C156,EngAway,$D156)+COUNTIFS(EngWeek,$C156,EngHome,$D156)&gt;1,COUNTIFS(EngWeek,$C156,EngAway,$E156)+COUNTIFS(EngWeek,$C156,EngHome,$E156)&gt;1),"DUP",""))</f>
        <v/>
      </c>
      <c r="H156" s="2" t="str">
        <f>IF($B156="","",IF(OR(SUMPRODUCT((CLGameID=$B156)*CLUnmatched)&gt;0,LEFT($D156,1)="⚠",LEFT($E156,1)="⚠"),"UNMATCHED",""))</f>
        <v/>
      </c>
      <c r="I156" s="2" t="str">
        <f t="array" ref="I156">IF($B156="","",IF(OR(NOT(ISNUMBER(IFERROR(INDEX(RatEff,MATCH($D156,RatTeams,0)),"x"))),NOT(ISNUMBER(IFERROR(INDEX(RatEff,MATCH($E156,RatTeams,0)),"x")))),"MISSING",""))</f>
        <v/>
      </c>
      <c r="J156" s="2" t="str">
        <f>IF($B156="","",IF(SUMPRODUCT((CLGameID=$B156)*CLPlayed*(CLUseCur+CLUsePrev&gt;0)*(CLPlays=0))&gt;0,"MISSING",""))</f>
        <v/>
      </c>
      <c r="K156" s="2" t="str">
        <f>IF($B156="","",IF(SUMPRODUCT((CLGameID=$B156)*CLPlayed*((CLOffPts&lt;-20)+(CLOffPts&gt;90)))&gt;0,"CHECK",""))</f>
        <v/>
      </c>
      <c r="L156" s="2" t="str">
        <f t="array" ref="L156">IF($B156="","",IF(OR(ABS(IFERROR(INDEX(RatEff,MATCH($D156,RatTeams,0)),0))&gt;RatingRange,ABS(IFERROR(INDEX(RatEff,MATCH($E156,RatTeams,0)),0))&gt;RatingRange),"RANGE",""))</f>
        <v/>
      </c>
      <c r="M156" s="2" t="str">
        <f t="array" ref="M156">IF($B156="","",IF(OR(IFERROR(INDEX(CalcMoveFlag,MATCH($D156,CalcTeams,0)),"")="CAPPED",IFERROR(INDEX(CalcMoveFlag,MATCH($E156,CalcTeams,0)),"")="CAPPED"),"CAPPED",""))</f>
        <v/>
      </c>
      <c r="N156" s="2" t="str">
        <f>IF($B156="","",IF(ABS(SUMIFS(AdjSpread,AdjGameID,$B156,AdjActive,1))&gt;AdjCap,"LARGE",""))</f>
        <v/>
      </c>
      <c r="O156" s="2" t="str">
        <f t="array" ref="O156">IF($B156="","",IFERROR(INDEX(MktStale,MATCH($B156,MktGameID,0)),""))</f>
        <v/>
      </c>
      <c r="P156" s="2" t="str">
        <f t="shared" si="1"/>
        <v>READY</v>
      </c>
    </row>
    <row r="157" ht="15.0" customHeight="1">
      <c r="A157" s="2">
        <v>146.0</v>
      </c>
      <c r="B157" s="2" t="str">
        <f t="array" ref="B157">IFERROR(INDEX(SchedZone,MATCH($A157,SchedSeq,0),MAP!$B$6),"")</f>
        <v>2026_10_LA_ARI</v>
      </c>
      <c r="C157" s="2">
        <f t="array" ref="C157">IF($B157="","",INDEX(SchedZone,MATCH($A157,SchedSeq,0),MAP!$B$4))</f>
        <v>10</v>
      </c>
      <c r="D157" s="2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2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2" t="str">
        <f>IF($B157="","",IF(COUNTIF(EngGameID,$B157)&gt;1,"DUP",""))</f>
        <v/>
      </c>
      <c r="G157" s="2" t="str">
        <f>IF($B157="","",IF(OR(COUNTIFS(EngWeek,$C157,EngAway,$D157)+COUNTIFS(EngWeek,$C157,EngHome,$D157)&gt;1,COUNTIFS(EngWeek,$C157,EngAway,$E157)+COUNTIFS(EngWeek,$C157,EngHome,$E157)&gt;1),"DUP",""))</f>
        <v/>
      </c>
      <c r="H157" s="2" t="str">
        <f>IF($B157="","",IF(OR(SUMPRODUCT((CLGameID=$B157)*CLUnmatched)&gt;0,LEFT($D157,1)="⚠",LEFT($E157,1)="⚠"),"UNMATCHED",""))</f>
        <v/>
      </c>
      <c r="I157" s="2" t="str">
        <f t="array" ref="I157">IF($B157="","",IF(OR(NOT(ISNUMBER(IFERROR(INDEX(RatEff,MATCH($D157,RatTeams,0)),"x"))),NOT(ISNUMBER(IFERROR(INDEX(RatEff,MATCH($E157,RatTeams,0)),"x")))),"MISSING",""))</f>
        <v/>
      </c>
      <c r="J157" s="2" t="str">
        <f>IF($B157="","",IF(SUMPRODUCT((CLGameID=$B157)*CLPlayed*(CLUseCur+CLUsePrev&gt;0)*(CLPlays=0))&gt;0,"MISSING",""))</f>
        <v/>
      </c>
      <c r="K157" s="2" t="str">
        <f>IF($B157="","",IF(SUMPRODUCT((CLGameID=$B157)*CLPlayed*((CLOffPts&lt;-20)+(CLOffPts&gt;90)))&gt;0,"CHECK",""))</f>
        <v/>
      </c>
      <c r="L157" s="2" t="str">
        <f t="array" ref="L157">IF($B157="","",IF(OR(ABS(IFERROR(INDEX(RatEff,MATCH($D157,RatTeams,0)),0))&gt;RatingRange,ABS(IFERROR(INDEX(RatEff,MATCH($E157,RatTeams,0)),0))&gt;RatingRange),"RANGE",""))</f>
        <v/>
      </c>
      <c r="M157" s="2" t="str">
        <f t="array" ref="M157">IF($B157="","",IF(OR(IFERROR(INDEX(CalcMoveFlag,MATCH($D157,CalcTeams,0)),"")="CAPPED",IFERROR(INDEX(CalcMoveFlag,MATCH($E157,CalcTeams,0)),"")="CAPPED"),"CAPPED",""))</f>
        <v/>
      </c>
      <c r="N157" s="2" t="str">
        <f>IF($B157="","",IF(ABS(SUMIFS(AdjSpread,AdjGameID,$B157,AdjActive,1))&gt;AdjCap,"LARGE",""))</f>
        <v/>
      </c>
      <c r="O157" s="2" t="str">
        <f t="array" ref="O157">IF($B157="","",IFERROR(INDEX(MktStale,MATCH($B157,MktGameID,0)),""))</f>
        <v/>
      </c>
      <c r="P157" s="2" t="str">
        <f t="shared" si="1"/>
        <v>READY</v>
      </c>
    </row>
    <row r="158" ht="15.0" customHeight="1">
      <c r="A158" s="2">
        <v>147.0</v>
      </c>
      <c r="B158" s="2" t="str">
        <f t="array" ref="B158">IFERROR(INDEX(SchedZone,MATCH($A158,SchedSeq,0),MAP!$B$6),"")</f>
        <v>2026_10_SEA_LV</v>
      </c>
      <c r="C158" s="2">
        <f t="array" ref="C158">IF($B158="","",INDEX(SchedZone,MATCH($A158,SchedSeq,0),MAP!$B$4))</f>
        <v>10</v>
      </c>
      <c r="D158" s="2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2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2" t="str">
        <f>IF($B158="","",IF(COUNTIF(EngGameID,$B158)&gt;1,"DUP",""))</f>
        <v/>
      </c>
      <c r="G158" s="2" t="str">
        <f>IF($B158="","",IF(OR(COUNTIFS(EngWeek,$C158,EngAway,$D158)+COUNTIFS(EngWeek,$C158,EngHome,$D158)&gt;1,COUNTIFS(EngWeek,$C158,EngAway,$E158)+COUNTIFS(EngWeek,$C158,EngHome,$E158)&gt;1),"DUP",""))</f>
        <v/>
      </c>
      <c r="H158" s="2" t="str">
        <f>IF($B158="","",IF(OR(SUMPRODUCT((CLGameID=$B158)*CLUnmatched)&gt;0,LEFT($D158,1)="⚠",LEFT($E158,1)="⚠"),"UNMATCHED",""))</f>
        <v/>
      </c>
      <c r="I158" s="2" t="str">
        <f t="array" ref="I158">IF($B158="","",IF(OR(NOT(ISNUMBER(IFERROR(INDEX(RatEff,MATCH($D158,RatTeams,0)),"x"))),NOT(ISNUMBER(IFERROR(INDEX(RatEff,MATCH($E158,RatTeams,0)),"x")))),"MISSING",""))</f>
        <v/>
      </c>
      <c r="J158" s="2" t="str">
        <f>IF($B158="","",IF(SUMPRODUCT((CLGameID=$B158)*CLPlayed*(CLUseCur+CLUsePrev&gt;0)*(CLPlays=0))&gt;0,"MISSING",""))</f>
        <v/>
      </c>
      <c r="K158" s="2" t="str">
        <f>IF($B158="","",IF(SUMPRODUCT((CLGameID=$B158)*CLPlayed*((CLOffPts&lt;-20)+(CLOffPts&gt;90)))&gt;0,"CHECK",""))</f>
        <v/>
      </c>
      <c r="L158" s="2" t="str">
        <f t="array" ref="L158">IF($B158="","",IF(OR(ABS(IFERROR(INDEX(RatEff,MATCH($D158,RatTeams,0)),0))&gt;RatingRange,ABS(IFERROR(INDEX(RatEff,MATCH($E158,RatTeams,0)),0))&gt;RatingRange),"RANGE",""))</f>
        <v/>
      </c>
      <c r="M158" s="2" t="str">
        <f t="array" ref="M158">IF($B158="","",IF(OR(IFERROR(INDEX(CalcMoveFlag,MATCH($D158,CalcTeams,0)),"")="CAPPED",IFERROR(INDEX(CalcMoveFlag,MATCH($E158,CalcTeams,0)),"")="CAPPED"),"CAPPED",""))</f>
        <v/>
      </c>
      <c r="N158" s="2" t="str">
        <f>IF($B158="","",IF(ABS(SUMIFS(AdjSpread,AdjGameID,$B158,AdjActive,1))&gt;AdjCap,"LARGE",""))</f>
        <v/>
      </c>
      <c r="O158" s="2" t="str">
        <f t="array" ref="O158">IF($B158="","",IFERROR(INDEX(MktStale,MATCH($B158,MktGameID,0)),""))</f>
        <v/>
      </c>
      <c r="P158" s="2" t="str">
        <f t="shared" si="1"/>
        <v>READY</v>
      </c>
    </row>
    <row r="159" ht="15.0" customHeight="1">
      <c r="A159" s="2">
        <v>148.0</v>
      </c>
      <c r="B159" s="2" t="str">
        <f t="array" ref="B159">IFERROR(INDEX(SchedZone,MATCH($A159,SchedSeq,0),MAP!$B$6),"")</f>
        <v>2026_10_SF_DAL</v>
      </c>
      <c r="C159" s="2">
        <f t="array" ref="C159">IF($B159="","",INDEX(SchedZone,MATCH($A159,SchedSeq,0),MAP!$B$4))</f>
        <v>10</v>
      </c>
      <c r="D159" s="2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2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2" t="str">
        <f>IF($B159="","",IF(COUNTIF(EngGameID,$B159)&gt;1,"DUP",""))</f>
        <v/>
      </c>
      <c r="G159" s="2" t="str">
        <f>IF($B159="","",IF(OR(COUNTIFS(EngWeek,$C159,EngAway,$D159)+COUNTIFS(EngWeek,$C159,EngHome,$D159)&gt;1,COUNTIFS(EngWeek,$C159,EngAway,$E159)+COUNTIFS(EngWeek,$C159,EngHome,$E159)&gt;1),"DUP",""))</f>
        <v/>
      </c>
      <c r="H159" s="2" t="str">
        <f>IF($B159="","",IF(OR(SUMPRODUCT((CLGameID=$B159)*CLUnmatched)&gt;0,LEFT($D159,1)="⚠",LEFT($E159,1)="⚠"),"UNMATCHED",""))</f>
        <v/>
      </c>
      <c r="I159" s="2" t="str">
        <f t="array" ref="I159">IF($B159="","",IF(OR(NOT(ISNUMBER(IFERROR(INDEX(RatEff,MATCH($D159,RatTeams,0)),"x"))),NOT(ISNUMBER(IFERROR(INDEX(RatEff,MATCH($E159,RatTeams,0)),"x")))),"MISSING",""))</f>
        <v/>
      </c>
      <c r="J159" s="2" t="str">
        <f>IF($B159="","",IF(SUMPRODUCT((CLGameID=$B159)*CLPlayed*(CLUseCur+CLUsePrev&gt;0)*(CLPlays=0))&gt;0,"MISSING",""))</f>
        <v/>
      </c>
      <c r="K159" s="2" t="str">
        <f>IF($B159="","",IF(SUMPRODUCT((CLGameID=$B159)*CLPlayed*((CLOffPts&lt;-20)+(CLOffPts&gt;90)))&gt;0,"CHECK",""))</f>
        <v/>
      </c>
      <c r="L159" s="2" t="str">
        <f t="array" ref="L159">IF($B159="","",IF(OR(ABS(IFERROR(INDEX(RatEff,MATCH($D159,RatTeams,0)),0))&gt;RatingRange,ABS(IFERROR(INDEX(RatEff,MATCH($E159,RatTeams,0)),0))&gt;RatingRange),"RANGE",""))</f>
        <v/>
      </c>
      <c r="M159" s="2" t="str">
        <f t="array" ref="M159">IF($B159="","",IF(OR(IFERROR(INDEX(CalcMoveFlag,MATCH($D159,CalcTeams,0)),"")="CAPPED",IFERROR(INDEX(CalcMoveFlag,MATCH($E159,CalcTeams,0)),"")="CAPPED"),"CAPPED",""))</f>
        <v/>
      </c>
      <c r="N159" s="2" t="str">
        <f>IF($B159="","",IF(ABS(SUMIFS(AdjSpread,AdjGameID,$B159,AdjActive,1))&gt;AdjCap,"LARGE",""))</f>
        <v/>
      </c>
      <c r="O159" s="2" t="str">
        <f t="array" ref="O159">IF($B159="","",IFERROR(INDEX(MktStale,MATCH($B159,MktGameID,0)),""))</f>
        <v/>
      </c>
      <c r="P159" s="2" t="str">
        <f t="shared" si="1"/>
        <v>READY</v>
      </c>
    </row>
    <row r="160" ht="15.0" customHeight="1">
      <c r="A160" s="2">
        <v>149.0</v>
      </c>
      <c r="B160" s="2" t="str">
        <f t="array" ref="B160">IFERROR(INDEX(SchedZone,MATCH($A160,SchedSeq,0),MAP!$B$6),"")</f>
        <v>2026_10_PIT_CIN</v>
      </c>
      <c r="C160" s="2">
        <f t="array" ref="C160">IF($B160="","",INDEX(SchedZone,MATCH($A160,SchedSeq,0),MAP!$B$4))</f>
        <v>10</v>
      </c>
      <c r="D160" s="2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2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2" t="str">
        <f>IF($B160="","",IF(COUNTIF(EngGameID,$B160)&gt;1,"DUP",""))</f>
        <v/>
      </c>
      <c r="G160" s="2" t="str">
        <f>IF($B160="","",IF(OR(COUNTIFS(EngWeek,$C160,EngAway,$D160)+COUNTIFS(EngWeek,$C160,EngHome,$D160)&gt;1,COUNTIFS(EngWeek,$C160,EngAway,$E160)+COUNTIFS(EngWeek,$C160,EngHome,$E160)&gt;1),"DUP",""))</f>
        <v/>
      </c>
      <c r="H160" s="2" t="str">
        <f>IF($B160="","",IF(OR(SUMPRODUCT((CLGameID=$B160)*CLUnmatched)&gt;0,LEFT($D160,1)="⚠",LEFT($E160,1)="⚠"),"UNMATCHED",""))</f>
        <v/>
      </c>
      <c r="I160" s="2" t="str">
        <f t="array" ref="I160">IF($B160="","",IF(OR(NOT(ISNUMBER(IFERROR(INDEX(RatEff,MATCH($D160,RatTeams,0)),"x"))),NOT(ISNUMBER(IFERROR(INDEX(RatEff,MATCH($E160,RatTeams,0)),"x")))),"MISSING",""))</f>
        <v/>
      </c>
      <c r="J160" s="2" t="str">
        <f>IF($B160="","",IF(SUMPRODUCT((CLGameID=$B160)*CLPlayed*(CLUseCur+CLUsePrev&gt;0)*(CLPlays=0))&gt;0,"MISSING",""))</f>
        <v/>
      </c>
      <c r="K160" s="2" t="str">
        <f>IF($B160="","",IF(SUMPRODUCT((CLGameID=$B160)*CLPlayed*((CLOffPts&lt;-20)+(CLOffPts&gt;90)))&gt;0,"CHECK",""))</f>
        <v/>
      </c>
      <c r="L160" s="2" t="str">
        <f t="array" ref="L160">IF($B160="","",IF(OR(ABS(IFERROR(INDEX(RatEff,MATCH($D160,RatTeams,0)),0))&gt;RatingRange,ABS(IFERROR(INDEX(RatEff,MATCH($E160,RatTeams,0)),0))&gt;RatingRange),"RANGE",""))</f>
        <v/>
      </c>
      <c r="M160" s="2" t="str">
        <f t="array" ref="M160">IF($B160="","",IF(OR(IFERROR(INDEX(CalcMoveFlag,MATCH($D160,CalcTeams,0)),"")="CAPPED",IFERROR(INDEX(CalcMoveFlag,MATCH($E160,CalcTeams,0)),"")="CAPPED"),"CAPPED",""))</f>
        <v/>
      </c>
      <c r="N160" s="2" t="str">
        <f>IF($B160="","",IF(ABS(SUMIFS(AdjSpread,AdjGameID,$B160,AdjActive,1))&gt;AdjCap,"LARGE",""))</f>
        <v/>
      </c>
      <c r="O160" s="2" t="str">
        <f t="array" ref="O160">IF($B160="","",IFERROR(INDEX(MktStale,MATCH($B160,MktGameID,0)),""))</f>
        <v/>
      </c>
      <c r="P160" s="2" t="str">
        <f t="shared" si="1"/>
        <v>READY</v>
      </c>
    </row>
    <row r="161" ht="15.0" customHeight="1">
      <c r="A161" s="2">
        <v>150.0</v>
      </c>
      <c r="B161" s="2" t="str">
        <f t="array" ref="B161">IFERROR(INDEX(SchedZone,MATCH($A161,SchedSeq,0),MAP!$B$6),"")</f>
        <v>2026_10_LAC_BAL</v>
      </c>
      <c r="C161" s="2">
        <f t="array" ref="C161">IF($B161="","",INDEX(SchedZone,MATCH($A161,SchedSeq,0),MAP!$B$4))</f>
        <v>10</v>
      </c>
      <c r="D161" s="2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2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2" t="str">
        <f>IF($B161="","",IF(COUNTIF(EngGameID,$B161)&gt;1,"DUP",""))</f>
        <v/>
      </c>
      <c r="G161" s="2" t="str">
        <f>IF($B161="","",IF(OR(COUNTIFS(EngWeek,$C161,EngAway,$D161)+COUNTIFS(EngWeek,$C161,EngHome,$D161)&gt;1,COUNTIFS(EngWeek,$C161,EngAway,$E161)+COUNTIFS(EngWeek,$C161,EngHome,$E161)&gt;1),"DUP",""))</f>
        <v/>
      </c>
      <c r="H161" s="2" t="str">
        <f>IF($B161="","",IF(OR(SUMPRODUCT((CLGameID=$B161)*CLUnmatched)&gt;0,LEFT($D161,1)="⚠",LEFT($E161,1)="⚠"),"UNMATCHED",""))</f>
        <v/>
      </c>
      <c r="I161" s="2" t="str">
        <f t="array" ref="I161">IF($B161="","",IF(OR(NOT(ISNUMBER(IFERROR(INDEX(RatEff,MATCH($D161,RatTeams,0)),"x"))),NOT(ISNUMBER(IFERROR(INDEX(RatEff,MATCH($E161,RatTeams,0)),"x")))),"MISSING",""))</f>
        <v/>
      </c>
      <c r="J161" s="2" t="str">
        <f>IF($B161="","",IF(SUMPRODUCT((CLGameID=$B161)*CLPlayed*(CLUseCur+CLUsePrev&gt;0)*(CLPlays=0))&gt;0,"MISSING",""))</f>
        <v/>
      </c>
      <c r="K161" s="2" t="str">
        <f>IF($B161="","",IF(SUMPRODUCT((CLGameID=$B161)*CLPlayed*((CLOffPts&lt;-20)+(CLOffPts&gt;90)))&gt;0,"CHECK",""))</f>
        <v/>
      </c>
      <c r="L161" s="2" t="str">
        <f t="array" ref="L161">IF($B161="","",IF(OR(ABS(IFERROR(INDEX(RatEff,MATCH($D161,RatTeams,0)),0))&gt;RatingRange,ABS(IFERROR(INDEX(RatEff,MATCH($E161,RatTeams,0)),0))&gt;RatingRange),"RANGE",""))</f>
        <v/>
      </c>
      <c r="M161" s="2" t="str">
        <f t="array" ref="M161">IF($B161="","",IF(OR(IFERROR(INDEX(CalcMoveFlag,MATCH($D161,CalcTeams,0)),"")="CAPPED",IFERROR(INDEX(CalcMoveFlag,MATCH($E161,CalcTeams,0)),"")="CAPPED"),"CAPPED",""))</f>
        <v/>
      </c>
      <c r="N161" s="2" t="str">
        <f>IF($B161="","",IF(ABS(SUMIFS(AdjSpread,AdjGameID,$B161,AdjActive,1))&gt;AdjCap,"LARGE",""))</f>
        <v/>
      </c>
      <c r="O161" s="2" t="str">
        <f t="array" ref="O161">IF($B161="","",IFERROR(INDEX(MktStale,MATCH($B161,MktGameID,0)),""))</f>
        <v/>
      </c>
      <c r="P161" s="2" t="str">
        <f t="shared" si="1"/>
        <v>READY</v>
      </c>
    </row>
    <row r="162" ht="15.0" customHeight="1">
      <c r="A162" s="2">
        <v>151.0</v>
      </c>
      <c r="B162" s="2" t="str">
        <f t="array" ref="B162">IFERROR(INDEX(SchedZone,MATCH($A162,SchedSeq,0),MAP!$B$6),"")</f>
        <v>2026_11_IND_HOU</v>
      </c>
      <c r="C162" s="2">
        <f t="array" ref="C162">IF($B162="","",INDEX(SchedZone,MATCH($A162,SchedSeq,0),MAP!$B$4))</f>
        <v>11</v>
      </c>
      <c r="D162" s="2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2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2" t="str">
        <f>IF($B162="","",IF(COUNTIF(EngGameID,$B162)&gt;1,"DUP",""))</f>
        <v/>
      </c>
      <c r="G162" s="2" t="str">
        <f>IF($B162="","",IF(OR(COUNTIFS(EngWeek,$C162,EngAway,$D162)+COUNTIFS(EngWeek,$C162,EngHome,$D162)&gt;1,COUNTIFS(EngWeek,$C162,EngAway,$E162)+COUNTIFS(EngWeek,$C162,EngHome,$E162)&gt;1),"DUP",""))</f>
        <v/>
      </c>
      <c r="H162" s="2" t="str">
        <f>IF($B162="","",IF(OR(SUMPRODUCT((CLGameID=$B162)*CLUnmatched)&gt;0,LEFT($D162,1)="⚠",LEFT($E162,1)="⚠"),"UNMATCHED",""))</f>
        <v/>
      </c>
      <c r="I162" s="2" t="str">
        <f t="array" ref="I162">IF($B162="","",IF(OR(NOT(ISNUMBER(IFERROR(INDEX(RatEff,MATCH($D162,RatTeams,0)),"x"))),NOT(ISNUMBER(IFERROR(INDEX(RatEff,MATCH($E162,RatTeams,0)),"x")))),"MISSING",""))</f>
        <v/>
      </c>
      <c r="J162" s="2" t="str">
        <f>IF($B162="","",IF(SUMPRODUCT((CLGameID=$B162)*CLPlayed*(CLUseCur+CLUsePrev&gt;0)*(CLPlays=0))&gt;0,"MISSING",""))</f>
        <v/>
      </c>
      <c r="K162" s="2" t="str">
        <f>IF($B162="","",IF(SUMPRODUCT((CLGameID=$B162)*CLPlayed*((CLOffPts&lt;-20)+(CLOffPts&gt;90)))&gt;0,"CHECK",""))</f>
        <v/>
      </c>
      <c r="L162" s="2" t="str">
        <f t="array" ref="L162">IF($B162="","",IF(OR(ABS(IFERROR(INDEX(RatEff,MATCH($D162,RatTeams,0)),0))&gt;RatingRange,ABS(IFERROR(INDEX(RatEff,MATCH($E162,RatTeams,0)),0))&gt;RatingRange),"RANGE",""))</f>
        <v/>
      </c>
      <c r="M162" s="2" t="str">
        <f t="array" ref="M162">IF($B162="","",IF(OR(IFERROR(INDEX(CalcMoveFlag,MATCH($D162,CalcTeams,0)),"")="CAPPED",IFERROR(INDEX(CalcMoveFlag,MATCH($E162,CalcTeams,0)),"")="CAPPED"),"CAPPED",""))</f>
        <v/>
      </c>
      <c r="N162" s="2" t="str">
        <f>IF($B162="","",IF(ABS(SUMIFS(AdjSpread,AdjGameID,$B162,AdjActive,1))&gt;AdjCap,"LARGE",""))</f>
        <v/>
      </c>
      <c r="O162" s="2" t="str">
        <f t="array" ref="O162">IF($B162="","",IFERROR(INDEX(MktStale,MATCH($B162,MktGameID,0)),""))</f>
        <v/>
      </c>
      <c r="P162" s="2" t="str">
        <f t="shared" si="1"/>
        <v>READY</v>
      </c>
    </row>
    <row r="163" ht="15.0" customHeight="1">
      <c r="A163" s="2">
        <v>152.0</v>
      </c>
      <c r="B163" s="2" t="str">
        <f t="array" ref="B163">IFERROR(INDEX(SchedZone,MATCH($A163,SchedSeq,0),MAP!$B$6),"")</f>
        <v>2026_11_MIA_BUF</v>
      </c>
      <c r="C163" s="2">
        <f t="array" ref="C163">IF($B163="","",INDEX(SchedZone,MATCH($A163,SchedSeq,0),MAP!$B$4))</f>
        <v>11</v>
      </c>
      <c r="D163" s="2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2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2" t="str">
        <f>IF($B163="","",IF(COUNTIF(EngGameID,$B163)&gt;1,"DUP",""))</f>
        <v/>
      </c>
      <c r="G163" s="2" t="str">
        <f>IF($B163="","",IF(OR(COUNTIFS(EngWeek,$C163,EngAway,$D163)+COUNTIFS(EngWeek,$C163,EngHome,$D163)&gt;1,COUNTIFS(EngWeek,$C163,EngAway,$E163)+COUNTIFS(EngWeek,$C163,EngHome,$E163)&gt;1),"DUP",""))</f>
        <v/>
      </c>
      <c r="H163" s="2" t="str">
        <f>IF($B163="","",IF(OR(SUMPRODUCT((CLGameID=$B163)*CLUnmatched)&gt;0,LEFT($D163,1)="⚠",LEFT($E163,1)="⚠"),"UNMATCHED",""))</f>
        <v/>
      </c>
      <c r="I163" s="2" t="str">
        <f t="array" ref="I163">IF($B163="","",IF(OR(NOT(ISNUMBER(IFERROR(INDEX(RatEff,MATCH($D163,RatTeams,0)),"x"))),NOT(ISNUMBER(IFERROR(INDEX(RatEff,MATCH($E163,RatTeams,0)),"x")))),"MISSING",""))</f>
        <v/>
      </c>
      <c r="J163" s="2" t="str">
        <f>IF($B163="","",IF(SUMPRODUCT((CLGameID=$B163)*CLPlayed*(CLUseCur+CLUsePrev&gt;0)*(CLPlays=0))&gt;0,"MISSING",""))</f>
        <v/>
      </c>
      <c r="K163" s="2" t="str">
        <f>IF($B163="","",IF(SUMPRODUCT((CLGameID=$B163)*CLPlayed*((CLOffPts&lt;-20)+(CLOffPts&gt;90)))&gt;0,"CHECK",""))</f>
        <v/>
      </c>
      <c r="L163" s="2" t="str">
        <f t="array" ref="L163">IF($B163="","",IF(OR(ABS(IFERROR(INDEX(RatEff,MATCH($D163,RatTeams,0)),0))&gt;RatingRange,ABS(IFERROR(INDEX(RatEff,MATCH($E163,RatTeams,0)),0))&gt;RatingRange),"RANGE",""))</f>
        <v/>
      </c>
      <c r="M163" s="2" t="str">
        <f t="array" ref="M163">IF($B163="","",IF(OR(IFERROR(INDEX(CalcMoveFlag,MATCH($D163,CalcTeams,0)),"")="CAPPED",IFERROR(INDEX(CalcMoveFlag,MATCH($E163,CalcTeams,0)),"")="CAPPED"),"CAPPED",""))</f>
        <v/>
      </c>
      <c r="N163" s="2" t="str">
        <f>IF($B163="","",IF(ABS(SUMIFS(AdjSpread,AdjGameID,$B163,AdjActive,1))&gt;AdjCap,"LARGE",""))</f>
        <v/>
      </c>
      <c r="O163" s="2" t="str">
        <f t="array" ref="O163">IF($B163="","",IFERROR(INDEX(MktStale,MATCH($B163,MktGameID,0)),""))</f>
        <v/>
      </c>
      <c r="P163" s="2" t="str">
        <f t="shared" si="1"/>
        <v>READY</v>
      </c>
    </row>
    <row r="164" ht="15.0" customHeight="1">
      <c r="A164" s="2">
        <v>153.0</v>
      </c>
      <c r="B164" s="2" t="str">
        <f t="array" ref="B164">IFERROR(INDEX(SchedZone,MATCH($A164,SchedSeq,0),MAP!$B$6),"")</f>
        <v>2026_11_BAL_CAR</v>
      </c>
      <c r="C164" s="2">
        <f t="array" ref="C164">IF($B164="","",INDEX(SchedZone,MATCH($A164,SchedSeq,0),MAP!$B$4))</f>
        <v>11</v>
      </c>
      <c r="D164" s="2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2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2" t="str">
        <f>IF($B164="","",IF(COUNTIF(EngGameID,$B164)&gt;1,"DUP",""))</f>
        <v/>
      </c>
      <c r="G164" s="2" t="str">
        <f>IF($B164="","",IF(OR(COUNTIFS(EngWeek,$C164,EngAway,$D164)+COUNTIFS(EngWeek,$C164,EngHome,$D164)&gt;1,COUNTIFS(EngWeek,$C164,EngAway,$E164)+COUNTIFS(EngWeek,$C164,EngHome,$E164)&gt;1),"DUP",""))</f>
        <v/>
      </c>
      <c r="H164" s="2" t="str">
        <f>IF($B164="","",IF(OR(SUMPRODUCT((CLGameID=$B164)*CLUnmatched)&gt;0,LEFT($D164,1)="⚠",LEFT($E164,1)="⚠"),"UNMATCHED",""))</f>
        <v/>
      </c>
      <c r="I164" s="2" t="str">
        <f t="array" ref="I164">IF($B164="","",IF(OR(NOT(ISNUMBER(IFERROR(INDEX(RatEff,MATCH($D164,RatTeams,0)),"x"))),NOT(ISNUMBER(IFERROR(INDEX(RatEff,MATCH($E164,RatTeams,0)),"x")))),"MISSING",""))</f>
        <v/>
      </c>
      <c r="J164" s="2" t="str">
        <f>IF($B164="","",IF(SUMPRODUCT((CLGameID=$B164)*CLPlayed*(CLUseCur+CLUsePrev&gt;0)*(CLPlays=0))&gt;0,"MISSING",""))</f>
        <v/>
      </c>
      <c r="K164" s="2" t="str">
        <f>IF($B164="","",IF(SUMPRODUCT((CLGameID=$B164)*CLPlayed*((CLOffPts&lt;-20)+(CLOffPts&gt;90)))&gt;0,"CHECK",""))</f>
        <v/>
      </c>
      <c r="L164" s="2" t="str">
        <f t="array" ref="L164">IF($B164="","",IF(OR(ABS(IFERROR(INDEX(RatEff,MATCH($D164,RatTeams,0)),0))&gt;RatingRange,ABS(IFERROR(INDEX(RatEff,MATCH($E164,RatTeams,0)),0))&gt;RatingRange),"RANGE",""))</f>
        <v/>
      </c>
      <c r="M164" s="2" t="str">
        <f t="array" ref="M164">IF($B164="","",IF(OR(IFERROR(INDEX(CalcMoveFlag,MATCH($D164,CalcTeams,0)),"")="CAPPED",IFERROR(INDEX(CalcMoveFlag,MATCH($E164,CalcTeams,0)),"")="CAPPED"),"CAPPED",""))</f>
        <v/>
      </c>
      <c r="N164" s="2" t="str">
        <f>IF($B164="","",IF(ABS(SUMIFS(AdjSpread,AdjGameID,$B164,AdjActive,1))&gt;AdjCap,"LARGE",""))</f>
        <v/>
      </c>
      <c r="O164" s="2" t="str">
        <f t="array" ref="O164">IF($B164="","",IFERROR(INDEX(MktStale,MATCH($B164,MktGameID,0)),""))</f>
        <v/>
      </c>
      <c r="P164" s="2" t="str">
        <f t="shared" si="1"/>
        <v>READY</v>
      </c>
    </row>
    <row r="165" ht="15.0" customHeight="1">
      <c r="A165" s="2">
        <v>154.0</v>
      </c>
      <c r="B165" s="2" t="str">
        <f t="array" ref="B165">IFERROR(INDEX(SchedZone,MATCH($A165,SchedSeq,0),MAP!$B$6),"")</f>
        <v>2026_11_NO_CHI</v>
      </c>
      <c r="C165" s="2">
        <f t="array" ref="C165">IF($B165="","",INDEX(SchedZone,MATCH($A165,SchedSeq,0),MAP!$B$4))</f>
        <v>11</v>
      </c>
      <c r="D165" s="2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2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2" t="str">
        <f>IF($B165="","",IF(COUNTIF(EngGameID,$B165)&gt;1,"DUP",""))</f>
        <v/>
      </c>
      <c r="G165" s="2" t="str">
        <f>IF($B165="","",IF(OR(COUNTIFS(EngWeek,$C165,EngAway,$D165)+COUNTIFS(EngWeek,$C165,EngHome,$D165)&gt;1,COUNTIFS(EngWeek,$C165,EngAway,$E165)+COUNTIFS(EngWeek,$C165,EngHome,$E165)&gt;1),"DUP",""))</f>
        <v/>
      </c>
      <c r="H165" s="2" t="str">
        <f>IF($B165="","",IF(OR(SUMPRODUCT((CLGameID=$B165)*CLUnmatched)&gt;0,LEFT($D165,1)="⚠",LEFT($E165,1)="⚠"),"UNMATCHED",""))</f>
        <v/>
      </c>
      <c r="I165" s="2" t="str">
        <f t="array" ref="I165">IF($B165="","",IF(OR(NOT(ISNUMBER(IFERROR(INDEX(RatEff,MATCH($D165,RatTeams,0)),"x"))),NOT(ISNUMBER(IFERROR(INDEX(RatEff,MATCH($E165,RatTeams,0)),"x")))),"MISSING",""))</f>
        <v/>
      </c>
      <c r="J165" s="2" t="str">
        <f>IF($B165="","",IF(SUMPRODUCT((CLGameID=$B165)*CLPlayed*(CLUseCur+CLUsePrev&gt;0)*(CLPlays=0))&gt;0,"MISSING",""))</f>
        <v/>
      </c>
      <c r="K165" s="2" t="str">
        <f>IF($B165="","",IF(SUMPRODUCT((CLGameID=$B165)*CLPlayed*((CLOffPts&lt;-20)+(CLOffPts&gt;90)))&gt;0,"CHECK",""))</f>
        <v/>
      </c>
      <c r="L165" s="2" t="str">
        <f t="array" ref="L165">IF($B165="","",IF(OR(ABS(IFERROR(INDEX(RatEff,MATCH($D165,RatTeams,0)),0))&gt;RatingRange,ABS(IFERROR(INDEX(RatEff,MATCH($E165,RatTeams,0)),0))&gt;RatingRange),"RANGE",""))</f>
        <v/>
      </c>
      <c r="M165" s="2" t="str">
        <f t="array" ref="M165">IF($B165="","",IF(OR(IFERROR(INDEX(CalcMoveFlag,MATCH($D165,CalcTeams,0)),"")="CAPPED",IFERROR(INDEX(CalcMoveFlag,MATCH($E165,CalcTeams,0)),"")="CAPPED"),"CAPPED",""))</f>
        <v/>
      </c>
      <c r="N165" s="2" t="str">
        <f>IF($B165="","",IF(ABS(SUMIFS(AdjSpread,AdjGameID,$B165,AdjActive,1))&gt;AdjCap,"LARGE",""))</f>
        <v/>
      </c>
      <c r="O165" s="2" t="str">
        <f t="array" ref="O165">IF($B165="","",IFERROR(INDEX(MktStale,MATCH($B165,MktGameID,0)),""))</f>
        <v/>
      </c>
      <c r="P165" s="2" t="str">
        <f t="shared" si="1"/>
        <v>READY</v>
      </c>
    </row>
    <row r="166" ht="15.0" customHeight="1">
      <c r="A166" s="2">
        <v>155.0</v>
      </c>
      <c r="B166" s="2" t="str">
        <f t="array" ref="B166">IFERROR(INDEX(SchedZone,MATCH($A166,SchedSeq,0),MAP!$B$6),"")</f>
        <v>2026_11_TEN_DAL</v>
      </c>
      <c r="C166" s="2">
        <f t="array" ref="C166">IF($B166="","",INDEX(SchedZone,MATCH($A166,SchedSeq,0),MAP!$B$4))</f>
        <v>11</v>
      </c>
      <c r="D166" s="2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2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2" t="str">
        <f>IF($B166="","",IF(COUNTIF(EngGameID,$B166)&gt;1,"DUP",""))</f>
        <v/>
      </c>
      <c r="G166" s="2" t="str">
        <f>IF($B166="","",IF(OR(COUNTIFS(EngWeek,$C166,EngAway,$D166)+COUNTIFS(EngWeek,$C166,EngHome,$D166)&gt;1,COUNTIFS(EngWeek,$C166,EngAway,$E166)+COUNTIFS(EngWeek,$C166,EngHome,$E166)&gt;1),"DUP",""))</f>
        <v/>
      </c>
      <c r="H166" s="2" t="str">
        <f>IF($B166="","",IF(OR(SUMPRODUCT((CLGameID=$B166)*CLUnmatched)&gt;0,LEFT($D166,1)="⚠",LEFT($E166,1)="⚠"),"UNMATCHED",""))</f>
        <v/>
      </c>
      <c r="I166" s="2" t="str">
        <f t="array" ref="I166">IF($B166="","",IF(OR(NOT(ISNUMBER(IFERROR(INDEX(RatEff,MATCH($D166,RatTeams,0)),"x"))),NOT(ISNUMBER(IFERROR(INDEX(RatEff,MATCH($E166,RatTeams,0)),"x")))),"MISSING",""))</f>
        <v/>
      </c>
      <c r="J166" s="2" t="str">
        <f>IF($B166="","",IF(SUMPRODUCT((CLGameID=$B166)*CLPlayed*(CLUseCur+CLUsePrev&gt;0)*(CLPlays=0))&gt;0,"MISSING",""))</f>
        <v/>
      </c>
      <c r="K166" s="2" t="str">
        <f>IF($B166="","",IF(SUMPRODUCT((CLGameID=$B166)*CLPlayed*((CLOffPts&lt;-20)+(CLOffPts&gt;90)))&gt;0,"CHECK",""))</f>
        <v/>
      </c>
      <c r="L166" s="2" t="str">
        <f t="array" ref="L166">IF($B166="","",IF(OR(ABS(IFERROR(INDEX(RatEff,MATCH($D166,RatTeams,0)),0))&gt;RatingRange,ABS(IFERROR(INDEX(RatEff,MATCH($E166,RatTeams,0)),0))&gt;RatingRange),"RANGE",""))</f>
        <v/>
      </c>
      <c r="M166" s="2" t="str">
        <f t="array" ref="M166">IF($B166="","",IF(OR(IFERROR(INDEX(CalcMoveFlag,MATCH($D166,CalcTeams,0)),"")="CAPPED",IFERROR(INDEX(CalcMoveFlag,MATCH($E166,CalcTeams,0)),"")="CAPPED"),"CAPPED",""))</f>
        <v/>
      </c>
      <c r="N166" s="2" t="str">
        <f>IF($B166="","",IF(ABS(SUMIFS(AdjSpread,AdjGameID,$B166,AdjActive,1))&gt;AdjCap,"LARGE",""))</f>
        <v/>
      </c>
      <c r="O166" s="2" t="str">
        <f t="array" ref="O166">IF($B166="","",IFERROR(INDEX(MktStale,MATCH($B166,MktGameID,0)),""))</f>
        <v/>
      </c>
      <c r="P166" s="2" t="str">
        <f t="shared" si="1"/>
        <v>READY</v>
      </c>
    </row>
    <row r="167" ht="15.0" customHeight="1">
      <c r="A167" s="2">
        <v>156.0</v>
      </c>
      <c r="B167" s="2" t="str">
        <f t="array" ref="B167">IFERROR(INDEX(SchedZone,MATCH($A167,SchedSeq,0),MAP!$B$6),"")</f>
        <v>2026_11_TB_DET</v>
      </c>
      <c r="C167" s="2">
        <f t="array" ref="C167">IF($B167="","",INDEX(SchedZone,MATCH($A167,SchedSeq,0),MAP!$B$4))</f>
        <v>11</v>
      </c>
      <c r="D167" s="2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2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2" t="str">
        <f>IF($B167="","",IF(COUNTIF(EngGameID,$B167)&gt;1,"DUP",""))</f>
        <v/>
      </c>
      <c r="G167" s="2" t="str">
        <f>IF($B167="","",IF(OR(COUNTIFS(EngWeek,$C167,EngAway,$D167)+COUNTIFS(EngWeek,$C167,EngHome,$D167)&gt;1,COUNTIFS(EngWeek,$C167,EngAway,$E167)+COUNTIFS(EngWeek,$C167,EngHome,$E167)&gt;1),"DUP",""))</f>
        <v/>
      </c>
      <c r="H167" s="2" t="str">
        <f>IF($B167="","",IF(OR(SUMPRODUCT((CLGameID=$B167)*CLUnmatched)&gt;0,LEFT($D167,1)="⚠",LEFT($E167,1)="⚠"),"UNMATCHED",""))</f>
        <v/>
      </c>
      <c r="I167" s="2" t="str">
        <f t="array" ref="I167">IF($B167="","",IF(OR(NOT(ISNUMBER(IFERROR(INDEX(RatEff,MATCH($D167,RatTeams,0)),"x"))),NOT(ISNUMBER(IFERROR(INDEX(RatEff,MATCH($E167,RatTeams,0)),"x")))),"MISSING",""))</f>
        <v/>
      </c>
      <c r="J167" s="2" t="str">
        <f>IF($B167="","",IF(SUMPRODUCT((CLGameID=$B167)*CLPlayed*(CLUseCur+CLUsePrev&gt;0)*(CLPlays=0))&gt;0,"MISSING",""))</f>
        <v/>
      </c>
      <c r="K167" s="2" t="str">
        <f>IF($B167="","",IF(SUMPRODUCT((CLGameID=$B167)*CLPlayed*((CLOffPts&lt;-20)+(CLOffPts&gt;90)))&gt;0,"CHECK",""))</f>
        <v/>
      </c>
      <c r="L167" s="2" t="str">
        <f t="array" ref="L167">IF($B167="","",IF(OR(ABS(IFERROR(INDEX(RatEff,MATCH($D167,RatTeams,0)),0))&gt;RatingRange,ABS(IFERROR(INDEX(RatEff,MATCH($E167,RatTeams,0)),0))&gt;RatingRange),"RANGE",""))</f>
        <v/>
      </c>
      <c r="M167" s="2" t="str">
        <f t="array" ref="M167">IF($B167="","",IF(OR(IFERROR(INDEX(CalcMoveFlag,MATCH($D167,CalcTeams,0)),"")="CAPPED",IFERROR(INDEX(CalcMoveFlag,MATCH($E167,CalcTeams,0)),"")="CAPPED"),"CAPPED",""))</f>
        <v/>
      </c>
      <c r="N167" s="2" t="str">
        <f>IF($B167="","",IF(ABS(SUMIFS(AdjSpread,AdjGameID,$B167,AdjActive,1))&gt;AdjCap,"LARGE",""))</f>
        <v/>
      </c>
      <c r="O167" s="2" t="str">
        <f t="array" ref="O167">IF($B167="","",IFERROR(INDEX(MktStale,MATCH($B167,MktGameID,0)),""))</f>
        <v/>
      </c>
      <c r="P167" s="2" t="str">
        <f t="shared" si="1"/>
        <v>READY</v>
      </c>
    </row>
    <row r="168" ht="15.0" customHeight="1">
      <c r="A168" s="2">
        <v>157.0</v>
      </c>
      <c r="B168" s="2" t="str">
        <f t="array" ref="B168">IFERROR(INDEX(SchedZone,MATCH($A168,SchedSeq,0),MAP!$B$6),"")</f>
        <v>2026_11_ARI_KC</v>
      </c>
      <c r="C168" s="2">
        <f t="array" ref="C168">IF($B168="","",INDEX(SchedZone,MATCH($A168,SchedSeq,0),MAP!$B$4))</f>
        <v>11</v>
      </c>
      <c r="D168" s="2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2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2" t="str">
        <f>IF($B168="","",IF(COUNTIF(EngGameID,$B168)&gt;1,"DUP",""))</f>
        <v/>
      </c>
      <c r="G168" s="2" t="str">
        <f>IF($B168="","",IF(OR(COUNTIFS(EngWeek,$C168,EngAway,$D168)+COUNTIFS(EngWeek,$C168,EngHome,$D168)&gt;1,COUNTIFS(EngWeek,$C168,EngAway,$E168)+COUNTIFS(EngWeek,$C168,EngHome,$E168)&gt;1),"DUP",""))</f>
        <v/>
      </c>
      <c r="H168" s="2" t="str">
        <f>IF($B168="","",IF(OR(SUMPRODUCT((CLGameID=$B168)*CLUnmatched)&gt;0,LEFT($D168,1)="⚠",LEFT($E168,1)="⚠"),"UNMATCHED",""))</f>
        <v/>
      </c>
      <c r="I168" s="2" t="str">
        <f t="array" ref="I168">IF($B168="","",IF(OR(NOT(ISNUMBER(IFERROR(INDEX(RatEff,MATCH($D168,RatTeams,0)),"x"))),NOT(ISNUMBER(IFERROR(INDEX(RatEff,MATCH($E168,RatTeams,0)),"x")))),"MISSING",""))</f>
        <v/>
      </c>
      <c r="J168" s="2" t="str">
        <f>IF($B168="","",IF(SUMPRODUCT((CLGameID=$B168)*CLPlayed*(CLUseCur+CLUsePrev&gt;0)*(CLPlays=0))&gt;0,"MISSING",""))</f>
        <v/>
      </c>
      <c r="K168" s="2" t="str">
        <f>IF($B168="","",IF(SUMPRODUCT((CLGameID=$B168)*CLPlayed*((CLOffPts&lt;-20)+(CLOffPts&gt;90)))&gt;0,"CHECK",""))</f>
        <v/>
      </c>
      <c r="L168" s="2" t="str">
        <f t="array" ref="L168">IF($B168="","",IF(OR(ABS(IFERROR(INDEX(RatEff,MATCH($D168,RatTeams,0)),0))&gt;RatingRange,ABS(IFERROR(INDEX(RatEff,MATCH($E168,RatTeams,0)),0))&gt;RatingRange),"RANGE",""))</f>
        <v/>
      </c>
      <c r="M168" s="2" t="str">
        <f t="array" ref="M168">IF($B168="","",IF(OR(IFERROR(INDEX(CalcMoveFlag,MATCH($D168,CalcTeams,0)),"")="CAPPED",IFERROR(INDEX(CalcMoveFlag,MATCH($E168,CalcTeams,0)),"")="CAPPED"),"CAPPED",""))</f>
        <v/>
      </c>
      <c r="N168" s="2" t="str">
        <f>IF($B168="","",IF(ABS(SUMIFS(AdjSpread,AdjGameID,$B168,AdjActive,1))&gt;AdjCap,"LARGE",""))</f>
        <v/>
      </c>
      <c r="O168" s="2" t="str">
        <f t="array" ref="O168">IF($B168="","",IFERROR(INDEX(MktStale,MATCH($B168,MktGameID,0)),""))</f>
        <v/>
      </c>
      <c r="P168" s="2" t="str">
        <f t="shared" si="1"/>
        <v>READY</v>
      </c>
    </row>
    <row r="169" ht="15.0" customHeight="1">
      <c r="A169" s="2">
        <v>158.0</v>
      </c>
      <c r="B169" s="2" t="str">
        <f t="array" ref="B169">IFERROR(INDEX(SchedZone,MATCH($A169,SchedSeq,0),MAP!$B$6),"")</f>
        <v>2026_11_JAX_NYG</v>
      </c>
      <c r="C169" s="2">
        <f t="array" ref="C169">IF($B169="","",INDEX(SchedZone,MATCH($A169,SchedSeq,0),MAP!$B$4))</f>
        <v>11</v>
      </c>
      <c r="D169" s="2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2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2" t="str">
        <f>IF($B169="","",IF(COUNTIF(EngGameID,$B169)&gt;1,"DUP",""))</f>
        <v/>
      </c>
      <c r="G169" s="2" t="str">
        <f>IF($B169="","",IF(OR(COUNTIFS(EngWeek,$C169,EngAway,$D169)+COUNTIFS(EngWeek,$C169,EngHome,$D169)&gt;1,COUNTIFS(EngWeek,$C169,EngAway,$E169)+COUNTIFS(EngWeek,$C169,EngHome,$E169)&gt;1),"DUP",""))</f>
        <v/>
      </c>
      <c r="H169" s="2" t="str">
        <f>IF($B169="","",IF(OR(SUMPRODUCT((CLGameID=$B169)*CLUnmatched)&gt;0,LEFT($D169,1)="⚠",LEFT($E169,1)="⚠"),"UNMATCHED",""))</f>
        <v/>
      </c>
      <c r="I169" s="2" t="str">
        <f t="array" ref="I169">IF($B169="","",IF(OR(NOT(ISNUMBER(IFERROR(INDEX(RatEff,MATCH($D169,RatTeams,0)),"x"))),NOT(ISNUMBER(IFERROR(INDEX(RatEff,MATCH($E169,RatTeams,0)),"x")))),"MISSING",""))</f>
        <v/>
      </c>
      <c r="J169" s="2" t="str">
        <f>IF($B169="","",IF(SUMPRODUCT((CLGameID=$B169)*CLPlayed*(CLUseCur+CLUsePrev&gt;0)*(CLPlays=0))&gt;0,"MISSING",""))</f>
        <v/>
      </c>
      <c r="K169" s="2" t="str">
        <f>IF($B169="","",IF(SUMPRODUCT((CLGameID=$B169)*CLPlayed*((CLOffPts&lt;-20)+(CLOffPts&gt;90)))&gt;0,"CHECK",""))</f>
        <v/>
      </c>
      <c r="L169" s="2" t="str">
        <f t="array" ref="L169">IF($B169="","",IF(OR(ABS(IFERROR(INDEX(RatEff,MATCH($D169,RatTeams,0)),0))&gt;RatingRange,ABS(IFERROR(INDEX(RatEff,MATCH($E169,RatTeams,0)),0))&gt;RatingRange),"RANGE",""))</f>
        <v/>
      </c>
      <c r="M169" s="2" t="str">
        <f t="array" ref="M169">IF($B169="","",IF(OR(IFERROR(INDEX(CalcMoveFlag,MATCH($D169,CalcTeams,0)),"")="CAPPED",IFERROR(INDEX(CalcMoveFlag,MATCH($E169,CalcTeams,0)),"")="CAPPED"),"CAPPED",""))</f>
        <v/>
      </c>
      <c r="N169" s="2" t="str">
        <f>IF($B169="","",IF(ABS(SUMIFS(AdjSpread,AdjGameID,$B169,AdjActive,1))&gt;AdjCap,"LARGE",""))</f>
        <v/>
      </c>
      <c r="O169" s="2" t="str">
        <f t="array" ref="O169">IF($B169="","",IFERROR(INDEX(MktStale,MATCH($B169,MktGameID,0)),""))</f>
        <v/>
      </c>
      <c r="P169" s="2" t="str">
        <f t="shared" si="1"/>
        <v>READY</v>
      </c>
    </row>
    <row r="170" ht="15.0" customHeight="1">
      <c r="A170" s="2">
        <v>159.0</v>
      </c>
      <c r="B170" s="2" t="str">
        <f t="array" ref="B170">IFERROR(INDEX(SchedZone,MATCH($A170,SchedSeq,0),MAP!$B$6),"")</f>
        <v>2026_11_NYJ_LAC</v>
      </c>
      <c r="C170" s="2">
        <f t="array" ref="C170">IF($B170="","",INDEX(SchedZone,MATCH($A170,SchedSeq,0),MAP!$B$4))</f>
        <v>11</v>
      </c>
      <c r="D170" s="2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2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2" t="str">
        <f>IF($B170="","",IF(COUNTIF(EngGameID,$B170)&gt;1,"DUP",""))</f>
        <v/>
      </c>
      <c r="G170" s="2" t="str">
        <f>IF($B170="","",IF(OR(COUNTIFS(EngWeek,$C170,EngAway,$D170)+COUNTIFS(EngWeek,$C170,EngHome,$D170)&gt;1,COUNTIFS(EngWeek,$C170,EngAway,$E170)+COUNTIFS(EngWeek,$C170,EngHome,$E170)&gt;1),"DUP",""))</f>
        <v/>
      </c>
      <c r="H170" s="2" t="str">
        <f>IF($B170="","",IF(OR(SUMPRODUCT((CLGameID=$B170)*CLUnmatched)&gt;0,LEFT($D170,1)="⚠",LEFT($E170,1)="⚠"),"UNMATCHED",""))</f>
        <v/>
      </c>
      <c r="I170" s="2" t="str">
        <f t="array" ref="I170">IF($B170="","",IF(OR(NOT(ISNUMBER(IFERROR(INDEX(RatEff,MATCH($D170,RatTeams,0)),"x"))),NOT(ISNUMBER(IFERROR(INDEX(RatEff,MATCH($E170,RatTeams,0)),"x")))),"MISSING",""))</f>
        <v/>
      </c>
      <c r="J170" s="2" t="str">
        <f>IF($B170="","",IF(SUMPRODUCT((CLGameID=$B170)*CLPlayed*(CLUseCur+CLUsePrev&gt;0)*(CLPlays=0))&gt;0,"MISSING",""))</f>
        <v/>
      </c>
      <c r="K170" s="2" t="str">
        <f>IF($B170="","",IF(SUMPRODUCT((CLGameID=$B170)*CLPlayed*((CLOffPts&lt;-20)+(CLOffPts&gt;90)))&gt;0,"CHECK",""))</f>
        <v/>
      </c>
      <c r="L170" s="2" t="str">
        <f t="array" ref="L170">IF($B170="","",IF(OR(ABS(IFERROR(INDEX(RatEff,MATCH($D170,RatTeams,0)),0))&gt;RatingRange,ABS(IFERROR(INDEX(RatEff,MATCH($E170,RatTeams,0)),0))&gt;RatingRange),"RANGE",""))</f>
        <v/>
      </c>
      <c r="M170" s="2" t="str">
        <f t="array" ref="M170">IF($B170="","",IF(OR(IFERROR(INDEX(CalcMoveFlag,MATCH($D170,CalcTeams,0)),"")="CAPPED",IFERROR(INDEX(CalcMoveFlag,MATCH($E170,CalcTeams,0)),"")="CAPPED"),"CAPPED",""))</f>
        <v/>
      </c>
      <c r="N170" s="2" t="str">
        <f>IF($B170="","",IF(ABS(SUMIFS(AdjSpread,AdjGameID,$B170,AdjActive,1))&gt;AdjCap,"LARGE",""))</f>
        <v/>
      </c>
      <c r="O170" s="2" t="str">
        <f t="array" ref="O170">IF($B170="","",IFERROR(INDEX(MktStale,MATCH($B170,MktGameID,0)),""))</f>
        <v/>
      </c>
      <c r="P170" s="2" t="str">
        <f t="shared" si="1"/>
        <v>READY</v>
      </c>
    </row>
    <row r="171" ht="15.0" customHeight="1">
      <c r="A171" s="2">
        <v>160.0</v>
      </c>
      <c r="B171" s="2" t="str">
        <f t="array" ref="B171">IFERROR(INDEX(SchedZone,MATCH($A171,SchedSeq,0),MAP!$B$6),"")</f>
        <v>2026_11_LV_DEN</v>
      </c>
      <c r="C171" s="2">
        <f t="array" ref="C171">IF($B171="","",INDEX(SchedZone,MATCH($A171,SchedSeq,0),MAP!$B$4))</f>
        <v>11</v>
      </c>
      <c r="D171" s="2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2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2" t="str">
        <f>IF($B171="","",IF(COUNTIF(EngGameID,$B171)&gt;1,"DUP",""))</f>
        <v/>
      </c>
      <c r="G171" s="2" t="str">
        <f>IF($B171="","",IF(OR(COUNTIFS(EngWeek,$C171,EngAway,$D171)+COUNTIFS(EngWeek,$C171,EngHome,$D171)&gt;1,COUNTIFS(EngWeek,$C171,EngAway,$E171)+COUNTIFS(EngWeek,$C171,EngHome,$E171)&gt;1),"DUP",""))</f>
        <v/>
      </c>
      <c r="H171" s="2" t="str">
        <f>IF($B171="","",IF(OR(SUMPRODUCT((CLGameID=$B171)*CLUnmatched)&gt;0,LEFT($D171,1)="⚠",LEFT($E171,1)="⚠"),"UNMATCHED",""))</f>
        <v/>
      </c>
      <c r="I171" s="2" t="str">
        <f t="array" ref="I171">IF($B171="","",IF(OR(NOT(ISNUMBER(IFERROR(INDEX(RatEff,MATCH($D171,RatTeams,0)),"x"))),NOT(ISNUMBER(IFERROR(INDEX(RatEff,MATCH($E171,RatTeams,0)),"x")))),"MISSING",""))</f>
        <v/>
      </c>
      <c r="J171" s="2" t="str">
        <f>IF($B171="","",IF(SUMPRODUCT((CLGameID=$B171)*CLPlayed*(CLUseCur+CLUsePrev&gt;0)*(CLPlays=0))&gt;0,"MISSING",""))</f>
        <v/>
      </c>
      <c r="K171" s="2" t="str">
        <f>IF($B171="","",IF(SUMPRODUCT((CLGameID=$B171)*CLPlayed*((CLOffPts&lt;-20)+(CLOffPts&gt;90)))&gt;0,"CHECK",""))</f>
        <v/>
      </c>
      <c r="L171" s="2" t="str">
        <f t="array" ref="L171">IF($B171="","",IF(OR(ABS(IFERROR(INDEX(RatEff,MATCH($D171,RatTeams,0)),0))&gt;RatingRange,ABS(IFERROR(INDEX(RatEff,MATCH($E171,RatTeams,0)),0))&gt;RatingRange),"RANGE",""))</f>
        <v/>
      </c>
      <c r="M171" s="2" t="str">
        <f t="array" ref="M171">IF($B171="","",IF(OR(IFERROR(INDEX(CalcMoveFlag,MATCH($D171,CalcTeams,0)),"")="CAPPED",IFERROR(INDEX(CalcMoveFlag,MATCH($E171,CalcTeams,0)),"")="CAPPED"),"CAPPED",""))</f>
        <v/>
      </c>
      <c r="N171" s="2" t="str">
        <f>IF($B171="","",IF(ABS(SUMIFS(AdjSpread,AdjGameID,$B171,AdjActive,1))&gt;AdjCap,"LARGE",""))</f>
        <v/>
      </c>
      <c r="O171" s="2" t="str">
        <f t="array" ref="O171">IF($B171="","",IFERROR(INDEX(MktStale,MATCH($B171,MktGameID,0)),""))</f>
        <v/>
      </c>
      <c r="P171" s="2" t="str">
        <f t="shared" si="1"/>
        <v>READY</v>
      </c>
    </row>
    <row r="172" ht="15.0" customHeight="1">
      <c r="A172" s="2">
        <v>161.0</v>
      </c>
      <c r="B172" s="2" t="str">
        <f t="array" ref="B172">IFERROR(INDEX(SchedZone,MATCH($A172,SchedSeq,0),MAP!$B$6),"")</f>
        <v>2026_11_PIT_PHI</v>
      </c>
      <c r="C172" s="2">
        <f t="array" ref="C172">IF($B172="","",INDEX(SchedZone,MATCH($A172,SchedSeq,0),MAP!$B$4))</f>
        <v>11</v>
      </c>
      <c r="D172" s="2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2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2" t="str">
        <f>IF($B172="","",IF(COUNTIF(EngGameID,$B172)&gt;1,"DUP",""))</f>
        <v/>
      </c>
      <c r="G172" s="2" t="str">
        <f>IF($B172="","",IF(OR(COUNTIFS(EngWeek,$C172,EngAway,$D172)+COUNTIFS(EngWeek,$C172,EngHome,$D172)&gt;1,COUNTIFS(EngWeek,$C172,EngAway,$E172)+COUNTIFS(EngWeek,$C172,EngHome,$E172)&gt;1),"DUP",""))</f>
        <v/>
      </c>
      <c r="H172" s="2" t="str">
        <f>IF($B172="","",IF(OR(SUMPRODUCT((CLGameID=$B172)*CLUnmatched)&gt;0,LEFT($D172,1)="⚠",LEFT($E172,1)="⚠"),"UNMATCHED",""))</f>
        <v/>
      </c>
      <c r="I172" s="2" t="str">
        <f t="array" ref="I172">IF($B172="","",IF(OR(NOT(ISNUMBER(IFERROR(INDEX(RatEff,MATCH($D172,RatTeams,0)),"x"))),NOT(ISNUMBER(IFERROR(INDEX(RatEff,MATCH($E172,RatTeams,0)),"x")))),"MISSING",""))</f>
        <v/>
      </c>
      <c r="J172" s="2" t="str">
        <f>IF($B172="","",IF(SUMPRODUCT((CLGameID=$B172)*CLPlayed*(CLUseCur+CLUsePrev&gt;0)*(CLPlays=0))&gt;0,"MISSING",""))</f>
        <v/>
      </c>
      <c r="K172" s="2" t="str">
        <f>IF($B172="","",IF(SUMPRODUCT((CLGameID=$B172)*CLPlayed*((CLOffPts&lt;-20)+(CLOffPts&gt;90)))&gt;0,"CHECK",""))</f>
        <v/>
      </c>
      <c r="L172" s="2" t="str">
        <f t="array" ref="L172">IF($B172="","",IF(OR(ABS(IFERROR(INDEX(RatEff,MATCH($D172,RatTeams,0)),0))&gt;RatingRange,ABS(IFERROR(INDEX(RatEff,MATCH($E172,RatTeams,0)),0))&gt;RatingRange),"RANGE",""))</f>
        <v/>
      </c>
      <c r="M172" s="2" t="str">
        <f t="array" ref="M172">IF($B172="","",IF(OR(IFERROR(INDEX(CalcMoveFlag,MATCH($D172,CalcTeams,0)),"")="CAPPED",IFERROR(INDEX(CalcMoveFlag,MATCH($E172,CalcTeams,0)),"")="CAPPED"),"CAPPED",""))</f>
        <v/>
      </c>
      <c r="N172" s="2" t="str">
        <f>IF($B172="","",IF(ABS(SUMIFS(AdjSpread,AdjGameID,$B172,AdjActive,1))&gt;AdjCap,"LARGE",""))</f>
        <v/>
      </c>
      <c r="O172" s="2" t="str">
        <f t="array" ref="O172">IF($B172="","",IFERROR(INDEX(MktStale,MATCH($B172,MktGameID,0)),""))</f>
        <v/>
      </c>
      <c r="P172" s="2" t="str">
        <f t="shared" si="1"/>
        <v>READY</v>
      </c>
    </row>
    <row r="173" ht="15.0" customHeight="1">
      <c r="A173" s="2">
        <v>162.0</v>
      </c>
      <c r="B173" s="2" t="str">
        <f t="array" ref="B173">IFERROR(INDEX(SchedZone,MATCH($A173,SchedSeq,0),MAP!$B$6),"")</f>
        <v>2026_11_MIN_SF</v>
      </c>
      <c r="C173" s="2">
        <f t="array" ref="C173">IF($B173="","",INDEX(SchedZone,MATCH($A173,SchedSeq,0),MAP!$B$4))</f>
        <v>11</v>
      </c>
      <c r="D173" s="2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2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2" t="str">
        <f>IF($B173="","",IF(COUNTIF(EngGameID,$B173)&gt;1,"DUP",""))</f>
        <v/>
      </c>
      <c r="G173" s="2" t="str">
        <f>IF($B173="","",IF(OR(COUNTIFS(EngWeek,$C173,EngAway,$D173)+COUNTIFS(EngWeek,$C173,EngHome,$D173)&gt;1,COUNTIFS(EngWeek,$C173,EngAway,$E173)+COUNTIFS(EngWeek,$C173,EngHome,$E173)&gt;1),"DUP",""))</f>
        <v/>
      </c>
      <c r="H173" s="2" t="str">
        <f>IF($B173="","",IF(OR(SUMPRODUCT((CLGameID=$B173)*CLUnmatched)&gt;0,LEFT($D173,1)="⚠",LEFT($E173,1)="⚠"),"UNMATCHED",""))</f>
        <v/>
      </c>
      <c r="I173" s="2" t="str">
        <f t="array" ref="I173">IF($B173="","",IF(OR(NOT(ISNUMBER(IFERROR(INDEX(RatEff,MATCH($D173,RatTeams,0)),"x"))),NOT(ISNUMBER(IFERROR(INDEX(RatEff,MATCH($E173,RatTeams,0)),"x")))),"MISSING",""))</f>
        <v/>
      </c>
      <c r="J173" s="2" t="str">
        <f>IF($B173="","",IF(SUMPRODUCT((CLGameID=$B173)*CLPlayed*(CLUseCur+CLUsePrev&gt;0)*(CLPlays=0))&gt;0,"MISSING",""))</f>
        <v/>
      </c>
      <c r="K173" s="2" t="str">
        <f>IF($B173="","",IF(SUMPRODUCT((CLGameID=$B173)*CLPlayed*((CLOffPts&lt;-20)+(CLOffPts&gt;90)))&gt;0,"CHECK",""))</f>
        <v/>
      </c>
      <c r="L173" s="2" t="str">
        <f t="array" ref="L173">IF($B173="","",IF(OR(ABS(IFERROR(INDEX(RatEff,MATCH($D173,RatTeams,0)),0))&gt;RatingRange,ABS(IFERROR(INDEX(RatEff,MATCH($E173,RatTeams,0)),0))&gt;RatingRange),"RANGE",""))</f>
        <v/>
      </c>
      <c r="M173" s="2" t="str">
        <f t="array" ref="M173">IF($B173="","",IF(OR(IFERROR(INDEX(CalcMoveFlag,MATCH($D173,CalcTeams,0)),"")="CAPPED",IFERROR(INDEX(CalcMoveFlag,MATCH($E173,CalcTeams,0)),"")="CAPPED"),"CAPPED",""))</f>
        <v/>
      </c>
      <c r="N173" s="2" t="str">
        <f>IF($B173="","",IF(ABS(SUMIFS(AdjSpread,AdjGameID,$B173,AdjActive,1))&gt;AdjCap,"LARGE",""))</f>
        <v/>
      </c>
      <c r="O173" s="2" t="str">
        <f t="array" ref="O173">IF($B173="","",IFERROR(INDEX(MktStale,MATCH($B173,MktGameID,0)),""))</f>
        <v/>
      </c>
      <c r="P173" s="2" t="str">
        <f t="shared" si="1"/>
        <v>READY</v>
      </c>
    </row>
    <row r="174" ht="15.0" customHeight="1">
      <c r="A174" s="2">
        <v>163.0</v>
      </c>
      <c r="B174" s="2" t="str">
        <f t="array" ref="B174">IFERROR(INDEX(SchedZone,MATCH($A174,SchedSeq,0),MAP!$B$6),"")</f>
        <v>2026_11_CIN_WAS</v>
      </c>
      <c r="C174" s="2">
        <f t="array" ref="C174">IF($B174="","",INDEX(SchedZone,MATCH($A174,SchedSeq,0),MAP!$B$4))</f>
        <v>11</v>
      </c>
      <c r="D174" s="2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2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2" t="str">
        <f>IF($B174="","",IF(COUNTIF(EngGameID,$B174)&gt;1,"DUP",""))</f>
        <v/>
      </c>
      <c r="G174" s="2" t="str">
        <f>IF($B174="","",IF(OR(COUNTIFS(EngWeek,$C174,EngAway,$D174)+COUNTIFS(EngWeek,$C174,EngHome,$D174)&gt;1,COUNTIFS(EngWeek,$C174,EngAway,$E174)+COUNTIFS(EngWeek,$C174,EngHome,$E174)&gt;1),"DUP",""))</f>
        <v/>
      </c>
      <c r="H174" s="2" t="str">
        <f>IF($B174="","",IF(OR(SUMPRODUCT((CLGameID=$B174)*CLUnmatched)&gt;0,LEFT($D174,1)="⚠",LEFT($E174,1)="⚠"),"UNMATCHED",""))</f>
        <v/>
      </c>
      <c r="I174" s="2" t="str">
        <f t="array" ref="I174">IF($B174="","",IF(OR(NOT(ISNUMBER(IFERROR(INDEX(RatEff,MATCH($D174,RatTeams,0)),"x"))),NOT(ISNUMBER(IFERROR(INDEX(RatEff,MATCH($E174,RatTeams,0)),"x")))),"MISSING",""))</f>
        <v/>
      </c>
      <c r="J174" s="2" t="str">
        <f>IF($B174="","",IF(SUMPRODUCT((CLGameID=$B174)*CLPlayed*(CLUseCur+CLUsePrev&gt;0)*(CLPlays=0))&gt;0,"MISSING",""))</f>
        <v/>
      </c>
      <c r="K174" s="2" t="str">
        <f>IF($B174="","",IF(SUMPRODUCT((CLGameID=$B174)*CLPlayed*((CLOffPts&lt;-20)+(CLOffPts&gt;90)))&gt;0,"CHECK",""))</f>
        <v/>
      </c>
      <c r="L174" s="2" t="str">
        <f t="array" ref="L174">IF($B174="","",IF(OR(ABS(IFERROR(INDEX(RatEff,MATCH($D174,RatTeams,0)),0))&gt;RatingRange,ABS(IFERROR(INDEX(RatEff,MATCH($E174,RatTeams,0)),0))&gt;RatingRange),"RANGE",""))</f>
        <v/>
      </c>
      <c r="M174" s="2" t="str">
        <f t="array" ref="M174">IF($B174="","",IF(OR(IFERROR(INDEX(CalcMoveFlag,MATCH($D174,CalcTeams,0)),"")="CAPPED",IFERROR(INDEX(CalcMoveFlag,MATCH($E174,CalcTeams,0)),"")="CAPPED"),"CAPPED",""))</f>
        <v/>
      </c>
      <c r="N174" s="2" t="str">
        <f>IF($B174="","",IF(ABS(SUMIFS(AdjSpread,AdjGameID,$B174,AdjActive,1))&gt;AdjCap,"LARGE",""))</f>
        <v/>
      </c>
      <c r="O174" s="2" t="str">
        <f t="array" ref="O174">IF($B174="","",IFERROR(INDEX(MktStale,MATCH($B174,MktGameID,0)),""))</f>
        <v/>
      </c>
      <c r="P174" s="2" t="str">
        <f t="shared" si="1"/>
        <v>READY</v>
      </c>
    </row>
    <row r="175" ht="15.0" customHeight="1">
      <c r="A175" s="2">
        <v>164.0</v>
      </c>
      <c r="B175" s="2" t="str">
        <f t="array" ref="B175">IFERROR(INDEX(SchedZone,MATCH($A175,SchedSeq,0),MAP!$B$6),"")</f>
        <v>2026_12_GB_LA</v>
      </c>
      <c r="C175" s="2">
        <f t="array" ref="C175">IF($B175="","",INDEX(SchedZone,MATCH($A175,SchedSeq,0),MAP!$B$4))</f>
        <v>12</v>
      </c>
      <c r="D175" s="2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2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2" t="str">
        <f>IF($B175="","",IF(COUNTIF(EngGameID,$B175)&gt;1,"DUP",""))</f>
        <v/>
      </c>
      <c r="G175" s="2" t="str">
        <f>IF($B175="","",IF(OR(COUNTIFS(EngWeek,$C175,EngAway,$D175)+COUNTIFS(EngWeek,$C175,EngHome,$D175)&gt;1,COUNTIFS(EngWeek,$C175,EngAway,$E175)+COUNTIFS(EngWeek,$C175,EngHome,$E175)&gt;1),"DUP",""))</f>
        <v/>
      </c>
      <c r="H175" s="2" t="str">
        <f>IF($B175="","",IF(OR(SUMPRODUCT((CLGameID=$B175)*CLUnmatched)&gt;0,LEFT($D175,1)="⚠",LEFT($E175,1)="⚠"),"UNMATCHED",""))</f>
        <v/>
      </c>
      <c r="I175" s="2" t="str">
        <f t="array" ref="I175">IF($B175="","",IF(OR(NOT(ISNUMBER(IFERROR(INDEX(RatEff,MATCH($D175,RatTeams,0)),"x"))),NOT(ISNUMBER(IFERROR(INDEX(RatEff,MATCH($E175,RatTeams,0)),"x")))),"MISSING",""))</f>
        <v/>
      </c>
      <c r="J175" s="2" t="str">
        <f>IF($B175="","",IF(SUMPRODUCT((CLGameID=$B175)*CLPlayed*(CLUseCur+CLUsePrev&gt;0)*(CLPlays=0))&gt;0,"MISSING",""))</f>
        <v/>
      </c>
      <c r="K175" s="2" t="str">
        <f>IF($B175="","",IF(SUMPRODUCT((CLGameID=$B175)*CLPlayed*((CLOffPts&lt;-20)+(CLOffPts&gt;90)))&gt;0,"CHECK",""))</f>
        <v/>
      </c>
      <c r="L175" s="2" t="str">
        <f t="array" ref="L175">IF($B175="","",IF(OR(ABS(IFERROR(INDEX(RatEff,MATCH($D175,RatTeams,0)),0))&gt;RatingRange,ABS(IFERROR(INDEX(RatEff,MATCH($E175,RatTeams,0)),0))&gt;RatingRange),"RANGE",""))</f>
        <v/>
      </c>
      <c r="M175" s="2" t="str">
        <f t="array" ref="M175">IF($B175="","",IF(OR(IFERROR(INDEX(CalcMoveFlag,MATCH($D175,CalcTeams,0)),"")="CAPPED",IFERROR(INDEX(CalcMoveFlag,MATCH($E175,CalcTeams,0)),"")="CAPPED"),"CAPPED",""))</f>
        <v/>
      </c>
      <c r="N175" s="2" t="str">
        <f>IF($B175="","",IF(ABS(SUMIFS(AdjSpread,AdjGameID,$B175,AdjActive,1))&gt;AdjCap,"LARGE",""))</f>
        <v/>
      </c>
      <c r="O175" s="2" t="str">
        <f t="array" ref="O175">IF($B175="","",IFERROR(INDEX(MktStale,MATCH($B175,MktGameID,0)),""))</f>
        <v/>
      </c>
      <c r="P175" s="2" t="str">
        <f t="shared" si="1"/>
        <v>READY</v>
      </c>
    </row>
    <row r="176" ht="15.0" customHeight="1">
      <c r="A176" s="2">
        <v>165.0</v>
      </c>
      <c r="B176" s="2" t="str">
        <f t="array" ref="B176">IFERROR(INDEX(SchedZone,MATCH($A176,SchedSeq,0),MAP!$B$6),"")</f>
        <v>2026_12_CHI_DET</v>
      </c>
      <c r="C176" s="2">
        <f t="array" ref="C176">IF($B176="","",INDEX(SchedZone,MATCH($A176,SchedSeq,0),MAP!$B$4))</f>
        <v>12</v>
      </c>
      <c r="D176" s="2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2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2" t="str">
        <f>IF($B176="","",IF(COUNTIF(EngGameID,$B176)&gt;1,"DUP",""))</f>
        <v/>
      </c>
      <c r="G176" s="2" t="str">
        <f>IF($B176="","",IF(OR(COUNTIFS(EngWeek,$C176,EngAway,$D176)+COUNTIFS(EngWeek,$C176,EngHome,$D176)&gt;1,COUNTIFS(EngWeek,$C176,EngAway,$E176)+COUNTIFS(EngWeek,$C176,EngHome,$E176)&gt;1),"DUP",""))</f>
        <v/>
      </c>
      <c r="H176" s="2" t="str">
        <f>IF($B176="","",IF(OR(SUMPRODUCT((CLGameID=$B176)*CLUnmatched)&gt;0,LEFT($D176,1)="⚠",LEFT($E176,1)="⚠"),"UNMATCHED",""))</f>
        <v/>
      </c>
      <c r="I176" s="2" t="str">
        <f t="array" ref="I176">IF($B176="","",IF(OR(NOT(ISNUMBER(IFERROR(INDEX(RatEff,MATCH($D176,RatTeams,0)),"x"))),NOT(ISNUMBER(IFERROR(INDEX(RatEff,MATCH($E176,RatTeams,0)),"x")))),"MISSING",""))</f>
        <v/>
      </c>
      <c r="J176" s="2" t="str">
        <f>IF($B176="","",IF(SUMPRODUCT((CLGameID=$B176)*CLPlayed*(CLUseCur+CLUsePrev&gt;0)*(CLPlays=0))&gt;0,"MISSING",""))</f>
        <v/>
      </c>
      <c r="K176" s="2" t="str">
        <f>IF($B176="","",IF(SUMPRODUCT((CLGameID=$B176)*CLPlayed*((CLOffPts&lt;-20)+(CLOffPts&gt;90)))&gt;0,"CHECK",""))</f>
        <v/>
      </c>
      <c r="L176" s="2" t="str">
        <f t="array" ref="L176">IF($B176="","",IF(OR(ABS(IFERROR(INDEX(RatEff,MATCH($D176,RatTeams,0)),0))&gt;RatingRange,ABS(IFERROR(INDEX(RatEff,MATCH($E176,RatTeams,0)),0))&gt;RatingRange),"RANGE",""))</f>
        <v/>
      </c>
      <c r="M176" s="2" t="str">
        <f t="array" ref="M176">IF($B176="","",IF(OR(IFERROR(INDEX(CalcMoveFlag,MATCH($D176,CalcTeams,0)),"")="CAPPED",IFERROR(INDEX(CalcMoveFlag,MATCH($E176,CalcTeams,0)),"")="CAPPED"),"CAPPED",""))</f>
        <v/>
      </c>
      <c r="N176" s="2" t="str">
        <f>IF($B176="","",IF(ABS(SUMIFS(AdjSpread,AdjGameID,$B176,AdjActive,1))&gt;AdjCap,"LARGE",""))</f>
        <v/>
      </c>
      <c r="O176" s="2" t="str">
        <f t="array" ref="O176">IF($B176="","",IFERROR(INDEX(MktStale,MATCH($B176,MktGameID,0)),""))</f>
        <v/>
      </c>
      <c r="P176" s="2" t="str">
        <f t="shared" si="1"/>
        <v>READY</v>
      </c>
    </row>
    <row r="177" ht="15.0" customHeight="1">
      <c r="A177" s="2">
        <v>166.0</v>
      </c>
      <c r="B177" s="2" t="str">
        <f t="array" ref="B177">IFERROR(INDEX(SchedZone,MATCH($A177,SchedSeq,0),MAP!$B$6),"")</f>
        <v>2026_12_PHI_DAL</v>
      </c>
      <c r="C177" s="2">
        <f t="array" ref="C177">IF($B177="","",INDEX(SchedZone,MATCH($A177,SchedSeq,0),MAP!$B$4))</f>
        <v>12</v>
      </c>
      <c r="D177" s="2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2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2" t="str">
        <f>IF($B177="","",IF(COUNTIF(EngGameID,$B177)&gt;1,"DUP",""))</f>
        <v/>
      </c>
      <c r="G177" s="2" t="str">
        <f>IF($B177="","",IF(OR(COUNTIFS(EngWeek,$C177,EngAway,$D177)+COUNTIFS(EngWeek,$C177,EngHome,$D177)&gt;1,COUNTIFS(EngWeek,$C177,EngAway,$E177)+COUNTIFS(EngWeek,$C177,EngHome,$E177)&gt;1),"DUP",""))</f>
        <v/>
      </c>
      <c r="H177" s="2" t="str">
        <f>IF($B177="","",IF(OR(SUMPRODUCT((CLGameID=$B177)*CLUnmatched)&gt;0,LEFT($D177,1)="⚠",LEFT($E177,1)="⚠"),"UNMATCHED",""))</f>
        <v/>
      </c>
      <c r="I177" s="2" t="str">
        <f t="array" ref="I177">IF($B177="","",IF(OR(NOT(ISNUMBER(IFERROR(INDEX(RatEff,MATCH($D177,RatTeams,0)),"x"))),NOT(ISNUMBER(IFERROR(INDEX(RatEff,MATCH($E177,RatTeams,0)),"x")))),"MISSING",""))</f>
        <v/>
      </c>
      <c r="J177" s="2" t="str">
        <f>IF($B177="","",IF(SUMPRODUCT((CLGameID=$B177)*CLPlayed*(CLUseCur+CLUsePrev&gt;0)*(CLPlays=0))&gt;0,"MISSING",""))</f>
        <v/>
      </c>
      <c r="K177" s="2" t="str">
        <f>IF($B177="","",IF(SUMPRODUCT((CLGameID=$B177)*CLPlayed*((CLOffPts&lt;-20)+(CLOffPts&gt;90)))&gt;0,"CHECK",""))</f>
        <v/>
      </c>
      <c r="L177" s="2" t="str">
        <f t="array" ref="L177">IF($B177="","",IF(OR(ABS(IFERROR(INDEX(RatEff,MATCH($D177,RatTeams,0)),0))&gt;RatingRange,ABS(IFERROR(INDEX(RatEff,MATCH($E177,RatTeams,0)),0))&gt;RatingRange),"RANGE",""))</f>
        <v/>
      </c>
      <c r="M177" s="2" t="str">
        <f t="array" ref="M177">IF($B177="","",IF(OR(IFERROR(INDEX(CalcMoveFlag,MATCH($D177,CalcTeams,0)),"")="CAPPED",IFERROR(INDEX(CalcMoveFlag,MATCH($E177,CalcTeams,0)),"")="CAPPED"),"CAPPED",""))</f>
        <v/>
      </c>
      <c r="N177" s="2" t="str">
        <f>IF($B177="","",IF(ABS(SUMIFS(AdjSpread,AdjGameID,$B177,AdjActive,1))&gt;AdjCap,"LARGE",""))</f>
        <v/>
      </c>
      <c r="O177" s="2" t="str">
        <f t="array" ref="O177">IF($B177="","",IFERROR(INDEX(MktStale,MATCH($B177,MktGameID,0)),""))</f>
        <v/>
      </c>
      <c r="P177" s="2" t="str">
        <f t="shared" si="1"/>
        <v>READY</v>
      </c>
    </row>
    <row r="178" ht="15.0" customHeight="1">
      <c r="A178" s="2">
        <v>167.0</v>
      </c>
      <c r="B178" s="2" t="str">
        <f t="array" ref="B178">IFERROR(INDEX(SchedZone,MATCH($A178,SchedSeq,0),MAP!$B$6),"")</f>
        <v>2026_12_KC_BUF</v>
      </c>
      <c r="C178" s="2">
        <f t="array" ref="C178">IF($B178="","",INDEX(SchedZone,MATCH($A178,SchedSeq,0),MAP!$B$4))</f>
        <v>12</v>
      </c>
      <c r="D178" s="2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2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2" t="str">
        <f>IF($B178="","",IF(COUNTIF(EngGameID,$B178)&gt;1,"DUP",""))</f>
        <v/>
      </c>
      <c r="G178" s="2" t="str">
        <f>IF($B178="","",IF(OR(COUNTIFS(EngWeek,$C178,EngAway,$D178)+COUNTIFS(EngWeek,$C178,EngHome,$D178)&gt;1,COUNTIFS(EngWeek,$C178,EngAway,$E178)+COUNTIFS(EngWeek,$C178,EngHome,$E178)&gt;1),"DUP",""))</f>
        <v/>
      </c>
      <c r="H178" s="2" t="str">
        <f>IF($B178="","",IF(OR(SUMPRODUCT((CLGameID=$B178)*CLUnmatched)&gt;0,LEFT($D178,1)="⚠",LEFT($E178,1)="⚠"),"UNMATCHED",""))</f>
        <v/>
      </c>
      <c r="I178" s="2" t="str">
        <f t="array" ref="I178">IF($B178="","",IF(OR(NOT(ISNUMBER(IFERROR(INDEX(RatEff,MATCH($D178,RatTeams,0)),"x"))),NOT(ISNUMBER(IFERROR(INDEX(RatEff,MATCH($E178,RatTeams,0)),"x")))),"MISSING",""))</f>
        <v/>
      </c>
      <c r="J178" s="2" t="str">
        <f>IF($B178="","",IF(SUMPRODUCT((CLGameID=$B178)*CLPlayed*(CLUseCur+CLUsePrev&gt;0)*(CLPlays=0))&gt;0,"MISSING",""))</f>
        <v/>
      </c>
      <c r="K178" s="2" t="str">
        <f>IF($B178="","",IF(SUMPRODUCT((CLGameID=$B178)*CLPlayed*((CLOffPts&lt;-20)+(CLOffPts&gt;90)))&gt;0,"CHECK",""))</f>
        <v/>
      </c>
      <c r="L178" s="2" t="str">
        <f t="array" ref="L178">IF($B178="","",IF(OR(ABS(IFERROR(INDEX(RatEff,MATCH($D178,RatTeams,0)),0))&gt;RatingRange,ABS(IFERROR(INDEX(RatEff,MATCH($E178,RatTeams,0)),0))&gt;RatingRange),"RANGE",""))</f>
        <v/>
      </c>
      <c r="M178" s="2" t="str">
        <f t="array" ref="M178">IF($B178="","",IF(OR(IFERROR(INDEX(CalcMoveFlag,MATCH($D178,CalcTeams,0)),"")="CAPPED",IFERROR(INDEX(CalcMoveFlag,MATCH($E178,CalcTeams,0)),"")="CAPPED"),"CAPPED",""))</f>
        <v/>
      </c>
      <c r="N178" s="2" t="str">
        <f>IF($B178="","",IF(ABS(SUMIFS(AdjSpread,AdjGameID,$B178,AdjActive,1))&gt;AdjCap,"LARGE",""))</f>
        <v/>
      </c>
      <c r="O178" s="2" t="str">
        <f t="array" ref="O178">IF($B178="","",IFERROR(INDEX(MktStale,MATCH($B178,MktGameID,0)),""))</f>
        <v/>
      </c>
      <c r="P178" s="2" t="str">
        <f t="shared" si="1"/>
        <v>READY</v>
      </c>
    </row>
    <row r="179" ht="15.0" customHeight="1">
      <c r="A179" s="2">
        <v>168.0</v>
      </c>
      <c r="B179" s="2" t="str">
        <f t="array" ref="B179">IFERROR(INDEX(SchedZone,MATCH($A179,SchedSeq,0),MAP!$B$6),"")</f>
        <v>2026_12_DEN_PIT</v>
      </c>
      <c r="C179" s="2">
        <f t="array" ref="C179">IF($B179="","",INDEX(SchedZone,MATCH($A179,SchedSeq,0),MAP!$B$4))</f>
        <v>12</v>
      </c>
      <c r="D179" s="2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2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2" t="str">
        <f>IF($B179="","",IF(COUNTIF(EngGameID,$B179)&gt;1,"DUP",""))</f>
        <v/>
      </c>
      <c r="G179" s="2" t="str">
        <f>IF($B179="","",IF(OR(COUNTIFS(EngWeek,$C179,EngAway,$D179)+COUNTIFS(EngWeek,$C179,EngHome,$D179)&gt;1,COUNTIFS(EngWeek,$C179,EngAway,$E179)+COUNTIFS(EngWeek,$C179,EngHome,$E179)&gt;1),"DUP",""))</f>
        <v/>
      </c>
      <c r="H179" s="2" t="str">
        <f>IF($B179="","",IF(OR(SUMPRODUCT((CLGameID=$B179)*CLUnmatched)&gt;0,LEFT($D179,1)="⚠",LEFT($E179,1)="⚠"),"UNMATCHED",""))</f>
        <v/>
      </c>
      <c r="I179" s="2" t="str">
        <f t="array" ref="I179">IF($B179="","",IF(OR(NOT(ISNUMBER(IFERROR(INDEX(RatEff,MATCH($D179,RatTeams,0)),"x"))),NOT(ISNUMBER(IFERROR(INDEX(RatEff,MATCH($E179,RatTeams,0)),"x")))),"MISSING",""))</f>
        <v/>
      </c>
      <c r="J179" s="2" t="str">
        <f>IF($B179="","",IF(SUMPRODUCT((CLGameID=$B179)*CLPlayed*(CLUseCur+CLUsePrev&gt;0)*(CLPlays=0))&gt;0,"MISSING",""))</f>
        <v/>
      </c>
      <c r="K179" s="2" t="str">
        <f>IF($B179="","",IF(SUMPRODUCT((CLGameID=$B179)*CLPlayed*((CLOffPts&lt;-20)+(CLOffPts&gt;90)))&gt;0,"CHECK",""))</f>
        <v/>
      </c>
      <c r="L179" s="2" t="str">
        <f t="array" ref="L179">IF($B179="","",IF(OR(ABS(IFERROR(INDEX(RatEff,MATCH($D179,RatTeams,0)),0))&gt;RatingRange,ABS(IFERROR(INDEX(RatEff,MATCH($E179,RatTeams,0)),0))&gt;RatingRange),"RANGE",""))</f>
        <v/>
      </c>
      <c r="M179" s="2" t="str">
        <f t="array" ref="M179">IF($B179="","",IF(OR(IFERROR(INDEX(CalcMoveFlag,MATCH($D179,CalcTeams,0)),"")="CAPPED",IFERROR(INDEX(CalcMoveFlag,MATCH($E179,CalcTeams,0)),"")="CAPPED"),"CAPPED",""))</f>
        <v/>
      </c>
      <c r="N179" s="2" t="str">
        <f>IF($B179="","",IF(ABS(SUMIFS(AdjSpread,AdjGameID,$B179,AdjActive,1))&gt;AdjCap,"LARGE",""))</f>
        <v/>
      </c>
      <c r="O179" s="2" t="str">
        <f t="array" ref="O179">IF($B179="","",IFERROR(INDEX(MktStale,MATCH($B179,MktGameID,0)),""))</f>
        <v/>
      </c>
      <c r="P179" s="2" t="str">
        <f t="shared" si="1"/>
        <v>READY</v>
      </c>
    </row>
    <row r="180" ht="15.0" customHeight="1">
      <c r="A180" s="2">
        <v>169.0</v>
      </c>
      <c r="B180" s="2" t="str">
        <f t="array" ref="B180">IFERROR(INDEX(SchedZone,MATCH($A180,SchedSeq,0),MAP!$B$6),"")</f>
        <v>2026_12_NO_CIN</v>
      </c>
      <c r="C180" s="2">
        <f t="array" ref="C180">IF($B180="","",INDEX(SchedZone,MATCH($A180,SchedSeq,0),MAP!$B$4))</f>
        <v>12</v>
      </c>
      <c r="D180" s="2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2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2" t="str">
        <f>IF($B180="","",IF(COUNTIF(EngGameID,$B180)&gt;1,"DUP",""))</f>
        <v/>
      </c>
      <c r="G180" s="2" t="str">
        <f>IF($B180="","",IF(OR(COUNTIFS(EngWeek,$C180,EngAway,$D180)+COUNTIFS(EngWeek,$C180,EngHome,$D180)&gt;1,COUNTIFS(EngWeek,$C180,EngAway,$E180)+COUNTIFS(EngWeek,$C180,EngHome,$E180)&gt;1),"DUP",""))</f>
        <v/>
      </c>
      <c r="H180" s="2" t="str">
        <f>IF($B180="","",IF(OR(SUMPRODUCT((CLGameID=$B180)*CLUnmatched)&gt;0,LEFT($D180,1)="⚠",LEFT($E180,1)="⚠"),"UNMATCHED",""))</f>
        <v/>
      </c>
      <c r="I180" s="2" t="str">
        <f t="array" ref="I180">IF($B180="","",IF(OR(NOT(ISNUMBER(IFERROR(INDEX(RatEff,MATCH($D180,RatTeams,0)),"x"))),NOT(ISNUMBER(IFERROR(INDEX(RatEff,MATCH($E180,RatTeams,0)),"x")))),"MISSING",""))</f>
        <v/>
      </c>
      <c r="J180" s="2" t="str">
        <f>IF($B180="","",IF(SUMPRODUCT((CLGameID=$B180)*CLPlayed*(CLUseCur+CLUsePrev&gt;0)*(CLPlays=0))&gt;0,"MISSING",""))</f>
        <v/>
      </c>
      <c r="K180" s="2" t="str">
        <f>IF($B180="","",IF(SUMPRODUCT((CLGameID=$B180)*CLPlayed*((CLOffPts&lt;-20)+(CLOffPts&gt;90)))&gt;0,"CHECK",""))</f>
        <v/>
      </c>
      <c r="L180" s="2" t="str">
        <f t="array" ref="L180">IF($B180="","",IF(OR(ABS(IFERROR(INDEX(RatEff,MATCH($D180,RatTeams,0)),0))&gt;RatingRange,ABS(IFERROR(INDEX(RatEff,MATCH($E180,RatTeams,0)),0))&gt;RatingRange),"RANGE",""))</f>
        <v/>
      </c>
      <c r="M180" s="2" t="str">
        <f t="array" ref="M180">IF($B180="","",IF(OR(IFERROR(INDEX(CalcMoveFlag,MATCH($D180,CalcTeams,0)),"")="CAPPED",IFERROR(INDEX(CalcMoveFlag,MATCH($E180,CalcTeams,0)),"")="CAPPED"),"CAPPED",""))</f>
        <v/>
      </c>
      <c r="N180" s="2" t="str">
        <f>IF($B180="","",IF(ABS(SUMIFS(AdjSpread,AdjGameID,$B180,AdjActive,1))&gt;AdjCap,"LARGE",""))</f>
        <v/>
      </c>
      <c r="O180" s="2" t="str">
        <f t="array" ref="O180">IF($B180="","",IFERROR(INDEX(MktStale,MATCH($B180,MktGameID,0)),""))</f>
        <v/>
      </c>
      <c r="P180" s="2" t="str">
        <f t="shared" si="1"/>
        <v>READY</v>
      </c>
    </row>
    <row r="181" ht="15.0" customHeight="1">
      <c r="A181" s="2">
        <v>170.0</v>
      </c>
      <c r="B181" s="2" t="str">
        <f t="array" ref="B181">IFERROR(INDEX(SchedZone,MATCH($A181,SchedSeq,0),MAP!$B$6),"")</f>
        <v>2026_12_LV_CLE</v>
      </c>
      <c r="C181" s="2">
        <f t="array" ref="C181">IF($B181="","",INDEX(SchedZone,MATCH($A181,SchedSeq,0),MAP!$B$4))</f>
        <v>12</v>
      </c>
      <c r="D181" s="2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2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2" t="str">
        <f>IF($B181="","",IF(COUNTIF(EngGameID,$B181)&gt;1,"DUP",""))</f>
        <v/>
      </c>
      <c r="G181" s="2" t="str">
        <f>IF($B181="","",IF(OR(COUNTIFS(EngWeek,$C181,EngAway,$D181)+COUNTIFS(EngWeek,$C181,EngHome,$D181)&gt;1,COUNTIFS(EngWeek,$C181,EngAway,$E181)+COUNTIFS(EngWeek,$C181,EngHome,$E181)&gt;1),"DUP",""))</f>
        <v/>
      </c>
      <c r="H181" s="2" t="str">
        <f>IF($B181="","",IF(OR(SUMPRODUCT((CLGameID=$B181)*CLUnmatched)&gt;0,LEFT($D181,1)="⚠",LEFT($E181,1)="⚠"),"UNMATCHED",""))</f>
        <v/>
      </c>
      <c r="I181" s="2" t="str">
        <f t="array" ref="I181">IF($B181="","",IF(OR(NOT(ISNUMBER(IFERROR(INDEX(RatEff,MATCH($D181,RatTeams,0)),"x"))),NOT(ISNUMBER(IFERROR(INDEX(RatEff,MATCH($E181,RatTeams,0)),"x")))),"MISSING",""))</f>
        <v/>
      </c>
      <c r="J181" s="2" t="str">
        <f>IF($B181="","",IF(SUMPRODUCT((CLGameID=$B181)*CLPlayed*(CLUseCur+CLUsePrev&gt;0)*(CLPlays=0))&gt;0,"MISSING",""))</f>
        <v/>
      </c>
      <c r="K181" s="2" t="str">
        <f>IF($B181="","",IF(SUMPRODUCT((CLGameID=$B181)*CLPlayed*((CLOffPts&lt;-20)+(CLOffPts&gt;90)))&gt;0,"CHECK",""))</f>
        <v/>
      </c>
      <c r="L181" s="2" t="str">
        <f t="array" ref="L181">IF($B181="","",IF(OR(ABS(IFERROR(INDEX(RatEff,MATCH($D181,RatTeams,0)),0))&gt;RatingRange,ABS(IFERROR(INDEX(RatEff,MATCH($E181,RatTeams,0)),0))&gt;RatingRange),"RANGE",""))</f>
        <v/>
      </c>
      <c r="M181" s="2" t="str">
        <f t="array" ref="M181">IF($B181="","",IF(OR(IFERROR(INDEX(CalcMoveFlag,MATCH($D181,CalcTeams,0)),"")="CAPPED",IFERROR(INDEX(CalcMoveFlag,MATCH($E181,CalcTeams,0)),"")="CAPPED"),"CAPPED",""))</f>
        <v/>
      </c>
      <c r="N181" s="2" t="str">
        <f>IF($B181="","",IF(ABS(SUMIFS(AdjSpread,AdjGameID,$B181,AdjActive,1))&gt;AdjCap,"LARGE",""))</f>
        <v/>
      </c>
      <c r="O181" s="2" t="str">
        <f t="array" ref="O181">IF($B181="","",IFERROR(INDEX(MktStale,MATCH($B181,MktGameID,0)),""))</f>
        <v/>
      </c>
      <c r="P181" s="2" t="str">
        <f t="shared" si="1"/>
        <v>READY</v>
      </c>
    </row>
    <row r="182" ht="15.0" customHeight="1">
      <c r="A182" s="2">
        <v>171.0</v>
      </c>
      <c r="B182" s="2" t="str">
        <f t="array" ref="B182">IFERROR(INDEX(SchedZone,MATCH($A182,SchedSeq,0),MAP!$B$6),"")</f>
        <v>2026_12_BAL_HOU</v>
      </c>
      <c r="C182" s="2">
        <f t="array" ref="C182">IF($B182="","",INDEX(SchedZone,MATCH($A182,SchedSeq,0),MAP!$B$4))</f>
        <v>12</v>
      </c>
      <c r="D182" s="2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2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2" t="str">
        <f>IF($B182="","",IF(COUNTIF(EngGameID,$B182)&gt;1,"DUP",""))</f>
        <v/>
      </c>
      <c r="G182" s="2" t="str">
        <f>IF($B182="","",IF(OR(COUNTIFS(EngWeek,$C182,EngAway,$D182)+COUNTIFS(EngWeek,$C182,EngHome,$D182)&gt;1,COUNTIFS(EngWeek,$C182,EngAway,$E182)+COUNTIFS(EngWeek,$C182,EngHome,$E182)&gt;1),"DUP",""))</f>
        <v/>
      </c>
      <c r="H182" s="2" t="str">
        <f>IF($B182="","",IF(OR(SUMPRODUCT((CLGameID=$B182)*CLUnmatched)&gt;0,LEFT($D182,1)="⚠",LEFT($E182,1)="⚠"),"UNMATCHED",""))</f>
        <v/>
      </c>
      <c r="I182" s="2" t="str">
        <f t="array" ref="I182">IF($B182="","",IF(OR(NOT(ISNUMBER(IFERROR(INDEX(RatEff,MATCH($D182,RatTeams,0)),"x"))),NOT(ISNUMBER(IFERROR(INDEX(RatEff,MATCH($E182,RatTeams,0)),"x")))),"MISSING",""))</f>
        <v/>
      </c>
      <c r="J182" s="2" t="str">
        <f>IF($B182="","",IF(SUMPRODUCT((CLGameID=$B182)*CLPlayed*(CLUseCur+CLUsePrev&gt;0)*(CLPlays=0))&gt;0,"MISSING",""))</f>
        <v/>
      </c>
      <c r="K182" s="2" t="str">
        <f>IF($B182="","",IF(SUMPRODUCT((CLGameID=$B182)*CLPlayed*((CLOffPts&lt;-20)+(CLOffPts&gt;90)))&gt;0,"CHECK",""))</f>
        <v/>
      </c>
      <c r="L182" s="2" t="str">
        <f t="array" ref="L182">IF($B182="","",IF(OR(ABS(IFERROR(INDEX(RatEff,MATCH($D182,RatTeams,0)),0))&gt;RatingRange,ABS(IFERROR(INDEX(RatEff,MATCH($E182,RatTeams,0)),0))&gt;RatingRange),"RANGE",""))</f>
        <v/>
      </c>
      <c r="M182" s="2" t="str">
        <f t="array" ref="M182">IF($B182="","",IF(OR(IFERROR(INDEX(CalcMoveFlag,MATCH($D182,CalcTeams,0)),"")="CAPPED",IFERROR(INDEX(CalcMoveFlag,MATCH($E182,CalcTeams,0)),"")="CAPPED"),"CAPPED",""))</f>
        <v/>
      </c>
      <c r="N182" s="2" t="str">
        <f>IF($B182="","",IF(ABS(SUMIFS(AdjSpread,AdjGameID,$B182,AdjActive,1))&gt;AdjCap,"LARGE",""))</f>
        <v/>
      </c>
      <c r="O182" s="2" t="str">
        <f t="array" ref="O182">IF($B182="","",IFERROR(INDEX(MktStale,MATCH($B182,MktGameID,0)),""))</f>
        <v/>
      </c>
      <c r="P182" s="2" t="str">
        <f t="shared" si="1"/>
        <v>READY</v>
      </c>
    </row>
    <row r="183" ht="15.0" customHeight="1">
      <c r="A183" s="2">
        <v>172.0</v>
      </c>
      <c r="B183" s="2" t="str">
        <f t="array" ref="B183">IFERROR(INDEX(SchedZone,MATCH($A183,SchedSeq,0),MAP!$B$6),"")</f>
        <v>2026_12_NYG_IND</v>
      </c>
      <c r="C183" s="2">
        <f t="array" ref="C183">IF($B183="","",INDEX(SchedZone,MATCH($A183,SchedSeq,0),MAP!$B$4))</f>
        <v>12</v>
      </c>
      <c r="D183" s="2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2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2" t="str">
        <f>IF($B183="","",IF(COUNTIF(EngGameID,$B183)&gt;1,"DUP",""))</f>
        <v/>
      </c>
      <c r="G183" s="2" t="str">
        <f>IF($B183="","",IF(OR(COUNTIFS(EngWeek,$C183,EngAway,$D183)+COUNTIFS(EngWeek,$C183,EngHome,$D183)&gt;1,COUNTIFS(EngWeek,$C183,EngAway,$E183)+COUNTIFS(EngWeek,$C183,EngHome,$E183)&gt;1),"DUP",""))</f>
        <v/>
      </c>
      <c r="H183" s="2" t="str">
        <f>IF($B183="","",IF(OR(SUMPRODUCT((CLGameID=$B183)*CLUnmatched)&gt;0,LEFT($D183,1)="⚠",LEFT($E183,1)="⚠"),"UNMATCHED",""))</f>
        <v/>
      </c>
      <c r="I183" s="2" t="str">
        <f t="array" ref="I183">IF($B183="","",IF(OR(NOT(ISNUMBER(IFERROR(INDEX(RatEff,MATCH($D183,RatTeams,0)),"x"))),NOT(ISNUMBER(IFERROR(INDEX(RatEff,MATCH($E183,RatTeams,0)),"x")))),"MISSING",""))</f>
        <v/>
      </c>
      <c r="J183" s="2" t="str">
        <f>IF($B183="","",IF(SUMPRODUCT((CLGameID=$B183)*CLPlayed*(CLUseCur+CLUsePrev&gt;0)*(CLPlays=0))&gt;0,"MISSING",""))</f>
        <v/>
      </c>
      <c r="K183" s="2" t="str">
        <f>IF($B183="","",IF(SUMPRODUCT((CLGameID=$B183)*CLPlayed*((CLOffPts&lt;-20)+(CLOffPts&gt;90)))&gt;0,"CHECK",""))</f>
        <v/>
      </c>
      <c r="L183" s="2" t="str">
        <f t="array" ref="L183">IF($B183="","",IF(OR(ABS(IFERROR(INDEX(RatEff,MATCH($D183,RatTeams,0)),0))&gt;RatingRange,ABS(IFERROR(INDEX(RatEff,MATCH($E183,RatTeams,0)),0))&gt;RatingRange),"RANGE",""))</f>
        <v/>
      </c>
      <c r="M183" s="2" t="str">
        <f t="array" ref="M183">IF($B183="","",IF(OR(IFERROR(INDEX(CalcMoveFlag,MATCH($D183,CalcTeams,0)),"")="CAPPED",IFERROR(INDEX(CalcMoveFlag,MATCH($E183,CalcTeams,0)),"")="CAPPED"),"CAPPED",""))</f>
        <v/>
      </c>
      <c r="N183" s="2" t="str">
        <f>IF($B183="","",IF(ABS(SUMIFS(AdjSpread,AdjGameID,$B183,AdjActive,1))&gt;AdjCap,"LARGE",""))</f>
        <v/>
      </c>
      <c r="O183" s="2" t="str">
        <f t="array" ref="O183">IF($B183="","",IFERROR(INDEX(MktStale,MATCH($B183,MktGameID,0)),""))</f>
        <v/>
      </c>
      <c r="P183" s="2" t="str">
        <f t="shared" si="1"/>
        <v>READY</v>
      </c>
    </row>
    <row r="184" ht="15.0" customHeight="1">
      <c r="A184" s="2">
        <v>173.0</v>
      </c>
      <c r="B184" s="2" t="str">
        <f t="array" ref="B184">IFERROR(INDEX(SchedZone,MATCH($A184,SchedSeq,0),MAP!$B$6),"")</f>
        <v>2026_12_NYJ_MIA</v>
      </c>
      <c r="C184" s="2">
        <f t="array" ref="C184">IF($B184="","",INDEX(SchedZone,MATCH($A184,SchedSeq,0),MAP!$B$4))</f>
        <v>12</v>
      </c>
      <c r="D184" s="2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2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2" t="str">
        <f>IF($B184="","",IF(COUNTIF(EngGameID,$B184)&gt;1,"DUP",""))</f>
        <v/>
      </c>
      <c r="G184" s="2" t="str">
        <f>IF($B184="","",IF(OR(COUNTIFS(EngWeek,$C184,EngAway,$D184)+COUNTIFS(EngWeek,$C184,EngHome,$D184)&gt;1,COUNTIFS(EngWeek,$C184,EngAway,$E184)+COUNTIFS(EngWeek,$C184,EngHome,$E184)&gt;1),"DUP",""))</f>
        <v/>
      </c>
      <c r="H184" s="2" t="str">
        <f>IF($B184="","",IF(OR(SUMPRODUCT((CLGameID=$B184)*CLUnmatched)&gt;0,LEFT($D184,1)="⚠",LEFT($E184,1)="⚠"),"UNMATCHED",""))</f>
        <v/>
      </c>
      <c r="I184" s="2" t="str">
        <f t="array" ref="I184">IF($B184="","",IF(OR(NOT(ISNUMBER(IFERROR(INDEX(RatEff,MATCH($D184,RatTeams,0)),"x"))),NOT(ISNUMBER(IFERROR(INDEX(RatEff,MATCH($E184,RatTeams,0)),"x")))),"MISSING",""))</f>
        <v/>
      </c>
      <c r="J184" s="2" t="str">
        <f>IF($B184="","",IF(SUMPRODUCT((CLGameID=$B184)*CLPlayed*(CLUseCur+CLUsePrev&gt;0)*(CLPlays=0))&gt;0,"MISSING",""))</f>
        <v/>
      </c>
      <c r="K184" s="2" t="str">
        <f>IF($B184="","",IF(SUMPRODUCT((CLGameID=$B184)*CLPlayed*((CLOffPts&lt;-20)+(CLOffPts&gt;90)))&gt;0,"CHECK",""))</f>
        <v/>
      </c>
      <c r="L184" s="2" t="str">
        <f t="array" ref="L184">IF($B184="","",IF(OR(ABS(IFERROR(INDEX(RatEff,MATCH($D184,RatTeams,0)),0))&gt;RatingRange,ABS(IFERROR(INDEX(RatEff,MATCH($E184,RatTeams,0)),0))&gt;RatingRange),"RANGE",""))</f>
        <v/>
      </c>
      <c r="M184" s="2" t="str">
        <f t="array" ref="M184">IF($B184="","",IF(OR(IFERROR(INDEX(CalcMoveFlag,MATCH($D184,CalcTeams,0)),"")="CAPPED",IFERROR(INDEX(CalcMoveFlag,MATCH($E184,CalcTeams,0)),"")="CAPPED"),"CAPPED",""))</f>
        <v/>
      </c>
      <c r="N184" s="2" t="str">
        <f>IF($B184="","",IF(ABS(SUMIFS(AdjSpread,AdjGameID,$B184,AdjActive,1))&gt;AdjCap,"LARGE",""))</f>
        <v/>
      </c>
      <c r="O184" s="2" t="str">
        <f t="array" ref="O184">IF($B184="","",IFERROR(INDEX(MktStale,MATCH($B184,MktGameID,0)),""))</f>
        <v/>
      </c>
      <c r="P184" s="2" t="str">
        <f t="shared" si="1"/>
        <v>READY</v>
      </c>
    </row>
    <row r="185" ht="15.0" customHeight="1">
      <c r="A185" s="2">
        <v>174.0</v>
      </c>
      <c r="B185" s="2" t="str">
        <f t="array" ref="B185">IFERROR(INDEX(SchedZone,MATCH($A185,SchedSeq,0),MAP!$B$6),"")</f>
        <v>2026_12_ATL_MIN</v>
      </c>
      <c r="C185" s="2">
        <f t="array" ref="C185">IF($B185="","",INDEX(SchedZone,MATCH($A185,SchedSeq,0),MAP!$B$4))</f>
        <v>12</v>
      </c>
      <c r="D185" s="2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2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2" t="str">
        <f>IF($B185="","",IF(COUNTIF(EngGameID,$B185)&gt;1,"DUP",""))</f>
        <v/>
      </c>
      <c r="G185" s="2" t="str">
        <f>IF($B185="","",IF(OR(COUNTIFS(EngWeek,$C185,EngAway,$D185)+COUNTIFS(EngWeek,$C185,EngHome,$D185)&gt;1,COUNTIFS(EngWeek,$C185,EngAway,$E185)+COUNTIFS(EngWeek,$C185,EngHome,$E185)&gt;1),"DUP",""))</f>
        <v/>
      </c>
      <c r="H185" s="2" t="str">
        <f>IF($B185="","",IF(OR(SUMPRODUCT((CLGameID=$B185)*CLUnmatched)&gt;0,LEFT($D185,1)="⚠",LEFT($E185,1)="⚠"),"UNMATCHED",""))</f>
        <v/>
      </c>
      <c r="I185" s="2" t="str">
        <f t="array" ref="I185">IF($B185="","",IF(OR(NOT(ISNUMBER(IFERROR(INDEX(RatEff,MATCH($D185,RatTeams,0)),"x"))),NOT(ISNUMBER(IFERROR(INDEX(RatEff,MATCH($E185,RatTeams,0)),"x")))),"MISSING",""))</f>
        <v/>
      </c>
      <c r="J185" s="2" t="str">
        <f>IF($B185="","",IF(SUMPRODUCT((CLGameID=$B185)*CLPlayed*(CLUseCur+CLUsePrev&gt;0)*(CLPlays=0))&gt;0,"MISSING",""))</f>
        <v/>
      </c>
      <c r="K185" s="2" t="str">
        <f>IF($B185="","",IF(SUMPRODUCT((CLGameID=$B185)*CLPlayed*((CLOffPts&lt;-20)+(CLOffPts&gt;90)))&gt;0,"CHECK",""))</f>
        <v/>
      </c>
      <c r="L185" s="2" t="str">
        <f t="array" ref="L185">IF($B185="","",IF(OR(ABS(IFERROR(INDEX(RatEff,MATCH($D185,RatTeams,0)),0))&gt;RatingRange,ABS(IFERROR(INDEX(RatEff,MATCH($E185,RatTeams,0)),0))&gt;RatingRange),"RANGE",""))</f>
        <v/>
      </c>
      <c r="M185" s="2" t="str">
        <f t="array" ref="M185">IF($B185="","",IF(OR(IFERROR(INDEX(CalcMoveFlag,MATCH($D185,CalcTeams,0)),"")="CAPPED",IFERROR(INDEX(CalcMoveFlag,MATCH($E185,CalcTeams,0)),"")="CAPPED"),"CAPPED",""))</f>
        <v/>
      </c>
      <c r="N185" s="2" t="str">
        <f>IF($B185="","",IF(ABS(SUMIFS(AdjSpread,AdjGameID,$B185,AdjActive,1))&gt;AdjCap,"LARGE",""))</f>
        <v/>
      </c>
      <c r="O185" s="2" t="str">
        <f t="array" ref="O185">IF($B185="","",IFERROR(INDEX(MktStale,MATCH($B185,MktGameID,0)),""))</f>
        <v/>
      </c>
      <c r="P185" s="2" t="str">
        <f t="shared" si="1"/>
        <v>READY</v>
      </c>
    </row>
    <row r="186" ht="15.0" customHeight="1">
      <c r="A186" s="2">
        <v>175.0</v>
      </c>
      <c r="B186" s="2" t="str">
        <f t="array" ref="B186">IFERROR(INDEX(SchedZone,MATCH($A186,SchedSeq,0),MAP!$B$6),"")</f>
        <v>2026_12_TEN_JAX</v>
      </c>
      <c r="C186" s="2">
        <f t="array" ref="C186">IF($B186="","",INDEX(SchedZone,MATCH($A186,SchedSeq,0),MAP!$B$4))</f>
        <v>12</v>
      </c>
      <c r="D186" s="2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2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2" t="str">
        <f>IF($B186="","",IF(COUNTIF(EngGameID,$B186)&gt;1,"DUP",""))</f>
        <v/>
      </c>
      <c r="G186" s="2" t="str">
        <f>IF($B186="","",IF(OR(COUNTIFS(EngWeek,$C186,EngAway,$D186)+COUNTIFS(EngWeek,$C186,EngHome,$D186)&gt;1,COUNTIFS(EngWeek,$C186,EngAway,$E186)+COUNTIFS(EngWeek,$C186,EngHome,$E186)&gt;1),"DUP",""))</f>
        <v/>
      </c>
      <c r="H186" s="2" t="str">
        <f>IF($B186="","",IF(OR(SUMPRODUCT((CLGameID=$B186)*CLUnmatched)&gt;0,LEFT($D186,1)="⚠",LEFT($E186,1)="⚠"),"UNMATCHED",""))</f>
        <v/>
      </c>
      <c r="I186" s="2" t="str">
        <f t="array" ref="I186">IF($B186="","",IF(OR(NOT(ISNUMBER(IFERROR(INDEX(RatEff,MATCH($D186,RatTeams,0)),"x"))),NOT(ISNUMBER(IFERROR(INDEX(RatEff,MATCH($E186,RatTeams,0)),"x")))),"MISSING",""))</f>
        <v/>
      </c>
      <c r="J186" s="2" t="str">
        <f>IF($B186="","",IF(SUMPRODUCT((CLGameID=$B186)*CLPlayed*(CLUseCur+CLUsePrev&gt;0)*(CLPlays=0))&gt;0,"MISSING",""))</f>
        <v/>
      </c>
      <c r="K186" s="2" t="str">
        <f>IF($B186="","",IF(SUMPRODUCT((CLGameID=$B186)*CLPlayed*((CLOffPts&lt;-20)+(CLOffPts&gt;90)))&gt;0,"CHECK",""))</f>
        <v/>
      </c>
      <c r="L186" s="2" t="str">
        <f t="array" ref="L186">IF($B186="","",IF(OR(ABS(IFERROR(INDEX(RatEff,MATCH($D186,RatTeams,0)),0))&gt;RatingRange,ABS(IFERROR(INDEX(RatEff,MATCH($E186,RatTeams,0)),0))&gt;RatingRange),"RANGE",""))</f>
        <v/>
      </c>
      <c r="M186" s="2" t="str">
        <f t="array" ref="M186">IF($B186="","",IF(OR(IFERROR(INDEX(CalcMoveFlag,MATCH($D186,CalcTeams,0)),"")="CAPPED",IFERROR(INDEX(CalcMoveFlag,MATCH($E186,CalcTeams,0)),"")="CAPPED"),"CAPPED",""))</f>
        <v/>
      </c>
      <c r="N186" s="2" t="str">
        <f>IF($B186="","",IF(ABS(SUMIFS(AdjSpread,AdjGameID,$B186,AdjActive,1))&gt;AdjCap,"LARGE",""))</f>
        <v/>
      </c>
      <c r="O186" s="2" t="str">
        <f t="array" ref="O186">IF($B186="","",IFERROR(INDEX(MktStale,MATCH($B186,MktGameID,0)),""))</f>
        <v/>
      </c>
      <c r="P186" s="2" t="str">
        <f t="shared" si="1"/>
        <v>READY</v>
      </c>
    </row>
    <row r="187" ht="15.0" customHeight="1">
      <c r="A187" s="2">
        <v>176.0</v>
      </c>
      <c r="B187" s="2" t="str">
        <f t="array" ref="B187">IFERROR(INDEX(SchedZone,MATCH($A187,SchedSeq,0),MAP!$B$6),"")</f>
        <v>2026_12_WAS_ARI</v>
      </c>
      <c r="C187" s="2">
        <f t="array" ref="C187">IF($B187="","",INDEX(SchedZone,MATCH($A187,SchedSeq,0),MAP!$B$4))</f>
        <v>12</v>
      </c>
      <c r="D187" s="2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2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2" t="str">
        <f>IF($B187="","",IF(COUNTIF(EngGameID,$B187)&gt;1,"DUP",""))</f>
        <v/>
      </c>
      <c r="G187" s="2" t="str">
        <f>IF($B187="","",IF(OR(COUNTIFS(EngWeek,$C187,EngAway,$D187)+COUNTIFS(EngWeek,$C187,EngHome,$D187)&gt;1,COUNTIFS(EngWeek,$C187,EngAway,$E187)+COUNTIFS(EngWeek,$C187,EngHome,$E187)&gt;1),"DUP",""))</f>
        <v/>
      </c>
      <c r="H187" s="2" t="str">
        <f>IF($B187="","",IF(OR(SUMPRODUCT((CLGameID=$B187)*CLUnmatched)&gt;0,LEFT($D187,1)="⚠",LEFT($E187,1)="⚠"),"UNMATCHED",""))</f>
        <v/>
      </c>
      <c r="I187" s="2" t="str">
        <f t="array" ref="I187">IF($B187="","",IF(OR(NOT(ISNUMBER(IFERROR(INDEX(RatEff,MATCH($D187,RatTeams,0)),"x"))),NOT(ISNUMBER(IFERROR(INDEX(RatEff,MATCH($E187,RatTeams,0)),"x")))),"MISSING",""))</f>
        <v/>
      </c>
      <c r="J187" s="2" t="str">
        <f>IF($B187="","",IF(SUMPRODUCT((CLGameID=$B187)*CLPlayed*(CLUseCur+CLUsePrev&gt;0)*(CLPlays=0))&gt;0,"MISSING",""))</f>
        <v/>
      </c>
      <c r="K187" s="2" t="str">
        <f>IF($B187="","",IF(SUMPRODUCT((CLGameID=$B187)*CLPlayed*((CLOffPts&lt;-20)+(CLOffPts&gt;90)))&gt;0,"CHECK",""))</f>
        <v/>
      </c>
      <c r="L187" s="2" t="str">
        <f t="array" ref="L187">IF($B187="","",IF(OR(ABS(IFERROR(INDEX(RatEff,MATCH($D187,RatTeams,0)),0))&gt;RatingRange,ABS(IFERROR(INDEX(RatEff,MATCH($E187,RatTeams,0)),0))&gt;RatingRange),"RANGE",""))</f>
        <v/>
      </c>
      <c r="M187" s="2" t="str">
        <f t="array" ref="M187">IF($B187="","",IF(OR(IFERROR(INDEX(CalcMoveFlag,MATCH($D187,CalcTeams,0)),"")="CAPPED",IFERROR(INDEX(CalcMoveFlag,MATCH($E187,CalcTeams,0)),"")="CAPPED"),"CAPPED",""))</f>
        <v/>
      </c>
      <c r="N187" s="2" t="str">
        <f>IF($B187="","",IF(ABS(SUMIFS(AdjSpread,AdjGameID,$B187,AdjActive,1))&gt;AdjCap,"LARGE",""))</f>
        <v/>
      </c>
      <c r="O187" s="2" t="str">
        <f t="array" ref="O187">IF($B187="","",IFERROR(INDEX(MktStale,MATCH($B187,MktGameID,0)),""))</f>
        <v/>
      </c>
      <c r="P187" s="2" t="str">
        <f t="shared" si="1"/>
        <v>READY</v>
      </c>
    </row>
    <row r="188" ht="15.0" customHeight="1">
      <c r="A188" s="2">
        <v>177.0</v>
      </c>
      <c r="B188" s="2" t="str">
        <f t="array" ref="B188">IFERROR(INDEX(SchedZone,MATCH($A188,SchedSeq,0),MAP!$B$6),"")</f>
        <v>2026_12_SEA_SF</v>
      </c>
      <c r="C188" s="2">
        <f t="array" ref="C188">IF($B188="","",INDEX(SchedZone,MATCH($A188,SchedSeq,0),MAP!$B$4))</f>
        <v>12</v>
      </c>
      <c r="D188" s="2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2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2" t="str">
        <f>IF($B188="","",IF(COUNTIF(EngGameID,$B188)&gt;1,"DUP",""))</f>
        <v/>
      </c>
      <c r="G188" s="2" t="str">
        <f>IF($B188="","",IF(OR(COUNTIFS(EngWeek,$C188,EngAway,$D188)+COUNTIFS(EngWeek,$C188,EngHome,$D188)&gt;1,COUNTIFS(EngWeek,$C188,EngAway,$E188)+COUNTIFS(EngWeek,$C188,EngHome,$E188)&gt;1),"DUP",""))</f>
        <v/>
      </c>
      <c r="H188" s="2" t="str">
        <f>IF($B188="","",IF(OR(SUMPRODUCT((CLGameID=$B188)*CLUnmatched)&gt;0,LEFT($D188,1)="⚠",LEFT($E188,1)="⚠"),"UNMATCHED",""))</f>
        <v/>
      </c>
      <c r="I188" s="2" t="str">
        <f t="array" ref="I188">IF($B188="","",IF(OR(NOT(ISNUMBER(IFERROR(INDEX(RatEff,MATCH($D188,RatTeams,0)),"x"))),NOT(ISNUMBER(IFERROR(INDEX(RatEff,MATCH($E188,RatTeams,0)),"x")))),"MISSING",""))</f>
        <v/>
      </c>
      <c r="J188" s="2" t="str">
        <f>IF($B188="","",IF(SUMPRODUCT((CLGameID=$B188)*CLPlayed*(CLUseCur+CLUsePrev&gt;0)*(CLPlays=0))&gt;0,"MISSING",""))</f>
        <v/>
      </c>
      <c r="K188" s="2" t="str">
        <f>IF($B188="","",IF(SUMPRODUCT((CLGameID=$B188)*CLPlayed*((CLOffPts&lt;-20)+(CLOffPts&gt;90)))&gt;0,"CHECK",""))</f>
        <v/>
      </c>
      <c r="L188" s="2" t="str">
        <f t="array" ref="L188">IF($B188="","",IF(OR(ABS(IFERROR(INDEX(RatEff,MATCH($D188,RatTeams,0)),0))&gt;RatingRange,ABS(IFERROR(INDEX(RatEff,MATCH($E188,RatTeams,0)),0))&gt;RatingRange),"RANGE",""))</f>
        <v/>
      </c>
      <c r="M188" s="2" t="str">
        <f t="array" ref="M188">IF($B188="","",IF(OR(IFERROR(INDEX(CalcMoveFlag,MATCH($D188,CalcTeams,0)),"")="CAPPED",IFERROR(INDEX(CalcMoveFlag,MATCH($E188,CalcTeams,0)),"")="CAPPED"),"CAPPED",""))</f>
        <v/>
      </c>
      <c r="N188" s="2" t="str">
        <f>IF($B188="","",IF(ABS(SUMIFS(AdjSpread,AdjGameID,$B188,AdjActive,1))&gt;AdjCap,"LARGE",""))</f>
        <v/>
      </c>
      <c r="O188" s="2" t="str">
        <f t="array" ref="O188">IF($B188="","",IFERROR(INDEX(MktStale,MATCH($B188,MktGameID,0)),""))</f>
        <v/>
      </c>
      <c r="P188" s="2" t="str">
        <f t="shared" si="1"/>
        <v>READY</v>
      </c>
    </row>
    <row r="189" ht="15.0" customHeight="1">
      <c r="A189" s="2">
        <v>178.0</v>
      </c>
      <c r="B189" s="2" t="str">
        <f t="array" ref="B189">IFERROR(INDEX(SchedZone,MATCH($A189,SchedSeq,0),MAP!$B$6),"")</f>
        <v>2026_12_NE_LAC</v>
      </c>
      <c r="C189" s="2">
        <f t="array" ref="C189">IF($B189="","",INDEX(SchedZone,MATCH($A189,SchedSeq,0),MAP!$B$4))</f>
        <v>12</v>
      </c>
      <c r="D189" s="2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2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2" t="str">
        <f>IF($B189="","",IF(COUNTIF(EngGameID,$B189)&gt;1,"DUP",""))</f>
        <v/>
      </c>
      <c r="G189" s="2" t="str">
        <f>IF($B189="","",IF(OR(COUNTIFS(EngWeek,$C189,EngAway,$D189)+COUNTIFS(EngWeek,$C189,EngHome,$D189)&gt;1,COUNTIFS(EngWeek,$C189,EngAway,$E189)+COUNTIFS(EngWeek,$C189,EngHome,$E189)&gt;1),"DUP",""))</f>
        <v/>
      </c>
      <c r="H189" s="2" t="str">
        <f>IF($B189="","",IF(OR(SUMPRODUCT((CLGameID=$B189)*CLUnmatched)&gt;0,LEFT($D189,1)="⚠",LEFT($E189,1)="⚠"),"UNMATCHED",""))</f>
        <v/>
      </c>
      <c r="I189" s="2" t="str">
        <f t="array" ref="I189">IF($B189="","",IF(OR(NOT(ISNUMBER(IFERROR(INDEX(RatEff,MATCH($D189,RatTeams,0)),"x"))),NOT(ISNUMBER(IFERROR(INDEX(RatEff,MATCH($E189,RatTeams,0)),"x")))),"MISSING",""))</f>
        <v/>
      </c>
      <c r="J189" s="2" t="str">
        <f>IF($B189="","",IF(SUMPRODUCT((CLGameID=$B189)*CLPlayed*(CLUseCur+CLUsePrev&gt;0)*(CLPlays=0))&gt;0,"MISSING",""))</f>
        <v/>
      </c>
      <c r="K189" s="2" t="str">
        <f>IF($B189="","",IF(SUMPRODUCT((CLGameID=$B189)*CLPlayed*((CLOffPts&lt;-20)+(CLOffPts&gt;90)))&gt;0,"CHECK",""))</f>
        <v/>
      </c>
      <c r="L189" s="2" t="str">
        <f t="array" ref="L189">IF($B189="","",IF(OR(ABS(IFERROR(INDEX(RatEff,MATCH($D189,RatTeams,0)),0))&gt;RatingRange,ABS(IFERROR(INDEX(RatEff,MATCH($E189,RatTeams,0)),0))&gt;RatingRange),"RANGE",""))</f>
        <v/>
      </c>
      <c r="M189" s="2" t="str">
        <f t="array" ref="M189">IF($B189="","",IF(OR(IFERROR(INDEX(CalcMoveFlag,MATCH($D189,CalcTeams,0)),"")="CAPPED",IFERROR(INDEX(CalcMoveFlag,MATCH($E189,CalcTeams,0)),"")="CAPPED"),"CAPPED",""))</f>
        <v/>
      </c>
      <c r="N189" s="2" t="str">
        <f>IF($B189="","",IF(ABS(SUMIFS(AdjSpread,AdjGameID,$B189,AdjActive,1))&gt;AdjCap,"LARGE",""))</f>
        <v/>
      </c>
      <c r="O189" s="2" t="str">
        <f t="array" ref="O189">IF($B189="","",IFERROR(INDEX(MktStale,MATCH($B189,MktGameID,0)),""))</f>
        <v/>
      </c>
      <c r="P189" s="2" t="str">
        <f t="shared" si="1"/>
        <v>READY</v>
      </c>
    </row>
    <row r="190" ht="15.0" customHeight="1">
      <c r="A190" s="2">
        <v>179.0</v>
      </c>
      <c r="B190" s="2" t="str">
        <f t="array" ref="B190">IFERROR(INDEX(SchedZone,MATCH($A190,SchedSeq,0),MAP!$B$6),"")</f>
        <v>2026_12_CAR_TB</v>
      </c>
      <c r="C190" s="2">
        <f t="array" ref="C190">IF($B190="","",INDEX(SchedZone,MATCH($A190,SchedSeq,0),MAP!$B$4))</f>
        <v>12</v>
      </c>
      <c r="D190" s="2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2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2" t="str">
        <f>IF($B190="","",IF(COUNTIF(EngGameID,$B190)&gt;1,"DUP",""))</f>
        <v/>
      </c>
      <c r="G190" s="2" t="str">
        <f>IF($B190="","",IF(OR(COUNTIFS(EngWeek,$C190,EngAway,$D190)+COUNTIFS(EngWeek,$C190,EngHome,$D190)&gt;1,COUNTIFS(EngWeek,$C190,EngAway,$E190)+COUNTIFS(EngWeek,$C190,EngHome,$E190)&gt;1),"DUP",""))</f>
        <v/>
      </c>
      <c r="H190" s="2" t="str">
        <f>IF($B190="","",IF(OR(SUMPRODUCT((CLGameID=$B190)*CLUnmatched)&gt;0,LEFT($D190,1)="⚠",LEFT($E190,1)="⚠"),"UNMATCHED",""))</f>
        <v/>
      </c>
      <c r="I190" s="2" t="str">
        <f t="array" ref="I190">IF($B190="","",IF(OR(NOT(ISNUMBER(IFERROR(INDEX(RatEff,MATCH($D190,RatTeams,0)),"x"))),NOT(ISNUMBER(IFERROR(INDEX(RatEff,MATCH($E190,RatTeams,0)),"x")))),"MISSING",""))</f>
        <v/>
      </c>
      <c r="J190" s="2" t="str">
        <f>IF($B190="","",IF(SUMPRODUCT((CLGameID=$B190)*CLPlayed*(CLUseCur+CLUsePrev&gt;0)*(CLPlays=0))&gt;0,"MISSING",""))</f>
        <v/>
      </c>
      <c r="K190" s="2" t="str">
        <f>IF($B190="","",IF(SUMPRODUCT((CLGameID=$B190)*CLPlayed*((CLOffPts&lt;-20)+(CLOffPts&gt;90)))&gt;0,"CHECK",""))</f>
        <v/>
      </c>
      <c r="L190" s="2" t="str">
        <f t="array" ref="L190">IF($B190="","",IF(OR(ABS(IFERROR(INDEX(RatEff,MATCH($D190,RatTeams,0)),0))&gt;RatingRange,ABS(IFERROR(INDEX(RatEff,MATCH($E190,RatTeams,0)),0))&gt;RatingRange),"RANGE",""))</f>
        <v/>
      </c>
      <c r="M190" s="2" t="str">
        <f t="array" ref="M190">IF($B190="","",IF(OR(IFERROR(INDEX(CalcMoveFlag,MATCH($D190,CalcTeams,0)),"")="CAPPED",IFERROR(INDEX(CalcMoveFlag,MATCH($E190,CalcTeams,0)),"")="CAPPED"),"CAPPED",""))</f>
        <v/>
      </c>
      <c r="N190" s="2" t="str">
        <f>IF($B190="","",IF(ABS(SUMIFS(AdjSpread,AdjGameID,$B190,AdjActive,1))&gt;AdjCap,"LARGE",""))</f>
        <v/>
      </c>
      <c r="O190" s="2" t="str">
        <f t="array" ref="O190">IF($B190="","",IFERROR(INDEX(MktStale,MATCH($B190,MktGameID,0)),""))</f>
        <v/>
      </c>
      <c r="P190" s="2" t="str">
        <f t="shared" si="1"/>
        <v>READY</v>
      </c>
    </row>
    <row r="191" ht="15.0" customHeight="1">
      <c r="A191" s="2">
        <v>180.0</v>
      </c>
      <c r="B191" s="2" t="str">
        <f t="array" ref="B191">IFERROR(INDEX(SchedZone,MATCH($A191,SchedSeq,0),MAP!$B$6),"")</f>
        <v>2026_13_KC_LA</v>
      </c>
      <c r="C191" s="2">
        <f t="array" ref="C191">IF($B191="","",INDEX(SchedZone,MATCH($A191,SchedSeq,0),MAP!$B$4))</f>
        <v>13</v>
      </c>
      <c r="D191" s="2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2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2" t="str">
        <f>IF($B191="","",IF(COUNTIF(EngGameID,$B191)&gt;1,"DUP",""))</f>
        <v/>
      </c>
      <c r="G191" s="2" t="str">
        <f>IF($B191="","",IF(OR(COUNTIFS(EngWeek,$C191,EngAway,$D191)+COUNTIFS(EngWeek,$C191,EngHome,$D191)&gt;1,COUNTIFS(EngWeek,$C191,EngAway,$E191)+COUNTIFS(EngWeek,$C191,EngHome,$E191)&gt;1),"DUP",""))</f>
        <v/>
      </c>
      <c r="H191" s="2" t="str">
        <f>IF($B191="","",IF(OR(SUMPRODUCT((CLGameID=$B191)*CLUnmatched)&gt;0,LEFT($D191,1)="⚠",LEFT($E191,1)="⚠"),"UNMATCHED",""))</f>
        <v/>
      </c>
      <c r="I191" s="2" t="str">
        <f t="array" ref="I191">IF($B191="","",IF(OR(NOT(ISNUMBER(IFERROR(INDEX(RatEff,MATCH($D191,RatTeams,0)),"x"))),NOT(ISNUMBER(IFERROR(INDEX(RatEff,MATCH($E191,RatTeams,0)),"x")))),"MISSING",""))</f>
        <v/>
      </c>
      <c r="J191" s="2" t="str">
        <f>IF($B191="","",IF(SUMPRODUCT((CLGameID=$B191)*CLPlayed*(CLUseCur+CLUsePrev&gt;0)*(CLPlays=0))&gt;0,"MISSING",""))</f>
        <v/>
      </c>
      <c r="K191" s="2" t="str">
        <f>IF($B191="","",IF(SUMPRODUCT((CLGameID=$B191)*CLPlayed*((CLOffPts&lt;-20)+(CLOffPts&gt;90)))&gt;0,"CHECK",""))</f>
        <v/>
      </c>
      <c r="L191" s="2" t="str">
        <f t="array" ref="L191">IF($B191="","",IF(OR(ABS(IFERROR(INDEX(RatEff,MATCH($D191,RatTeams,0)),0))&gt;RatingRange,ABS(IFERROR(INDEX(RatEff,MATCH($E191,RatTeams,0)),0))&gt;RatingRange),"RANGE",""))</f>
        <v/>
      </c>
      <c r="M191" s="2" t="str">
        <f t="array" ref="M191">IF($B191="","",IF(OR(IFERROR(INDEX(CalcMoveFlag,MATCH($D191,CalcTeams,0)),"")="CAPPED",IFERROR(INDEX(CalcMoveFlag,MATCH($E191,CalcTeams,0)),"")="CAPPED"),"CAPPED",""))</f>
        <v/>
      </c>
      <c r="N191" s="2" t="str">
        <f>IF($B191="","",IF(ABS(SUMIFS(AdjSpread,AdjGameID,$B191,AdjActive,1))&gt;AdjCap,"LARGE",""))</f>
        <v/>
      </c>
      <c r="O191" s="2" t="str">
        <f t="array" ref="O191">IF($B191="","",IFERROR(INDEX(MktStale,MATCH($B191,MktGameID,0)),""))</f>
        <v/>
      </c>
      <c r="P191" s="2" t="str">
        <f t="shared" si="1"/>
        <v>READY</v>
      </c>
    </row>
    <row r="192" ht="15.0" customHeight="1">
      <c r="A192" s="2">
        <v>181.0</v>
      </c>
      <c r="B192" s="2" t="str">
        <f t="array" ref="B192">IFERROR(INDEX(SchedZone,MATCH($A192,SchedSeq,0),MAP!$B$6),"")</f>
        <v>2026_13_DET_ATL</v>
      </c>
      <c r="C192" s="2">
        <f t="array" ref="C192">IF($B192="","",INDEX(SchedZone,MATCH($A192,SchedSeq,0),MAP!$B$4))</f>
        <v>13</v>
      </c>
      <c r="D192" s="2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2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2" t="str">
        <f>IF($B192="","",IF(COUNTIF(EngGameID,$B192)&gt;1,"DUP",""))</f>
        <v/>
      </c>
      <c r="G192" s="2" t="str">
        <f>IF($B192="","",IF(OR(COUNTIFS(EngWeek,$C192,EngAway,$D192)+COUNTIFS(EngWeek,$C192,EngHome,$D192)&gt;1,COUNTIFS(EngWeek,$C192,EngAway,$E192)+COUNTIFS(EngWeek,$C192,EngHome,$E192)&gt;1),"DUP",""))</f>
        <v/>
      </c>
      <c r="H192" s="2" t="str">
        <f>IF($B192="","",IF(OR(SUMPRODUCT((CLGameID=$B192)*CLUnmatched)&gt;0,LEFT($D192,1)="⚠",LEFT($E192,1)="⚠"),"UNMATCHED",""))</f>
        <v/>
      </c>
      <c r="I192" s="2" t="str">
        <f t="array" ref="I192">IF($B192="","",IF(OR(NOT(ISNUMBER(IFERROR(INDEX(RatEff,MATCH($D192,RatTeams,0)),"x"))),NOT(ISNUMBER(IFERROR(INDEX(RatEff,MATCH($E192,RatTeams,0)),"x")))),"MISSING",""))</f>
        <v/>
      </c>
      <c r="J192" s="2" t="str">
        <f>IF($B192="","",IF(SUMPRODUCT((CLGameID=$B192)*CLPlayed*(CLUseCur+CLUsePrev&gt;0)*(CLPlays=0))&gt;0,"MISSING",""))</f>
        <v/>
      </c>
      <c r="K192" s="2" t="str">
        <f>IF($B192="","",IF(SUMPRODUCT((CLGameID=$B192)*CLPlayed*((CLOffPts&lt;-20)+(CLOffPts&gt;90)))&gt;0,"CHECK",""))</f>
        <v/>
      </c>
      <c r="L192" s="2" t="str">
        <f t="array" ref="L192">IF($B192="","",IF(OR(ABS(IFERROR(INDEX(RatEff,MATCH($D192,RatTeams,0)),0))&gt;RatingRange,ABS(IFERROR(INDEX(RatEff,MATCH($E192,RatTeams,0)),0))&gt;RatingRange),"RANGE",""))</f>
        <v/>
      </c>
      <c r="M192" s="2" t="str">
        <f t="array" ref="M192">IF($B192="","",IF(OR(IFERROR(INDEX(CalcMoveFlag,MATCH($D192,CalcTeams,0)),"")="CAPPED",IFERROR(INDEX(CalcMoveFlag,MATCH($E192,CalcTeams,0)),"")="CAPPED"),"CAPPED",""))</f>
        <v/>
      </c>
      <c r="N192" s="2" t="str">
        <f>IF($B192="","",IF(ABS(SUMIFS(AdjSpread,AdjGameID,$B192,AdjActive,1))&gt;AdjCap,"LARGE",""))</f>
        <v/>
      </c>
      <c r="O192" s="2" t="str">
        <f t="array" ref="O192">IF($B192="","",IFERROR(INDEX(MktStale,MATCH($B192,MktGameID,0)),""))</f>
        <v/>
      </c>
      <c r="P192" s="2" t="str">
        <f t="shared" si="1"/>
        <v>READY</v>
      </c>
    </row>
    <row r="193" ht="15.0" customHeight="1">
      <c r="A193" s="2">
        <v>182.0</v>
      </c>
      <c r="B193" s="2" t="str">
        <f t="array" ref="B193">IFERROR(INDEX(SchedZone,MATCH($A193,SchedSeq,0),MAP!$B$6),"")</f>
        <v>2026_13_JAX_CHI</v>
      </c>
      <c r="C193" s="2">
        <f t="array" ref="C193">IF($B193="","",INDEX(SchedZone,MATCH($A193,SchedSeq,0),MAP!$B$4))</f>
        <v>13</v>
      </c>
      <c r="D193" s="2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2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2" t="str">
        <f>IF($B193="","",IF(COUNTIF(EngGameID,$B193)&gt;1,"DUP",""))</f>
        <v/>
      </c>
      <c r="G193" s="2" t="str">
        <f>IF($B193="","",IF(OR(COUNTIFS(EngWeek,$C193,EngAway,$D193)+COUNTIFS(EngWeek,$C193,EngHome,$D193)&gt;1,COUNTIFS(EngWeek,$C193,EngAway,$E193)+COUNTIFS(EngWeek,$C193,EngHome,$E193)&gt;1),"DUP",""))</f>
        <v/>
      </c>
      <c r="H193" s="2" t="str">
        <f>IF($B193="","",IF(OR(SUMPRODUCT((CLGameID=$B193)*CLUnmatched)&gt;0,LEFT($D193,1)="⚠",LEFT($E193,1)="⚠"),"UNMATCHED",""))</f>
        <v/>
      </c>
      <c r="I193" s="2" t="str">
        <f t="array" ref="I193">IF($B193="","",IF(OR(NOT(ISNUMBER(IFERROR(INDEX(RatEff,MATCH($D193,RatTeams,0)),"x"))),NOT(ISNUMBER(IFERROR(INDEX(RatEff,MATCH($E193,RatTeams,0)),"x")))),"MISSING",""))</f>
        <v/>
      </c>
      <c r="J193" s="2" t="str">
        <f>IF($B193="","",IF(SUMPRODUCT((CLGameID=$B193)*CLPlayed*(CLUseCur+CLUsePrev&gt;0)*(CLPlays=0))&gt;0,"MISSING",""))</f>
        <v/>
      </c>
      <c r="K193" s="2" t="str">
        <f>IF($B193="","",IF(SUMPRODUCT((CLGameID=$B193)*CLPlayed*((CLOffPts&lt;-20)+(CLOffPts&gt;90)))&gt;0,"CHECK",""))</f>
        <v/>
      </c>
      <c r="L193" s="2" t="str">
        <f t="array" ref="L193">IF($B193="","",IF(OR(ABS(IFERROR(INDEX(RatEff,MATCH($D193,RatTeams,0)),0))&gt;RatingRange,ABS(IFERROR(INDEX(RatEff,MATCH($E193,RatTeams,0)),0))&gt;RatingRange),"RANGE",""))</f>
        <v/>
      </c>
      <c r="M193" s="2" t="str">
        <f t="array" ref="M193">IF($B193="","",IF(OR(IFERROR(INDEX(CalcMoveFlag,MATCH($D193,CalcTeams,0)),"")="CAPPED",IFERROR(INDEX(CalcMoveFlag,MATCH($E193,CalcTeams,0)),"")="CAPPED"),"CAPPED",""))</f>
        <v/>
      </c>
      <c r="N193" s="2" t="str">
        <f>IF($B193="","",IF(ABS(SUMIFS(AdjSpread,AdjGameID,$B193,AdjActive,1))&gt;AdjCap,"LARGE",""))</f>
        <v/>
      </c>
      <c r="O193" s="2" t="str">
        <f t="array" ref="O193">IF($B193="","",IFERROR(INDEX(MktStale,MATCH($B193,MktGameID,0)),""))</f>
        <v/>
      </c>
      <c r="P193" s="2" t="str">
        <f t="shared" si="1"/>
        <v>READY</v>
      </c>
    </row>
    <row r="194" ht="15.0" customHeight="1">
      <c r="A194" s="2">
        <v>183.0</v>
      </c>
      <c r="B194" s="2" t="str">
        <f t="array" ref="B194">IFERROR(INDEX(SchedZone,MATCH($A194,SchedSeq,0),MAP!$B$6),"")</f>
        <v>2026_13_CIN_CLE</v>
      </c>
      <c r="C194" s="2">
        <f t="array" ref="C194">IF($B194="","",INDEX(SchedZone,MATCH($A194,SchedSeq,0),MAP!$B$4))</f>
        <v>13</v>
      </c>
      <c r="D194" s="2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2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2" t="str">
        <f>IF($B194="","",IF(COUNTIF(EngGameID,$B194)&gt;1,"DUP",""))</f>
        <v/>
      </c>
      <c r="G194" s="2" t="str">
        <f>IF($B194="","",IF(OR(COUNTIFS(EngWeek,$C194,EngAway,$D194)+COUNTIFS(EngWeek,$C194,EngHome,$D194)&gt;1,COUNTIFS(EngWeek,$C194,EngAway,$E194)+COUNTIFS(EngWeek,$C194,EngHome,$E194)&gt;1),"DUP",""))</f>
        <v/>
      </c>
      <c r="H194" s="2" t="str">
        <f>IF($B194="","",IF(OR(SUMPRODUCT((CLGameID=$B194)*CLUnmatched)&gt;0,LEFT($D194,1)="⚠",LEFT($E194,1)="⚠"),"UNMATCHED",""))</f>
        <v/>
      </c>
      <c r="I194" s="2" t="str">
        <f t="array" ref="I194">IF($B194="","",IF(OR(NOT(ISNUMBER(IFERROR(INDEX(RatEff,MATCH($D194,RatTeams,0)),"x"))),NOT(ISNUMBER(IFERROR(INDEX(RatEff,MATCH($E194,RatTeams,0)),"x")))),"MISSING",""))</f>
        <v/>
      </c>
      <c r="J194" s="2" t="str">
        <f>IF($B194="","",IF(SUMPRODUCT((CLGameID=$B194)*CLPlayed*(CLUseCur+CLUsePrev&gt;0)*(CLPlays=0))&gt;0,"MISSING",""))</f>
        <v/>
      </c>
      <c r="K194" s="2" t="str">
        <f>IF($B194="","",IF(SUMPRODUCT((CLGameID=$B194)*CLPlayed*((CLOffPts&lt;-20)+(CLOffPts&gt;90)))&gt;0,"CHECK",""))</f>
        <v/>
      </c>
      <c r="L194" s="2" t="str">
        <f t="array" ref="L194">IF($B194="","",IF(OR(ABS(IFERROR(INDEX(RatEff,MATCH($D194,RatTeams,0)),0))&gt;RatingRange,ABS(IFERROR(INDEX(RatEff,MATCH($E194,RatTeams,0)),0))&gt;RatingRange),"RANGE",""))</f>
        <v/>
      </c>
      <c r="M194" s="2" t="str">
        <f t="array" ref="M194">IF($B194="","",IF(OR(IFERROR(INDEX(CalcMoveFlag,MATCH($D194,CalcTeams,0)),"")="CAPPED",IFERROR(INDEX(CalcMoveFlag,MATCH($E194,CalcTeams,0)),"")="CAPPED"),"CAPPED",""))</f>
        <v/>
      </c>
      <c r="N194" s="2" t="str">
        <f>IF($B194="","",IF(ABS(SUMIFS(AdjSpread,AdjGameID,$B194,AdjActive,1))&gt;AdjCap,"LARGE",""))</f>
        <v/>
      </c>
      <c r="O194" s="2" t="str">
        <f t="array" ref="O194">IF($B194="","",IFERROR(INDEX(MktStale,MATCH($B194,MktGameID,0)),""))</f>
        <v/>
      </c>
      <c r="P194" s="2" t="str">
        <f t="shared" si="1"/>
        <v>READY</v>
      </c>
    </row>
    <row r="195" ht="15.0" customHeight="1">
      <c r="A195" s="2">
        <v>184.0</v>
      </c>
      <c r="B195" s="2" t="str">
        <f t="array" ref="B195">IFERROR(INDEX(SchedZone,MATCH($A195,SchedSeq,0),MAP!$B$6),"")</f>
        <v>2026_13_GB_NO</v>
      </c>
      <c r="C195" s="2">
        <f t="array" ref="C195">IF($B195="","",INDEX(SchedZone,MATCH($A195,SchedSeq,0),MAP!$B$4))</f>
        <v>13</v>
      </c>
      <c r="D195" s="2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2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2" t="str">
        <f>IF($B195="","",IF(COUNTIF(EngGameID,$B195)&gt;1,"DUP",""))</f>
        <v/>
      </c>
      <c r="G195" s="2" t="str">
        <f>IF($B195="","",IF(OR(COUNTIFS(EngWeek,$C195,EngAway,$D195)+COUNTIFS(EngWeek,$C195,EngHome,$D195)&gt;1,COUNTIFS(EngWeek,$C195,EngAway,$E195)+COUNTIFS(EngWeek,$C195,EngHome,$E195)&gt;1),"DUP",""))</f>
        <v/>
      </c>
      <c r="H195" s="2" t="str">
        <f>IF($B195="","",IF(OR(SUMPRODUCT((CLGameID=$B195)*CLUnmatched)&gt;0,LEFT($D195,1)="⚠",LEFT($E195,1)="⚠"),"UNMATCHED",""))</f>
        <v/>
      </c>
      <c r="I195" s="2" t="str">
        <f t="array" ref="I195">IF($B195="","",IF(OR(NOT(ISNUMBER(IFERROR(INDEX(RatEff,MATCH($D195,RatTeams,0)),"x"))),NOT(ISNUMBER(IFERROR(INDEX(RatEff,MATCH($E195,RatTeams,0)),"x")))),"MISSING",""))</f>
        <v/>
      </c>
      <c r="J195" s="2" t="str">
        <f>IF($B195="","",IF(SUMPRODUCT((CLGameID=$B195)*CLPlayed*(CLUseCur+CLUsePrev&gt;0)*(CLPlays=0))&gt;0,"MISSING",""))</f>
        <v/>
      </c>
      <c r="K195" s="2" t="str">
        <f>IF($B195="","",IF(SUMPRODUCT((CLGameID=$B195)*CLPlayed*((CLOffPts&lt;-20)+(CLOffPts&gt;90)))&gt;0,"CHECK",""))</f>
        <v/>
      </c>
      <c r="L195" s="2" t="str">
        <f t="array" ref="L195">IF($B195="","",IF(OR(ABS(IFERROR(INDEX(RatEff,MATCH($D195,RatTeams,0)),0))&gt;RatingRange,ABS(IFERROR(INDEX(RatEff,MATCH($E195,RatTeams,0)),0))&gt;RatingRange),"RANGE",""))</f>
        <v/>
      </c>
      <c r="M195" s="2" t="str">
        <f t="array" ref="M195">IF($B195="","",IF(OR(IFERROR(INDEX(CalcMoveFlag,MATCH($D195,CalcTeams,0)),"")="CAPPED",IFERROR(INDEX(CalcMoveFlag,MATCH($E195,CalcTeams,0)),"")="CAPPED"),"CAPPED",""))</f>
        <v/>
      </c>
      <c r="N195" s="2" t="str">
        <f>IF($B195="","",IF(ABS(SUMIFS(AdjSpread,AdjGameID,$B195,AdjActive,1))&gt;AdjCap,"LARGE",""))</f>
        <v/>
      </c>
      <c r="O195" s="2" t="str">
        <f t="array" ref="O195">IF($B195="","",IFERROR(INDEX(MktStale,MATCH($B195,MktGameID,0)),""))</f>
        <v/>
      </c>
      <c r="P195" s="2" t="str">
        <f t="shared" si="1"/>
        <v>READY</v>
      </c>
    </row>
    <row r="196" ht="15.0" customHeight="1">
      <c r="A196" s="2">
        <v>185.0</v>
      </c>
      <c r="B196" s="2" t="str">
        <f t="array" ref="B196">IFERROR(INDEX(SchedZone,MATCH($A196,SchedSeq,0),MAP!$B$6),"")</f>
        <v>2026_13_SF_NYG</v>
      </c>
      <c r="C196" s="2">
        <f t="array" ref="C196">IF($B196="","",INDEX(SchedZone,MATCH($A196,SchedSeq,0),MAP!$B$4))</f>
        <v>13</v>
      </c>
      <c r="D196" s="2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2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2" t="str">
        <f>IF($B196="","",IF(COUNTIF(EngGameID,$B196)&gt;1,"DUP",""))</f>
        <v/>
      </c>
      <c r="G196" s="2" t="str">
        <f>IF($B196="","",IF(OR(COUNTIFS(EngWeek,$C196,EngAway,$D196)+COUNTIFS(EngWeek,$C196,EngHome,$D196)&gt;1,COUNTIFS(EngWeek,$C196,EngAway,$E196)+COUNTIFS(EngWeek,$C196,EngHome,$E196)&gt;1),"DUP",""))</f>
        <v/>
      </c>
      <c r="H196" s="2" t="str">
        <f>IF($B196="","",IF(OR(SUMPRODUCT((CLGameID=$B196)*CLUnmatched)&gt;0,LEFT($D196,1)="⚠",LEFT($E196,1)="⚠"),"UNMATCHED",""))</f>
        <v/>
      </c>
      <c r="I196" s="2" t="str">
        <f t="array" ref="I196">IF($B196="","",IF(OR(NOT(ISNUMBER(IFERROR(INDEX(RatEff,MATCH($D196,RatTeams,0)),"x"))),NOT(ISNUMBER(IFERROR(INDEX(RatEff,MATCH($E196,RatTeams,0)),"x")))),"MISSING",""))</f>
        <v/>
      </c>
      <c r="J196" s="2" t="str">
        <f>IF($B196="","",IF(SUMPRODUCT((CLGameID=$B196)*CLPlayed*(CLUseCur+CLUsePrev&gt;0)*(CLPlays=0))&gt;0,"MISSING",""))</f>
        <v/>
      </c>
      <c r="K196" s="2" t="str">
        <f>IF($B196="","",IF(SUMPRODUCT((CLGameID=$B196)*CLPlayed*((CLOffPts&lt;-20)+(CLOffPts&gt;90)))&gt;0,"CHECK",""))</f>
        <v/>
      </c>
      <c r="L196" s="2" t="str">
        <f t="array" ref="L196">IF($B196="","",IF(OR(ABS(IFERROR(INDEX(RatEff,MATCH($D196,RatTeams,0)),0))&gt;RatingRange,ABS(IFERROR(INDEX(RatEff,MATCH($E196,RatTeams,0)),0))&gt;RatingRange),"RANGE",""))</f>
        <v/>
      </c>
      <c r="M196" s="2" t="str">
        <f t="array" ref="M196">IF($B196="","",IF(OR(IFERROR(INDEX(CalcMoveFlag,MATCH($D196,CalcTeams,0)),"")="CAPPED",IFERROR(INDEX(CalcMoveFlag,MATCH($E196,CalcTeams,0)),"")="CAPPED"),"CAPPED",""))</f>
        <v/>
      </c>
      <c r="N196" s="2" t="str">
        <f>IF($B196="","",IF(ABS(SUMIFS(AdjSpread,AdjGameID,$B196,AdjActive,1))&gt;AdjCap,"LARGE",""))</f>
        <v/>
      </c>
      <c r="O196" s="2" t="str">
        <f t="array" ref="O196">IF($B196="","",IFERROR(INDEX(MktStale,MATCH($B196,MktGameID,0)),""))</f>
        <v/>
      </c>
      <c r="P196" s="2" t="str">
        <f t="shared" si="1"/>
        <v>READY</v>
      </c>
    </row>
    <row r="197" ht="15.0" customHeight="1">
      <c r="A197" s="2">
        <v>186.0</v>
      </c>
      <c r="B197" s="2" t="str">
        <f t="array" ref="B197">IFERROR(INDEX(SchedZone,MATCH($A197,SchedSeq,0),MAP!$B$6),"")</f>
        <v>2026_13_LAC_TB</v>
      </c>
      <c r="C197" s="2">
        <f t="array" ref="C197">IF($B197="","",INDEX(SchedZone,MATCH($A197,SchedSeq,0),MAP!$B$4))</f>
        <v>13</v>
      </c>
      <c r="D197" s="2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2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2" t="str">
        <f>IF($B197="","",IF(COUNTIF(EngGameID,$B197)&gt;1,"DUP",""))</f>
        <v/>
      </c>
      <c r="G197" s="2" t="str">
        <f>IF($B197="","",IF(OR(COUNTIFS(EngWeek,$C197,EngAway,$D197)+COUNTIFS(EngWeek,$C197,EngHome,$D197)&gt;1,COUNTIFS(EngWeek,$C197,EngAway,$E197)+COUNTIFS(EngWeek,$C197,EngHome,$E197)&gt;1),"DUP",""))</f>
        <v/>
      </c>
      <c r="H197" s="2" t="str">
        <f>IF($B197="","",IF(OR(SUMPRODUCT((CLGameID=$B197)*CLUnmatched)&gt;0,LEFT($D197,1)="⚠",LEFT($E197,1)="⚠"),"UNMATCHED",""))</f>
        <v/>
      </c>
      <c r="I197" s="2" t="str">
        <f t="array" ref="I197">IF($B197="","",IF(OR(NOT(ISNUMBER(IFERROR(INDEX(RatEff,MATCH($D197,RatTeams,0)),"x"))),NOT(ISNUMBER(IFERROR(INDEX(RatEff,MATCH($E197,RatTeams,0)),"x")))),"MISSING",""))</f>
        <v/>
      </c>
      <c r="J197" s="2" t="str">
        <f>IF($B197="","",IF(SUMPRODUCT((CLGameID=$B197)*CLPlayed*(CLUseCur+CLUsePrev&gt;0)*(CLPlays=0))&gt;0,"MISSING",""))</f>
        <v/>
      </c>
      <c r="K197" s="2" t="str">
        <f>IF($B197="","",IF(SUMPRODUCT((CLGameID=$B197)*CLPlayed*((CLOffPts&lt;-20)+(CLOffPts&gt;90)))&gt;0,"CHECK",""))</f>
        <v/>
      </c>
      <c r="L197" s="2" t="str">
        <f t="array" ref="L197">IF($B197="","",IF(OR(ABS(IFERROR(INDEX(RatEff,MATCH($D197,RatTeams,0)),0))&gt;RatingRange,ABS(IFERROR(INDEX(RatEff,MATCH($E197,RatTeams,0)),0))&gt;RatingRange),"RANGE",""))</f>
        <v/>
      </c>
      <c r="M197" s="2" t="str">
        <f t="array" ref="M197">IF($B197="","",IF(OR(IFERROR(INDEX(CalcMoveFlag,MATCH($D197,CalcTeams,0)),"")="CAPPED",IFERROR(INDEX(CalcMoveFlag,MATCH($E197,CalcTeams,0)),"")="CAPPED"),"CAPPED",""))</f>
        <v/>
      </c>
      <c r="N197" s="2" t="str">
        <f>IF($B197="","",IF(ABS(SUMIFS(AdjSpread,AdjGameID,$B197,AdjActive,1))&gt;AdjCap,"LARGE",""))</f>
        <v/>
      </c>
      <c r="O197" s="2" t="str">
        <f t="array" ref="O197">IF($B197="","",IFERROR(INDEX(MktStale,MATCH($B197,MktGameID,0)),""))</f>
        <v/>
      </c>
      <c r="P197" s="2" t="str">
        <f t="shared" si="1"/>
        <v>READY</v>
      </c>
    </row>
    <row r="198" ht="15.0" customHeight="1">
      <c r="A198" s="2">
        <v>187.0</v>
      </c>
      <c r="B198" s="2" t="str">
        <f t="array" ref="B198">IFERROR(INDEX(SchedZone,MATCH($A198,SchedSeq,0),MAP!$B$6),"")</f>
        <v>2026_13_WAS_TEN</v>
      </c>
      <c r="C198" s="2">
        <f t="array" ref="C198">IF($B198="","",INDEX(SchedZone,MATCH($A198,SchedSeq,0),MAP!$B$4))</f>
        <v>13</v>
      </c>
      <c r="D198" s="2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2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2" t="str">
        <f>IF($B198="","",IF(COUNTIF(EngGameID,$B198)&gt;1,"DUP",""))</f>
        <v/>
      </c>
      <c r="G198" s="2" t="str">
        <f>IF($B198="","",IF(OR(COUNTIFS(EngWeek,$C198,EngAway,$D198)+COUNTIFS(EngWeek,$C198,EngHome,$D198)&gt;1,COUNTIFS(EngWeek,$C198,EngAway,$E198)+COUNTIFS(EngWeek,$C198,EngHome,$E198)&gt;1),"DUP",""))</f>
        <v/>
      </c>
      <c r="H198" s="2" t="str">
        <f>IF($B198="","",IF(OR(SUMPRODUCT((CLGameID=$B198)*CLUnmatched)&gt;0,LEFT($D198,1)="⚠",LEFT($E198,1)="⚠"),"UNMATCHED",""))</f>
        <v/>
      </c>
      <c r="I198" s="2" t="str">
        <f t="array" ref="I198">IF($B198="","",IF(OR(NOT(ISNUMBER(IFERROR(INDEX(RatEff,MATCH($D198,RatTeams,0)),"x"))),NOT(ISNUMBER(IFERROR(INDEX(RatEff,MATCH($E198,RatTeams,0)),"x")))),"MISSING",""))</f>
        <v/>
      </c>
      <c r="J198" s="2" t="str">
        <f>IF($B198="","",IF(SUMPRODUCT((CLGameID=$B198)*CLPlayed*(CLUseCur+CLUsePrev&gt;0)*(CLPlays=0))&gt;0,"MISSING",""))</f>
        <v/>
      </c>
      <c r="K198" s="2" t="str">
        <f>IF($B198="","",IF(SUMPRODUCT((CLGameID=$B198)*CLPlayed*((CLOffPts&lt;-20)+(CLOffPts&gt;90)))&gt;0,"CHECK",""))</f>
        <v/>
      </c>
      <c r="L198" s="2" t="str">
        <f t="array" ref="L198">IF($B198="","",IF(OR(ABS(IFERROR(INDEX(RatEff,MATCH($D198,RatTeams,0)),0))&gt;RatingRange,ABS(IFERROR(INDEX(RatEff,MATCH($E198,RatTeams,0)),0))&gt;RatingRange),"RANGE",""))</f>
        <v/>
      </c>
      <c r="M198" s="2" t="str">
        <f t="array" ref="M198">IF($B198="","",IF(OR(IFERROR(INDEX(CalcMoveFlag,MATCH($D198,CalcTeams,0)),"")="CAPPED",IFERROR(INDEX(CalcMoveFlag,MATCH($E198,CalcTeams,0)),"")="CAPPED"),"CAPPED",""))</f>
        <v/>
      </c>
      <c r="N198" s="2" t="str">
        <f>IF($B198="","",IF(ABS(SUMIFS(AdjSpread,AdjGameID,$B198,AdjActive,1))&gt;AdjCap,"LARGE",""))</f>
        <v/>
      </c>
      <c r="O198" s="2" t="str">
        <f t="array" ref="O198">IF($B198="","",IFERROR(INDEX(MktStale,MATCH($B198,MktGameID,0)),""))</f>
        <v/>
      </c>
      <c r="P198" s="2" t="str">
        <f t="shared" si="1"/>
        <v>READY</v>
      </c>
    </row>
    <row r="199" ht="15.0" customHeight="1">
      <c r="A199" s="2">
        <v>188.0</v>
      </c>
      <c r="B199" s="2" t="str">
        <f t="array" ref="B199">IFERROR(INDEX(SchedZone,MATCH($A199,SchedSeq,0),MAP!$B$6),"")</f>
        <v>2026_13_PHI_ARI</v>
      </c>
      <c r="C199" s="2">
        <f t="array" ref="C199">IF($B199="","",INDEX(SchedZone,MATCH($A199,SchedSeq,0),MAP!$B$4))</f>
        <v>13</v>
      </c>
      <c r="D199" s="2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2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2" t="str">
        <f>IF($B199="","",IF(COUNTIF(EngGameID,$B199)&gt;1,"DUP",""))</f>
        <v/>
      </c>
      <c r="G199" s="2" t="str">
        <f>IF($B199="","",IF(OR(COUNTIFS(EngWeek,$C199,EngAway,$D199)+COUNTIFS(EngWeek,$C199,EngHome,$D199)&gt;1,COUNTIFS(EngWeek,$C199,EngAway,$E199)+COUNTIFS(EngWeek,$C199,EngHome,$E199)&gt;1),"DUP",""))</f>
        <v/>
      </c>
      <c r="H199" s="2" t="str">
        <f>IF($B199="","",IF(OR(SUMPRODUCT((CLGameID=$B199)*CLUnmatched)&gt;0,LEFT($D199,1)="⚠",LEFT($E199,1)="⚠"),"UNMATCHED",""))</f>
        <v/>
      </c>
      <c r="I199" s="2" t="str">
        <f t="array" ref="I199">IF($B199="","",IF(OR(NOT(ISNUMBER(IFERROR(INDEX(RatEff,MATCH($D199,RatTeams,0)),"x"))),NOT(ISNUMBER(IFERROR(INDEX(RatEff,MATCH($E199,RatTeams,0)),"x")))),"MISSING",""))</f>
        <v/>
      </c>
      <c r="J199" s="2" t="str">
        <f>IF($B199="","",IF(SUMPRODUCT((CLGameID=$B199)*CLPlayed*(CLUseCur+CLUsePrev&gt;0)*(CLPlays=0))&gt;0,"MISSING",""))</f>
        <v/>
      </c>
      <c r="K199" s="2" t="str">
        <f>IF($B199="","",IF(SUMPRODUCT((CLGameID=$B199)*CLPlayed*((CLOffPts&lt;-20)+(CLOffPts&gt;90)))&gt;0,"CHECK",""))</f>
        <v/>
      </c>
      <c r="L199" s="2" t="str">
        <f t="array" ref="L199">IF($B199="","",IF(OR(ABS(IFERROR(INDEX(RatEff,MATCH($D199,RatTeams,0)),0))&gt;RatingRange,ABS(IFERROR(INDEX(RatEff,MATCH($E199,RatTeams,0)),0))&gt;RatingRange),"RANGE",""))</f>
        <v/>
      </c>
      <c r="M199" s="2" t="str">
        <f t="array" ref="M199">IF($B199="","",IF(OR(IFERROR(INDEX(CalcMoveFlag,MATCH($D199,CalcTeams,0)),"")="CAPPED",IFERROR(INDEX(CalcMoveFlag,MATCH($E199,CalcTeams,0)),"")="CAPPED"),"CAPPED",""))</f>
        <v/>
      </c>
      <c r="N199" s="2" t="str">
        <f>IF($B199="","",IF(ABS(SUMIFS(AdjSpread,AdjGameID,$B199,AdjActive,1))&gt;AdjCap,"LARGE",""))</f>
        <v/>
      </c>
      <c r="O199" s="2" t="str">
        <f t="array" ref="O199">IF($B199="","",IFERROR(INDEX(MktStale,MATCH($B199,MktGameID,0)),""))</f>
        <v/>
      </c>
      <c r="P199" s="2" t="str">
        <f t="shared" si="1"/>
        <v>READY</v>
      </c>
    </row>
    <row r="200" ht="15.0" customHeight="1">
      <c r="A200" s="2">
        <v>189.0</v>
      </c>
      <c r="B200" s="2" t="str">
        <f t="array" ref="B200">IFERROR(INDEX(SchedZone,MATCH($A200,SchedSeq,0),MAP!$B$6),"")</f>
        <v>2026_13_MIA_DEN</v>
      </c>
      <c r="C200" s="2">
        <f t="array" ref="C200">IF($B200="","",INDEX(SchedZone,MATCH($A200,SchedSeq,0),MAP!$B$4))</f>
        <v>13</v>
      </c>
      <c r="D200" s="2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2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2" t="str">
        <f>IF($B200="","",IF(COUNTIF(EngGameID,$B200)&gt;1,"DUP",""))</f>
        <v/>
      </c>
      <c r="G200" s="2" t="str">
        <f>IF($B200="","",IF(OR(COUNTIFS(EngWeek,$C200,EngAway,$D200)+COUNTIFS(EngWeek,$C200,EngHome,$D200)&gt;1,COUNTIFS(EngWeek,$C200,EngAway,$E200)+COUNTIFS(EngWeek,$C200,EngHome,$E200)&gt;1),"DUP",""))</f>
        <v/>
      </c>
      <c r="H200" s="2" t="str">
        <f>IF($B200="","",IF(OR(SUMPRODUCT((CLGameID=$B200)*CLUnmatched)&gt;0,LEFT($D200,1)="⚠",LEFT($E200,1)="⚠"),"UNMATCHED",""))</f>
        <v/>
      </c>
      <c r="I200" s="2" t="str">
        <f t="array" ref="I200">IF($B200="","",IF(OR(NOT(ISNUMBER(IFERROR(INDEX(RatEff,MATCH($D200,RatTeams,0)),"x"))),NOT(ISNUMBER(IFERROR(INDEX(RatEff,MATCH($E200,RatTeams,0)),"x")))),"MISSING",""))</f>
        <v/>
      </c>
      <c r="J200" s="2" t="str">
        <f>IF($B200="","",IF(SUMPRODUCT((CLGameID=$B200)*CLPlayed*(CLUseCur+CLUsePrev&gt;0)*(CLPlays=0))&gt;0,"MISSING",""))</f>
        <v/>
      </c>
      <c r="K200" s="2" t="str">
        <f>IF($B200="","",IF(SUMPRODUCT((CLGameID=$B200)*CLPlayed*((CLOffPts&lt;-20)+(CLOffPts&gt;90)))&gt;0,"CHECK",""))</f>
        <v/>
      </c>
      <c r="L200" s="2" t="str">
        <f t="array" ref="L200">IF($B200="","",IF(OR(ABS(IFERROR(INDEX(RatEff,MATCH($D200,RatTeams,0)),0))&gt;RatingRange,ABS(IFERROR(INDEX(RatEff,MATCH($E200,RatTeams,0)),0))&gt;RatingRange),"RANGE",""))</f>
        <v/>
      </c>
      <c r="M200" s="2" t="str">
        <f t="array" ref="M200">IF($B200="","",IF(OR(IFERROR(INDEX(CalcMoveFlag,MATCH($D200,CalcTeams,0)),"")="CAPPED",IFERROR(INDEX(CalcMoveFlag,MATCH($E200,CalcTeams,0)),"")="CAPPED"),"CAPPED",""))</f>
        <v/>
      </c>
      <c r="N200" s="2" t="str">
        <f>IF($B200="","",IF(ABS(SUMIFS(AdjSpread,AdjGameID,$B200,AdjActive,1))&gt;AdjCap,"LARGE",""))</f>
        <v/>
      </c>
      <c r="O200" s="2" t="str">
        <f t="array" ref="O200">IF($B200="","",IFERROR(INDEX(MktStale,MATCH($B200,MktGameID,0)),""))</f>
        <v/>
      </c>
      <c r="P200" s="2" t="str">
        <f t="shared" si="1"/>
        <v>READY</v>
      </c>
    </row>
    <row r="201" ht="15.0" customHeight="1">
      <c r="A201" s="2">
        <v>190.0</v>
      </c>
      <c r="B201" s="2" t="str">
        <f t="array" ref="B201">IFERROR(INDEX(SchedZone,MATCH($A201,SchedSeq,0),MAP!$B$6),"")</f>
        <v>2026_13_CAR_MIN</v>
      </c>
      <c r="C201" s="2">
        <f t="array" ref="C201">IF($B201="","",INDEX(SchedZone,MATCH($A201,SchedSeq,0),MAP!$B$4))</f>
        <v>13</v>
      </c>
      <c r="D201" s="2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2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2" t="str">
        <f>IF($B201="","",IF(COUNTIF(EngGameID,$B201)&gt;1,"DUP",""))</f>
        <v/>
      </c>
      <c r="G201" s="2" t="str">
        <f>IF($B201="","",IF(OR(COUNTIFS(EngWeek,$C201,EngAway,$D201)+COUNTIFS(EngWeek,$C201,EngHome,$D201)&gt;1,COUNTIFS(EngWeek,$C201,EngAway,$E201)+COUNTIFS(EngWeek,$C201,EngHome,$E201)&gt;1),"DUP",""))</f>
        <v/>
      </c>
      <c r="H201" s="2" t="str">
        <f>IF($B201="","",IF(OR(SUMPRODUCT((CLGameID=$B201)*CLUnmatched)&gt;0,LEFT($D201,1)="⚠",LEFT($E201,1)="⚠"),"UNMATCHED",""))</f>
        <v/>
      </c>
      <c r="I201" s="2" t="str">
        <f t="array" ref="I201">IF($B201="","",IF(OR(NOT(ISNUMBER(IFERROR(INDEX(RatEff,MATCH($D201,RatTeams,0)),"x"))),NOT(ISNUMBER(IFERROR(INDEX(RatEff,MATCH($E201,RatTeams,0)),"x")))),"MISSING",""))</f>
        <v/>
      </c>
      <c r="J201" s="2" t="str">
        <f>IF($B201="","",IF(SUMPRODUCT((CLGameID=$B201)*CLPlayed*(CLUseCur+CLUsePrev&gt;0)*(CLPlays=0))&gt;0,"MISSING",""))</f>
        <v/>
      </c>
      <c r="K201" s="2" t="str">
        <f>IF($B201="","",IF(SUMPRODUCT((CLGameID=$B201)*CLPlayed*((CLOffPts&lt;-20)+(CLOffPts&gt;90)))&gt;0,"CHECK",""))</f>
        <v/>
      </c>
      <c r="L201" s="2" t="str">
        <f t="array" ref="L201">IF($B201="","",IF(OR(ABS(IFERROR(INDEX(RatEff,MATCH($D201,RatTeams,0)),0))&gt;RatingRange,ABS(IFERROR(INDEX(RatEff,MATCH($E201,RatTeams,0)),0))&gt;RatingRange),"RANGE",""))</f>
        <v/>
      </c>
      <c r="M201" s="2" t="str">
        <f t="array" ref="M201">IF($B201="","",IF(OR(IFERROR(INDEX(CalcMoveFlag,MATCH($D201,CalcTeams,0)),"")="CAPPED",IFERROR(INDEX(CalcMoveFlag,MATCH($E201,CalcTeams,0)),"")="CAPPED"),"CAPPED",""))</f>
        <v/>
      </c>
      <c r="N201" s="2" t="str">
        <f>IF($B201="","",IF(ABS(SUMIFS(AdjSpread,AdjGameID,$B201,AdjActive,1))&gt;AdjCap,"LARGE",""))</f>
        <v/>
      </c>
      <c r="O201" s="2" t="str">
        <f t="array" ref="O201">IF($B201="","",IFERROR(INDEX(MktStale,MATCH($B201,MktGameID,0)),""))</f>
        <v/>
      </c>
      <c r="P201" s="2" t="str">
        <f t="shared" si="1"/>
        <v>READY</v>
      </c>
    </row>
    <row r="202" ht="15.0" customHeight="1">
      <c r="A202" s="2">
        <v>191.0</v>
      </c>
      <c r="B202" s="2" t="str">
        <f t="array" ref="B202">IFERROR(INDEX(SchedZone,MATCH($A202,SchedSeq,0),MAP!$B$6),"")</f>
        <v>2026_13_BUF_NE</v>
      </c>
      <c r="C202" s="2">
        <f t="array" ref="C202">IF($B202="","",INDEX(SchedZone,MATCH($A202,SchedSeq,0),MAP!$B$4))</f>
        <v>13</v>
      </c>
      <c r="D202" s="2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2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2" t="str">
        <f>IF($B202="","",IF(COUNTIF(EngGameID,$B202)&gt;1,"DUP",""))</f>
        <v/>
      </c>
      <c r="G202" s="2" t="str">
        <f>IF($B202="","",IF(OR(COUNTIFS(EngWeek,$C202,EngAway,$D202)+COUNTIFS(EngWeek,$C202,EngHome,$D202)&gt;1,COUNTIFS(EngWeek,$C202,EngAway,$E202)+COUNTIFS(EngWeek,$C202,EngHome,$E202)&gt;1),"DUP",""))</f>
        <v/>
      </c>
      <c r="H202" s="2" t="str">
        <f>IF($B202="","",IF(OR(SUMPRODUCT((CLGameID=$B202)*CLUnmatched)&gt;0,LEFT($D202,1)="⚠",LEFT($E202,1)="⚠"),"UNMATCHED",""))</f>
        <v/>
      </c>
      <c r="I202" s="2" t="str">
        <f t="array" ref="I202">IF($B202="","",IF(OR(NOT(ISNUMBER(IFERROR(INDEX(RatEff,MATCH($D202,RatTeams,0)),"x"))),NOT(ISNUMBER(IFERROR(INDEX(RatEff,MATCH($E202,RatTeams,0)),"x")))),"MISSING",""))</f>
        <v/>
      </c>
      <c r="J202" s="2" t="str">
        <f>IF($B202="","",IF(SUMPRODUCT((CLGameID=$B202)*CLPlayed*(CLUseCur+CLUsePrev&gt;0)*(CLPlays=0))&gt;0,"MISSING",""))</f>
        <v/>
      </c>
      <c r="K202" s="2" t="str">
        <f>IF($B202="","",IF(SUMPRODUCT((CLGameID=$B202)*CLPlayed*((CLOffPts&lt;-20)+(CLOffPts&gt;90)))&gt;0,"CHECK",""))</f>
        <v/>
      </c>
      <c r="L202" s="2" t="str">
        <f t="array" ref="L202">IF($B202="","",IF(OR(ABS(IFERROR(INDEX(RatEff,MATCH($D202,RatTeams,0)),0))&gt;RatingRange,ABS(IFERROR(INDEX(RatEff,MATCH($E202,RatTeams,0)),0))&gt;RatingRange),"RANGE",""))</f>
        <v/>
      </c>
      <c r="M202" s="2" t="str">
        <f t="array" ref="M202">IF($B202="","",IF(OR(IFERROR(INDEX(CalcMoveFlag,MATCH($D202,CalcTeams,0)),"")="CAPPED",IFERROR(INDEX(CalcMoveFlag,MATCH($E202,CalcTeams,0)),"")="CAPPED"),"CAPPED",""))</f>
        <v/>
      </c>
      <c r="N202" s="2" t="str">
        <f>IF($B202="","",IF(ABS(SUMIFS(AdjSpread,AdjGameID,$B202,AdjActive,1))&gt;AdjCap,"LARGE",""))</f>
        <v/>
      </c>
      <c r="O202" s="2" t="str">
        <f t="array" ref="O202">IF($B202="","",IFERROR(INDEX(MktStale,MATCH($B202,MktGameID,0)),""))</f>
        <v/>
      </c>
      <c r="P202" s="2" t="str">
        <f t="shared" si="1"/>
        <v>READY</v>
      </c>
    </row>
    <row r="203" ht="15.0" customHeight="1">
      <c r="A203" s="2">
        <v>192.0</v>
      </c>
      <c r="B203" s="2" t="str">
        <f t="array" ref="B203">IFERROR(INDEX(SchedZone,MATCH($A203,SchedSeq,0),MAP!$B$6),"")</f>
        <v>2026_13_HOU_PIT</v>
      </c>
      <c r="C203" s="2">
        <f t="array" ref="C203">IF($B203="","",INDEX(SchedZone,MATCH($A203,SchedSeq,0),MAP!$B$4))</f>
        <v>13</v>
      </c>
      <c r="D203" s="2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2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2" t="str">
        <f>IF($B203="","",IF(COUNTIF(EngGameID,$B203)&gt;1,"DUP",""))</f>
        <v/>
      </c>
      <c r="G203" s="2" t="str">
        <f>IF($B203="","",IF(OR(COUNTIFS(EngWeek,$C203,EngAway,$D203)+COUNTIFS(EngWeek,$C203,EngHome,$D203)&gt;1,COUNTIFS(EngWeek,$C203,EngAway,$E203)+COUNTIFS(EngWeek,$C203,EngHome,$E203)&gt;1),"DUP",""))</f>
        <v/>
      </c>
      <c r="H203" s="2" t="str">
        <f>IF($B203="","",IF(OR(SUMPRODUCT((CLGameID=$B203)*CLUnmatched)&gt;0,LEFT($D203,1)="⚠",LEFT($E203,1)="⚠"),"UNMATCHED",""))</f>
        <v/>
      </c>
      <c r="I203" s="2" t="str">
        <f t="array" ref="I203">IF($B203="","",IF(OR(NOT(ISNUMBER(IFERROR(INDEX(RatEff,MATCH($D203,RatTeams,0)),"x"))),NOT(ISNUMBER(IFERROR(INDEX(RatEff,MATCH($E203,RatTeams,0)),"x")))),"MISSING",""))</f>
        <v/>
      </c>
      <c r="J203" s="2" t="str">
        <f>IF($B203="","",IF(SUMPRODUCT((CLGameID=$B203)*CLPlayed*(CLUseCur+CLUsePrev&gt;0)*(CLPlays=0))&gt;0,"MISSING",""))</f>
        <v/>
      </c>
      <c r="K203" s="2" t="str">
        <f>IF($B203="","",IF(SUMPRODUCT((CLGameID=$B203)*CLPlayed*((CLOffPts&lt;-20)+(CLOffPts&gt;90)))&gt;0,"CHECK",""))</f>
        <v/>
      </c>
      <c r="L203" s="2" t="str">
        <f t="array" ref="L203">IF($B203="","",IF(OR(ABS(IFERROR(INDEX(RatEff,MATCH($D203,RatTeams,0)),0))&gt;RatingRange,ABS(IFERROR(INDEX(RatEff,MATCH($E203,RatTeams,0)),0))&gt;RatingRange),"RANGE",""))</f>
        <v/>
      </c>
      <c r="M203" s="2" t="str">
        <f t="array" ref="M203">IF($B203="","",IF(OR(IFERROR(INDEX(CalcMoveFlag,MATCH($D203,CalcTeams,0)),"")="CAPPED",IFERROR(INDEX(CalcMoveFlag,MATCH($E203,CalcTeams,0)),"")="CAPPED"),"CAPPED",""))</f>
        <v/>
      </c>
      <c r="N203" s="2" t="str">
        <f>IF($B203="","",IF(ABS(SUMIFS(AdjSpread,AdjGameID,$B203,AdjActive,1))&gt;AdjCap,"LARGE",""))</f>
        <v/>
      </c>
      <c r="O203" s="2" t="str">
        <f t="array" ref="O203">IF($B203="","",IFERROR(INDEX(MktStale,MATCH($B203,MktGameID,0)),""))</f>
        <v/>
      </c>
      <c r="P203" s="2" t="str">
        <f t="shared" si="1"/>
        <v>READY</v>
      </c>
    </row>
    <row r="204" ht="15.0" customHeight="1">
      <c r="A204" s="2">
        <v>193.0</v>
      </c>
      <c r="B204" s="2" t="str">
        <f t="array" ref="B204">IFERROR(INDEX(SchedZone,MATCH($A204,SchedSeq,0),MAP!$B$6),"")</f>
        <v>2026_13_DAL_SEA</v>
      </c>
      <c r="C204" s="2">
        <f t="array" ref="C204">IF($B204="","",INDEX(SchedZone,MATCH($A204,SchedSeq,0),MAP!$B$4))</f>
        <v>13</v>
      </c>
      <c r="D204" s="2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2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2" t="str">
        <f>IF($B204="","",IF(COUNTIF(EngGameID,$B204)&gt;1,"DUP",""))</f>
        <v/>
      </c>
      <c r="G204" s="2" t="str">
        <f>IF($B204="","",IF(OR(COUNTIFS(EngWeek,$C204,EngAway,$D204)+COUNTIFS(EngWeek,$C204,EngHome,$D204)&gt;1,COUNTIFS(EngWeek,$C204,EngAway,$E204)+COUNTIFS(EngWeek,$C204,EngHome,$E204)&gt;1),"DUP",""))</f>
        <v/>
      </c>
      <c r="H204" s="2" t="str">
        <f>IF($B204="","",IF(OR(SUMPRODUCT((CLGameID=$B204)*CLUnmatched)&gt;0,LEFT($D204,1)="⚠",LEFT($E204,1)="⚠"),"UNMATCHED",""))</f>
        <v/>
      </c>
      <c r="I204" s="2" t="str">
        <f t="array" ref="I204">IF($B204="","",IF(OR(NOT(ISNUMBER(IFERROR(INDEX(RatEff,MATCH($D204,RatTeams,0)),"x"))),NOT(ISNUMBER(IFERROR(INDEX(RatEff,MATCH($E204,RatTeams,0)),"x")))),"MISSING",""))</f>
        <v/>
      </c>
      <c r="J204" s="2" t="str">
        <f>IF($B204="","",IF(SUMPRODUCT((CLGameID=$B204)*CLPlayed*(CLUseCur+CLUsePrev&gt;0)*(CLPlays=0))&gt;0,"MISSING",""))</f>
        <v/>
      </c>
      <c r="K204" s="2" t="str">
        <f>IF($B204="","",IF(SUMPRODUCT((CLGameID=$B204)*CLPlayed*((CLOffPts&lt;-20)+(CLOffPts&gt;90)))&gt;0,"CHECK",""))</f>
        <v/>
      </c>
      <c r="L204" s="2" t="str">
        <f t="array" ref="L204">IF($B204="","",IF(OR(ABS(IFERROR(INDEX(RatEff,MATCH($D204,RatTeams,0)),0))&gt;RatingRange,ABS(IFERROR(INDEX(RatEff,MATCH($E204,RatTeams,0)),0))&gt;RatingRange),"RANGE",""))</f>
        <v/>
      </c>
      <c r="M204" s="2" t="str">
        <f t="array" ref="M204">IF($B204="","",IF(OR(IFERROR(INDEX(CalcMoveFlag,MATCH($D204,CalcTeams,0)),"")="CAPPED",IFERROR(INDEX(CalcMoveFlag,MATCH($E204,CalcTeams,0)),"")="CAPPED"),"CAPPED",""))</f>
        <v/>
      </c>
      <c r="N204" s="2" t="str">
        <f>IF($B204="","",IF(ABS(SUMIFS(AdjSpread,AdjGameID,$B204,AdjActive,1))&gt;AdjCap,"LARGE",""))</f>
        <v/>
      </c>
      <c r="O204" s="2" t="str">
        <f t="array" ref="O204">IF($B204="","",IFERROR(INDEX(MktStale,MATCH($B204,MktGameID,0)),""))</f>
        <v/>
      </c>
      <c r="P204" s="2" t="str">
        <f t="shared" si="1"/>
        <v>READY</v>
      </c>
    </row>
    <row r="205" ht="15.0" customHeight="1">
      <c r="A205" s="2">
        <v>194.0</v>
      </c>
      <c r="B205" s="2" t="str">
        <f t="array" ref="B205">IFERROR(INDEX(SchedZone,MATCH($A205,SchedSeq,0),MAP!$B$6),"")</f>
        <v>2026_14_MIN_NE</v>
      </c>
      <c r="C205" s="2">
        <f t="array" ref="C205">IF($B205="","",INDEX(SchedZone,MATCH($A205,SchedSeq,0),MAP!$B$4))</f>
        <v>14</v>
      </c>
      <c r="D205" s="2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2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2" t="str">
        <f>IF($B205="","",IF(COUNTIF(EngGameID,$B205)&gt;1,"DUP",""))</f>
        <v/>
      </c>
      <c r="G205" s="2" t="str">
        <f>IF($B205="","",IF(OR(COUNTIFS(EngWeek,$C205,EngAway,$D205)+COUNTIFS(EngWeek,$C205,EngHome,$D205)&gt;1,COUNTIFS(EngWeek,$C205,EngAway,$E205)+COUNTIFS(EngWeek,$C205,EngHome,$E205)&gt;1),"DUP",""))</f>
        <v/>
      </c>
      <c r="H205" s="2" t="str">
        <f>IF($B205="","",IF(OR(SUMPRODUCT((CLGameID=$B205)*CLUnmatched)&gt;0,LEFT($D205,1)="⚠",LEFT($E205,1)="⚠"),"UNMATCHED",""))</f>
        <v/>
      </c>
      <c r="I205" s="2" t="str">
        <f t="array" ref="I205">IF($B205="","",IF(OR(NOT(ISNUMBER(IFERROR(INDEX(RatEff,MATCH($D205,RatTeams,0)),"x"))),NOT(ISNUMBER(IFERROR(INDEX(RatEff,MATCH($E205,RatTeams,0)),"x")))),"MISSING",""))</f>
        <v/>
      </c>
      <c r="J205" s="2" t="str">
        <f>IF($B205="","",IF(SUMPRODUCT((CLGameID=$B205)*CLPlayed*(CLUseCur+CLUsePrev&gt;0)*(CLPlays=0))&gt;0,"MISSING",""))</f>
        <v/>
      </c>
      <c r="K205" s="2" t="str">
        <f>IF($B205="","",IF(SUMPRODUCT((CLGameID=$B205)*CLPlayed*((CLOffPts&lt;-20)+(CLOffPts&gt;90)))&gt;0,"CHECK",""))</f>
        <v/>
      </c>
      <c r="L205" s="2" t="str">
        <f t="array" ref="L205">IF($B205="","",IF(OR(ABS(IFERROR(INDEX(RatEff,MATCH($D205,RatTeams,0)),0))&gt;RatingRange,ABS(IFERROR(INDEX(RatEff,MATCH($E205,RatTeams,0)),0))&gt;RatingRange),"RANGE",""))</f>
        <v/>
      </c>
      <c r="M205" s="2" t="str">
        <f t="array" ref="M205">IF($B205="","",IF(OR(IFERROR(INDEX(CalcMoveFlag,MATCH($D205,CalcTeams,0)),"")="CAPPED",IFERROR(INDEX(CalcMoveFlag,MATCH($E205,CalcTeams,0)),"")="CAPPED"),"CAPPED",""))</f>
        <v/>
      </c>
      <c r="N205" s="2" t="str">
        <f>IF($B205="","",IF(ABS(SUMIFS(AdjSpread,AdjGameID,$B205,AdjActive,1))&gt;AdjCap,"LARGE",""))</f>
        <v/>
      </c>
      <c r="O205" s="2" t="str">
        <f t="array" ref="O205">IF($B205="","",IFERROR(INDEX(MktStale,MATCH($B205,MktGameID,0)),""))</f>
        <v/>
      </c>
      <c r="P205" s="2" t="str">
        <f t="shared" si="1"/>
        <v>READY</v>
      </c>
    </row>
    <row r="206" ht="15.0" customHeight="1">
      <c r="A206" s="2">
        <v>195.0</v>
      </c>
      <c r="B206" s="2" t="str">
        <f t="array" ref="B206">IFERROR(INDEX(SchedZone,MATCH($A206,SchedSeq,0),MAP!$B$6),"")</f>
        <v>2026_14_TB_BAL</v>
      </c>
      <c r="C206" s="2">
        <f t="array" ref="C206">IF($B206="","",INDEX(SchedZone,MATCH($A206,SchedSeq,0),MAP!$B$4))</f>
        <v>14</v>
      </c>
      <c r="D206" s="2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2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2" t="str">
        <f>IF($B206="","",IF(COUNTIF(EngGameID,$B206)&gt;1,"DUP",""))</f>
        <v/>
      </c>
      <c r="G206" s="2" t="str">
        <f>IF($B206="","",IF(OR(COUNTIFS(EngWeek,$C206,EngAway,$D206)+COUNTIFS(EngWeek,$C206,EngHome,$D206)&gt;1,COUNTIFS(EngWeek,$C206,EngAway,$E206)+COUNTIFS(EngWeek,$C206,EngHome,$E206)&gt;1),"DUP",""))</f>
        <v/>
      </c>
      <c r="H206" s="2" t="str">
        <f>IF($B206="","",IF(OR(SUMPRODUCT((CLGameID=$B206)*CLUnmatched)&gt;0,LEFT($D206,1)="⚠",LEFT($E206,1)="⚠"),"UNMATCHED",""))</f>
        <v/>
      </c>
      <c r="I206" s="2" t="str">
        <f t="array" ref="I206">IF($B206="","",IF(OR(NOT(ISNUMBER(IFERROR(INDEX(RatEff,MATCH($D206,RatTeams,0)),"x"))),NOT(ISNUMBER(IFERROR(INDEX(RatEff,MATCH($E206,RatTeams,0)),"x")))),"MISSING",""))</f>
        <v/>
      </c>
      <c r="J206" s="2" t="str">
        <f>IF($B206="","",IF(SUMPRODUCT((CLGameID=$B206)*CLPlayed*(CLUseCur+CLUsePrev&gt;0)*(CLPlays=0))&gt;0,"MISSING",""))</f>
        <v/>
      </c>
      <c r="K206" s="2" t="str">
        <f>IF($B206="","",IF(SUMPRODUCT((CLGameID=$B206)*CLPlayed*((CLOffPts&lt;-20)+(CLOffPts&gt;90)))&gt;0,"CHECK",""))</f>
        <v/>
      </c>
      <c r="L206" s="2" t="str">
        <f t="array" ref="L206">IF($B206="","",IF(OR(ABS(IFERROR(INDEX(RatEff,MATCH($D206,RatTeams,0)),0))&gt;RatingRange,ABS(IFERROR(INDEX(RatEff,MATCH($E206,RatTeams,0)),0))&gt;RatingRange),"RANGE",""))</f>
        <v/>
      </c>
      <c r="M206" s="2" t="str">
        <f t="array" ref="M206">IF($B206="","",IF(OR(IFERROR(INDEX(CalcMoveFlag,MATCH($D206,CalcTeams,0)),"")="CAPPED",IFERROR(INDEX(CalcMoveFlag,MATCH($E206,CalcTeams,0)),"")="CAPPED"),"CAPPED",""))</f>
        <v/>
      </c>
      <c r="N206" s="2" t="str">
        <f>IF($B206="","",IF(ABS(SUMIFS(AdjSpread,AdjGameID,$B206,AdjActive,1))&gt;AdjCap,"LARGE",""))</f>
        <v/>
      </c>
      <c r="O206" s="2" t="str">
        <f t="array" ref="O206">IF($B206="","",IFERROR(INDEX(MktStale,MATCH($B206,MktGameID,0)),""))</f>
        <v/>
      </c>
      <c r="P206" s="2" t="str">
        <f t="shared" si="1"/>
        <v>READY</v>
      </c>
    </row>
    <row r="207" ht="15.0" customHeight="1">
      <c r="A207" s="2">
        <v>196.0</v>
      </c>
      <c r="B207" s="2" t="str">
        <f t="array" ref="B207">IFERROR(INDEX(SchedZone,MATCH($A207,SchedSeq,0),MAP!$B$6),"")</f>
        <v>2026_14_NO_CAR</v>
      </c>
      <c r="C207" s="2">
        <f t="array" ref="C207">IF($B207="","",INDEX(SchedZone,MATCH($A207,SchedSeq,0),MAP!$B$4))</f>
        <v>14</v>
      </c>
      <c r="D207" s="2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2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2" t="str">
        <f>IF($B207="","",IF(COUNTIF(EngGameID,$B207)&gt;1,"DUP",""))</f>
        <v/>
      </c>
      <c r="G207" s="2" t="str">
        <f>IF($B207="","",IF(OR(COUNTIFS(EngWeek,$C207,EngAway,$D207)+COUNTIFS(EngWeek,$C207,EngHome,$D207)&gt;1,COUNTIFS(EngWeek,$C207,EngAway,$E207)+COUNTIFS(EngWeek,$C207,EngHome,$E207)&gt;1),"DUP",""))</f>
        <v/>
      </c>
      <c r="H207" s="2" t="str">
        <f>IF($B207="","",IF(OR(SUMPRODUCT((CLGameID=$B207)*CLUnmatched)&gt;0,LEFT($D207,1)="⚠",LEFT($E207,1)="⚠"),"UNMATCHED",""))</f>
        <v/>
      </c>
      <c r="I207" s="2" t="str">
        <f t="array" ref="I207">IF($B207="","",IF(OR(NOT(ISNUMBER(IFERROR(INDEX(RatEff,MATCH($D207,RatTeams,0)),"x"))),NOT(ISNUMBER(IFERROR(INDEX(RatEff,MATCH($E207,RatTeams,0)),"x")))),"MISSING",""))</f>
        <v/>
      </c>
      <c r="J207" s="2" t="str">
        <f>IF($B207="","",IF(SUMPRODUCT((CLGameID=$B207)*CLPlayed*(CLUseCur+CLUsePrev&gt;0)*(CLPlays=0))&gt;0,"MISSING",""))</f>
        <v/>
      </c>
      <c r="K207" s="2" t="str">
        <f>IF($B207="","",IF(SUMPRODUCT((CLGameID=$B207)*CLPlayed*((CLOffPts&lt;-20)+(CLOffPts&gt;90)))&gt;0,"CHECK",""))</f>
        <v/>
      </c>
      <c r="L207" s="2" t="str">
        <f t="array" ref="L207">IF($B207="","",IF(OR(ABS(IFERROR(INDEX(RatEff,MATCH($D207,RatTeams,0)),0))&gt;RatingRange,ABS(IFERROR(INDEX(RatEff,MATCH($E207,RatTeams,0)),0))&gt;RatingRange),"RANGE",""))</f>
        <v/>
      </c>
      <c r="M207" s="2" t="str">
        <f t="array" ref="M207">IF($B207="","",IF(OR(IFERROR(INDEX(CalcMoveFlag,MATCH($D207,CalcTeams,0)),"")="CAPPED",IFERROR(INDEX(CalcMoveFlag,MATCH($E207,CalcTeams,0)),"")="CAPPED"),"CAPPED",""))</f>
        <v/>
      </c>
      <c r="N207" s="2" t="str">
        <f>IF($B207="","",IF(ABS(SUMIFS(AdjSpread,AdjGameID,$B207,AdjActive,1))&gt;AdjCap,"LARGE",""))</f>
        <v/>
      </c>
      <c r="O207" s="2" t="str">
        <f t="array" ref="O207">IF($B207="","",IFERROR(INDEX(MktStale,MATCH($B207,MktGameID,0)),""))</f>
        <v/>
      </c>
      <c r="P207" s="2" t="str">
        <f t="shared" si="1"/>
        <v>READY</v>
      </c>
    </row>
    <row r="208" ht="15.0" customHeight="1">
      <c r="A208" s="2">
        <v>197.0</v>
      </c>
      <c r="B208" s="2" t="str">
        <f t="array" ref="B208">IFERROR(INDEX(SchedZone,MATCH($A208,SchedSeq,0),MAP!$B$6),"")</f>
        <v>2026_14_ATL_CLE</v>
      </c>
      <c r="C208" s="2">
        <f t="array" ref="C208">IF($B208="","",INDEX(SchedZone,MATCH($A208,SchedSeq,0),MAP!$B$4))</f>
        <v>14</v>
      </c>
      <c r="D208" s="2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2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2" t="str">
        <f>IF($B208="","",IF(COUNTIF(EngGameID,$B208)&gt;1,"DUP",""))</f>
        <v/>
      </c>
      <c r="G208" s="2" t="str">
        <f>IF($B208="","",IF(OR(COUNTIFS(EngWeek,$C208,EngAway,$D208)+COUNTIFS(EngWeek,$C208,EngHome,$D208)&gt;1,COUNTIFS(EngWeek,$C208,EngAway,$E208)+COUNTIFS(EngWeek,$C208,EngHome,$E208)&gt;1),"DUP",""))</f>
        <v/>
      </c>
      <c r="H208" s="2" t="str">
        <f>IF($B208="","",IF(OR(SUMPRODUCT((CLGameID=$B208)*CLUnmatched)&gt;0,LEFT($D208,1)="⚠",LEFT($E208,1)="⚠"),"UNMATCHED",""))</f>
        <v/>
      </c>
      <c r="I208" s="2" t="str">
        <f t="array" ref="I208">IF($B208="","",IF(OR(NOT(ISNUMBER(IFERROR(INDEX(RatEff,MATCH($D208,RatTeams,0)),"x"))),NOT(ISNUMBER(IFERROR(INDEX(RatEff,MATCH($E208,RatTeams,0)),"x")))),"MISSING",""))</f>
        <v/>
      </c>
      <c r="J208" s="2" t="str">
        <f>IF($B208="","",IF(SUMPRODUCT((CLGameID=$B208)*CLPlayed*(CLUseCur+CLUsePrev&gt;0)*(CLPlays=0))&gt;0,"MISSING",""))</f>
        <v/>
      </c>
      <c r="K208" s="2" t="str">
        <f>IF($B208="","",IF(SUMPRODUCT((CLGameID=$B208)*CLPlayed*((CLOffPts&lt;-20)+(CLOffPts&gt;90)))&gt;0,"CHECK",""))</f>
        <v/>
      </c>
      <c r="L208" s="2" t="str">
        <f t="array" ref="L208">IF($B208="","",IF(OR(ABS(IFERROR(INDEX(RatEff,MATCH($D208,RatTeams,0)),0))&gt;RatingRange,ABS(IFERROR(INDEX(RatEff,MATCH($E208,RatTeams,0)),0))&gt;RatingRange),"RANGE",""))</f>
        <v/>
      </c>
      <c r="M208" s="2" t="str">
        <f t="array" ref="M208">IF($B208="","",IF(OR(IFERROR(INDEX(CalcMoveFlag,MATCH($D208,CalcTeams,0)),"")="CAPPED",IFERROR(INDEX(CalcMoveFlag,MATCH($E208,CalcTeams,0)),"")="CAPPED"),"CAPPED",""))</f>
        <v/>
      </c>
      <c r="N208" s="2" t="str">
        <f>IF($B208="","",IF(ABS(SUMIFS(AdjSpread,AdjGameID,$B208,AdjActive,1))&gt;AdjCap,"LARGE",""))</f>
        <v/>
      </c>
      <c r="O208" s="2" t="str">
        <f t="array" ref="O208">IF($B208="","",IFERROR(INDEX(MktStale,MATCH($B208,MktGameID,0)),""))</f>
        <v/>
      </c>
      <c r="P208" s="2" t="str">
        <f t="shared" si="1"/>
        <v>READY</v>
      </c>
    </row>
    <row r="209" ht="15.0" customHeight="1">
      <c r="A209" s="2">
        <v>198.0</v>
      </c>
      <c r="B209" s="2" t="str">
        <f t="array" ref="B209">IFERROR(INDEX(SchedZone,MATCH($A209,SchedSeq,0),MAP!$B$6),"")</f>
        <v>2026_14_TEN_DET</v>
      </c>
      <c r="C209" s="2">
        <f t="array" ref="C209">IF($B209="","",INDEX(SchedZone,MATCH($A209,SchedSeq,0),MAP!$B$4))</f>
        <v>14</v>
      </c>
      <c r="D209" s="2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2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2" t="str">
        <f>IF($B209="","",IF(COUNTIF(EngGameID,$B209)&gt;1,"DUP",""))</f>
        <v/>
      </c>
      <c r="G209" s="2" t="str">
        <f>IF($B209="","",IF(OR(COUNTIFS(EngWeek,$C209,EngAway,$D209)+COUNTIFS(EngWeek,$C209,EngHome,$D209)&gt;1,COUNTIFS(EngWeek,$C209,EngAway,$E209)+COUNTIFS(EngWeek,$C209,EngHome,$E209)&gt;1),"DUP",""))</f>
        <v/>
      </c>
      <c r="H209" s="2" t="str">
        <f>IF($B209="","",IF(OR(SUMPRODUCT((CLGameID=$B209)*CLUnmatched)&gt;0,LEFT($D209,1)="⚠",LEFT($E209,1)="⚠"),"UNMATCHED",""))</f>
        <v/>
      </c>
      <c r="I209" s="2" t="str">
        <f t="array" ref="I209">IF($B209="","",IF(OR(NOT(ISNUMBER(IFERROR(INDEX(RatEff,MATCH($D209,RatTeams,0)),"x"))),NOT(ISNUMBER(IFERROR(INDEX(RatEff,MATCH($E209,RatTeams,0)),"x")))),"MISSING",""))</f>
        <v/>
      </c>
      <c r="J209" s="2" t="str">
        <f>IF($B209="","",IF(SUMPRODUCT((CLGameID=$B209)*CLPlayed*(CLUseCur+CLUsePrev&gt;0)*(CLPlays=0))&gt;0,"MISSING",""))</f>
        <v/>
      </c>
      <c r="K209" s="2" t="str">
        <f>IF($B209="","",IF(SUMPRODUCT((CLGameID=$B209)*CLPlayed*((CLOffPts&lt;-20)+(CLOffPts&gt;90)))&gt;0,"CHECK",""))</f>
        <v/>
      </c>
      <c r="L209" s="2" t="str">
        <f t="array" ref="L209">IF($B209="","",IF(OR(ABS(IFERROR(INDEX(RatEff,MATCH($D209,RatTeams,0)),0))&gt;RatingRange,ABS(IFERROR(INDEX(RatEff,MATCH($E209,RatTeams,0)),0))&gt;RatingRange),"RANGE",""))</f>
        <v/>
      </c>
      <c r="M209" s="2" t="str">
        <f t="array" ref="M209">IF($B209="","",IF(OR(IFERROR(INDEX(CalcMoveFlag,MATCH($D209,CalcTeams,0)),"")="CAPPED",IFERROR(INDEX(CalcMoveFlag,MATCH($E209,CalcTeams,0)),"")="CAPPED"),"CAPPED",""))</f>
        <v/>
      </c>
      <c r="N209" s="2" t="str">
        <f>IF($B209="","",IF(ABS(SUMIFS(AdjSpread,AdjGameID,$B209,AdjActive,1))&gt;AdjCap,"LARGE",""))</f>
        <v/>
      </c>
      <c r="O209" s="2" t="str">
        <f t="array" ref="O209">IF($B209="","",IFERROR(INDEX(MktStale,MATCH($B209,MktGameID,0)),""))</f>
        <v/>
      </c>
      <c r="P209" s="2" t="str">
        <f t="shared" si="1"/>
        <v>READY</v>
      </c>
    </row>
    <row r="210" ht="15.0" customHeight="1">
      <c r="A210" s="2">
        <v>199.0</v>
      </c>
      <c r="B210" s="2" t="str">
        <f t="array" ref="B210">IFERROR(INDEX(SchedZone,MATCH($A210,SchedSeq,0),MAP!$B$6),"")</f>
        <v>2026_14_CHI_MIA</v>
      </c>
      <c r="C210" s="2">
        <f t="array" ref="C210">IF($B210="","",INDEX(SchedZone,MATCH($A210,SchedSeq,0),MAP!$B$4))</f>
        <v>14</v>
      </c>
      <c r="D210" s="2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2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2" t="str">
        <f>IF($B210="","",IF(COUNTIF(EngGameID,$B210)&gt;1,"DUP",""))</f>
        <v/>
      </c>
      <c r="G210" s="2" t="str">
        <f>IF($B210="","",IF(OR(COUNTIFS(EngWeek,$C210,EngAway,$D210)+COUNTIFS(EngWeek,$C210,EngHome,$D210)&gt;1,COUNTIFS(EngWeek,$C210,EngAway,$E210)+COUNTIFS(EngWeek,$C210,EngHome,$E210)&gt;1),"DUP",""))</f>
        <v/>
      </c>
      <c r="H210" s="2" t="str">
        <f>IF($B210="","",IF(OR(SUMPRODUCT((CLGameID=$B210)*CLUnmatched)&gt;0,LEFT($D210,1)="⚠",LEFT($E210,1)="⚠"),"UNMATCHED",""))</f>
        <v/>
      </c>
      <c r="I210" s="2" t="str">
        <f t="array" ref="I210">IF($B210="","",IF(OR(NOT(ISNUMBER(IFERROR(INDEX(RatEff,MATCH($D210,RatTeams,0)),"x"))),NOT(ISNUMBER(IFERROR(INDEX(RatEff,MATCH($E210,RatTeams,0)),"x")))),"MISSING",""))</f>
        <v/>
      </c>
      <c r="J210" s="2" t="str">
        <f>IF($B210="","",IF(SUMPRODUCT((CLGameID=$B210)*CLPlayed*(CLUseCur+CLUsePrev&gt;0)*(CLPlays=0))&gt;0,"MISSING",""))</f>
        <v/>
      </c>
      <c r="K210" s="2" t="str">
        <f>IF($B210="","",IF(SUMPRODUCT((CLGameID=$B210)*CLPlayed*((CLOffPts&lt;-20)+(CLOffPts&gt;90)))&gt;0,"CHECK",""))</f>
        <v/>
      </c>
      <c r="L210" s="2" t="str">
        <f t="array" ref="L210">IF($B210="","",IF(OR(ABS(IFERROR(INDEX(RatEff,MATCH($D210,RatTeams,0)),0))&gt;RatingRange,ABS(IFERROR(INDEX(RatEff,MATCH($E210,RatTeams,0)),0))&gt;RatingRange),"RANGE",""))</f>
        <v/>
      </c>
      <c r="M210" s="2" t="str">
        <f t="array" ref="M210">IF($B210="","",IF(OR(IFERROR(INDEX(CalcMoveFlag,MATCH($D210,CalcTeams,0)),"")="CAPPED",IFERROR(INDEX(CalcMoveFlag,MATCH($E210,CalcTeams,0)),"")="CAPPED"),"CAPPED",""))</f>
        <v/>
      </c>
      <c r="N210" s="2" t="str">
        <f>IF($B210="","",IF(ABS(SUMIFS(AdjSpread,AdjGameID,$B210,AdjActive,1))&gt;AdjCap,"LARGE",""))</f>
        <v/>
      </c>
      <c r="O210" s="2" t="str">
        <f t="array" ref="O210">IF($B210="","",IFERROR(INDEX(MktStale,MATCH($B210,MktGameID,0)),""))</f>
        <v/>
      </c>
      <c r="P210" s="2" t="str">
        <f t="shared" si="1"/>
        <v>READY</v>
      </c>
    </row>
    <row r="211" ht="15.0" customHeight="1">
      <c r="A211" s="2">
        <v>200.0</v>
      </c>
      <c r="B211" s="2" t="str">
        <f t="array" ref="B211">IFERROR(INDEX(SchedZone,MATCH($A211,SchedSeq,0),MAP!$B$6),"")</f>
        <v>2026_14_DEN_NYJ</v>
      </c>
      <c r="C211" s="2">
        <f t="array" ref="C211">IF($B211="","",INDEX(SchedZone,MATCH($A211,SchedSeq,0),MAP!$B$4))</f>
        <v>14</v>
      </c>
      <c r="D211" s="2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2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2" t="str">
        <f>IF($B211="","",IF(COUNTIF(EngGameID,$B211)&gt;1,"DUP",""))</f>
        <v/>
      </c>
      <c r="G211" s="2" t="str">
        <f>IF($B211="","",IF(OR(COUNTIFS(EngWeek,$C211,EngAway,$D211)+COUNTIFS(EngWeek,$C211,EngHome,$D211)&gt;1,COUNTIFS(EngWeek,$C211,EngAway,$E211)+COUNTIFS(EngWeek,$C211,EngHome,$E211)&gt;1),"DUP",""))</f>
        <v/>
      </c>
      <c r="H211" s="2" t="str">
        <f>IF($B211="","",IF(OR(SUMPRODUCT((CLGameID=$B211)*CLUnmatched)&gt;0,LEFT($D211,1)="⚠",LEFT($E211,1)="⚠"),"UNMATCHED",""))</f>
        <v/>
      </c>
      <c r="I211" s="2" t="str">
        <f t="array" ref="I211">IF($B211="","",IF(OR(NOT(ISNUMBER(IFERROR(INDEX(RatEff,MATCH($D211,RatTeams,0)),"x"))),NOT(ISNUMBER(IFERROR(INDEX(RatEff,MATCH($E211,RatTeams,0)),"x")))),"MISSING",""))</f>
        <v/>
      </c>
      <c r="J211" s="2" t="str">
        <f>IF($B211="","",IF(SUMPRODUCT((CLGameID=$B211)*CLPlayed*(CLUseCur+CLUsePrev&gt;0)*(CLPlays=0))&gt;0,"MISSING",""))</f>
        <v/>
      </c>
      <c r="K211" s="2" t="str">
        <f>IF($B211="","",IF(SUMPRODUCT((CLGameID=$B211)*CLPlayed*((CLOffPts&lt;-20)+(CLOffPts&gt;90)))&gt;0,"CHECK",""))</f>
        <v/>
      </c>
      <c r="L211" s="2" t="str">
        <f t="array" ref="L211">IF($B211="","",IF(OR(ABS(IFERROR(INDEX(RatEff,MATCH($D211,RatTeams,0)),0))&gt;RatingRange,ABS(IFERROR(INDEX(RatEff,MATCH($E211,RatTeams,0)),0))&gt;RatingRange),"RANGE",""))</f>
        <v/>
      </c>
      <c r="M211" s="2" t="str">
        <f t="array" ref="M211">IF($B211="","",IF(OR(IFERROR(INDEX(CalcMoveFlag,MATCH($D211,CalcTeams,0)),"")="CAPPED",IFERROR(INDEX(CalcMoveFlag,MATCH($E211,CalcTeams,0)),"")="CAPPED"),"CAPPED",""))</f>
        <v/>
      </c>
      <c r="N211" s="2" t="str">
        <f>IF($B211="","",IF(ABS(SUMIFS(AdjSpread,AdjGameID,$B211,AdjActive,1))&gt;AdjCap,"LARGE",""))</f>
        <v/>
      </c>
      <c r="O211" s="2" t="str">
        <f t="array" ref="O211">IF($B211="","",IFERROR(INDEX(MktStale,MATCH($B211,MktGameID,0)),""))</f>
        <v/>
      </c>
      <c r="P211" s="2" t="str">
        <f t="shared" si="1"/>
        <v>READY</v>
      </c>
    </row>
    <row r="212" ht="15.0" customHeight="1">
      <c r="A212" s="2">
        <v>201.0</v>
      </c>
      <c r="B212" s="2" t="str">
        <f t="array" ref="B212">IFERROR(INDEX(SchedZone,MATCH($A212,SchedSeq,0),MAP!$B$6),"")</f>
        <v>2026_14_IND_PHI</v>
      </c>
      <c r="C212" s="2">
        <f t="array" ref="C212">IF($B212="","",INDEX(SchedZone,MATCH($A212,SchedSeq,0),MAP!$B$4))</f>
        <v>14</v>
      </c>
      <c r="D212" s="2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2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2" t="str">
        <f>IF($B212="","",IF(COUNTIF(EngGameID,$B212)&gt;1,"DUP",""))</f>
        <v/>
      </c>
      <c r="G212" s="2" t="str">
        <f>IF($B212="","",IF(OR(COUNTIFS(EngWeek,$C212,EngAway,$D212)+COUNTIFS(EngWeek,$C212,EngHome,$D212)&gt;1,COUNTIFS(EngWeek,$C212,EngAway,$E212)+COUNTIFS(EngWeek,$C212,EngHome,$E212)&gt;1),"DUP",""))</f>
        <v/>
      </c>
      <c r="H212" s="2" t="str">
        <f>IF($B212="","",IF(OR(SUMPRODUCT((CLGameID=$B212)*CLUnmatched)&gt;0,LEFT($D212,1)="⚠",LEFT($E212,1)="⚠"),"UNMATCHED",""))</f>
        <v/>
      </c>
      <c r="I212" s="2" t="str">
        <f t="array" ref="I212">IF($B212="","",IF(OR(NOT(ISNUMBER(IFERROR(INDEX(RatEff,MATCH($D212,RatTeams,0)),"x"))),NOT(ISNUMBER(IFERROR(INDEX(RatEff,MATCH($E212,RatTeams,0)),"x")))),"MISSING",""))</f>
        <v/>
      </c>
      <c r="J212" s="2" t="str">
        <f>IF($B212="","",IF(SUMPRODUCT((CLGameID=$B212)*CLPlayed*(CLUseCur+CLUsePrev&gt;0)*(CLPlays=0))&gt;0,"MISSING",""))</f>
        <v/>
      </c>
      <c r="K212" s="2" t="str">
        <f>IF($B212="","",IF(SUMPRODUCT((CLGameID=$B212)*CLPlayed*((CLOffPts&lt;-20)+(CLOffPts&gt;90)))&gt;0,"CHECK",""))</f>
        <v/>
      </c>
      <c r="L212" s="2" t="str">
        <f t="array" ref="L212">IF($B212="","",IF(OR(ABS(IFERROR(INDEX(RatEff,MATCH($D212,RatTeams,0)),0))&gt;RatingRange,ABS(IFERROR(INDEX(RatEff,MATCH($E212,RatTeams,0)),0))&gt;RatingRange),"RANGE",""))</f>
        <v/>
      </c>
      <c r="M212" s="2" t="str">
        <f t="array" ref="M212">IF($B212="","",IF(OR(IFERROR(INDEX(CalcMoveFlag,MATCH($D212,CalcTeams,0)),"")="CAPPED",IFERROR(INDEX(CalcMoveFlag,MATCH($E212,CalcTeams,0)),"")="CAPPED"),"CAPPED",""))</f>
        <v/>
      </c>
      <c r="N212" s="2" t="str">
        <f>IF($B212="","",IF(ABS(SUMIFS(AdjSpread,AdjGameID,$B212,AdjActive,1))&gt;AdjCap,"LARGE",""))</f>
        <v/>
      </c>
      <c r="O212" s="2" t="str">
        <f t="array" ref="O212">IF($B212="","",IFERROR(INDEX(MktStale,MATCH($B212,MktGameID,0)),""))</f>
        <v/>
      </c>
      <c r="P212" s="2" t="str">
        <f t="shared" si="1"/>
        <v>READY</v>
      </c>
    </row>
    <row r="213" ht="15.0" customHeight="1">
      <c r="A213" s="2">
        <v>202.0</v>
      </c>
      <c r="B213" s="2" t="str">
        <f t="array" ref="B213">IFERROR(INDEX(SchedZone,MATCH($A213,SchedSeq,0),MAP!$B$6),"")</f>
        <v>2026_14_HOU_WAS</v>
      </c>
      <c r="C213" s="2">
        <f t="array" ref="C213">IF($B213="","",INDEX(SchedZone,MATCH($A213,SchedSeq,0),MAP!$B$4))</f>
        <v>14</v>
      </c>
      <c r="D213" s="2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2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2" t="str">
        <f>IF($B213="","",IF(COUNTIF(EngGameID,$B213)&gt;1,"DUP",""))</f>
        <v/>
      </c>
      <c r="G213" s="2" t="str">
        <f>IF($B213="","",IF(OR(COUNTIFS(EngWeek,$C213,EngAway,$D213)+COUNTIFS(EngWeek,$C213,EngHome,$D213)&gt;1,COUNTIFS(EngWeek,$C213,EngAway,$E213)+COUNTIFS(EngWeek,$C213,EngHome,$E213)&gt;1),"DUP",""))</f>
        <v/>
      </c>
      <c r="H213" s="2" t="str">
        <f>IF($B213="","",IF(OR(SUMPRODUCT((CLGameID=$B213)*CLUnmatched)&gt;0,LEFT($D213,1)="⚠",LEFT($E213,1)="⚠"),"UNMATCHED",""))</f>
        <v/>
      </c>
      <c r="I213" s="2" t="str">
        <f t="array" ref="I213">IF($B213="","",IF(OR(NOT(ISNUMBER(IFERROR(INDEX(RatEff,MATCH($D213,RatTeams,0)),"x"))),NOT(ISNUMBER(IFERROR(INDEX(RatEff,MATCH($E213,RatTeams,0)),"x")))),"MISSING",""))</f>
        <v/>
      </c>
      <c r="J213" s="2" t="str">
        <f>IF($B213="","",IF(SUMPRODUCT((CLGameID=$B213)*CLPlayed*(CLUseCur+CLUsePrev&gt;0)*(CLPlays=0))&gt;0,"MISSING",""))</f>
        <v/>
      </c>
      <c r="K213" s="2" t="str">
        <f>IF($B213="","",IF(SUMPRODUCT((CLGameID=$B213)*CLPlayed*((CLOffPts&lt;-20)+(CLOffPts&gt;90)))&gt;0,"CHECK",""))</f>
        <v/>
      </c>
      <c r="L213" s="2" t="str">
        <f t="array" ref="L213">IF($B213="","",IF(OR(ABS(IFERROR(INDEX(RatEff,MATCH($D213,RatTeams,0)),0))&gt;RatingRange,ABS(IFERROR(INDEX(RatEff,MATCH($E213,RatTeams,0)),0))&gt;RatingRange),"RANGE",""))</f>
        <v/>
      </c>
      <c r="M213" s="2" t="str">
        <f t="array" ref="M213">IF($B213="","",IF(OR(IFERROR(INDEX(CalcMoveFlag,MATCH($D213,CalcTeams,0)),"")="CAPPED",IFERROR(INDEX(CalcMoveFlag,MATCH($E213,CalcTeams,0)),"")="CAPPED"),"CAPPED",""))</f>
        <v/>
      </c>
      <c r="N213" s="2" t="str">
        <f>IF($B213="","",IF(ABS(SUMIFS(AdjSpread,AdjGameID,$B213,AdjActive,1))&gt;AdjCap,"LARGE",""))</f>
        <v/>
      </c>
      <c r="O213" s="2" t="str">
        <f t="array" ref="O213">IF($B213="","",IFERROR(INDEX(MktStale,MATCH($B213,MktGameID,0)),""))</f>
        <v/>
      </c>
      <c r="P213" s="2" t="str">
        <f t="shared" si="1"/>
        <v>READY</v>
      </c>
    </row>
    <row r="214" ht="15.0" customHeight="1">
      <c r="A214" s="2">
        <v>203.0</v>
      </c>
      <c r="B214" s="2" t="str">
        <f t="array" ref="B214">IFERROR(INDEX(SchedZone,MATCH($A214,SchedSeq,0),MAP!$B$6),"")</f>
        <v>2026_14_LAC_LV</v>
      </c>
      <c r="C214" s="2">
        <f t="array" ref="C214">IF($B214="","",INDEX(SchedZone,MATCH($A214,SchedSeq,0),MAP!$B$4))</f>
        <v>14</v>
      </c>
      <c r="D214" s="2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2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2" t="str">
        <f>IF($B214="","",IF(COUNTIF(EngGameID,$B214)&gt;1,"DUP",""))</f>
        <v/>
      </c>
      <c r="G214" s="2" t="str">
        <f>IF($B214="","",IF(OR(COUNTIFS(EngWeek,$C214,EngAway,$D214)+COUNTIFS(EngWeek,$C214,EngHome,$D214)&gt;1,COUNTIFS(EngWeek,$C214,EngAway,$E214)+COUNTIFS(EngWeek,$C214,EngHome,$E214)&gt;1),"DUP",""))</f>
        <v/>
      </c>
      <c r="H214" s="2" t="str">
        <f>IF($B214="","",IF(OR(SUMPRODUCT((CLGameID=$B214)*CLUnmatched)&gt;0,LEFT($D214,1)="⚠",LEFT($E214,1)="⚠"),"UNMATCHED",""))</f>
        <v/>
      </c>
      <c r="I214" s="2" t="str">
        <f t="array" ref="I214">IF($B214="","",IF(OR(NOT(ISNUMBER(IFERROR(INDEX(RatEff,MATCH($D214,RatTeams,0)),"x"))),NOT(ISNUMBER(IFERROR(INDEX(RatEff,MATCH($E214,RatTeams,0)),"x")))),"MISSING",""))</f>
        <v/>
      </c>
      <c r="J214" s="2" t="str">
        <f>IF($B214="","",IF(SUMPRODUCT((CLGameID=$B214)*CLPlayed*(CLUseCur+CLUsePrev&gt;0)*(CLPlays=0))&gt;0,"MISSING",""))</f>
        <v/>
      </c>
      <c r="K214" s="2" t="str">
        <f>IF($B214="","",IF(SUMPRODUCT((CLGameID=$B214)*CLPlayed*((CLOffPts&lt;-20)+(CLOffPts&gt;90)))&gt;0,"CHECK",""))</f>
        <v/>
      </c>
      <c r="L214" s="2" t="str">
        <f t="array" ref="L214">IF($B214="","",IF(OR(ABS(IFERROR(INDEX(RatEff,MATCH($D214,RatTeams,0)),0))&gt;RatingRange,ABS(IFERROR(INDEX(RatEff,MATCH($E214,RatTeams,0)),0))&gt;RatingRange),"RANGE",""))</f>
        <v/>
      </c>
      <c r="M214" s="2" t="str">
        <f t="array" ref="M214">IF($B214="","",IF(OR(IFERROR(INDEX(CalcMoveFlag,MATCH($D214,CalcTeams,0)),"")="CAPPED",IFERROR(INDEX(CalcMoveFlag,MATCH($E214,CalcTeams,0)),"")="CAPPED"),"CAPPED",""))</f>
        <v/>
      </c>
      <c r="N214" s="2" t="str">
        <f>IF($B214="","",IF(ABS(SUMIFS(AdjSpread,AdjGameID,$B214,AdjActive,1))&gt;AdjCap,"LARGE",""))</f>
        <v/>
      </c>
      <c r="O214" s="2" t="str">
        <f t="array" ref="O214">IF($B214="","",IFERROR(INDEX(MktStale,MATCH($B214,MktGameID,0)),""))</f>
        <v/>
      </c>
      <c r="P214" s="2" t="str">
        <f t="shared" si="1"/>
        <v>READY</v>
      </c>
    </row>
    <row r="215" ht="15.0" customHeight="1">
      <c r="A215" s="2">
        <v>204.0</v>
      </c>
      <c r="B215" s="2" t="str">
        <f t="array" ref="B215">IFERROR(INDEX(SchedZone,MATCH($A215,SchedSeq,0),MAP!$B$6),"")</f>
        <v>2026_14_KC_CIN</v>
      </c>
      <c r="C215" s="2">
        <f t="array" ref="C215">IF($B215="","",INDEX(SchedZone,MATCH($A215,SchedSeq,0),MAP!$B$4))</f>
        <v>14</v>
      </c>
      <c r="D215" s="2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2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2" t="str">
        <f>IF($B215="","",IF(COUNTIF(EngGameID,$B215)&gt;1,"DUP",""))</f>
        <v/>
      </c>
      <c r="G215" s="2" t="str">
        <f>IF($B215="","",IF(OR(COUNTIFS(EngWeek,$C215,EngAway,$D215)+COUNTIFS(EngWeek,$C215,EngHome,$D215)&gt;1,COUNTIFS(EngWeek,$C215,EngAway,$E215)+COUNTIFS(EngWeek,$C215,EngHome,$E215)&gt;1),"DUP",""))</f>
        <v/>
      </c>
      <c r="H215" s="2" t="str">
        <f>IF($B215="","",IF(OR(SUMPRODUCT((CLGameID=$B215)*CLUnmatched)&gt;0,LEFT($D215,1)="⚠",LEFT($E215,1)="⚠"),"UNMATCHED",""))</f>
        <v/>
      </c>
      <c r="I215" s="2" t="str">
        <f t="array" ref="I215">IF($B215="","",IF(OR(NOT(ISNUMBER(IFERROR(INDEX(RatEff,MATCH($D215,RatTeams,0)),"x"))),NOT(ISNUMBER(IFERROR(INDEX(RatEff,MATCH($E215,RatTeams,0)),"x")))),"MISSING",""))</f>
        <v/>
      </c>
      <c r="J215" s="2" t="str">
        <f>IF($B215="","",IF(SUMPRODUCT((CLGameID=$B215)*CLPlayed*(CLUseCur+CLUsePrev&gt;0)*(CLPlays=0))&gt;0,"MISSING",""))</f>
        <v/>
      </c>
      <c r="K215" s="2" t="str">
        <f>IF($B215="","",IF(SUMPRODUCT((CLGameID=$B215)*CLPlayed*((CLOffPts&lt;-20)+(CLOffPts&gt;90)))&gt;0,"CHECK",""))</f>
        <v/>
      </c>
      <c r="L215" s="2" t="str">
        <f t="array" ref="L215">IF($B215="","",IF(OR(ABS(IFERROR(INDEX(RatEff,MATCH($D215,RatTeams,0)),0))&gt;RatingRange,ABS(IFERROR(INDEX(RatEff,MATCH($E215,RatTeams,0)),0))&gt;RatingRange),"RANGE",""))</f>
        <v/>
      </c>
      <c r="M215" s="2" t="str">
        <f t="array" ref="M215">IF($B215="","",IF(OR(IFERROR(INDEX(CalcMoveFlag,MATCH($D215,CalcTeams,0)),"")="CAPPED",IFERROR(INDEX(CalcMoveFlag,MATCH($E215,CalcTeams,0)),"")="CAPPED"),"CAPPED",""))</f>
        <v/>
      </c>
      <c r="N215" s="2" t="str">
        <f>IF($B215="","",IF(ABS(SUMIFS(AdjSpread,AdjGameID,$B215,AdjActive,1))&gt;AdjCap,"LARGE",""))</f>
        <v/>
      </c>
      <c r="O215" s="2" t="str">
        <f t="array" ref="O215">IF($B215="","",IFERROR(INDEX(MktStale,MATCH($B215,MktGameID,0)),""))</f>
        <v/>
      </c>
      <c r="P215" s="2" t="str">
        <f t="shared" si="1"/>
        <v>READY</v>
      </c>
    </row>
    <row r="216" ht="15.0" customHeight="1">
      <c r="A216" s="2">
        <v>205.0</v>
      </c>
      <c r="B216" s="2" t="str">
        <f t="array" ref="B216">IFERROR(INDEX(SchedZone,MATCH($A216,SchedSeq,0),MAP!$B$6),"")</f>
        <v>2026_14_NYG_SEA</v>
      </c>
      <c r="C216" s="2">
        <f t="array" ref="C216">IF($B216="","",INDEX(SchedZone,MATCH($A216,SchedSeq,0),MAP!$B$4))</f>
        <v>14</v>
      </c>
      <c r="D216" s="2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2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2" t="str">
        <f>IF($B216="","",IF(COUNTIF(EngGameID,$B216)&gt;1,"DUP",""))</f>
        <v/>
      </c>
      <c r="G216" s="2" t="str">
        <f>IF($B216="","",IF(OR(COUNTIFS(EngWeek,$C216,EngAway,$D216)+COUNTIFS(EngWeek,$C216,EngHome,$D216)&gt;1,COUNTIFS(EngWeek,$C216,EngAway,$E216)+COUNTIFS(EngWeek,$C216,EngHome,$E216)&gt;1),"DUP",""))</f>
        <v/>
      </c>
      <c r="H216" s="2" t="str">
        <f>IF($B216="","",IF(OR(SUMPRODUCT((CLGameID=$B216)*CLUnmatched)&gt;0,LEFT($D216,1)="⚠",LEFT($E216,1)="⚠"),"UNMATCHED",""))</f>
        <v/>
      </c>
      <c r="I216" s="2" t="str">
        <f t="array" ref="I216">IF($B216="","",IF(OR(NOT(ISNUMBER(IFERROR(INDEX(RatEff,MATCH($D216,RatTeams,0)),"x"))),NOT(ISNUMBER(IFERROR(INDEX(RatEff,MATCH($E216,RatTeams,0)),"x")))),"MISSING",""))</f>
        <v/>
      </c>
      <c r="J216" s="2" t="str">
        <f>IF($B216="","",IF(SUMPRODUCT((CLGameID=$B216)*CLPlayed*(CLUseCur+CLUsePrev&gt;0)*(CLPlays=0))&gt;0,"MISSING",""))</f>
        <v/>
      </c>
      <c r="K216" s="2" t="str">
        <f>IF($B216="","",IF(SUMPRODUCT((CLGameID=$B216)*CLPlayed*((CLOffPts&lt;-20)+(CLOffPts&gt;90)))&gt;0,"CHECK",""))</f>
        <v/>
      </c>
      <c r="L216" s="2" t="str">
        <f t="array" ref="L216">IF($B216="","",IF(OR(ABS(IFERROR(INDEX(RatEff,MATCH($D216,RatTeams,0)),0))&gt;RatingRange,ABS(IFERROR(INDEX(RatEff,MATCH($E216,RatTeams,0)),0))&gt;RatingRange),"RANGE",""))</f>
        <v/>
      </c>
      <c r="M216" s="2" t="str">
        <f t="array" ref="M216">IF($B216="","",IF(OR(IFERROR(INDEX(CalcMoveFlag,MATCH($D216,CalcTeams,0)),"")="CAPPED",IFERROR(INDEX(CalcMoveFlag,MATCH($E216,CalcTeams,0)),"")="CAPPED"),"CAPPED",""))</f>
        <v/>
      </c>
      <c r="N216" s="2" t="str">
        <f>IF($B216="","",IF(ABS(SUMIFS(AdjSpread,AdjGameID,$B216,AdjActive,1))&gt;AdjCap,"LARGE",""))</f>
        <v/>
      </c>
      <c r="O216" s="2" t="str">
        <f t="array" ref="O216">IF($B216="","",IFERROR(INDEX(MktStale,MATCH($B216,MktGameID,0)),""))</f>
        <v/>
      </c>
      <c r="P216" s="2" t="str">
        <f t="shared" si="1"/>
        <v>READY</v>
      </c>
    </row>
    <row r="217" ht="15.0" customHeight="1">
      <c r="A217" s="2">
        <v>206.0</v>
      </c>
      <c r="B217" s="2" t="str">
        <f t="array" ref="B217">IFERROR(INDEX(SchedZone,MATCH($A217,SchedSeq,0),MAP!$B$6),"")</f>
        <v>2026_14_LA_SF</v>
      </c>
      <c r="C217" s="2">
        <f t="array" ref="C217">IF($B217="","",INDEX(SchedZone,MATCH($A217,SchedSeq,0),MAP!$B$4))</f>
        <v>14</v>
      </c>
      <c r="D217" s="2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2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2" t="str">
        <f>IF($B217="","",IF(COUNTIF(EngGameID,$B217)&gt;1,"DUP",""))</f>
        <v/>
      </c>
      <c r="G217" s="2" t="str">
        <f>IF($B217="","",IF(OR(COUNTIFS(EngWeek,$C217,EngAway,$D217)+COUNTIFS(EngWeek,$C217,EngHome,$D217)&gt;1,COUNTIFS(EngWeek,$C217,EngAway,$E217)+COUNTIFS(EngWeek,$C217,EngHome,$E217)&gt;1),"DUP",""))</f>
        <v/>
      </c>
      <c r="H217" s="2" t="str">
        <f>IF($B217="","",IF(OR(SUMPRODUCT((CLGameID=$B217)*CLUnmatched)&gt;0,LEFT($D217,1)="⚠",LEFT($E217,1)="⚠"),"UNMATCHED",""))</f>
        <v/>
      </c>
      <c r="I217" s="2" t="str">
        <f t="array" ref="I217">IF($B217="","",IF(OR(NOT(ISNUMBER(IFERROR(INDEX(RatEff,MATCH($D217,RatTeams,0)),"x"))),NOT(ISNUMBER(IFERROR(INDEX(RatEff,MATCH($E217,RatTeams,0)),"x")))),"MISSING",""))</f>
        <v/>
      </c>
      <c r="J217" s="2" t="str">
        <f>IF($B217="","",IF(SUMPRODUCT((CLGameID=$B217)*CLPlayed*(CLUseCur+CLUsePrev&gt;0)*(CLPlays=0))&gt;0,"MISSING",""))</f>
        <v/>
      </c>
      <c r="K217" s="2" t="str">
        <f>IF($B217="","",IF(SUMPRODUCT((CLGameID=$B217)*CLPlayed*((CLOffPts&lt;-20)+(CLOffPts&gt;90)))&gt;0,"CHECK",""))</f>
        <v/>
      </c>
      <c r="L217" s="2" t="str">
        <f t="array" ref="L217">IF($B217="","",IF(OR(ABS(IFERROR(INDEX(RatEff,MATCH($D217,RatTeams,0)),0))&gt;RatingRange,ABS(IFERROR(INDEX(RatEff,MATCH($E217,RatTeams,0)),0))&gt;RatingRange),"RANGE",""))</f>
        <v/>
      </c>
      <c r="M217" s="2" t="str">
        <f t="array" ref="M217">IF($B217="","",IF(OR(IFERROR(INDEX(CalcMoveFlag,MATCH($D217,CalcTeams,0)),"")="CAPPED",IFERROR(INDEX(CalcMoveFlag,MATCH($E217,CalcTeams,0)),"")="CAPPED"),"CAPPED",""))</f>
        <v/>
      </c>
      <c r="N217" s="2" t="str">
        <f>IF($B217="","",IF(ABS(SUMIFS(AdjSpread,AdjGameID,$B217,AdjActive,1))&gt;AdjCap,"LARGE",""))</f>
        <v/>
      </c>
      <c r="O217" s="2" t="str">
        <f t="array" ref="O217">IF($B217="","",IFERROR(INDEX(MktStale,MATCH($B217,MktGameID,0)),""))</f>
        <v/>
      </c>
      <c r="P217" s="2" t="str">
        <f t="shared" si="1"/>
        <v>READY</v>
      </c>
    </row>
    <row r="218" ht="15.0" customHeight="1">
      <c r="A218" s="2">
        <v>207.0</v>
      </c>
      <c r="B218" s="2" t="str">
        <f t="array" ref="B218">IFERROR(INDEX(SchedZone,MATCH($A218,SchedSeq,0),MAP!$B$6),"")</f>
        <v>2026_14_BUF_GB</v>
      </c>
      <c r="C218" s="2">
        <f t="array" ref="C218">IF($B218="","",INDEX(SchedZone,MATCH($A218,SchedSeq,0),MAP!$B$4))</f>
        <v>14</v>
      </c>
      <c r="D218" s="2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2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2" t="str">
        <f>IF($B218="","",IF(COUNTIF(EngGameID,$B218)&gt;1,"DUP",""))</f>
        <v/>
      </c>
      <c r="G218" s="2" t="str">
        <f>IF($B218="","",IF(OR(COUNTIFS(EngWeek,$C218,EngAway,$D218)+COUNTIFS(EngWeek,$C218,EngHome,$D218)&gt;1,COUNTIFS(EngWeek,$C218,EngAway,$E218)+COUNTIFS(EngWeek,$C218,EngHome,$E218)&gt;1),"DUP",""))</f>
        <v/>
      </c>
      <c r="H218" s="2" t="str">
        <f>IF($B218="","",IF(OR(SUMPRODUCT((CLGameID=$B218)*CLUnmatched)&gt;0,LEFT($D218,1)="⚠",LEFT($E218,1)="⚠"),"UNMATCHED",""))</f>
        <v/>
      </c>
      <c r="I218" s="2" t="str">
        <f t="array" ref="I218">IF($B218="","",IF(OR(NOT(ISNUMBER(IFERROR(INDEX(RatEff,MATCH($D218,RatTeams,0)),"x"))),NOT(ISNUMBER(IFERROR(INDEX(RatEff,MATCH($E218,RatTeams,0)),"x")))),"MISSING",""))</f>
        <v/>
      </c>
      <c r="J218" s="2" t="str">
        <f>IF($B218="","",IF(SUMPRODUCT((CLGameID=$B218)*CLPlayed*(CLUseCur+CLUsePrev&gt;0)*(CLPlays=0))&gt;0,"MISSING",""))</f>
        <v/>
      </c>
      <c r="K218" s="2" t="str">
        <f>IF($B218="","",IF(SUMPRODUCT((CLGameID=$B218)*CLPlayed*((CLOffPts&lt;-20)+(CLOffPts&gt;90)))&gt;0,"CHECK",""))</f>
        <v/>
      </c>
      <c r="L218" s="2" t="str">
        <f t="array" ref="L218">IF($B218="","",IF(OR(ABS(IFERROR(INDEX(RatEff,MATCH($D218,RatTeams,0)),0))&gt;RatingRange,ABS(IFERROR(INDEX(RatEff,MATCH($E218,RatTeams,0)),0))&gt;RatingRange),"RANGE",""))</f>
        <v/>
      </c>
      <c r="M218" s="2" t="str">
        <f t="array" ref="M218">IF($B218="","",IF(OR(IFERROR(INDEX(CalcMoveFlag,MATCH($D218,CalcTeams,0)),"")="CAPPED",IFERROR(INDEX(CalcMoveFlag,MATCH($E218,CalcTeams,0)),"")="CAPPED"),"CAPPED",""))</f>
        <v/>
      </c>
      <c r="N218" s="2" t="str">
        <f>IF($B218="","",IF(ABS(SUMIFS(AdjSpread,AdjGameID,$B218,AdjActive,1))&gt;AdjCap,"LARGE",""))</f>
        <v/>
      </c>
      <c r="O218" s="2" t="str">
        <f t="array" ref="O218">IF($B218="","",IFERROR(INDEX(MktStale,MATCH($B218,MktGameID,0)),""))</f>
        <v/>
      </c>
      <c r="P218" s="2" t="str">
        <f t="shared" si="1"/>
        <v>READY</v>
      </c>
    </row>
    <row r="219" ht="15.0" customHeight="1">
      <c r="A219" s="2">
        <v>208.0</v>
      </c>
      <c r="B219" s="2" t="str">
        <f t="array" ref="B219">IFERROR(INDEX(SchedZone,MATCH($A219,SchedSeq,0),MAP!$B$6),"")</f>
        <v>2026_14_PIT_JAX</v>
      </c>
      <c r="C219" s="2">
        <f t="array" ref="C219">IF($B219="","",INDEX(SchedZone,MATCH($A219,SchedSeq,0),MAP!$B$4))</f>
        <v>14</v>
      </c>
      <c r="D219" s="2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2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2" t="str">
        <f>IF($B219="","",IF(COUNTIF(EngGameID,$B219)&gt;1,"DUP",""))</f>
        <v/>
      </c>
      <c r="G219" s="2" t="str">
        <f>IF($B219="","",IF(OR(COUNTIFS(EngWeek,$C219,EngAway,$D219)+COUNTIFS(EngWeek,$C219,EngHome,$D219)&gt;1,COUNTIFS(EngWeek,$C219,EngAway,$E219)+COUNTIFS(EngWeek,$C219,EngHome,$E219)&gt;1),"DUP",""))</f>
        <v/>
      </c>
      <c r="H219" s="2" t="str">
        <f>IF($B219="","",IF(OR(SUMPRODUCT((CLGameID=$B219)*CLUnmatched)&gt;0,LEFT($D219,1)="⚠",LEFT($E219,1)="⚠"),"UNMATCHED",""))</f>
        <v/>
      </c>
      <c r="I219" s="2" t="str">
        <f t="array" ref="I219">IF($B219="","",IF(OR(NOT(ISNUMBER(IFERROR(INDEX(RatEff,MATCH($D219,RatTeams,0)),"x"))),NOT(ISNUMBER(IFERROR(INDEX(RatEff,MATCH($E219,RatTeams,0)),"x")))),"MISSING",""))</f>
        <v/>
      </c>
      <c r="J219" s="2" t="str">
        <f>IF($B219="","",IF(SUMPRODUCT((CLGameID=$B219)*CLPlayed*(CLUseCur+CLUsePrev&gt;0)*(CLPlays=0))&gt;0,"MISSING",""))</f>
        <v/>
      </c>
      <c r="K219" s="2" t="str">
        <f>IF($B219="","",IF(SUMPRODUCT((CLGameID=$B219)*CLPlayed*((CLOffPts&lt;-20)+(CLOffPts&gt;90)))&gt;0,"CHECK",""))</f>
        <v/>
      </c>
      <c r="L219" s="2" t="str">
        <f t="array" ref="L219">IF($B219="","",IF(OR(ABS(IFERROR(INDEX(RatEff,MATCH($D219,RatTeams,0)),0))&gt;RatingRange,ABS(IFERROR(INDEX(RatEff,MATCH($E219,RatTeams,0)),0))&gt;RatingRange),"RANGE",""))</f>
        <v/>
      </c>
      <c r="M219" s="2" t="str">
        <f t="array" ref="M219">IF($B219="","",IF(OR(IFERROR(INDEX(CalcMoveFlag,MATCH($D219,CalcTeams,0)),"")="CAPPED",IFERROR(INDEX(CalcMoveFlag,MATCH($E219,CalcTeams,0)),"")="CAPPED"),"CAPPED",""))</f>
        <v/>
      </c>
      <c r="N219" s="2" t="str">
        <f>IF($B219="","",IF(ABS(SUMIFS(AdjSpread,AdjGameID,$B219,AdjActive,1))&gt;AdjCap,"LARGE",""))</f>
        <v/>
      </c>
      <c r="O219" s="2" t="str">
        <f t="array" ref="O219">IF($B219="","",IFERROR(INDEX(MktStale,MATCH($B219,MktGameID,0)),""))</f>
        <v/>
      </c>
      <c r="P219" s="2" t="str">
        <f t="shared" si="1"/>
        <v>READY</v>
      </c>
    </row>
    <row r="220" ht="15.0" customHeight="1">
      <c r="A220" s="2">
        <v>209.0</v>
      </c>
      <c r="B220" s="2" t="str">
        <f t="array" ref="B220">IFERROR(INDEX(SchedZone,MATCH($A220,SchedSeq,0),MAP!$B$6),"")</f>
        <v>2026_15_SF_LAC</v>
      </c>
      <c r="C220" s="2">
        <f t="array" ref="C220">IF($B220="","",INDEX(SchedZone,MATCH($A220,SchedSeq,0),MAP!$B$4))</f>
        <v>15</v>
      </c>
      <c r="D220" s="2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2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2" t="str">
        <f>IF($B220="","",IF(COUNTIF(EngGameID,$B220)&gt;1,"DUP",""))</f>
        <v/>
      </c>
      <c r="G220" s="2" t="str">
        <f>IF($B220="","",IF(OR(COUNTIFS(EngWeek,$C220,EngAway,$D220)+COUNTIFS(EngWeek,$C220,EngHome,$D220)&gt;1,COUNTIFS(EngWeek,$C220,EngAway,$E220)+COUNTIFS(EngWeek,$C220,EngHome,$E220)&gt;1),"DUP",""))</f>
        <v/>
      </c>
      <c r="H220" s="2" t="str">
        <f>IF($B220="","",IF(OR(SUMPRODUCT((CLGameID=$B220)*CLUnmatched)&gt;0,LEFT($D220,1)="⚠",LEFT($E220,1)="⚠"),"UNMATCHED",""))</f>
        <v/>
      </c>
      <c r="I220" s="2" t="str">
        <f t="array" ref="I220">IF($B220="","",IF(OR(NOT(ISNUMBER(IFERROR(INDEX(RatEff,MATCH($D220,RatTeams,0)),"x"))),NOT(ISNUMBER(IFERROR(INDEX(RatEff,MATCH($E220,RatTeams,0)),"x")))),"MISSING",""))</f>
        <v/>
      </c>
      <c r="J220" s="2" t="str">
        <f>IF($B220="","",IF(SUMPRODUCT((CLGameID=$B220)*CLPlayed*(CLUseCur+CLUsePrev&gt;0)*(CLPlays=0))&gt;0,"MISSING",""))</f>
        <v/>
      </c>
      <c r="K220" s="2" t="str">
        <f>IF($B220="","",IF(SUMPRODUCT((CLGameID=$B220)*CLPlayed*((CLOffPts&lt;-20)+(CLOffPts&gt;90)))&gt;0,"CHECK",""))</f>
        <v/>
      </c>
      <c r="L220" s="2" t="str">
        <f t="array" ref="L220">IF($B220="","",IF(OR(ABS(IFERROR(INDEX(RatEff,MATCH($D220,RatTeams,0)),0))&gt;RatingRange,ABS(IFERROR(INDEX(RatEff,MATCH($E220,RatTeams,0)),0))&gt;RatingRange),"RANGE",""))</f>
        <v/>
      </c>
      <c r="M220" s="2" t="str">
        <f t="array" ref="M220">IF($B220="","",IF(OR(IFERROR(INDEX(CalcMoveFlag,MATCH($D220,CalcTeams,0)),"")="CAPPED",IFERROR(INDEX(CalcMoveFlag,MATCH($E220,CalcTeams,0)),"")="CAPPED"),"CAPPED",""))</f>
        <v/>
      </c>
      <c r="N220" s="2" t="str">
        <f>IF($B220="","",IF(ABS(SUMIFS(AdjSpread,AdjGameID,$B220,AdjActive,1))&gt;AdjCap,"LARGE",""))</f>
        <v/>
      </c>
      <c r="O220" s="2" t="str">
        <f t="array" ref="O220">IF($B220="","",IFERROR(INDEX(MktStale,MATCH($B220,MktGameID,0)),""))</f>
        <v/>
      </c>
      <c r="P220" s="2" t="str">
        <f t="shared" si="1"/>
        <v>READY</v>
      </c>
    </row>
    <row r="221" ht="15.0" customHeight="1">
      <c r="A221" s="2">
        <v>210.0</v>
      </c>
      <c r="B221" s="2" t="str">
        <f t="array" ref="B221">IFERROR(INDEX(SchedZone,MATCH($A221,SchedSeq,0),MAP!$B$6),"")</f>
        <v>2026_15_SEA_PHI</v>
      </c>
      <c r="C221" s="2">
        <f t="array" ref="C221">IF($B221="","",INDEX(SchedZone,MATCH($A221,SchedSeq,0),MAP!$B$4))</f>
        <v>15</v>
      </c>
      <c r="D221" s="2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2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2" t="str">
        <f>IF($B221="","",IF(COUNTIF(EngGameID,$B221)&gt;1,"DUP",""))</f>
        <v/>
      </c>
      <c r="G221" s="2" t="str">
        <f>IF($B221="","",IF(OR(COUNTIFS(EngWeek,$C221,EngAway,$D221)+COUNTIFS(EngWeek,$C221,EngHome,$D221)&gt;1,COUNTIFS(EngWeek,$C221,EngAway,$E221)+COUNTIFS(EngWeek,$C221,EngHome,$E221)&gt;1),"DUP",""))</f>
        <v/>
      </c>
      <c r="H221" s="2" t="str">
        <f>IF($B221="","",IF(OR(SUMPRODUCT((CLGameID=$B221)*CLUnmatched)&gt;0,LEFT($D221,1)="⚠",LEFT($E221,1)="⚠"),"UNMATCHED",""))</f>
        <v/>
      </c>
      <c r="I221" s="2" t="str">
        <f t="array" ref="I221">IF($B221="","",IF(OR(NOT(ISNUMBER(IFERROR(INDEX(RatEff,MATCH($D221,RatTeams,0)),"x"))),NOT(ISNUMBER(IFERROR(INDEX(RatEff,MATCH($E221,RatTeams,0)),"x")))),"MISSING",""))</f>
        <v/>
      </c>
      <c r="J221" s="2" t="str">
        <f>IF($B221="","",IF(SUMPRODUCT((CLGameID=$B221)*CLPlayed*(CLUseCur+CLUsePrev&gt;0)*(CLPlays=0))&gt;0,"MISSING",""))</f>
        <v/>
      </c>
      <c r="K221" s="2" t="str">
        <f>IF($B221="","",IF(SUMPRODUCT((CLGameID=$B221)*CLPlayed*((CLOffPts&lt;-20)+(CLOffPts&gt;90)))&gt;0,"CHECK",""))</f>
        <v/>
      </c>
      <c r="L221" s="2" t="str">
        <f t="array" ref="L221">IF($B221="","",IF(OR(ABS(IFERROR(INDEX(RatEff,MATCH($D221,RatTeams,0)),0))&gt;RatingRange,ABS(IFERROR(INDEX(RatEff,MATCH($E221,RatTeams,0)),0))&gt;RatingRange),"RANGE",""))</f>
        <v/>
      </c>
      <c r="M221" s="2" t="str">
        <f t="array" ref="M221">IF($B221="","",IF(OR(IFERROR(INDEX(CalcMoveFlag,MATCH($D221,CalcTeams,0)),"")="CAPPED",IFERROR(INDEX(CalcMoveFlag,MATCH($E221,CalcTeams,0)),"")="CAPPED"),"CAPPED",""))</f>
        <v/>
      </c>
      <c r="N221" s="2" t="str">
        <f>IF($B221="","",IF(ABS(SUMIFS(AdjSpread,AdjGameID,$B221,AdjActive,1))&gt;AdjCap,"LARGE",""))</f>
        <v/>
      </c>
      <c r="O221" s="2" t="str">
        <f t="array" ref="O221">IF($B221="","",IFERROR(INDEX(MktStale,MATCH($B221,MktGameID,0)),""))</f>
        <v/>
      </c>
      <c r="P221" s="2" t="str">
        <f t="shared" si="1"/>
        <v>READY</v>
      </c>
    </row>
    <row r="222" ht="15.0" customHeight="1">
      <c r="A222" s="2">
        <v>211.0</v>
      </c>
      <c r="B222" s="2" t="str">
        <f t="array" ref="B222">IFERROR(INDEX(SchedZone,MATCH($A222,SchedSeq,0),MAP!$B$6),"")</f>
        <v>2026_15_CHI_BUF</v>
      </c>
      <c r="C222" s="2">
        <f t="array" ref="C222">IF($B222="","",INDEX(SchedZone,MATCH($A222,SchedSeq,0),MAP!$B$4))</f>
        <v>15</v>
      </c>
      <c r="D222" s="2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2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2" t="str">
        <f>IF($B222="","",IF(COUNTIF(EngGameID,$B222)&gt;1,"DUP",""))</f>
        <v/>
      </c>
      <c r="G222" s="2" t="str">
        <f>IF($B222="","",IF(OR(COUNTIFS(EngWeek,$C222,EngAway,$D222)+COUNTIFS(EngWeek,$C222,EngHome,$D222)&gt;1,COUNTIFS(EngWeek,$C222,EngAway,$E222)+COUNTIFS(EngWeek,$C222,EngHome,$E222)&gt;1),"DUP",""))</f>
        <v/>
      </c>
      <c r="H222" s="2" t="str">
        <f>IF($B222="","",IF(OR(SUMPRODUCT((CLGameID=$B222)*CLUnmatched)&gt;0,LEFT($D222,1)="⚠",LEFT($E222,1)="⚠"),"UNMATCHED",""))</f>
        <v/>
      </c>
      <c r="I222" s="2" t="str">
        <f t="array" ref="I222">IF($B222="","",IF(OR(NOT(ISNUMBER(IFERROR(INDEX(RatEff,MATCH($D222,RatTeams,0)),"x"))),NOT(ISNUMBER(IFERROR(INDEX(RatEff,MATCH($E222,RatTeams,0)),"x")))),"MISSING",""))</f>
        <v/>
      </c>
      <c r="J222" s="2" t="str">
        <f>IF($B222="","",IF(SUMPRODUCT((CLGameID=$B222)*CLPlayed*(CLUseCur+CLUsePrev&gt;0)*(CLPlays=0))&gt;0,"MISSING",""))</f>
        <v/>
      </c>
      <c r="K222" s="2" t="str">
        <f>IF($B222="","",IF(SUMPRODUCT((CLGameID=$B222)*CLPlayed*((CLOffPts&lt;-20)+(CLOffPts&gt;90)))&gt;0,"CHECK",""))</f>
        <v/>
      </c>
      <c r="L222" s="2" t="str">
        <f t="array" ref="L222">IF($B222="","",IF(OR(ABS(IFERROR(INDEX(RatEff,MATCH($D222,RatTeams,0)),0))&gt;RatingRange,ABS(IFERROR(INDEX(RatEff,MATCH($E222,RatTeams,0)),0))&gt;RatingRange),"RANGE",""))</f>
        <v/>
      </c>
      <c r="M222" s="2" t="str">
        <f t="array" ref="M222">IF($B222="","",IF(OR(IFERROR(INDEX(CalcMoveFlag,MATCH($D222,CalcTeams,0)),"")="CAPPED",IFERROR(INDEX(CalcMoveFlag,MATCH($E222,CalcTeams,0)),"")="CAPPED"),"CAPPED",""))</f>
        <v/>
      </c>
      <c r="N222" s="2" t="str">
        <f>IF($B222="","",IF(ABS(SUMIFS(AdjSpread,AdjGameID,$B222,AdjActive,1))&gt;AdjCap,"LARGE",""))</f>
        <v/>
      </c>
      <c r="O222" s="2" t="str">
        <f t="array" ref="O222">IF($B222="","",IFERROR(INDEX(MktStale,MATCH($B222,MktGameID,0)),""))</f>
        <v/>
      </c>
      <c r="P222" s="2" t="str">
        <f t="shared" si="1"/>
        <v>READY</v>
      </c>
    </row>
    <row r="223" ht="15.0" customHeight="1">
      <c r="A223" s="2">
        <v>212.0</v>
      </c>
      <c r="B223" s="2" t="str">
        <f t="array" ref="B223">IFERROR(INDEX(SchedZone,MATCH($A223,SchedSeq,0),MAP!$B$6),"")</f>
        <v>2026_15_CIN_CAR</v>
      </c>
      <c r="C223" s="2">
        <f t="array" ref="C223">IF($B223="","",INDEX(SchedZone,MATCH($A223,SchedSeq,0),MAP!$B$4))</f>
        <v>15</v>
      </c>
      <c r="D223" s="2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2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2" t="str">
        <f>IF($B223="","",IF(COUNTIF(EngGameID,$B223)&gt;1,"DUP",""))</f>
        <v/>
      </c>
      <c r="G223" s="2" t="str">
        <f>IF($B223="","",IF(OR(COUNTIFS(EngWeek,$C223,EngAway,$D223)+COUNTIFS(EngWeek,$C223,EngHome,$D223)&gt;1,COUNTIFS(EngWeek,$C223,EngAway,$E223)+COUNTIFS(EngWeek,$C223,EngHome,$E223)&gt;1),"DUP",""))</f>
        <v/>
      </c>
      <c r="H223" s="2" t="str">
        <f>IF($B223="","",IF(OR(SUMPRODUCT((CLGameID=$B223)*CLUnmatched)&gt;0,LEFT($D223,1)="⚠",LEFT($E223,1)="⚠"),"UNMATCHED",""))</f>
        <v/>
      </c>
      <c r="I223" s="2" t="str">
        <f t="array" ref="I223">IF($B223="","",IF(OR(NOT(ISNUMBER(IFERROR(INDEX(RatEff,MATCH($D223,RatTeams,0)),"x"))),NOT(ISNUMBER(IFERROR(INDEX(RatEff,MATCH($E223,RatTeams,0)),"x")))),"MISSING",""))</f>
        <v/>
      </c>
      <c r="J223" s="2" t="str">
        <f>IF($B223="","",IF(SUMPRODUCT((CLGameID=$B223)*CLPlayed*(CLUseCur+CLUsePrev&gt;0)*(CLPlays=0))&gt;0,"MISSING",""))</f>
        <v/>
      </c>
      <c r="K223" s="2" t="str">
        <f>IF($B223="","",IF(SUMPRODUCT((CLGameID=$B223)*CLPlayed*((CLOffPts&lt;-20)+(CLOffPts&gt;90)))&gt;0,"CHECK",""))</f>
        <v/>
      </c>
      <c r="L223" s="2" t="str">
        <f t="array" ref="L223">IF($B223="","",IF(OR(ABS(IFERROR(INDEX(RatEff,MATCH($D223,RatTeams,0)),0))&gt;RatingRange,ABS(IFERROR(INDEX(RatEff,MATCH($E223,RatTeams,0)),0))&gt;RatingRange),"RANGE",""))</f>
        <v/>
      </c>
      <c r="M223" s="2" t="str">
        <f t="array" ref="M223">IF($B223="","",IF(OR(IFERROR(INDEX(CalcMoveFlag,MATCH($D223,CalcTeams,0)),"")="CAPPED",IFERROR(INDEX(CalcMoveFlag,MATCH($E223,CalcTeams,0)),"")="CAPPED"),"CAPPED",""))</f>
        <v/>
      </c>
      <c r="N223" s="2" t="str">
        <f>IF($B223="","",IF(ABS(SUMIFS(AdjSpread,AdjGameID,$B223,AdjActive,1))&gt;AdjCap,"LARGE",""))</f>
        <v/>
      </c>
      <c r="O223" s="2" t="str">
        <f t="array" ref="O223">IF($B223="","",IFERROR(INDEX(MktStale,MATCH($B223,MktGameID,0)),""))</f>
        <v/>
      </c>
      <c r="P223" s="2" t="str">
        <f t="shared" si="1"/>
        <v>READY</v>
      </c>
    </row>
    <row r="224" ht="15.0" customHeight="1">
      <c r="A224" s="2">
        <v>213.0</v>
      </c>
      <c r="B224" s="2" t="str">
        <f t="array" ref="B224">IFERROR(INDEX(SchedZone,MATCH($A224,SchedSeq,0),MAP!$B$6),"")</f>
        <v>2026_15_MIA_GB</v>
      </c>
      <c r="C224" s="2">
        <f t="array" ref="C224">IF($B224="","",INDEX(SchedZone,MATCH($A224,SchedSeq,0),MAP!$B$4))</f>
        <v>15</v>
      </c>
      <c r="D224" s="2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2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2" t="str">
        <f>IF($B224="","",IF(COUNTIF(EngGameID,$B224)&gt;1,"DUP",""))</f>
        <v/>
      </c>
      <c r="G224" s="2" t="str">
        <f>IF($B224="","",IF(OR(COUNTIFS(EngWeek,$C224,EngAway,$D224)+COUNTIFS(EngWeek,$C224,EngHome,$D224)&gt;1,COUNTIFS(EngWeek,$C224,EngAway,$E224)+COUNTIFS(EngWeek,$C224,EngHome,$E224)&gt;1),"DUP",""))</f>
        <v/>
      </c>
      <c r="H224" s="2" t="str">
        <f>IF($B224="","",IF(OR(SUMPRODUCT((CLGameID=$B224)*CLUnmatched)&gt;0,LEFT($D224,1)="⚠",LEFT($E224,1)="⚠"),"UNMATCHED",""))</f>
        <v/>
      </c>
      <c r="I224" s="2" t="str">
        <f t="array" ref="I224">IF($B224="","",IF(OR(NOT(ISNUMBER(IFERROR(INDEX(RatEff,MATCH($D224,RatTeams,0)),"x"))),NOT(ISNUMBER(IFERROR(INDEX(RatEff,MATCH($E224,RatTeams,0)),"x")))),"MISSING",""))</f>
        <v/>
      </c>
      <c r="J224" s="2" t="str">
        <f>IF($B224="","",IF(SUMPRODUCT((CLGameID=$B224)*CLPlayed*(CLUseCur+CLUsePrev&gt;0)*(CLPlays=0))&gt;0,"MISSING",""))</f>
        <v/>
      </c>
      <c r="K224" s="2" t="str">
        <f>IF($B224="","",IF(SUMPRODUCT((CLGameID=$B224)*CLPlayed*((CLOffPts&lt;-20)+(CLOffPts&gt;90)))&gt;0,"CHECK",""))</f>
        <v/>
      </c>
      <c r="L224" s="2" t="str">
        <f t="array" ref="L224">IF($B224="","",IF(OR(ABS(IFERROR(INDEX(RatEff,MATCH($D224,RatTeams,0)),0))&gt;RatingRange,ABS(IFERROR(INDEX(RatEff,MATCH($E224,RatTeams,0)),0))&gt;RatingRange),"RANGE",""))</f>
        <v/>
      </c>
      <c r="M224" s="2" t="str">
        <f t="array" ref="M224">IF($B224="","",IF(OR(IFERROR(INDEX(CalcMoveFlag,MATCH($D224,CalcTeams,0)),"")="CAPPED",IFERROR(INDEX(CalcMoveFlag,MATCH($E224,CalcTeams,0)),"")="CAPPED"),"CAPPED",""))</f>
        <v/>
      </c>
      <c r="N224" s="2" t="str">
        <f>IF($B224="","",IF(ABS(SUMIFS(AdjSpread,AdjGameID,$B224,AdjActive,1))&gt;AdjCap,"LARGE",""))</f>
        <v/>
      </c>
      <c r="O224" s="2" t="str">
        <f t="array" ref="O224">IF($B224="","",IFERROR(INDEX(MktStale,MATCH($B224,MktGameID,0)),""))</f>
        <v/>
      </c>
      <c r="P224" s="2" t="str">
        <f t="shared" si="1"/>
        <v>READY</v>
      </c>
    </row>
    <row r="225" ht="15.0" customHeight="1">
      <c r="A225" s="2">
        <v>214.0</v>
      </c>
      <c r="B225" s="2" t="str">
        <f t="array" ref="B225">IFERROR(INDEX(SchedZone,MATCH($A225,SchedSeq,0),MAP!$B$6),"")</f>
        <v>2026_15_JAX_HOU</v>
      </c>
      <c r="C225" s="2">
        <f t="array" ref="C225">IF($B225="","",INDEX(SchedZone,MATCH($A225,SchedSeq,0),MAP!$B$4))</f>
        <v>15</v>
      </c>
      <c r="D225" s="2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2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2" t="str">
        <f>IF($B225="","",IF(COUNTIF(EngGameID,$B225)&gt;1,"DUP",""))</f>
        <v/>
      </c>
      <c r="G225" s="2" t="str">
        <f>IF($B225="","",IF(OR(COUNTIFS(EngWeek,$C225,EngAway,$D225)+COUNTIFS(EngWeek,$C225,EngHome,$D225)&gt;1,COUNTIFS(EngWeek,$C225,EngAway,$E225)+COUNTIFS(EngWeek,$C225,EngHome,$E225)&gt;1),"DUP",""))</f>
        <v/>
      </c>
      <c r="H225" s="2" t="str">
        <f>IF($B225="","",IF(OR(SUMPRODUCT((CLGameID=$B225)*CLUnmatched)&gt;0,LEFT($D225,1)="⚠",LEFT($E225,1)="⚠"),"UNMATCHED",""))</f>
        <v/>
      </c>
      <c r="I225" s="2" t="str">
        <f t="array" ref="I225">IF($B225="","",IF(OR(NOT(ISNUMBER(IFERROR(INDEX(RatEff,MATCH($D225,RatTeams,0)),"x"))),NOT(ISNUMBER(IFERROR(INDEX(RatEff,MATCH($E225,RatTeams,0)),"x")))),"MISSING",""))</f>
        <v/>
      </c>
      <c r="J225" s="2" t="str">
        <f>IF($B225="","",IF(SUMPRODUCT((CLGameID=$B225)*CLPlayed*(CLUseCur+CLUsePrev&gt;0)*(CLPlays=0))&gt;0,"MISSING",""))</f>
        <v/>
      </c>
      <c r="K225" s="2" t="str">
        <f>IF($B225="","",IF(SUMPRODUCT((CLGameID=$B225)*CLPlayed*((CLOffPts&lt;-20)+(CLOffPts&gt;90)))&gt;0,"CHECK",""))</f>
        <v/>
      </c>
      <c r="L225" s="2" t="str">
        <f t="array" ref="L225">IF($B225="","",IF(OR(ABS(IFERROR(INDEX(RatEff,MATCH($D225,RatTeams,0)),0))&gt;RatingRange,ABS(IFERROR(INDEX(RatEff,MATCH($E225,RatTeams,0)),0))&gt;RatingRange),"RANGE",""))</f>
        <v/>
      </c>
      <c r="M225" s="2" t="str">
        <f t="array" ref="M225">IF($B225="","",IF(OR(IFERROR(INDEX(CalcMoveFlag,MATCH($D225,CalcTeams,0)),"")="CAPPED",IFERROR(INDEX(CalcMoveFlag,MATCH($E225,CalcTeams,0)),"")="CAPPED"),"CAPPED",""))</f>
        <v/>
      </c>
      <c r="N225" s="2" t="str">
        <f>IF($B225="","",IF(ABS(SUMIFS(AdjSpread,AdjGameID,$B225,AdjActive,1))&gt;AdjCap,"LARGE",""))</f>
        <v/>
      </c>
      <c r="O225" s="2" t="str">
        <f t="array" ref="O225">IF($B225="","",IFERROR(INDEX(MktStale,MATCH($B225,MktGameID,0)),""))</f>
        <v/>
      </c>
      <c r="P225" s="2" t="str">
        <f t="shared" si="1"/>
        <v>READY</v>
      </c>
    </row>
    <row r="226" ht="15.0" customHeight="1">
      <c r="A226" s="2">
        <v>215.0</v>
      </c>
      <c r="B226" s="2" t="str">
        <f t="array" ref="B226">IFERROR(INDEX(SchedZone,MATCH($A226,SchedSeq,0),MAP!$B$6),"")</f>
        <v>2026_15_CLE_NYG</v>
      </c>
      <c r="C226" s="2">
        <f t="array" ref="C226">IF($B226="","",INDEX(SchedZone,MATCH($A226,SchedSeq,0),MAP!$B$4))</f>
        <v>15</v>
      </c>
      <c r="D226" s="2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2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2" t="str">
        <f>IF($B226="","",IF(COUNTIF(EngGameID,$B226)&gt;1,"DUP",""))</f>
        <v/>
      </c>
      <c r="G226" s="2" t="str">
        <f>IF($B226="","",IF(OR(COUNTIFS(EngWeek,$C226,EngAway,$D226)+COUNTIFS(EngWeek,$C226,EngHome,$D226)&gt;1,COUNTIFS(EngWeek,$C226,EngAway,$E226)+COUNTIFS(EngWeek,$C226,EngHome,$E226)&gt;1),"DUP",""))</f>
        <v/>
      </c>
      <c r="H226" s="2" t="str">
        <f>IF($B226="","",IF(OR(SUMPRODUCT((CLGameID=$B226)*CLUnmatched)&gt;0,LEFT($D226,1)="⚠",LEFT($E226,1)="⚠"),"UNMATCHED",""))</f>
        <v/>
      </c>
      <c r="I226" s="2" t="str">
        <f t="array" ref="I226">IF($B226="","",IF(OR(NOT(ISNUMBER(IFERROR(INDEX(RatEff,MATCH($D226,RatTeams,0)),"x"))),NOT(ISNUMBER(IFERROR(INDEX(RatEff,MATCH($E226,RatTeams,0)),"x")))),"MISSING",""))</f>
        <v/>
      </c>
      <c r="J226" s="2" t="str">
        <f>IF($B226="","",IF(SUMPRODUCT((CLGameID=$B226)*CLPlayed*(CLUseCur+CLUsePrev&gt;0)*(CLPlays=0))&gt;0,"MISSING",""))</f>
        <v/>
      </c>
      <c r="K226" s="2" t="str">
        <f>IF($B226="","",IF(SUMPRODUCT((CLGameID=$B226)*CLPlayed*((CLOffPts&lt;-20)+(CLOffPts&gt;90)))&gt;0,"CHECK",""))</f>
        <v/>
      </c>
      <c r="L226" s="2" t="str">
        <f t="array" ref="L226">IF($B226="","",IF(OR(ABS(IFERROR(INDEX(RatEff,MATCH($D226,RatTeams,0)),0))&gt;RatingRange,ABS(IFERROR(INDEX(RatEff,MATCH($E226,RatTeams,0)),0))&gt;RatingRange),"RANGE",""))</f>
        <v/>
      </c>
      <c r="M226" s="2" t="str">
        <f t="array" ref="M226">IF($B226="","",IF(OR(IFERROR(INDEX(CalcMoveFlag,MATCH($D226,CalcTeams,0)),"")="CAPPED",IFERROR(INDEX(CalcMoveFlag,MATCH($E226,CalcTeams,0)),"")="CAPPED"),"CAPPED",""))</f>
        <v/>
      </c>
      <c r="N226" s="2" t="str">
        <f>IF($B226="","",IF(ABS(SUMIFS(AdjSpread,AdjGameID,$B226,AdjActive,1))&gt;AdjCap,"LARGE",""))</f>
        <v/>
      </c>
      <c r="O226" s="2" t="str">
        <f t="array" ref="O226">IF($B226="","",IFERROR(INDEX(MktStale,MATCH($B226,MktGameID,0)),""))</f>
        <v/>
      </c>
      <c r="P226" s="2" t="str">
        <f t="shared" si="1"/>
        <v>READY</v>
      </c>
    </row>
    <row r="227" ht="15.0" customHeight="1">
      <c r="A227" s="2">
        <v>216.0</v>
      </c>
      <c r="B227" s="2" t="str">
        <f t="array" ref="B227">IFERROR(INDEX(SchedZone,MATCH($A227,SchedSeq,0),MAP!$B$6),"")</f>
        <v>2026_15_BAL_PIT</v>
      </c>
      <c r="C227" s="2">
        <f t="array" ref="C227">IF($B227="","",INDEX(SchedZone,MATCH($A227,SchedSeq,0),MAP!$B$4))</f>
        <v>15</v>
      </c>
      <c r="D227" s="2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2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2" t="str">
        <f>IF($B227="","",IF(COUNTIF(EngGameID,$B227)&gt;1,"DUP",""))</f>
        <v/>
      </c>
      <c r="G227" s="2" t="str">
        <f>IF($B227="","",IF(OR(COUNTIFS(EngWeek,$C227,EngAway,$D227)+COUNTIFS(EngWeek,$C227,EngHome,$D227)&gt;1,COUNTIFS(EngWeek,$C227,EngAway,$E227)+COUNTIFS(EngWeek,$C227,EngHome,$E227)&gt;1),"DUP",""))</f>
        <v/>
      </c>
      <c r="H227" s="2" t="str">
        <f>IF($B227="","",IF(OR(SUMPRODUCT((CLGameID=$B227)*CLUnmatched)&gt;0,LEFT($D227,1)="⚠",LEFT($E227,1)="⚠"),"UNMATCHED",""))</f>
        <v/>
      </c>
      <c r="I227" s="2" t="str">
        <f t="array" ref="I227">IF($B227="","",IF(OR(NOT(ISNUMBER(IFERROR(INDEX(RatEff,MATCH($D227,RatTeams,0)),"x"))),NOT(ISNUMBER(IFERROR(INDEX(RatEff,MATCH($E227,RatTeams,0)),"x")))),"MISSING",""))</f>
        <v/>
      </c>
      <c r="J227" s="2" t="str">
        <f>IF($B227="","",IF(SUMPRODUCT((CLGameID=$B227)*CLPlayed*(CLUseCur+CLUsePrev&gt;0)*(CLPlays=0))&gt;0,"MISSING",""))</f>
        <v/>
      </c>
      <c r="K227" s="2" t="str">
        <f>IF($B227="","",IF(SUMPRODUCT((CLGameID=$B227)*CLPlayed*((CLOffPts&lt;-20)+(CLOffPts&gt;90)))&gt;0,"CHECK",""))</f>
        <v/>
      </c>
      <c r="L227" s="2" t="str">
        <f t="array" ref="L227">IF($B227="","",IF(OR(ABS(IFERROR(INDEX(RatEff,MATCH($D227,RatTeams,0)),0))&gt;RatingRange,ABS(IFERROR(INDEX(RatEff,MATCH($E227,RatTeams,0)),0))&gt;RatingRange),"RANGE",""))</f>
        <v/>
      </c>
      <c r="M227" s="2" t="str">
        <f t="array" ref="M227">IF($B227="","",IF(OR(IFERROR(INDEX(CalcMoveFlag,MATCH($D227,CalcTeams,0)),"")="CAPPED",IFERROR(INDEX(CalcMoveFlag,MATCH($E227,CalcTeams,0)),"")="CAPPED"),"CAPPED",""))</f>
        <v/>
      </c>
      <c r="N227" s="2" t="str">
        <f>IF($B227="","",IF(ABS(SUMIFS(AdjSpread,AdjGameID,$B227,AdjActive,1))&gt;AdjCap,"LARGE",""))</f>
        <v/>
      </c>
      <c r="O227" s="2" t="str">
        <f t="array" ref="O227">IF($B227="","",IFERROR(INDEX(MktStale,MATCH($B227,MktGameID,0)),""))</f>
        <v/>
      </c>
      <c r="P227" s="2" t="str">
        <f t="shared" si="1"/>
        <v>READY</v>
      </c>
    </row>
    <row r="228" ht="15.0" customHeight="1">
      <c r="A228" s="2">
        <v>217.0</v>
      </c>
      <c r="B228" s="2" t="str">
        <f t="array" ref="B228">IFERROR(INDEX(SchedZone,MATCH($A228,SchedSeq,0),MAP!$B$6),"")</f>
        <v>2026_15_NO_TB</v>
      </c>
      <c r="C228" s="2">
        <f t="array" ref="C228">IF($B228="","",INDEX(SchedZone,MATCH($A228,SchedSeq,0),MAP!$B$4))</f>
        <v>15</v>
      </c>
      <c r="D228" s="2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2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2" t="str">
        <f>IF($B228="","",IF(COUNTIF(EngGameID,$B228)&gt;1,"DUP",""))</f>
        <v/>
      </c>
      <c r="G228" s="2" t="str">
        <f>IF($B228="","",IF(OR(COUNTIFS(EngWeek,$C228,EngAway,$D228)+COUNTIFS(EngWeek,$C228,EngHome,$D228)&gt;1,COUNTIFS(EngWeek,$C228,EngAway,$E228)+COUNTIFS(EngWeek,$C228,EngHome,$E228)&gt;1),"DUP",""))</f>
        <v/>
      </c>
      <c r="H228" s="2" t="str">
        <f>IF($B228="","",IF(OR(SUMPRODUCT((CLGameID=$B228)*CLUnmatched)&gt;0,LEFT($D228,1)="⚠",LEFT($E228,1)="⚠"),"UNMATCHED",""))</f>
        <v/>
      </c>
      <c r="I228" s="2" t="str">
        <f t="array" ref="I228">IF($B228="","",IF(OR(NOT(ISNUMBER(IFERROR(INDEX(RatEff,MATCH($D228,RatTeams,0)),"x"))),NOT(ISNUMBER(IFERROR(INDEX(RatEff,MATCH($E228,RatTeams,0)),"x")))),"MISSING",""))</f>
        <v/>
      </c>
      <c r="J228" s="2" t="str">
        <f>IF($B228="","",IF(SUMPRODUCT((CLGameID=$B228)*CLPlayed*(CLUseCur+CLUsePrev&gt;0)*(CLPlays=0))&gt;0,"MISSING",""))</f>
        <v/>
      </c>
      <c r="K228" s="2" t="str">
        <f>IF($B228="","",IF(SUMPRODUCT((CLGameID=$B228)*CLPlayed*((CLOffPts&lt;-20)+(CLOffPts&gt;90)))&gt;0,"CHECK",""))</f>
        <v/>
      </c>
      <c r="L228" s="2" t="str">
        <f t="array" ref="L228">IF($B228="","",IF(OR(ABS(IFERROR(INDEX(RatEff,MATCH($D228,RatTeams,0)),0))&gt;RatingRange,ABS(IFERROR(INDEX(RatEff,MATCH($E228,RatTeams,0)),0))&gt;RatingRange),"RANGE",""))</f>
        <v/>
      </c>
      <c r="M228" s="2" t="str">
        <f t="array" ref="M228">IF($B228="","",IF(OR(IFERROR(INDEX(CalcMoveFlag,MATCH($D228,CalcTeams,0)),"")="CAPPED",IFERROR(INDEX(CalcMoveFlag,MATCH($E228,CalcTeams,0)),"")="CAPPED"),"CAPPED",""))</f>
        <v/>
      </c>
      <c r="N228" s="2" t="str">
        <f>IF($B228="","",IF(ABS(SUMIFS(AdjSpread,AdjGameID,$B228,AdjActive,1))&gt;AdjCap,"LARGE",""))</f>
        <v/>
      </c>
      <c r="O228" s="2" t="str">
        <f t="array" ref="O228">IF($B228="","",IFERROR(INDEX(MktStale,MATCH($B228,MktGameID,0)),""))</f>
        <v/>
      </c>
      <c r="P228" s="2" t="str">
        <f t="shared" si="1"/>
        <v>READY</v>
      </c>
    </row>
    <row r="229" ht="15.0" customHeight="1">
      <c r="A229" s="2">
        <v>218.0</v>
      </c>
      <c r="B229" s="2" t="str">
        <f t="array" ref="B229">IFERROR(INDEX(SchedZone,MATCH($A229,SchedSeq,0),MAP!$B$6),"")</f>
        <v>2026_15_IND_TEN</v>
      </c>
      <c r="C229" s="2">
        <f t="array" ref="C229">IF($B229="","",INDEX(SchedZone,MATCH($A229,SchedSeq,0),MAP!$B$4))</f>
        <v>15</v>
      </c>
      <c r="D229" s="2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2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2" t="str">
        <f>IF($B229="","",IF(COUNTIF(EngGameID,$B229)&gt;1,"DUP",""))</f>
        <v/>
      </c>
      <c r="G229" s="2" t="str">
        <f>IF($B229="","",IF(OR(COUNTIFS(EngWeek,$C229,EngAway,$D229)+COUNTIFS(EngWeek,$C229,EngHome,$D229)&gt;1,COUNTIFS(EngWeek,$C229,EngAway,$E229)+COUNTIFS(EngWeek,$C229,EngHome,$E229)&gt;1),"DUP",""))</f>
        <v/>
      </c>
      <c r="H229" s="2" t="str">
        <f>IF($B229="","",IF(OR(SUMPRODUCT((CLGameID=$B229)*CLUnmatched)&gt;0,LEFT($D229,1)="⚠",LEFT($E229,1)="⚠"),"UNMATCHED",""))</f>
        <v/>
      </c>
      <c r="I229" s="2" t="str">
        <f t="array" ref="I229">IF($B229="","",IF(OR(NOT(ISNUMBER(IFERROR(INDEX(RatEff,MATCH($D229,RatTeams,0)),"x"))),NOT(ISNUMBER(IFERROR(INDEX(RatEff,MATCH($E229,RatTeams,0)),"x")))),"MISSING",""))</f>
        <v/>
      </c>
      <c r="J229" s="2" t="str">
        <f>IF($B229="","",IF(SUMPRODUCT((CLGameID=$B229)*CLPlayed*(CLUseCur+CLUsePrev&gt;0)*(CLPlays=0))&gt;0,"MISSING",""))</f>
        <v/>
      </c>
      <c r="K229" s="2" t="str">
        <f>IF($B229="","",IF(SUMPRODUCT((CLGameID=$B229)*CLPlayed*((CLOffPts&lt;-20)+(CLOffPts&gt;90)))&gt;0,"CHECK",""))</f>
        <v/>
      </c>
      <c r="L229" s="2" t="str">
        <f t="array" ref="L229">IF($B229="","",IF(OR(ABS(IFERROR(INDEX(RatEff,MATCH($D229,RatTeams,0)),0))&gt;RatingRange,ABS(IFERROR(INDEX(RatEff,MATCH($E229,RatTeams,0)),0))&gt;RatingRange),"RANGE",""))</f>
        <v/>
      </c>
      <c r="M229" s="2" t="str">
        <f t="array" ref="M229">IF($B229="","",IF(OR(IFERROR(INDEX(CalcMoveFlag,MATCH($D229,CalcTeams,0)),"")="CAPPED",IFERROR(INDEX(CalcMoveFlag,MATCH($E229,CalcTeams,0)),"")="CAPPED"),"CAPPED",""))</f>
        <v/>
      </c>
      <c r="N229" s="2" t="str">
        <f>IF($B229="","",IF(ABS(SUMIFS(AdjSpread,AdjGameID,$B229,AdjActive,1))&gt;AdjCap,"LARGE",""))</f>
        <v/>
      </c>
      <c r="O229" s="2" t="str">
        <f t="array" ref="O229">IF($B229="","",IFERROR(INDEX(MktStale,MATCH($B229,MktGameID,0)),""))</f>
        <v/>
      </c>
      <c r="P229" s="2" t="str">
        <f t="shared" si="1"/>
        <v>READY</v>
      </c>
    </row>
    <row r="230" ht="15.0" customHeight="1">
      <c r="A230" s="2">
        <v>219.0</v>
      </c>
      <c r="B230" s="2" t="str">
        <f t="array" ref="B230">IFERROR(INDEX(SchedZone,MATCH($A230,SchedSeq,0),MAP!$B$6),"")</f>
        <v>2026_15_ATL_WAS</v>
      </c>
      <c r="C230" s="2">
        <f t="array" ref="C230">IF($B230="","",INDEX(SchedZone,MATCH($A230,SchedSeq,0),MAP!$B$4))</f>
        <v>15</v>
      </c>
      <c r="D230" s="2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2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2" t="str">
        <f>IF($B230="","",IF(COUNTIF(EngGameID,$B230)&gt;1,"DUP",""))</f>
        <v/>
      </c>
      <c r="G230" s="2" t="str">
        <f>IF($B230="","",IF(OR(COUNTIFS(EngWeek,$C230,EngAway,$D230)+COUNTIFS(EngWeek,$C230,EngHome,$D230)&gt;1,COUNTIFS(EngWeek,$C230,EngAway,$E230)+COUNTIFS(EngWeek,$C230,EngHome,$E230)&gt;1),"DUP",""))</f>
        <v/>
      </c>
      <c r="H230" s="2" t="str">
        <f>IF($B230="","",IF(OR(SUMPRODUCT((CLGameID=$B230)*CLUnmatched)&gt;0,LEFT($D230,1)="⚠",LEFT($E230,1)="⚠"),"UNMATCHED",""))</f>
        <v/>
      </c>
      <c r="I230" s="2" t="str">
        <f t="array" ref="I230">IF($B230="","",IF(OR(NOT(ISNUMBER(IFERROR(INDEX(RatEff,MATCH($D230,RatTeams,0)),"x"))),NOT(ISNUMBER(IFERROR(INDEX(RatEff,MATCH($E230,RatTeams,0)),"x")))),"MISSING",""))</f>
        <v/>
      </c>
      <c r="J230" s="2" t="str">
        <f>IF($B230="","",IF(SUMPRODUCT((CLGameID=$B230)*CLPlayed*(CLUseCur+CLUsePrev&gt;0)*(CLPlays=0))&gt;0,"MISSING",""))</f>
        <v/>
      </c>
      <c r="K230" s="2" t="str">
        <f>IF($B230="","",IF(SUMPRODUCT((CLGameID=$B230)*CLPlayed*((CLOffPts&lt;-20)+(CLOffPts&gt;90)))&gt;0,"CHECK",""))</f>
        <v/>
      </c>
      <c r="L230" s="2" t="str">
        <f t="array" ref="L230">IF($B230="","",IF(OR(ABS(IFERROR(INDEX(RatEff,MATCH($D230,RatTeams,0)),0))&gt;RatingRange,ABS(IFERROR(INDEX(RatEff,MATCH($E230,RatTeams,0)),0))&gt;RatingRange),"RANGE",""))</f>
        <v/>
      </c>
      <c r="M230" s="2" t="str">
        <f t="array" ref="M230">IF($B230="","",IF(OR(IFERROR(INDEX(CalcMoveFlag,MATCH($D230,CalcTeams,0)),"")="CAPPED",IFERROR(INDEX(CalcMoveFlag,MATCH($E230,CalcTeams,0)),"")="CAPPED"),"CAPPED",""))</f>
        <v/>
      </c>
      <c r="N230" s="2" t="str">
        <f>IF($B230="","",IF(ABS(SUMIFS(AdjSpread,AdjGameID,$B230,AdjActive,1))&gt;AdjCap,"LARGE",""))</f>
        <v/>
      </c>
      <c r="O230" s="2" t="str">
        <f t="array" ref="O230">IF($B230="","",IFERROR(INDEX(MktStale,MATCH($B230,MktGameID,0)),""))</f>
        <v/>
      </c>
      <c r="P230" s="2" t="str">
        <f t="shared" si="1"/>
        <v>READY</v>
      </c>
    </row>
    <row r="231" ht="15.0" customHeight="1">
      <c r="A231" s="2">
        <v>220.0</v>
      </c>
      <c r="B231" s="2" t="str">
        <f t="array" ref="B231">IFERROR(INDEX(SchedZone,MATCH($A231,SchedSeq,0),MAP!$B$6),"")</f>
        <v>2026_15_NYJ_ARI</v>
      </c>
      <c r="C231" s="2">
        <f t="array" ref="C231">IF($B231="","",INDEX(SchedZone,MATCH($A231,SchedSeq,0),MAP!$B$4))</f>
        <v>15</v>
      </c>
      <c r="D231" s="2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2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2" t="str">
        <f>IF($B231="","",IF(COUNTIF(EngGameID,$B231)&gt;1,"DUP",""))</f>
        <v/>
      </c>
      <c r="G231" s="2" t="str">
        <f>IF($B231="","",IF(OR(COUNTIFS(EngWeek,$C231,EngAway,$D231)+COUNTIFS(EngWeek,$C231,EngHome,$D231)&gt;1,COUNTIFS(EngWeek,$C231,EngAway,$E231)+COUNTIFS(EngWeek,$C231,EngHome,$E231)&gt;1),"DUP",""))</f>
        <v/>
      </c>
      <c r="H231" s="2" t="str">
        <f>IF($B231="","",IF(OR(SUMPRODUCT((CLGameID=$B231)*CLUnmatched)&gt;0,LEFT($D231,1)="⚠",LEFT($E231,1)="⚠"),"UNMATCHED",""))</f>
        <v/>
      </c>
      <c r="I231" s="2" t="str">
        <f t="array" ref="I231">IF($B231="","",IF(OR(NOT(ISNUMBER(IFERROR(INDEX(RatEff,MATCH($D231,RatTeams,0)),"x"))),NOT(ISNUMBER(IFERROR(INDEX(RatEff,MATCH($E231,RatTeams,0)),"x")))),"MISSING",""))</f>
        <v/>
      </c>
      <c r="J231" s="2" t="str">
        <f>IF($B231="","",IF(SUMPRODUCT((CLGameID=$B231)*CLPlayed*(CLUseCur+CLUsePrev&gt;0)*(CLPlays=0))&gt;0,"MISSING",""))</f>
        <v/>
      </c>
      <c r="K231" s="2" t="str">
        <f>IF($B231="","",IF(SUMPRODUCT((CLGameID=$B231)*CLPlayed*((CLOffPts&lt;-20)+(CLOffPts&gt;90)))&gt;0,"CHECK",""))</f>
        <v/>
      </c>
      <c r="L231" s="2" t="str">
        <f t="array" ref="L231">IF($B231="","",IF(OR(ABS(IFERROR(INDEX(RatEff,MATCH($D231,RatTeams,0)),0))&gt;RatingRange,ABS(IFERROR(INDEX(RatEff,MATCH($E231,RatTeams,0)),0))&gt;RatingRange),"RANGE",""))</f>
        <v/>
      </c>
      <c r="M231" s="2" t="str">
        <f t="array" ref="M231">IF($B231="","",IF(OR(IFERROR(INDEX(CalcMoveFlag,MATCH($D231,CalcTeams,0)),"")="CAPPED",IFERROR(INDEX(CalcMoveFlag,MATCH($E231,CalcTeams,0)),"")="CAPPED"),"CAPPED",""))</f>
        <v/>
      </c>
      <c r="N231" s="2" t="str">
        <f>IF($B231="","",IF(ABS(SUMIFS(AdjSpread,AdjGameID,$B231,AdjActive,1))&gt;AdjCap,"LARGE",""))</f>
        <v/>
      </c>
      <c r="O231" s="2" t="str">
        <f t="array" ref="O231">IF($B231="","",IFERROR(INDEX(MktStale,MATCH($B231,MktGameID,0)),""))</f>
        <v/>
      </c>
      <c r="P231" s="2" t="str">
        <f t="shared" si="1"/>
        <v>READY</v>
      </c>
    </row>
    <row r="232" ht="15.0" customHeight="1">
      <c r="A232" s="2">
        <v>221.0</v>
      </c>
      <c r="B232" s="2" t="str">
        <f t="array" ref="B232">IFERROR(INDEX(SchedZone,MATCH($A232,SchedSeq,0),MAP!$B$6),"")</f>
        <v>2026_15_DAL_LA</v>
      </c>
      <c r="C232" s="2">
        <f t="array" ref="C232">IF($B232="","",INDEX(SchedZone,MATCH($A232,SchedSeq,0),MAP!$B$4))</f>
        <v>15</v>
      </c>
      <c r="D232" s="2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2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2" t="str">
        <f>IF($B232="","",IF(COUNTIF(EngGameID,$B232)&gt;1,"DUP",""))</f>
        <v/>
      </c>
      <c r="G232" s="2" t="str">
        <f>IF($B232="","",IF(OR(COUNTIFS(EngWeek,$C232,EngAway,$D232)+COUNTIFS(EngWeek,$C232,EngHome,$D232)&gt;1,COUNTIFS(EngWeek,$C232,EngAway,$E232)+COUNTIFS(EngWeek,$C232,EngHome,$E232)&gt;1),"DUP",""))</f>
        <v/>
      </c>
      <c r="H232" s="2" t="str">
        <f>IF($B232="","",IF(OR(SUMPRODUCT((CLGameID=$B232)*CLUnmatched)&gt;0,LEFT($D232,1)="⚠",LEFT($E232,1)="⚠"),"UNMATCHED",""))</f>
        <v/>
      </c>
      <c r="I232" s="2" t="str">
        <f t="array" ref="I232">IF($B232="","",IF(OR(NOT(ISNUMBER(IFERROR(INDEX(RatEff,MATCH($D232,RatTeams,0)),"x"))),NOT(ISNUMBER(IFERROR(INDEX(RatEff,MATCH($E232,RatTeams,0)),"x")))),"MISSING",""))</f>
        <v/>
      </c>
      <c r="J232" s="2" t="str">
        <f>IF($B232="","",IF(SUMPRODUCT((CLGameID=$B232)*CLPlayed*(CLUseCur+CLUsePrev&gt;0)*(CLPlays=0))&gt;0,"MISSING",""))</f>
        <v/>
      </c>
      <c r="K232" s="2" t="str">
        <f>IF($B232="","",IF(SUMPRODUCT((CLGameID=$B232)*CLPlayed*((CLOffPts&lt;-20)+(CLOffPts&gt;90)))&gt;0,"CHECK",""))</f>
        <v/>
      </c>
      <c r="L232" s="2" t="str">
        <f t="array" ref="L232">IF($B232="","",IF(OR(ABS(IFERROR(INDEX(RatEff,MATCH($D232,RatTeams,0)),0))&gt;RatingRange,ABS(IFERROR(INDEX(RatEff,MATCH($E232,RatTeams,0)),0))&gt;RatingRange),"RANGE",""))</f>
        <v/>
      </c>
      <c r="M232" s="2" t="str">
        <f t="array" ref="M232">IF($B232="","",IF(OR(IFERROR(INDEX(CalcMoveFlag,MATCH($D232,CalcTeams,0)),"")="CAPPED",IFERROR(INDEX(CalcMoveFlag,MATCH($E232,CalcTeams,0)),"")="CAPPED"),"CAPPED",""))</f>
        <v/>
      </c>
      <c r="N232" s="2" t="str">
        <f>IF($B232="","",IF(ABS(SUMIFS(AdjSpread,AdjGameID,$B232,AdjActive,1))&gt;AdjCap,"LARGE",""))</f>
        <v/>
      </c>
      <c r="O232" s="2" t="str">
        <f t="array" ref="O232">IF($B232="","",IFERROR(INDEX(MktStale,MATCH($B232,MktGameID,0)),""))</f>
        <v/>
      </c>
      <c r="P232" s="2" t="str">
        <f t="shared" si="1"/>
        <v>READY</v>
      </c>
    </row>
    <row r="233" ht="15.0" customHeight="1">
      <c r="A233" s="2">
        <v>222.0</v>
      </c>
      <c r="B233" s="2" t="str">
        <f t="array" ref="B233">IFERROR(INDEX(SchedZone,MATCH($A233,SchedSeq,0),MAP!$B$6),"")</f>
        <v>2026_15_DEN_LV</v>
      </c>
      <c r="C233" s="2">
        <f t="array" ref="C233">IF($B233="","",INDEX(SchedZone,MATCH($A233,SchedSeq,0),MAP!$B$4))</f>
        <v>15</v>
      </c>
      <c r="D233" s="2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2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2" t="str">
        <f>IF($B233="","",IF(COUNTIF(EngGameID,$B233)&gt;1,"DUP",""))</f>
        <v/>
      </c>
      <c r="G233" s="2" t="str">
        <f>IF($B233="","",IF(OR(COUNTIFS(EngWeek,$C233,EngAway,$D233)+COUNTIFS(EngWeek,$C233,EngHome,$D233)&gt;1,COUNTIFS(EngWeek,$C233,EngAway,$E233)+COUNTIFS(EngWeek,$C233,EngHome,$E233)&gt;1),"DUP",""))</f>
        <v/>
      </c>
      <c r="H233" s="2" t="str">
        <f>IF($B233="","",IF(OR(SUMPRODUCT((CLGameID=$B233)*CLUnmatched)&gt;0,LEFT($D233,1)="⚠",LEFT($E233,1)="⚠"),"UNMATCHED",""))</f>
        <v/>
      </c>
      <c r="I233" s="2" t="str">
        <f t="array" ref="I233">IF($B233="","",IF(OR(NOT(ISNUMBER(IFERROR(INDEX(RatEff,MATCH($D233,RatTeams,0)),"x"))),NOT(ISNUMBER(IFERROR(INDEX(RatEff,MATCH($E233,RatTeams,0)),"x")))),"MISSING",""))</f>
        <v/>
      </c>
      <c r="J233" s="2" t="str">
        <f>IF($B233="","",IF(SUMPRODUCT((CLGameID=$B233)*CLPlayed*(CLUseCur+CLUsePrev&gt;0)*(CLPlays=0))&gt;0,"MISSING",""))</f>
        <v/>
      </c>
      <c r="K233" s="2" t="str">
        <f>IF($B233="","",IF(SUMPRODUCT((CLGameID=$B233)*CLPlayed*((CLOffPts&lt;-20)+(CLOffPts&gt;90)))&gt;0,"CHECK",""))</f>
        <v/>
      </c>
      <c r="L233" s="2" t="str">
        <f t="array" ref="L233">IF($B233="","",IF(OR(ABS(IFERROR(INDEX(RatEff,MATCH($D233,RatTeams,0)),0))&gt;RatingRange,ABS(IFERROR(INDEX(RatEff,MATCH($E233,RatTeams,0)),0))&gt;RatingRange),"RANGE",""))</f>
        <v/>
      </c>
      <c r="M233" s="2" t="str">
        <f t="array" ref="M233">IF($B233="","",IF(OR(IFERROR(INDEX(CalcMoveFlag,MATCH($D233,CalcTeams,0)),"")="CAPPED",IFERROR(INDEX(CalcMoveFlag,MATCH($E233,CalcTeams,0)),"")="CAPPED"),"CAPPED",""))</f>
        <v/>
      </c>
      <c r="N233" s="2" t="str">
        <f>IF($B233="","",IF(ABS(SUMIFS(AdjSpread,AdjGameID,$B233,AdjActive,1))&gt;AdjCap,"LARGE",""))</f>
        <v/>
      </c>
      <c r="O233" s="2" t="str">
        <f t="array" ref="O233">IF($B233="","",IFERROR(INDEX(MktStale,MATCH($B233,MktGameID,0)),""))</f>
        <v/>
      </c>
      <c r="P233" s="2" t="str">
        <f t="shared" si="1"/>
        <v>READY</v>
      </c>
    </row>
    <row r="234" ht="15.0" customHeight="1">
      <c r="A234" s="2">
        <v>223.0</v>
      </c>
      <c r="B234" s="2" t="str">
        <f t="array" ref="B234">IFERROR(INDEX(SchedZone,MATCH($A234,SchedSeq,0),MAP!$B$6),"")</f>
        <v>2026_15_DET_MIN</v>
      </c>
      <c r="C234" s="2">
        <f t="array" ref="C234">IF($B234="","",INDEX(SchedZone,MATCH($A234,SchedSeq,0),MAP!$B$4))</f>
        <v>15</v>
      </c>
      <c r="D234" s="2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2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2" t="str">
        <f>IF($B234="","",IF(COUNTIF(EngGameID,$B234)&gt;1,"DUP",""))</f>
        <v/>
      </c>
      <c r="G234" s="2" t="str">
        <f>IF($B234="","",IF(OR(COUNTIFS(EngWeek,$C234,EngAway,$D234)+COUNTIFS(EngWeek,$C234,EngHome,$D234)&gt;1,COUNTIFS(EngWeek,$C234,EngAway,$E234)+COUNTIFS(EngWeek,$C234,EngHome,$E234)&gt;1),"DUP",""))</f>
        <v/>
      </c>
      <c r="H234" s="2" t="str">
        <f>IF($B234="","",IF(OR(SUMPRODUCT((CLGameID=$B234)*CLUnmatched)&gt;0,LEFT($D234,1)="⚠",LEFT($E234,1)="⚠"),"UNMATCHED",""))</f>
        <v/>
      </c>
      <c r="I234" s="2" t="str">
        <f t="array" ref="I234">IF($B234="","",IF(OR(NOT(ISNUMBER(IFERROR(INDEX(RatEff,MATCH($D234,RatTeams,0)),"x"))),NOT(ISNUMBER(IFERROR(INDEX(RatEff,MATCH($E234,RatTeams,0)),"x")))),"MISSING",""))</f>
        <v/>
      </c>
      <c r="J234" s="2" t="str">
        <f>IF($B234="","",IF(SUMPRODUCT((CLGameID=$B234)*CLPlayed*(CLUseCur+CLUsePrev&gt;0)*(CLPlays=0))&gt;0,"MISSING",""))</f>
        <v/>
      </c>
      <c r="K234" s="2" t="str">
        <f>IF($B234="","",IF(SUMPRODUCT((CLGameID=$B234)*CLPlayed*((CLOffPts&lt;-20)+(CLOffPts&gt;90)))&gt;0,"CHECK",""))</f>
        <v/>
      </c>
      <c r="L234" s="2" t="str">
        <f t="array" ref="L234">IF($B234="","",IF(OR(ABS(IFERROR(INDEX(RatEff,MATCH($D234,RatTeams,0)),0))&gt;RatingRange,ABS(IFERROR(INDEX(RatEff,MATCH($E234,RatTeams,0)),0))&gt;RatingRange),"RANGE",""))</f>
        <v/>
      </c>
      <c r="M234" s="2" t="str">
        <f t="array" ref="M234">IF($B234="","",IF(OR(IFERROR(INDEX(CalcMoveFlag,MATCH($D234,CalcTeams,0)),"")="CAPPED",IFERROR(INDEX(CalcMoveFlag,MATCH($E234,CalcTeams,0)),"")="CAPPED"),"CAPPED",""))</f>
        <v/>
      </c>
      <c r="N234" s="2" t="str">
        <f>IF($B234="","",IF(ABS(SUMIFS(AdjSpread,AdjGameID,$B234,AdjActive,1))&gt;AdjCap,"LARGE",""))</f>
        <v/>
      </c>
      <c r="O234" s="2" t="str">
        <f t="array" ref="O234">IF($B234="","",IFERROR(INDEX(MktStale,MATCH($B234,MktGameID,0)),""))</f>
        <v/>
      </c>
      <c r="P234" s="2" t="str">
        <f t="shared" si="1"/>
        <v>READY</v>
      </c>
    </row>
    <row r="235" ht="15.0" customHeight="1">
      <c r="A235" s="2">
        <v>224.0</v>
      </c>
      <c r="B235" s="2" t="str">
        <f t="array" ref="B235">IFERROR(INDEX(SchedZone,MATCH($A235,SchedSeq,0),MAP!$B$6),"")</f>
        <v>2026_15_NE_KC</v>
      </c>
      <c r="C235" s="2">
        <f t="array" ref="C235">IF($B235="","",INDEX(SchedZone,MATCH($A235,SchedSeq,0),MAP!$B$4))</f>
        <v>15</v>
      </c>
      <c r="D235" s="2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2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2" t="str">
        <f>IF($B235="","",IF(COUNTIF(EngGameID,$B235)&gt;1,"DUP",""))</f>
        <v/>
      </c>
      <c r="G235" s="2" t="str">
        <f>IF($B235="","",IF(OR(COUNTIFS(EngWeek,$C235,EngAway,$D235)+COUNTIFS(EngWeek,$C235,EngHome,$D235)&gt;1,COUNTIFS(EngWeek,$C235,EngAway,$E235)+COUNTIFS(EngWeek,$C235,EngHome,$E235)&gt;1),"DUP",""))</f>
        <v/>
      </c>
      <c r="H235" s="2" t="str">
        <f>IF($B235="","",IF(OR(SUMPRODUCT((CLGameID=$B235)*CLUnmatched)&gt;0,LEFT($D235,1)="⚠",LEFT($E235,1)="⚠"),"UNMATCHED",""))</f>
        <v/>
      </c>
      <c r="I235" s="2" t="str">
        <f t="array" ref="I235">IF($B235="","",IF(OR(NOT(ISNUMBER(IFERROR(INDEX(RatEff,MATCH($D235,RatTeams,0)),"x"))),NOT(ISNUMBER(IFERROR(INDEX(RatEff,MATCH($E235,RatTeams,0)),"x")))),"MISSING",""))</f>
        <v/>
      </c>
      <c r="J235" s="2" t="str">
        <f>IF($B235="","",IF(SUMPRODUCT((CLGameID=$B235)*CLPlayed*(CLUseCur+CLUsePrev&gt;0)*(CLPlays=0))&gt;0,"MISSING",""))</f>
        <v/>
      </c>
      <c r="K235" s="2" t="str">
        <f>IF($B235="","",IF(SUMPRODUCT((CLGameID=$B235)*CLPlayed*((CLOffPts&lt;-20)+(CLOffPts&gt;90)))&gt;0,"CHECK",""))</f>
        <v/>
      </c>
      <c r="L235" s="2" t="str">
        <f t="array" ref="L235">IF($B235="","",IF(OR(ABS(IFERROR(INDEX(RatEff,MATCH($D235,RatTeams,0)),0))&gt;RatingRange,ABS(IFERROR(INDEX(RatEff,MATCH($E235,RatTeams,0)),0))&gt;RatingRange),"RANGE",""))</f>
        <v/>
      </c>
      <c r="M235" s="2" t="str">
        <f t="array" ref="M235">IF($B235="","",IF(OR(IFERROR(INDEX(CalcMoveFlag,MATCH($D235,CalcTeams,0)),"")="CAPPED",IFERROR(INDEX(CalcMoveFlag,MATCH($E235,CalcTeams,0)),"")="CAPPED"),"CAPPED",""))</f>
        <v/>
      </c>
      <c r="N235" s="2" t="str">
        <f>IF($B235="","",IF(ABS(SUMIFS(AdjSpread,AdjGameID,$B235,AdjActive,1))&gt;AdjCap,"LARGE",""))</f>
        <v/>
      </c>
      <c r="O235" s="2" t="str">
        <f t="array" ref="O235">IF($B235="","",IFERROR(INDEX(MktStale,MATCH($B235,MktGameID,0)),""))</f>
        <v/>
      </c>
      <c r="P235" s="2" t="str">
        <f t="shared" si="1"/>
        <v>READY</v>
      </c>
    </row>
    <row r="236" ht="15.0" customHeight="1">
      <c r="A236" s="2">
        <v>225.0</v>
      </c>
      <c r="B236" s="2" t="str">
        <f t="array" ref="B236">IFERROR(INDEX(SchedZone,MATCH($A236,SchedSeq,0),MAP!$B$6),"")</f>
        <v>2026_16_HOU_PHI</v>
      </c>
      <c r="C236" s="2">
        <f t="array" ref="C236">IF($B236="","",INDEX(SchedZone,MATCH($A236,SchedSeq,0),MAP!$B$4))</f>
        <v>16</v>
      </c>
      <c r="D236" s="2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2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2" t="str">
        <f>IF($B236="","",IF(COUNTIF(EngGameID,$B236)&gt;1,"DUP",""))</f>
        <v/>
      </c>
      <c r="G236" s="2" t="str">
        <f>IF($B236="","",IF(OR(COUNTIFS(EngWeek,$C236,EngAway,$D236)+COUNTIFS(EngWeek,$C236,EngHome,$D236)&gt;1,COUNTIFS(EngWeek,$C236,EngAway,$E236)+COUNTIFS(EngWeek,$C236,EngHome,$E236)&gt;1),"DUP",""))</f>
        <v/>
      </c>
      <c r="H236" s="2" t="str">
        <f>IF($B236="","",IF(OR(SUMPRODUCT((CLGameID=$B236)*CLUnmatched)&gt;0,LEFT($D236,1)="⚠",LEFT($E236,1)="⚠"),"UNMATCHED",""))</f>
        <v/>
      </c>
      <c r="I236" s="2" t="str">
        <f t="array" ref="I236">IF($B236="","",IF(OR(NOT(ISNUMBER(IFERROR(INDEX(RatEff,MATCH($D236,RatTeams,0)),"x"))),NOT(ISNUMBER(IFERROR(INDEX(RatEff,MATCH($E236,RatTeams,0)),"x")))),"MISSING",""))</f>
        <v/>
      </c>
      <c r="J236" s="2" t="str">
        <f>IF($B236="","",IF(SUMPRODUCT((CLGameID=$B236)*CLPlayed*(CLUseCur+CLUsePrev&gt;0)*(CLPlays=0))&gt;0,"MISSING",""))</f>
        <v/>
      </c>
      <c r="K236" s="2" t="str">
        <f>IF($B236="","",IF(SUMPRODUCT((CLGameID=$B236)*CLPlayed*((CLOffPts&lt;-20)+(CLOffPts&gt;90)))&gt;0,"CHECK",""))</f>
        <v/>
      </c>
      <c r="L236" s="2" t="str">
        <f t="array" ref="L236">IF($B236="","",IF(OR(ABS(IFERROR(INDEX(RatEff,MATCH($D236,RatTeams,0)),0))&gt;RatingRange,ABS(IFERROR(INDEX(RatEff,MATCH($E236,RatTeams,0)),0))&gt;RatingRange),"RANGE",""))</f>
        <v/>
      </c>
      <c r="M236" s="2" t="str">
        <f t="array" ref="M236">IF($B236="","",IF(OR(IFERROR(INDEX(CalcMoveFlag,MATCH($D236,CalcTeams,0)),"")="CAPPED",IFERROR(INDEX(CalcMoveFlag,MATCH($E236,CalcTeams,0)),"")="CAPPED"),"CAPPED",""))</f>
        <v/>
      </c>
      <c r="N236" s="2" t="str">
        <f>IF($B236="","",IF(ABS(SUMIFS(AdjSpread,AdjGameID,$B236,AdjActive,1))&gt;AdjCap,"LARGE",""))</f>
        <v/>
      </c>
      <c r="O236" s="2" t="str">
        <f t="array" ref="O236">IF($B236="","",IFERROR(INDEX(MktStale,MATCH($B236,MktGameID,0)),""))</f>
        <v/>
      </c>
      <c r="P236" s="2" t="str">
        <f t="shared" si="1"/>
        <v>READY</v>
      </c>
    </row>
    <row r="237" ht="15.0" customHeight="1">
      <c r="A237" s="2">
        <v>226.0</v>
      </c>
      <c r="B237" s="2" t="str">
        <f t="array" ref="B237">IFERROR(INDEX(SchedZone,MATCH($A237,SchedSeq,0),MAP!$B$6),"")</f>
        <v>2026_16_GB_CHI</v>
      </c>
      <c r="C237" s="2">
        <f t="array" ref="C237">IF($B237="","",INDEX(SchedZone,MATCH($A237,SchedSeq,0),MAP!$B$4))</f>
        <v>16</v>
      </c>
      <c r="D237" s="2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2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2" t="str">
        <f>IF($B237="","",IF(COUNTIF(EngGameID,$B237)&gt;1,"DUP",""))</f>
        <v/>
      </c>
      <c r="G237" s="2" t="str">
        <f>IF($B237="","",IF(OR(COUNTIFS(EngWeek,$C237,EngAway,$D237)+COUNTIFS(EngWeek,$C237,EngHome,$D237)&gt;1,COUNTIFS(EngWeek,$C237,EngAway,$E237)+COUNTIFS(EngWeek,$C237,EngHome,$E237)&gt;1),"DUP",""))</f>
        <v/>
      </c>
      <c r="H237" s="2" t="str">
        <f>IF($B237="","",IF(OR(SUMPRODUCT((CLGameID=$B237)*CLUnmatched)&gt;0,LEFT($D237,1)="⚠",LEFT($E237,1)="⚠"),"UNMATCHED",""))</f>
        <v/>
      </c>
      <c r="I237" s="2" t="str">
        <f t="array" ref="I237">IF($B237="","",IF(OR(NOT(ISNUMBER(IFERROR(INDEX(RatEff,MATCH($D237,RatTeams,0)),"x"))),NOT(ISNUMBER(IFERROR(INDEX(RatEff,MATCH($E237,RatTeams,0)),"x")))),"MISSING",""))</f>
        <v/>
      </c>
      <c r="J237" s="2" t="str">
        <f>IF($B237="","",IF(SUMPRODUCT((CLGameID=$B237)*CLPlayed*(CLUseCur+CLUsePrev&gt;0)*(CLPlays=0))&gt;0,"MISSING",""))</f>
        <v/>
      </c>
      <c r="K237" s="2" t="str">
        <f>IF($B237="","",IF(SUMPRODUCT((CLGameID=$B237)*CLPlayed*((CLOffPts&lt;-20)+(CLOffPts&gt;90)))&gt;0,"CHECK",""))</f>
        <v/>
      </c>
      <c r="L237" s="2" t="str">
        <f t="array" ref="L237">IF($B237="","",IF(OR(ABS(IFERROR(INDEX(RatEff,MATCH($D237,RatTeams,0)),0))&gt;RatingRange,ABS(IFERROR(INDEX(RatEff,MATCH($E237,RatTeams,0)),0))&gt;RatingRange),"RANGE",""))</f>
        <v/>
      </c>
      <c r="M237" s="2" t="str">
        <f t="array" ref="M237">IF($B237="","",IF(OR(IFERROR(INDEX(CalcMoveFlag,MATCH($D237,CalcTeams,0)),"")="CAPPED",IFERROR(INDEX(CalcMoveFlag,MATCH($E237,CalcTeams,0)),"")="CAPPED"),"CAPPED",""))</f>
        <v/>
      </c>
      <c r="N237" s="2" t="str">
        <f>IF($B237="","",IF(ABS(SUMIFS(AdjSpread,AdjGameID,$B237,AdjActive,1))&gt;AdjCap,"LARGE",""))</f>
        <v/>
      </c>
      <c r="O237" s="2" t="str">
        <f t="array" ref="O237">IF($B237="","",IFERROR(INDEX(MktStale,MATCH($B237,MktGameID,0)),""))</f>
        <v/>
      </c>
      <c r="P237" s="2" t="str">
        <f t="shared" si="1"/>
        <v>READY</v>
      </c>
    </row>
    <row r="238" ht="15.0" customHeight="1">
      <c r="A238" s="2">
        <v>227.0</v>
      </c>
      <c r="B238" s="2" t="str">
        <f t="array" ref="B238">IFERROR(INDEX(SchedZone,MATCH($A238,SchedSeq,0),MAP!$B$6),"")</f>
        <v>2026_16_BUF_DEN</v>
      </c>
      <c r="C238" s="2">
        <f t="array" ref="C238">IF($B238="","",INDEX(SchedZone,MATCH($A238,SchedSeq,0),MAP!$B$4))</f>
        <v>16</v>
      </c>
      <c r="D238" s="2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2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2" t="str">
        <f>IF($B238="","",IF(COUNTIF(EngGameID,$B238)&gt;1,"DUP",""))</f>
        <v/>
      </c>
      <c r="G238" s="2" t="str">
        <f>IF($B238="","",IF(OR(COUNTIFS(EngWeek,$C238,EngAway,$D238)+COUNTIFS(EngWeek,$C238,EngHome,$D238)&gt;1,COUNTIFS(EngWeek,$C238,EngAway,$E238)+COUNTIFS(EngWeek,$C238,EngHome,$E238)&gt;1),"DUP",""))</f>
        <v/>
      </c>
      <c r="H238" s="2" t="str">
        <f>IF($B238="","",IF(OR(SUMPRODUCT((CLGameID=$B238)*CLUnmatched)&gt;0,LEFT($D238,1)="⚠",LEFT($E238,1)="⚠"),"UNMATCHED",""))</f>
        <v/>
      </c>
      <c r="I238" s="2" t="str">
        <f t="array" ref="I238">IF($B238="","",IF(OR(NOT(ISNUMBER(IFERROR(INDEX(RatEff,MATCH($D238,RatTeams,0)),"x"))),NOT(ISNUMBER(IFERROR(INDEX(RatEff,MATCH($E238,RatTeams,0)),"x")))),"MISSING",""))</f>
        <v/>
      </c>
      <c r="J238" s="2" t="str">
        <f>IF($B238="","",IF(SUMPRODUCT((CLGameID=$B238)*CLPlayed*(CLUseCur+CLUsePrev&gt;0)*(CLPlays=0))&gt;0,"MISSING",""))</f>
        <v/>
      </c>
      <c r="K238" s="2" t="str">
        <f>IF($B238="","",IF(SUMPRODUCT((CLGameID=$B238)*CLPlayed*((CLOffPts&lt;-20)+(CLOffPts&gt;90)))&gt;0,"CHECK",""))</f>
        <v/>
      </c>
      <c r="L238" s="2" t="str">
        <f t="array" ref="L238">IF($B238="","",IF(OR(ABS(IFERROR(INDEX(RatEff,MATCH($D238,RatTeams,0)),0))&gt;RatingRange,ABS(IFERROR(INDEX(RatEff,MATCH($E238,RatTeams,0)),0))&gt;RatingRange),"RANGE",""))</f>
        <v/>
      </c>
      <c r="M238" s="2" t="str">
        <f t="array" ref="M238">IF($B238="","",IF(OR(IFERROR(INDEX(CalcMoveFlag,MATCH($D238,CalcTeams,0)),"")="CAPPED",IFERROR(INDEX(CalcMoveFlag,MATCH($E238,CalcTeams,0)),"")="CAPPED"),"CAPPED",""))</f>
        <v/>
      </c>
      <c r="N238" s="2" t="str">
        <f>IF($B238="","",IF(ABS(SUMIFS(AdjSpread,AdjGameID,$B238,AdjActive,1))&gt;AdjCap,"LARGE",""))</f>
        <v/>
      </c>
      <c r="O238" s="2" t="str">
        <f t="array" ref="O238">IF($B238="","",IFERROR(INDEX(MktStale,MATCH($B238,MktGameID,0)),""))</f>
        <v/>
      </c>
      <c r="P238" s="2" t="str">
        <f t="shared" si="1"/>
        <v>READY</v>
      </c>
    </row>
    <row r="239" ht="15.0" customHeight="1">
      <c r="A239" s="2">
        <v>228.0</v>
      </c>
      <c r="B239" s="2" t="str">
        <f t="array" ref="B239">IFERROR(INDEX(SchedZone,MATCH($A239,SchedSeq,0),MAP!$B$6),"")</f>
        <v>2026_16_LA_SEA</v>
      </c>
      <c r="C239" s="2">
        <f t="array" ref="C239">IF($B239="","",INDEX(SchedZone,MATCH($A239,SchedSeq,0),MAP!$B$4))</f>
        <v>16</v>
      </c>
      <c r="D239" s="2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2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2" t="str">
        <f>IF($B239="","",IF(COUNTIF(EngGameID,$B239)&gt;1,"DUP",""))</f>
        <v/>
      </c>
      <c r="G239" s="2" t="str">
        <f>IF($B239="","",IF(OR(COUNTIFS(EngWeek,$C239,EngAway,$D239)+COUNTIFS(EngWeek,$C239,EngHome,$D239)&gt;1,COUNTIFS(EngWeek,$C239,EngAway,$E239)+COUNTIFS(EngWeek,$C239,EngHome,$E239)&gt;1),"DUP",""))</f>
        <v/>
      </c>
      <c r="H239" s="2" t="str">
        <f>IF($B239="","",IF(OR(SUMPRODUCT((CLGameID=$B239)*CLUnmatched)&gt;0,LEFT($D239,1)="⚠",LEFT($E239,1)="⚠"),"UNMATCHED",""))</f>
        <v/>
      </c>
      <c r="I239" s="2" t="str">
        <f t="array" ref="I239">IF($B239="","",IF(OR(NOT(ISNUMBER(IFERROR(INDEX(RatEff,MATCH($D239,RatTeams,0)),"x"))),NOT(ISNUMBER(IFERROR(INDEX(RatEff,MATCH($E239,RatTeams,0)),"x")))),"MISSING",""))</f>
        <v/>
      </c>
      <c r="J239" s="2" t="str">
        <f>IF($B239="","",IF(SUMPRODUCT((CLGameID=$B239)*CLPlayed*(CLUseCur+CLUsePrev&gt;0)*(CLPlays=0))&gt;0,"MISSING",""))</f>
        <v/>
      </c>
      <c r="K239" s="2" t="str">
        <f>IF($B239="","",IF(SUMPRODUCT((CLGameID=$B239)*CLPlayed*((CLOffPts&lt;-20)+(CLOffPts&gt;90)))&gt;0,"CHECK",""))</f>
        <v/>
      </c>
      <c r="L239" s="2" t="str">
        <f t="array" ref="L239">IF($B239="","",IF(OR(ABS(IFERROR(INDEX(RatEff,MATCH($D239,RatTeams,0)),0))&gt;RatingRange,ABS(IFERROR(INDEX(RatEff,MATCH($E239,RatTeams,0)),0))&gt;RatingRange),"RANGE",""))</f>
        <v/>
      </c>
      <c r="M239" s="2" t="str">
        <f t="array" ref="M239">IF($B239="","",IF(OR(IFERROR(INDEX(CalcMoveFlag,MATCH($D239,CalcTeams,0)),"")="CAPPED",IFERROR(INDEX(CalcMoveFlag,MATCH($E239,CalcTeams,0)),"")="CAPPED"),"CAPPED",""))</f>
        <v/>
      </c>
      <c r="N239" s="2" t="str">
        <f>IF($B239="","",IF(ABS(SUMIFS(AdjSpread,AdjGameID,$B239,AdjActive,1))&gt;AdjCap,"LARGE",""))</f>
        <v/>
      </c>
      <c r="O239" s="2" t="str">
        <f t="array" ref="O239">IF($B239="","",IFERROR(INDEX(MktStale,MATCH($B239,MktGameID,0)),""))</f>
        <v/>
      </c>
      <c r="P239" s="2" t="str">
        <f t="shared" si="1"/>
        <v>READY</v>
      </c>
    </row>
    <row r="240" ht="15.0" customHeight="1">
      <c r="A240" s="2">
        <v>229.0</v>
      </c>
      <c r="B240" s="2" t="str">
        <f t="array" ref="B240">IFERROR(INDEX(SchedZone,MATCH($A240,SchedSeq,0),MAP!$B$6),"")</f>
        <v>2026_16_TB_ATL</v>
      </c>
      <c r="C240" s="2">
        <f t="array" ref="C240">IF($B240="","",INDEX(SchedZone,MATCH($A240,SchedSeq,0),MAP!$B$4))</f>
        <v>16</v>
      </c>
      <c r="D240" s="2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2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2" t="str">
        <f>IF($B240="","",IF(COUNTIF(EngGameID,$B240)&gt;1,"DUP",""))</f>
        <v/>
      </c>
      <c r="G240" s="2" t="str">
        <f>IF($B240="","",IF(OR(COUNTIFS(EngWeek,$C240,EngAway,$D240)+COUNTIFS(EngWeek,$C240,EngHome,$D240)&gt;1,COUNTIFS(EngWeek,$C240,EngAway,$E240)+COUNTIFS(EngWeek,$C240,EngHome,$E240)&gt;1),"DUP",""))</f>
        <v/>
      </c>
      <c r="H240" s="2" t="str">
        <f>IF($B240="","",IF(OR(SUMPRODUCT((CLGameID=$B240)*CLUnmatched)&gt;0,LEFT($D240,1)="⚠",LEFT($E240,1)="⚠"),"UNMATCHED",""))</f>
        <v/>
      </c>
      <c r="I240" s="2" t="str">
        <f t="array" ref="I240">IF($B240="","",IF(OR(NOT(ISNUMBER(IFERROR(INDEX(RatEff,MATCH($D240,RatTeams,0)),"x"))),NOT(ISNUMBER(IFERROR(INDEX(RatEff,MATCH($E240,RatTeams,0)),"x")))),"MISSING",""))</f>
        <v/>
      </c>
      <c r="J240" s="2" t="str">
        <f>IF($B240="","",IF(SUMPRODUCT((CLGameID=$B240)*CLPlayed*(CLUseCur+CLUsePrev&gt;0)*(CLPlays=0))&gt;0,"MISSING",""))</f>
        <v/>
      </c>
      <c r="K240" s="2" t="str">
        <f>IF($B240="","",IF(SUMPRODUCT((CLGameID=$B240)*CLPlayed*((CLOffPts&lt;-20)+(CLOffPts&gt;90)))&gt;0,"CHECK",""))</f>
        <v/>
      </c>
      <c r="L240" s="2" t="str">
        <f t="array" ref="L240">IF($B240="","",IF(OR(ABS(IFERROR(INDEX(RatEff,MATCH($D240,RatTeams,0)),0))&gt;RatingRange,ABS(IFERROR(INDEX(RatEff,MATCH($E240,RatTeams,0)),0))&gt;RatingRange),"RANGE",""))</f>
        <v/>
      </c>
      <c r="M240" s="2" t="str">
        <f t="array" ref="M240">IF($B240="","",IF(OR(IFERROR(INDEX(CalcMoveFlag,MATCH($D240,CalcTeams,0)),"")="CAPPED",IFERROR(INDEX(CalcMoveFlag,MATCH($E240,CalcTeams,0)),"")="CAPPED"),"CAPPED",""))</f>
        <v/>
      </c>
      <c r="N240" s="2" t="str">
        <f>IF($B240="","",IF(ABS(SUMIFS(AdjSpread,AdjGameID,$B240,AdjActive,1))&gt;AdjCap,"LARGE",""))</f>
        <v/>
      </c>
      <c r="O240" s="2" t="str">
        <f t="array" ref="O240">IF($B240="","",IFERROR(INDEX(MktStale,MATCH($B240,MktGameID,0)),""))</f>
        <v/>
      </c>
      <c r="P240" s="2" t="str">
        <f t="shared" si="1"/>
        <v>READY</v>
      </c>
    </row>
    <row r="241" ht="15.0" customHeight="1">
      <c r="A241" s="2">
        <v>230.0</v>
      </c>
      <c r="B241" s="2" t="str">
        <f t="array" ref="B241">IFERROR(INDEX(SchedZone,MATCH($A241,SchedSeq,0),MAP!$B$6),"")</f>
        <v>2026_16_CLE_BAL</v>
      </c>
      <c r="C241" s="2">
        <f t="array" ref="C241">IF($B241="","",INDEX(SchedZone,MATCH($A241,SchedSeq,0),MAP!$B$4))</f>
        <v>16</v>
      </c>
      <c r="D241" s="2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2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2" t="str">
        <f>IF($B241="","",IF(COUNTIF(EngGameID,$B241)&gt;1,"DUP",""))</f>
        <v/>
      </c>
      <c r="G241" s="2" t="str">
        <f>IF($B241="","",IF(OR(COUNTIFS(EngWeek,$C241,EngAway,$D241)+COUNTIFS(EngWeek,$C241,EngHome,$D241)&gt;1,COUNTIFS(EngWeek,$C241,EngAway,$E241)+COUNTIFS(EngWeek,$C241,EngHome,$E241)&gt;1),"DUP",""))</f>
        <v/>
      </c>
      <c r="H241" s="2" t="str">
        <f>IF($B241="","",IF(OR(SUMPRODUCT((CLGameID=$B241)*CLUnmatched)&gt;0,LEFT($D241,1)="⚠",LEFT($E241,1)="⚠"),"UNMATCHED",""))</f>
        <v/>
      </c>
      <c r="I241" s="2" t="str">
        <f t="array" ref="I241">IF($B241="","",IF(OR(NOT(ISNUMBER(IFERROR(INDEX(RatEff,MATCH($D241,RatTeams,0)),"x"))),NOT(ISNUMBER(IFERROR(INDEX(RatEff,MATCH($E241,RatTeams,0)),"x")))),"MISSING",""))</f>
        <v/>
      </c>
      <c r="J241" s="2" t="str">
        <f>IF($B241="","",IF(SUMPRODUCT((CLGameID=$B241)*CLPlayed*(CLUseCur+CLUsePrev&gt;0)*(CLPlays=0))&gt;0,"MISSING",""))</f>
        <v/>
      </c>
      <c r="K241" s="2" t="str">
        <f>IF($B241="","",IF(SUMPRODUCT((CLGameID=$B241)*CLPlayed*((CLOffPts&lt;-20)+(CLOffPts&gt;90)))&gt;0,"CHECK",""))</f>
        <v/>
      </c>
      <c r="L241" s="2" t="str">
        <f t="array" ref="L241">IF($B241="","",IF(OR(ABS(IFERROR(INDEX(RatEff,MATCH($D241,RatTeams,0)),0))&gt;RatingRange,ABS(IFERROR(INDEX(RatEff,MATCH($E241,RatTeams,0)),0))&gt;RatingRange),"RANGE",""))</f>
        <v/>
      </c>
      <c r="M241" s="2" t="str">
        <f t="array" ref="M241">IF($B241="","",IF(OR(IFERROR(INDEX(CalcMoveFlag,MATCH($D241,CalcTeams,0)),"")="CAPPED",IFERROR(INDEX(CalcMoveFlag,MATCH($E241,CalcTeams,0)),"")="CAPPED"),"CAPPED",""))</f>
        <v/>
      </c>
      <c r="N241" s="2" t="str">
        <f>IF($B241="","",IF(ABS(SUMIFS(AdjSpread,AdjGameID,$B241,AdjActive,1))&gt;AdjCap,"LARGE",""))</f>
        <v/>
      </c>
      <c r="O241" s="2" t="str">
        <f t="array" ref="O241">IF($B241="","",IFERROR(INDEX(MktStale,MATCH($B241,MktGameID,0)),""))</f>
        <v/>
      </c>
      <c r="P241" s="2" t="str">
        <f t="shared" si="1"/>
        <v>READY</v>
      </c>
    </row>
    <row r="242" ht="15.0" customHeight="1">
      <c r="A242" s="2">
        <v>231.0</v>
      </c>
      <c r="B242" s="2" t="str">
        <f t="array" ref="B242">IFERROR(INDEX(SchedZone,MATCH($A242,SchedSeq,0),MAP!$B$6),"")</f>
        <v>2026_16_CIN_IND</v>
      </c>
      <c r="C242" s="2">
        <f t="array" ref="C242">IF($B242="","",INDEX(SchedZone,MATCH($A242,SchedSeq,0),MAP!$B$4))</f>
        <v>16</v>
      </c>
      <c r="D242" s="2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2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2" t="str">
        <f>IF($B242="","",IF(COUNTIF(EngGameID,$B242)&gt;1,"DUP",""))</f>
        <v/>
      </c>
      <c r="G242" s="2" t="str">
        <f>IF($B242="","",IF(OR(COUNTIFS(EngWeek,$C242,EngAway,$D242)+COUNTIFS(EngWeek,$C242,EngHome,$D242)&gt;1,COUNTIFS(EngWeek,$C242,EngAway,$E242)+COUNTIFS(EngWeek,$C242,EngHome,$E242)&gt;1),"DUP",""))</f>
        <v/>
      </c>
      <c r="H242" s="2" t="str">
        <f>IF($B242="","",IF(OR(SUMPRODUCT((CLGameID=$B242)*CLUnmatched)&gt;0,LEFT($D242,1)="⚠",LEFT($E242,1)="⚠"),"UNMATCHED",""))</f>
        <v/>
      </c>
      <c r="I242" s="2" t="str">
        <f t="array" ref="I242">IF($B242="","",IF(OR(NOT(ISNUMBER(IFERROR(INDEX(RatEff,MATCH($D242,RatTeams,0)),"x"))),NOT(ISNUMBER(IFERROR(INDEX(RatEff,MATCH($E242,RatTeams,0)),"x")))),"MISSING",""))</f>
        <v/>
      </c>
      <c r="J242" s="2" t="str">
        <f>IF($B242="","",IF(SUMPRODUCT((CLGameID=$B242)*CLPlayed*(CLUseCur+CLUsePrev&gt;0)*(CLPlays=0))&gt;0,"MISSING",""))</f>
        <v/>
      </c>
      <c r="K242" s="2" t="str">
        <f>IF($B242="","",IF(SUMPRODUCT((CLGameID=$B242)*CLPlayed*((CLOffPts&lt;-20)+(CLOffPts&gt;90)))&gt;0,"CHECK",""))</f>
        <v/>
      </c>
      <c r="L242" s="2" t="str">
        <f t="array" ref="L242">IF($B242="","",IF(OR(ABS(IFERROR(INDEX(RatEff,MATCH($D242,RatTeams,0)),0))&gt;RatingRange,ABS(IFERROR(INDEX(RatEff,MATCH($E242,RatTeams,0)),0))&gt;RatingRange),"RANGE",""))</f>
        <v/>
      </c>
      <c r="M242" s="2" t="str">
        <f t="array" ref="M242">IF($B242="","",IF(OR(IFERROR(INDEX(CalcMoveFlag,MATCH($D242,CalcTeams,0)),"")="CAPPED",IFERROR(INDEX(CalcMoveFlag,MATCH($E242,CalcTeams,0)),"")="CAPPED"),"CAPPED",""))</f>
        <v/>
      </c>
      <c r="N242" s="2" t="str">
        <f>IF($B242="","",IF(ABS(SUMIFS(AdjSpread,AdjGameID,$B242,AdjActive,1))&gt;AdjCap,"LARGE",""))</f>
        <v/>
      </c>
      <c r="O242" s="2" t="str">
        <f t="array" ref="O242">IF($B242="","",IFERROR(INDEX(MktStale,MATCH($B242,MktGameID,0)),""))</f>
        <v/>
      </c>
      <c r="P242" s="2" t="str">
        <f t="shared" si="1"/>
        <v>READY</v>
      </c>
    </row>
    <row r="243" ht="15.0" customHeight="1">
      <c r="A243" s="2">
        <v>232.0</v>
      </c>
      <c r="B243" s="2" t="str">
        <f t="array" ref="B243">IFERROR(INDEX(SchedZone,MATCH($A243,SchedSeq,0),MAP!$B$6),"")</f>
        <v>2026_16_LAC_MIA</v>
      </c>
      <c r="C243" s="2">
        <f t="array" ref="C243">IF($B243="","",INDEX(SchedZone,MATCH($A243,SchedSeq,0),MAP!$B$4))</f>
        <v>16</v>
      </c>
      <c r="D243" s="2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2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2" t="str">
        <f>IF($B243="","",IF(COUNTIF(EngGameID,$B243)&gt;1,"DUP",""))</f>
        <v/>
      </c>
      <c r="G243" s="2" t="str">
        <f>IF($B243="","",IF(OR(COUNTIFS(EngWeek,$C243,EngAway,$D243)+COUNTIFS(EngWeek,$C243,EngHome,$D243)&gt;1,COUNTIFS(EngWeek,$C243,EngAway,$E243)+COUNTIFS(EngWeek,$C243,EngHome,$E243)&gt;1),"DUP",""))</f>
        <v/>
      </c>
      <c r="H243" s="2" t="str">
        <f>IF($B243="","",IF(OR(SUMPRODUCT((CLGameID=$B243)*CLUnmatched)&gt;0,LEFT($D243,1)="⚠",LEFT($E243,1)="⚠"),"UNMATCHED",""))</f>
        <v/>
      </c>
      <c r="I243" s="2" t="str">
        <f t="array" ref="I243">IF($B243="","",IF(OR(NOT(ISNUMBER(IFERROR(INDEX(RatEff,MATCH($D243,RatTeams,0)),"x"))),NOT(ISNUMBER(IFERROR(INDEX(RatEff,MATCH($E243,RatTeams,0)),"x")))),"MISSING",""))</f>
        <v/>
      </c>
      <c r="J243" s="2" t="str">
        <f>IF($B243="","",IF(SUMPRODUCT((CLGameID=$B243)*CLPlayed*(CLUseCur+CLUsePrev&gt;0)*(CLPlays=0))&gt;0,"MISSING",""))</f>
        <v/>
      </c>
      <c r="K243" s="2" t="str">
        <f>IF($B243="","",IF(SUMPRODUCT((CLGameID=$B243)*CLPlayed*((CLOffPts&lt;-20)+(CLOffPts&gt;90)))&gt;0,"CHECK",""))</f>
        <v/>
      </c>
      <c r="L243" s="2" t="str">
        <f t="array" ref="L243">IF($B243="","",IF(OR(ABS(IFERROR(INDEX(RatEff,MATCH($D243,RatTeams,0)),0))&gt;RatingRange,ABS(IFERROR(INDEX(RatEff,MATCH($E243,RatTeams,0)),0))&gt;RatingRange),"RANGE",""))</f>
        <v/>
      </c>
      <c r="M243" s="2" t="str">
        <f t="array" ref="M243">IF($B243="","",IF(OR(IFERROR(INDEX(CalcMoveFlag,MATCH($D243,CalcTeams,0)),"")="CAPPED",IFERROR(INDEX(CalcMoveFlag,MATCH($E243,CalcTeams,0)),"")="CAPPED"),"CAPPED",""))</f>
        <v/>
      </c>
      <c r="N243" s="2" t="str">
        <f>IF($B243="","",IF(ABS(SUMIFS(AdjSpread,AdjGameID,$B243,AdjActive,1))&gt;AdjCap,"LARGE",""))</f>
        <v/>
      </c>
      <c r="O243" s="2" t="str">
        <f t="array" ref="O243">IF($B243="","",IFERROR(INDEX(MktStale,MATCH($B243,MktGameID,0)),""))</f>
        <v/>
      </c>
      <c r="P243" s="2" t="str">
        <f t="shared" si="1"/>
        <v>READY</v>
      </c>
    </row>
    <row r="244" ht="15.0" customHeight="1">
      <c r="A244" s="2">
        <v>233.0</v>
      </c>
      <c r="B244" s="2" t="str">
        <f t="array" ref="B244">IFERROR(INDEX(SchedZone,MATCH($A244,SchedSeq,0),MAP!$B$6),"")</f>
        <v>2026_16_WAS_MIN</v>
      </c>
      <c r="C244" s="2">
        <f t="array" ref="C244">IF($B244="","",INDEX(SchedZone,MATCH($A244,SchedSeq,0),MAP!$B$4))</f>
        <v>16</v>
      </c>
      <c r="D244" s="2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2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2" t="str">
        <f>IF($B244="","",IF(COUNTIF(EngGameID,$B244)&gt;1,"DUP",""))</f>
        <v/>
      </c>
      <c r="G244" s="2" t="str">
        <f>IF($B244="","",IF(OR(COUNTIFS(EngWeek,$C244,EngAway,$D244)+COUNTIFS(EngWeek,$C244,EngHome,$D244)&gt;1,COUNTIFS(EngWeek,$C244,EngAway,$E244)+COUNTIFS(EngWeek,$C244,EngHome,$E244)&gt;1),"DUP",""))</f>
        <v/>
      </c>
      <c r="H244" s="2" t="str">
        <f>IF($B244="","",IF(OR(SUMPRODUCT((CLGameID=$B244)*CLUnmatched)&gt;0,LEFT($D244,1)="⚠",LEFT($E244,1)="⚠"),"UNMATCHED",""))</f>
        <v/>
      </c>
      <c r="I244" s="2" t="str">
        <f t="array" ref="I244">IF($B244="","",IF(OR(NOT(ISNUMBER(IFERROR(INDEX(RatEff,MATCH($D244,RatTeams,0)),"x"))),NOT(ISNUMBER(IFERROR(INDEX(RatEff,MATCH($E244,RatTeams,0)),"x")))),"MISSING",""))</f>
        <v/>
      </c>
      <c r="J244" s="2" t="str">
        <f>IF($B244="","",IF(SUMPRODUCT((CLGameID=$B244)*CLPlayed*(CLUseCur+CLUsePrev&gt;0)*(CLPlays=0))&gt;0,"MISSING",""))</f>
        <v/>
      </c>
      <c r="K244" s="2" t="str">
        <f>IF($B244="","",IF(SUMPRODUCT((CLGameID=$B244)*CLPlayed*((CLOffPts&lt;-20)+(CLOffPts&gt;90)))&gt;0,"CHECK",""))</f>
        <v/>
      </c>
      <c r="L244" s="2" t="str">
        <f t="array" ref="L244">IF($B244="","",IF(OR(ABS(IFERROR(INDEX(RatEff,MATCH($D244,RatTeams,0)),0))&gt;RatingRange,ABS(IFERROR(INDEX(RatEff,MATCH($E244,RatTeams,0)),0))&gt;RatingRange),"RANGE",""))</f>
        <v/>
      </c>
      <c r="M244" s="2" t="str">
        <f t="array" ref="M244">IF($B244="","",IF(OR(IFERROR(INDEX(CalcMoveFlag,MATCH($D244,CalcTeams,0)),"")="CAPPED",IFERROR(INDEX(CalcMoveFlag,MATCH($E244,CalcTeams,0)),"")="CAPPED"),"CAPPED",""))</f>
        <v/>
      </c>
      <c r="N244" s="2" t="str">
        <f>IF($B244="","",IF(ABS(SUMIFS(AdjSpread,AdjGameID,$B244,AdjActive,1))&gt;AdjCap,"LARGE",""))</f>
        <v/>
      </c>
      <c r="O244" s="2" t="str">
        <f t="array" ref="O244">IF($B244="","",IFERROR(INDEX(MktStale,MATCH($B244,MktGameID,0)),""))</f>
        <v/>
      </c>
      <c r="P244" s="2" t="str">
        <f t="shared" si="1"/>
        <v>READY</v>
      </c>
    </row>
    <row r="245" ht="15.0" customHeight="1">
      <c r="A245" s="2">
        <v>234.0</v>
      </c>
      <c r="B245" s="2" t="str">
        <f t="array" ref="B245">IFERROR(INDEX(SchedZone,MATCH($A245,SchedSeq,0),MAP!$B$6),"")</f>
        <v>2026_16_ARI_NO</v>
      </c>
      <c r="C245" s="2">
        <f t="array" ref="C245">IF($B245="","",INDEX(SchedZone,MATCH($A245,SchedSeq,0),MAP!$B$4))</f>
        <v>16</v>
      </c>
      <c r="D245" s="2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2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2" t="str">
        <f>IF($B245="","",IF(COUNTIF(EngGameID,$B245)&gt;1,"DUP",""))</f>
        <v/>
      </c>
      <c r="G245" s="2" t="str">
        <f>IF($B245="","",IF(OR(COUNTIFS(EngWeek,$C245,EngAway,$D245)+COUNTIFS(EngWeek,$C245,EngHome,$D245)&gt;1,COUNTIFS(EngWeek,$C245,EngAway,$E245)+COUNTIFS(EngWeek,$C245,EngHome,$E245)&gt;1),"DUP",""))</f>
        <v/>
      </c>
      <c r="H245" s="2" t="str">
        <f>IF($B245="","",IF(OR(SUMPRODUCT((CLGameID=$B245)*CLUnmatched)&gt;0,LEFT($D245,1)="⚠",LEFT($E245,1)="⚠"),"UNMATCHED",""))</f>
        <v/>
      </c>
      <c r="I245" s="2" t="str">
        <f t="array" ref="I245">IF($B245="","",IF(OR(NOT(ISNUMBER(IFERROR(INDEX(RatEff,MATCH($D245,RatTeams,0)),"x"))),NOT(ISNUMBER(IFERROR(INDEX(RatEff,MATCH($E245,RatTeams,0)),"x")))),"MISSING",""))</f>
        <v/>
      </c>
      <c r="J245" s="2" t="str">
        <f>IF($B245="","",IF(SUMPRODUCT((CLGameID=$B245)*CLPlayed*(CLUseCur+CLUsePrev&gt;0)*(CLPlays=0))&gt;0,"MISSING",""))</f>
        <v/>
      </c>
      <c r="K245" s="2" t="str">
        <f>IF($B245="","",IF(SUMPRODUCT((CLGameID=$B245)*CLPlayed*((CLOffPts&lt;-20)+(CLOffPts&gt;90)))&gt;0,"CHECK",""))</f>
        <v/>
      </c>
      <c r="L245" s="2" t="str">
        <f t="array" ref="L245">IF($B245="","",IF(OR(ABS(IFERROR(INDEX(RatEff,MATCH($D245,RatTeams,0)),0))&gt;RatingRange,ABS(IFERROR(INDEX(RatEff,MATCH($E245,RatTeams,0)),0))&gt;RatingRange),"RANGE",""))</f>
        <v/>
      </c>
      <c r="M245" s="2" t="str">
        <f t="array" ref="M245">IF($B245="","",IF(OR(IFERROR(INDEX(CalcMoveFlag,MATCH($D245,CalcTeams,0)),"")="CAPPED",IFERROR(INDEX(CalcMoveFlag,MATCH($E245,CalcTeams,0)),"")="CAPPED"),"CAPPED",""))</f>
        <v/>
      </c>
      <c r="N245" s="2" t="str">
        <f>IF($B245="","",IF(ABS(SUMIFS(AdjSpread,AdjGameID,$B245,AdjActive,1))&gt;AdjCap,"LARGE",""))</f>
        <v/>
      </c>
      <c r="O245" s="2" t="str">
        <f t="array" ref="O245">IF($B245="","",IFERROR(INDEX(MktStale,MATCH($B245,MktGameID,0)),""))</f>
        <v/>
      </c>
      <c r="P245" s="2" t="str">
        <f t="shared" si="1"/>
        <v>READY</v>
      </c>
    </row>
    <row r="246" ht="15.0" customHeight="1">
      <c r="A246" s="2">
        <v>235.0</v>
      </c>
      <c r="B246" s="2" t="str">
        <f t="array" ref="B246">IFERROR(INDEX(SchedZone,MATCH($A246,SchedSeq,0),MAP!$B$6),"")</f>
        <v>2026_16_NE_NYJ</v>
      </c>
      <c r="C246" s="2">
        <f t="array" ref="C246">IF($B246="","",INDEX(SchedZone,MATCH($A246,SchedSeq,0),MAP!$B$4))</f>
        <v>16</v>
      </c>
      <c r="D246" s="2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2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2" t="str">
        <f>IF($B246="","",IF(COUNTIF(EngGameID,$B246)&gt;1,"DUP",""))</f>
        <v/>
      </c>
      <c r="G246" s="2" t="str">
        <f>IF($B246="","",IF(OR(COUNTIFS(EngWeek,$C246,EngAway,$D246)+COUNTIFS(EngWeek,$C246,EngHome,$D246)&gt;1,COUNTIFS(EngWeek,$C246,EngAway,$E246)+COUNTIFS(EngWeek,$C246,EngHome,$E246)&gt;1),"DUP",""))</f>
        <v/>
      </c>
      <c r="H246" s="2" t="str">
        <f>IF($B246="","",IF(OR(SUMPRODUCT((CLGameID=$B246)*CLUnmatched)&gt;0,LEFT($D246,1)="⚠",LEFT($E246,1)="⚠"),"UNMATCHED",""))</f>
        <v/>
      </c>
      <c r="I246" s="2" t="str">
        <f t="array" ref="I246">IF($B246="","",IF(OR(NOT(ISNUMBER(IFERROR(INDEX(RatEff,MATCH($D246,RatTeams,0)),"x"))),NOT(ISNUMBER(IFERROR(INDEX(RatEff,MATCH($E246,RatTeams,0)),"x")))),"MISSING",""))</f>
        <v/>
      </c>
      <c r="J246" s="2" t="str">
        <f>IF($B246="","",IF(SUMPRODUCT((CLGameID=$B246)*CLPlayed*(CLUseCur+CLUsePrev&gt;0)*(CLPlays=0))&gt;0,"MISSING",""))</f>
        <v/>
      </c>
      <c r="K246" s="2" t="str">
        <f>IF($B246="","",IF(SUMPRODUCT((CLGameID=$B246)*CLPlayed*((CLOffPts&lt;-20)+(CLOffPts&gt;90)))&gt;0,"CHECK",""))</f>
        <v/>
      </c>
      <c r="L246" s="2" t="str">
        <f t="array" ref="L246">IF($B246="","",IF(OR(ABS(IFERROR(INDEX(RatEff,MATCH($D246,RatTeams,0)),0))&gt;RatingRange,ABS(IFERROR(INDEX(RatEff,MATCH($E246,RatTeams,0)),0))&gt;RatingRange),"RANGE",""))</f>
        <v/>
      </c>
      <c r="M246" s="2" t="str">
        <f t="array" ref="M246">IF($B246="","",IF(OR(IFERROR(INDEX(CalcMoveFlag,MATCH($D246,CalcTeams,0)),"")="CAPPED",IFERROR(INDEX(CalcMoveFlag,MATCH($E246,CalcTeams,0)),"")="CAPPED"),"CAPPED",""))</f>
        <v/>
      </c>
      <c r="N246" s="2" t="str">
        <f>IF($B246="","",IF(ABS(SUMIFS(AdjSpread,AdjGameID,$B246,AdjActive,1))&gt;AdjCap,"LARGE",""))</f>
        <v/>
      </c>
      <c r="O246" s="2" t="str">
        <f t="array" ref="O246">IF($B246="","",IFERROR(INDEX(MktStale,MATCH($B246,MktGameID,0)),""))</f>
        <v/>
      </c>
      <c r="P246" s="2" t="str">
        <f t="shared" si="1"/>
        <v>READY</v>
      </c>
    </row>
    <row r="247" ht="15.0" customHeight="1">
      <c r="A247" s="2">
        <v>236.0</v>
      </c>
      <c r="B247" s="2" t="str">
        <f t="array" ref="B247">IFERROR(INDEX(SchedZone,MATCH($A247,SchedSeq,0),MAP!$B$6),"")</f>
        <v>2026_16_CAR_PIT</v>
      </c>
      <c r="C247" s="2">
        <f t="array" ref="C247">IF($B247="","",INDEX(SchedZone,MATCH($A247,SchedSeq,0),MAP!$B$4))</f>
        <v>16</v>
      </c>
      <c r="D247" s="2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2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2" t="str">
        <f>IF($B247="","",IF(COUNTIF(EngGameID,$B247)&gt;1,"DUP",""))</f>
        <v/>
      </c>
      <c r="G247" s="2" t="str">
        <f>IF($B247="","",IF(OR(COUNTIFS(EngWeek,$C247,EngAway,$D247)+COUNTIFS(EngWeek,$C247,EngHome,$D247)&gt;1,COUNTIFS(EngWeek,$C247,EngAway,$E247)+COUNTIFS(EngWeek,$C247,EngHome,$E247)&gt;1),"DUP",""))</f>
        <v/>
      </c>
      <c r="H247" s="2" t="str">
        <f>IF($B247="","",IF(OR(SUMPRODUCT((CLGameID=$B247)*CLUnmatched)&gt;0,LEFT($D247,1)="⚠",LEFT($E247,1)="⚠"),"UNMATCHED",""))</f>
        <v/>
      </c>
      <c r="I247" s="2" t="str">
        <f t="array" ref="I247">IF($B247="","",IF(OR(NOT(ISNUMBER(IFERROR(INDEX(RatEff,MATCH($D247,RatTeams,0)),"x"))),NOT(ISNUMBER(IFERROR(INDEX(RatEff,MATCH($E247,RatTeams,0)),"x")))),"MISSING",""))</f>
        <v/>
      </c>
      <c r="J247" s="2" t="str">
        <f>IF($B247="","",IF(SUMPRODUCT((CLGameID=$B247)*CLPlayed*(CLUseCur+CLUsePrev&gt;0)*(CLPlays=0))&gt;0,"MISSING",""))</f>
        <v/>
      </c>
      <c r="K247" s="2" t="str">
        <f>IF($B247="","",IF(SUMPRODUCT((CLGameID=$B247)*CLPlayed*((CLOffPts&lt;-20)+(CLOffPts&gt;90)))&gt;0,"CHECK",""))</f>
        <v/>
      </c>
      <c r="L247" s="2" t="str">
        <f t="array" ref="L247">IF($B247="","",IF(OR(ABS(IFERROR(INDEX(RatEff,MATCH($D247,RatTeams,0)),0))&gt;RatingRange,ABS(IFERROR(INDEX(RatEff,MATCH($E247,RatTeams,0)),0))&gt;RatingRange),"RANGE",""))</f>
        <v/>
      </c>
      <c r="M247" s="2" t="str">
        <f t="array" ref="M247">IF($B247="","",IF(OR(IFERROR(INDEX(CalcMoveFlag,MATCH($D247,CalcTeams,0)),"")="CAPPED",IFERROR(INDEX(CalcMoveFlag,MATCH($E247,CalcTeams,0)),"")="CAPPED"),"CAPPED",""))</f>
        <v/>
      </c>
      <c r="N247" s="2" t="str">
        <f>IF($B247="","",IF(ABS(SUMIFS(AdjSpread,AdjGameID,$B247,AdjActive,1))&gt;AdjCap,"LARGE",""))</f>
        <v/>
      </c>
      <c r="O247" s="2" t="str">
        <f t="array" ref="O247">IF($B247="","",IFERROR(INDEX(MktStale,MATCH($B247,MktGameID,0)),""))</f>
        <v/>
      </c>
      <c r="P247" s="2" t="str">
        <f t="shared" si="1"/>
        <v>READY</v>
      </c>
    </row>
    <row r="248" ht="15.0" customHeight="1">
      <c r="A248" s="2">
        <v>237.0</v>
      </c>
      <c r="B248" s="2" t="str">
        <f t="array" ref="B248">IFERROR(INDEX(SchedZone,MATCH($A248,SchedSeq,0),MAP!$B$6),"")</f>
        <v>2026_16_TEN_LV</v>
      </c>
      <c r="C248" s="2">
        <f t="array" ref="C248">IF($B248="","",INDEX(SchedZone,MATCH($A248,SchedSeq,0),MAP!$B$4))</f>
        <v>16</v>
      </c>
      <c r="D248" s="2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2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2" t="str">
        <f>IF($B248="","",IF(COUNTIF(EngGameID,$B248)&gt;1,"DUP",""))</f>
        <v/>
      </c>
      <c r="G248" s="2" t="str">
        <f>IF($B248="","",IF(OR(COUNTIFS(EngWeek,$C248,EngAway,$D248)+COUNTIFS(EngWeek,$C248,EngHome,$D248)&gt;1,COUNTIFS(EngWeek,$C248,EngAway,$E248)+COUNTIFS(EngWeek,$C248,EngHome,$E248)&gt;1),"DUP",""))</f>
        <v/>
      </c>
      <c r="H248" s="2" t="str">
        <f>IF($B248="","",IF(OR(SUMPRODUCT((CLGameID=$B248)*CLUnmatched)&gt;0,LEFT($D248,1)="⚠",LEFT($E248,1)="⚠"),"UNMATCHED",""))</f>
        <v/>
      </c>
      <c r="I248" s="2" t="str">
        <f t="array" ref="I248">IF($B248="","",IF(OR(NOT(ISNUMBER(IFERROR(INDEX(RatEff,MATCH($D248,RatTeams,0)),"x"))),NOT(ISNUMBER(IFERROR(INDEX(RatEff,MATCH($E248,RatTeams,0)),"x")))),"MISSING",""))</f>
        <v/>
      </c>
      <c r="J248" s="2" t="str">
        <f>IF($B248="","",IF(SUMPRODUCT((CLGameID=$B248)*CLPlayed*(CLUseCur+CLUsePrev&gt;0)*(CLPlays=0))&gt;0,"MISSING",""))</f>
        <v/>
      </c>
      <c r="K248" s="2" t="str">
        <f>IF($B248="","",IF(SUMPRODUCT((CLGameID=$B248)*CLPlayed*((CLOffPts&lt;-20)+(CLOffPts&gt;90)))&gt;0,"CHECK",""))</f>
        <v/>
      </c>
      <c r="L248" s="2" t="str">
        <f t="array" ref="L248">IF($B248="","",IF(OR(ABS(IFERROR(INDEX(RatEff,MATCH($D248,RatTeams,0)),0))&gt;RatingRange,ABS(IFERROR(INDEX(RatEff,MATCH($E248,RatTeams,0)),0))&gt;RatingRange),"RANGE",""))</f>
        <v/>
      </c>
      <c r="M248" s="2" t="str">
        <f t="array" ref="M248">IF($B248="","",IF(OR(IFERROR(INDEX(CalcMoveFlag,MATCH($D248,CalcTeams,0)),"")="CAPPED",IFERROR(INDEX(CalcMoveFlag,MATCH($E248,CalcTeams,0)),"")="CAPPED"),"CAPPED",""))</f>
        <v/>
      </c>
      <c r="N248" s="2" t="str">
        <f>IF($B248="","",IF(ABS(SUMIFS(AdjSpread,AdjGameID,$B248,AdjActive,1))&gt;AdjCap,"LARGE",""))</f>
        <v/>
      </c>
      <c r="O248" s="2" t="str">
        <f t="array" ref="O248">IF($B248="","",IFERROR(INDEX(MktStale,MATCH($B248,MktGameID,0)),""))</f>
        <v/>
      </c>
      <c r="P248" s="2" t="str">
        <f t="shared" si="1"/>
        <v>READY</v>
      </c>
    </row>
    <row r="249" ht="15.0" customHeight="1">
      <c r="A249" s="2">
        <v>238.0</v>
      </c>
      <c r="B249" s="2" t="str">
        <f t="array" ref="B249">IFERROR(INDEX(SchedZone,MATCH($A249,SchedSeq,0),MAP!$B$6),"")</f>
        <v>2026_16_SF_KC</v>
      </c>
      <c r="C249" s="2">
        <f t="array" ref="C249">IF($B249="","",INDEX(SchedZone,MATCH($A249,SchedSeq,0),MAP!$B$4))</f>
        <v>16</v>
      </c>
      <c r="D249" s="2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2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2" t="str">
        <f>IF($B249="","",IF(COUNTIF(EngGameID,$B249)&gt;1,"DUP",""))</f>
        <v/>
      </c>
      <c r="G249" s="2" t="str">
        <f>IF($B249="","",IF(OR(COUNTIFS(EngWeek,$C249,EngAway,$D249)+COUNTIFS(EngWeek,$C249,EngHome,$D249)&gt;1,COUNTIFS(EngWeek,$C249,EngAway,$E249)+COUNTIFS(EngWeek,$C249,EngHome,$E249)&gt;1),"DUP",""))</f>
        <v/>
      </c>
      <c r="H249" s="2" t="str">
        <f>IF($B249="","",IF(OR(SUMPRODUCT((CLGameID=$B249)*CLUnmatched)&gt;0,LEFT($D249,1)="⚠",LEFT($E249,1)="⚠"),"UNMATCHED",""))</f>
        <v/>
      </c>
      <c r="I249" s="2" t="str">
        <f t="array" ref="I249">IF($B249="","",IF(OR(NOT(ISNUMBER(IFERROR(INDEX(RatEff,MATCH($D249,RatTeams,0)),"x"))),NOT(ISNUMBER(IFERROR(INDEX(RatEff,MATCH($E249,RatTeams,0)),"x")))),"MISSING",""))</f>
        <v/>
      </c>
      <c r="J249" s="2" t="str">
        <f>IF($B249="","",IF(SUMPRODUCT((CLGameID=$B249)*CLPlayed*(CLUseCur+CLUsePrev&gt;0)*(CLPlays=0))&gt;0,"MISSING",""))</f>
        <v/>
      </c>
      <c r="K249" s="2" t="str">
        <f>IF($B249="","",IF(SUMPRODUCT((CLGameID=$B249)*CLPlayed*((CLOffPts&lt;-20)+(CLOffPts&gt;90)))&gt;0,"CHECK",""))</f>
        <v/>
      </c>
      <c r="L249" s="2" t="str">
        <f t="array" ref="L249">IF($B249="","",IF(OR(ABS(IFERROR(INDEX(RatEff,MATCH($D249,RatTeams,0)),0))&gt;RatingRange,ABS(IFERROR(INDEX(RatEff,MATCH($E249,RatTeams,0)),0))&gt;RatingRange),"RANGE",""))</f>
        <v/>
      </c>
      <c r="M249" s="2" t="str">
        <f t="array" ref="M249">IF($B249="","",IF(OR(IFERROR(INDEX(CalcMoveFlag,MATCH($D249,CalcTeams,0)),"")="CAPPED",IFERROR(INDEX(CalcMoveFlag,MATCH($E249,CalcTeams,0)),"")="CAPPED"),"CAPPED",""))</f>
        <v/>
      </c>
      <c r="N249" s="2" t="str">
        <f>IF($B249="","",IF(ABS(SUMIFS(AdjSpread,AdjGameID,$B249,AdjActive,1))&gt;AdjCap,"LARGE",""))</f>
        <v/>
      </c>
      <c r="O249" s="2" t="str">
        <f t="array" ref="O249">IF($B249="","",IFERROR(INDEX(MktStale,MATCH($B249,MktGameID,0)),""))</f>
        <v/>
      </c>
      <c r="P249" s="2" t="str">
        <f t="shared" si="1"/>
        <v>READY</v>
      </c>
    </row>
    <row r="250" ht="15.0" customHeight="1">
      <c r="A250" s="2">
        <v>239.0</v>
      </c>
      <c r="B250" s="2" t="str">
        <f t="array" ref="B250">IFERROR(INDEX(SchedZone,MATCH($A250,SchedSeq,0),MAP!$B$6),"")</f>
        <v>2026_16_JAX_DAL</v>
      </c>
      <c r="C250" s="2">
        <f t="array" ref="C250">IF($B250="","",INDEX(SchedZone,MATCH($A250,SchedSeq,0),MAP!$B$4))</f>
        <v>16</v>
      </c>
      <c r="D250" s="2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2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2" t="str">
        <f>IF($B250="","",IF(COUNTIF(EngGameID,$B250)&gt;1,"DUP",""))</f>
        <v/>
      </c>
      <c r="G250" s="2" t="str">
        <f>IF($B250="","",IF(OR(COUNTIFS(EngWeek,$C250,EngAway,$D250)+COUNTIFS(EngWeek,$C250,EngHome,$D250)&gt;1,COUNTIFS(EngWeek,$C250,EngAway,$E250)+COUNTIFS(EngWeek,$C250,EngHome,$E250)&gt;1),"DUP",""))</f>
        <v/>
      </c>
      <c r="H250" s="2" t="str">
        <f>IF($B250="","",IF(OR(SUMPRODUCT((CLGameID=$B250)*CLUnmatched)&gt;0,LEFT($D250,1)="⚠",LEFT($E250,1)="⚠"),"UNMATCHED",""))</f>
        <v/>
      </c>
      <c r="I250" s="2" t="str">
        <f t="array" ref="I250">IF($B250="","",IF(OR(NOT(ISNUMBER(IFERROR(INDEX(RatEff,MATCH($D250,RatTeams,0)),"x"))),NOT(ISNUMBER(IFERROR(INDEX(RatEff,MATCH($E250,RatTeams,0)),"x")))),"MISSING",""))</f>
        <v/>
      </c>
      <c r="J250" s="2" t="str">
        <f>IF($B250="","",IF(SUMPRODUCT((CLGameID=$B250)*CLPlayed*(CLUseCur+CLUsePrev&gt;0)*(CLPlays=0))&gt;0,"MISSING",""))</f>
        <v/>
      </c>
      <c r="K250" s="2" t="str">
        <f>IF($B250="","",IF(SUMPRODUCT((CLGameID=$B250)*CLPlayed*((CLOffPts&lt;-20)+(CLOffPts&gt;90)))&gt;0,"CHECK",""))</f>
        <v/>
      </c>
      <c r="L250" s="2" t="str">
        <f t="array" ref="L250">IF($B250="","",IF(OR(ABS(IFERROR(INDEX(RatEff,MATCH($D250,RatTeams,0)),0))&gt;RatingRange,ABS(IFERROR(INDEX(RatEff,MATCH($E250,RatTeams,0)),0))&gt;RatingRange),"RANGE",""))</f>
        <v/>
      </c>
      <c r="M250" s="2" t="str">
        <f t="array" ref="M250">IF($B250="","",IF(OR(IFERROR(INDEX(CalcMoveFlag,MATCH($D250,CalcTeams,0)),"")="CAPPED",IFERROR(INDEX(CalcMoveFlag,MATCH($E250,CalcTeams,0)),"")="CAPPED"),"CAPPED",""))</f>
        <v/>
      </c>
      <c r="N250" s="2" t="str">
        <f>IF($B250="","",IF(ABS(SUMIFS(AdjSpread,AdjGameID,$B250,AdjActive,1))&gt;AdjCap,"LARGE",""))</f>
        <v/>
      </c>
      <c r="O250" s="2" t="str">
        <f t="array" ref="O250">IF($B250="","",IFERROR(INDEX(MktStale,MATCH($B250,MktGameID,0)),""))</f>
        <v/>
      </c>
      <c r="P250" s="2" t="str">
        <f t="shared" si="1"/>
        <v>READY</v>
      </c>
    </row>
    <row r="251" ht="15.0" customHeight="1">
      <c r="A251" s="2">
        <v>240.0</v>
      </c>
      <c r="B251" s="2" t="str">
        <f t="array" ref="B251">IFERROR(INDEX(SchedZone,MATCH($A251,SchedSeq,0),MAP!$B$6),"")</f>
        <v>2026_16_NYG_DET</v>
      </c>
      <c r="C251" s="2">
        <f t="array" ref="C251">IF($B251="","",INDEX(SchedZone,MATCH($A251,SchedSeq,0),MAP!$B$4))</f>
        <v>16</v>
      </c>
      <c r="D251" s="2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2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2" t="str">
        <f>IF($B251="","",IF(COUNTIF(EngGameID,$B251)&gt;1,"DUP",""))</f>
        <v/>
      </c>
      <c r="G251" s="2" t="str">
        <f>IF($B251="","",IF(OR(COUNTIFS(EngWeek,$C251,EngAway,$D251)+COUNTIFS(EngWeek,$C251,EngHome,$D251)&gt;1,COUNTIFS(EngWeek,$C251,EngAway,$E251)+COUNTIFS(EngWeek,$C251,EngHome,$E251)&gt;1),"DUP",""))</f>
        <v/>
      </c>
      <c r="H251" s="2" t="str">
        <f>IF($B251="","",IF(OR(SUMPRODUCT((CLGameID=$B251)*CLUnmatched)&gt;0,LEFT($D251,1)="⚠",LEFT($E251,1)="⚠"),"UNMATCHED",""))</f>
        <v/>
      </c>
      <c r="I251" s="2" t="str">
        <f t="array" ref="I251">IF($B251="","",IF(OR(NOT(ISNUMBER(IFERROR(INDEX(RatEff,MATCH($D251,RatTeams,0)),"x"))),NOT(ISNUMBER(IFERROR(INDEX(RatEff,MATCH($E251,RatTeams,0)),"x")))),"MISSING",""))</f>
        <v/>
      </c>
      <c r="J251" s="2" t="str">
        <f>IF($B251="","",IF(SUMPRODUCT((CLGameID=$B251)*CLPlayed*(CLUseCur+CLUsePrev&gt;0)*(CLPlays=0))&gt;0,"MISSING",""))</f>
        <v/>
      </c>
      <c r="K251" s="2" t="str">
        <f>IF($B251="","",IF(SUMPRODUCT((CLGameID=$B251)*CLPlayed*((CLOffPts&lt;-20)+(CLOffPts&gt;90)))&gt;0,"CHECK",""))</f>
        <v/>
      </c>
      <c r="L251" s="2" t="str">
        <f t="array" ref="L251">IF($B251="","",IF(OR(ABS(IFERROR(INDEX(RatEff,MATCH($D251,RatTeams,0)),0))&gt;RatingRange,ABS(IFERROR(INDEX(RatEff,MATCH($E251,RatTeams,0)),0))&gt;RatingRange),"RANGE",""))</f>
        <v/>
      </c>
      <c r="M251" s="2" t="str">
        <f t="array" ref="M251">IF($B251="","",IF(OR(IFERROR(INDEX(CalcMoveFlag,MATCH($D251,CalcTeams,0)),"")="CAPPED",IFERROR(INDEX(CalcMoveFlag,MATCH($E251,CalcTeams,0)),"")="CAPPED"),"CAPPED",""))</f>
        <v/>
      </c>
      <c r="N251" s="2" t="str">
        <f>IF($B251="","",IF(ABS(SUMIFS(AdjSpread,AdjGameID,$B251,AdjActive,1))&gt;AdjCap,"LARGE",""))</f>
        <v/>
      </c>
      <c r="O251" s="2" t="str">
        <f t="array" ref="O251">IF($B251="","",IFERROR(INDEX(MktStale,MATCH($B251,MktGameID,0)),""))</f>
        <v/>
      </c>
      <c r="P251" s="2" t="str">
        <f t="shared" si="1"/>
        <v>READY</v>
      </c>
    </row>
    <row r="252" ht="15.0" customHeight="1">
      <c r="A252" s="2">
        <v>241.0</v>
      </c>
      <c r="B252" s="2" t="str">
        <f t="array" ref="B252">IFERROR(INDEX(SchedZone,MATCH($A252,SchedSeq,0),MAP!$B$6),"")</f>
        <v>2026_17_BAL_CIN</v>
      </c>
      <c r="C252" s="2">
        <f t="array" ref="C252">IF($B252="","",INDEX(SchedZone,MATCH($A252,SchedSeq,0),MAP!$B$4))</f>
        <v>17</v>
      </c>
      <c r="D252" s="2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2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2" t="str">
        <f>IF($B252="","",IF(COUNTIF(EngGameID,$B252)&gt;1,"DUP",""))</f>
        <v/>
      </c>
      <c r="G252" s="2" t="str">
        <f>IF($B252="","",IF(OR(COUNTIFS(EngWeek,$C252,EngAway,$D252)+COUNTIFS(EngWeek,$C252,EngHome,$D252)&gt;1,COUNTIFS(EngWeek,$C252,EngAway,$E252)+COUNTIFS(EngWeek,$C252,EngHome,$E252)&gt;1),"DUP",""))</f>
        <v/>
      </c>
      <c r="H252" s="2" t="str">
        <f>IF($B252="","",IF(OR(SUMPRODUCT((CLGameID=$B252)*CLUnmatched)&gt;0,LEFT($D252,1)="⚠",LEFT($E252,1)="⚠"),"UNMATCHED",""))</f>
        <v/>
      </c>
      <c r="I252" s="2" t="str">
        <f t="array" ref="I252">IF($B252="","",IF(OR(NOT(ISNUMBER(IFERROR(INDEX(RatEff,MATCH($D252,RatTeams,0)),"x"))),NOT(ISNUMBER(IFERROR(INDEX(RatEff,MATCH($E252,RatTeams,0)),"x")))),"MISSING",""))</f>
        <v/>
      </c>
      <c r="J252" s="2" t="str">
        <f>IF($B252="","",IF(SUMPRODUCT((CLGameID=$B252)*CLPlayed*(CLUseCur+CLUsePrev&gt;0)*(CLPlays=0))&gt;0,"MISSING",""))</f>
        <v/>
      </c>
      <c r="K252" s="2" t="str">
        <f>IF($B252="","",IF(SUMPRODUCT((CLGameID=$B252)*CLPlayed*((CLOffPts&lt;-20)+(CLOffPts&gt;90)))&gt;0,"CHECK",""))</f>
        <v/>
      </c>
      <c r="L252" s="2" t="str">
        <f t="array" ref="L252">IF($B252="","",IF(OR(ABS(IFERROR(INDEX(RatEff,MATCH($D252,RatTeams,0)),0))&gt;RatingRange,ABS(IFERROR(INDEX(RatEff,MATCH($E252,RatTeams,0)),0))&gt;RatingRange),"RANGE",""))</f>
        <v/>
      </c>
      <c r="M252" s="2" t="str">
        <f t="array" ref="M252">IF($B252="","",IF(OR(IFERROR(INDEX(CalcMoveFlag,MATCH($D252,CalcTeams,0)),"")="CAPPED",IFERROR(INDEX(CalcMoveFlag,MATCH($E252,CalcTeams,0)),"")="CAPPED"),"CAPPED",""))</f>
        <v/>
      </c>
      <c r="N252" s="2" t="str">
        <f>IF($B252="","",IF(ABS(SUMIFS(AdjSpread,AdjGameID,$B252,AdjActive,1))&gt;AdjCap,"LARGE",""))</f>
        <v/>
      </c>
      <c r="O252" s="2" t="str">
        <f t="array" ref="O252">IF($B252="","",IFERROR(INDEX(MktStale,MATCH($B252,MktGameID,0)),""))</f>
        <v/>
      </c>
      <c r="P252" s="2" t="str">
        <f t="shared" si="1"/>
        <v>READY</v>
      </c>
    </row>
    <row r="253" ht="15.0" customHeight="1">
      <c r="A253" s="2">
        <v>242.0</v>
      </c>
      <c r="B253" s="2" t="str">
        <f t="array" ref="B253">IFERROR(INDEX(SchedZone,MATCH($A253,SchedSeq,0),MAP!$B$6),"")</f>
        <v>2026_17_NO_ATL</v>
      </c>
      <c r="C253" s="2">
        <f t="array" ref="C253">IF($B253="","",INDEX(SchedZone,MATCH($A253,SchedSeq,0),MAP!$B$4))</f>
        <v>17</v>
      </c>
      <c r="D253" s="2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2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2" t="str">
        <f>IF($B253="","",IF(COUNTIF(EngGameID,$B253)&gt;1,"DUP",""))</f>
        <v/>
      </c>
      <c r="G253" s="2" t="str">
        <f>IF($B253="","",IF(OR(COUNTIFS(EngWeek,$C253,EngAway,$D253)+COUNTIFS(EngWeek,$C253,EngHome,$D253)&gt;1,COUNTIFS(EngWeek,$C253,EngAway,$E253)+COUNTIFS(EngWeek,$C253,EngHome,$E253)&gt;1),"DUP",""))</f>
        <v/>
      </c>
      <c r="H253" s="2" t="str">
        <f>IF($B253="","",IF(OR(SUMPRODUCT((CLGameID=$B253)*CLUnmatched)&gt;0,LEFT($D253,1)="⚠",LEFT($E253,1)="⚠"),"UNMATCHED",""))</f>
        <v/>
      </c>
      <c r="I253" s="2" t="str">
        <f t="array" ref="I253">IF($B253="","",IF(OR(NOT(ISNUMBER(IFERROR(INDEX(RatEff,MATCH($D253,RatTeams,0)),"x"))),NOT(ISNUMBER(IFERROR(INDEX(RatEff,MATCH($E253,RatTeams,0)),"x")))),"MISSING",""))</f>
        <v/>
      </c>
      <c r="J253" s="2" t="str">
        <f>IF($B253="","",IF(SUMPRODUCT((CLGameID=$B253)*CLPlayed*(CLUseCur+CLUsePrev&gt;0)*(CLPlays=0))&gt;0,"MISSING",""))</f>
        <v/>
      </c>
      <c r="K253" s="2" t="str">
        <f>IF($B253="","",IF(SUMPRODUCT((CLGameID=$B253)*CLPlayed*((CLOffPts&lt;-20)+(CLOffPts&gt;90)))&gt;0,"CHECK",""))</f>
        <v/>
      </c>
      <c r="L253" s="2" t="str">
        <f t="array" ref="L253">IF($B253="","",IF(OR(ABS(IFERROR(INDEX(RatEff,MATCH($D253,RatTeams,0)),0))&gt;RatingRange,ABS(IFERROR(INDEX(RatEff,MATCH($E253,RatTeams,0)),0))&gt;RatingRange),"RANGE",""))</f>
        <v/>
      </c>
      <c r="M253" s="2" t="str">
        <f t="array" ref="M253">IF($B253="","",IF(OR(IFERROR(INDEX(CalcMoveFlag,MATCH($D253,CalcTeams,0)),"")="CAPPED",IFERROR(INDEX(CalcMoveFlag,MATCH($E253,CalcTeams,0)),"")="CAPPED"),"CAPPED",""))</f>
        <v/>
      </c>
      <c r="N253" s="2" t="str">
        <f>IF($B253="","",IF(ABS(SUMIFS(AdjSpread,AdjGameID,$B253,AdjActive,1))&gt;AdjCap,"LARGE",""))</f>
        <v/>
      </c>
      <c r="O253" s="2" t="str">
        <f t="array" ref="O253">IF($B253="","",IFERROR(INDEX(MktStale,MATCH($B253,MktGameID,0)),""))</f>
        <v/>
      </c>
      <c r="P253" s="2" t="str">
        <f t="shared" si="1"/>
        <v>READY</v>
      </c>
    </row>
    <row r="254" ht="15.0" customHeight="1">
      <c r="A254" s="2">
        <v>243.0</v>
      </c>
      <c r="B254" s="2" t="str">
        <f t="array" ref="B254">IFERROR(INDEX(SchedZone,MATCH($A254,SchedSeq,0),MAP!$B$6),"")</f>
        <v>2026_17_SEA_CAR</v>
      </c>
      <c r="C254" s="2">
        <f t="array" ref="C254">IF($B254="","",INDEX(SchedZone,MATCH($A254,SchedSeq,0),MAP!$B$4))</f>
        <v>17</v>
      </c>
      <c r="D254" s="2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2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2" t="str">
        <f>IF($B254="","",IF(COUNTIF(EngGameID,$B254)&gt;1,"DUP",""))</f>
        <v/>
      </c>
      <c r="G254" s="2" t="str">
        <f>IF($B254="","",IF(OR(COUNTIFS(EngWeek,$C254,EngAway,$D254)+COUNTIFS(EngWeek,$C254,EngHome,$D254)&gt;1,COUNTIFS(EngWeek,$C254,EngAway,$E254)+COUNTIFS(EngWeek,$C254,EngHome,$E254)&gt;1),"DUP",""))</f>
        <v/>
      </c>
      <c r="H254" s="2" t="str">
        <f>IF($B254="","",IF(OR(SUMPRODUCT((CLGameID=$B254)*CLUnmatched)&gt;0,LEFT($D254,1)="⚠",LEFT($E254,1)="⚠"),"UNMATCHED",""))</f>
        <v/>
      </c>
      <c r="I254" s="2" t="str">
        <f t="array" ref="I254">IF($B254="","",IF(OR(NOT(ISNUMBER(IFERROR(INDEX(RatEff,MATCH($D254,RatTeams,0)),"x"))),NOT(ISNUMBER(IFERROR(INDEX(RatEff,MATCH($E254,RatTeams,0)),"x")))),"MISSING",""))</f>
        <v/>
      </c>
      <c r="J254" s="2" t="str">
        <f>IF($B254="","",IF(SUMPRODUCT((CLGameID=$B254)*CLPlayed*(CLUseCur+CLUsePrev&gt;0)*(CLPlays=0))&gt;0,"MISSING",""))</f>
        <v/>
      </c>
      <c r="K254" s="2" t="str">
        <f>IF($B254="","",IF(SUMPRODUCT((CLGameID=$B254)*CLPlayed*((CLOffPts&lt;-20)+(CLOffPts&gt;90)))&gt;0,"CHECK",""))</f>
        <v/>
      </c>
      <c r="L254" s="2" t="str">
        <f t="array" ref="L254">IF($B254="","",IF(OR(ABS(IFERROR(INDEX(RatEff,MATCH($D254,RatTeams,0)),0))&gt;RatingRange,ABS(IFERROR(INDEX(RatEff,MATCH($E254,RatTeams,0)),0))&gt;RatingRange),"RANGE",""))</f>
        <v/>
      </c>
      <c r="M254" s="2" t="str">
        <f t="array" ref="M254">IF($B254="","",IF(OR(IFERROR(INDEX(CalcMoveFlag,MATCH($D254,CalcTeams,0)),"")="CAPPED",IFERROR(INDEX(CalcMoveFlag,MATCH($E254,CalcTeams,0)),"")="CAPPED"),"CAPPED",""))</f>
        <v/>
      </c>
      <c r="N254" s="2" t="str">
        <f>IF($B254="","",IF(ABS(SUMIFS(AdjSpread,AdjGameID,$B254,AdjActive,1))&gt;AdjCap,"LARGE",""))</f>
        <v/>
      </c>
      <c r="O254" s="2" t="str">
        <f t="array" ref="O254">IF($B254="","",IFERROR(INDEX(MktStale,MATCH($B254,MktGameID,0)),""))</f>
        <v/>
      </c>
      <c r="P254" s="2" t="str">
        <f t="shared" si="1"/>
        <v>READY</v>
      </c>
    </row>
    <row r="255" ht="15.0" customHeight="1">
      <c r="A255" s="2">
        <v>244.0</v>
      </c>
      <c r="B255" s="2" t="str">
        <f t="array" ref="B255">IFERROR(INDEX(SchedZone,MATCH($A255,SchedSeq,0),MAP!$B$6),"")</f>
        <v>2026_17_IND_CLE</v>
      </c>
      <c r="C255" s="2">
        <f t="array" ref="C255">IF($B255="","",INDEX(SchedZone,MATCH($A255,SchedSeq,0),MAP!$B$4))</f>
        <v>17</v>
      </c>
      <c r="D255" s="2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2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2" t="str">
        <f>IF($B255="","",IF(COUNTIF(EngGameID,$B255)&gt;1,"DUP",""))</f>
        <v/>
      </c>
      <c r="G255" s="2" t="str">
        <f>IF($B255="","",IF(OR(COUNTIFS(EngWeek,$C255,EngAway,$D255)+COUNTIFS(EngWeek,$C255,EngHome,$D255)&gt;1,COUNTIFS(EngWeek,$C255,EngAway,$E255)+COUNTIFS(EngWeek,$C255,EngHome,$E255)&gt;1),"DUP",""))</f>
        <v/>
      </c>
      <c r="H255" s="2" t="str">
        <f>IF($B255="","",IF(OR(SUMPRODUCT((CLGameID=$B255)*CLUnmatched)&gt;0,LEFT($D255,1)="⚠",LEFT($E255,1)="⚠"),"UNMATCHED",""))</f>
        <v/>
      </c>
      <c r="I255" s="2" t="str">
        <f t="array" ref="I255">IF($B255="","",IF(OR(NOT(ISNUMBER(IFERROR(INDEX(RatEff,MATCH($D255,RatTeams,0)),"x"))),NOT(ISNUMBER(IFERROR(INDEX(RatEff,MATCH($E255,RatTeams,0)),"x")))),"MISSING",""))</f>
        <v/>
      </c>
      <c r="J255" s="2" t="str">
        <f>IF($B255="","",IF(SUMPRODUCT((CLGameID=$B255)*CLPlayed*(CLUseCur+CLUsePrev&gt;0)*(CLPlays=0))&gt;0,"MISSING",""))</f>
        <v/>
      </c>
      <c r="K255" s="2" t="str">
        <f>IF($B255="","",IF(SUMPRODUCT((CLGameID=$B255)*CLPlayed*((CLOffPts&lt;-20)+(CLOffPts&gt;90)))&gt;0,"CHECK",""))</f>
        <v/>
      </c>
      <c r="L255" s="2" t="str">
        <f t="array" ref="L255">IF($B255="","",IF(OR(ABS(IFERROR(INDEX(RatEff,MATCH($D255,RatTeams,0)),0))&gt;RatingRange,ABS(IFERROR(INDEX(RatEff,MATCH($E255,RatTeams,0)),0))&gt;RatingRange),"RANGE",""))</f>
        <v/>
      </c>
      <c r="M255" s="2" t="str">
        <f t="array" ref="M255">IF($B255="","",IF(OR(IFERROR(INDEX(CalcMoveFlag,MATCH($D255,CalcTeams,0)),"")="CAPPED",IFERROR(INDEX(CalcMoveFlag,MATCH($E255,CalcTeams,0)),"")="CAPPED"),"CAPPED",""))</f>
        <v/>
      </c>
      <c r="N255" s="2" t="str">
        <f>IF($B255="","",IF(ABS(SUMIFS(AdjSpread,AdjGameID,$B255,AdjActive,1))&gt;AdjCap,"LARGE",""))</f>
        <v/>
      </c>
      <c r="O255" s="2" t="str">
        <f t="array" ref="O255">IF($B255="","",IFERROR(INDEX(MktStale,MATCH($B255,MktGameID,0)),""))</f>
        <v/>
      </c>
      <c r="P255" s="2" t="str">
        <f t="shared" si="1"/>
        <v>READY</v>
      </c>
    </row>
    <row r="256" ht="15.0" customHeight="1">
      <c r="A256" s="2">
        <v>245.0</v>
      </c>
      <c r="B256" s="2" t="str">
        <f t="array" ref="B256">IFERROR(INDEX(SchedZone,MATCH($A256,SchedSeq,0),MAP!$B$6),"")</f>
        <v>2026_17_NYG_DAL</v>
      </c>
      <c r="C256" s="2">
        <f t="array" ref="C256">IF($B256="","",INDEX(SchedZone,MATCH($A256,SchedSeq,0),MAP!$B$4))</f>
        <v>17</v>
      </c>
      <c r="D256" s="2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2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2" t="str">
        <f>IF($B256="","",IF(COUNTIF(EngGameID,$B256)&gt;1,"DUP",""))</f>
        <v/>
      </c>
      <c r="G256" s="2" t="str">
        <f>IF($B256="","",IF(OR(COUNTIFS(EngWeek,$C256,EngAway,$D256)+COUNTIFS(EngWeek,$C256,EngHome,$D256)&gt;1,COUNTIFS(EngWeek,$C256,EngAway,$E256)+COUNTIFS(EngWeek,$C256,EngHome,$E256)&gt;1),"DUP",""))</f>
        <v/>
      </c>
      <c r="H256" s="2" t="str">
        <f>IF($B256="","",IF(OR(SUMPRODUCT((CLGameID=$B256)*CLUnmatched)&gt;0,LEFT($D256,1)="⚠",LEFT($E256,1)="⚠"),"UNMATCHED",""))</f>
        <v/>
      </c>
      <c r="I256" s="2" t="str">
        <f t="array" ref="I256">IF($B256="","",IF(OR(NOT(ISNUMBER(IFERROR(INDEX(RatEff,MATCH($D256,RatTeams,0)),"x"))),NOT(ISNUMBER(IFERROR(INDEX(RatEff,MATCH($E256,RatTeams,0)),"x")))),"MISSING",""))</f>
        <v/>
      </c>
      <c r="J256" s="2" t="str">
        <f>IF($B256="","",IF(SUMPRODUCT((CLGameID=$B256)*CLPlayed*(CLUseCur+CLUsePrev&gt;0)*(CLPlays=0))&gt;0,"MISSING",""))</f>
        <v/>
      </c>
      <c r="K256" s="2" t="str">
        <f>IF($B256="","",IF(SUMPRODUCT((CLGameID=$B256)*CLPlayed*((CLOffPts&lt;-20)+(CLOffPts&gt;90)))&gt;0,"CHECK",""))</f>
        <v/>
      </c>
      <c r="L256" s="2" t="str">
        <f t="array" ref="L256">IF($B256="","",IF(OR(ABS(IFERROR(INDEX(RatEff,MATCH($D256,RatTeams,0)),0))&gt;RatingRange,ABS(IFERROR(INDEX(RatEff,MATCH($E256,RatTeams,0)),0))&gt;RatingRange),"RANGE",""))</f>
        <v/>
      </c>
      <c r="M256" s="2" t="str">
        <f t="array" ref="M256">IF($B256="","",IF(OR(IFERROR(INDEX(CalcMoveFlag,MATCH($D256,CalcTeams,0)),"")="CAPPED",IFERROR(INDEX(CalcMoveFlag,MATCH($E256,CalcTeams,0)),"")="CAPPED"),"CAPPED",""))</f>
        <v/>
      </c>
      <c r="N256" s="2" t="str">
        <f>IF($B256="","",IF(ABS(SUMIFS(AdjSpread,AdjGameID,$B256,AdjActive,1))&gt;AdjCap,"LARGE",""))</f>
        <v/>
      </c>
      <c r="O256" s="2" t="str">
        <f t="array" ref="O256">IF($B256="","",IFERROR(INDEX(MktStale,MATCH($B256,MktGameID,0)),""))</f>
        <v/>
      </c>
      <c r="P256" s="2" t="str">
        <f t="shared" si="1"/>
        <v>READY</v>
      </c>
    </row>
    <row r="257" ht="15.0" customHeight="1">
      <c r="A257" s="2">
        <v>246.0</v>
      </c>
      <c r="B257" s="2" t="str">
        <f t="array" ref="B257">IFERROR(INDEX(SchedZone,MATCH($A257,SchedSeq,0),MAP!$B$6),"")</f>
        <v>2026_17_WAS_JAX</v>
      </c>
      <c r="C257" s="2">
        <f t="array" ref="C257">IF($B257="","",INDEX(SchedZone,MATCH($A257,SchedSeq,0),MAP!$B$4))</f>
        <v>17</v>
      </c>
      <c r="D257" s="2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2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2" t="str">
        <f>IF($B257="","",IF(COUNTIF(EngGameID,$B257)&gt;1,"DUP",""))</f>
        <v/>
      </c>
      <c r="G257" s="2" t="str">
        <f>IF($B257="","",IF(OR(COUNTIFS(EngWeek,$C257,EngAway,$D257)+COUNTIFS(EngWeek,$C257,EngHome,$D257)&gt;1,COUNTIFS(EngWeek,$C257,EngAway,$E257)+COUNTIFS(EngWeek,$C257,EngHome,$E257)&gt;1),"DUP",""))</f>
        <v/>
      </c>
      <c r="H257" s="2" t="str">
        <f>IF($B257="","",IF(OR(SUMPRODUCT((CLGameID=$B257)*CLUnmatched)&gt;0,LEFT($D257,1)="⚠",LEFT($E257,1)="⚠"),"UNMATCHED",""))</f>
        <v/>
      </c>
      <c r="I257" s="2" t="str">
        <f t="array" ref="I257">IF($B257="","",IF(OR(NOT(ISNUMBER(IFERROR(INDEX(RatEff,MATCH($D257,RatTeams,0)),"x"))),NOT(ISNUMBER(IFERROR(INDEX(RatEff,MATCH($E257,RatTeams,0)),"x")))),"MISSING",""))</f>
        <v/>
      </c>
      <c r="J257" s="2" t="str">
        <f>IF($B257="","",IF(SUMPRODUCT((CLGameID=$B257)*CLPlayed*(CLUseCur+CLUsePrev&gt;0)*(CLPlays=0))&gt;0,"MISSING",""))</f>
        <v/>
      </c>
      <c r="K257" s="2" t="str">
        <f>IF($B257="","",IF(SUMPRODUCT((CLGameID=$B257)*CLPlayed*((CLOffPts&lt;-20)+(CLOffPts&gt;90)))&gt;0,"CHECK",""))</f>
        <v/>
      </c>
      <c r="L257" s="2" t="str">
        <f t="array" ref="L257">IF($B257="","",IF(OR(ABS(IFERROR(INDEX(RatEff,MATCH($D257,RatTeams,0)),0))&gt;RatingRange,ABS(IFERROR(INDEX(RatEff,MATCH($E257,RatTeams,0)),0))&gt;RatingRange),"RANGE",""))</f>
        <v/>
      </c>
      <c r="M257" s="2" t="str">
        <f t="array" ref="M257">IF($B257="","",IF(OR(IFERROR(INDEX(CalcMoveFlag,MATCH($D257,CalcTeams,0)),"")="CAPPED",IFERROR(INDEX(CalcMoveFlag,MATCH($E257,CalcTeams,0)),"")="CAPPED"),"CAPPED",""))</f>
        <v/>
      </c>
      <c r="N257" s="2" t="str">
        <f>IF($B257="","",IF(ABS(SUMIFS(AdjSpread,AdjGameID,$B257,AdjActive,1))&gt;AdjCap,"LARGE",""))</f>
        <v/>
      </c>
      <c r="O257" s="2" t="str">
        <f t="array" ref="O257">IF($B257="","",IFERROR(INDEX(MktStale,MATCH($B257,MktGameID,0)),""))</f>
        <v/>
      </c>
      <c r="P257" s="2" t="str">
        <f t="shared" si="1"/>
        <v>READY</v>
      </c>
    </row>
    <row r="258" ht="15.0" customHeight="1">
      <c r="A258" s="2">
        <v>247.0</v>
      </c>
      <c r="B258" s="2" t="str">
        <f t="array" ref="B258">IFERROR(INDEX(SchedZone,MATCH($A258,SchedSeq,0),MAP!$B$6),"")</f>
        <v>2026_17_KC_LAC</v>
      </c>
      <c r="C258" s="2">
        <f t="array" ref="C258">IF($B258="","",INDEX(SchedZone,MATCH($A258,SchedSeq,0),MAP!$B$4))</f>
        <v>17</v>
      </c>
      <c r="D258" s="2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2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2" t="str">
        <f>IF($B258="","",IF(COUNTIF(EngGameID,$B258)&gt;1,"DUP",""))</f>
        <v/>
      </c>
      <c r="G258" s="2" t="str">
        <f>IF($B258="","",IF(OR(COUNTIFS(EngWeek,$C258,EngAway,$D258)+COUNTIFS(EngWeek,$C258,EngHome,$D258)&gt;1,COUNTIFS(EngWeek,$C258,EngAway,$E258)+COUNTIFS(EngWeek,$C258,EngHome,$E258)&gt;1),"DUP",""))</f>
        <v/>
      </c>
      <c r="H258" s="2" t="str">
        <f>IF($B258="","",IF(OR(SUMPRODUCT((CLGameID=$B258)*CLUnmatched)&gt;0,LEFT($D258,1)="⚠",LEFT($E258,1)="⚠"),"UNMATCHED",""))</f>
        <v/>
      </c>
      <c r="I258" s="2" t="str">
        <f t="array" ref="I258">IF($B258="","",IF(OR(NOT(ISNUMBER(IFERROR(INDEX(RatEff,MATCH($D258,RatTeams,0)),"x"))),NOT(ISNUMBER(IFERROR(INDEX(RatEff,MATCH($E258,RatTeams,0)),"x")))),"MISSING",""))</f>
        <v/>
      </c>
      <c r="J258" s="2" t="str">
        <f>IF($B258="","",IF(SUMPRODUCT((CLGameID=$B258)*CLPlayed*(CLUseCur+CLUsePrev&gt;0)*(CLPlays=0))&gt;0,"MISSING",""))</f>
        <v/>
      </c>
      <c r="K258" s="2" t="str">
        <f>IF($B258="","",IF(SUMPRODUCT((CLGameID=$B258)*CLPlayed*((CLOffPts&lt;-20)+(CLOffPts&gt;90)))&gt;0,"CHECK",""))</f>
        <v/>
      </c>
      <c r="L258" s="2" t="str">
        <f t="array" ref="L258">IF($B258="","",IF(OR(ABS(IFERROR(INDEX(RatEff,MATCH($D258,RatTeams,0)),0))&gt;RatingRange,ABS(IFERROR(INDEX(RatEff,MATCH($E258,RatTeams,0)),0))&gt;RatingRange),"RANGE",""))</f>
        <v/>
      </c>
      <c r="M258" s="2" t="str">
        <f t="array" ref="M258">IF($B258="","",IF(OR(IFERROR(INDEX(CalcMoveFlag,MATCH($D258,CalcTeams,0)),"")="CAPPED",IFERROR(INDEX(CalcMoveFlag,MATCH($E258,CalcTeams,0)),"")="CAPPED"),"CAPPED",""))</f>
        <v/>
      </c>
      <c r="N258" s="2" t="str">
        <f>IF($B258="","",IF(ABS(SUMIFS(AdjSpread,AdjGameID,$B258,AdjActive,1))&gt;AdjCap,"LARGE",""))</f>
        <v/>
      </c>
      <c r="O258" s="2" t="str">
        <f t="array" ref="O258">IF($B258="","",IFERROR(INDEX(MktStale,MATCH($B258,MktGameID,0)),""))</f>
        <v/>
      </c>
      <c r="P258" s="2" t="str">
        <f t="shared" si="1"/>
        <v>READY</v>
      </c>
    </row>
    <row r="259" ht="15.0" customHeight="1">
      <c r="A259" s="2">
        <v>248.0</v>
      </c>
      <c r="B259" s="2" t="str">
        <f t="array" ref="B259">IFERROR(INDEX(SchedZone,MATCH($A259,SchedSeq,0),MAP!$B$6),"")</f>
        <v>2026_17_BUF_MIA</v>
      </c>
      <c r="C259" s="2">
        <f t="array" ref="C259">IF($B259="","",INDEX(SchedZone,MATCH($A259,SchedSeq,0),MAP!$B$4))</f>
        <v>17</v>
      </c>
      <c r="D259" s="2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2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2" t="str">
        <f>IF($B259="","",IF(COUNTIF(EngGameID,$B259)&gt;1,"DUP",""))</f>
        <v/>
      </c>
      <c r="G259" s="2" t="str">
        <f>IF($B259="","",IF(OR(COUNTIFS(EngWeek,$C259,EngAway,$D259)+COUNTIFS(EngWeek,$C259,EngHome,$D259)&gt;1,COUNTIFS(EngWeek,$C259,EngAway,$E259)+COUNTIFS(EngWeek,$C259,EngHome,$E259)&gt;1),"DUP",""))</f>
        <v/>
      </c>
      <c r="H259" s="2" t="str">
        <f>IF($B259="","",IF(OR(SUMPRODUCT((CLGameID=$B259)*CLUnmatched)&gt;0,LEFT($D259,1)="⚠",LEFT($E259,1)="⚠"),"UNMATCHED",""))</f>
        <v/>
      </c>
      <c r="I259" s="2" t="str">
        <f t="array" ref="I259">IF($B259="","",IF(OR(NOT(ISNUMBER(IFERROR(INDEX(RatEff,MATCH($D259,RatTeams,0)),"x"))),NOT(ISNUMBER(IFERROR(INDEX(RatEff,MATCH($E259,RatTeams,0)),"x")))),"MISSING",""))</f>
        <v/>
      </c>
      <c r="J259" s="2" t="str">
        <f>IF($B259="","",IF(SUMPRODUCT((CLGameID=$B259)*CLPlayed*(CLUseCur+CLUsePrev&gt;0)*(CLPlays=0))&gt;0,"MISSING",""))</f>
        <v/>
      </c>
      <c r="K259" s="2" t="str">
        <f>IF($B259="","",IF(SUMPRODUCT((CLGameID=$B259)*CLPlayed*((CLOffPts&lt;-20)+(CLOffPts&gt;90)))&gt;0,"CHECK",""))</f>
        <v/>
      </c>
      <c r="L259" s="2" t="str">
        <f t="array" ref="L259">IF($B259="","",IF(OR(ABS(IFERROR(INDEX(RatEff,MATCH($D259,RatTeams,0)),0))&gt;RatingRange,ABS(IFERROR(INDEX(RatEff,MATCH($E259,RatTeams,0)),0))&gt;RatingRange),"RANGE",""))</f>
        <v/>
      </c>
      <c r="M259" s="2" t="str">
        <f t="array" ref="M259">IF($B259="","",IF(OR(IFERROR(INDEX(CalcMoveFlag,MATCH($D259,CalcTeams,0)),"")="CAPPED",IFERROR(INDEX(CalcMoveFlag,MATCH($E259,CalcTeams,0)),"")="CAPPED"),"CAPPED",""))</f>
        <v/>
      </c>
      <c r="N259" s="2" t="str">
        <f>IF($B259="","",IF(ABS(SUMIFS(AdjSpread,AdjGameID,$B259,AdjActive,1))&gt;AdjCap,"LARGE",""))</f>
        <v/>
      </c>
      <c r="O259" s="2" t="str">
        <f t="array" ref="O259">IF($B259="","",IFERROR(INDEX(MktStale,MATCH($B259,MktGameID,0)),""))</f>
        <v/>
      </c>
      <c r="P259" s="2" t="str">
        <f t="shared" si="1"/>
        <v>READY</v>
      </c>
    </row>
    <row r="260" ht="15.0" customHeight="1">
      <c r="A260" s="2">
        <v>249.0</v>
      </c>
      <c r="B260" s="2" t="str">
        <f t="array" ref="B260">IFERROR(INDEX(SchedZone,MATCH($A260,SchedSeq,0),MAP!$B$6),"")</f>
        <v>2026_17_DEN_NE</v>
      </c>
      <c r="C260" s="2">
        <f t="array" ref="C260">IF($B260="","",INDEX(SchedZone,MATCH($A260,SchedSeq,0),MAP!$B$4))</f>
        <v>17</v>
      </c>
      <c r="D260" s="2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2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2" t="str">
        <f>IF($B260="","",IF(COUNTIF(EngGameID,$B260)&gt;1,"DUP",""))</f>
        <v/>
      </c>
      <c r="G260" s="2" t="str">
        <f>IF($B260="","",IF(OR(COUNTIFS(EngWeek,$C260,EngAway,$D260)+COUNTIFS(EngWeek,$C260,EngHome,$D260)&gt;1,COUNTIFS(EngWeek,$C260,EngAway,$E260)+COUNTIFS(EngWeek,$C260,EngHome,$E260)&gt;1),"DUP",""))</f>
        <v/>
      </c>
      <c r="H260" s="2" t="str">
        <f>IF($B260="","",IF(OR(SUMPRODUCT((CLGameID=$B260)*CLUnmatched)&gt;0,LEFT($D260,1)="⚠",LEFT($E260,1)="⚠"),"UNMATCHED",""))</f>
        <v/>
      </c>
      <c r="I260" s="2" t="str">
        <f t="array" ref="I260">IF($B260="","",IF(OR(NOT(ISNUMBER(IFERROR(INDEX(RatEff,MATCH($D260,RatTeams,0)),"x"))),NOT(ISNUMBER(IFERROR(INDEX(RatEff,MATCH($E260,RatTeams,0)),"x")))),"MISSING",""))</f>
        <v/>
      </c>
      <c r="J260" s="2" t="str">
        <f>IF($B260="","",IF(SUMPRODUCT((CLGameID=$B260)*CLPlayed*(CLUseCur+CLUsePrev&gt;0)*(CLPlays=0))&gt;0,"MISSING",""))</f>
        <v/>
      </c>
      <c r="K260" s="2" t="str">
        <f>IF($B260="","",IF(SUMPRODUCT((CLGameID=$B260)*CLPlayed*((CLOffPts&lt;-20)+(CLOffPts&gt;90)))&gt;0,"CHECK",""))</f>
        <v/>
      </c>
      <c r="L260" s="2" t="str">
        <f t="array" ref="L260">IF($B260="","",IF(OR(ABS(IFERROR(INDEX(RatEff,MATCH($D260,RatTeams,0)),0))&gt;RatingRange,ABS(IFERROR(INDEX(RatEff,MATCH($E260,RatTeams,0)),0))&gt;RatingRange),"RANGE",""))</f>
        <v/>
      </c>
      <c r="M260" s="2" t="str">
        <f t="array" ref="M260">IF($B260="","",IF(OR(IFERROR(INDEX(CalcMoveFlag,MATCH($D260,CalcTeams,0)),"")="CAPPED",IFERROR(INDEX(CalcMoveFlag,MATCH($E260,CalcTeams,0)),"")="CAPPED"),"CAPPED",""))</f>
        <v/>
      </c>
      <c r="N260" s="2" t="str">
        <f>IF($B260="","",IF(ABS(SUMIFS(AdjSpread,AdjGameID,$B260,AdjActive,1))&gt;AdjCap,"LARGE",""))</f>
        <v/>
      </c>
      <c r="O260" s="2" t="str">
        <f t="array" ref="O260">IF($B260="","",IFERROR(INDEX(MktStale,MATCH($B260,MktGameID,0)),""))</f>
        <v/>
      </c>
      <c r="P260" s="2" t="str">
        <f t="shared" si="1"/>
        <v>READY</v>
      </c>
    </row>
    <row r="261" ht="15.0" customHeight="1">
      <c r="A261" s="2">
        <v>250.0</v>
      </c>
      <c r="B261" s="2" t="str">
        <f t="array" ref="B261">IFERROR(INDEX(SchedZone,MATCH($A261,SchedSeq,0),MAP!$B$6),"")</f>
        <v>2026_17_MIN_NYJ</v>
      </c>
      <c r="C261" s="2">
        <f t="array" ref="C261">IF($B261="","",INDEX(SchedZone,MATCH($A261,SchedSeq,0),MAP!$B$4))</f>
        <v>17</v>
      </c>
      <c r="D261" s="2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2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2" t="str">
        <f>IF($B261="","",IF(COUNTIF(EngGameID,$B261)&gt;1,"DUP",""))</f>
        <v/>
      </c>
      <c r="G261" s="2" t="str">
        <f>IF($B261="","",IF(OR(COUNTIFS(EngWeek,$C261,EngAway,$D261)+COUNTIFS(EngWeek,$C261,EngHome,$D261)&gt;1,COUNTIFS(EngWeek,$C261,EngAway,$E261)+COUNTIFS(EngWeek,$C261,EngHome,$E261)&gt;1),"DUP",""))</f>
        <v/>
      </c>
      <c r="H261" s="2" t="str">
        <f>IF($B261="","",IF(OR(SUMPRODUCT((CLGameID=$B261)*CLUnmatched)&gt;0,LEFT($D261,1)="⚠",LEFT($E261,1)="⚠"),"UNMATCHED",""))</f>
        <v/>
      </c>
      <c r="I261" s="2" t="str">
        <f t="array" ref="I261">IF($B261="","",IF(OR(NOT(ISNUMBER(IFERROR(INDEX(RatEff,MATCH($D261,RatTeams,0)),"x"))),NOT(ISNUMBER(IFERROR(INDEX(RatEff,MATCH($E261,RatTeams,0)),"x")))),"MISSING",""))</f>
        <v/>
      </c>
      <c r="J261" s="2" t="str">
        <f>IF($B261="","",IF(SUMPRODUCT((CLGameID=$B261)*CLPlayed*(CLUseCur+CLUsePrev&gt;0)*(CLPlays=0))&gt;0,"MISSING",""))</f>
        <v/>
      </c>
      <c r="K261" s="2" t="str">
        <f>IF($B261="","",IF(SUMPRODUCT((CLGameID=$B261)*CLPlayed*((CLOffPts&lt;-20)+(CLOffPts&gt;90)))&gt;0,"CHECK",""))</f>
        <v/>
      </c>
      <c r="L261" s="2" t="str">
        <f t="array" ref="L261">IF($B261="","",IF(OR(ABS(IFERROR(INDEX(RatEff,MATCH($D261,RatTeams,0)),0))&gt;RatingRange,ABS(IFERROR(INDEX(RatEff,MATCH($E261,RatTeams,0)),0))&gt;RatingRange),"RANGE",""))</f>
        <v/>
      </c>
      <c r="M261" s="2" t="str">
        <f t="array" ref="M261">IF($B261="","",IF(OR(IFERROR(INDEX(CalcMoveFlag,MATCH($D261,CalcTeams,0)),"")="CAPPED",IFERROR(INDEX(CalcMoveFlag,MATCH($E261,CalcTeams,0)),"")="CAPPED"),"CAPPED",""))</f>
        <v/>
      </c>
      <c r="N261" s="2" t="str">
        <f>IF($B261="","",IF(ABS(SUMIFS(AdjSpread,AdjGameID,$B261,AdjActive,1))&gt;AdjCap,"LARGE",""))</f>
        <v/>
      </c>
      <c r="O261" s="2" t="str">
        <f t="array" ref="O261">IF($B261="","",IFERROR(INDEX(MktStale,MATCH($B261,MktGameID,0)),""))</f>
        <v/>
      </c>
      <c r="P261" s="2" t="str">
        <f t="shared" si="1"/>
        <v>READY</v>
      </c>
    </row>
    <row r="262" ht="15.0" customHeight="1">
      <c r="A262" s="2">
        <v>251.0</v>
      </c>
      <c r="B262" s="2" t="str">
        <f t="array" ref="B262">IFERROR(INDEX(SchedZone,MATCH($A262,SchedSeq,0),MAP!$B$6),"")</f>
        <v>2026_17_LA_TB</v>
      </c>
      <c r="C262" s="2">
        <f t="array" ref="C262">IF($B262="","",INDEX(SchedZone,MATCH($A262,SchedSeq,0),MAP!$B$4))</f>
        <v>17</v>
      </c>
      <c r="D262" s="2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2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2" t="str">
        <f>IF($B262="","",IF(COUNTIF(EngGameID,$B262)&gt;1,"DUP",""))</f>
        <v/>
      </c>
      <c r="G262" s="2" t="str">
        <f>IF($B262="","",IF(OR(COUNTIFS(EngWeek,$C262,EngAway,$D262)+COUNTIFS(EngWeek,$C262,EngHome,$D262)&gt;1,COUNTIFS(EngWeek,$C262,EngAway,$E262)+COUNTIFS(EngWeek,$C262,EngHome,$E262)&gt;1),"DUP",""))</f>
        <v/>
      </c>
      <c r="H262" s="2" t="str">
        <f>IF($B262="","",IF(OR(SUMPRODUCT((CLGameID=$B262)*CLUnmatched)&gt;0,LEFT($D262,1)="⚠",LEFT($E262,1)="⚠"),"UNMATCHED",""))</f>
        <v/>
      </c>
      <c r="I262" s="2" t="str">
        <f t="array" ref="I262">IF($B262="","",IF(OR(NOT(ISNUMBER(IFERROR(INDEX(RatEff,MATCH($D262,RatTeams,0)),"x"))),NOT(ISNUMBER(IFERROR(INDEX(RatEff,MATCH($E262,RatTeams,0)),"x")))),"MISSING",""))</f>
        <v/>
      </c>
      <c r="J262" s="2" t="str">
        <f>IF($B262="","",IF(SUMPRODUCT((CLGameID=$B262)*CLPlayed*(CLUseCur+CLUsePrev&gt;0)*(CLPlays=0))&gt;0,"MISSING",""))</f>
        <v/>
      </c>
      <c r="K262" s="2" t="str">
        <f>IF($B262="","",IF(SUMPRODUCT((CLGameID=$B262)*CLPlayed*((CLOffPts&lt;-20)+(CLOffPts&gt;90)))&gt;0,"CHECK",""))</f>
        <v/>
      </c>
      <c r="L262" s="2" t="str">
        <f t="array" ref="L262">IF($B262="","",IF(OR(ABS(IFERROR(INDEX(RatEff,MATCH($D262,RatTeams,0)),0))&gt;RatingRange,ABS(IFERROR(INDEX(RatEff,MATCH($E262,RatTeams,0)),0))&gt;RatingRange),"RANGE",""))</f>
        <v/>
      </c>
      <c r="M262" s="2" t="str">
        <f t="array" ref="M262">IF($B262="","",IF(OR(IFERROR(INDEX(CalcMoveFlag,MATCH($D262,CalcTeams,0)),"")="CAPPED",IFERROR(INDEX(CalcMoveFlag,MATCH($E262,CalcTeams,0)),"")="CAPPED"),"CAPPED",""))</f>
        <v/>
      </c>
      <c r="N262" s="2" t="str">
        <f>IF($B262="","",IF(ABS(SUMIFS(AdjSpread,AdjGameID,$B262,AdjActive,1))&gt;AdjCap,"LARGE",""))</f>
        <v/>
      </c>
      <c r="O262" s="2" t="str">
        <f t="array" ref="O262">IF($B262="","",IFERROR(INDEX(MktStale,MATCH($B262,MktGameID,0)),""))</f>
        <v/>
      </c>
      <c r="P262" s="2" t="str">
        <f t="shared" si="1"/>
        <v>READY</v>
      </c>
    </row>
    <row r="263" ht="15.0" customHeight="1">
      <c r="A263" s="2">
        <v>252.0</v>
      </c>
      <c r="B263" s="2" t="str">
        <f t="array" ref="B263">IFERROR(INDEX(SchedZone,MATCH($A263,SchedSeq,0),MAP!$B$6),"")</f>
        <v>2026_17_PIT_TEN</v>
      </c>
      <c r="C263" s="2">
        <f t="array" ref="C263">IF($B263="","",INDEX(SchedZone,MATCH($A263,SchedSeq,0),MAP!$B$4))</f>
        <v>17</v>
      </c>
      <c r="D263" s="2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2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2" t="str">
        <f>IF($B263="","",IF(COUNTIF(EngGameID,$B263)&gt;1,"DUP",""))</f>
        <v/>
      </c>
      <c r="G263" s="2" t="str">
        <f>IF($B263="","",IF(OR(COUNTIFS(EngWeek,$C263,EngAway,$D263)+COUNTIFS(EngWeek,$C263,EngHome,$D263)&gt;1,COUNTIFS(EngWeek,$C263,EngAway,$E263)+COUNTIFS(EngWeek,$C263,EngHome,$E263)&gt;1),"DUP",""))</f>
        <v/>
      </c>
      <c r="H263" s="2" t="str">
        <f>IF($B263="","",IF(OR(SUMPRODUCT((CLGameID=$B263)*CLUnmatched)&gt;0,LEFT($D263,1)="⚠",LEFT($E263,1)="⚠"),"UNMATCHED",""))</f>
        <v/>
      </c>
      <c r="I263" s="2" t="str">
        <f t="array" ref="I263">IF($B263="","",IF(OR(NOT(ISNUMBER(IFERROR(INDEX(RatEff,MATCH($D263,RatTeams,0)),"x"))),NOT(ISNUMBER(IFERROR(INDEX(RatEff,MATCH($E263,RatTeams,0)),"x")))),"MISSING",""))</f>
        <v/>
      </c>
      <c r="J263" s="2" t="str">
        <f>IF($B263="","",IF(SUMPRODUCT((CLGameID=$B263)*CLPlayed*(CLUseCur+CLUsePrev&gt;0)*(CLPlays=0))&gt;0,"MISSING",""))</f>
        <v/>
      </c>
      <c r="K263" s="2" t="str">
        <f>IF($B263="","",IF(SUMPRODUCT((CLGameID=$B263)*CLPlayed*((CLOffPts&lt;-20)+(CLOffPts&gt;90)))&gt;0,"CHECK",""))</f>
        <v/>
      </c>
      <c r="L263" s="2" t="str">
        <f t="array" ref="L263">IF($B263="","",IF(OR(ABS(IFERROR(INDEX(RatEff,MATCH($D263,RatTeams,0)),0))&gt;RatingRange,ABS(IFERROR(INDEX(RatEff,MATCH($E263,RatTeams,0)),0))&gt;RatingRange),"RANGE",""))</f>
        <v/>
      </c>
      <c r="M263" s="2" t="str">
        <f t="array" ref="M263">IF($B263="","",IF(OR(IFERROR(INDEX(CalcMoveFlag,MATCH($D263,CalcTeams,0)),"")="CAPPED",IFERROR(INDEX(CalcMoveFlag,MATCH($E263,CalcTeams,0)),"")="CAPPED"),"CAPPED",""))</f>
        <v/>
      </c>
      <c r="N263" s="2" t="str">
        <f>IF($B263="","",IF(ABS(SUMIFS(AdjSpread,AdjGameID,$B263,AdjActive,1))&gt;AdjCap,"LARGE",""))</f>
        <v/>
      </c>
      <c r="O263" s="2" t="str">
        <f t="array" ref="O263">IF($B263="","",IFERROR(INDEX(MktStale,MATCH($B263,MktGameID,0)),""))</f>
        <v/>
      </c>
      <c r="P263" s="2" t="str">
        <f t="shared" si="1"/>
        <v>READY</v>
      </c>
    </row>
    <row r="264" ht="15.0" customHeight="1">
      <c r="A264" s="2">
        <v>253.0</v>
      </c>
      <c r="B264" s="2" t="str">
        <f t="array" ref="B264">IFERROR(INDEX(SchedZone,MATCH($A264,SchedSeq,0),MAP!$B$6),"")</f>
        <v>2026_17_LV_ARI</v>
      </c>
      <c r="C264" s="2">
        <f t="array" ref="C264">IF($B264="","",INDEX(SchedZone,MATCH($A264,SchedSeq,0),MAP!$B$4))</f>
        <v>17</v>
      </c>
      <c r="D264" s="2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2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2" t="str">
        <f>IF($B264="","",IF(COUNTIF(EngGameID,$B264)&gt;1,"DUP",""))</f>
        <v/>
      </c>
      <c r="G264" s="2" t="str">
        <f>IF($B264="","",IF(OR(COUNTIFS(EngWeek,$C264,EngAway,$D264)+COUNTIFS(EngWeek,$C264,EngHome,$D264)&gt;1,COUNTIFS(EngWeek,$C264,EngAway,$E264)+COUNTIFS(EngWeek,$C264,EngHome,$E264)&gt;1),"DUP",""))</f>
        <v/>
      </c>
      <c r="H264" s="2" t="str">
        <f>IF($B264="","",IF(OR(SUMPRODUCT((CLGameID=$B264)*CLUnmatched)&gt;0,LEFT($D264,1)="⚠",LEFT($E264,1)="⚠"),"UNMATCHED",""))</f>
        <v/>
      </c>
      <c r="I264" s="2" t="str">
        <f t="array" ref="I264">IF($B264="","",IF(OR(NOT(ISNUMBER(IFERROR(INDEX(RatEff,MATCH($D264,RatTeams,0)),"x"))),NOT(ISNUMBER(IFERROR(INDEX(RatEff,MATCH($E264,RatTeams,0)),"x")))),"MISSING",""))</f>
        <v/>
      </c>
      <c r="J264" s="2" t="str">
        <f>IF($B264="","",IF(SUMPRODUCT((CLGameID=$B264)*CLPlayed*(CLUseCur+CLUsePrev&gt;0)*(CLPlays=0))&gt;0,"MISSING",""))</f>
        <v/>
      </c>
      <c r="K264" s="2" t="str">
        <f>IF($B264="","",IF(SUMPRODUCT((CLGameID=$B264)*CLPlayed*((CLOffPts&lt;-20)+(CLOffPts&gt;90)))&gt;0,"CHECK",""))</f>
        <v/>
      </c>
      <c r="L264" s="2" t="str">
        <f t="array" ref="L264">IF($B264="","",IF(OR(ABS(IFERROR(INDEX(RatEff,MATCH($D264,RatTeams,0)),0))&gt;RatingRange,ABS(IFERROR(INDEX(RatEff,MATCH($E264,RatTeams,0)),0))&gt;RatingRange),"RANGE",""))</f>
        <v/>
      </c>
      <c r="M264" s="2" t="str">
        <f t="array" ref="M264">IF($B264="","",IF(OR(IFERROR(INDEX(CalcMoveFlag,MATCH($D264,CalcTeams,0)),"")="CAPPED",IFERROR(INDEX(CalcMoveFlag,MATCH($E264,CalcTeams,0)),"")="CAPPED"),"CAPPED",""))</f>
        <v/>
      </c>
      <c r="N264" s="2" t="str">
        <f>IF($B264="","",IF(ABS(SUMIFS(AdjSpread,AdjGameID,$B264,AdjActive,1))&gt;AdjCap,"LARGE",""))</f>
        <v/>
      </c>
      <c r="O264" s="2" t="str">
        <f t="array" ref="O264">IF($B264="","",IFERROR(INDEX(MktStale,MATCH($B264,MktGameID,0)),""))</f>
        <v/>
      </c>
      <c r="P264" s="2" t="str">
        <f t="shared" si="1"/>
        <v>READY</v>
      </c>
    </row>
    <row r="265" ht="15.0" customHeight="1">
      <c r="A265" s="2">
        <v>254.0</v>
      </c>
      <c r="B265" s="2" t="str">
        <f t="array" ref="B265">IFERROR(INDEX(SchedZone,MATCH($A265,SchedSeq,0),MAP!$B$6),"")</f>
        <v>2026_17_DET_CHI</v>
      </c>
      <c r="C265" s="2">
        <f t="array" ref="C265">IF($B265="","",INDEX(SchedZone,MATCH($A265,SchedSeq,0),MAP!$B$4))</f>
        <v>17</v>
      </c>
      <c r="D265" s="2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2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2" t="str">
        <f>IF($B265="","",IF(COUNTIF(EngGameID,$B265)&gt;1,"DUP",""))</f>
        <v/>
      </c>
      <c r="G265" s="2" t="str">
        <f>IF($B265="","",IF(OR(COUNTIFS(EngWeek,$C265,EngAway,$D265)+COUNTIFS(EngWeek,$C265,EngHome,$D265)&gt;1,COUNTIFS(EngWeek,$C265,EngAway,$E265)+COUNTIFS(EngWeek,$C265,EngHome,$E265)&gt;1),"DUP",""))</f>
        <v/>
      </c>
      <c r="H265" s="2" t="str">
        <f>IF($B265="","",IF(OR(SUMPRODUCT((CLGameID=$B265)*CLUnmatched)&gt;0,LEFT($D265,1)="⚠",LEFT($E265,1)="⚠"),"UNMATCHED",""))</f>
        <v/>
      </c>
      <c r="I265" s="2" t="str">
        <f t="array" ref="I265">IF($B265="","",IF(OR(NOT(ISNUMBER(IFERROR(INDEX(RatEff,MATCH($D265,RatTeams,0)),"x"))),NOT(ISNUMBER(IFERROR(INDEX(RatEff,MATCH($E265,RatTeams,0)),"x")))),"MISSING",""))</f>
        <v/>
      </c>
      <c r="J265" s="2" t="str">
        <f>IF($B265="","",IF(SUMPRODUCT((CLGameID=$B265)*CLPlayed*(CLUseCur+CLUsePrev&gt;0)*(CLPlays=0))&gt;0,"MISSING",""))</f>
        <v/>
      </c>
      <c r="K265" s="2" t="str">
        <f>IF($B265="","",IF(SUMPRODUCT((CLGameID=$B265)*CLPlayed*((CLOffPts&lt;-20)+(CLOffPts&gt;90)))&gt;0,"CHECK",""))</f>
        <v/>
      </c>
      <c r="L265" s="2" t="str">
        <f t="array" ref="L265">IF($B265="","",IF(OR(ABS(IFERROR(INDEX(RatEff,MATCH($D265,RatTeams,0)),0))&gt;RatingRange,ABS(IFERROR(INDEX(RatEff,MATCH($E265,RatTeams,0)),0))&gt;RatingRange),"RANGE",""))</f>
        <v/>
      </c>
      <c r="M265" s="2" t="str">
        <f t="array" ref="M265">IF($B265="","",IF(OR(IFERROR(INDEX(CalcMoveFlag,MATCH($D265,CalcTeams,0)),"")="CAPPED",IFERROR(INDEX(CalcMoveFlag,MATCH($E265,CalcTeams,0)),"")="CAPPED"),"CAPPED",""))</f>
        <v/>
      </c>
      <c r="N265" s="2" t="str">
        <f>IF($B265="","",IF(ABS(SUMIFS(AdjSpread,AdjGameID,$B265,AdjActive,1))&gt;AdjCap,"LARGE",""))</f>
        <v/>
      </c>
      <c r="O265" s="2" t="str">
        <f t="array" ref="O265">IF($B265="","",IFERROR(INDEX(MktStale,MATCH($B265,MktGameID,0)),""))</f>
        <v/>
      </c>
      <c r="P265" s="2" t="str">
        <f t="shared" si="1"/>
        <v>READY</v>
      </c>
    </row>
    <row r="266" ht="15.0" customHeight="1">
      <c r="A266" s="2">
        <v>255.0</v>
      </c>
      <c r="B266" s="2" t="str">
        <f t="array" ref="B266">IFERROR(INDEX(SchedZone,MATCH($A266,SchedSeq,0),MAP!$B$6),"")</f>
        <v>2026_17_PHI_SF</v>
      </c>
      <c r="C266" s="2">
        <f t="array" ref="C266">IF($B266="","",INDEX(SchedZone,MATCH($A266,SchedSeq,0),MAP!$B$4))</f>
        <v>17</v>
      </c>
      <c r="D266" s="2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2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2" t="str">
        <f>IF($B266="","",IF(COUNTIF(EngGameID,$B266)&gt;1,"DUP",""))</f>
        <v/>
      </c>
      <c r="G266" s="2" t="str">
        <f>IF($B266="","",IF(OR(COUNTIFS(EngWeek,$C266,EngAway,$D266)+COUNTIFS(EngWeek,$C266,EngHome,$D266)&gt;1,COUNTIFS(EngWeek,$C266,EngAway,$E266)+COUNTIFS(EngWeek,$C266,EngHome,$E266)&gt;1),"DUP",""))</f>
        <v/>
      </c>
      <c r="H266" s="2" t="str">
        <f>IF($B266="","",IF(OR(SUMPRODUCT((CLGameID=$B266)*CLUnmatched)&gt;0,LEFT($D266,1)="⚠",LEFT($E266,1)="⚠"),"UNMATCHED",""))</f>
        <v/>
      </c>
      <c r="I266" s="2" t="str">
        <f t="array" ref="I266">IF($B266="","",IF(OR(NOT(ISNUMBER(IFERROR(INDEX(RatEff,MATCH($D266,RatTeams,0)),"x"))),NOT(ISNUMBER(IFERROR(INDEX(RatEff,MATCH($E266,RatTeams,0)),"x")))),"MISSING",""))</f>
        <v/>
      </c>
      <c r="J266" s="2" t="str">
        <f>IF($B266="","",IF(SUMPRODUCT((CLGameID=$B266)*CLPlayed*(CLUseCur+CLUsePrev&gt;0)*(CLPlays=0))&gt;0,"MISSING",""))</f>
        <v/>
      </c>
      <c r="K266" s="2" t="str">
        <f>IF($B266="","",IF(SUMPRODUCT((CLGameID=$B266)*CLPlayed*((CLOffPts&lt;-20)+(CLOffPts&gt;90)))&gt;0,"CHECK",""))</f>
        <v/>
      </c>
      <c r="L266" s="2" t="str">
        <f t="array" ref="L266">IF($B266="","",IF(OR(ABS(IFERROR(INDEX(RatEff,MATCH($D266,RatTeams,0)),0))&gt;RatingRange,ABS(IFERROR(INDEX(RatEff,MATCH($E266,RatTeams,0)),0))&gt;RatingRange),"RANGE",""))</f>
        <v/>
      </c>
      <c r="M266" s="2" t="str">
        <f t="array" ref="M266">IF($B266="","",IF(OR(IFERROR(INDEX(CalcMoveFlag,MATCH($D266,CalcTeams,0)),"")="CAPPED",IFERROR(INDEX(CalcMoveFlag,MATCH($E266,CalcTeams,0)),"")="CAPPED"),"CAPPED",""))</f>
        <v/>
      </c>
      <c r="N266" s="2" t="str">
        <f>IF($B266="","",IF(ABS(SUMIFS(AdjSpread,AdjGameID,$B266,AdjActive,1))&gt;AdjCap,"LARGE",""))</f>
        <v/>
      </c>
      <c r="O266" s="2" t="str">
        <f t="array" ref="O266">IF($B266="","",IFERROR(INDEX(MktStale,MATCH($B266,MktGameID,0)),""))</f>
        <v/>
      </c>
      <c r="P266" s="2" t="str">
        <f t="shared" si="1"/>
        <v>READY</v>
      </c>
    </row>
    <row r="267" ht="15.0" customHeight="1">
      <c r="A267" s="2">
        <v>256.0</v>
      </c>
      <c r="B267" s="2" t="str">
        <f t="array" ref="B267">IFERROR(INDEX(SchedZone,MATCH($A267,SchedSeq,0),MAP!$B$6),"")</f>
        <v>2026_17_HOU_GB</v>
      </c>
      <c r="C267" s="2">
        <f t="array" ref="C267">IF($B267="","",INDEX(SchedZone,MATCH($A267,SchedSeq,0),MAP!$B$4))</f>
        <v>17</v>
      </c>
      <c r="D267" s="2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2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2" t="str">
        <f>IF($B267="","",IF(COUNTIF(EngGameID,$B267)&gt;1,"DUP",""))</f>
        <v/>
      </c>
      <c r="G267" s="2" t="str">
        <f>IF($B267="","",IF(OR(COUNTIFS(EngWeek,$C267,EngAway,$D267)+COUNTIFS(EngWeek,$C267,EngHome,$D267)&gt;1,COUNTIFS(EngWeek,$C267,EngAway,$E267)+COUNTIFS(EngWeek,$C267,EngHome,$E267)&gt;1),"DUP",""))</f>
        <v/>
      </c>
      <c r="H267" s="2" t="str">
        <f>IF($B267="","",IF(OR(SUMPRODUCT((CLGameID=$B267)*CLUnmatched)&gt;0,LEFT($D267,1)="⚠",LEFT($E267,1)="⚠"),"UNMATCHED",""))</f>
        <v/>
      </c>
      <c r="I267" s="2" t="str">
        <f t="array" ref="I267">IF($B267="","",IF(OR(NOT(ISNUMBER(IFERROR(INDEX(RatEff,MATCH($D267,RatTeams,0)),"x"))),NOT(ISNUMBER(IFERROR(INDEX(RatEff,MATCH($E267,RatTeams,0)),"x")))),"MISSING",""))</f>
        <v/>
      </c>
      <c r="J267" s="2" t="str">
        <f>IF($B267="","",IF(SUMPRODUCT((CLGameID=$B267)*CLPlayed*(CLUseCur+CLUsePrev&gt;0)*(CLPlays=0))&gt;0,"MISSING",""))</f>
        <v/>
      </c>
      <c r="K267" s="2" t="str">
        <f>IF($B267="","",IF(SUMPRODUCT((CLGameID=$B267)*CLPlayed*((CLOffPts&lt;-20)+(CLOffPts&gt;90)))&gt;0,"CHECK",""))</f>
        <v/>
      </c>
      <c r="L267" s="2" t="str">
        <f t="array" ref="L267">IF($B267="","",IF(OR(ABS(IFERROR(INDEX(RatEff,MATCH($D267,RatTeams,0)),0))&gt;RatingRange,ABS(IFERROR(INDEX(RatEff,MATCH($E267,RatTeams,0)),0))&gt;RatingRange),"RANGE",""))</f>
        <v/>
      </c>
      <c r="M267" s="2" t="str">
        <f t="array" ref="M267">IF($B267="","",IF(OR(IFERROR(INDEX(CalcMoveFlag,MATCH($D267,CalcTeams,0)),"")="CAPPED",IFERROR(INDEX(CalcMoveFlag,MATCH($E267,CalcTeams,0)),"")="CAPPED"),"CAPPED",""))</f>
        <v/>
      </c>
      <c r="N267" s="2" t="str">
        <f>IF($B267="","",IF(ABS(SUMIFS(AdjSpread,AdjGameID,$B267,AdjActive,1))&gt;AdjCap,"LARGE",""))</f>
        <v/>
      </c>
      <c r="O267" s="2" t="str">
        <f t="array" ref="O267">IF($B267="","",IFERROR(INDEX(MktStale,MATCH($B267,MktGameID,0)),""))</f>
        <v/>
      </c>
      <c r="P267" s="2" t="str">
        <f t="shared" si="1"/>
        <v>READY</v>
      </c>
    </row>
    <row r="268" ht="15.0" customHeight="1">
      <c r="A268" s="2">
        <v>257.0</v>
      </c>
      <c r="B268" s="2" t="str">
        <f t="array" ref="B268">IFERROR(INDEX(SchedZone,MATCH($A268,SchedSeq,0),MAP!$B$6),"")</f>
        <v>2026_18_SF_ARI</v>
      </c>
      <c r="C268" s="2">
        <f t="array" ref="C268">IF($B268="","",INDEX(SchedZone,MATCH($A268,SchedSeq,0),MAP!$B$4))</f>
        <v>18</v>
      </c>
      <c r="D268" s="2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2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2" t="str">
        <f>IF($B268="","",IF(COUNTIF(EngGameID,$B268)&gt;1,"DUP",""))</f>
        <v/>
      </c>
      <c r="G268" s="2" t="str">
        <f>IF($B268="","",IF(OR(COUNTIFS(EngWeek,$C268,EngAway,$D268)+COUNTIFS(EngWeek,$C268,EngHome,$D268)&gt;1,COUNTIFS(EngWeek,$C268,EngAway,$E268)+COUNTIFS(EngWeek,$C268,EngHome,$E268)&gt;1),"DUP",""))</f>
        <v/>
      </c>
      <c r="H268" s="2" t="str">
        <f>IF($B268="","",IF(OR(SUMPRODUCT((CLGameID=$B268)*CLUnmatched)&gt;0,LEFT($D268,1)="⚠",LEFT($E268,1)="⚠"),"UNMATCHED",""))</f>
        <v/>
      </c>
      <c r="I268" s="2" t="str">
        <f t="array" ref="I268">IF($B268="","",IF(OR(NOT(ISNUMBER(IFERROR(INDEX(RatEff,MATCH($D268,RatTeams,0)),"x"))),NOT(ISNUMBER(IFERROR(INDEX(RatEff,MATCH($E268,RatTeams,0)),"x")))),"MISSING",""))</f>
        <v/>
      </c>
      <c r="J268" s="2" t="str">
        <f>IF($B268="","",IF(SUMPRODUCT((CLGameID=$B268)*CLPlayed*(CLUseCur+CLUsePrev&gt;0)*(CLPlays=0))&gt;0,"MISSING",""))</f>
        <v/>
      </c>
      <c r="K268" s="2" t="str">
        <f>IF($B268="","",IF(SUMPRODUCT((CLGameID=$B268)*CLPlayed*((CLOffPts&lt;-20)+(CLOffPts&gt;90)))&gt;0,"CHECK",""))</f>
        <v/>
      </c>
      <c r="L268" s="2" t="str">
        <f t="array" ref="L268">IF($B268="","",IF(OR(ABS(IFERROR(INDEX(RatEff,MATCH($D268,RatTeams,0)),0))&gt;RatingRange,ABS(IFERROR(INDEX(RatEff,MATCH($E268,RatTeams,0)),0))&gt;RatingRange),"RANGE",""))</f>
        <v/>
      </c>
      <c r="M268" s="2" t="str">
        <f t="array" ref="M268">IF($B268="","",IF(OR(IFERROR(INDEX(CalcMoveFlag,MATCH($D268,CalcTeams,0)),"")="CAPPED",IFERROR(INDEX(CalcMoveFlag,MATCH($E268,CalcTeams,0)),"")="CAPPED"),"CAPPED",""))</f>
        <v/>
      </c>
      <c r="N268" s="2" t="str">
        <f>IF($B268="","",IF(ABS(SUMIFS(AdjSpread,AdjGameID,$B268,AdjActive,1))&gt;AdjCap,"LARGE",""))</f>
        <v/>
      </c>
      <c r="O268" s="2" t="str">
        <f t="array" ref="O268">IF($B268="","",IFERROR(INDEX(MktStale,MATCH($B268,MktGameID,0)),""))</f>
        <v>STALE</v>
      </c>
      <c r="P268" s="2" t="str">
        <f t="shared" si="1"/>
        <v>WARNING</v>
      </c>
    </row>
    <row r="269" ht="15.0" customHeight="1">
      <c r="A269" s="2">
        <v>258.0</v>
      </c>
      <c r="B269" s="2" t="str">
        <f t="array" ref="B269">IFERROR(INDEX(SchedZone,MATCH($A269,SchedSeq,0),MAP!$B$6),"")</f>
        <v>2026_18_PIT_BAL</v>
      </c>
      <c r="C269" s="2">
        <f t="array" ref="C269">IF($B269="","",INDEX(SchedZone,MATCH($A269,SchedSeq,0),MAP!$B$4))</f>
        <v>18</v>
      </c>
      <c r="D269" s="2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2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2" t="str">
        <f>IF($B269="","",IF(COUNTIF(EngGameID,$B269)&gt;1,"DUP",""))</f>
        <v/>
      </c>
      <c r="G269" s="2" t="str">
        <f>IF($B269="","",IF(OR(COUNTIFS(EngWeek,$C269,EngAway,$D269)+COUNTIFS(EngWeek,$C269,EngHome,$D269)&gt;1,COUNTIFS(EngWeek,$C269,EngAway,$E269)+COUNTIFS(EngWeek,$C269,EngHome,$E269)&gt;1),"DUP",""))</f>
        <v/>
      </c>
      <c r="H269" s="2" t="str">
        <f>IF($B269="","",IF(OR(SUMPRODUCT((CLGameID=$B269)*CLUnmatched)&gt;0,LEFT($D269,1)="⚠",LEFT($E269,1)="⚠"),"UNMATCHED",""))</f>
        <v/>
      </c>
      <c r="I269" s="2" t="str">
        <f t="array" ref="I269">IF($B269="","",IF(OR(NOT(ISNUMBER(IFERROR(INDEX(RatEff,MATCH($D269,RatTeams,0)),"x"))),NOT(ISNUMBER(IFERROR(INDEX(RatEff,MATCH($E269,RatTeams,0)),"x")))),"MISSING",""))</f>
        <v/>
      </c>
      <c r="J269" s="2" t="str">
        <f>IF($B269="","",IF(SUMPRODUCT((CLGameID=$B269)*CLPlayed*(CLUseCur+CLUsePrev&gt;0)*(CLPlays=0))&gt;0,"MISSING",""))</f>
        <v/>
      </c>
      <c r="K269" s="2" t="str">
        <f>IF($B269="","",IF(SUMPRODUCT((CLGameID=$B269)*CLPlayed*((CLOffPts&lt;-20)+(CLOffPts&gt;90)))&gt;0,"CHECK",""))</f>
        <v/>
      </c>
      <c r="L269" s="2" t="str">
        <f t="array" ref="L269">IF($B269="","",IF(OR(ABS(IFERROR(INDEX(RatEff,MATCH($D269,RatTeams,0)),0))&gt;RatingRange,ABS(IFERROR(INDEX(RatEff,MATCH($E269,RatTeams,0)),0))&gt;RatingRange),"RANGE",""))</f>
        <v/>
      </c>
      <c r="M269" s="2" t="str">
        <f t="array" ref="M269">IF($B269="","",IF(OR(IFERROR(INDEX(CalcMoveFlag,MATCH($D269,CalcTeams,0)),"")="CAPPED",IFERROR(INDEX(CalcMoveFlag,MATCH($E269,CalcTeams,0)),"")="CAPPED"),"CAPPED",""))</f>
        <v/>
      </c>
      <c r="N269" s="2" t="str">
        <f>IF($B269="","",IF(ABS(SUMIFS(AdjSpread,AdjGameID,$B269,AdjActive,1))&gt;AdjCap,"LARGE",""))</f>
        <v/>
      </c>
      <c r="O269" s="2" t="str">
        <f t="array" ref="O269">IF($B269="","",IFERROR(INDEX(MktStale,MATCH($B269,MktGameID,0)),""))</f>
        <v>STALE</v>
      </c>
      <c r="P269" s="2" t="str">
        <f t="shared" si="1"/>
        <v>WARNING</v>
      </c>
    </row>
    <row r="270" ht="15.0" customHeight="1">
      <c r="A270" s="2">
        <v>259.0</v>
      </c>
      <c r="B270" s="2" t="str">
        <f t="array" ref="B270">IFERROR(INDEX(SchedZone,MATCH($A270,SchedSeq,0),MAP!$B$6),"")</f>
        <v>2026_18_NYJ_BUF</v>
      </c>
      <c r="C270" s="2">
        <f t="array" ref="C270">IF($B270="","",INDEX(SchedZone,MATCH($A270,SchedSeq,0),MAP!$B$4))</f>
        <v>18</v>
      </c>
      <c r="D270" s="2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2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2" t="str">
        <f>IF($B270="","",IF(COUNTIF(EngGameID,$B270)&gt;1,"DUP",""))</f>
        <v/>
      </c>
      <c r="G270" s="2" t="str">
        <f>IF($B270="","",IF(OR(COUNTIFS(EngWeek,$C270,EngAway,$D270)+COUNTIFS(EngWeek,$C270,EngHome,$D270)&gt;1,COUNTIFS(EngWeek,$C270,EngAway,$E270)+COUNTIFS(EngWeek,$C270,EngHome,$E270)&gt;1),"DUP",""))</f>
        <v/>
      </c>
      <c r="H270" s="2" t="str">
        <f>IF($B270="","",IF(OR(SUMPRODUCT((CLGameID=$B270)*CLUnmatched)&gt;0,LEFT($D270,1)="⚠",LEFT($E270,1)="⚠"),"UNMATCHED",""))</f>
        <v/>
      </c>
      <c r="I270" s="2" t="str">
        <f t="array" ref="I270">IF($B270="","",IF(OR(NOT(ISNUMBER(IFERROR(INDEX(RatEff,MATCH($D270,RatTeams,0)),"x"))),NOT(ISNUMBER(IFERROR(INDEX(RatEff,MATCH($E270,RatTeams,0)),"x")))),"MISSING",""))</f>
        <v/>
      </c>
      <c r="J270" s="2" t="str">
        <f>IF($B270="","",IF(SUMPRODUCT((CLGameID=$B270)*CLPlayed*(CLUseCur+CLUsePrev&gt;0)*(CLPlays=0))&gt;0,"MISSING",""))</f>
        <v/>
      </c>
      <c r="K270" s="2" t="str">
        <f>IF($B270="","",IF(SUMPRODUCT((CLGameID=$B270)*CLPlayed*((CLOffPts&lt;-20)+(CLOffPts&gt;90)))&gt;0,"CHECK",""))</f>
        <v/>
      </c>
      <c r="L270" s="2" t="str">
        <f t="array" ref="L270">IF($B270="","",IF(OR(ABS(IFERROR(INDEX(RatEff,MATCH($D270,RatTeams,0)),0))&gt;RatingRange,ABS(IFERROR(INDEX(RatEff,MATCH($E270,RatTeams,0)),0))&gt;RatingRange),"RANGE",""))</f>
        <v/>
      </c>
      <c r="M270" s="2" t="str">
        <f t="array" ref="M270">IF($B270="","",IF(OR(IFERROR(INDEX(CalcMoveFlag,MATCH($D270,CalcTeams,0)),"")="CAPPED",IFERROR(INDEX(CalcMoveFlag,MATCH($E270,CalcTeams,0)),"")="CAPPED"),"CAPPED",""))</f>
        <v/>
      </c>
      <c r="N270" s="2" t="str">
        <f>IF($B270="","",IF(ABS(SUMIFS(AdjSpread,AdjGameID,$B270,AdjActive,1))&gt;AdjCap,"LARGE",""))</f>
        <v/>
      </c>
      <c r="O270" s="2" t="str">
        <f t="array" ref="O270">IF($B270="","",IFERROR(INDEX(MktStale,MATCH($B270,MktGameID,0)),""))</f>
        <v>STALE</v>
      </c>
      <c r="P270" s="2" t="str">
        <f t="shared" si="1"/>
        <v>WARNING</v>
      </c>
    </row>
    <row r="271" ht="15.0" customHeight="1">
      <c r="A271" s="2">
        <v>260.0</v>
      </c>
      <c r="B271" s="2" t="str">
        <f t="array" ref="B271">IFERROR(INDEX(SchedZone,MATCH($A271,SchedSeq,0),MAP!$B$6),"")</f>
        <v>2026_18_ATL_CAR</v>
      </c>
      <c r="C271" s="2">
        <f t="array" ref="C271">IF($B271="","",INDEX(SchedZone,MATCH($A271,SchedSeq,0),MAP!$B$4))</f>
        <v>18</v>
      </c>
      <c r="D271" s="2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2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2" t="str">
        <f>IF($B271="","",IF(COUNTIF(EngGameID,$B271)&gt;1,"DUP",""))</f>
        <v/>
      </c>
      <c r="G271" s="2" t="str">
        <f>IF($B271="","",IF(OR(COUNTIFS(EngWeek,$C271,EngAway,$D271)+COUNTIFS(EngWeek,$C271,EngHome,$D271)&gt;1,COUNTIFS(EngWeek,$C271,EngAway,$E271)+COUNTIFS(EngWeek,$C271,EngHome,$E271)&gt;1),"DUP",""))</f>
        <v/>
      </c>
      <c r="H271" s="2" t="str">
        <f>IF($B271="","",IF(OR(SUMPRODUCT((CLGameID=$B271)*CLUnmatched)&gt;0,LEFT($D271,1)="⚠",LEFT($E271,1)="⚠"),"UNMATCHED",""))</f>
        <v/>
      </c>
      <c r="I271" s="2" t="str">
        <f t="array" ref="I271">IF($B271="","",IF(OR(NOT(ISNUMBER(IFERROR(INDEX(RatEff,MATCH($D271,RatTeams,0)),"x"))),NOT(ISNUMBER(IFERROR(INDEX(RatEff,MATCH($E271,RatTeams,0)),"x")))),"MISSING",""))</f>
        <v/>
      </c>
      <c r="J271" s="2" t="str">
        <f>IF($B271="","",IF(SUMPRODUCT((CLGameID=$B271)*CLPlayed*(CLUseCur+CLUsePrev&gt;0)*(CLPlays=0))&gt;0,"MISSING",""))</f>
        <v/>
      </c>
      <c r="K271" s="2" t="str">
        <f>IF($B271="","",IF(SUMPRODUCT((CLGameID=$B271)*CLPlayed*((CLOffPts&lt;-20)+(CLOffPts&gt;90)))&gt;0,"CHECK",""))</f>
        <v/>
      </c>
      <c r="L271" s="2" t="str">
        <f t="array" ref="L271">IF($B271="","",IF(OR(ABS(IFERROR(INDEX(RatEff,MATCH($D271,RatTeams,0)),0))&gt;RatingRange,ABS(IFERROR(INDEX(RatEff,MATCH($E271,RatTeams,0)),0))&gt;RatingRange),"RANGE",""))</f>
        <v/>
      </c>
      <c r="M271" s="2" t="str">
        <f t="array" ref="M271">IF($B271="","",IF(OR(IFERROR(INDEX(CalcMoveFlag,MATCH($D271,CalcTeams,0)),"")="CAPPED",IFERROR(INDEX(CalcMoveFlag,MATCH($E271,CalcTeams,0)),"")="CAPPED"),"CAPPED",""))</f>
        <v/>
      </c>
      <c r="N271" s="2" t="str">
        <f>IF($B271="","",IF(ABS(SUMIFS(AdjSpread,AdjGameID,$B271,AdjActive,1))&gt;AdjCap,"LARGE",""))</f>
        <v/>
      </c>
      <c r="O271" s="2" t="str">
        <f t="array" ref="O271">IF($B271="","",IFERROR(INDEX(MktStale,MATCH($B271,MktGameID,0)),""))</f>
        <v>STALE</v>
      </c>
      <c r="P271" s="2" t="str">
        <f t="shared" si="1"/>
        <v>WARNING</v>
      </c>
    </row>
    <row r="272" ht="15.0" customHeight="1">
      <c r="A272" s="2">
        <v>261.0</v>
      </c>
      <c r="B272" s="2" t="str">
        <f t="array" ref="B272">IFERROR(INDEX(SchedZone,MATCH($A272,SchedSeq,0),MAP!$B$6),"")</f>
        <v>2026_18_CLE_CIN</v>
      </c>
      <c r="C272" s="2">
        <f t="array" ref="C272">IF($B272="","",INDEX(SchedZone,MATCH($A272,SchedSeq,0),MAP!$B$4))</f>
        <v>18</v>
      </c>
      <c r="D272" s="2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2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2" t="str">
        <f>IF($B272="","",IF(COUNTIF(EngGameID,$B272)&gt;1,"DUP",""))</f>
        <v/>
      </c>
      <c r="G272" s="2" t="str">
        <f>IF($B272="","",IF(OR(COUNTIFS(EngWeek,$C272,EngAway,$D272)+COUNTIFS(EngWeek,$C272,EngHome,$D272)&gt;1,COUNTIFS(EngWeek,$C272,EngAway,$E272)+COUNTIFS(EngWeek,$C272,EngHome,$E272)&gt;1),"DUP",""))</f>
        <v/>
      </c>
      <c r="H272" s="2" t="str">
        <f>IF($B272="","",IF(OR(SUMPRODUCT((CLGameID=$B272)*CLUnmatched)&gt;0,LEFT($D272,1)="⚠",LEFT($E272,1)="⚠"),"UNMATCHED",""))</f>
        <v/>
      </c>
      <c r="I272" s="2" t="str">
        <f t="array" ref="I272">IF($B272="","",IF(OR(NOT(ISNUMBER(IFERROR(INDEX(RatEff,MATCH($D272,RatTeams,0)),"x"))),NOT(ISNUMBER(IFERROR(INDEX(RatEff,MATCH($E272,RatTeams,0)),"x")))),"MISSING",""))</f>
        <v/>
      </c>
      <c r="J272" s="2" t="str">
        <f>IF($B272="","",IF(SUMPRODUCT((CLGameID=$B272)*CLPlayed*(CLUseCur+CLUsePrev&gt;0)*(CLPlays=0))&gt;0,"MISSING",""))</f>
        <v/>
      </c>
      <c r="K272" s="2" t="str">
        <f>IF($B272="","",IF(SUMPRODUCT((CLGameID=$B272)*CLPlayed*((CLOffPts&lt;-20)+(CLOffPts&gt;90)))&gt;0,"CHECK",""))</f>
        <v/>
      </c>
      <c r="L272" s="2" t="str">
        <f t="array" ref="L272">IF($B272="","",IF(OR(ABS(IFERROR(INDEX(RatEff,MATCH($D272,RatTeams,0)),0))&gt;RatingRange,ABS(IFERROR(INDEX(RatEff,MATCH($E272,RatTeams,0)),0))&gt;RatingRange),"RANGE",""))</f>
        <v/>
      </c>
      <c r="M272" s="2" t="str">
        <f t="array" ref="M272">IF($B272="","",IF(OR(IFERROR(INDEX(CalcMoveFlag,MATCH($D272,CalcTeams,0)),"")="CAPPED",IFERROR(INDEX(CalcMoveFlag,MATCH($E272,CalcTeams,0)),"")="CAPPED"),"CAPPED",""))</f>
        <v/>
      </c>
      <c r="N272" s="2" t="str">
        <f>IF($B272="","",IF(ABS(SUMIFS(AdjSpread,AdjGameID,$B272,AdjActive,1))&gt;AdjCap,"LARGE",""))</f>
        <v/>
      </c>
      <c r="O272" s="2" t="str">
        <f t="array" ref="O272">IF($B272="","",IFERROR(INDEX(MktStale,MATCH($B272,MktGameID,0)),""))</f>
        <v>STALE</v>
      </c>
      <c r="P272" s="2" t="str">
        <f t="shared" si="1"/>
        <v>WARNING</v>
      </c>
    </row>
    <row r="273" ht="15.0" customHeight="1">
      <c r="A273" s="2">
        <v>262.0</v>
      </c>
      <c r="B273" s="2" t="str">
        <f t="array" ref="B273">IFERROR(INDEX(SchedZone,MATCH($A273,SchedSeq,0),MAP!$B$6),"")</f>
        <v>2026_18_LAC_DEN</v>
      </c>
      <c r="C273" s="2">
        <f t="array" ref="C273">IF($B273="","",INDEX(SchedZone,MATCH($A273,SchedSeq,0),MAP!$B$4))</f>
        <v>18</v>
      </c>
      <c r="D273" s="2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2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2" t="str">
        <f>IF($B273="","",IF(COUNTIF(EngGameID,$B273)&gt;1,"DUP",""))</f>
        <v/>
      </c>
      <c r="G273" s="2" t="str">
        <f>IF($B273="","",IF(OR(COUNTIFS(EngWeek,$C273,EngAway,$D273)+COUNTIFS(EngWeek,$C273,EngHome,$D273)&gt;1,COUNTIFS(EngWeek,$C273,EngAway,$E273)+COUNTIFS(EngWeek,$C273,EngHome,$E273)&gt;1),"DUP",""))</f>
        <v/>
      </c>
      <c r="H273" s="2" t="str">
        <f>IF($B273="","",IF(OR(SUMPRODUCT((CLGameID=$B273)*CLUnmatched)&gt;0,LEFT($D273,1)="⚠",LEFT($E273,1)="⚠"),"UNMATCHED",""))</f>
        <v/>
      </c>
      <c r="I273" s="2" t="str">
        <f t="array" ref="I273">IF($B273="","",IF(OR(NOT(ISNUMBER(IFERROR(INDEX(RatEff,MATCH($D273,RatTeams,0)),"x"))),NOT(ISNUMBER(IFERROR(INDEX(RatEff,MATCH($E273,RatTeams,0)),"x")))),"MISSING",""))</f>
        <v/>
      </c>
      <c r="J273" s="2" t="str">
        <f>IF($B273="","",IF(SUMPRODUCT((CLGameID=$B273)*CLPlayed*(CLUseCur+CLUsePrev&gt;0)*(CLPlays=0))&gt;0,"MISSING",""))</f>
        <v/>
      </c>
      <c r="K273" s="2" t="str">
        <f>IF($B273="","",IF(SUMPRODUCT((CLGameID=$B273)*CLPlayed*((CLOffPts&lt;-20)+(CLOffPts&gt;90)))&gt;0,"CHECK",""))</f>
        <v/>
      </c>
      <c r="L273" s="2" t="str">
        <f t="array" ref="L273">IF($B273="","",IF(OR(ABS(IFERROR(INDEX(RatEff,MATCH($D273,RatTeams,0)),0))&gt;RatingRange,ABS(IFERROR(INDEX(RatEff,MATCH($E273,RatTeams,0)),0))&gt;RatingRange),"RANGE",""))</f>
        <v/>
      </c>
      <c r="M273" s="2" t="str">
        <f t="array" ref="M273">IF($B273="","",IF(OR(IFERROR(INDEX(CalcMoveFlag,MATCH($D273,CalcTeams,0)),"")="CAPPED",IFERROR(INDEX(CalcMoveFlag,MATCH($E273,CalcTeams,0)),"")="CAPPED"),"CAPPED",""))</f>
        <v/>
      </c>
      <c r="N273" s="2" t="str">
        <f>IF($B273="","",IF(ABS(SUMIFS(AdjSpread,AdjGameID,$B273,AdjActive,1))&gt;AdjCap,"LARGE",""))</f>
        <v/>
      </c>
      <c r="O273" s="2" t="str">
        <f t="array" ref="O273">IF($B273="","",IFERROR(INDEX(MktStale,MATCH($B273,MktGameID,0)),""))</f>
        <v>STALE</v>
      </c>
      <c r="P273" s="2" t="str">
        <f t="shared" si="1"/>
        <v>WARNING</v>
      </c>
    </row>
    <row r="274" ht="15.0" customHeight="1">
      <c r="A274" s="2">
        <v>263.0</v>
      </c>
      <c r="B274" s="2" t="str">
        <f t="array" ref="B274">IFERROR(INDEX(SchedZone,MATCH($A274,SchedSeq,0),MAP!$B$6),"")</f>
        <v>2026_18_DET_GB</v>
      </c>
      <c r="C274" s="2">
        <f t="array" ref="C274">IF($B274="","",INDEX(SchedZone,MATCH($A274,SchedSeq,0),MAP!$B$4))</f>
        <v>18</v>
      </c>
      <c r="D274" s="2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2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2" t="str">
        <f>IF($B274="","",IF(COUNTIF(EngGameID,$B274)&gt;1,"DUP",""))</f>
        <v/>
      </c>
      <c r="G274" s="2" t="str">
        <f>IF($B274="","",IF(OR(COUNTIFS(EngWeek,$C274,EngAway,$D274)+COUNTIFS(EngWeek,$C274,EngHome,$D274)&gt;1,COUNTIFS(EngWeek,$C274,EngAway,$E274)+COUNTIFS(EngWeek,$C274,EngHome,$E274)&gt;1),"DUP",""))</f>
        <v/>
      </c>
      <c r="H274" s="2" t="str">
        <f>IF($B274="","",IF(OR(SUMPRODUCT((CLGameID=$B274)*CLUnmatched)&gt;0,LEFT($D274,1)="⚠",LEFT($E274,1)="⚠"),"UNMATCHED",""))</f>
        <v/>
      </c>
      <c r="I274" s="2" t="str">
        <f t="array" ref="I274">IF($B274="","",IF(OR(NOT(ISNUMBER(IFERROR(INDEX(RatEff,MATCH($D274,RatTeams,0)),"x"))),NOT(ISNUMBER(IFERROR(INDEX(RatEff,MATCH($E274,RatTeams,0)),"x")))),"MISSING",""))</f>
        <v/>
      </c>
      <c r="J274" s="2" t="str">
        <f>IF($B274="","",IF(SUMPRODUCT((CLGameID=$B274)*CLPlayed*(CLUseCur+CLUsePrev&gt;0)*(CLPlays=0))&gt;0,"MISSING",""))</f>
        <v/>
      </c>
      <c r="K274" s="2" t="str">
        <f>IF($B274="","",IF(SUMPRODUCT((CLGameID=$B274)*CLPlayed*((CLOffPts&lt;-20)+(CLOffPts&gt;90)))&gt;0,"CHECK",""))</f>
        <v/>
      </c>
      <c r="L274" s="2" t="str">
        <f t="array" ref="L274">IF($B274="","",IF(OR(ABS(IFERROR(INDEX(RatEff,MATCH($D274,RatTeams,0)),0))&gt;RatingRange,ABS(IFERROR(INDEX(RatEff,MATCH($E274,RatTeams,0)),0))&gt;RatingRange),"RANGE",""))</f>
        <v/>
      </c>
      <c r="M274" s="2" t="str">
        <f t="array" ref="M274">IF($B274="","",IF(OR(IFERROR(INDEX(CalcMoveFlag,MATCH($D274,CalcTeams,0)),"")="CAPPED",IFERROR(INDEX(CalcMoveFlag,MATCH($E274,CalcTeams,0)),"")="CAPPED"),"CAPPED",""))</f>
        <v/>
      </c>
      <c r="N274" s="2" t="str">
        <f>IF($B274="","",IF(ABS(SUMIFS(AdjSpread,AdjGameID,$B274,AdjActive,1))&gt;AdjCap,"LARGE",""))</f>
        <v/>
      </c>
      <c r="O274" s="2" t="str">
        <f t="array" ref="O274">IF($B274="","",IFERROR(INDEX(MktStale,MATCH($B274,MktGameID,0)),""))</f>
        <v>STALE</v>
      </c>
      <c r="P274" s="2" t="str">
        <f t="shared" si="1"/>
        <v>WARNING</v>
      </c>
    </row>
    <row r="275" ht="15.0" customHeight="1">
      <c r="A275" s="2">
        <v>264.0</v>
      </c>
      <c r="B275" s="2" t="str">
        <f t="array" ref="B275">IFERROR(INDEX(SchedZone,MATCH($A275,SchedSeq,0),MAP!$B$6),"")</f>
        <v>2026_18_TEN_HOU</v>
      </c>
      <c r="C275" s="2">
        <f t="array" ref="C275">IF($B275="","",INDEX(SchedZone,MATCH($A275,SchedSeq,0),MAP!$B$4))</f>
        <v>18</v>
      </c>
      <c r="D275" s="2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2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2" t="str">
        <f>IF($B275="","",IF(COUNTIF(EngGameID,$B275)&gt;1,"DUP",""))</f>
        <v/>
      </c>
      <c r="G275" s="2" t="str">
        <f>IF($B275="","",IF(OR(COUNTIFS(EngWeek,$C275,EngAway,$D275)+COUNTIFS(EngWeek,$C275,EngHome,$D275)&gt;1,COUNTIFS(EngWeek,$C275,EngAway,$E275)+COUNTIFS(EngWeek,$C275,EngHome,$E275)&gt;1),"DUP",""))</f>
        <v/>
      </c>
      <c r="H275" s="2" t="str">
        <f>IF($B275="","",IF(OR(SUMPRODUCT((CLGameID=$B275)*CLUnmatched)&gt;0,LEFT($D275,1)="⚠",LEFT($E275,1)="⚠"),"UNMATCHED",""))</f>
        <v/>
      </c>
      <c r="I275" s="2" t="str">
        <f t="array" ref="I275">IF($B275="","",IF(OR(NOT(ISNUMBER(IFERROR(INDEX(RatEff,MATCH($D275,RatTeams,0)),"x"))),NOT(ISNUMBER(IFERROR(INDEX(RatEff,MATCH($E275,RatTeams,0)),"x")))),"MISSING",""))</f>
        <v/>
      </c>
      <c r="J275" s="2" t="str">
        <f>IF($B275="","",IF(SUMPRODUCT((CLGameID=$B275)*CLPlayed*(CLUseCur+CLUsePrev&gt;0)*(CLPlays=0))&gt;0,"MISSING",""))</f>
        <v/>
      </c>
      <c r="K275" s="2" t="str">
        <f>IF($B275="","",IF(SUMPRODUCT((CLGameID=$B275)*CLPlayed*((CLOffPts&lt;-20)+(CLOffPts&gt;90)))&gt;0,"CHECK",""))</f>
        <v/>
      </c>
      <c r="L275" s="2" t="str">
        <f t="array" ref="L275">IF($B275="","",IF(OR(ABS(IFERROR(INDEX(RatEff,MATCH($D275,RatTeams,0)),0))&gt;RatingRange,ABS(IFERROR(INDEX(RatEff,MATCH($E275,RatTeams,0)),0))&gt;RatingRange),"RANGE",""))</f>
        <v/>
      </c>
      <c r="M275" s="2" t="str">
        <f t="array" ref="M275">IF($B275="","",IF(OR(IFERROR(INDEX(CalcMoveFlag,MATCH($D275,CalcTeams,0)),"")="CAPPED",IFERROR(INDEX(CalcMoveFlag,MATCH($E275,CalcTeams,0)),"")="CAPPED"),"CAPPED",""))</f>
        <v/>
      </c>
      <c r="N275" s="2" t="str">
        <f>IF($B275="","",IF(ABS(SUMIFS(AdjSpread,AdjGameID,$B275,AdjActive,1))&gt;AdjCap,"LARGE",""))</f>
        <v/>
      </c>
      <c r="O275" s="2" t="str">
        <f t="array" ref="O275">IF($B275="","",IFERROR(INDEX(MktStale,MATCH($B275,MktGameID,0)),""))</f>
        <v>STALE</v>
      </c>
      <c r="P275" s="2" t="str">
        <f t="shared" si="1"/>
        <v>WARNING</v>
      </c>
    </row>
    <row r="276" ht="15.0" customHeight="1">
      <c r="A276" s="2">
        <v>265.0</v>
      </c>
      <c r="B276" s="2" t="str">
        <f t="array" ref="B276">IFERROR(INDEX(SchedZone,MATCH($A276,SchedSeq,0),MAP!$B$6),"")</f>
        <v>2026_18_JAX_IND</v>
      </c>
      <c r="C276" s="2">
        <f t="array" ref="C276">IF($B276="","",INDEX(SchedZone,MATCH($A276,SchedSeq,0),MAP!$B$4))</f>
        <v>18</v>
      </c>
      <c r="D276" s="2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2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2" t="str">
        <f>IF($B276="","",IF(COUNTIF(EngGameID,$B276)&gt;1,"DUP",""))</f>
        <v/>
      </c>
      <c r="G276" s="2" t="str">
        <f>IF($B276="","",IF(OR(COUNTIFS(EngWeek,$C276,EngAway,$D276)+COUNTIFS(EngWeek,$C276,EngHome,$D276)&gt;1,COUNTIFS(EngWeek,$C276,EngAway,$E276)+COUNTIFS(EngWeek,$C276,EngHome,$E276)&gt;1),"DUP",""))</f>
        <v/>
      </c>
      <c r="H276" s="2" t="str">
        <f>IF($B276="","",IF(OR(SUMPRODUCT((CLGameID=$B276)*CLUnmatched)&gt;0,LEFT($D276,1)="⚠",LEFT($E276,1)="⚠"),"UNMATCHED",""))</f>
        <v/>
      </c>
      <c r="I276" s="2" t="str">
        <f t="array" ref="I276">IF($B276="","",IF(OR(NOT(ISNUMBER(IFERROR(INDEX(RatEff,MATCH($D276,RatTeams,0)),"x"))),NOT(ISNUMBER(IFERROR(INDEX(RatEff,MATCH($E276,RatTeams,0)),"x")))),"MISSING",""))</f>
        <v/>
      </c>
      <c r="J276" s="2" t="str">
        <f>IF($B276="","",IF(SUMPRODUCT((CLGameID=$B276)*CLPlayed*(CLUseCur+CLUsePrev&gt;0)*(CLPlays=0))&gt;0,"MISSING",""))</f>
        <v/>
      </c>
      <c r="K276" s="2" t="str">
        <f>IF($B276="","",IF(SUMPRODUCT((CLGameID=$B276)*CLPlayed*((CLOffPts&lt;-20)+(CLOffPts&gt;90)))&gt;0,"CHECK",""))</f>
        <v/>
      </c>
      <c r="L276" s="2" t="str">
        <f t="array" ref="L276">IF($B276="","",IF(OR(ABS(IFERROR(INDEX(RatEff,MATCH($D276,RatTeams,0)),0))&gt;RatingRange,ABS(IFERROR(INDEX(RatEff,MATCH($E276,RatTeams,0)),0))&gt;RatingRange),"RANGE",""))</f>
        <v/>
      </c>
      <c r="M276" s="2" t="str">
        <f t="array" ref="M276">IF($B276="","",IF(OR(IFERROR(INDEX(CalcMoveFlag,MATCH($D276,CalcTeams,0)),"")="CAPPED",IFERROR(INDEX(CalcMoveFlag,MATCH($E276,CalcTeams,0)),"")="CAPPED"),"CAPPED",""))</f>
        <v/>
      </c>
      <c r="N276" s="2" t="str">
        <f>IF($B276="","",IF(ABS(SUMIFS(AdjSpread,AdjGameID,$B276,AdjActive,1))&gt;AdjCap,"LARGE",""))</f>
        <v/>
      </c>
      <c r="O276" s="2" t="str">
        <f t="array" ref="O276">IF($B276="","",IFERROR(INDEX(MktStale,MATCH($B276,MktGameID,0)),""))</f>
        <v>STALE</v>
      </c>
      <c r="P276" s="2" t="str">
        <f t="shared" si="1"/>
        <v>WARNING</v>
      </c>
    </row>
    <row r="277" ht="15.0" customHeight="1">
      <c r="A277" s="2">
        <v>266.0</v>
      </c>
      <c r="B277" s="2" t="str">
        <f t="array" ref="B277">IFERROR(INDEX(SchedZone,MATCH($A277,SchedSeq,0),MAP!$B$6),"")</f>
        <v>2026_18_LV_KC</v>
      </c>
      <c r="C277" s="2">
        <f t="array" ref="C277">IF($B277="","",INDEX(SchedZone,MATCH($A277,SchedSeq,0),MAP!$B$4))</f>
        <v>18</v>
      </c>
      <c r="D277" s="2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2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2" t="str">
        <f>IF($B277="","",IF(COUNTIF(EngGameID,$B277)&gt;1,"DUP",""))</f>
        <v/>
      </c>
      <c r="G277" s="2" t="str">
        <f>IF($B277="","",IF(OR(COUNTIFS(EngWeek,$C277,EngAway,$D277)+COUNTIFS(EngWeek,$C277,EngHome,$D277)&gt;1,COUNTIFS(EngWeek,$C277,EngAway,$E277)+COUNTIFS(EngWeek,$C277,EngHome,$E277)&gt;1),"DUP",""))</f>
        <v/>
      </c>
      <c r="H277" s="2" t="str">
        <f>IF($B277="","",IF(OR(SUMPRODUCT((CLGameID=$B277)*CLUnmatched)&gt;0,LEFT($D277,1)="⚠",LEFT($E277,1)="⚠"),"UNMATCHED",""))</f>
        <v/>
      </c>
      <c r="I277" s="2" t="str">
        <f t="array" ref="I277">IF($B277="","",IF(OR(NOT(ISNUMBER(IFERROR(INDEX(RatEff,MATCH($D277,RatTeams,0)),"x"))),NOT(ISNUMBER(IFERROR(INDEX(RatEff,MATCH($E277,RatTeams,0)),"x")))),"MISSING",""))</f>
        <v/>
      </c>
      <c r="J277" s="2" t="str">
        <f>IF($B277="","",IF(SUMPRODUCT((CLGameID=$B277)*CLPlayed*(CLUseCur+CLUsePrev&gt;0)*(CLPlays=0))&gt;0,"MISSING",""))</f>
        <v/>
      </c>
      <c r="K277" s="2" t="str">
        <f>IF($B277="","",IF(SUMPRODUCT((CLGameID=$B277)*CLPlayed*((CLOffPts&lt;-20)+(CLOffPts&gt;90)))&gt;0,"CHECK",""))</f>
        <v/>
      </c>
      <c r="L277" s="2" t="str">
        <f t="array" ref="L277">IF($B277="","",IF(OR(ABS(IFERROR(INDEX(RatEff,MATCH($D277,RatTeams,0)),0))&gt;RatingRange,ABS(IFERROR(INDEX(RatEff,MATCH($E277,RatTeams,0)),0))&gt;RatingRange),"RANGE",""))</f>
        <v/>
      </c>
      <c r="M277" s="2" t="str">
        <f t="array" ref="M277">IF($B277="","",IF(OR(IFERROR(INDEX(CalcMoveFlag,MATCH($D277,CalcTeams,0)),"")="CAPPED",IFERROR(INDEX(CalcMoveFlag,MATCH($E277,CalcTeams,0)),"")="CAPPED"),"CAPPED",""))</f>
        <v/>
      </c>
      <c r="N277" s="2" t="str">
        <f>IF($B277="","",IF(ABS(SUMIFS(AdjSpread,AdjGameID,$B277,AdjActive,1))&gt;AdjCap,"LARGE",""))</f>
        <v/>
      </c>
      <c r="O277" s="2" t="str">
        <f t="array" ref="O277">IF($B277="","",IFERROR(INDEX(MktStale,MATCH($B277,MktGameID,0)),""))</f>
        <v>STALE</v>
      </c>
      <c r="P277" s="2" t="str">
        <f t="shared" si="1"/>
        <v>WARNING</v>
      </c>
    </row>
    <row r="278" ht="15.0" customHeight="1">
      <c r="A278" s="2">
        <v>267.0</v>
      </c>
      <c r="B278" s="2" t="str">
        <f t="array" ref="B278">IFERROR(INDEX(SchedZone,MATCH($A278,SchedSeq,0),MAP!$B$6),"")</f>
        <v>2026_18_SEA_LA</v>
      </c>
      <c r="C278" s="2">
        <f t="array" ref="C278">IF($B278="","",INDEX(SchedZone,MATCH($A278,SchedSeq,0),MAP!$B$4))</f>
        <v>18</v>
      </c>
      <c r="D278" s="2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2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2" t="str">
        <f>IF($B278="","",IF(COUNTIF(EngGameID,$B278)&gt;1,"DUP",""))</f>
        <v/>
      </c>
      <c r="G278" s="2" t="str">
        <f>IF($B278="","",IF(OR(COUNTIFS(EngWeek,$C278,EngAway,$D278)+COUNTIFS(EngWeek,$C278,EngHome,$D278)&gt;1,COUNTIFS(EngWeek,$C278,EngAway,$E278)+COUNTIFS(EngWeek,$C278,EngHome,$E278)&gt;1),"DUP",""))</f>
        <v/>
      </c>
      <c r="H278" s="2" t="str">
        <f>IF($B278="","",IF(OR(SUMPRODUCT((CLGameID=$B278)*CLUnmatched)&gt;0,LEFT($D278,1)="⚠",LEFT($E278,1)="⚠"),"UNMATCHED",""))</f>
        <v/>
      </c>
      <c r="I278" s="2" t="str">
        <f t="array" ref="I278">IF($B278="","",IF(OR(NOT(ISNUMBER(IFERROR(INDEX(RatEff,MATCH($D278,RatTeams,0)),"x"))),NOT(ISNUMBER(IFERROR(INDEX(RatEff,MATCH($E278,RatTeams,0)),"x")))),"MISSING",""))</f>
        <v/>
      </c>
      <c r="J278" s="2" t="str">
        <f>IF($B278="","",IF(SUMPRODUCT((CLGameID=$B278)*CLPlayed*(CLUseCur+CLUsePrev&gt;0)*(CLPlays=0))&gt;0,"MISSING",""))</f>
        <v/>
      </c>
      <c r="K278" s="2" t="str">
        <f>IF($B278="","",IF(SUMPRODUCT((CLGameID=$B278)*CLPlayed*((CLOffPts&lt;-20)+(CLOffPts&gt;90)))&gt;0,"CHECK",""))</f>
        <v/>
      </c>
      <c r="L278" s="2" t="str">
        <f t="array" ref="L278">IF($B278="","",IF(OR(ABS(IFERROR(INDEX(RatEff,MATCH($D278,RatTeams,0)),0))&gt;RatingRange,ABS(IFERROR(INDEX(RatEff,MATCH($E278,RatTeams,0)),0))&gt;RatingRange),"RANGE",""))</f>
        <v/>
      </c>
      <c r="M278" s="2" t="str">
        <f t="array" ref="M278">IF($B278="","",IF(OR(IFERROR(INDEX(CalcMoveFlag,MATCH($D278,CalcTeams,0)),"")="CAPPED",IFERROR(INDEX(CalcMoveFlag,MATCH($E278,CalcTeams,0)),"")="CAPPED"),"CAPPED",""))</f>
        <v/>
      </c>
      <c r="N278" s="2" t="str">
        <f>IF($B278="","",IF(ABS(SUMIFS(AdjSpread,AdjGameID,$B278,AdjActive,1))&gt;AdjCap,"LARGE",""))</f>
        <v/>
      </c>
      <c r="O278" s="2" t="str">
        <f t="array" ref="O278">IF($B278="","",IFERROR(INDEX(MktStale,MATCH($B278,MktGameID,0)),""))</f>
        <v>STALE</v>
      </c>
      <c r="P278" s="2" t="str">
        <f t="shared" si="1"/>
        <v>WARNING</v>
      </c>
    </row>
    <row r="279" ht="15.0" customHeight="1">
      <c r="A279" s="2">
        <v>268.0</v>
      </c>
      <c r="B279" s="2" t="str">
        <f t="array" ref="B279">IFERROR(INDEX(SchedZone,MATCH($A279,SchedSeq,0),MAP!$B$6),"")</f>
        <v>2026_18_CHI_MIN</v>
      </c>
      <c r="C279" s="2">
        <f t="array" ref="C279">IF($B279="","",INDEX(SchedZone,MATCH($A279,SchedSeq,0),MAP!$B$4))</f>
        <v>18</v>
      </c>
      <c r="D279" s="2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2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2" t="str">
        <f>IF($B279="","",IF(COUNTIF(EngGameID,$B279)&gt;1,"DUP",""))</f>
        <v/>
      </c>
      <c r="G279" s="2" t="str">
        <f>IF($B279="","",IF(OR(COUNTIFS(EngWeek,$C279,EngAway,$D279)+COUNTIFS(EngWeek,$C279,EngHome,$D279)&gt;1,COUNTIFS(EngWeek,$C279,EngAway,$E279)+COUNTIFS(EngWeek,$C279,EngHome,$E279)&gt;1),"DUP",""))</f>
        <v/>
      </c>
      <c r="H279" s="2" t="str">
        <f>IF($B279="","",IF(OR(SUMPRODUCT((CLGameID=$B279)*CLUnmatched)&gt;0,LEFT($D279,1)="⚠",LEFT($E279,1)="⚠"),"UNMATCHED",""))</f>
        <v/>
      </c>
      <c r="I279" s="2" t="str">
        <f t="array" ref="I279">IF($B279="","",IF(OR(NOT(ISNUMBER(IFERROR(INDEX(RatEff,MATCH($D279,RatTeams,0)),"x"))),NOT(ISNUMBER(IFERROR(INDEX(RatEff,MATCH($E279,RatTeams,0)),"x")))),"MISSING",""))</f>
        <v/>
      </c>
      <c r="J279" s="2" t="str">
        <f>IF($B279="","",IF(SUMPRODUCT((CLGameID=$B279)*CLPlayed*(CLUseCur+CLUsePrev&gt;0)*(CLPlays=0))&gt;0,"MISSING",""))</f>
        <v/>
      </c>
      <c r="K279" s="2" t="str">
        <f>IF($B279="","",IF(SUMPRODUCT((CLGameID=$B279)*CLPlayed*((CLOffPts&lt;-20)+(CLOffPts&gt;90)))&gt;0,"CHECK",""))</f>
        <v/>
      </c>
      <c r="L279" s="2" t="str">
        <f t="array" ref="L279">IF($B279="","",IF(OR(ABS(IFERROR(INDEX(RatEff,MATCH($D279,RatTeams,0)),0))&gt;RatingRange,ABS(IFERROR(INDEX(RatEff,MATCH($E279,RatTeams,0)),0))&gt;RatingRange),"RANGE",""))</f>
        <v/>
      </c>
      <c r="M279" s="2" t="str">
        <f t="array" ref="M279">IF($B279="","",IF(OR(IFERROR(INDEX(CalcMoveFlag,MATCH($D279,CalcTeams,0)),"")="CAPPED",IFERROR(INDEX(CalcMoveFlag,MATCH($E279,CalcTeams,0)),"")="CAPPED"),"CAPPED",""))</f>
        <v/>
      </c>
      <c r="N279" s="2" t="str">
        <f>IF($B279="","",IF(ABS(SUMIFS(AdjSpread,AdjGameID,$B279,AdjActive,1))&gt;AdjCap,"LARGE",""))</f>
        <v/>
      </c>
      <c r="O279" s="2" t="str">
        <f t="array" ref="O279">IF($B279="","",IFERROR(INDEX(MktStale,MATCH($B279,MktGameID,0)),""))</f>
        <v>STALE</v>
      </c>
      <c r="P279" s="2" t="str">
        <f t="shared" si="1"/>
        <v>WARNING</v>
      </c>
    </row>
    <row r="280" ht="15.0" customHeight="1">
      <c r="A280" s="2">
        <v>269.0</v>
      </c>
      <c r="B280" s="2" t="str">
        <f t="array" ref="B280">IFERROR(INDEX(SchedZone,MATCH($A280,SchedSeq,0),MAP!$B$6),"")</f>
        <v>2026_18_MIA_NE</v>
      </c>
      <c r="C280" s="2">
        <f t="array" ref="C280">IF($B280="","",INDEX(SchedZone,MATCH($A280,SchedSeq,0),MAP!$B$4))</f>
        <v>18</v>
      </c>
      <c r="D280" s="2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2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2" t="str">
        <f>IF($B280="","",IF(COUNTIF(EngGameID,$B280)&gt;1,"DUP",""))</f>
        <v/>
      </c>
      <c r="G280" s="2" t="str">
        <f>IF($B280="","",IF(OR(COUNTIFS(EngWeek,$C280,EngAway,$D280)+COUNTIFS(EngWeek,$C280,EngHome,$D280)&gt;1,COUNTIFS(EngWeek,$C280,EngAway,$E280)+COUNTIFS(EngWeek,$C280,EngHome,$E280)&gt;1),"DUP",""))</f>
        <v/>
      </c>
      <c r="H280" s="2" t="str">
        <f>IF($B280="","",IF(OR(SUMPRODUCT((CLGameID=$B280)*CLUnmatched)&gt;0,LEFT($D280,1)="⚠",LEFT($E280,1)="⚠"),"UNMATCHED",""))</f>
        <v/>
      </c>
      <c r="I280" s="2" t="str">
        <f t="array" ref="I280">IF($B280="","",IF(OR(NOT(ISNUMBER(IFERROR(INDEX(RatEff,MATCH($D280,RatTeams,0)),"x"))),NOT(ISNUMBER(IFERROR(INDEX(RatEff,MATCH($E280,RatTeams,0)),"x")))),"MISSING",""))</f>
        <v/>
      </c>
      <c r="J280" s="2" t="str">
        <f>IF($B280="","",IF(SUMPRODUCT((CLGameID=$B280)*CLPlayed*(CLUseCur+CLUsePrev&gt;0)*(CLPlays=0))&gt;0,"MISSING",""))</f>
        <v/>
      </c>
      <c r="K280" s="2" t="str">
        <f>IF($B280="","",IF(SUMPRODUCT((CLGameID=$B280)*CLPlayed*((CLOffPts&lt;-20)+(CLOffPts&gt;90)))&gt;0,"CHECK",""))</f>
        <v/>
      </c>
      <c r="L280" s="2" t="str">
        <f t="array" ref="L280">IF($B280="","",IF(OR(ABS(IFERROR(INDEX(RatEff,MATCH($D280,RatTeams,0)),0))&gt;RatingRange,ABS(IFERROR(INDEX(RatEff,MATCH($E280,RatTeams,0)),0))&gt;RatingRange),"RANGE",""))</f>
        <v/>
      </c>
      <c r="M280" s="2" t="str">
        <f t="array" ref="M280">IF($B280="","",IF(OR(IFERROR(INDEX(CalcMoveFlag,MATCH($D280,CalcTeams,0)),"")="CAPPED",IFERROR(INDEX(CalcMoveFlag,MATCH($E280,CalcTeams,0)),"")="CAPPED"),"CAPPED",""))</f>
        <v/>
      </c>
      <c r="N280" s="2" t="str">
        <f>IF($B280="","",IF(ABS(SUMIFS(AdjSpread,AdjGameID,$B280,AdjActive,1))&gt;AdjCap,"LARGE",""))</f>
        <v/>
      </c>
      <c r="O280" s="2" t="str">
        <f t="array" ref="O280">IF($B280="","",IFERROR(INDEX(MktStale,MATCH($B280,MktGameID,0)),""))</f>
        <v>STALE</v>
      </c>
      <c r="P280" s="2" t="str">
        <f t="shared" si="1"/>
        <v>WARNING</v>
      </c>
    </row>
    <row r="281" ht="15.0" customHeight="1">
      <c r="A281" s="2">
        <v>270.0</v>
      </c>
      <c r="B281" s="2" t="str">
        <f t="array" ref="B281">IFERROR(INDEX(SchedZone,MATCH($A281,SchedSeq,0),MAP!$B$6),"")</f>
        <v>2026_18_TB_NO</v>
      </c>
      <c r="C281" s="2">
        <f t="array" ref="C281">IF($B281="","",INDEX(SchedZone,MATCH($A281,SchedSeq,0),MAP!$B$4))</f>
        <v>18</v>
      </c>
      <c r="D281" s="2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2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2" t="str">
        <f>IF($B281="","",IF(COUNTIF(EngGameID,$B281)&gt;1,"DUP",""))</f>
        <v/>
      </c>
      <c r="G281" s="2" t="str">
        <f>IF($B281="","",IF(OR(COUNTIFS(EngWeek,$C281,EngAway,$D281)+COUNTIFS(EngWeek,$C281,EngHome,$D281)&gt;1,COUNTIFS(EngWeek,$C281,EngAway,$E281)+COUNTIFS(EngWeek,$C281,EngHome,$E281)&gt;1),"DUP",""))</f>
        <v/>
      </c>
      <c r="H281" s="2" t="str">
        <f>IF($B281="","",IF(OR(SUMPRODUCT((CLGameID=$B281)*CLUnmatched)&gt;0,LEFT($D281,1)="⚠",LEFT($E281,1)="⚠"),"UNMATCHED",""))</f>
        <v/>
      </c>
      <c r="I281" s="2" t="str">
        <f t="array" ref="I281">IF($B281="","",IF(OR(NOT(ISNUMBER(IFERROR(INDEX(RatEff,MATCH($D281,RatTeams,0)),"x"))),NOT(ISNUMBER(IFERROR(INDEX(RatEff,MATCH($E281,RatTeams,0)),"x")))),"MISSING",""))</f>
        <v/>
      </c>
      <c r="J281" s="2" t="str">
        <f>IF($B281="","",IF(SUMPRODUCT((CLGameID=$B281)*CLPlayed*(CLUseCur+CLUsePrev&gt;0)*(CLPlays=0))&gt;0,"MISSING",""))</f>
        <v/>
      </c>
      <c r="K281" s="2" t="str">
        <f>IF($B281="","",IF(SUMPRODUCT((CLGameID=$B281)*CLPlayed*((CLOffPts&lt;-20)+(CLOffPts&gt;90)))&gt;0,"CHECK",""))</f>
        <v/>
      </c>
      <c r="L281" s="2" t="str">
        <f t="array" ref="L281">IF($B281="","",IF(OR(ABS(IFERROR(INDEX(RatEff,MATCH($D281,RatTeams,0)),0))&gt;RatingRange,ABS(IFERROR(INDEX(RatEff,MATCH($E281,RatTeams,0)),0))&gt;RatingRange),"RANGE",""))</f>
        <v/>
      </c>
      <c r="M281" s="2" t="str">
        <f t="array" ref="M281">IF($B281="","",IF(OR(IFERROR(INDEX(CalcMoveFlag,MATCH($D281,CalcTeams,0)),"")="CAPPED",IFERROR(INDEX(CalcMoveFlag,MATCH($E281,CalcTeams,0)),"")="CAPPED"),"CAPPED",""))</f>
        <v/>
      </c>
      <c r="N281" s="2" t="str">
        <f>IF($B281="","",IF(ABS(SUMIFS(AdjSpread,AdjGameID,$B281,AdjActive,1))&gt;AdjCap,"LARGE",""))</f>
        <v/>
      </c>
      <c r="O281" s="2" t="str">
        <f t="array" ref="O281">IF($B281="","",IFERROR(INDEX(MktStale,MATCH($B281,MktGameID,0)),""))</f>
        <v>STALE</v>
      </c>
      <c r="P281" s="2" t="str">
        <f t="shared" si="1"/>
        <v>WARNING</v>
      </c>
    </row>
    <row r="282" ht="15.0" customHeight="1">
      <c r="A282" s="2">
        <v>271.0</v>
      </c>
      <c r="B282" s="2" t="str">
        <f t="array" ref="B282">IFERROR(INDEX(SchedZone,MATCH($A282,SchedSeq,0),MAP!$B$6),"")</f>
        <v>2026_18_PHI_NYG</v>
      </c>
      <c r="C282" s="2">
        <f t="array" ref="C282">IF($B282="","",INDEX(SchedZone,MATCH($A282,SchedSeq,0),MAP!$B$4))</f>
        <v>18</v>
      </c>
      <c r="D282" s="2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2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2" t="str">
        <f>IF($B282="","",IF(COUNTIF(EngGameID,$B282)&gt;1,"DUP",""))</f>
        <v/>
      </c>
      <c r="G282" s="2" t="str">
        <f>IF($B282="","",IF(OR(COUNTIFS(EngWeek,$C282,EngAway,$D282)+COUNTIFS(EngWeek,$C282,EngHome,$D282)&gt;1,COUNTIFS(EngWeek,$C282,EngAway,$E282)+COUNTIFS(EngWeek,$C282,EngHome,$E282)&gt;1),"DUP",""))</f>
        <v/>
      </c>
      <c r="H282" s="2" t="str">
        <f>IF($B282="","",IF(OR(SUMPRODUCT((CLGameID=$B282)*CLUnmatched)&gt;0,LEFT($D282,1)="⚠",LEFT($E282,1)="⚠"),"UNMATCHED",""))</f>
        <v/>
      </c>
      <c r="I282" s="2" t="str">
        <f t="array" ref="I282">IF($B282="","",IF(OR(NOT(ISNUMBER(IFERROR(INDEX(RatEff,MATCH($D282,RatTeams,0)),"x"))),NOT(ISNUMBER(IFERROR(INDEX(RatEff,MATCH($E282,RatTeams,0)),"x")))),"MISSING",""))</f>
        <v/>
      </c>
      <c r="J282" s="2" t="str">
        <f>IF($B282="","",IF(SUMPRODUCT((CLGameID=$B282)*CLPlayed*(CLUseCur+CLUsePrev&gt;0)*(CLPlays=0))&gt;0,"MISSING",""))</f>
        <v/>
      </c>
      <c r="K282" s="2" t="str">
        <f>IF($B282="","",IF(SUMPRODUCT((CLGameID=$B282)*CLPlayed*((CLOffPts&lt;-20)+(CLOffPts&gt;90)))&gt;0,"CHECK",""))</f>
        <v/>
      </c>
      <c r="L282" s="2" t="str">
        <f t="array" ref="L282">IF($B282="","",IF(OR(ABS(IFERROR(INDEX(RatEff,MATCH($D282,RatTeams,0)),0))&gt;RatingRange,ABS(IFERROR(INDEX(RatEff,MATCH($E282,RatTeams,0)),0))&gt;RatingRange),"RANGE",""))</f>
        <v/>
      </c>
      <c r="M282" s="2" t="str">
        <f t="array" ref="M282">IF($B282="","",IF(OR(IFERROR(INDEX(CalcMoveFlag,MATCH($D282,CalcTeams,0)),"")="CAPPED",IFERROR(INDEX(CalcMoveFlag,MATCH($E282,CalcTeams,0)),"")="CAPPED"),"CAPPED",""))</f>
        <v/>
      </c>
      <c r="N282" s="2" t="str">
        <f>IF($B282="","",IF(ABS(SUMIFS(AdjSpread,AdjGameID,$B282,AdjActive,1))&gt;AdjCap,"LARGE",""))</f>
        <v/>
      </c>
      <c r="O282" s="2" t="str">
        <f t="array" ref="O282">IF($B282="","",IFERROR(INDEX(MktStale,MATCH($B282,MktGameID,0)),""))</f>
        <v>STALE</v>
      </c>
      <c r="P282" s="2" t="str">
        <f t="shared" si="1"/>
        <v>WARNING</v>
      </c>
    </row>
    <row r="283" ht="15.0" customHeight="1">
      <c r="A283" s="2">
        <v>272.0</v>
      </c>
      <c r="B283" s="2" t="str">
        <f t="array" ref="B283">IFERROR(INDEX(SchedZone,MATCH($A283,SchedSeq,0),MAP!$B$6),"")</f>
        <v>2026_18_DAL_WAS</v>
      </c>
      <c r="C283" s="2">
        <f t="array" ref="C283">IF($B283="","",INDEX(SchedZone,MATCH($A283,SchedSeq,0),MAP!$B$4))</f>
        <v>18</v>
      </c>
      <c r="D283" s="2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2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2" t="str">
        <f>IF($B283="","",IF(COUNTIF(EngGameID,$B283)&gt;1,"DUP",""))</f>
        <v/>
      </c>
      <c r="G283" s="2" t="str">
        <f>IF($B283="","",IF(OR(COUNTIFS(EngWeek,$C283,EngAway,$D283)+COUNTIFS(EngWeek,$C283,EngHome,$D283)&gt;1,COUNTIFS(EngWeek,$C283,EngAway,$E283)+COUNTIFS(EngWeek,$C283,EngHome,$E283)&gt;1),"DUP",""))</f>
        <v/>
      </c>
      <c r="H283" s="2" t="str">
        <f>IF($B283="","",IF(OR(SUMPRODUCT((CLGameID=$B283)*CLUnmatched)&gt;0,LEFT($D283,1)="⚠",LEFT($E283,1)="⚠"),"UNMATCHED",""))</f>
        <v/>
      </c>
      <c r="I283" s="2" t="str">
        <f t="array" ref="I283">IF($B283="","",IF(OR(NOT(ISNUMBER(IFERROR(INDEX(RatEff,MATCH($D283,RatTeams,0)),"x"))),NOT(ISNUMBER(IFERROR(INDEX(RatEff,MATCH($E283,RatTeams,0)),"x")))),"MISSING",""))</f>
        <v/>
      </c>
      <c r="J283" s="2" t="str">
        <f>IF($B283="","",IF(SUMPRODUCT((CLGameID=$B283)*CLPlayed*(CLUseCur+CLUsePrev&gt;0)*(CLPlays=0))&gt;0,"MISSING",""))</f>
        <v/>
      </c>
      <c r="K283" s="2" t="str">
        <f>IF($B283="","",IF(SUMPRODUCT((CLGameID=$B283)*CLPlayed*((CLOffPts&lt;-20)+(CLOffPts&gt;90)))&gt;0,"CHECK",""))</f>
        <v/>
      </c>
      <c r="L283" s="2" t="str">
        <f t="array" ref="L283">IF($B283="","",IF(OR(ABS(IFERROR(INDEX(RatEff,MATCH($D283,RatTeams,0)),0))&gt;RatingRange,ABS(IFERROR(INDEX(RatEff,MATCH($E283,RatTeams,0)),0))&gt;RatingRange),"RANGE",""))</f>
        <v/>
      </c>
      <c r="M283" s="2" t="str">
        <f t="array" ref="M283">IF($B283="","",IF(OR(IFERROR(INDEX(CalcMoveFlag,MATCH($D283,CalcTeams,0)),"")="CAPPED",IFERROR(INDEX(CalcMoveFlag,MATCH($E283,CalcTeams,0)),"")="CAPPED"),"CAPPED",""))</f>
        <v/>
      </c>
      <c r="N283" s="2" t="str">
        <f>IF($B283="","",IF(ABS(SUMIFS(AdjSpread,AdjGameID,$B283,AdjActive,1))&gt;AdjCap,"LARGE",""))</f>
        <v/>
      </c>
      <c r="O283" s="2" t="str">
        <f t="array" ref="O283">IF($B283="","",IFERROR(INDEX(MktStale,MATCH($B283,MktGameID,0)),""))</f>
        <v>STALE</v>
      </c>
      <c r="P283" s="2" t="str">
        <f t="shared" si="1"/>
        <v>WARNING</v>
      </c>
    </row>
    <row r="284" ht="15.0" customHeight="1">
      <c r="A284" s="2">
        <v>273.0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2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2" t="str">
        <f>IF($B284="","",IF(COUNTIF(EngGameID,$B284)&gt;1,"DUP",""))</f>
        <v/>
      </c>
      <c r="G284" s="2" t="str">
        <f>IF($B284="","",IF(OR(COUNTIFS(EngWeek,$C284,EngAway,$D284)+COUNTIFS(EngWeek,$C284,EngHome,$D284)&gt;1,COUNTIFS(EngWeek,$C284,EngAway,$E284)+COUNTIFS(EngWeek,$C284,EngHome,$E284)&gt;1),"DUP",""))</f>
        <v/>
      </c>
      <c r="H284" s="2" t="str">
        <f>IF($B284="","",IF(OR(SUMPRODUCT((CLGameID=$B284)*CLUnmatched)&gt;0,LEFT($D284,1)="⚠",LEFT($E284,1)="⚠"),"UNMATCHED",""))</f>
        <v/>
      </c>
      <c r="I284" s="2" t="str">
        <f t="array" ref="I284">IF($B284="","",IF(OR(NOT(ISNUMBER(IFERROR(INDEX(RatEff,MATCH($D284,RatTeams,0)),"x"))),NOT(ISNUMBER(IFERROR(INDEX(RatEff,MATCH($E284,RatTeams,0)),"x")))),"MISSING",""))</f>
        <v/>
      </c>
      <c r="J284" s="2" t="str">
        <f>IF($B284="","",IF(SUMPRODUCT((CLGameID=$B284)*CLPlayed*(CLUseCur+CLUsePrev&gt;0)*(CLPlays=0))&gt;0,"MISSING",""))</f>
        <v/>
      </c>
      <c r="K284" s="2" t="str">
        <f>IF($B284="","",IF(SUMPRODUCT((CLGameID=$B284)*CLPlayed*((CLOffPts&lt;-20)+(CLOffPts&gt;90)))&gt;0,"CHECK",""))</f>
        <v/>
      </c>
      <c r="L284" s="2" t="str">
        <f t="array" ref="L284">IF($B284="","",IF(OR(ABS(IFERROR(INDEX(RatEff,MATCH($D284,RatTeams,0)),0))&gt;RatingRange,ABS(IFERROR(INDEX(RatEff,MATCH($E284,RatTeams,0)),0))&gt;RatingRange),"RANGE",""))</f>
        <v/>
      </c>
      <c r="M284" s="2" t="str">
        <f t="array" ref="M284">IF($B284="","",IF(OR(IFERROR(INDEX(CalcMoveFlag,MATCH($D284,CalcTeams,0)),"")="CAPPED",IFERROR(INDEX(CalcMoveFlag,MATCH($E284,CalcTeams,0)),"")="CAPPED"),"CAPPED",""))</f>
        <v/>
      </c>
      <c r="N284" s="2" t="str">
        <f>IF($B284="","",IF(ABS(SUMIFS(AdjSpread,AdjGameID,$B284,AdjActive,1))&gt;AdjCap,"LARGE",""))</f>
        <v/>
      </c>
      <c r="O284" s="2" t="str">
        <f t="array" ref="O284">IF($B284="","",IFERROR(INDEX(MktStale,MATCH($B284,MktGameID,0)),""))</f>
        <v/>
      </c>
      <c r="P284" s="2" t="str">
        <f t="shared" si="1"/>
        <v/>
      </c>
    </row>
    <row r="285" ht="15.0" customHeight="1">
      <c r="A285" s="2">
        <v>274.0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2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2" t="str">
        <f>IF($B285="","",IF(COUNTIF(EngGameID,$B285)&gt;1,"DUP",""))</f>
        <v/>
      </c>
      <c r="G285" s="2" t="str">
        <f>IF($B285="","",IF(OR(COUNTIFS(EngWeek,$C285,EngAway,$D285)+COUNTIFS(EngWeek,$C285,EngHome,$D285)&gt;1,COUNTIFS(EngWeek,$C285,EngAway,$E285)+COUNTIFS(EngWeek,$C285,EngHome,$E285)&gt;1),"DUP",""))</f>
        <v/>
      </c>
      <c r="H285" s="2" t="str">
        <f>IF($B285="","",IF(OR(SUMPRODUCT((CLGameID=$B285)*CLUnmatched)&gt;0,LEFT($D285,1)="⚠",LEFT($E285,1)="⚠"),"UNMATCHED",""))</f>
        <v/>
      </c>
      <c r="I285" s="2" t="str">
        <f t="array" ref="I285">IF($B285="","",IF(OR(NOT(ISNUMBER(IFERROR(INDEX(RatEff,MATCH($D285,RatTeams,0)),"x"))),NOT(ISNUMBER(IFERROR(INDEX(RatEff,MATCH($E285,RatTeams,0)),"x")))),"MISSING",""))</f>
        <v/>
      </c>
      <c r="J285" s="2" t="str">
        <f>IF($B285="","",IF(SUMPRODUCT((CLGameID=$B285)*CLPlayed*(CLUseCur+CLUsePrev&gt;0)*(CLPlays=0))&gt;0,"MISSING",""))</f>
        <v/>
      </c>
      <c r="K285" s="2" t="str">
        <f>IF($B285="","",IF(SUMPRODUCT((CLGameID=$B285)*CLPlayed*((CLOffPts&lt;-20)+(CLOffPts&gt;90)))&gt;0,"CHECK",""))</f>
        <v/>
      </c>
      <c r="L285" s="2" t="str">
        <f t="array" ref="L285">IF($B285="","",IF(OR(ABS(IFERROR(INDEX(RatEff,MATCH($D285,RatTeams,0)),0))&gt;RatingRange,ABS(IFERROR(INDEX(RatEff,MATCH($E285,RatTeams,0)),0))&gt;RatingRange),"RANGE",""))</f>
        <v/>
      </c>
      <c r="M285" s="2" t="str">
        <f t="array" ref="M285">IF($B285="","",IF(OR(IFERROR(INDEX(CalcMoveFlag,MATCH($D285,CalcTeams,0)),"")="CAPPED",IFERROR(INDEX(CalcMoveFlag,MATCH($E285,CalcTeams,0)),"")="CAPPED"),"CAPPED",""))</f>
        <v/>
      </c>
      <c r="N285" s="2" t="str">
        <f>IF($B285="","",IF(ABS(SUMIFS(AdjSpread,AdjGameID,$B285,AdjActive,1))&gt;AdjCap,"LARGE",""))</f>
        <v/>
      </c>
      <c r="O285" s="2" t="str">
        <f t="array" ref="O285">IF($B285="","",IFERROR(INDEX(MktStale,MATCH($B285,MktGameID,0)),""))</f>
        <v/>
      </c>
      <c r="P285" s="2" t="str">
        <f t="shared" si="1"/>
        <v/>
      </c>
    </row>
    <row r="286" ht="15.0" customHeight="1">
      <c r="A286" s="2">
        <v>275.0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2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2" t="str">
        <f>IF($B286="","",IF(COUNTIF(EngGameID,$B286)&gt;1,"DUP",""))</f>
        <v/>
      </c>
      <c r="G286" s="2" t="str">
        <f>IF($B286="","",IF(OR(COUNTIFS(EngWeek,$C286,EngAway,$D286)+COUNTIFS(EngWeek,$C286,EngHome,$D286)&gt;1,COUNTIFS(EngWeek,$C286,EngAway,$E286)+COUNTIFS(EngWeek,$C286,EngHome,$E286)&gt;1),"DUP",""))</f>
        <v/>
      </c>
      <c r="H286" s="2" t="str">
        <f>IF($B286="","",IF(OR(SUMPRODUCT((CLGameID=$B286)*CLUnmatched)&gt;0,LEFT($D286,1)="⚠",LEFT($E286,1)="⚠"),"UNMATCHED",""))</f>
        <v/>
      </c>
      <c r="I286" s="2" t="str">
        <f t="array" ref="I286">IF($B286="","",IF(OR(NOT(ISNUMBER(IFERROR(INDEX(RatEff,MATCH($D286,RatTeams,0)),"x"))),NOT(ISNUMBER(IFERROR(INDEX(RatEff,MATCH($E286,RatTeams,0)),"x")))),"MISSING",""))</f>
        <v/>
      </c>
      <c r="J286" s="2" t="str">
        <f>IF($B286="","",IF(SUMPRODUCT((CLGameID=$B286)*CLPlayed*(CLUseCur+CLUsePrev&gt;0)*(CLPlays=0))&gt;0,"MISSING",""))</f>
        <v/>
      </c>
      <c r="K286" s="2" t="str">
        <f>IF($B286="","",IF(SUMPRODUCT((CLGameID=$B286)*CLPlayed*((CLOffPts&lt;-20)+(CLOffPts&gt;90)))&gt;0,"CHECK",""))</f>
        <v/>
      </c>
      <c r="L286" s="2" t="str">
        <f t="array" ref="L286">IF($B286="","",IF(OR(ABS(IFERROR(INDEX(RatEff,MATCH($D286,RatTeams,0)),0))&gt;RatingRange,ABS(IFERROR(INDEX(RatEff,MATCH($E286,RatTeams,0)),0))&gt;RatingRange),"RANGE",""))</f>
        <v/>
      </c>
      <c r="M286" s="2" t="str">
        <f t="array" ref="M286">IF($B286="","",IF(OR(IFERROR(INDEX(CalcMoveFlag,MATCH($D286,CalcTeams,0)),"")="CAPPED",IFERROR(INDEX(CalcMoveFlag,MATCH($E286,CalcTeams,0)),"")="CAPPED"),"CAPPED",""))</f>
        <v/>
      </c>
      <c r="N286" s="2" t="str">
        <f>IF($B286="","",IF(ABS(SUMIFS(AdjSpread,AdjGameID,$B286,AdjActive,1))&gt;AdjCap,"LARGE",""))</f>
        <v/>
      </c>
      <c r="O286" s="2" t="str">
        <f t="array" ref="O286">IF($B286="","",IFERROR(INDEX(MktStale,MATCH($B286,MktGameID,0)),""))</f>
        <v/>
      </c>
      <c r="P286" s="2" t="str">
        <f t="shared" si="1"/>
        <v/>
      </c>
    </row>
    <row r="287" ht="15.0" customHeight="1">
      <c r="A287" s="2">
        <v>276.0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2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2" t="str">
        <f>IF($B287="","",IF(COUNTIF(EngGameID,$B287)&gt;1,"DUP",""))</f>
        <v/>
      </c>
      <c r="G287" s="2" t="str">
        <f>IF($B287="","",IF(OR(COUNTIFS(EngWeek,$C287,EngAway,$D287)+COUNTIFS(EngWeek,$C287,EngHome,$D287)&gt;1,COUNTIFS(EngWeek,$C287,EngAway,$E287)+COUNTIFS(EngWeek,$C287,EngHome,$E287)&gt;1),"DUP",""))</f>
        <v/>
      </c>
      <c r="H287" s="2" t="str">
        <f>IF($B287="","",IF(OR(SUMPRODUCT((CLGameID=$B287)*CLUnmatched)&gt;0,LEFT($D287,1)="⚠",LEFT($E287,1)="⚠"),"UNMATCHED",""))</f>
        <v/>
      </c>
      <c r="I287" s="2" t="str">
        <f t="array" ref="I287">IF($B287="","",IF(OR(NOT(ISNUMBER(IFERROR(INDEX(RatEff,MATCH($D287,RatTeams,0)),"x"))),NOT(ISNUMBER(IFERROR(INDEX(RatEff,MATCH($E287,RatTeams,0)),"x")))),"MISSING",""))</f>
        <v/>
      </c>
      <c r="J287" s="2" t="str">
        <f>IF($B287="","",IF(SUMPRODUCT((CLGameID=$B287)*CLPlayed*(CLUseCur+CLUsePrev&gt;0)*(CLPlays=0))&gt;0,"MISSING",""))</f>
        <v/>
      </c>
      <c r="K287" s="2" t="str">
        <f>IF($B287="","",IF(SUMPRODUCT((CLGameID=$B287)*CLPlayed*((CLOffPts&lt;-20)+(CLOffPts&gt;90)))&gt;0,"CHECK",""))</f>
        <v/>
      </c>
      <c r="L287" s="2" t="str">
        <f t="array" ref="L287">IF($B287="","",IF(OR(ABS(IFERROR(INDEX(RatEff,MATCH($D287,RatTeams,0)),0))&gt;RatingRange,ABS(IFERROR(INDEX(RatEff,MATCH($E287,RatTeams,0)),0))&gt;RatingRange),"RANGE",""))</f>
        <v/>
      </c>
      <c r="M287" s="2" t="str">
        <f t="array" ref="M287">IF($B287="","",IF(OR(IFERROR(INDEX(CalcMoveFlag,MATCH($D287,CalcTeams,0)),"")="CAPPED",IFERROR(INDEX(CalcMoveFlag,MATCH($E287,CalcTeams,0)),"")="CAPPED"),"CAPPED",""))</f>
        <v/>
      </c>
      <c r="N287" s="2" t="str">
        <f>IF($B287="","",IF(ABS(SUMIFS(AdjSpread,AdjGameID,$B287,AdjActive,1))&gt;AdjCap,"LARGE",""))</f>
        <v/>
      </c>
      <c r="O287" s="2" t="str">
        <f t="array" ref="O287">IF($B287="","",IFERROR(INDEX(MktStale,MATCH($B287,MktGameID,0)),""))</f>
        <v/>
      </c>
      <c r="P287" s="2" t="str">
        <f t="shared" si="1"/>
        <v/>
      </c>
    </row>
    <row r="288" ht="15.0" customHeight="1">
      <c r="A288" s="2">
        <v>277.0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2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2" t="str">
        <f>IF($B288="","",IF(COUNTIF(EngGameID,$B288)&gt;1,"DUP",""))</f>
        <v/>
      </c>
      <c r="G288" s="2" t="str">
        <f>IF($B288="","",IF(OR(COUNTIFS(EngWeek,$C288,EngAway,$D288)+COUNTIFS(EngWeek,$C288,EngHome,$D288)&gt;1,COUNTIFS(EngWeek,$C288,EngAway,$E288)+COUNTIFS(EngWeek,$C288,EngHome,$E288)&gt;1),"DUP",""))</f>
        <v/>
      </c>
      <c r="H288" s="2" t="str">
        <f>IF($B288="","",IF(OR(SUMPRODUCT((CLGameID=$B288)*CLUnmatched)&gt;0,LEFT($D288,1)="⚠",LEFT($E288,1)="⚠"),"UNMATCHED",""))</f>
        <v/>
      </c>
      <c r="I288" s="2" t="str">
        <f t="array" ref="I288">IF($B288="","",IF(OR(NOT(ISNUMBER(IFERROR(INDEX(RatEff,MATCH($D288,RatTeams,0)),"x"))),NOT(ISNUMBER(IFERROR(INDEX(RatEff,MATCH($E288,RatTeams,0)),"x")))),"MISSING",""))</f>
        <v/>
      </c>
      <c r="J288" s="2" t="str">
        <f>IF($B288="","",IF(SUMPRODUCT((CLGameID=$B288)*CLPlayed*(CLUseCur+CLUsePrev&gt;0)*(CLPlays=0))&gt;0,"MISSING",""))</f>
        <v/>
      </c>
      <c r="K288" s="2" t="str">
        <f>IF($B288="","",IF(SUMPRODUCT((CLGameID=$B288)*CLPlayed*((CLOffPts&lt;-20)+(CLOffPts&gt;90)))&gt;0,"CHECK",""))</f>
        <v/>
      </c>
      <c r="L288" s="2" t="str">
        <f t="array" ref="L288">IF($B288="","",IF(OR(ABS(IFERROR(INDEX(RatEff,MATCH($D288,RatTeams,0)),0))&gt;RatingRange,ABS(IFERROR(INDEX(RatEff,MATCH($E288,RatTeams,0)),0))&gt;RatingRange),"RANGE",""))</f>
        <v/>
      </c>
      <c r="M288" s="2" t="str">
        <f t="array" ref="M288">IF($B288="","",IF(OR(IFERROR(INDEX(CalcMoveFlag,MATCH($D288,CalcTeams,0)),"")="CAPPED",IFERROR(INDEX(CalcMoveFlag,MATCH($E288,CalcTeams,0)),"")="CAPPED"),"CAPPED",""))</f>
        <v/>
      </c>
      <c r="N288" s="2" t="str">
        <f>IF($B288="","",IF(ABS(SUMIFS(AdjSpread,AdjGameID,$B288,AdjActive,1))&gt;AdjCap,"LARGE",""))</f>
        <v/>
      </c>
      <c r="O288" s="2" t="str">
        <f t="array" ref="O288">IF($B288="","",IFERROR(INDEX(MktStale,MATCH($B288,MktGameID,0)),""))</f>
        <v/>
      </c>
      <c r="P288" s="2" t="str">
        <f t="shared" si="1"/>
        <v/>
      </c>
    </row>
    <row r="289" ht="15.0" customHeight="1">
      <c r="A289" s="2">
        <v>278.0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2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2" t="str">
        <f>IF($B289="","",IF(COUNTIF(EngGameID,$B289)&gt;1,"DUP",""))</f>
        <v/>
      </c>
      <c r="G289" s="2" t="str">
        <f>IF($B289="","",IF(OR(COUNTIFS(EngWeek,$C289,EngAway,$D289)+COUNTIFS(EngWeek,$C289,EngHome,$D289)&gt;1,COUNTIFS(EngWeek,$C289,EngAway,$E289)+COUNTIFS(EngWeek,$C289,EngHome,$E289)&gt;1),"DUP",""))</f>
        <v/>
      </c>
      <c r="H289" s="2" t="str">
        <f>IF($B289="","",IF(OR(SUMPRODUCT((CLGameID=$B289)*CLUnmatched)&gt;0,LEFT($D289,1)="⚠",LEFT($E289,1)="⚠"),"UNMATCHED",""))</f>
        <v/>
      </c>
      <c r="I289" s="2" t="str">
        <f t="array" ref="I289">IF($B289="","",IF(OR(NOT(ISNUMBER(IFERROR(INDEX(RatEff,MATCH($D289,RatTeams,0)),"x"))),NOT(ISNUMBER(IFERROR(INDEX(RatEff,MATCH($E289,RatTeams,0)),"x")))),"MISSING",""))</f>
        <v/>
      </c>
      <c r="J289" s="2" t="str">
        <f>IF($B289="","",IF(SUMPRODUCT((CLGameID=$B289)*CLPlayed*(CLUseCur+CLUsePrev&gt;0)*(CLPlays=0))&gt;0,"MISSING",""))</f>
        <v/>
      </c>
      <c r="K289" s="2" t="str">
        <f>IF($B289="","",IF(SUMPRODUCT((CLGameID=$B289)*CLPlayed*((CLOffPts&lt;-20)+(CLOffPts&gt;90)))&gt;0,"CHECK",""))</f>
        <v/>
      </c>
      <c r="L289" s="2" t="str">
        <f t="array" ref="L289">IF($B289="","",IF(OR(ABS(IFERROR(INDEX(RatEff,MATCH($D289,RatTeams,0)),0))&gt;RatingRange,ABS(IFERROR(INDEX(RatEff,MATCH($E289,RatTeams,0)),0))&gt;RatingRange),"RANGE",""))</f>
        <v/>
      </c>
      <c r="M289" s="2" t="str">
        <f t="array" ref="M289">IF($B289="","",IF(OR(IFERROR(INDEX(CalcMoveFlag,MATCH($D289,CalcTeams,0)),"")="CAPPED",IFERROR(INDEX(CalcMoveFlag,MATCH($E289,CalcTeams,0)),"")="CAPPED"),"CAPPED",""))</f>
        <v/>
      </c>
      <c r="N289" s="2" t="str">
        <f>IF($B289="","",IF(ABS(SUMIFS(AdjSpread,AdjGameID,$B289,AdjActive,1))&gt;AdjCap,"LARGE",""))</f>
        <v/>
      </c>
      <c r="O289" s="2" t="str">
        <f t="array" ref="O289">IF($B289="","",IFERROR(INDEX(MktStale,MATCH($B289,MktGameID,0)),""))</f>
        <v/>
      </c>
      <c r="P289" s="2" t="str">
        <f t="shared" si="1"/>
        <v/>
      </c>
    </row>
    <row r="290" ht="15.0" customHeight="1">
      <c r="A290" s="2">
        <v>279.0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2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2" t="str">
        <f>IF($B290="","",IF(COUNTIF(EngGameID,$B290)&gt;1,"DUP",""))</f>
        <v/>
      </c>
      <c r="G290" s="2" t="str">
        <f>IF($B290="","",IF(OR(COUNTIFS(EngWeek,$C290,EngAway,$D290)+COUNTIFS(EngWeek,$C290,EngHome,$D290)&gt;1,COUNTIFS(EngWeek,$C290,EngAway,$E290)+COUNTIFS(EngWeek,$C290,EngHome,$E290)&gt;1),"DUP",""))</f>
        <v/>
      </c>
      <c r="H290" s="2" t="str">
        <f>IF($B290="","",IF(OR(SUMPRODUCT((CLGameID=$B290)*CLUnmatched)&gt;0,LEFT($D290,1)="⚠",LEFT($E290,1)="⚠"),"UNMATCHED",""))</f>
        <v/>
      </c>
      <c r="I290" s="2" t="str">
        <f t="array" ref="I290">IF($B290="","",IF(OR(NOT(ISNUMBER(IFERROR(INDEX(RatEff,MATCH($D290,RatTeams,0)),"x"))),NOT(ISNUMBER(IFERROR(INDEX(RatEff,MATCH($E290,RatTeams,0)),"x")))),"MISSING",""))</f>
        <v/>
      </c>
      <c r="J290" s="2" t="str">
        <f>IF($B290="","",IF(SUMPRODUCT((CLGameID=$B290)*CLPlayed*(CLUseCur+CLUsePrev&gt;0)*(CLPlays=0))&gt;0,"MISSING",""))</f>
        <v/>
      </c>
      <c r="K290" s="2" t="str">
        <f>IF($B290="","",IF(SUMPRODUCT((CLGameID=$B290)*CLPlayed*((CLOffPts&lt;-20)+(CLOffPts&gt;90)))&gt;0,"CHECK",""))</f>
        <v/>
      </c>
      <c r="L290" s="2" t="str">
        <f t="array" ref="L290">IF($B290="","",IF(OR(ABS(IFERROR(INDEX(RatEff,MATCH($D290,RatTeams,0)),0))&gt;RatingRange,ABS(IFERROR(INDEX(RatEff,MATCH($E290,RatTeams,0)),0))&gt;RatingRange),"RANGE",""))</f>
        <v/>
      </c>
      <c r="M290" s="2" t="str">
        <f t="array" ref="M290">IF($B290="","",IF(OR(IFERROR(INDEX(CalcMoveFlag,MATCH($D290,CalcTeams,0)),"")="CAPPED",IFERROR(INDEX(CalcMoveFlag,MATCH($E290,CalcTeams,0)),"")="CAPPED"),"CAPPED",""))</f>
        <v/>
      </c>
      <c r="N290" s="2" t="str">
        <f>IF($B290="","",IF(ABS(SUMIFS(AdjSpread,AdjGameID,$B290,AdjActive,1))&gt;AdjCap,"LARGE",""))</f>
        <v/>
      </c>
      <c r="O290" s="2" t="str">
        <f t="array" ref="O290">IF($B290="","",IFERROR(INDEX(MktStale,MATCH($B290,MktGameID,0)),""))</f>
        <v/>
      </c>
      <c r="P290" s="2" t="str">
        <f t="shared" si="1"/>
        <v/>
      </c>
    </row>
    <row r="291" ht="15.0" customHeight="1">
      <c r="A291" s="2">
        <v>280.0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2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2" t="str">
        <f>IF($B291="","",IF(COUNTIF(EngGameID,$B291)&gt;1,"DUP",""))</f>
        <v/>
      </c>
      <c r="G291" s="2" t="str">
        <f>IF($B291="","",IF(OR(COUNTIFS(EngWeek,$C291,EngAway,$D291)+COUNTIFS(EngWeek,$C291,EngHome,$D291)&gt;1,COUNTIFS(EngWeek,$C291,EngAway,$E291)+COUNTIFS(EngWeek,$C291,EngHome,$E291)&gt;1),"DUP",""))</f>
        <v/>
      </c>
      <c r="H291" s="2" t="str">
        <f>IF($B291="","",IF(OR(SUMPRODUCT((CLGameID=$B291)*CLUnmatched)&gt;0,LEFT($D291,1)="⚠",LEFT($E291,1)="⚠"),"UNMATCHED",""))</f>
        <v/>
      </c>
      <c r="I291" s="2" t="str">
        <f t="array" ref="I291">IF($B291="","",IF(OR(NOT(ISNUMBER(IFERROR(INDEX(RatEff,MATCH($D291,RatTeams,0)),"x"))),NOT(ISNUMBER(IFERROR(INDEX(RatEff,MATCH($E291,RatTeams,0)),"x")))),"MISSING",""))</f>
        <v/>
      </c>
      <c r="J291" s="2" t="str">
        <f>IF($B291="","",IF(SUMPRODUCT((CLGameID=$B291)*CLPlayed*(CLUseCur+CLUsePrev&gt;0)*(CLPlays=0))&gt;0,"MISSING",""))</f>
        <v/>
      </c>
      <c r="K291" s="2" t="str">
        <f>IF($B291="","",IF(SUMPRODUCT((CLGameID=$B291)*CLPlayed*((CLOffPts&lt;-20)+(CLOffPts&gt;90)))&gt;0,"CHECK",""))</f>
        <v/>
      </c>
      <c r="L291" s="2" t="str">
        <f t="array" ref="L291">IF($B291="","",IF(OR(ABS(IFERROR(INDEX(RatEff,MATCH($D291,RatTeams,0)),0))&gt;RatingRange,ABS(IFERROR(INDEX(RatEff,MATCH($E291,RatTeams,0)),0))&gt;RatingRange),"RANGE",""))</f>
        <v/>
      </c>
      <c r="M291" s="2" t="str">
        <f t="array" ref="M291">IF($B291="","",IF(OR(IFERROR(INDEX(CalcMoveFlag,MATCH($D291,CalcTeams,0)),"")="CAPPED",IFERROR(INDEX(CalcMoveFlag,MATCH($E291,CalcTeams,0)),"")="CAPPED"),"CAPPED",""))</f>
        <v/>
      </c>
      <c r="N291" s="2" t="str">
        <f>IF($B291="","",IF(ABS(SUMIFS(AdjSpread,AdjGameID,$B291,AdjActive,1))&gt;AdjCap,"LARGE",""))</f>
        <v/>
      </c>
      <c r="O291" s="2" t="str">
        <f t="array" ref="O291">IF($B291="","",IFERROR(INDEX(MktStale,MATCH($B291,MktGameID,0)),""))</f>
        <v/>
      </c>
      <c r="P291" s="2" t="str">
        <f t="shared" si="1"/>
        <v/>
      </c>
    </row>
    <row r="292" ht="15.0" customHeight="1">
      <c r="A292" s="2">
        <v>281.0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2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2" t="str">
        <f>IF($B292="","",IF(COUNTIF(EngGameID,$B292)&gt;1,"DUP",""))</f>
        <v/>
      </c>
      <c r="G292" s="2" t="str">
        <f>IF($B292="","",IF(OR(COUNTIFS(EngWeek,$C292,EngAway,$D292)+COUNTIFS(EngWeek,$C292,EngHome,$D292)&gt;1,COUNTIFS(EngWeek,$C292,EngAway,$E292)+COUNTIFS(EngWeek,$C292,EngHome,$E292)&gt;1),"DUP",""))</f>
        <v/>
      </c>
      <c r="H292" s="2" t="str">
        <f>IF($B292="","",IF(OR(SUMPRODUCT((CLGameID=$B292)*CLUnmatched)&gt;0,LEFT($D292,1)="⚠",LEFT($E292,1)="⚠"),"UNMATCHED",""))</f>
        <v/>
      </c>
      <c r="I292" s="2" t="str">
        <f t="array" ref="I292">IF($B292="","",IF(OR(NOT(ISNUMBER(IFERROR(INDEX(RatEff,MATCH($D292,RatTeams,0)),"x"))),NOT(ISNUMBER(IFERROR(INDEX(RatEff,MATCH($E292,RatTeams,0)),"x")))),"MISSING",""))</f>
        <v/>
      </c>
      <c r="J292" s="2" t="str">
        <f>IF($B292="","",IF(SUMPRODUCT((CLGameID=$B292)*CLPlayed*(CLUseCur+CLUsePrev&gt;0)*(CLPlays=0))&gt;0,"MISSING",""))</f>
        <v/>
      </c>
      <c r="K292" s="2" t="str">
        <f>IF($B292="","",IF(SUMPRODUCT((CLGameID=$B292)*CLPlayed*((CLOffPts&lt;-20)+(CLOffPts&gt;90)))&gt;0,"CHECK",""))</f>
        <v/>
      </c>
      <c r="L292" s="2" t="str">
        <f t="array" ref="L292">IF($B292="","",IF(OR(ABS(IFERROR(INDEX(RatEff,MATCH($D292,RatTeams,0)),0))&gt;RatingRange,ABS(IFERROR(INDEX(RatEff,MATCH($E292,RatTeams,0)),0))&gt;RatingRange),"RANGE",""))</f>
        <v/>
      </c>
      <c r="M292" s="2" t="str">
        <f t="array" ref="M292">IF($B292="","",IF(OR(IFERROR(INDEX(CalcMoveFlag,MATCH($D292,CalcTeams,0)),"")="CAPPED",IFERROR(INDEX(CalcMoveFlag,MATCH($E292,CalcTeams,0)),"")="CAPPED"),"CAPPED",""))</f>
        <v/>
      </c>
      <c r="N292" s="2" t="str">
        <f>IF($B292="","",IF(ABS(SUMIFS(AdjSpread,AdjGameID,$B292,AdjActive,1))&gt;AdjCap,"LARGE",""))</f>
        <v/>
      </c>
      <c r="O292" s="2" t="str">
        <f t="array" ref="O292">IF($B292="","",IFERROR(INDEX(MktStale,MATCH($B292,MktGameID,0)),""))</f>
        <v/>
      </c>
      <c r="P292" s="2" t="str">
        <f t="shared" si="1"/>
        <v/>
      </c>
    </row>
    <row r="293" ht="15.0" customHeight="1">
      <c r="A293" s="2">
        <v>282.0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2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2" t="str">
        <f>IF($B293="","",IF(COUNTIF(EngGameID,$B293)&gt;1,"DUP",""))</f>
        <v/>
      </c>
      <c r="G293" s="2" t="str">
        <f>IF($B293="","",IF(OR(COUNTIFS(EngWeek,$C293,EngAway,$D293)+COUNTIFS(EngWeek,$C293,EngHome,$D293)&gt;1,COUNTIFS(EngWeek,$C293,EngAway,$E293)+COUNTIFS(EngWeek,$C293,EngHome,$E293)&gt;1),"DUP",""))</f>
        <v/>
      </c>
      <c r="H293" s="2" t="str">
        <f>IF($B293="","",IF(OR(SUMPRODUCT((CLGameID=$B293)*CLUnmatched)&gt;0,LEFT($D293,1)="⚠",LEFT($E293,1)="⚠"),"UNMATCHED",""))</f>
        <v/>
      </c>
      <c r="I293" s="2" t="str">
        <f t="array" ref="I293">IF($B293="","",IF(OR(NOT(ISNUMBER(IFERROR(INDEX(RatEff,MATCH($D293,RatTeams,0)),"x"))),NOT(ISNUMBER(IFERROR(INDEX(RatEff,MATCH($E293,RatTeams,0)),"x")))),"MISSING",""))</f>
        <v/>
      </c>
      <c r="J293" s="2" t="str">
        <f>IF($B293="","",IF(SUMPRODUCT((CLGameID=$B293)*CLPlayed*(CLUseCur+CLUsePrev&gt;0)*(CLPlays=0))&gt;0,"MISSING",""))</f>
        <v/>
      </c>
      <c r="K293" s="2" t="str">
        <f>IF($B293="","",IF(SUMPRODUCT((CLGameID=$B293)*CLPlayed*((CLOffPts&lt;-20)+(CLOffPts&gt;90)))&gt;0,"CHECK",""))</f>
        <v/>
      </c>
      <c r="L293" s="2" t="str">
        <f t="array" ref="L293">IF($B293="","",IF(OR(ABS(IFERROR(INDEX(RatEff,MATCH($D293,RatTeams,0)),0))&gt;RatingRange,ABS(IFERROR(INDEX(RatEff,MATCH($E293,RatTeams,0)),0))&gt;RatingRange),"RANGE",""))</f>
        <v/>
      </c>
      <c r="M293" s="2" t="str">
        <f t="array" ref="M293">IF($B293="","",IF(OR(IFERROR(INDEX(CalcMoveFlag,MATCH($D293,CalcTeams,0)),"")="CAPPED",IFERROR(INDEX(CalcMoveFlag,MATCH($E293,CalcTeams,0)),"")="CAPPED"),"CAPPED",""))</f>
        <v/>
      </c>
      <c r="N293" s="2" t="str">
        <f>IF($B293="","",IF(ABS(SUMIFS(AdjSpread,AdjGameID,$B293,AdjActive,1))&gt;AdjCap,"LARGE",""))</f>
        <v/>
      </c>
      <c r="O293" s="2" t="str">
        <f t="array" ref="O293">IF($B293="","",IFERROR(INDEX(MktStale,MATCH($B293,MktGameID,0)),""))</f>
        <v/>
      </c>
      <c r="P293" s="2" t="str">
        <f t="shared" si="1"/>
        <v/>
      </c>
    </row>
    <row r="294" ht="15.0" customHeight="1">
      <c r="A294" s="2">
        <v>283.0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2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2" t="str">
        <f>IF($B294="","",IF(COUNTIF(EngGameID,$B294)&gt;1,"DUP",""))</f>
        <v/>
      </c>
      <c r="G294" s="2" t="str">
        <f>IF($B294="","",IF(OR(COUNTIFS(EngWeek,$C294,EngAway,$D294)+COUNTIFS(EngWeek,$C294,EngHome,$D294)&gt;1,COUNTIFS(EngWeek,$C294,EngAway,$E294)+COUNTIFS(EngWeek,$C294,EngHome,$E294)&gt;1),"DUP",""))</f>
        <v/>
      </c>
      <c r="H294" s="2" t="str">
        <f>IF($B294="","",IF(OR(SUMPRODUCT((CLGameID=$B294)*CLUnmatched)&gt;0,LEFT($D294,1)="⚠",LEFT($E294,1)="⚠"),"UNMATCHED",""))</f>
        <v/>
      </c>
      <c r="I294" s="2" t="str">
        <f t="array" ref="I294">IF($B294="","",IF(OR(NOT(ISNUMBER(IFERROR(INDEX(RatEff,MATCH($D294,RatTeams,0)),"x"))),NOT(ISNUMBER(IFERROR(INDEX(RatEff,MATCH($E294,RatTeams,0)),"x")))),"MISSING",""))</f>
        <v/>
      </c>
      <c r="J294" s="2" t="str">
        <f>IF($B294="","",IF(SUMPRODUCT((CLGameID=$B294)*CLPlayed*(CLUseCur+CLUsePrev&gt;0)*(CLPlays=0))&gt;0,"MISSING",""))</f>
        <v/>
      </c>
      <c r="K294" s="2" t="str">
        <f>IF($B294="","",IF(SUMPRODUCT((CLGameID=$B294)*CLPlayed*((CLOffPts&lt;-20)+(CLOffPts&gt;90)))&gt;0,"CHECK",""))</f>
        <v/>
      </c>
      <c r="L294" s="2" t="str">
        <f t="array" ref="L294">IF($B294="","",IF(OR(ABS(IFERROR(INDEX(RatEff,MATCH($D294,RatTeams,0)),0))&gt;RatingRange,ABS(IFERROR(INDEX(RatEff,MATCH($E294,RatTeams,0)),0))&gt;RatingRange),"RANGE",""))</f>
        <v/>
      </c>
      <c r="M294" s="2" t="str">
        <f t="array" ref="M294">IF($B294="","",IF(OR(IFERROR(INDEX(CalcMoveFlag,MATCH($D294,CalcTeams,0)),"")="CAPPED",IFERROR(INDEX(CalcMoveFlag,MATCH($E294,CalcTeams,0)),"")="CAPPED"),"CAPPED",""))</f>
        <v/>
      </c>
      <c r="N294" s="2" t="str">
        <f>IF($B294="","",IF(ABS(SUMIFS(AdjSpread,AdjGameID,$B294,AdjActive,1))&gt;AdjCap,"LARGE",""))</f>
        <v/>
      </c>
      <c r="O294" s="2" t="str">
        <f t="array" ref="O294">IF($B294="","",IFERROR(INDEX(MktStale,MATCH($B294,MktGameID,0)),""))</f>
        <v/>
      </c>
      <c r="P294" s="2" t="str">
        <f t="shared" si="1"/>
        <v/>
      </c>
    </row>
    <row r="295" ht="15.0" customHeight="1">
      <c r="A295" s="2">
        <v>284.0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2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2" t="str">
        <f>IF($B295="","",IF(COUNTIF(EngGameID,$B295)&gt;1,"DUP",""))</f>
        <v/>
      </c>
      <c r="G295" s="2" t="str">
        <f>IF($B295="","",IF(OR(COUNTIFS(EngWeek,$C295,EngAway,$D295)+COUNTIFS(EngWeek,$C295,EngHome,$D295)&gt;1,COUNTIFS(EngWeek,$C295,EngAway,$E295)+COUNTIFS(EngWeek,$C295,EngHome,$E295)&gt;1),"DUP",""))</f>
        <v/>
      </c>
      <c r="H295" s="2" t="str">
        <f>IF($B295="","",IF(OR(SUMPRODUCT((CLGameID=$B295)*CLUnmatched)&gt;0,LEFT($D295,1)="⚠",LEFT($E295,1)="⚠"),"UNMATCHED",""))</f>
        <v/>
      </c>
      <c r="I295" s="2" t="str">
        <f t="array" ref="I295">IF($B295="","",IF(OR(NOT(ISNUMBER(IFERROR(INDEX(RatEff,MATCH($D295,RatTeams,0)),"x"))),NOT(ISNUMBER(IFERROR(INDEX(RatEff,MATCH($E295,RatTeams,0)),"x")))),"MISSING",""))</f>
        <v/>
      </c>
      <c r="J295" s="2" t="str">
        <f>IF($B295="","",IF(SUMPRODUCT((CLGameID=$B295)*CLPlayed*(CLUseCur+CLUsePrev&gt;0)*(CLPlays=0))&gt;0,"MISSING",""))</f>
        <v/>
      </c>
      <c r="K295" s="2" t="str">
        <f>IF($B295="","",IF(SUMPRODUCT((CLGameID=$B295)*CLPlayed*((CLOffPts&lt;-20)+(CLOffPts&gt;90)))&gt;0,"CHECK",""))</f>
        <v/>
      </c>
      <c r="L295" s="2" t="str">
        <f t="array" ref="L295">IF($B295="","",IF(OR(ABS(IFERROR(INDEX(RatEff,MATCH($D295,RatTeams,0)),0))&gt;RatingRange,ABS(IFERROR(INDEX(RatEff,MATCH($E295,RatTeams,0)),0))&gt;RatingRange),"RANGE",""))</f>
        <v/>
      </c>
      <c r="M295" s="2" t="str">
        <f t="array" ref="M295">IF($B295="","",IF(OR(IFERROR(INDEX(CalcMoveFlag,MATCH($D295,CalcTeams,0)),"")="CAPPED",IFERROR(INDEX(CalcMoveFlag,MATCH($E295,CalcTeams,0)),"")="CAPPED"),"CAPPED",""))</f>
        <v/>
      </c>
      <c r="N295" s="2" t="str">
        <f>IF($B295="","",IF(ABS(SUMIFS(AdjSpread,AdjGameID,$B295,AdjActive,1))&gt;AdjCap,"LARGE",""))</f>
        <v/>
      </c>
      <c r="O295" s="2" t="str">
        <f t="array" ref="O295">IF($B295="","",IFERROR(INDEX(MktStale,MATCH($B295,MktGameID,0)),""))</f>
        <v/>
      </c>
      <c r="P295" s="2" t="str">
        <f t="shared" si="1"/>
        <v/>
      </c>
    </row>
    <row r="296" ht="15.0" customHeight="1">
      <c r="A296" s="2">
        <v>285.0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2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2" t="str">
        <f>IF($B296="","",IF(COUNTIF(EngGameID,$B296)&gt;1,"DUP",""))</f>
        <v/>
      </c>
      <c r="G296" s="2" t="str">
        <f>IF($B296="","",IF(OR(COUNTIFS(EngWeek,$C296,EngAway,$D296)+COUNTIFS(EngWeek,$C296,EngHome,$D296)&gt;1,COUNTIFS(EngWeek,$C296,EngAway,$E296)+COUNTIFS(EngWeek,$C296,EngHome,$E296)&gt;1),"DUP",""))</f>
        <v/>
      </c>
      <c r="H296" s="2" t="str">
        <f>IF($B296="","",IF(OR(SUMPRODUCT((CLGameID=$B296)*CLUnmatched)&gt;0,LEFT($D296,1)="⚠",LEFT($E296,1)="⚠"),"UNMATCHED",""))</f>
        <v/>
      </c>
      <c r="I296" s="2" t="str">
        <f t="array" ref="I296">IF($B296="","",IF(OR(NOT(ISNUMBER(IFERROR(INDEX(RatEff,MATCH($D296,RatTeams,0)),"x"))),NOT(ISNUMBER(IFERROR(INDEX(RatEff,MATCH($E296,RatTeams,0)),"x")))),"MISSING",""))</f>
        <v/>
      </c>
      <c r="J296" s="2" t="str">
        <f>IF($B296="","",IF(SUMPRODUCT((CLGameID=$B296)*CLPlayed*(CLUseCur+CLUsePrev&gt;0)*(CLPlays=0))&gt;0,"MISSING",""))</f>
        <v/>
      </c>
      <c r="K296" s="2" t="str">
        <f>IF($B296="","",IF(SUMPRODUCT((CLGameID=$B296)*CLPlayed*((CLOffPts&lt;-20)+(CLOffPts&gt;90)))&gt;0,"CHECK",""))</f>
        <v/>
      </c>
      <c r="L296" s="2" t="str">
        <f t="array" ref="L296">IF($B296="","",IF(OR(ABS(IFERROR(INDEX(RatEff,MATCH($D296,RatTeams,0)),0))&gt;RatingRange,ABS(IFERROR(INDEX(RatEff,MATCH($E296,RatTeams,0)),0))&gt;RatingRange),"RANGE",""))</f>
        <v/>
      </c>
      <c r="M296" s="2" t="str">
        <f t="array" ref="M296">IF($B296="","",IF(OR(IFERROR(INDEX(CalcMoveFlag,MATCH($D296,CalcTeams,0)),"")="CAPPED",IFERROR(INDEX(CalcMoveFlag,MATCH($E296,CalcTeams,0)),"")="CAPPED"),"CAPPED",""))</f>
        <v/>
      </c>
      <c r="N296" s="2" t="str">
        <f>IF($B296="","",IF(ABS(SUMIFS(AdjSpread,AdjGameID,$B296,AdjActive,1))&gt;AdjCap,"LARGE",""))</f>
        <v/>
      </c>
      <c r="O296" s="2" t="str">
        <f t="array" ref="O296">IF($B296="","",IFERROR(INDEX(MktStale,MATCH($B296,MktGameID,0)),""))</f>
        <v/>
      </c>
      <c r="P296" s="2" t="str">
        <f t="shared" si="1"/>
        <v/>
      </c>
    </row>
    <row r="297" ht="15.0" customHeight="1">
      <c r="A297" s="2">
        <v>286.0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2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2" t="str">
        <f>IF($B297="","",IF(COUNTIF(EngGameID,$B297)&gt;1,"DUP",""))</f>
        <v/>
      </c>
      <c r="G297" s="2" t="str">
        <f>IF($B297="","",IF(OR(COUNTIFS(EngWeek,$C297,EngAway,$D297)+COUNTIFS(EngWeek,$C297,EngHome,$D297)&gt;1,COUNTIFS(EngWeek,$C297,EngAway,$E297)+COUNTIFS(EngWeek,$C297,EngHome,$E297)&gt;1),"DUP",""))</f>
        <v/>
      </c>
      <c r="H297" s="2" t="str">
        <f>IF($B297="","",IF(OR(SUMPRODUCT((CLGameID=$B297)*CLUnmatched)&gt;0,LEFT($D297,1)="⚠",LEFT($E297,1)="⚠"),"UNMATCHED",""))</f>
        <v/>
      </c>
      <c r="I297" s="2" t="str">
        <f t="array" ref="I297">IF($B297="","",IF(OR(NOT(ISNUMBER(IFERROR(INDEX(RatEff,MATCH($D297,RatTeams,0)),"x"))),NOT(ISNUMBER(IFERROR(INDEX(RatEff,MATCH($E297,RatTeams,0)),"x")))),"MISSING",""))</f>
        <v/>
      </c>
      <c r="J297" s="2" t="str">
        <f>IF($B297="","",IF(SUMPRODUCT((CLGameID=$B297)*CLPlayed*(CLUseCur+CLUsePrev&gt;0)*(CLPlays=0))&gt;0,"MISSING",""))</f>
        <v/>
      </c>
      <c r="K297" s="2" t="str">
        <f>IF($B297="","",IF(SUMPRODUCT((CLGameID=$B297)*CLPlayed*((CLOffPts&lt;-20)+(CLOffPts&gt;90)))&gt;0,"CHECK",""))</f>
        <v/>
      </c>
      <c r="L297" s="2" t="str">
        <f t="array" ref="L297">IF($B297="","",IF(OR(ABS(IFERROR(INDEX(RatEff,MATCH($D297,RatTeams,0)),0))&gt;RatingRange,ABS(IFERROR(INDEX(RatEff,MATCH($E297,RatTeams,0)),0))&gt;RatingRange),"RANGE",""))</f>
        <v/>
      </c>
      <c r="M297" s="2" t="str">
        <f t="array" ref="M297">IF($B297="","",IF(OR(IFERROR(INDEX(CalcMoveFlag,MATCH($D297,CalcTeams,0)),"")="CAPPED",IFERROR(INDEX(CalcMoveFlag,MATCH($E297,CalcTeams,0)),"")="CAPPED"),"CAPPED",""))</f>
        <v/>
      </c>
      <c r="N297" s="2" t="str">
        <f>IF($B297="","",IF(ABS(SUMIFS(AdjSpread,AdjGameID,$B297,AdjActive,1))&gt;AdjCap,"LARGE",""))</f>
        <v/>
      </c>
      <c r="O297" s="2" t="str">
        <f t="array" ref="O297">IF($B297="","",IFERROR(INDEX(MktStale,MATCH($B297,MktGameID,0)),""))</f>
        <v/>
      </c>
      <c r="P297" s="2" t="str">
        <f t="shared" si="1"/>
        <v/>
      </c>
    </row>
    <row r="298" ht="15.0" customHeight="1">
      <c r="A298" s="2">
        <v>287.0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2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2" t="str">
        <f>IF($B298="","",IF(COUNTIF(EngGameID,$B298)&gt;1,"DUP",""))</f>
        <v/>
      </c>
      <c r="G298" s="2" t="str">
        <f>IF($B298="","",IF(OR(COUNTIFS(EngWeek,$C298,EngAway,$D298)+COUNTIFS(EngWeek,$C298,EngHome,$D298)&gt;1,COUNTIFS(EngWeek,$C298,EngAway,$E298)+COUNTIFS(EngWeek,$C298,EngHome,$E298)&gt;1),"DUP",""))</f>
        <v/>
      </c>
      <c r="H298" s="2" t="str">
        <f>IF($B298="","",IF(OR(SUMPRODUCT((CLGameID=$B298)*CLUnmatched)&gt;0,LEFT($D298,1)="⚠",LEFT($E298,1)="⚠"),"UNMATCHED",""))</f>
        <v/>
      </c>
      <c r="I298" s="2" t="str">
        <f t="array" ref="I298">IF($B298="","",IF(OR(NOT(ISNUMBER(IFERROR(INDEX(RatEff,MATCH($D298,RatTeams,0)),"x"))),NOT(ISNUMBER(IFERROR(INDEX(RatEff,MATCH($E298,RatTeams,0)),"x")))),"MISSING",""))</f>
        <v/>
      </c>
      <c r="J298" s="2" t="str">
        <f>IF($B298="","",IF(SUMPRODUCT((CLGameID=$B298)*CLPlayed*(CLUseCur+CLUsePrev&gt;0)*(CLPlays=0))&gt;0,"MISSING",""))</f>
        <v/>
      </c>
      <c r="K298" s="2" t="str">
        <f>IF($B298="","",IF(SUMPRODUCT((CLGameID=$B298)*CLPlayed*((CLOffPts&lt;-20)+(CLOffPts&gt;90)))&gt;0,"CHECK",""))</f>
        <v/>
      </c>
      <c r="L298" s="2" t="str">
        <f t="array" ref="L298">IF($B298="","",IF(OR(ABS(IFERROR(INDEX(RatEff,MATCH($D298,RatTeams,0)),0))&gt;RatingRange,ABS(IFERROR(INDEX(RatEff,MATCH($E298,RatTeams,0)),0))&gt;RatingRange),"RANGE",""))</f>
        <v/>
      </c>
      <c r="M298" s="2" t="str">
        <f t="array" ref="M298">IF($B298="","",IF(OR(IFERROR(INDEX(CalcMoveFlag,MATCH($D298,CalcTeams,0)),"")="CAPPED",IFERROR(INDEX(CalcMoveFlag,MATCH($E298,CalcTeams,0)),"")="CAPPED"),"CAPPED",""))</f>
        <v/>
      </c>
      <c r="N298" s="2" t="str">
        <f>IF($B298="","",IF(ABS(SUMIFS(AdjSpread,AdjGameID,$B298,AdjActive,1))&gt;AdjCap,"LARGE",""))</f>
        <v/>
      </c>
      <c r="O298" s="2" t="str">
        <f t="array" ref="O298">IF($B298="","",IFERROR(INDEX(MktStale,MATCH($B298,MktGameID,0)),""))</f>
        <v/>
      </c>
      <c r="P298" s="2" t="str">
        <f t="shared" si="1"/>
        <v/>
      </c>
    </row>
    <row r="299" ht="15.0" customHeight="1">
      <c r="A299" s="2">
        <v>288.0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2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2" t="str">
        <f>IF($B299="","",IF(COUNTIF(EngGameID,$B299)&gt;1,"DUP",""))</f>
        <v/>
      </c>
      <c r="G299" s="2" t="str">
        <f>IF($B299="","",IF(OR(COUNTIFS(EngWeek,$C299,EngAway,$D299)+COUNTIFS(EngWeek,$C299,EngHome,$D299)&gt;1,COUNTIFS(EngWeek,$C299,EngAway,$E299)+COUNTIFS(EngWeek,$C299,EngHome,$E299)&gt;1),"DUP",""))</f>
        <v/>
      </c>
      <c r="H299" s="2" t="str">
        <f>IF($B299="","",IF(OR(SUMPRODUCT((CLGameID=$B299)*CLUnmatched)&gt;0,LEFT($D299,1)="⚠",LEFT($E299,1)="⚠"),"UNMATCHED",""))</f>
        <v/>
      </c>
      <c r="I299" s="2" t="str">
        <f t="array" ref="I299">IF($B299="","",IF(OR(NOT(ISNUMBER(IFERROR(INDEX(RatEff,MATCH($D299,RatTeams,0)),"x"))),NOT(ISNUMBER(IFERROR(INDEX(RatEff,MATCH($E299,RatTeams,0)),"x")))),"MISSING",""))</f>
        <v/>
      </c>
      <c r="J299" s="2" t="str">
        <f>IF($B299="","",IF(SUMPRODUCT((CLGameID=$B299)*CLPlayed*(CLUseCur+CLUsePrev&gt;0)*(CLPlays=0))&gt;0,"MISSING",""))</f>
        <v/>
      </c>
      <c r="K299" s="2" t="str">
        <f>IF($B299="","",IF(SUMPRODUCT((CLGameID=$B299)*CLPlayed*((CLOffPts&lt;-20)+(CLOffPts&gt;90)))&gt;0,"CHECK",""))</f>
        <v/>
      </c>
      <c r="L299" s="2" t="str">
        <f t="array" ref="L299">IF($B299="","",IF(OR(ABS(IFERROR(INDEX(RatEff,MATCH($D299,RatTeams,0)),0))&gt;RatingRange,ABS(IFERROR(INDEX(RatEff,MATCH($E299,RatTeams,0)),0))&gt;RatingRange),"RANGE",""))</f>
        <v/>
      </c>
      <c r="M299" s="2" t="str">
        <f t="array" ref="M299">IF($B299="","",IF(OR(IFERROR(INDEX(CalcMoveFlag,MATCH($D299,CalcTeams,0)),"")="CAPPED",IFERROR(INDEX(CalcMoveFlag,MATCH($E299,CalcTeams,0)),"")="CAPPED"),"CAPPED",""))</f>
        <v/>
      </c>
      <c r="N299" s="2" t="str">
        <f>IF($B299="","",IF(ABS(SUMIFS(AdjSpread,AdjGameID,$B299,AdjActive,1))&gt;AdjCap,"LARGE",""))</f>
        <v/>
      </c>
      <c r="O299" s="2" t="str">
        <f t="array" ref="O299">IF($B299="","",IFERROR(INDEX(MktStale,MATCH($B299,MktGameID,0)),""))</f>
        <v/>
      </c>
      <c r="P299" s="2" t="str">
        <f t="shared" si="1"/>
        <v/>
      </c>
    </row>
    <row r="300" ht="15.0" customHeight="1">
      <c r="A300" s="2">
        <v>289.0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2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2" t="str">
        <f>IF($B300="","",IF(COUNTIF(EngGameID,$B300)&gt;1,"DUP",""))</f>
        <v/>
      </c>
      <c r="G300" s="2" t="str">
        <f>IF($B300="","",IF(OR(COUNTIFS(EngWeek,$C300,EngAway,$D300)+COUNTIFS(EngWeek,$C300,EngHome,$D300)&gt;1,COUNTIFS(EngWeek,$C300,EngAway,$E300)+COUNTIFS(EngWeek,$C300,EngHome,$E300)&gt;1),"DUP",""))</f>
        <v/>
      </c>
      <c r="H300" s="2" t="str">
        <f>IF($B300="","",IF(OR(SUMPRODUCT((CLGameID=$B300)*CLUnmatched)&gt;0,LEFT($D300,1)="⚠",LEFT($E300,1)="⚠"),"UNMATCHED",""))</f>
        <v/>
      </c>
      <c r="I300" s="2" t="str">
        <f t="array" ref="I300">IF($B300="","",IF(OR(NOT(ISNUMBER(IFERROR(INDEX(RatEff,MATCH($D300,RatTeams,0)),"x"))),NOT(ISNUMBER(IFERROR(INDEX(RatEff,MATCH($E300,RatTeams,0)),"x")))),"MISSING",""))</f>
        <v/>
      </c>
      <c r="J300" s="2" t="str">
        <f>IF($B300="","",IF(SUMPRODUCT((CLGameID=$B300)*CLPlayed*(CLUseCur+CLUsePrev&gt;0)*(CLPlays=0))&gt;0,"MISSING",""))</f>
        <v/>
      </c>
      <c r="K300" s="2" t="str">
        <f>IF($B300="","",IF(SUMPRODUCT((CLGameID=$B300)*CLPlayed*((CLOffPts&lt;-20)+(CLOffPts&gt;90)))&gt;0,"CHECK",""))</f>
        <v/>
      </c>
      <c r="L300" s="2" t="str">
        <f t="array" ref="L300">IF($B300="","",IF(OR(ABS(IFERROR(INDEX(RatEff,MATCH($D300,RatTeams,0)),0))&gt;RatingRange,ABS(IFERROR(INDEX(RatEff,MATCH($E300,RatTeams,0)),0))&gt;RatingRange),"RANGE",""))</f>
        <v/>
      </c>
      <c r="M300" s="2" t="str">
        <f t="array" ref="M300">IF($B300="","",IF(OR(IFERROR(INDEX(CalcMoveFlag,MATCH($D300,CalcTeams,0)),"")="CAPPED",IFERROR(INDEX(CalcMoveFlag,MATCH($E300,CalcTeams,0)),"")="CAPPED"),"CAPPED",""))</f>
        <v/>
      </c>
      <c r="N300" s="2" t="str">
        <f>IF($B300="","",IF(ABS(SUMIFS(AdjSpread,AdjGameID,$B300,AdjActive,1))&gt;AdjCap,"LARGE",""))</f>
        <v/>
      </c>
      <c r="O300" s="2" t="str">
        <f t="array" ref="O300">IF($B300="","",IFERROR(INDEX(MktStale,MATCH($B300,MktGameID,0)),""))</f>
        <v/>
      </c>
      <c r="P300" s="2" t="str">
        <f t="shared" si="1"/>
        <v/>
      </c>
    </row>
    <row r="301" ht="15.0" customHeight="1">
      <c r="A301" s="2">
        <v>290.0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2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2" t="str">
        <f>IF($B301="","",IF(COUNTIF(EngGameID,$B301)&gt;1,"DUP",""))</f>
        <v/>
      </c>
      <c r="G301" s="2" t="str">
        <f>IF($B301="","",IF(OR(COUNTIFS(EngWeek,$C301,EngAway,$D301)+COUNTIFS(EngWeek,$C301,EngHome,$D301)&gt;1,COUNTIFS(EngWeek,$C301,EngAway,$E301)+COUNTIFS(EngWeek,$C301,EngHome,$E301)&gt;1),"DUP",""))</f>
        <v/>
      </c>
      <c r="H301" s="2" t="str">
        <f>IF($B301="","",IF(OR(SUMPRODUCT((CLGameID=$B301)*CLUnmatched)&gt;0,LEFT($D301,1)="⚠",LEFT($E301,1)="⚠"),"UNMATCHED",""))</f>
        <v/>
      </c>
      <c r="I301" s="2" t="str">
        <f t="array" ref="I301">IF($B301="","",IF(OR(NOT(ISNUMBER(IFERROR(INDEX(RatEff,MATCH($D301,RatTeams,0)),"x"))),NOT(ISNUMBER(IFERROR(INDEX(RatEff,MATCH($E301,RatTeams,0)),"x")))),"MISSING",""))</f>
        <v/>
      </c>
      <c r="J301" s="2" t="str">
        <f>IF($B301="","",IF(SUMPRODUCT((CLGameID=$B301)*CLPlayed*(CLUseCur+CLUsePrev&gt;0)*(CLPlays=0))&gt;0,"MISSING",""))</f>
        <v/>
      </c>
      <c r="K301" s="2" t="str">
        <f>IF($B301="","",IF(SUMPRODUCT((CLGameID=$B301)*CLPlayed*((CLOffPts&lt;-20)+(CLOffPts&gt;90)))&gt;0,"CHECK",""))</f>
        <v/>
      </c>
      <c r="L301" s="2" t="str">
        <f t="array" ref="L301">IF($B301="","",IF(OR(ABS(IFERROR(INDEX(RatEff,MATCH($D301,RatTeams,0)),0))&gt;RatingRange,ABS(IFERROR(INDEX(RatEff,MATCH($E301,RatTeams,0)),0))&gt;RatingRange),"RANGE",""))</f>
        <v/>
      </c>
      <c r="M301" s="2" t="str">
        <f t="array" ref="M301">IF($B301="","",IF(OR(IFERROR(INDEX(CalcMoveFlag,MATCH($D301,CalcTeams,0)),"")="CAPPED",IFERROR(INDEX(CalcMoveFlag,MATCH($E301,CalcTeams,0)),"")="CAPPED"),"CAPPED",""))</f>
        <v/>
      </c>
      <c r="N301" s="2" t="str">
        <f>IF($B301="","",IF(ABS(SUMIFS(AdjSpread,AdjGameID,$B301,AdjActive,1))&gt;AdjCap,"LARGE",""))</f>
        <v/>
      </c>
      <c r="O301" s="2" t="str">
        <f t="array" ref="O301">IF($B301="","",IFERROR(INDEX(MktStale,MATCH($B301,MktGameID,0)),""))</f>
        <v/>
      </c>
      <c r="P301" s="2" t="str">
        <f t="shared" si="1"/>
        <v/>
      </c>
    </row>
    <row r="302" ht="15.0" customHeight="1">
      <c r="A302" s="2">
        <v>291.0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2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2" t="str">
        <f>IF($B302="","",IF(COUNTIF(EngGameID,$B302)&gt;1,"DUP",""))</f>
        <v/>
      </c>
      <c r="G302" s="2" t="str">
        <f>IF($B302="","",IF(OR(COUNTIFS(EngWeek,$C302,EngAway,$D302)+COUNTIFS(EngWeek,$C302,EngHome,$D302)&gt;1,COUNTIFS(EngWeek,$C302,EngAway,$E302)+COUNTIFS(EngWeek,$C302,EngHome,$E302)&gt;1),"DUP",""))</f>
        <v/>
      </c>
      <c r="H302" s="2" t="str">
        <f>IF($B302="","",IF(OR(SUMPRODUCT((CLGameID=$B302)*CLUnmatched)&gt;0,LEFT($D302,1)="⚠",LEFT($E302,1)="⚠"),"UNMATCHED",""))</f>
        <v/>
      </c>
      <c r="I302" s="2" t="str">
        <f t="array" ref="I302">IF($B302="","",IF(OR(NOT(ISNUMBER(IFERROR(INDEX(RatEff,MATCH($D302,RatTeams,0)),"x"))),NOT(ISNUMBER(IFERROR(INDEX(RatEff,MATCH($E302,RatTeams,0)),"x")))),"MISSING",""))</f>
        <v/>
      </c>
      <c r="J302" s="2" t="str">
        <f>IF($B302="","",IF(SUMPRODUCT((CLGameID=$B302)*CLPlayed*(CLUseCur+CLUsePrev&gt;0)*(CLPlays=0))&gt;0,"MISSING",""))</f>
        <v/>
      </c>
      <c r="K302" s="2" t="str">
        <f>IF($B302="","",IF(SUMPRODUCT((CLGameID=$B302)*CLPlayed*((CLOffPts&lt;-20)+(CLOffPts&gt;90)))&gt;0,"CHECK",""))</f>
        <v/>
      </c>
      <c r="L302" s="2" t="str">
        <f t="array" ref="L302">IF($B302="","",IF(OR(ABS(IFERROR(INDEX(RatEff,MATCH($D302,RatTeams,0)),0))&gt;RatingRange,ABS(IFERROR(INDEX(RatEff,MATCH($E302,RatTeams,0)),0))&gt;RatingRange),"RANGE",""))</f>
        <v/>
      </c>
      <c r="M302" s="2" t="str">
        <f t="array" ref="M302">IF($B302="","",IF(OR(IFERROR(INDEX(CalcMoveFlag,MATCH($D302,CalcTeams,0)),"")="CAPPED",IFERROR(INDEX(CalcMoveFlag,MATCH($E302,CalcTeams,0)),"")="CAPPED"),"CAPPED",""))</f>
        <v/>
      </c>
      <c r="N302" s="2" t="str">
        <f>IF($B302="","",IF(ABS(SUMIFS(AdjSpread,AdjGameID,$B302,AdjActive,1))&gt;AdjCap,"LARGE",""))</f>
        <v/>
      </c>
      <c r="O302" s="2" t="str">
        <f t="array" ref="O302">IF($B302="","",IFERROR(INDEX(MktStale,MATCH($B302,MktGameID,0)),""))</f>
        <v/>
      </c>
      <c r="P302" s="2" t="str">
        <f t="shared" si="1"/>
        <v/>
      </c>
    </row>
    <row r="303" ht="15.0" customHeight="1">
      <c r="A303" s="2">
        <v>292.0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2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2" t="str">
        <f>IF($B303="","",IF(COUNTIF(EngGameID,$B303)&gt;1,"DUP",""))</f>
        <v/>
      </c>
      <c r="G303" s="2" t="str">
        <f>IF($B303="","",IF(OR(COUNTIFS(EngWeek,$C303,EngAway,$D303)+COUNTIFS(EngWeek,$C303,EngHome,$D303)&gt;1,COUNTIFS(EngWeek,$C303,EngAway,$E303)+COUNTIFS(EngWeek,$C303,EngHome,$E303)&gt;1),"DUP",""))</f>
        <v/>
      </c>
      <c r="H303" s="2" t="str">
        <f>IF($B303="","",IF(OR(SUMPRODUCT((CLGameID=$B303)*CLUnmatched)&gt;0,LEFT($D303,1)="⚠",LEFT($E303,1)="⚠"),"UNMATCHED",""))</f>
        <v/>
      </c>
      <c r="I303" s="2" t="str">
        <f t="array" ref="I303">IF($B303="","",IF(OR(NOT(ISNUMBER(IFERROR(INDEX(RatEff,MATCH($D303,RatTeams,0)),"x"))),NOT(ISNUMBER(IFERROR(INDEX(RatEff,MATCH($E303,RatTeams,0)),"x")))),"MISSING",""))</f>
        <v/>
      </c>
      <c r="J303" s="2" t="str">
        <f>IF($B303="","",IF(SUMPRODUCT((CLGameID=$B303)*CLPlayed*(CLUseCur+CLUsePrev&gt;0)*(CLPlays=0))&gt;0,"MISSING",""))</f>
        <v/>
      </c>
      <c r="K303" s="2" t="str">
        <f>IF($B303="","",IF(SUMPRODUCT((CLGameID=$B303)*CLPlayed*((CLOffPts&lt;-20)+(CLOffPts&gt;90)))&gt;0,"CHECK",""))</f>
        <v/>
      </c>
      <c r="L303" s="2" t="str">
        <f t="array" ref="L303">IF($B303="","",IF(OR(ABS(IFERROR(INDEX(RatEff,MATCH($D303,RatTeams,0)),0))&gt;RatingRange,ABS(IFERROR(INDEX(RatEff,MATCH($E303,RatTeams,0)),0))&gt;RatingRange),"RANGE",""))</f>
        <v/>
      </c>
      <c r="M303" s="2" t="str">
        <f t="array" ref="M303">IF($B303="","",IF(OR(IFERROR(INDEX(CalcMoveFlag,MATCH($D303,CalcTeams,0)),"")="CAPPED",IFERROR(INDEX(CalcMoveFlag,MATCH($E303,CalcTeams,0)),"")="CAPPED"),"CAPPED",""))</f>
        <v/>
      </c>
      <c r="N303" s="2" t="str">
        <f>IF($B303="","",IF(ABS(SUMIFS(AdjSpread,AdjGameID,$B303,AdjActive,1))&gt;AdjCap,"LARGE",""))</f>
        <v/>
      </c>
      <c r="O303" s="2" t="str">
        <f t="array" ref="O303">IF($B303="","",IFERROR(INDEX(MktStale,MATCH($B303,MktGameID,0)),""))</f>
        <v/>
      </c>
      <c r="P303" s="2" t="str">
        <f t="shared" si="1"/>
        <v/>
      </c>
    </row>
    <row r="304" ht="15.0" customHeight="1">
      <c r="A304" s="2">
        <v>293.0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2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2" t="str">
        <f>IF($B304="","",IF(COUNTIF(EngGameID,$B304)&gt;1,"DUP",""))</f>
        <v/>
      </c>
      <c r="G304" s="2" t="str">
        <f>IF($B304="","",IF(OR(COUNTIFS(EngWeek,$C304,EngAway,$D304)+COUNTIFS(EngWeek,$C304,EngHome,$D304)&gt;1,COUNTIFS(EngWeek,$C304,EngAway,$E304)+COUNTIFS(EngWeek,$C304,EngHome,$E304)&gt;1),"DUP",""))</f>
        <v/>
      </c>
      <c r="H304" s="2" t="str">
        <f>IF($B304="","",IF(OR(SUMPRODUCT((CLGameID=$B304)*CLUnmatched)&gt;0,LEFT($D304,1)="⚠",LEFT($E304,1)="⚠"),"UNMATCHED",""))</f>
        <v/>
      </c>
      <c r="I304" s="2" t="str">
        <f t="array" ref="I304">IF($B304="","",IF(OR(NOT(ISNUMBER(IFERROR(INDEX(RatEff,MATCH($D304,RatTeams,0)),"x"))),NOT(ISNUMBER(IFERROR(INDEX(RatEff,MATCH($E304,RatTeams,0)),"x")))),"MISSING",""))</f>
        <v/>
      </c>
      <c r="J304" s="2" t="str">
        <f>IF($B304="","",IF(SUMPRODUCT((CLGameID=$B304)*CLPlayed*(CLUseCur+CLUsePrev&gt;0)*(CLPlays=0))&gt;0,"MISSING",""))</f>
        <v/>
      </c>
      <c r="K304" s="2" t="str">
        <f>IF($B304="","",IF(SUMPRODUCT((CLGameID=$B304)*CLPlayed*((CLOffPts&lt;-20)+(CLOffPts&gt;90)))&gt;0,"CHECK",""))</f>
        <v/>
      </c>
      <c r="L304" s="2" t="str">
        <f t="array" ref="L304">IF($B304="","",IF(OR(ABS(IFERROR(INDEX(RatEff,MATCH($D304,RatTeams,0)),0))&gt;RatingRange,ABS(IFERROR(INDEX(RatEff,MATCH($E304,RatTeams,0)),0))&gt;RatingRange),"RANGE",""))</f>
        <v/>
      </c>
      <c r="M304" s="2" t="str">
        <f t="array" ref="M304">IF($B304="","",IF(OR(IFERROR(INDEX(CalcMoveFlag,MATCH($D304,CalcTeams,0)),"")="CAPPED",IFERROR(INDEX(CalcMoveFlag,MATCH($E304,CalcTeams,0)),"")="CAPPED"),"CAPPED",""))</f>
        <v/>
      </c>
      <c r="N304" s="2" t="str">
        <f>IF($B304="","",IF(ABS(SUMIFS(AdjSpread,AdjGameID,$B304,AdjActive,1))&gt;AdjCap,"LARGE",""))</f>
        <v/>
      </c>
      <c r="O304" s="2" t="str">
        <f t="array" ref="O304">IF($B304="","",IFERROR(INDEX(MktStale,MATCH($B304,MktGameID,0)),""))</f>
        <v/>
      </c>
      <c r="P304" s="2" t="str">
        <f t="shared" si="1"/>
        <v/>
      </c>
    </row>
    <row r="305" ht="15.0" customHeight="1">
      <c r="A305" s="2">
        <v>294.0</v>
      </c>
      <c r="B305" s="2" t="str">
        <f t="array" ref="B305">IFERROR(INDEX(SchedZone,MATCH($A305,SchedSeq,0),MAP!$B$6),"")</f>
        <v/>
      </c>
      <c r="C305" s="2" t="str">
        <f t="array" ref="C305">IF($B305="","",INDEX(SchedZone,MATCH($A305,SchedSeq,0),MAP!$B$4))</f>
        <v/>
      </c>
      <c r="D305" s="2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2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2" t="str">
        <f>IF($B305="","",IF(COUNTIF(EngGameID,$B305)&gt;1,"DUP",""))</f>
        <v/>
      </c>
      <c r="G305" s="2" t="str">
        <f>IF($B305="","",IF(OR(COUNTIFS(EngWeek,$C305,EngAway,$D305)+COUNTIFS(EngWeek,$C305,EngHome,$D305)&gt;1,COUNTIFS(EngWeek,$C305,EngAway,$E305)+COUNTIFS(EngWeek,$C305,EngHome,$E305)&gt;1),"DUP",""))</f>
        <v/>
      </c>
      <c r="H305" s="2" t="str">
        <f>IF($B305="","",IF(OR(SUMPRODUCT((CLGameID=$B305)*CLUnmatched)&gt;0,LEFT($D305,1)="⚠",LEFT($E305,1)="⚠"),"UNMATCHED",""))</f>
        <v/>
      </c>
      <c r="I305" s="2" t="str">
        <f t="array" ref="I305">IF($B305="","",IF(OR(NOT(ISNUMBER(IFERROR(INDEX(RatEff,MATCH($D305,RatTeams,0)),"x"))),NOT(ISNUMBER(IFERROR(INDEX(RatEff,MATCH($E305,RatTeams,0)),"x")))),"MISSING",""))</f>
        <v/>
      </c>
      <c r="J305" s="2" t="str">
        <f>IF($B305="","",IF(SUMPRODUCT((CLGameID=$B305)*CLPlayed*(CLUseCur+CLUsePrev&gt;0)*(CLPlays=0))&gt;0,"MISSING",""))</f>
        <v/>
      </c>
      <c r="K305" s="2" t="str">
        <f>IF($B305="","",IF(SUMPRODUCT((CLGameID=$B305)*CLPlayed*((CLOffPts&lt;-20)+(CLOffPts&gt;90)))&gt;0,"CHECK",""))</f>
        <v/>
      </c>
      <c r="L305" s="2" t="str">
        <f t="array" ref="L305">IF($B305="","",IF(OR(ABS(IFERROR(INDEX(RatEff,MATCH($D305,RatTeams,0)),0))&gt;RatingRange,ABS(IFERROR(INDEX(RatEff,MATCH($E305,RatTeams,0)),0))&gt;RatingRange),"RANGE",""))</f>
        <v/>
      </c>
      <c r="M305" s="2" t="str">
        <f t="array" ref="M305">IF($B305="","",IF(OR(IFERROR(INDEX(CalcMoveFlag,MATCH($D305,CalcTeams,0)),"")="CAPPED",IFERROR(INDEX(CalcMoveFlag,MATCH($E305,CalcTeams,0)),"")="CAPPED"),"CAPPED",""))</f>
        <v/>
      </c>
      <c r="N305" s="2" t="str">
        <f>IF($B305="","",IF(ABS(SUMIFS(AdjSpread,AdjGameID,$B305,AdjActive,1))&gt;AdjCap,"LARGE",""))</f>
        <v/>
      </c>
      <c r="O305" s="2" t="str">
        <f t="array" ref="O305">IF($B305="","",IFERROR(INDEX(MktStale,MATCH($B305,MktGameID,0)),""))</f>
        <v/>
      </c>
      <c r="P305" s="2" t="str">
        <f t="shared" si="1"/>
        <v/>
      </c>
    </row>
    <row r="306" ht="15.0" customHeight="1">
      <c r="A306" s="2">
        <v>295.0</v>
      </c>
      <c r="B306" s="2" t="str">
        <f t="array" ref="B306">IFERROR(INDEX(SchedZone,MATCH($A306,SchedSeq,0),MAP!$B$6),"")</f>
        <v/>
      </c>
      <c r="C306" s="2" t="str">
        <f t="array" ref="C306">IF($B306="","",INDEX(SchedZone,MATCH($A306,SchedSeq,0),MAP!$B$4))</f>
        <v/>
      </c>
      <c r="D306" s="2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2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2" t="str">
        <f>IF($B306="","",IF(COUNTIF(EngGameID,$B306)&gt;1,"DUP",""))</f>
        <v/>
      </c>
      <c r="G306" s="2" t="str">
        <f>IF($B306="","",IF(OR(COUNTIFS(EngWeek,$C306,EngAway,$D306)+COUNTIFS(EngWeek,$C306,EngHome,$D306)&gt;1,COUNTIFS(EngWeek,$C306,EngAway,$E306)+COUNTIFS(EngWeek,$C306,EngHome,$E306)&gt;1),"DUP",""))</f>
        <v/>
      </c>
      <c r="H306" s="2" t="str">
        <f>IF($B306="","",IF(OR(SUMPRODUCT((CLGameID=$B306)*CLUnmatched)&gt;0,LEFT($D306,1)="⚠",LEFT($E306,1)="⚠"),"UNMATCHED",""))</f>
        <v/>
      </c>
      <c r="I306" s="2" t="str">
        <f t="array" ref="I306">IF($B306="","",IF(OR(NOT(ISNUMBER(IFERROR(INDEX(RatEff,MATCH($D306,RatTeams,0)),"x"))),NOT(ISNUMBER(IFERROR(INDEX(RatEff,MATCH($E306,RatTeams,0)),"x")))),"MISSING",""))</f>
        <v/>
      </c>
      <c r="J306" s="2" t="str">
        <f>IF($B306="","",IF(SUMPRODUCT((CLGameID=$B306)*CLPlayed*(CLUseCur+CLUsePrev&gt;0)*(CLPlays=0))&gt;0,"MISSING",""))</f>
        <v/>
      </c>
      <c r="K306" s="2" t="str">
        <f>IF($B306="","",IF(SUMPRODUCT((CLGameID=$B306)*CLPlayed*((CLOffPts&lt;-20)+(CLOffPts&gt;90)))&gt;0,"CHECK",""))</f>
        <v/>
      </c>
      <c r="L306" s="2" t="str">
        <f t="array" ref="L306">IF($B306="","",IF(OR(ABS(IFERROR(INDEX(RatEff,MATCH($D306,RatTeams,0)),0))&gt;RatingRange,ABS(IFERROR(INDEX(RatEff,MATCH($E306,RatTeams,0)),0))&gt;RatingRange),"RANGE",""))</f>
        <v/>
      </c>
      <c r="M306" s="2" t="str">
        <f t="array" ref="M306">IF($B306="","",IF(OR(IFERROR(INDEX(CalcMoveFlag,MATCH($D306,CalcTeams,0)),"")="CAPPED",IFERROR(INDEX(CalcMoveFlag,MATCH($E306,CalcTeams,0)),"")="CAPPED"),"CAPPED",""))</f>
        <v/>
      </c>
      <c r="N306" s="2" t="str">
        <f>IF($B306="","",IF(ABS(SUMIFS(AdjSpread,AdjGameID,$B306,AdjActive,1))&gt;AdjCap,"LARGE",""))</f>
        <v/>
      </c>
      <c r="O306" s="2" t="str">
        <f t="array" ref="O306">IF($B306="","",IFERROR(INDEX(MktStale,MATCH($B306,MktGameID,0)),""))</f>
        <v/>
      </c>
      <c r="P306" s="2" t="str">
        <f t="shared" si="1"/>
        <v/>
      </c>
    </row>
    <row r="307" ht="15.0" customHeight="1">
      <c r="A307" s="2">
        <v>296.0</v>
      </c>
      <c r="B307" s="2" t="str">
        <f t="array" ref="B307">IFERROR(INDEX(SchedZone,MATCH($A307,SchedSeq,0),MAP!$B$6),"")</f>
        <v/>
      </c>
      <c r="C307" s="2" t="str">
        <f t="array" ref="C307">IF($B307="","",INDEX(SchedZone,MATCH($A307,SchedSeq,0),MAP!$B$4))</f>
        <v/>
      </c>
      <c r="D307" s="2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2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2" t="str">
        <f>IF($B307="","",IF(COUNTIF(EngGameID,$B307)&gt;1,"DUP",""))</f>
        <v/>
      </c>
      <c r="G307" s="2" t="str">
        <f>IF($B307="","",IF(OR(COUNTIFS(EngWeek,$C307,EngAway,$D307)+COUNTIFS(EngWeek,$C307,EngHome,$D307)&gt;1,COUNTIFS(EngWeek,$C307,EngAway,$E307)+COUNTIFS(EngWeek,$C307,EngHome,$E307)&gt;1),"DUP",""))</f>
        <v/>
      </c>
      <c r="H307" s="2" t="str">
        <f>IF($B307="","",IF(OR(SUMPRODUCT((CLGameID=$B307)*CLUnmatched)&gt;0,LEFT($D307,1)="⚠",LEFT($E307,1)="⚠"),"UNMATCHED",""))</f>
        <v/>
      </c>
      <c r="I307" s="2" t="str">
        <f t="array" ref="I307">IF($B307="","",IF(OR(NOT(ISNUMBER(IFERROR(INDEX(RatEff,MATCH($D307,RatTeams,0)),"x"))),NOT(ISNUMBER(IFERROR(INDEX(RatEff,MATCH($E307,RatTeams,0)),"x")))),"MISSING",""))</f>
        <v/>
      </c>
      <c r="J307" s="2" t="str">
        <f>IF($B307="","",IF(SUMPRODUCT((CLGameID=$B307)*CLPlayed*(CLUseCur+CLUsePrev&gt;0)*(CLPlays=0))&gt;0,"MISSING",""))</f>
        <v/>
      </c>
      <c r="K307" s="2" t="str">
        <f>IF($B307="","",IF(SUMPRODUCT((CLGameID=$B307)*CLPlayed*((CLOffPts&lt;-20)+(CLOffPts&gt;90)))&gt;0,"CHECK",""))</f>
        <v/>
      </c>
      <c r="L307" s="2" t="str">
        <f t="array" ref="L307">IF($B307="","",IF(OR(ABS(IFERROR(INDEX(RatEff,MATCH($D307,RatTeams,0)),0))&gt;RatingRange,ABS(IFERROR(INDEX(RatEff,MATCH($E307,RatTeams,0)),0))&gt;RatingRange),"RANGE",""))</f>
        <v/>
      </c>
      <c r="M307" s="2" t="str">
        <f t="array" ref="M307">IF($B307="","",IF(OR(IFERROR(INDEX(CalcMoveFlag,MATCH($D307,CalcTeams,0)),"")="CAPPED",IFERROR(INDEX(CalcMoveFlag,MATCH($E307,CalcTeams,0)),"")="CAPPED"),"CAPPED",""))</f>
        <v/>
      </c>
      <c r="N307" s="2" t="str">
        <f>IF($B307="","",IF(ABS(SUMIFS(AdjSpread,AdjGameID,$B307,AdjActive,1))&gt;AdjCap,"LARGE",""))</f>
        <v/>
      </c>
      <c r="O307" s="2" t="str">
        <f t="array" ref="O307">IF($B307="","",IFERROR(INDEX(MktStale,MATCH($B307,MktGameID,0)),""))</f>
        <v/>
      </c>
      <c r="P307" s="2" t="str">
        <f t="shared" si="1"/>
        <v/>
      </c>
    </row>
    <row r="308" ht="15.0" customHeight="1">
      <c r="A308" s="2">
        <v>297.0</v>
      </c>
      <c r="B308" s="2" t="str">
        <f t="array" ref="B308">IFERROR(INDEX(SchedZone,MATCH($A308,SchedSeq,0),MAP!$B$6),"")</f>
        <v/>
      </c>
      <c r="C308" s="2" t="str">
        <f t="array" ref="C308">IF($B308="","",INDEX(SchedZone,MATCH($A308,SchedSeq,0),MAP!$B$4))</f>
        <v/>
      </c>
      <c r="D308" s="2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2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2" t="str">
        <f>IF($B308="","",IF(COUNTIF(EngGameID,$B308)&gt;1,"DUP",""))</f>
        <v/>
      </c>
      <c r="G308" s="2" t="str">
        <f>IF($B308="","",IF(OR(COUNTIFS(EngWeek,$C308,EngAway,$D308)+COUNTIFS(EngWeek,$C308,EngHome,$D308)&gt;1,COUNTIFS(EngWeek,$C308,EngAway,$E308)+COUNTIFS(EngWeek,$C308,EngHome,$E308)&gt;1),"DUP",""))</f>
        <v/>
      </c>
      <c r="H308" s="2" t="str">
        <f>IF($B308="","",IF(OR(SUMPRODUCT((CLGameID=$B308)*CLUnmatched)&gt;0,LEFT($D308,1)="⚠",LEFT($E308,1)="⚠"),"UNMATCHED",""))</f>
        <v/>
      </c>
      <c r="I308" s="2" t="str">
        <f t="array" ref="I308">IF($B308="","",IF(OR(NOT(ISNUMBER(IFERROR(INDEX(RatEff,MATCH($D308,RatTeams,0)),"x"))),NOT(ISNUMBER(IFERROR(INDEX(RatEff,MATCH($E308,RatTeams,0)),"x")))),"MISSING",""))</f>
        <v/>
      </c>
      <c r="J308" s="2" t="str">
        <f>IF($B308="","",IF(SUMPRODUCT((CLGameID=$B308)*CLPlayed*(CLUseCur+CLUsePrev&gt;0)*(CLPlays=0))&gt;0,"MISSING",""))</f>
        <v/>
      </c>
      <c r="K308" s="2" t="str">
        <f>IF($B308="","",IF(SUMPRODUCT((CLGameID=$B308)*CLPlayed*((CLOffPts&lt;-20)+(CLOffPts&gt;90)))&gt;0,"CHECK",""))</f>
        <v/>
      </c>
      <c r="L308" s="2" t="str">
        <f t="array" ref="L308">IF($B308="","",IF(OR(ABS(IFERROR(INDEX(RatEff,MATCH($D308,RatTeams,0)),0))&gt;RatingRange,ABS(IFERROR(INDEX(RatEff,MATCH($E308,RatTeams,0)),0))&gt;RatingRange),"RANGE",""))</f>
        <v/>
      </c>
      <c r="M308" s="2" t="str">
        <f t="array" ref="M308">IF($B308="","",IF(OR(IFERROR(INDEX(CalcMoveFlag,MATCH($D308,CalcTeams,0)),"")="CAPPED",IFERROR(INDEX(CalcMoveFlag,MATCH($E308,CalcTeams,0)),"")="CAPPED"),"CAPPED",""))</f>
        <v/>
      </c>
      <c r="N308" s="2" t="str">
        <f>IF($B308="","",IF(ABS(SUMIFS(AdjSpread,AdjGameID,$B308,AdjActive,1))&gt;AdjCap,"LARGE",""))</f>
        <v/>
      </c>
      <c r="O308" s="2" t="str">
        <f t="array" ref="O308">IF($B308="","",IFERROR(INDEX(MktStale,MATCH($B308,MktGameID,0)),""))</f>
        <v/>
      </c>
      <c r="P308" s="2" t="str">
        <f t="shared" si="1"/>
        <v/>
      </c>
    </row>
    <row r="309" ht="15.0" customHeight="1">
      <c r="A309" s="2">
        <v>298.0</v>
      </c>
      <c r="B309" s="2" t="str">
        <f t="array" ref="B309">IFERROR(INDEX(SchedZone,MATCH($A309,SchedSeq,0),MAP!$B$6),"")</f>
        <v/>
      </c>
      <c r="C309" s="2" t="str">
        <f t="array" ref="C309">IF($B309="","",INDEX(SchedZone,MATCH($A309,SchedSeq,0),MAP!$B$4))</f>
        <v/>
      </c>
      <c r="D309" s="2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2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2" t="str">
        <f>IF($B309="","",IF(COUNTIF(EngGameID,$B309)&gt;1,"DUP",""))</f>
        <v/>
      </c>
      <c r="G309" s="2" t="str">
        <f>IF($B309="","",IF(OR(COUNTIFS(EngWeek,$C309,EngAway,$D309)+COUNTIFS(EngWeek,$C309,EngHome,$D309)&gt;1,COUNTIFS(EngWeek,$C309,EngAway,$E309)+COUNTIFS(EngWeek,$C309,EngHome,$E309)&gt;1),"DUP",""))</f>
        <v/>
      </c>
      <c r="H309" s="2" t="str">
        <f>IF($B309="","",IF(OR(SUMPRODUCT((CLGameID=$B309)*CLUnmatched)&gt;0,LEFT($D309,1)="⚠",LEFT($E309,1)="⚠"),"UNMATCHED",""))</f>
        <v/>
      </c>
      <c r="I309" s="2" t="str">
        <f t="array" ref="I309">IF($B309="","",IF(OR(NOT(ISNUMBER(IFERROR(INDEX(RatEff,MATCH($D309,RatTeams,0)),"x"))),NOT(ISNUMBER(IFERROR(INDEX(RatEff,MATCH($E309,RatTeams,0)),"x")))),"MISSING",""))</f>
        <v/>
      </c>
      <c r="J309" s="2" t="str">
        <f>IF($B309="","",IF(SUMPRODUCT((CLGameID=$B309)*CLPlayed*(CLUseCur+CLUsePrev&gt;0)*(CLPlays=0))&gt;0,"MISSING",""))</f>
        <v/>
      </c>
      <c r="K309" s="2" t="str">
        <f>IF($B309="","",IF(SUMPRODUCT((CLGameID=$B309)*CLPlayed*((CLOffPts&lt;-20)+(CLOffPts&gt;90)))&gt;0,"CHECK",""))</f>
        <v/>
      </c>
      <c r="L309" s="2" t="str">
        <f t="array" ref="L309">IF($B309="","",IF(OR(ABS(IFERROR(INDEX(RatEff,MATCH($D309,RatTeams,0)),0))&gt;RatingRange,ABS(IFERROR(INDEX(RatEff,MATCH($E309,RatTeams,0)),0))&gt;RatingRange),"RANGE",""))</f>
        <v/>
      </c>
      <c r="M309" s="2" t="str">
        <f t="array" ref="M309">IF($B309="","",IF(OR(IFERROR(INDEX(CalcMoveFlag,MATCH($D309,CalcTeams,0)),"")="CAPPED",IFERROR(INDEX(CalcMoveFlag,MATCH($E309,CalcTeams,0)),"")="CAPPED"),"CAPPED",""))</f>
        <v/>
      </c>
      <c r="N309" s="2" t="str">
        <f>IF($B309="","",IF(ABS(SUMIFS(AdjSpread,AdjGameID,$B309,AdjActive,1))&gt;AdjCap,"LARGE",""))</f>
        <v/>
      </c>
      <c r="O309" s="2" t="str">
        <f t="array" ref="O309">IF($B309="","",IFERROR(INDEX(MktStale,MATCH($B309,MktGameID,0)),""))</f>
        <v/>
      </c>
      <c r="P309" s="2" t="str">
        <f t="shared" si="1"/>
        <v/>
      </c>
    </row>
    <row r="310" ht="15.0" customHeight="1">
      <c r="A310" s="2">
        <v>299.0</v>
      </c>
      <c r="B310" s="2" t="str">
        <f t="array" ref="B310">IFERROR(INDEX(SchedZone,MATCH($A310,SchedSeq,0),MAP!$B$6),"")</f>
        <v/>
      </c>
      <c r="C310" s="2" t="str">
        <f t="array" ref="C310">IF($B310="","",INDEX(SchedZone,MATCH($A310,SchedSeq,0),MAP!$B$4))</f>
        <v/>
      </c>
      <c r="D310" s="2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2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2" t="str">
        <f>IF($B310="","",IF(COUNTIF(EngGameID,$B310)&gt;1,"DUP",""))</f>
        <v/>
      </c>
      <c r="G310" s="2" t="str">
        <f>IF($B310="","",IF(OR(COUNTIFS(EngWeek,$C310,EngAway,$D310)+COUNTIFS(EngWeek,$C310,EngHome,$D310)&gt;1,COUNTIFS(EngWeek,$C310,EngAway,$E310)+COUNTIFS(EngWeek,$C310,EngHome,$E310)&gt;1),"DUP",""))</f>
        <v/>
      </c>
      <c r="H310" s="2" t="str">
        <f>IF($B310="","",IF(OR(SUMPRODUCT((CLGameID=$B310)*CLUnmatched)&gt;0,LEFT($D310,1)="⚠",LEFT($E310,1)="⚠"),"UNMATCHED",""))</f>
        <v/>
      </c>
      <c r="I310" s="2" t="str">
        <f t="array" ref="I310">IF($B310="","",IF(OR(NOT(ISNUMBER(IFERROR(INDEX(RatEff,MATCH($D310,RatTeams,0)),"x"))),NOT(ISNUMBER(IFERROR(INDEX(RatEff,MATCH($E310,RatTeams,0)),"x")))),"MISSING",""))</f>
        <v/>
      </c>
      <c r="J310" s="2" t="str">
        <f>IF($B310="","",IF(SUMPRODUCT((CLGameID=$B310)*CLPlayed*(CLUseCur+CLUsePrev&gt;0)*(CLPlays=0))&gt;0,"MISSING",""))</f>
        <v/>
      </c>
      <c r="K310" s="2" t="str">
        <f>IF($B310="","",IF(SUMPRODUCT((CLGameID=$B310)*CLPlayed*((CLOffPts&lt;-20)+(CLOffPts&gt;90)))&gt;0,"CHECK",""))</f>
        <v/>
      </c>
      <c r="L310" s="2" t="str">
        <f t="array" ref="L310">IF($B310="","",IF(OR(ABS(IFERROR(INDEX(RatEff,MATCH($D310,RatTeams,0)),0))&gt;RatingRange,ABS(IFERROR(INDEX(RatEff,MATCH($E310,RatTeams,0)),0))&gt;RatingRange),"RANGE",""))</f>
        <v/>
      </c>
      <c r="M310" s="2" t="str">
        <f t="array" ref="M310">IF($B310="","",IF(OR(IFERROR(INDEX(CalcMoveFlag,MATCH($D310,CalcTeams,0)),"")="CAPPED",IFERROR(INDEX(CalcMoveFlag,MATCH($E310,CalcTeams,0)),"")="CAPPED"),"CAPPED",""))</f>
        <v/>
      </c>
      <c r="N310" s="2" t="str">
        <f>IF($B310="","",IF(ABS(SUMIFS(AdjSpread,AdjGameID,$B310,AdjActive,1))&gt;AdjCap,"LARGE",""))</f>
        <v/>
      </c>
      <c r="O310" s="2" t="str">
        <f t="array" ref="O310">IF($B310="","",IFERROR(INDEX(MktStale,MATCH($B310,MktGameID,0)),""))</f>
        <v/>
      </c>
      <c r="P310" s="2" t="str">
        <f t="shared" si="1"/>
        <v/>
      </c>
    </row>
    <row r="311" ht="15.0" customHeight="1">
      <c r="A311" s="2">
        <v>300.0</v>
      </c>
      <c r="B311" s="2" t="str">
        <f t="array" ref="B311">IFERROR(INDEX(SchedZone,MATCH($A311,SchedSeq,0),MAP!$B$6),"")</f>
        <v/>
      </c>
      <c r="C311" s="2" t="str">
        <f t="array" ref="C311">IF($B311="","",INDEX(SchedZone,MATCH($A311,SchedSeq,0),MAP!$B$4))</f>
        <v/>
      </c>
      <c r="D311" s="2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2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2" t="str">
        <f>IF($B311="","",IF(COUNTIF(EngGameID,$B311)&gt;1,"DUP",""))</f>
        <v/>
      </c>
      <c r="G311" s="2" t="str">
        <f>IF($B311="","",IF(OR(COUNTIFS(EngWeek,$C311,EngAway,$D311)+COUNTIFS(EngWeek,$C311,EngHome,$D311)&gt;1,COUNTIFS(EngWeek,$C311,EngAway,$E311)+COUNTIFS(EngWeek,$C311,EngHome,$E311)&gt;1),"DUP",""))</f>
        <v/>
      </c>
      <c r="H311" s="2" t="str">
        <f>IF($B311="","",IF(OR(SUMPRODUCT((CLGameID=$B311)*CLUnmatched)&gt;0,LEFT($D311,1)="⚠",LEFT($E311,1)="⚠"),"UNMATCHED",""))</f>
        <v/>
      </c>
      <c r="I311" s="2" t="str">
        <f t="array" ref="I311">IF($B311="","",IF(OR(NOT(ISNUMBER(IFERROR(INDEX(RatEff,MATCH($D311,RatTeams,0)),"x"))),NOT(ISNUMBER(IFERROR(INDEX(RatEff,MATCH($E311,RatTeams,0)),"x")))),"MISSING",""))</f>
        <v/>
      </c>
      <c r="J311" s="2" t="str">
        <f>IF($B311="","",IF(SUMPRODUCT((CLGameID=$B311)*CLPlayed*(CLUseCur+CLUsePrev&gt;0)*(CLPlays=0))&gt;0,"MISSING",""))</f>
        <v/>
      </c>
      <c r="K311" s="2" t="str">
        <f>IF($B311="","",IF(SUMPRODUCT((CLGameID=$B311)*CLPlayed*((CLOffPts&lt;-20)+(CLOffPts&gt;90)))&gt;0,"CHECK",""))</f>
        <v/>
      </c>
      <c r="L311" s="2" t="str">
        <f t="array" ref="L311">IF($B311="","",IF(OR(ABS(IFERROR(INDEX(RatEff,MATCH($D311,RatTeams,0)),0))&gt;RatingRange,ABS(IFERROR(INDEX(RatEff,MATCH($E311,RatTeams,0)),0))&gt;RatingRange),"RANGE",""))</f>
        <v/>
      </c>
      <c r="M311" s="2" t="str">
        <f t="array" ref="M311">IF($B311="","",IF(OR(IFERROR(INDEX(CalcMoveFlag,MATCH($D311,CalcTeams,0)),"")="CAPPED",IFERROR(INDEX(CalcMoveFlag,MATCH($E311,CalcTeams,0)),"")="CAPPED"),"CAPPED",""))</f>
        <v/>
      </c>
      <c r="N311" s="2" t="str">
        <f>IF($B311="","",IF(ABS(SUMIFS(AdjSpread,AdjGameID,$B311,AdjActive,1))&gt;AdjCap,"LARGE",""))</f>
        <v/>
      </c>
      <c r="O311" s="2" t="str">
        <f t="array" ref="O311">IF($B311="","",IFERROR(INDEX(MktStale,MATCH($B311,MktGameID,0)),""))</f>
        <v/>
      </c>
      <c r="P311" s="2" t="str">
        <f t="shared" si="1"/>
        <v/>
      </c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26" width="8.71"/>
  </cols>
  <sheetData>
    <row r="1" ht="17.25" customHeight="1">
      <c r="A1" s="7" t="s">
        <v>290</v>
      </c>
      <c r="B1" s="2"/>
    </row>
    <row r="2" ht="15.0" customHeight="1">
      <c r="A2" s="3" t="s">
        <v>291</v>
      </c>
      <c r="B2" s="2"/>
    </row>
    <row r="3">
      <c r="A3" s="2"/>
      <c r="B3" s="2"/>
    </row>
    <row r="4" ht="15.0" customHeight="1">
      <c r="A4" s="16" t="s">
        <v>292</v>
      </c>
      <c r="B4" s="17"/>
    </row>
    <row r="5" ht="15.0" customHeight="1">
      <c r="A5" s="6" t="s">
        <v>293</v>
      </c>
      <c r="B5" s="18">
        <v>2026.0</v>
      </c>
    </row>
    <row r="6" ht="15.0" customHeight="1">
      <c r="A6" s="6" t="s">
        <v>294</v>
      </c>
      <c r="B6" s="18">
        <v>1.0</v>
      </c>
    </row>
    <row r="7" ht="15.0" customHeight="1">
      <c r="A7" s="6" t="s">
        <v>295</v>
      </c>
      <c r="B7" s="19">
        <v>46216.0</v>
      </c>
    </row>
    <row r="8" ht="15.0" customHeight="1">
      <c r="A8" s="16" t="s">
        <v>296</v>
      </c>
      <c r="B8" s="17"/>
    </row>
    <row r="9" ht="15.0" customHeight="1">
      <c r="A9" s="6" t="s">
        <v>297</v>
      </c>
      <c r="B9" s="20">
        <v>1.6</v>
      </c>
    </row>
    <row r="10" ht="15.0" customHeight="1">
      <c r="A10" s="6" t="s">
        <v>298</v>
      </c>
      <c r="B10" s="20">
        <v>0.0</v>
      </c>
    </row>
    <row r="11" ht="15.0" customHeight="1">
      <c r="A11" s="6" t="s">
        <v>299</v>
      </c>
      <c r="B11" s="20">
        <v>14.0</v>
      </c>
    </row>
    <row r="12" ht="15.0" customHeight="1">
      <c r="A12" s="6" t="s">
        <v>300</v>
      </c>
      <c r="B12" s="20">
        <v>0.3</v>
      </c>
    </row>
    <row r="13" ht="15.0" customHeight="1">
      <c r="A13" s="6" t="s">
        <v>301</v>
      </c>
      <c r="B13" s="20">
        <v>1.5</v>
      </c>
    </row>
    <row r="14" ht="15.0" customHeight="1">
      <c r="A14" s="6" t="s">
        <v>302</v>
      </c>
      <c r="B14" s="20">
        <v>4.0</v>
      </c>
    </row>
    <row r="15" ht="15.0" customHeight="1">
      <c r="A15" s="6" t="s">
        <v>303</v>
      </c>
      <c r="B15" s="20">
        <v>0.1</v>
      </c>
    </row>
    <row r="16" ht="15.0" customHeight="1">
      <c r="A16" s="6" t="s">
        <v>304</v>
      </c>
      <c r="B16" s="20">
        <v>1.0</v>
      </c>
    </row>
    <row r="17" ht="15.0" customHeight="1">
      <c r="A17" s="6" t="s">
        <v>305</v>
      </c>
      <c r="B17" s="20">
        <v>3.0</v>
      </c>
    </row>
    <row r="18" ht="15.0" customHeight="1">
      <c r="A18" s="6" t="s">
        <v>306</v>
      </c>
      <c r="B18" s="20">
        <v>3.0</v>
      </c>
    </row>
    <row r="19" ht="15.0" customHeight="1">
      <c r="A19" s="6" t="s">
        <v>307</v>
      </c>
      <c r="B19" s="20">
        <v>4.0</v>
      </c>
    </row>
    <row r="20" ht="15.0" customHeight="1">
      <c r="A20" s="16" t="s">
        <v>308</v>
      </c>
      <c r="B20" s="17"/>
    </row>
    <row r="21" ht="15.0" customHeight="1">
      <c r="A21" s="6" t="s">
        <v>309</v>
      </c>
      <c r="B21" s="20">
        <v>0.25</v>
      </c>
    </row>
    <row r="22" ht="15.0" customHeight="1">
      <c r="A22" s="6" t="s">
        <v>310</v>
      </c>
      <c r="B22" s="20">
        <v>1.0</v>
      </c>
    </row>
    <row r="23" ht="15.0" customHeight="1">
      <c r="A23" s="6" t="s">
        <v>311</v>
      </c>
      <c r="B23" s="20"/>
    </row>
    <row r="24" ht="15.0" customHeight="1">
      <c r="A24" s="6" t="s">
        <v>312</v>
      </c>
      <c r="B24" s="20">
        <v>0.5</v>
      </c>
    </row>
    <row r="25" ht="15.0" customHeight="1">
      <c r="A25" s="16" t="s">
        <v>313</v>
      </c>
      <c r="B25" s="17"/>
    </row>
    <row r="26" ht="15.0" customHeight="1">
      <c r="A26" s="6" t="s">
        <v>314</v>
      </c>
      <c r="B26" s="20">
        <v>3.0</v>
      </c>
    </row>
    <row r="27" ht="15.0" customHeight="1">
      <c r="A27" s="6" t="s">
        <v>315</v>
      </c>
      <c r="B27" s="20">
        <v>1.5</v>
      </c>
    </row>
    <row r="28" ht="15.0" customHeight="1">
      <c r="A28" s="6" t="s">
        <v>316</v>
      </c>
      <c r="B28" s="20">
        <v>1.0</v>
      </c>
    </row>
    <row r="29" ht="15.0" customHeight="1">
      <c r="A29" s="6" t="s">
        <v>317</v>
      </c>
      <c r="B29" s="20">
        <v>3.0</v>
      </c>
    </row>
    <row r="30" ht="15.0" customHeight="1">
      <c r="A30" s="6" t="s">
        <v>318</v>
      </c>
      <c r="B30" s="20">
        <v>1.5</v>
      </c>
    </row>
    <row r="31" ht="15.0" customHeight="1">
      <c r="A31" s="6" t="s">
        <v>319</v>
      </c>
      <c r="B31" s="20">
        <v>1.0</v>
      </c>
    </row>
    <row r="32" ht="15.0" customHeight="1">
      <c r="A32" s="16" t="s">
        <v>320</v>
      </c>
      <c r="B32" s="17"/>
    </row>
    <row r="33" ht="15.0" customHeight="1">
      <c r="A33" s="6" t="s">
        <v>321</v>
      </c>
      <c r="B33" s="20">
        <v>3.0</v>
      </c>
    </row>
    <row r="34" ht="15.0" customHeight="1">
      <c r="A34" s="6" t="s">
        <v>322</v>
      </c>
      <c r="B34" s="20">
        <v>7.0</v>
      </c>
    </row>
    <row r="35" ht="15.0" customHeight="1">
      <c r="A35" s="6" t="s">
        <v>323</v>
      </c>
      <c r="B35" s="20">
        <v>10.0</v>
      </c>
    </row>
    <row r="36" ht="15.0" customHeight="1">
      <c r="A36" s="6" t="s">
        <v>324</v>
      </c>
      <c r="B36" s="20">
        <v>20.0</v>
      </c>
    </row>
    <row r="37" ht="15.0" customHeight="1">
      <c r="A37" s="16" t="s">
        <v>325</v>
      </c>
      <c r="B37" s="17"/>
    </row>
    <row r="38" ht="15.0" customHeight="1">
      <c r="A38" s="6" t="s">
        <v>326</v>
      </c>
      <c r="B38" s="20">
        <v>0.33</v>
      </c>
    </row>
    <row r="39" ht="15.0" customHeight="1">
      <c r="A39" s="6" t="s">
        <v>327</v>
      </c>
      <c r="B39" s="20">
        <v>2.1</v>
      </c>
    </row>
    <row r="40" ht="15.0" customHeight="1">
      <c r="A40" s="6" t="s">
        <v>328</v>
      </c>
      <c r="B40" s="20" t="s">
        <v>329</v>
      </c>
    </row>
    <row r="41" ht="15.75" customHeight="1">
      <c r="A41" s="2"/>
      <c r="B41" s="2"/>
    </row>
    <row r="42" ht="15.0" customHeight="1">
      <c r="A42" s="4" t="s">
        <v>330</v>
      </c>
      <c r="B42" s="2"/>
    </row>
    <row r="43" ht="15.0" customHeight="1">
      <c r="A43" s="21" t="s">
        <v>119</v>
      </c>
      <c r="B43" s="21" t="s">
        <v>331</v>
      </c>
    </row>
    <row r="44" ht="15.0" customHeight="1">
      <c r="A44" s="6">
        <v>1.0</v>
      </c>
      <c r="B44" s="20">
        <v>0.8</v>
      </c>
    </row>
    <row r="45" ht="15.0" customHeight="1">
      <c r="A45" s="6">
        <v>2.0</v>
      </c>
      <c r="B45" s="20">
        <v>0.7</v>
      </c>
    </row>
    <row r="46" ht="15.0" customHeight="1">
      <c r="A46" s="6">
        <v>3.0</v>
      </c>
      <c r="B46" s="20">
        <v>0.6</v>
      </c>
    </row>
    <row r="47" ht="15.0" customHeight="1">
      <c r="A47" s="6">
        <v>4.0</v>
      </c>
      <c r="B47" s="20">
        <v>0.5</v>
      </c>
    </row>
    <row r="48" ht="15.0" customHeight="1">
      <c r="A48" s="6">
        <v>5.0</v>
      </c>
      <c r="B48" s="20">
        <v>0.4</v>
      </c>
    </row>
    <row r="49" ht="15.0" customHeight="1">
      <c r="A49" s="6">
        <v>6.0</v>
      </c>
      <c r="B49" s="20">
        <v>0.3</v>
      </c>
    </row>
    <row r="50" ht="15.0" customHeight="1">
      <c r="A50" s="6">
        <v>7.0</v>
      </c>
      <c r="B50" s="20">
        <v>0.2</v>
      </c>
    </row>
    <row r="51" ht="15.0" customHeight="1">
      <c r="A51" s="6">
        <v>8.0</v>
      </c>
      <c r="B51" s="20">
        <v>0.1</v>
      </c>
    </row>
    <row r="52" ht="15.0" customHeight="1">
      <c r="A52" s="6">
        <v>9.0</v>
      </c>
      <c r="B52" s="20">
        <v>0.1</v>
      </c>
    </row>
    <row r="53" ht="15.0" customHeight="1">
      <c r="A53" s="6">
        <v>10.0</v>
      </c>
      <c r="B53" s="20">
        <v>0.1</v>
      </c>
    </row>
    <row r="54" ht="15.0" customHeight="1">
      <c r="A54" s="6">
        <v>11.0</v>
      </c>
      <c r="B54" s="20">
        <v>0.1</v>
      </c>
    </row>
    <row r="55" ht="15.0" customHeight="1">
      <c r="A55" s="6">
        <v>12.0</v>
      </c>
      <c r="B55" s="20">
        <v>0.1</v>
      </c>
    </row>
    <row r="56" ht="15.0" customHeight="1">
      <c r="A56" s="6">
        <v>13.0</v>
      </c>
      <c r="B56" s="20">
        <v>0.1</v>
      </c>
    </row>
    <row r="57" ht="15.0" customHeight="1">
      <c r="A57" s="6">
        <v>14.0</v>
      </c>
      <c r="B57" s="20">
        <v>0.1</v>
      </c>
    </row>
    <row r="58" ht="15.0" customHeight="1">
      <c r="A58" s="6">
        <v>15.0</v>
      </c>
      <c r="B58" s="20">
        <v>0.1</v>
      </c>
    </row>
    <row r="59" ht="15.0" customHeight="1">
      <c r="A59" s="6">
        <v>16.0</v>
      </c>
      <c r="B59" s="20">
        <v>0.1</v>
      </c>
    </row>
    <row r="60" ht="15.0" customHeight="1">
      <c r="A60" s="6">
        <v>17.0</v>
      </c>
      <c r="B60" s="20">
        <v>0.1</v>
      </c>
    </row>
    <row r="61" ht="15.0" customHeight="1">
      <c r="A61" s="6">
        <v>18.0</v>
      </c>
      <c r="B61" s="20">
        <v>0.1</v>
      </c>
    </row>
    <row r="62" ht="15.75" customHeight="1">
      <c r="A62" s="2"/>
      <c r="B62" s="2"/>
    </row>
    <row r="63" ht="15.0" customHeight="1">
      <c r="A63" s="4" t="s">
        <v>332</v>
      </c>
      <c r="B63" s="2"/>
    </row>
    <row r="64" ht="23.25" customHeight="1">
      <c r="A64" s="21" t="s">
        <v>154</v>
      </c>
      <c r="B64" s="21" t="s">
        <v>333</v>
      </c>
      <c r="C64" s="21" t="s">
        <v>127</v>
      </c>
      <c r="D64" s="21" t="s">
        <v>334</v>
      </c>
    </row>
    <row r="65" ht="15.0" customHeight="1">
      <c r="A65" s="20"/>
      <c r="B65" s="20"/>
      <c r="C65" s="20"/>
      <c r="D65" s="20"/>
    </row>
    <row r="66" ht="15.0" customHeight="1">
      <c r="A66" s="22" t="s">
        <v>335</v>
      </c>
      <c r="B66" s="20"/>
      <c r="C66" s="20"/>
      <c r="D66" s="20"/>
    </row>
    <row r="67" ht="15.0" customHeight="1">
      <c r="A67" s="23" t="s">
        <v>336</v>
      </c>
      <c r="B67" s="20" t="s">
        <v>337</v>
      </c>
      <c r="C67" s="20"/>
      <c r="D67" s="20"/>
    </row>
    <row r="68" ht="15.0" customHeight="1">
      <c r="A68" s="23" t="s">
        <v>338</v>
      </c>
      <c r="B68" s="20">
        <v>30.0</v>
      </c>
      <c r="C68" s="20"/>
      <c r="D68" s="20"/>
    </row>
    <row r="69" ht="15.0" customHeight="1">
      <c r="A69" s="20"/>
      <c r="B69" s="20"/>
      <c r="C69" s="20"/>
      <c r="D69" s="20"/>
    </row>
    <row r="70" ht="39.75" customHeight="1">
      <c r="A70" s="24" t="s">
        <v>339</v>
      </c>
      <c r="B70" s="20"/>
      <c r="C70" s="20"/>
      <c r="D70" s="20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dataValidations>
    <dataValidation type="list" allowBlank="1" sqref="B40">
      <formula1>LISTS!$I$2:$I$3</formula1>
    </dataValidation>
    <dataValidation type="list" allowBlank="1" sqref="A65:A70">
      <formula1>Teams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7" t="s">
        <v>340</v>
      </c>
    </row>
    <row r="2" ht="15.0" customHeight="1">
      <c r="A2" s="3" t="s">
        <v>341</v>
      </c>
    </row>
    <row r="5" ht="34.5" customHeight="1">
      <c r="A5" s="21" t="s">
        <v>342</v>
      </c>
      <c r="B5" s="21" t="s">
        <v>343</v>
      </c>
      <c r="C5" s="21" t="s">
        <v>344</v>
      </c>
      <c r="D5" s="21" t="s">
        <v>345</v>
      </c>
      <c r="E5" s="21" t="s">
        <v>346</v>
      </c>
      <c r="F5" s="21" t="s">
        <v>347</v>
      </c>
      <c r="G5" s="21" t="s">
        <v>348</v>
      </c>
      <c r="H5" s="21" t="s">
        <v>349</v>
      </c>
      <c r="I5" s="21" t="s">
        <v>350</v>
      </c>
      <c r="J5" s="21" t="s">
        <v>351</v>
      </c>
      <c r="K5" s="21" t="s">
        <v>352</v>
      </c>
      <c r="L5" s="21" t="s">
        <v>353</v>
      </c>
      <c r="M5" s="21" t="s">
        <v>354</v>
      </c>
      <c r="N5" s="21" t="s">
        <v>355</v>
      </c>
      <c r="O5" s="21" t="s">
        <v>356</v>
      </c>
      <c r="P5" s="21" t="s">
        <v>357</v>
      </c>
      <c r="Q5" s="21" t="s">
        <v>358</v>
      </c>
      <c r="R5" s="21" t="s">
        <v>359</v>
      </c>
      <c r="S5" s="21" t="s">
        <v>360</v>
      </c>
      <c r="T5" s="21" t="s">
        <v>361</v>
      </c>
      <c r="U5" s="21" t="s">
        <v>362</v>
      </c>
      <c r="V5" s="21" t="s">
        <v>363</v>
      </c>
      <c r="W5" s="21" t="s">
        <v>364</v>
      </c>
      <c r="X5" s="21" t="s">
        <v>365</v>
      </c>
      <c r="Y5" s="21" t="s">
        <v>366</v>
      </c>
      <c r="Z5" s="21" t="s">
        <v>367</v>
      </c>
      <c r="AA5" s="21" t="s">
        <v>368</v>
      </c>
      <c r="AB5" s="21" t="s">
        <v>369</v>
      </c>
      <c r="AC5" s="21" t="s">
        <v>370</v>
      </c>
      <c r="AD5" s="21" t="s">
        <v>371</v>
      </c>
      <c r="AE5" s="21" t="s">
        <v>372</v>
      </c>
      <c r="AF5" s="21" t="s">
        <v>373</v>
      </c>
      <c r="AG5" s="21" t="s">
        <v>374</v>
      </c>
      <c r="AH5" s="21" t="s">
        <v>375</v>
      </c>
      <c r="AI5" s="21" t="s">
        <v>376</v>
      </c>
      <c r="AJ5" s="21" t="s">
        <v>377</v>
      </c>
      <c r="AK5" s="21" t="s">
        <v>378</v>
      </c>
      <c r="AL5" s="21" t="s">
        <v>379</v>
      </c>
      <c r="AM5" s="21" t="s">
        <v>380</v>
      </c>
      <c r="AN5" s="21" t="s">
        <v>381</v>
      </c>
      <c r="AO5" s="21" t="s">
        <v>382</v>
      </c>
      <c r="AP5" s="21" t="s">
        <v>383</v>
      </c>
      <c r="AQ5" s="21" t="s">
        <v>384</v>
      </c>
      <c r="AR5" s="21" t="s">
        <v>385</v>
      </c>
      <c r="AS5" s="21" t="s">
        <v>386</v>
      </c>
      <c r="AT5" s="21" t="s">
        <v>387</v>
      </c>
      <c r="AV5" s="25" t="s">
        <v>388</v>
      </c>
      <c r="AW5" s="25" t="s">
        <v>73</v>
      </c>
    </row>
    <row r="6" ht="15.0" customHeight="1">
      <c r="A6" s="2" t="s">
        <v>389</v>
      </c>
      <c r="B6" s="2">
        <v>2025.0</v>
      </c>
      <c r="C6" s="2" t="s">
        <v>390</v>
      </c>
      <c r="D6" s="2">
        <v>1.0</v>
      </c>
      <c r="E6" s="2" t="s">
        <v>391</v>
      </c>
      <c r="F6" s="2" t="s">
        <v>392</v>
      </c>
      <c r="G6" s="2" t="s">
        <v>393</v>
      </c>
      <c r="H6" s="2" t="s">
        <v>146</v>
      </c>
      <c r="I6" s="2">
        <v>20.0</v>
      </c>
      <c r="J6" s="2" t="s">
        <v>147</v>
      </c>
      <c r="K6" s="2">
        <v>24.0</v>
      </c>
      <c r="L6" s="2" t="s">
        <v>77</v>
      </c>
      <c r="M6" s="2">
        <v>4.0</v>
      </c>
      <c r="N6" s="2">
        <v>44.0</v>
      </c>
      <c r="O6" s="2">
        <v>0.0</v>
      </c>
      <c r="P6" s="2">
        <v>2.0250904E9</v>
      </c>
      <c r="Q6" s="2">
        <v>59843.0</v>
      </c>
      <c r="S6" s="2" t="s">
        <v>394</v>
      </c>
      <c r="T6" s="2">
        <v>28418.0</v>
      </c>
      <c r="U6" s="2">
        <v>4.0177251E8</v>
      </c>
      <c r="V6" s="2">
        <v>6734.0</v>
      </c>
      <c r="W6" s="2">
        <v>7.0</v>
      </c>
      <c r="X6" s="2">
        <v>7.0</v>
      </c>
      <c r="Y6" s="2">
        <v>330.0</v>
      </c>
      <c r="Z6" s="2">
        <v>-425.0</v>
      </c>
      <c r="AA6" s="2">
        <v>8.5</v>
      </c>
      <c r="AB6" s="2">
        <v>-110.0</v>
      </c>
      <c r="AC6" s="2">
        <v>-110.0</v>
      </c>
      <c r="AD6" s="2">
        <v>47.5</v>
      </c>
      <c r="AE6" s="2">
        <v>-110.0</v>
      </c>
      <c r="AF6" s="2">
        <v>-110.0</v>
      </c>
      <c r="AG6" s="2">
        <v>1.0</v>
      </c>
      <c r="AH6" s="2" t="s">
        <v>395</v>
      </c>
      <c r="AI6" s="2" t="s">
        <v>396</v>
      </c>
      <c r="AJ6" s="2">
        <v>75.0</v>
      </c>
      <c r="AK6" s="2">
        <v>11.0</v>
      </c>
      <c r="AL6" s="2" t="s">
        <v>397</v>
      </c>
      <c r="AM6" s="2" t="s">
        <v>398</v>
      </c>
      <c r="AN6" s="2" t="s">
        <v>199</v>
      </c>
      <c r="AO6" s="2" t="s">
        <v>241</v>
      </c>
      <c r="AP6" s="2" t="s">
        <v>399</v>
      </c>
      <c r="AQ6" s="2" t="s">
        <v>400</v>
      </c>
      <c r="AR6" s="2" t="s">
        <v>401</v>
      </c>
      <c r="AS6" s="2" t="s">
        <v>402</v>
      </c>
      <c r="AT6" s="2" t="s">
        <v>403</v>
      </c>
      <c r="AV6" s="2">
        <f t="array" ref="AV6">IF($A6="","",IF(INDEX($A6:$AT6,1,MAP!$B$3)=CurrentSeason,1,0))</f>
        <v>0</v>
      </c>
      <c r="AW6" s="2" t="str">
        <f t="shared" ref="AW6:AW562" si="1">IF($AV6=1,SUM($AV$6:$AV6),"")</f>
        <v/>
      </c>
    </row>
    <row r="7" ht="15.0" customHeight="1">
      <c r="A7" s="2" t="s">
        <v>404</v>
      </c>
      <c r="B7" s="2">
        <v>2025.0</v>
      </c>
      <c r="C7" s="2" t="s">
        <v>390</v>
      </c>
      <c r="D7" s="2">
        <v>1.0</v>
      </c>
      <c r="E7" s="2" t="s">
        <v>405</v>
      </c>
      <c r="F7" s="2" t="s">
        <v>406</v>
      </c>
      <c r="G7" s="2" t="s">
        <v>407</v>
      </c>
      <c r="H7" s="2" t="s">
        <v>143</v>
      </c>
      <c r="I7" s="2">
        <v>21.0</v>
      </c>
      <c r="J7" s="2" t="s">
        <v>220</v>
      </c>
      <c r="K7" s="2">
        <v>27.0</v>
      </c>
      <c r="L7" s="2" t="s">
        <v>78</v>
      </c>
      <c r="M7" s="2">
        <v>6.0</v>
      </c>
      <c r="N7" s="2">
        <v>48.0</v>
      </c>
      <c r="O7" s="2">
        <v>0.0</v>
      </c>
      <c r="P7" s="2">
        <v>2.0250905E9</v>
      </c>
      <c r="Q7" s="2">
        <v>59844.0</v>
      </c>
      <c r="S7" s="2" t="s">
        <v>408</v>
      </c>
      <c r="T7" s="2">
        <v>28419.0</v>
      </c>
      <c r="U7" s="2">
        <v>4.01772714E8</v>
      </c>
      <c r="V7" s="2">
        <v>6735.0</v>
      </c>
      <c r="W7" s="2">
        <v>7.0</v>
      </c>
      <c r="X7" s="2">
        <v>7.0</v>
      </c>
      <c r="Y7" s="2">
        <v>-175.0</v>
      </c>
      <c r="Z7" s="2">
        <v>145.0</v>
      </c>
      <c r="AA7" s="2">
        <v>-3.0</v>
      </c>
      <c r="AB7" s="2">
        <v>-120.0</v>
      </c>
      <c r="AC7" s="2">
        <v>100.0</v>
      </c>
      <c r="AD7" s="2">
        <v>47.5</v>
      </c>
      <c r="AE7" s="2">
        <v>-110.0</v>
      </c>
      <c r="AF7" s="2">
        <v>-110.0</v>
      </c>
      <c r="AG7" s="2">
        <v>1.0</v>
      </c>
      <c r="AH7" s="2" t="s">
        <v>409</v>
      </c>
      <c r="AL7" s="2" t="s">
        <v>410</v>
      </c>
      <c r="AM7" s="2" t="s">
        <v>411</v>
      </c>
      <c r="AN7" s="2" t="s">
        <v>216</v>
      </c>
      <c r="AO7" s="2" t="s">
        <v>221</v>
      </c>
      <c r="AP7" s="2" t="s">
        <v>412</v>
      </c>
      <c r="AQ7" s="2" t="s">
        <v>413</v>
      </c>
      <c r="AR7" s="2" t="s">
        <v>414</v>
      </c>
      <c r="AS7" s="2" t="s">
        <v>415</v>
      </c>
      <c r="AT7" s="2" t="s">
        <v>416</v>
      </c>
      <c r="AV7" s="2">
        <f t="array" ref="AV7">IF($A7="","",IF(INDEX($A7:$AT7,1,MAP!$B$3)=CurrentSeason,1,0))</f>
        <v>0</v>
      </c>
      <c r="AW7" s="2" t="str">
        <f t="shared" si="1"/>
        <v/>
      </c>
    </row>
    <row r="8" ht="15.0" customHeight="1">
      <c r="A8" s="2" t="s">
        <v>417</v>
      </c>
      <c r="B8" s="2">
        <v>2025.0</v>
      </c>
      <c r="C8" s="2" t="s">
        <v>390</v>
      </c>
      <c r="D8" s="2">
        <v>1.0</v>
      </c>
      <c r="E8" s="2" t="s">
        <v>418</v>
      </c>
      <c r="F8" s="2" t="s">
        <v>419</v>
      </c>
      <c r="G8" s="2" t="s">
        <v>420</v>
      </c>
      <c r="H8" s="2" t="s">
        <v>150</v>
      </c>
      <c r="I8" s="2">
        <v>23.0</v>
      </c>
      <c r="J8" s="2" t="s">
        <v>132</v>
      </c>
      <c r="K8" s="2">
        <v>20.0</v>
      </c>
      <c r="L8" s="2" t="s">
        <v>77</v>
      </c>
      <c r="M8" s="2">
        <v>-3.0</v>
      </c>
      <c r="N8" s="2">
        <v>43.0</v>
      </c>
      <c r="O8" s="2">
        <v>0.0</v>
      </c>
      <c r="P8" s="2">
        <v>2.0250907E9</v>
      </c>
      <c r="Q8" s="2">
        <v>59845.0</v>
      </c>
      <c r="S8" s="2" t="s">
        <v>421</v>
      </c>
      <c r="T8" s="2">
        <v>28420.0</v>
      </c>
      <c r="U8" s="2">
        <v>4.0177283E8</v>
      </c>
      <c r="V8" s="2">
        <v>6736.0</v>
      </c>
      <c r="W8" s="2">
        <v>7.0</v>
      </c>
      <c r="X8" s="2">
        <v>7.0</v>
      </c>
      <c r="Y8" s="2">
        <v>-115.0</v>
      </c>
      <c r="Z8" s="2">
        <v>-105.0</v>
      </c>
      <c r="AA8" s="2">
        <v>-1.5</v>
      </c>
      <c r="AB8" s="2">
        <v>-102.0</v>
      </c>
      <c r="AC8" s="2">
        <v>-118.0</v>
      </c>
      <c r="AD8" s="2">
        <v>47.5</v>
      </c>
      <c r="AE8" s="2">
        <v>-105.0</v>
      </c>
      <c r="AF8" s="2">
        <v>-115.0</v>
      </c>
      <c r="AG8" s="2">
        <v>1.0</v>
      </c>
      <c r="AH8" s="2" t="s">
        <v>422</v>
      </c>
      <c r="AI8" s="2" t="s">
        <v>423</v>
      </c>
      <c r="AL8" s="2" t="s">
        <v>424</v>
      </c>
      <c r="AM8" s="2" t="s">
        <v>425</v>
      </c>
      <c r="AN8" s="2" t="s">
        <v>248</v>
      </c>
      <c r="AO8" s="2" t="s">
        <v>426</v>
      </c>
      <c r="AP8" s="2" t="s">
        <v>427</v>
      </c>
      <c r="AQ8" s="2" t="s">
        <v>428</v>
      </c>
      <c r="AR8" s="2" t="s">
        <v>429</v>
      </c>
      <c r="AS8" s="2" t="s">
        <v>430</v>
      </c>
      <c r="AT8" s="2" t="s">
        <v>431</v>
      </c>
      <c r="AV8" s="2">
        <f t="array" ref="AV8">IF($A8="","",IF(INDEX($A8:$AT8,1,MAP!$B$3)=CurrentSeason,1,0))</f>
        <v>0</v>
      </c>
      <c r="AW8" s="2" t="str">
        <f t="shared" si="1"/>
        <v/>
      </c>
    </row>
    <row r="9" ht="15.0" customHeight="1">
      <c r="A9" s="2" t="s">
        <v>432</v>
      </c>
      <c r="B9" s="2">
        <v>2025.0</v>
      </c>
      <c r="C9" s="2" t="s">
        <v>390</v>
      </c>
      <c r="D9" s="2">
        <v>1.0</v>
      </c>
      <c r="E9" s="2" t="s">
        <v>418</v>
      </c>
      <c r="F9" s="2" t="s">
        <v>419</v>
      </c>
      <c r="G9" s="2" t="s">
        <v>420</v>
      </c>
      <c r="H9" s="2" t="s">
        <v>138</v>
      </c>
      <c r="I9" s="2">
        <v>17.0</v>
      </c>
      <c r="J9" s="2" t="s">
        <v>196</v>
      </c>
      <c r="K9" s="2">
        <v>16.0</v>
      </c>
      <c r="L9" s="2" t="s">
        <v>77</v>
      </c>
      <c r="M9" s="2">
        <v>-1.0</v>
      </c>
      <c r="N9" s="2">
        <v>33.0</v>
      </c>
      <c r="O9" s="2">
        <v>0.0</v>
      </c>
      <c r="P9" s="2">
        <v>2.025090701E9</v>
      </c>
      <c r="Q9" s="2">
        <v>59846.0</v>
      </c>
      <c r="S9" s="2" t="s">
        <v>433</v>
      </c>
      <c r="T9" s="2">
        <v>28421.0</v>
      </c>
      <c r="U9" s="2">
        <v>4.01772829E8</v>
      </c>
      <c r="V9" s="2">
        <v>6737.0</v>
      </c>
      <c r="W9" s="2">
        <v>7.0</v>
      </c>
      <c r="X9" s="2">
        <v>7.0</v>
      </c>
      <c r="Y9" s="2">
        <v>-238.0</v>
      </c>
      <c r="Z9" s="2">
        <v>195.0</v>
      </c>
      <c r="AA9" s="2">
        <v>-5.5</v>
      </c>
      <c r="AB9" s="2">
        <v>-105.0</v>
      </c>
      <c r="AC9" s="2">
        <v>-115.0</v>
      </c>
      <c r="AD9" s="2">
        <v>47.5</v>
      </c>
      <c r="AE9" s="2">
        <v>100.0</v>
      </c>
      <c r="AF9" s="2">
        <v>-120.0</v>
      </c>
      <c r="AG9" s="2">
        <v>1.0</v>
      </c>
      <c r="AH9" s="2" t="s">
        <v>395</v>
      </c>
      <c r="AI9" s="2" t="s">
        <v>396</v>
      </c>
      <c r="AJ9" s="2">
        <v>63.0</v>
      </c>
      <c r="AK9" s="2">
        <v>10.0</v>
      </c>
      <c r="AL9" s="2" t="s">
        <v>434</v>
      </c>
      <c r="AM9" s="2" t="s">
        <v>435</v>
      </c>
      <c r="AN9" s="2" t="s">
        <v>194</v>
      </c>
      <c r="AO9" s="2" t="s">
        <v>436</v>
      </c>
      <c r="AP9" s="2" t="s">
        <v>437</v>
      </c>
      <c r="AQ9" s="2" t="s">
        <v>438</v>
      </c>
      <c r="AR9" s="2" t="s">
        <v>439</v>
      </c>
      <c r="AS9" s="2" t="s">
        <v>440</v>
      </c>
      <c r="AT9" s="2" t="s">
        <v>441</v>
      </c>
      <c r="AV9" s="2">
        <f t="array" ref="AV9">IF($A9="","",IF(INDEX($A9:$AT9,1,MAP!$B$3)=CurrentSeason,1,0))</f>
        <v>0</v>
      </c>
      <c r="AW9" s="2" t="str">
        <f t="shared" si="1"/>
        <v/>
      </c>
    </row>
    <row r="10" ht="15.0" customHeight="1">
      <c r="A10" s="2" t="s">
        <v>442</v>
      </c>
      <c r="B10" s="2">
        <v>2025.0</v>
      </c>
      <c r="C10" s="2" t="s">
        <v>390</v>
      </c>
      <c r="D10" s="2">
        <v>1.0</v>
      </c>
      <c r="E10" s="2" t="s">
        <v>418</v>
      </c>
      <c r="F10" s="2" t="s">
        <v>419</v>
      </c>
      <c r="G10" s="2" t="s">
        <v>420</v>
      </c>
      <c r="H10" s="2" t="s">
        <v>225</v>
      </c>
      <c r="I10" s="2">
        <v>8.0</v>
      </c>
      <c r="J10" s="2" t="s">
        <v>210</v>
      </c>
      <c r="K10" s="2">
        <v>33.0</v>
      </c>
      <c r="L10" s="2" t="s">
        <v>77</v>
      </c>
      <c r="M10" s="2">
        <v>25.0</v>
      </c>
      <c r="N10" s="2">
        <v>41.0</v>
      </c>
      <c r="O10" s="2">
        <v>0.0</v>
      </c>
      <c r="P10" s="2">
        <v>2.025090702E9</v>
      </c>
      <c r="Q10" s="2">
        <v>59847.0</v>
      </c>
      <c r="S10" s="2" t="s">
        <v>443</v>
      </c>
      <c r="T10" s="2">
        <v>28422.0</v>
      </c>
      <c r="U10" s="2">
        <v>4.01772719E8</v>
      </c>
      <c r="V10" s="2">
        <v>6738.0</v>
      </c>
      <c r="W10" s="2">
        <v>7.0</v>
      </c>
      <c r="X10" s="2">
        <v>7.0</v>
      </c>
      <c r="Y10" s="2">
        <v>-108.0</v>
      </c>
      <c r="Z10" s="2">
        <v>-112.0</v>
      </c>
      <c r="AA10" s="2">
        <v>1.5</v>
      </c>
      <c r="AB10" s="2">
        <v>-118.0</v>
      </c>
      <c r="AC10" s="2">
        <v>-102.0</v>
      </c>
      <c r="AD10" s="2">
        <v>47.5</v>
      </c>
      <c r="AE10" s="2">
        <v>-120.0</v>
      </c>
      <c r="AF10" s="2">
        <v>100.0</v>
      </c>
      <c r="AG10" s="2">
        <v>0.0</v>
      </c>
      <c r="AH10" s="2" t="s">
        <v>422</v>
      </c>
      <c r="AI10" s="2" t="s">
        <v>423</v>
      </c>
      <c r="AL10" s="2" t="s">
        <v>444</v>
      </c>
      <c r="AM10" s="2" t="s">
        <v>445</v>
      </c>
      <c r="AN10" s="2" t="s">
        <v>182</v>
      </c>
      <c r="AO10" s="2" t="s">
        <v>211</v>
      </c>
      <c r="AP10" s="2" t="s">
        <v>446</v>
      </c>
      <c r="AQ10" s="2" t="s">
        <v>447</v>
      </c>
      <c r="AR10" s="2" t="s">
        <v>448</v>
      </c>
      <c r="AS10" s="2" t="s">
        <v>449</v>
      </c>
      <c r="AT10" s="2" t="s">
        <v>450</v>
      </c>
      <c r="AV10" s="2">
        <f t="array" ref="AV10">IF($A10="","",IF(INDEX($A10:$AT10,1,MAP!$B$3)=CurrentSeason,1,0))</f>
        <v>0</v>
      </c>
      <c r="AW10" s="2" t="str">
        <f t="shared" si="1"/>
        <v/>
      </c>
    </row>
    <row r="11" ht="15.0" customHeight="1">
      <c r="A11" s="2" t="s">
        <v>451</v>
      </c>
      <c r="B11" s="2">
        <v>2025.0</v>
      </c>
      <c r="C11" s="2" t="s">
        <v>390</v>
      </c>
      <c r="D11" s="2">
        <v>1.0</v>
      </c>
      <c r="E11" s="2" t="s">
        <v>418</v>
      </c>
      <c r="F11" s="2" t="s">
        <v>419</v>
      </c>
      <c r="G11" s="2" t="s">
        <v>420</v>
      </c>
      <c r="H11" s="2" t="s">
        <v>189</v>
      </c>
      <c r="I11" s="2">
        <v>10.0</v>
      </c>
      <c r="J11" s="2" t="s">
        <v>141</v>
      </c>
      <c r="K11" s="2">
        <v>26.0</v>
      </c>
      <c r="L11" s="2" t="s">
        <v>77</v>
      </c>
      <c r="M11" s="2">
        <v>16.0</v>
      </c>
      <c r="N11" s="2">
        <v>36.0</v>
      </c>
      <c r="O11" s="2">
        <v>0.0</v>
      </c>
      <c r="P11" s="2">
        <v>2.025090703E9</v>
      </c>
      <c r="Q11" s="2">
        <v>59848.0</v>
      </c>
      <c r="S11" s="2" t="s">
        <v>452</v>
      </c>
      <c r="T11" s="2">
        <v>28423.0</v>
      </c>
      <c r="U11" s="2">
        <v>4.01772828E8</v>
      </c>
      <c r="V11" s="2">
        <v>6739.0</v>
      </c>
      <c r="W11" s="2">
        <v>7.0</v>
      </c>
      <c r="X11" s="2">
        <v>7.0</v>
      </c>
      <c r="Y11" s="2">
        <v>170.0</v>
      </c>
      <c r="Z11" s="2">
        <v>-205.0</v>
      </c>
      <c r="AA11" s="2">
        <v>4.5</v>
      </c>
      <c r="AB11" s="2">
        <v>-110.0</v>
      </c>
      <c r="AC11" s="2">
        <v>-110.0</v>
      </c>
      <c r="AD11" s="2">
        <v>45.5</v>
      </c>
      <c r="AE11" s="2">
        <v>-108.0</v>
      </c>
      <c r="AF11" s="2">
        <v>-112.0</v>
      </c>
      <c r="AG11" s="2">
        <v>0.0</v>
      </c>
      <c r="AH11" s="2" t="s">
        <v>395</v>
      </c>
      <c r="AI11" s="2" t="s">
        <v>396</v>
      </c>
      <c r="AJ11" s="2">
        <v>85.0</v>
      </c>
      <c r="AK11" s="2">
        <v>3.0</v>
      </c>
      <c r="AL11" s="2" t="s">
        <v>453</v>
      </c>
      <c r="AM11" s="2" t="s">
        <v>454</v>
      </c>
      <c r="AN11" s="2" t="s">
        <v>190</v>
      </c>
      <c r="AO11" s="2" t="s">
        <v>214</v>
      </c>
      <c r="AP11" s="2" t="s">
        <v>455</v>
      </c>
      <c r="AQ11" s="2" t="s">
        <v>456</v>
      </c>
      <c r="AR11" s="2" t="s">
        <v>457</v>
      </c>
      <c r="AS11" s="2" t="s">
        <v>458</v>
      </c>
      <c r="AT11" s="2" t="s">
        <v>459</v>
      </c>
      <c r="AV11" s="2">
        <f t="array" ref="AV11">IF($A11="","",IF(INDEX($A11:$AT11,1,MAP!$B$3)=CurrentSeason,1,0))</f>
        <v>0</v>
      </c>
      <c r="AW11" s="2" t="str">
        <f t="shared" si="1"/>
        <v/>
      </c>
    </row>
    <row r="12" ht="15.0" customHeight="1">
      <c r="A12" s="2" t="s">
        <v>460</v>
      </c>
      <c r="B12" s="2">
        <v>2025.0</v>
      </c>
      <c r="C12" s="2" t="s">
        <v>390</v>
      </c>
      <c r="D12" s="2">
        <v>1.0</v>
      </c>
      <c r="E12" s="2" t="s">
        <v>418</v>
      </c>
      <c r="F12" s="2" t="s">
        <v>419</v>
      </c>
      <c r="G12" s="2" t="s">
        <v>420</v>
      </c>
      <c r="H12" s="2" t="s">
        <v>222</v>
      </c>
      <c r="I12" s="2">
        <v>20.0</v>
      </c>
      <c r="J12" s="2" t="s">
        <v>145</v>
      </c>
      <c r="K12" s="2">
        <v>13.0</v>
      </c>
      <c r="L12" s="2" t="s">
        <v>77</v>
      </c>
      <c r="M12" s="2">
        <v>-7.0</v>
      </c>
      <c r="N12" s="2">
        <v>33.0</v>
      </c>
      <c r="O12" s="2">
        <v>0.0</v>
      </c>
      <c r="P12" s="2">
        <v>2.025090704E9</v>
      </c>
      <c r="Q12" s="2">
        <v>59849.0</v>
      </c>
      <c r="S12" s="2" t="s">
        <v>461</v>
      </c>
      <c r="T12" s="2">
        <v>28424.0</v>
      </c>
      <c r="U12" s="2">
        <v>4.0177272E8</v>
      </c>
      <c r="V12" s="2">
        <v>6740.0</v>
      </c>
      <c r="W12" s="2">
        <v>7.0</v>
      </c>
      <c r="X12" s="2">
        <v>7.0</v>
      </c>
      <c r="Y12" s="2">
        <v>130.0</v>
      </c>
      <c r="Z12" s="2">
        <v>-155.0</v>
      </c>
      <c r="AA12" s="2">
        <v>2.5</v>
      </c>
      <c r="AB12" s="2">
        <v>100.0</v>
      </c>
      <c r="AC12" s="2">
        <v>-120.0</v>
      </c>
      <c r="AD12" s="2">
        <v>44.5</v>
      </c>
      <c r="AE12" s="2">
        <v>-115.0</v>
      </c>
      <c r="AF12" s="2">
        <v>-105.0</v>
      </c>
      <c r="AG12" s="2">
        <v>0.0</v>
      </c>
      <c r="AH12" s="2" t="s">
        <v>395</v>
      </c>
      <c r="AI12" s="2" t="s">
        <v>423</v>
      </c>
      <c r="AJ12" s="2">
        <v>62.0</v>
      </c>
      <c r="AK12" s="2">
        <v>4.0</v>
      </c>
      <c r="AL12" s="2" t="s">
        <v>462</v>
      </c>
      <c r="AM12" s="2" t="s">
        <v>463</v>
      </c>
      <c r="AN12" s="2" t="s">
        <v>239</v>
      </c>
      <c r="AO12" s="2" t="s">
        <v>230</v>
      </c>
      <c r="AP12" s="2" t="s">
        <v>464</v>
      </c>
      <c r="AQ12" s="2" t="s">
        <v>465</v>
      </c>
      <c r="AR12" s="2" t="s">
        <v>466</v>
      </c>
      <c r="AS12" s="2" t="s">
        <v>467</v>
      </c>
      <c r="AT12" s="2" t="s">
        <v>468</v>
      </c>
      <c r="AV12" s="2">
        <f t="array" ref="AV12">IF($A12="","",IF(INDEX($A12:$AT12,1,MAP!$B$3)=CurrentSeason,1,0))</f>
        <v>0</v>
      </c>
      <c r="AW12" s="2" t="str">
        <f t="shared" si="1"/>
        <v/>
      </c>
    </row>
    <row r="13" ht="15.0" customHeight="1">
      <c r="A13" s="2" t="s">
        <v>469</v>
      </c>
      <c r="B13" s="2">
        <v>2025.0</v>
      </c>
      <c r="C13" s="2" t="s">
        <v>390</v>
      </c>
      <c r="D13" s="2">
        <v>1.0</v>
      </c>
      <c r="E13" s="2" t="s">
        <v>418</v>
      </c>
      <c r="F13" s="2" t="s">
        <v>419</v>
      </c>
      <c r="G13" s="2" t="s">
        <v>420</v>
      </c>
      <c r="H13" s="2" t="s">
        <v>178</v>
      </c>
      <c r="I13" s="2">
        <v>20.0</v>
      </c>
      <c r="J13" s="2" t="s">
        <v>232</v>
      </c>
      <c r="K13" s="2">
        <v>13.0</v>
      </c>
      <c r="L13" s="2" t="s">
        <v>77</v>
      </c>
      <c r="M13" s="2">
        <v>-7.0</v>
      </c>
      <c r="N13" s="2">
        <v>33.0</v>
      </c>
      <c r="O13" s="2">
        <v>0.0</v>
      </c>
      <c r="P13" s="2">
        <v>2.025090705E9</v>
      </c>
      <c r="Q13" s="2">
        <v>59850.0</v>
      </c>
      <c r="S13" s="2" t="s">
        <v>470</v>
      </c>
      <c r="T13" s="2">
        <v>28425.0</v>
      </c>
      <c r="U13" s="2">
        <v>4.01772718E8</v>
      </c>
      <c r="V13" s="2">
        <v>6741.0</v>
      </c>
      <c r="W13" s="2">
        <v>7.0</v>
      </c>
      <c r="X13" s="2">
        <v>7.0</v>
      </c>
      <c r="Y13" s="2">
        <v>-270.0</v>
      </c>
      <c r="Z13" s="2">
        <v>220.0</v>
      </c>
      <c r="AA13" s="2">
        <v>-6.0</v>
      </c>
      <c r="AB13" s="2">
        <v>-108.0</v>
      </c>
      <c r="AC13" s="2">
        <v>-112.0</v>
      </c>
      <c r="AD13" s="2">
        <v>44.5</v>
      </c>
      <c r="AE13" s="2">
        <v>-112.0</v>
      </c>
      <c r="AF13" s="2">
        <v>-108.0</v>
      </c>
      <c r="AG13" s="2">
        <v>0.0</v>
      </c>
      <c r="AH13" s="2" t="s">
        <v>409</v>
      </c>
      <c r="AI13" s="2" t="s">
        <v>471</v>
      </c>
      <c r="AL13" s="2" t="s">
        <v>472</v>
      </c>
      <c r="AM13" s="2" t="s">
        <v>473</v>
      </c>
      <c r="AN13" s="2" t="s">
        <v>228</v>
      </c>
      <c r="AO13" s="2" t="s">
        <v>474</v>
      </c>
      <c r="AP13" s="2" t="s">
        <v>475</v>
      </c>
      <c r="AQ13" s="2" t="s">
        <v>476</v>
      </c>
      <c r="AR13" s="2" t="s">
        <v>477</v>
      </c>
      <c r="AS13" s="2" t="s">
        <v>478</v>
      </c>
      <c r="AT13" s="2" t="s">
        <v>479</v>
      </c>
      <c r="AV13" s="2">
        <f t="array" ref="AV13">IF($A13="","",IF(INDEX($A13:$AT13,1,MAP!$B$3)=CurrentSeason,1,0))</f>
        <v>0</v>
      </c>
      <c r="AW13" s="2" t="str">
        <f t="shared" si="1"/>
        <v/>
      </c>
    </row>
    <row r="14" ht="15.0" customHeight="1">
      <c r="A14" s="2" t="s">
        <v>480</v>
      </c>
      <c r="B14" s="2">
        <v>2025.0</v>
      </c>
      <c r="C14" s="2" t="s">
        <v>390</v>
      </c>
      <c r="D14" s="2">
        <v>1.0</v>
      </c>
      <c r="E14" s="2" t="s">
        <v>418</v>
      </c>
      <c r="F14" s="2" t="s">
        <v>419</v>
      </c>
      <c r="G14" s="2" t="s">
        <v>420</v>
      </c>
      <c r="H14" s="2" t="s">
        <v>242</v>
      </c>
      <c r="I14" s="2">
        <v>34.0</v>
      </c>
      <c r="J14" s="2" t="s">
        <v>238</v>
      </c>
      <c r="K14" s="2">
        <v>32.0</v>
      </c>
      <c r="L14" s="2" t="s">
        <v>77</v>
      </c>
      <c r="M14" s="2">
        <v>-2.0</v>
      </c>
      <c r="N14" s="2">
        <v>66.0</v>
      </c>
      <c r="O14" s="2">
        <v>0.0</v>
      </c>
      <c r="P14" s="2">
        <v>2.025090706E9</v>
      </c>
      <c r="Q14" s="2">
        <v>59851.0</v>
      </c>
      <c r="S14" s="2" t="s">
        <v>481</v>
      </c>
      <c r="T14" s="2">
        <v>28426.0</v>
      </c>
      <c r="U14" s="2">
        <v>4.01772721E8</v>
      </c>
      <c r="V14" s="2">
        <v>6742.0</v>
      </c>
      <c r="W14" s="2">
        <v>7.0</v>
      </c>
      <c r="X14" s="2">
        <v>7.0</v>
      </c>
      <c r="Y14" s="2">
        <v>-155.0</v>
      </c>
      <c r="Z14" s="2">
        <v>130.0</v>
      </c>
      <c r="AA14" s="2">
        <v>-3.0</v>
      </c>
      <c r="AB14" s="2">
        <v>-110.0</v>
      </c>
      <c r="AC14" s="2">
        <v>-110.0</v>
      </c>
      <c r="AD14" s="2">
        <v>37.5</v>
      </c>
      <c r="AE14" s="2">
        <v>-108.0</v>
      </c>
      <c r="AF14" s="2">
        <v>-112.0</v>
      </c>
      <c r="AG14" s="2">
        <v>0.0</v>
      </c>
      <c r="AH14" s="2" t="s">
        <v>395</v>
      </c>
      <c r="AI14" s="2" t="s">
        <v>423</v>
      </c>
      <c r="AJ14" s="2">
        <v>67.0</v>
      </c>
      <c r="AK14" s="2">
        <v>3.0</v>
      </c>
      <c r="AL14" s="2" t="s">
        <v>482</v>
      </c>
      <c r="AM14" s="2" t="s">
        <v>483</v>
      </c>
      <c r="AN14" s="2" t="s">
        <v>243</v>
      </c>
      <c r="AO14" s="2" t="s">
        <v>484</v>
      </c>
      <c r="AP14" s="2" t="s">
        <v>485</v>
      </c>
      <c r="AQ14" s="2" t="s">
        <v>486</v>
      </c>
      <c r="AR14" s="2" t="s">
        <v>487</v>
      </c>
      <c r="AS14" s="2" t="s">
        <v>488</v>
      </c>
      <c r="AT14" s="2" t="s">
        <v>489</v>
      </c>
      <c r="AV14" s="2">
        <f t="array" ref="AV14">IF($A14="","",IF(INDEX($A14:$AT14,1,MAP!$B$3)=CurrentSeason,1,0))</f>
        <v>0</v>
      </c>
      <c r="AW14" s="2" t="str">
        <f t="shared" si="1"/>
        <v/>
      </c>
    </row>
    <row r="15" ht="15.0" customHeight="1">
      <c r="A15" s="2" t="s">
        <v>490</v>
      </c>
      <c r="B15" s="2">
        <v>2025.0</v>
      </c>
      <c r="C15" s="2" t="s">
        <v>390</v>
      </c>
      <c r="D15" s="2">
        <v>1.0</v>
      </c>
      <c r="E15" s="2" t="s">
        <v>418</v>
      </c>
      <c r="F15" s="2" t="s">
        <v>419</v>
      </c>
      <c r="G15" s="2" t="s">
        <v>420</v>
      </c>
      <c r="H15" s="2" t="s">
        <v>235</v>
      </c>
      <c r="I15" s="2">
        <v>6.0</v>
      </c>
      <c r="J15" s="2" t="s">
        <v>253</v>
      </c>
      <c r="K15" s="2">
        <v>21.0</v>
      </c>
      <c r="L15" s="2" t="s">
        <v>77</v>
      </c>
      <c r="M15" s="2">
        <v>15.0</v>
      </c>
      <c r="N15" s="2">
        <v>27.0</v>
      </c>
      <c r="O15" s="2">
        <v>0.0</v>
      </c>
      <c r="P15" s="2">
        <v>2.025090707E9</v>
      </c>
      <c r="Q15" s="2">
        <v>59852.0</v>
      </c>
      <c r="S15" s="2" t="s">
        <v>491</v>
      </c>
      <c r="T15" s="2">
        <v>28427.0</v>
      </c>
      <c r="U15" s="2">
        <v>4.01772827E8</v>
      </c>
      <c r="V15" s="2">
        <v>6743.0</v>
      </c>
      <c r="W15" s="2">
        <v>7.0</v>
      </c>
      <c r="X15" s="2">
        <v>7.0</v>
      </c>
      <c r="Y15" s="2">
        <v>240.0</v>
      </c>
      <c r="Z15" s="2">
        <v>-298.0</v>
      </c>
      <c r="AA15" s="2">
        <v>6.0</v>
      </c>
      <c r="AB15" s="2">
        <v>-108.0</v>
      </c>
      <c r="AC15" s="2">
        <v>-112.0</v>
      </c>
      <c r="AD15" s="2">
        <v>45.5</v>
      </c>
      <c r="AE15" s="2">
        <v>-110.0</v>
      </c>
      <c r="AF15" s="2">
        <v>-110.0</v>
      </c>
      <c r="AG15" s="2">
        <v>1.0</v>
      </c>
      <c r="AH15" s="2" t="s">
        <v>395</v>
      </c>
      <c r="AI15" s="2" t="s">
        <v>396</v>
      </c>
      <c r="AJ15" s="2">
        <v>68.0</v>
      </c>
      <c r="AK15" s="2">
        <v>5.0</v>
      </c>
      <c r="AL15" s="2" t="s">
        <v>492</v>
      </c>
      <c r="AM15" s="2" t="s">
        <v>493</v>
      </c>
      <c r="AN15" s="2" t="s">
        <v>494</v>
      </c>
      <c r="AO15" s="2" t="s">
        <v>254</v>
      </c>
      <c r="AP15" s="2" t="s">
        <v>495</v>
      </c>
      <c r="AQ15" s="2" t="s">
        <v>496</v>
      </c>
      <c r="AR15" s="2" t="s">
        <v>497</v>
      </c>
      <c r="AS15" s="2" t="s">
        <v>498</v>
      </c>
      <c r="AT15" s="2" t="s">
        <v>499</v>
      </c>
      <c r="AV15" s="2">
        <f t="array" ref="AV15">IF($A15="","",IF(INDEX($A15:$AT15,1,MAP!$B$3)=CurrentSeason,1,0))</f>
        <v>0</v>
      </c>
      <c r="AW15" s="2" t="str">
        <f t="shared" si="1"/>
        <v/>
      </c>
    </row>
    <row r="16" ht="15.0" customHeight="1">
      <c r="A16" s="2" t="s">
        <v>500</v>
      </c>
      <c r="B16" s="2">
        <v>2025.0</v>
      </c>
      <c r="C16" s="2" t="s">
        <v>390</v>
      </c>
      <c r="D16" s="2">
        <v>1.0</v>
      </c>
      <c r="E16" s="2" t="s">
        <v>418</v>
      </c>
      <c r="F16" s="2" t="s">
        <v>419</v>
      </c>
      <c r="G16" s="2" t="s">
        <v>501</v>
      </c>
      <c r="H16" s="2" t="s">
        <v>250</v>
      </c>
      <c r="I16" s="2">
        <v>12.0</v>
      </c>
      <c r="J16" s="2" t="s">
        <v>139</v>
      </c>
      <c r="K16" s="2">
        <v>20.0</v>
      </c>
      <c r="L16" s="2" t="s">
        <v>77</v>
      </c>
      <c r="M16" s="2">
        <v>8.0</v>
      </c>
      <c r="N16" s="2">
        <v>32.0</v>
      </c>
      <c r="O16" s="2">
        <v>0.0</v>
      </c>
      <c r="P16" s="2">
        <v>2.025090708E9</v>
      </c>
      <c r="Q16" s="2">
        <v>59853.0</v>
      </c>
      <c r="S16" s="2" t="s">
        <v>502</v>
      </c>
      <c r="T16" s="2">
        <v>28428.0</v>
      </c>
      <c r="U16" s="2">
        <v>4.01772832E8</v>
      </c>
      <c r="V16" s="2">
        <v>6744.0</v>
      </c>
      <c r="W16" s="2">
        <v>7.0</v>
      </c>
      <c r="X16" s="2">
        <v>7.0</v>
      </c>
      <c r="Y16" s="2">
        <v>350.0</v>
      </c>
      <c r="Z16" s="2">
        <v>-455.0</v>
      </c>
      <c r="AA16" s="2">
        <v>8.5</v>
      </c>
      <c r="AB16" s="2">
        <v>-105.0</v>
      </c>
      <c r="AC16" s="2">
        <v>-115.0</v>
      </c>
      <c r="AD16" s="2">
        <v>42.5</v>
      </c>
      <c r="AE16" s="2">
        <v>-108.0</v>
      </c>
      <c r="AF16" s="2">
        <v>-112.0</v>
      </c>
      <c r="AG16" s="2">
        <v>0.0</v>
      </c>
      <c r="AH16" s="2" t="s">
        <v>395</v>
      </c>
      <c r="AI16" s="2" t="s">
        <v>396</v>
      </c>
      <c r="AJ16" s="2">
        <v>84.0</v>
      </c>
      <c r="AK16" s="2">
        <v>6.0</v>
      </c>
      <c r="AL16" s="2" t="s">
        <v>503</v>
      </c>
      <c r="AM16" s="2" t="s">
        <v>504</v>
      </c>
      <c r="AN16" s="2" t="s">
        <v>251</v>
      </c>
      <c r="AO16" s="2" t="s">
        <v>201</v>
      </c>
      <c r="AP16" s="2" t="s">
        <v>505</v>
      </c>
      <c r="AQ16" s="2" t="s">
        <v>506</v>
      </c>
      <c r="AR16" s="2" t="s">
        <v>507</v>
      </c>
      <c r="AS16" s="2" t="s">
        <v>508</v>
      </c>
      <c r="AT16" s="2" t="s">
        <v>509</v>
      </c>
      <c r="AV16" s="2">
        <f t="array" ref="AV16">IF($A16="","",IF(INDEX($A16:$AT16,1,MAP!$B$3)=CurrentSeason,1,0))</f>
        <v>0</v>
      </c>
      <c r="AW16" s="2" t="str">
        <f t="shared" si="1"/>
        <v/>
      </c>
    </row>
    <row r="17" ht="15.0" customHeight="1">
      <c r="A17" s="2" t="s">
        <v>510</v>
      </c>
      <c r="B17" s="2">
        <v>2025.0</v>
      </c>
      <c r="C17" s="2" t="s">
        <v>390</v>
      </c>
      <c r="D17" s="2">
        <v>1.0</v>
      </c>
      <c r="E17" s="2" t="s">
        <v>418</v>
      </c>
      <c r="F17" s="2" t="s">
        <v>419</v>
      </c>
      <c r="G17" s="2" t="s">
        <v>501</v>
      </c>
      <c r="H17" s="2" t="s">
        <v>246</v>
      </c>
      <c r="I17" s="2">
        <v>17.0</v>
      </c>
      <c r="J17" s="2" t="s">
        <v>149</v>
      </c>
      <c r="K17" s="2">
        <v>13.0</v>
      </c>
      <c r="L17" s="2" t="s">
        <v>77</v>
      </c>
      <c r="M17" s="2">
        <v>-4.0</v>
      </c>
      <c r="N17" s="2">
        <v>30.0</v>
      </c>
      <c r="O17" s="2">
        <v>0.0</v>
      </c>
      <c r="P17" s="2">
        <v>2.025090709E9</v>
      </c>
      <c r="Q17" s="2">
        <v>59854.0</v>
      </c>
      <c r="S17" s="2" t="s">
        <v>511</v>
      </c>
      <c r="T17" s="2">
        <v>28429.0</v>
      </c>
      <c r="U17" s="2">
        <v>4.01772831E8</v>
      </c>
      <c r="V17" s="2">
        <v>6745.0</v>
      </c>
      <c r="W17" s="2">
        <v>7.0</v>
      </c>
      <c r="X17" s="2">
        <v>7.0</v>
      </c>
      <c r="Y17" s="2">
        <v>-135.0</v>
      </c>
      <c r="Z17" s="2">
        <v>114.0</v>
      </c>
      <c r="AA17" s="2">
        <v>-2.5</v>
      </c>
      <c r="AB17" s="2">
        <v>-105.0</v>
      </c>
      <c r="AC17" s="2">
        <v>-115.0</v>
      </c>
      <c r="AD17" s="2">
        <v>43.5</v>
      </c>
      <c r="AE17" s="2">
        <v>-112.0</v>
      </c>
      <c r="AF17" s="2">
        <v>-108.0</v>
      </c>
      <c r="AG17" s="2">
        <v>1.0</v>
      </c>
      <c r="AH17" s="2" t="s">
        <v>395</v>
      </c>
      <c r="AI17" s="2" t="s">
        <v>423</v>
      </c>
      <c r="AJ17" s="2">
        <v>67.0</v>
      </c>
      <c r="AK17" s="2">
        <v>6.0</v>
      </c>
      <c r="AL17" s="2" t="s">
        <v>512</v>
      </c>
      <c r="AM17" s="2" t="s">
        <v>513</v>
      </c>
      <c r="AN17" s="2" t="s">
        <v>247</v>
      </c>
      <c r="AO17" s="2" t="s">
        <v>245</v>
      </c>
      <c r="AP17" s="2" t="s">
        <v>514</v>
      </c>
      <c r="AQ17" s="2" t="s">
        <v>515</v>
      </c>
      <c r="AR17" s="2" t="s">
        <v>516</v>
      </c>
      <c r="AS17" s="2" t="s">
        <v>517</v>
      </c>
      <c r="AT17" s="2" t="s">
        <v>518</v>
      </c>
      <c r="AV17" s="2">
        <f t="array" ref="AV17">IF($A17="","",IF(INDEX($A17:$AT17,1,MAP!$B$3)=CurrentSeason,1,0))</f>
        <v>0</v>
      </c>
      <c r="AW17" s="2" t="str">
        <f t="shared" si="1"/>
        <v/>
      </c>
    </row>
    <row r="18" ht="15.0" customHeight="1">
      <c r="A18" s="2" t="s">
        <v>519</v>
      </c>
      <c r="B18" s="2">
        <v>2025.0</v>
      </c>
      <c r="C18" s="2" t="s">
        <v>390</v>
      </c>
      <c r="D18" s="2">
        <v>1.0</v>
      </c>
      <c r="E18" s="2" t="s">
        <v>418</v>
      </c>
      <c r="F18" s="2" t="s">
        <v>419</v>
      </c>
      <c r="G18" s="2" t="s">
        <v>520</v>
      </c>
      <c r="H18" s="2" t="s">
        <v>202</v>
      </c>
      <c r="I18" s="2">
        <v>13.0</v>
      </c>
      <c r="J18" s="2" t="s">
        <v>205</v>
      </c>
      <c r="K18" s="2">
        <v>27.0</v>
      </c>
      <c r="L18" s="2" t="s">
        <v>77</v>
      </c>
      <c r="M18" s="2">
        <v>14.0</v>
      </c>
      <c r="N18" s="2">
        <v>40.0</v>
      </c>
      <c r="O18" s="2">
        <v>0.0</v>
      </c>
      <c r="P18" s="2">
        <v>2.02509071E9</v>
      </c>
      <c r="Q18" s="2">
        <v>59855.0</v>
      </c>
      <c r="S18" s="2" t="s">
        <v>521</v>
      </c>
      <c r="T18" s="2">
        <v>28430.0</v>
      </c>
      <c r="U18" s="2">
        <v>4.01772722E8</v>
      </c>
      <c r="V18" s="2">
        <v>6746.0</v>
      </c>
      <c r="W18" s="2">
        <v>7.0</v>
      </c>
      <c r="X18" s="2">
        <v>7.0</v>
      </c>
      <c r="Y18" s="2">
        <v>100.0</v>
      </c>
      <c r="Z18" s="2">
        <v>-120.0</v>
      </c>
      <c r="AA18" s="2">
        <v>1.5</v>
      </c>
      <c r="AB18" s="2">
        <v>-115.0</v>
      </c>
      <c r="AC18" s="2">
        <v>-105.0</v>
      </c>
      <c r="AD18" s="2">
        <v>48.5</v>
      </c>
      <c r="AE18" s="2">
        <v>-115.0</v>
      </c>
      <c r="AF18" s="2">
        <v>-105.0</v>
      </c>
      <c r="AG18" s="2">
        <v>1.0</v>
      </c>
      <c r="AH18" s="2" t="s">
        <v>395</v>
      </c>
      <c r="AI18" s="2" t="s">
        <v>396</v>
      </c>
      <c r="AJ18" s="2">
        <v>60.0</v>
      </c>
      <c r="AK18" s="2">
        <v>5.0</v>
      </c>
      <c r="AL18" s="2" t="s">
        <v>522</v>
      </c>
      <c r="AM18" s="2" t="s">
        <v>523</v>
      </c>
      <c r="AN18" s="2" t="s">
        <v>203</v>
      </c>
      <c r="AO18" s="2" t="s">
        <v>206</v>
      </c>
      <c r="AP18" s="2" t="s">
        <v>524</v>
      </c>
      <c r="AQ18" s="2" t="s">
        <v>525</v>
      </c>
      <c r="AR18" s="2" t="s">
        <v>526</v>
      </c>
      <c r="AS18" s="2" t="s">
        <v>527</v>
      </c>
      <c r="AT18" s="2" t="s">
        <v>528</v>
      </c>
      <c r="AV18" s="2">
        <f t="array" ref="AV18">IF($A18="","",IF(INDEX($A18:$AT18,1,MAP!$B$3)=CurrentSeason,1,0))</f>
        <v>0</v>
      </c>
      <c r="AW18" s="2" t="str">
        <f t="shared" si="1"/>
        <v/>
      </c>
    </row>
    <row r="19" ht="15.0" customHeight="1">
      <c r="A19" s="2" t="s">
        <v>529</v>
      </c>
      <c r="B19" s="2">
        <v>2025.0</v>
      </c>
      <c r="C19" s="2" t="s">
        <v>390</v>
      </c>
      <c r="D19" s="2">
        <v>1.0</v>
      </c>
      <c r="E19" s="2" t="s">
        <v>418</v>
      </c>
      <c r="F19" s="2" t="s">
        <v>419</v>
      </c>
      <c r="G19" s="2" t="s">
        <v>520</v>
      </c>
      <c r="H19" s="2" t="s">
        <v>140</v>
      </c>
      <c r="I19" s="2">
        <v>9.0</v>
      </c>
      <c r="J19" s="2" t="s">
        <v>142</v>
      </c>
      <c r="K19" s="2">
        <v>14.0</v>
      </c>
      <c r="L19" s="2" t="s">
        <v>77</v>
      </c>
      <c r="M19" s="2">
        <v>5.0</v>
      </c>
      <c r="N19" s="2">
        <v>23.0</v>
      </c>
      <c r="O19" s="2">
        <v>0.0</v>
      </c>
      <c r="P19" s="2">
        <v>2.025090711E9</v>
      </c>
      <c r="Q19" s="2">
        <v>59856.0</v>
      </c>
      <c r="S19" s="2" t="s">
        <v>530</v>
      </c>
      <c r="T19" s="2">
        <v>28431.0</v>
      </c>
      <c r="U19" s="2">
        <v>4.01772723E8</v>
      </c>
      <c r="V19" s="2">
        <v>6747.0</v>
      </c>
      <c r="W19" s="2">
        <v>7.0</v>
      </c>
      <c r="X19" s="2">
        <v>7.0</v>
      </c>
      <c r="Y19" s="2">
        <v>140.0</v>
      </c>
      <c r="Z19" s="2">
        <v>-166.0</v>
      </c>
      <c r="AA19" s="2">
        <v>3.5</v>
      </c>
      <c r="AB19" s="2">
        <v>-118.0</v>
      </c>
      <c r="AC19" s="2">
        <v>-102.0</v>
      </c>
      <c r="AD19" s="2">
        <v>43.5</v>
      </c>
      <c r="AE19" s="2">
        <v>-115.0</v>
      </c>
      <c r="AF19" s="2">
        <v>-105.0</v>
      </c>
      <c r="AG19" s="2">
        <v>0.0</v>
      </c>
      <c r="AH19" s="2" t="s">
        <v>409</v>
      </c>
      <c r="AI19" s="2" t="s">
        <v>531</v>
      </c>
      <c r="AL19" s="2" t="s">
        <v>532</v>
      </c>
      <c r="AM19" s="2" t="s">
        <v>533</v>
      </c>
      <c r="AN19" s="2" t="s">
        <v>208</v>
      </c>
      <c r="AO19" s="2" t="s">
        <v>218</v>
      </c>
      <c r="AP19" s="2" t="s">
        <v>534</v>
      </c>
      <c r="AQ19" s="2" t="s">
        <v>535</v>
      </c>
      <c r="AR19" s="2" t="s">
        <v>536</v>
      </c>
      <c r="AS19" s="2" t="s">
        <v>415</v>
      </c>
      <c r="AT19" s="2" t="s">
        <v>416</v>
      </c>
      <c r="AV19" s="2">
        <f t="array" ref="AV19">IF($A19="","",IF(INDEX($A19:$AT19,1,MAP!$B$3)=CurrentSeason,1,0))</f>
        <v>0</v>
      </c>
      <c r="AW19" s="2" t="str">
        <f t="shared" si="1"/>
        <v/>
      </c>
    </row>
    <row r="20" ht="15.0" customHeight="1">
      <c r="A20" s="2" t="s">
        <v>537</v>
      </c>
      <c r="B20" s="2">
        <v>2025.0</v>
      </c>
      <c r="C20" s="2" t="s">
        <v>390</v>
      </c>
      <c r="D20" s="2">
        <v>1.0</v>
      </c>
      <c r="E20" s="2" t="s">
        <v>418</v>
      </c>
      <c r="F20" s="2" t="s">
        <v>419</v>
      </c>
      <c r="G20" s="2" t="s">
        <v>393</v>
      </c>
      <c r="H20" s="2" t="s">
        <v>148</v>
      </c>
      <c r="I20" s="2">
        <v>40.0</v>
      </c>
      <c r="J20" s="2" t="s">
        <v>136</v>
      </c>
      <c r="K20" s="2">
        <v>41.0</v>
      </c>
      <c r="L20" s="2" t="s">
        <v>77</v>
      </c>
      <c r="M20" s="2">
        <v>1.0</v>
      </c>
      <c r="N20" s="2">
        <v>81.0</v>
      </c>
      <c r="O20" s="2">
        <v>0.0</v>
      </c>
      <c r="P20" s="2">
        <v>2.025090712E9</v>
      </c>
      <c r="Q20" s="2">
        <v>59857.0</v>
      </c>
      <c r="S20" s="2" t="s">
        <v>538</v>
      </c>
      <c r="T20" s="2">
        <v>28432.0</v>
      </c>
      <c r="U20" s="2">
        <v>4.01772918E8</v>
      </c>
      <c r="V20" s="2">
        <v>6748.0</v>
      </c>
      <c r="W20" s="2">
        <v>7.0</v>
      </c>
      <c r="X20" s="2">
        <v>7.0</v>
      </c>
      <c r="Y20" s="2">
        <v>-130.0</v>
      </c>
      <c r="Z20" s="2">
        <v>110.0</v>
      </c>
      <c r="AA20" s="2">
        <v>-1.5</v>
      </c>
      <c r="AB20" s="2">
        <v>-118.0</v>
      </c>
      <c r="AC20" s="2">
        <v>-102.0</v>
      </c>
      <c r="AD20" s="2">
        <v>50.5</v>
      </c>
      <c r="AE20" s="2">
        <v>-105.0</v>
      </c>
      <c r="AF20" s="2">
        <v>-115.0</v>
      </c>
      <c r="AG20" s="2">
        <v>0.0</v>
      </c>
      <c r="AH20" s="2" t="s">
        <v>395</v>
      </c>
      <c r="AI20" s="2" t="s">
        <v>539</v>
      </c>
      <c r="AJ20" s="2">
        <v>58.0</v>
      </c>
      <c r="AK20" s="2">
        <v>8.0</v>
      </c>
      <c r="AL20" s="2" t="s">
        <v>540</v>
      </c>
      <c r="AM20" s="2" t="s">
        <v>541</v>
      </c>
      <c r="AN20" s="2" t="s">
        <v>184</v>
      </c>
      <c r="AO20" s="2" t="s">
        <v>187</v>
      </c>
      <c r="AP20" s="2" t="s">
        <v>542</v>
      </c>
      <c r="AQ20" s="2" t="s">
        <v>543</v>
      </c>
      <c r="AR20" s="2" t="s">
        <v>544</v>
      </c>
      <c r="AS20" s="2" t="s">
        <v>545</v>
      </c>
      <c r="AT20" s="2" t="s">
        <v>546</v>
      </c>
      <c r="AV20" s="2">
        <f t="array" ref="AV20">IF($A20="","",IF(INDEX($A20:$AT20,1,MAP!$B$3)=CurrentSeason,1,0))</f>
        <v>0</v>
      </c>
      <c r="AW20" s="2" t="str">
        <f t="shared" si="1"/>
        <v/>
      </c>
    </row>
    <row r="21" ht="15.0" customHeight="1">
      <c r="A21" s="2" t="s">
        <v>547</v>
      </c>
      <c r="B21" s="2">
        <v>2025.0</v>
      </c>
      <c r="C21" s="2" t="s">
        <v>390</v>
      </c>
      <c r="D21" s="2">
        <v>1.0</v>
      </c>
      <c r="E21" s="2" t="s">
        <v>548</v>
      </c>
      <c r="F21" s="2" t="s">
        <v>549</v>
      </c>
      <c r="G21" s="2" t="s">
        <v>550</v>
      </c>
      <c r="H21" s="2" t="s">
        <v>144</v>
      </c>
      <c r="I21" s="2">
        <v>27.0</v>
      </c>
      <c r="J21" s="2" t="s">
        <v>137</v>
      </c>
      <c r="K21" s="2">
        <v>24.0</v>
      </c>
      <c r="L21" s="2" t="s">
        <v>77</v>
      </c>
      <c r="M21" s="2">
        <v>-3.0</v>
      </c>
      <c r="N21" s="2">
        <v>51.0</v>
      </c>
      <c r="O21" s="2">
        <v>0.0</v>
      </c>
      <c r="P21" s="2">
        <v>2.0250908E9</v>
      </c>
      <c r="Q21" s="2">
        <v>59858.0</v>
      </c>
      <c r="S21" s="2" t="s">
        <v>551</v>
      </c>
      <c r="T21" s="2">
        <v>28433.0</v>
      </c>
      <c r="U21" s="2">
        <v>4.0177281E8</v>
      </c>
      <c r="V21" s="2">
        <v>6749.0</v>
      </c>
      <c r="W21" s="2">
        <v>7.0</v>
      </c>
      <c r="X21" s="2">
        <v>7.0</v>
      </c>
      <c r="Y21" s="2">
        <v>-112.0</v>
      </c>
      <c r="Z21" s="2">
        <v>-108.0</v>
      </c>
      <c r="AA21" s="2">
        <v>-1.5</v>
      </c>
      <c r="AB21" s="2">
        <v>100.0</v>
      </c>
      <c r="AC21" s="2">
        <v>-120.0</v>
      </c>
      <c r="AD21" s="2">
        <v>43.5</v>
      </c>
      <c r="AE21" s="2">
        <v>-112.0</v>
      </c>
      <c r="AF21" s="2">
        <v>-108.0</v>
      </c>
      <c r="AG21" s="2">
        <v>1.0</v>
      </c>
      <c r="AH21" s="2" t="s">
        <v>395</v>
      </c>
      <c r="AI21" s="2" t="s">
        <v>396</v>
      </c>
      <c r="AJ21" s="2">
        <v>68.0</v>
      </c>
      <c r="AK21" s="2">
        <v>6.0</v>
      </c>
      <c r="AL21" s="2" t="s">
        <v>552</v>
      </c>
      <c r="AM21" s="2" t="s">
        <v>553</v>
      </c>
      <c r="AN21" s="2" t="s">
        <v>554</v>
      </c>
      <c r="AO21" s="2" t="s">
        <v>192</v>
      </c>
      <c r="AP21" s="2" t="s">
        <v>555</v>
      </c>
      <c r="AQ21" s="2" t="s">
        <v>556</v>
      </c>
      <c r="AR21" s="2" t="s">
        <v>557</v>
      </c>
      <c r="AS21" s="2" t="s">
        <v>558</v>
      </c>
      <c r="AT21" s="2" t="s">
        <v>559</v>
      </c>
      <c r="AV21" s="2">
        <f t="array" ref="AV21">IF($A21="","",IF(INDEX($A21:$AT21,1,MAP!$B$3)=CurrentSeason,1,0))</f>
        <v>0</v>
      </c>
      <c r="AW21" s="2" t="str">
        <f t="shared" si="1"/>
        <v/>
      </c>
    </row>
    <row r="22" ht="15.0" customHeight="1">
      <c r="A22" s="2" t="s">
        <v>560</v>
      </c>
      <c r="B22" s="2">
        <v>2025.0</v>
      </c>
      <c r="C22" s="2" t="s">
        <v>390</v>
      </c>
      <c r="D22" s="2">
        <v>2.0</v>
      </c>
      <c r="E22" s="2" t="s">
        <v>561</v>
      </c>
      <c r="F22" s="2" t="s">
        <v>392</v>
      </c>
      <c r="G22" s="2" t="s">
        <v>550</v>
      </c>
      <c r="H22" s="2" t="s">
        <v>253</v>
      </c>
      <c r="I22" s="2">
        <v>18.0</v>
      </c>
      <c r="J22" s="2" t="s">
        <v>205</v>
      </c>
      <c r="K22" s="2">
        <v>27.0</v>
      </c>
      <c r="L22" s="2" t="s">
        <v>77</v>
      </c>
      <c r="M22" s="2">
        <v>9.0</v>
      </c>
      <c r="N22" s="2">
        <v>45.0</v>
      </c>
      <c r="O22" s="2">
        <v>0.0</v>
      </c>
      <c r="P22" s="2">
        <v>2.0250911E9</v>
      </c>
      <c r="Q22" s="2">
        <v>59859.0</v>
      </c>
      <c r="S22" s="2" t="s">
        <v>562</v>
      </c>
      <c r="T22" s="2">
        <v>28434.0</v>
      </c>
      <c r="U22" s="2">
        <v>4.01772936E8</v>
      </c>
      <c r="V22" s="2">
        <v>6750.0</v>
      </c>
      <c r="W22" s="2">
        <v>4.0</v>
      </c>
      <c r="X22" s="2">
        <v>4.0</v>
      </c>
      <c r="Y22" s="2">
        <v>154.0</v>
      </c>
      <c r="Z22" s="2">
        <v>-185.0</v>
      </c>
      <c r="AA22" s="2">
        <v>3.5</v>
      </c>
      <c r="AB22" s="2">
        <v>-118.0</v>
      </c>
      <c r="AC22" s="2">
        <v>-102.0</v>
      </c>
      <c r="AD22" s="2">
        <v>48.5</v>
      </c>
      <c r="AE22" s="2">
        <v>-105.0</v>
      </c>
      <c r="AF22" s="2">
        <v>-115.0</v>
      </c>
      <c r="AG22" s="2">
        <v>0.0</v>
      </c>
      <c r="AH22" s="2" t="s">
        <v>395</v>
      </c>
      <c r="AI22" s="2" t="s">
        <v>396</v>
      </c>
      <c r="AJ22" s="2">
        <v>65.0</v>
      </c>
      <c r="AK22" s="2">
        <v>7.0</v>
      </c>
      <c r="AL22" s="2" t="s">
        <v>493</v>
      </c>
      <c r="AM22" s="2" t="s">
        <v>523</v>
      </c>
      <c r="AN22" s="2" t="s">
        <v>254</v>
      </c>
      <c r="AO22" s="2" t="s">
        <v>206</v>
      </c>
      <c r="AP22" s="2" t="s">
        <v>496</v>
      </c>
      <c r="AQ22" s="2" t="s">
        <v>525</v>
      </c>
      <c r="AR22" s="2" t="s">
        <v>563</v>
      </c>
      <c r="AS22" s="2" t="s">
        <v>527</v>
      </c>
      <c r="AT22" s="2" t="s">
        <v>528</v>
      </c>
      <c r="AV22" s="2">
        <f t="array" ref="AV22">IF($A22="","",IF(INDEX($A22:$AT22,1,MAP!$B$3)=CurrentSeason,1,0))</f>
        <v>0</v>
      </c>
      <c r="AW22" s="2" t="str">
        <f t="shared" si="1"/>
        <v/>
      </c>
    </row>
    <row r="23" ht="15.0" customHeight="1">
      <c r="A23" s="2" t="s">
        <v>564</v>
      </c>
      <c r="B23" s="2">
        <v>2025.0</v>
      </c>
      <c r="C23" s="2" t="s">
        <v>390</v>
      </c>
      <c r="D23" s="2">
        <v>2.0</v>
      </c>
      <c r="E23" s="2" t="s">
        <v>565</v>
      </c>
      <c r="F23" s="2" t="s">
        <v>419</v>
      </c>
      <c r="G23" s="2" t="s">
        <v>420</v>
      </c>
      <c r="H23" s="2" t="s">
        <v>196</v>
      </c>
      <c r="I23" s="2">
        <v>17.0</v>
      </c>
      <c r="J23" s="2" t="s">
        <v>148</v>
      </c>
      <c r="K23" s="2">
        <v>41.0</v>
      </c>
      <c r="L23" s="2" t="s">
        <v>77</v>
      </c>
      <c r="M23" s="2">
        <v>24.0</v>
      </c>
      <c r="N23" s="2">
        <v>58.0</v>
      </c>
      <c r="O23" s="2">
        <v>0.0</v>
      </c>
      <c r="P23" s="2">
        <v>2.0250914E9</v>
      </c>
      <c r="Q23" s="2">
        <v>59860.0</v>
      </c>
      <c r="S23" s="2" t="s">
        <v>566</v>
      </c>
      <c r="T23" s="2">
        <v>28435.0</v>
      </c>
      <c r="U23" s="2">
        <v>4.01772726E8</v>
      </c>
      <c r="V23" s="2">
        <v>6751.0</v>
      </c>
      <c r="W23" s="2">
        <v>7.0</v>
      </c>
      <c r="X23" s="2">
        <v>7.0</v>
      </c>
      <c r="Y23" s="2">
        <v>600.0</v>
      </c>
      <c r="Z23" s="2">
        <v>-900.0</v>
      </c>
      <c r="AA23" s="2">
        <v>12.5</v>
      </c>
      <c r="AB23" s="2">
        <v>-105.0</v>
      </c>
      <c r="AC23" s="2">
        <v>-115.0</v>
      </c>
      <c r="AD23" s="2">
        <v>46.5</v>
      </c>
      <c r="AE23" s="2">
        <v>-110.0</v>
      </c>
      <c r="AF23" s="2">
        <v>-110.0</v>
      </c>
      <c r="AG23" s="2">
        <v>1.0</v>
      </c>
      <c r="AH23" s="2" t="s">
        <v>395</v>
      </c>
      <c r="AI23" s="2" t="s">
        <v>396</v>
      </c>
      <c r="AJ23" s="2">
        <v>82.0</v>
      </c>
      <c r="AK23" s="2">
        <v>3.0</v>
      </c>
      <c r="AL23" s="2" t="s">
        <v>435</v>
      </c>
      <c r="AM23" s="2" t="s">
        <v>540</v>
      </c>
      <c r="AN23" s="2" t="s">
        <v>436</v>
      </c>
      <c r="AO23" s="2" t="s">
        <v>184</v>
      </c>
      <c r="AP23" s="2" t="s">
        <v>438</v>
      </c>
      <c r="AQ23" s="2" t="s">
        <v>542</v>
      </c>
      <c r="AR23" s="2" t="s">
        <v>448</v>
      </c>
      <c r="AS23" s="2" t="s">
        <v>567</v>
      </c>
      <c r="AT23" s="2" t="s">
        <v>568</v>
      </c>
      <c r="AV23" s="2">
        <f t="array" ref="AV23">IF($A23="","",IF(INDEX($A23:$AT23,1,MAP!$B$3)=CurrentSeason,1,0))</f>
        <v>0</v>
      </c>
      <c r="AW23" s="2" t="str">
        <f t="shared" si="1"/>
        <v/>
      </c>
    </row>
    <row r="24" ht="15.0" customHeight="1">
      <c r="A24" s="2" t="s">
        <v>569</v>
      </c>
      <c r="B24" s="2">
        <v>2025.0</v>
      </c>
      <c r="C24" s="2" t="s">
        <v>390</v>
      </c>
      <c r="D24" s="2">
        <v>2.0</v>
      </c>
      <c r="E24" s="2" t="s">
        <v>565</v>
      </c>
      <c r="F24" s="2" t="s">
        <v>419</v>
      </c>
      <c r="G24" s="2" t="s">
        <v>420</v>
      </c>
      <c r="H24" s="2" t="s">
        <v>141</v>
      </c>
      <c r="I24" s="2">
        <v>27.0</v>
      </c>
      <c r="J24" s="2" t="s">
        <v>138</v>
      </c>
      <c r="K24" s="2">
        <v>31.0</v>
      </c>
      <c r="L24" s="2" t="s">
        <v>77</v>
      </c>
      <c r="M24" s="2">
        <v>4.0</v>
      </c>
      <c r="N24" s="2">
        <v>58.0</v>
      </c>
      <c r="O24" s="2">
        <v>0.0</v>
      </c>
      <c r="P24" s="2">
        <v>2.025091401E9</v>
      </c>
      <c r="Q24" s="2">
        <v>59861.0</v>
      </c>
      <c r="S24" s="2" t="s">
        <v>570</v>
      </c>
      <c r="T24" s="2">
        <v>28436.0</v>
      </c>
      <c r="U24" s="2">
        <v>4.01772725E8</v>
      </c>
      <c r="V24" s="2">
        <v>6752.0</v>
      </c>
      <c r="W24" s="2">
        <v>7.0</v>
      </c>
      <c r="X24" s="2">
        <v>7.0</v>
      </c>
      <c r="Y24" s="2">
        <v>160.0</v>
      </c>
      <c r="Z24" s="2">
        <v>-192.0</v>
      </c>
      <c r="AA24" s="2">
        <v>3.5</v>
      </c>
      <c r="AB24" s="2">
        <v>-115.0</v>
      </c>
      <c r="AC24" s="2">
        <v>-105.0</v>
      </c>
      <c r="AD24" s="2">
        <v>49.5</v>
      </c>
      <c r="AE24" s="2">
        <v>-115.0</v>
      </c>
      <c r="AF24" s="2">
        <v>-105.0</v>
      </c>
      <c r="AG24" s="2">
        <v>0.0</v>
      </c>
      <c r="AH24" s="2" t="s">
        <v>395</v>
      </c>
      <c r="AI24" s="2" t="s">
        <v>423</v>
      </c>
      <c r="AJ24" s="2">
        <v>85.0</v>
      </c>
      <c r="AK24" s="2">
        <v>3.0</v>
      </c>
      <c r="AL24" s="2" t="s">
        <v>454</v>
      </c>
      <c r="AM24" s="2" t="s">
        <v>434</v>
      </c>
      <c r="AN24" s="2" t="s">
        <v>214</v>
      </c>
      <c r="AO24" s="2" t="s">
        <v>194</v>
      </c>
      <c r="AP24" s="2" t="s">
        <v>456</v>
      </c>
      <c r="AQ24" s="2" t="s">
        <v>437</v>
      </c>
      <c r="AR24" s="2" t="s">
        <v>557</v>
      </c>
      <c r="AS24" s="2" t="s">
        <v>571</v>
      </c>
      <c r="AT24" s="2" t="s">
        <v>572</v>
      </c>
      <c r="AV24" s="2">
        <f t="array" ref="AV24">IF($A24="","",IF(INDEX($A24:$AT24,1,MAP!$B$3)=CurrentSeason,1,0))</f>
        <v>0</v>
      </c>
      <c r="AW24" s="2" t="str">
        <f t="shared" si="1"/>
        <v/>
      </c>
    </row>
    <row r="25" ht="15.0" customHeight="1">
      <c r="A25" s="2" t="s">
        <v>573</v>
      </c>
      <c r="B25" s="2">
        <v>2025.0</v>
      </c>
      <c r="C25" s="2" t="s">
        <v>390</v>
      </c>
      <c r="D25" s="2">
        <v>2.0</v>
      </c>
      <c r="E25" s="2" t="s">
        <v>565</v>
      </c>
      <c r="F25" s="2" t="s">
        <v>419</v>
      </c>
      <c r="G25" s="2" t="s">
        <v>420</v>
      </c>
      <c r="H25" s="2" t="s">
        <v>235</v>
      </c>
      <c r="I25" s="2">
        <v>37.0</v>
      </c>
      <c r="J25" s="2" t="s">
        <v>146</v>
      </c>
      <c r="K25" s="2">
        <v>40.0</v>
      </c>
      <c r="L25" s="2" t="s">
        <v>77</v>
      </c>
      <c r="M25" s="2">
        <v>3.0</v>
      </c>
      <c r="N25" s="2">
        <v>77.0</v>
      </c>
      <c r="O25" s="2">
        <v>1.0</v>
      </c>
      <c r="P25" s="2">
        <v>2.025091402E9</v>
      </c>
      <c r="Q25" s="2">
        <v>59862.0</v>
      </c>
      <c r="S25" s="2" t="s">
        <v>574</v>
      </c>
      <c r="T25" s="2">
        <v>28437.0</v>
      </c>
      <c r="U25" s="2">
        <v>4.01772834E8</v>
      </c>
      <c r="V25" s="2">
        <v>6753.0</v>
      </c>
      <c r="W25" s="2">
        <v>7.0</v>
      </c>
      <c r="X25" s="2">
        <v>10.0</v>
      </c>
      <c r="Y25" s="2">
        <v>195.0</v>
      </c>
      <c r="Z25" s="2">
        <v>-238.0</v>
      </c>
      <c r="AA25" s="2">
        <v>4.5</v>
      </c>
      <c r="AB25" s="2">
        <v>100.0</v>
      </c>
      <c r="AC25" s="2">
        <v>-120.0</v>
      </c>
      <c r="AD25" s="2">
        <v>44.5</v>
      </c>
      <c r="AE25" s="2">
        <v>-110.0</v>
      </c>
      <c r="AF25" s="2">
        <v>-110.0</v>
      </c>
      <c r="AG25" s="2">
        <v>1.0</v>
      </c>
      <c r="AH25" s="2" t="s">
        <v>422</v>
      </c>
      <c r="AI25" s="2" t="s">
        <v>531</v>
      </c>
      <c r="AL25" s="2" t="s">
        <v>492</v>
      </c>
      <c r="AM25" s="2" t="s">
        <v>397</v>
      </c>
      <c r="AN25" s="2" t="s">
        <v>494</v>
      </c>
      <c r="AO25" s="2" t="s">
        <v>199</v>
      </c>
      <c r="AP25" s="2" t="s">
        <v>495</v>
      </c>
      <c r="AQ25" s="2" t="s">
        <v>399</v>
      </c>
      <c r="AR25" s="2" t="s">
        <v>487</v>
      </c>
      <c r="AS25" s="2" t="s">
        <v>575</v>
      </c>
      <c r="AT25" s="2" t="s">
        <v>576</v>
      </c>
      <c r="AV25" s="2">
        <f t="array" ref="AV25">IF($A25="","",IF(INDEX($A25:$AT25,1,MAP!$B$3)=CurrentSeason,1,0))</f>
        <v>0</v>
      </c>
      <c r="AW25" s="2" t="str">
        <f t="shared" si="1"/>
        <v/>
      </c>
    </row>
    <row r="26" ht="15.0" customHeight="1">
      <c r="A26" s="2" t="s">
        <v>577</v>
      </c>
      <c r="B26" s="2">
        <v>2025.0</v>
      </c>
      <c r="C26" s="2" t="s">
        <v>390</v>
      </c>
      <c r="D26" s="2">
        <v>2.0</v>
      </c>
      <c r="E26" s="2" t="s">
        <v>565</v>
      </c>
      <c r="F26" s="2" t="s">
        <v>419</v>
      </c>
      <c r="G26" s="2" t="s">
        <v>420</v>
      </c>
      <c r="H26" s="2" t="s">
        <v>137</v>
      </c>
      <c r="I26" s="2">
        <v>21.0</v>
      </c>
      <c r="J26" s="2" t="s">
        <v>202</v>
      </c>
      <c r="K26" s="2">
        <v>52.0</v>
      </c>
      <c r="L26" s="2" t="s">
        <v>77</v>
      </c>
      <c r="M26" s="2">
        <v>31.0</v>
      </c>
      <c r="N26" s="2">
        <v>73.0</v>
      </c>
      <c r="O26" s="2">
        <v>0.0</v>
      </c>
      <c r="P26" s="2">
        <v>2.025091403E9</v>
      </c>
      <c r="Q26" s="2">
        <v>59863.0</v>
      </c>
      <c r="S26" s="2" t="s">
        <v>578</v>
      </c>
      <c r="T26" s="2">
        <v>28438.0</v>
      </c>
      <c r="U26" s="2">
        <v>4.01772835E8</v>
      </c>
      <c r="V26" s="2">
        <v>6754.0</v>
      </c>
      <c r="W26" s="2">
        <v>6.0</v>
      </c>
      <c r="X26" s="2">
        <v>7.0</v>
      </c>
      <c r="Y26" s="2">
        <v>220.0</v>
      </c>
      <c r="Z26" s="2">
        <v>-270.0</v>
      </c>
      <c r="AA26" s="2">
        <v>6.0</v>
      </c>
      <c r="AB26" s="2">
        <v>-110.0</v>
      </c>
      <c r="AC26" s="2">
        <v>-110.0</v>
      </c>
      <c r="AD26" s="2">
        <v>46.5</v>
      </c>
      <c r="AE26" s="2">
        <v>-112.0</v>
      </c>
      <c r="AF26" s="2">
        <v>-108.0</v>
      </c>
      <c r="AG26" s="2">
        <v>1.0</v>
      </c>
      <c r="AH26" s="2" t="s">
        <v>409</v>
      </c>
      <c r="AI26" s="2" t="s">
        <v>423</v>
      </c>
      <c r="AL26" s="2" t="s">
        <v>553</v>
      </c>
      <c r="AM26" s="2" t="s">
        <v>522</v>
      </c>
      <c r="AN26" s="2" t="s">
        <v>192</v>
      </c>
      <c r="AO26" s="2" t="s">
        <v>203</v>
      </c>
      <c r="AP26" s="2" t="s">
        <v>556</v>
      </c>
      <c r="AQ26" s="2" t="s">
        <v>524</v>
      </c>
      <c r="AR26" s="2" t="s">
        <v>429</v>
      </c>
      <c r="AS26" s="2" t="s">
        <v>579</v>
      </c>
      <c r="AT26" s="2" t="s">
        <v>580</v>
      </c>
      <c r="AV26" s="2">
        <f t="array" ref="AV26">IF($A26="","",IF(INDEX($A26:$AT26,1,MAP!$B$3)=CurrentSeason,1,0))</f>
        <v>0</v>
      </c>
      <c r="AW26" s="2" t="str">
        <f t="shared" si="1"/>
        <v/>
      </c>
    </row>
    <row r="27" ht="15.0" customHeight="1">
      <c r="A27" s="2" t="s">
        <v>581</v>
      </c>
      <c r="B27" s="2">
        <v>2025.0</v>
      </c>
      <c r="C27" s="2" t="s">
        <v>390</v>
      </c>
      <c r="D27" s="2">
        <v>2.0</v>
      </c>
      <c r="E27" s="2" t="s">
        <v>565</v>
      </c>
      <c r="F27" s="2" t="s">
        <v>419</v>
      </c>
      <c r="G27" s="2" t="s">
        <v>420</v>
      </c>
      <c r="H27" s="2" t="s">
        <v>145</v>
      </c>
      <c r="I27" s="2">
        <v>33.0</v>
      </c>
      <c r="J27" s="2" t="s">
        <v>225</v>
      </c>
      <c r="K27" s="2">
        <v>27.0</v>
      </c>
      <c r="L27" s="2" t="s">
        <v>77</v>
      </c>
      <c r="M27" s="2">
        <v>-6.0</v>
      </c>
      <c r="N27" s="2">
        <v>60.0</v>
      </c>
      <c r="O27" s="2">
        <v>0.0</v>
      </c>
      <c r="P27" s="2">
        <v>2.025091404E9</v>
      </c>
      <c r="Q27" s="2">
        <v>59864.0</v>
      </c>
      <c r="S27" s="2" t="s">
        <v>582</v>
      </c>
      <c r="T27" s="2">
        <v>28439.0</v>
      </c>
      <c r="U27" s="2">
        <v>4.01772728E8</v>
      </c>
      <c r="V27" s="2">
        <v>6755.0</v>
      </c>
      <c r="W27" s="2">
        <v>7.0</v>
      </c>
      <c r="X27" s="2">
        <v>7.0</v>
      </c>
      <c r="Y27" s="2">
        <v>105.0</v>
      </c>
      <c r="Z27" s="2">
        <v>-125.0</v>
      </c>
      <c r="AA27" s="2">
        <v>1.5</v>
      </c>
      <c r="AB27" s="2">
        <v>-110.0</v>
      </c>
      <c r="AC27" s="2">
        <v>-110.0</v>
      </c>
      <c r="AD27" s="2">
        <v>43.5</v>
      </c>
      <c r="AE27" s="2">
        <v>-115.0</v>
      </c>
      <c r="AF27" s="2">
        <v>-105.0</v>
      </c>
      <c r="AG27" s="2">
        <v>1.0</v>
      </c>
      <c r="AH27" s="2" t="s">
        <v>395</v>
      </c>
      <c r="AI27" s="2" t="s">
        <v>396</v>
      </c>
      <c r="AJ27" s="2">
        <v>89.0</v>
      </c>
      <c r="AK27" s="2">
        <v>4.0</v>
      </c>
      <c r="AL27" s="2" t="s">
        <v>463</v>
      </c>
      <c r="AM27" s="2" t="s">
        <v>444</v>
      </c>
      <c r="AN27" s="2" t="s">
        <v>230</v>
      </c>
      <c r="AO27" s="2" t="s">
        <v>182</v>
      </c>
      <c r="AP27" s="2" t="s">
        <v>465</v>
      </c>
      <c r="AQ27" s="2" t="s">
        <v>446</v>
      </c>
      <c r="AR27" s="2" t="s">
        <v>457</v>
      </c>
      <c r="AS27" s="2" t="s">
        <v>583</v>
      </c>
      <c r="AT27" s="2" t="s">
        <v>584</v>
      </c>
      <c r="AV27" s="2">
        <f t="array" ref="AV27">IF($A27="","",IF(INDEX($A27:$AT27,1,MAP!$B$3)=CurrentSeason,1,0))</f>
        <v>0</v>
      </c>
      <c r="AW27" s="2" t="str">
        <f t="shared" si="1"/>
        <v/>
      </c>
    </row>
    <row r="28" ht="15.0" customHeight="1">
      <c r="A28" s="2" t="s">
        <v>585</v>
      </c>
      <c r="B28" s="2">
        <v>2025.0</v>
      </c>
      <c r="C28" s="2" t="s">
        <v>390</v>
      </c>
      <c r="D28" s="2">
        <v>2.0</v>
      </c>
      <c r="E28" s="2" t="s">
        <v>565</v>
      </c>
      <c r="F28" s="2" t="s">
        <v>419</v>
      </c>
      <c r="G28" s="2" t="s">
        <v>420</v>
      </c>
      <c r="H28" s="2" t="s">
        <v>246</v>
      </c>
      <c r="I28" s="2">
        <v>26.0</v>
      </c>
      <c r="J28" s="2" t="s">
        <v>232</v>
      </c>
      <c r="K28" s="2">
        <v>21.0</v>
      </c>
      <c r="L28" s="2" t="s">
        <v>77</v>
      </c>
      <c r="M28" s="2">
        <v>-5.0</v>
      </c>
      <c r="N28" s="2">
        <v>47.0</v>
      </c>
      <c r="O28" s="2">
        <v>0.0</v>
      </c>
      <c r="P28" s="2">
        <v>2.025091405E9</v>
      </c>
      <c r="Q28" s="2">
        <v>59865.0</v>
      </c>
      <c r="S28" s="2" t="s">
        <v>586</v>
      </c>
      <c r="T28" s="2">
        <v>28440.0</v>
      </c>
      <c r="U28" s="2">
        <v>4.01772833E8</v>
      </c>
      <c r="V28" s="2">
        <v>6756.0</v>
      </c>
      <c r="W28" s="2">
        <v>7.0</v>
      </c>
      <c r="X28" s="2">
        <v>7.0</v>
      </c>
      <c r="Y28" s="2">
        <v>-166.0</v>
      </c>
      <c r="Z28" s="2">
        <v>140.0</v>
      </c>
      <c r="AA28" s="2">
        <v>-3.0</v>
      </c>
      <c r="AB28" s="2">
        <v>-110.0</v>
      </c>
      <c r="AC28" s="2">
        <v>-110.0</v>
      </c>
      <c r="AD28" s="2">
        <v>40.5</v>
      </c>
      <c r="AE28" s="2">
        <v>-105.0</v>
      </c>
      <c r="AF28" s="2">
        <v>-115.0</v>
      </c>
      <c r="AG28" s="2">
        <v>0.0</v>
      </c>
      <c r="AH28" s="2" t="s">
        <v>409</v>
      </c>
      <c r="AI28" s="2" t="s">
        <v>471</v>
      </c>
      <c r="AL28" s="2" t="s">
        <v>587</v>
      </c>
      <c r="AM28" s="2" t="s">
        <v>473</v>
      </c>
      <c r="AN28" s="2" t="s">
        <v>588</v>
      </c>
      <c r="AO28" s="2" t="s">
        <v>474</v>
      </c>
      <c r="AP28" s="2" t="s">
        <v>514</v>
      </c>
      <c r="AQ28" s="2" t="s">
        <v>476</v>
      </c>
      <c r="AR28" s="2" t="s">
        <v>401</v>
      </c>
      <c r="AS28" s="2" t="s">
        <v>478</v>
      </c>
      <c r="AT28" s="2" t="s">
        <v>479</v>
      </c>
      <c r="AV28" s="2">
        <f t="array" ref="AV28">IF($A28="","",IF(INDEX($A28:$AT28,1,MAP!$B$3)=CurrentSeason,1,0))</f>
        <v>0</v>
      </c>
      <c r="AW28" s="2" t="str">
        <f t="shared" si="1"/>
        <v/>
      </c>
    </row>
    <row r="29" ht="15.0" customHeight="1">
      <c r="A29" s="2" t="s">
        <v>589</v>
      </c>
      <c r="B29" s="2">
        <v>2025.0</v>
      </c>
      <c r="C29" s="2" t="s">
        <v>390</v>
      </c>
      <c r="D29" s="2">
        <v>2.0</v>
      </c>
      <c r="E29" s="2" t="s">
        <v>565</v>
      </c>
      <c r="F29" s="2" t="s">
        <v>419</v>
      </c>
      <c r="G29" s="2" t="s">
        <v>420</v>
      </c>
      <c r="H29" s="2" t="s">
        <v>136</v>
      </c>
      <c r="I29" s="2">
        <v>30.0</v>
      </c>
      <c r="J29" s="2" t="s">
        <v>238</v>
      </c>
      <c r="K29" s="2">
        <v>10.0</v>
      </c>
      <c r="L29" s="2" t="s">
        <v>77</v>
      </c>
      <c r="M29" s="2">
        <v>-20.0</v>
      </c>
      <c r="N29" s="2">
        <v>40.0</v>
      </c>
      <c r="O29" s="2">
        <v>0.0</v>
      </c>
      <c r="P29" s="2">
        <v>2.025091406E9</v>
      </c>
      <c r="Q29" s="2">
        <v>59866.0</v>
      </c>
      <c r="S29" s="2" t="s">
        <v>590</v>
      </c>
      <c r="T29" s="2">
        <v>28441.0</v>
      </c>
      <c r="U29" s="2">
        <v>4.01772727E8</v>
      </c>
      <c r="V29" s="2">
        <v>6757.0</v>
      </c>
      <c r="W29" s="2">
        <v>7.0</v>
      </c>
      <c r="X29" s="2">
        <v>7.0</v>
      </c>
      <c r="Y29" s="2">
        <v>-290.0</v>
      </c>
      <c r="Z29" s="2">
        <v>235.0</v>
      </c>
      <c r="AA29" s="2">
        <v>-6.0</v>
      </c>
      <c r="AB29" s="2">
        <v>-112.0</v>
      </c>
      <c r="AC29" s="2">
        <v>-108.0</v>
      </c>
      <c r="AD29" s="2">
        <v>47.5</v>
      </c>
      <c r="AE29" s="2">
        <v>-110.0</v>
      </c>
      <c r="AF29" s="2">
        <v>-110.0</v>
      </c>
      <c r="AG29" s="2">
        <v>1.0</v>
      </c>
      <c r="AH29" s="2" t="s">
        <v>395</v>
      </c>
      <c r="AI29" s="2" t="s">
        <v>423</v>
      </c>
      <c r="AJ29" s="2">
        <v>80.0</v>
      </c>
      <c r="AK29" s="2">
        <v>3.0</v>
      </c>
      <c r="AL29" s="2" t="s">
        <v>541</v>
      </c>
      <c r="AM29" s="2" t="s">
        <v>483</v>
      </c>
      <c r="AN29" s="2" t="s">
        <v>187</v>
      </c>
      <c r="AO29" s="2" t="s">
        <v>484</v>
      </c>
      <c r="AP29" s="2" t="s">
        <v>543</v>
      </c>
      <c r="AQ29" s="2" t="s">
        <v>486</v>
      </c>
      <c r="AR29" s="2" t="s">
        <v>526</v>
      </c>
      <c r="AS29" s="2" t="s">
        <v>488</v>
      </c>
      <c r="AT29" s="2" t="s">
        <v>489</v>
      </c>
      <c r="AV29" s="2">
        <f t="array" ref="AV29">IF($A29="","",IF(INDEX($A29:$AT29,1,MAP!$B$3)=CurrentSeason,1,0))</f>
        <v>0</v>
      </c>
      <c r="AW29" s="2" t="str">
        <f t="shared" si="1"/>
        <v/>
      </c>
    </row>
    <row r="30" ht="15.0" customHeight="1">
      <c r="A30" s="2" t="s">
        <v>591</v>
      </c>
      <c r="B30" s="2">
        <v>2025.0</v>
      </c>
      <c r="C30" s="2" t="s">
        <v>390</v>
      </c>
      <c r="D30" s="2">
        <v>2.0</v>
      </c>
      <c r="E30" s="2" t="s">
        <v>565</v>
      </c>
      <c r="F30" s="2" t="s">
        <v>419</v>
      </c>
      <c r="G30" s="2" t="s">
        <v>420</v>
      </c>
      <c r="H30" s="2" t="s">
        <v>149</v>
      </c>
      <c r="I30" s="2">
        <v>31.0</v>
      </c>
      <c r="J30" s="2" t="s">
        <v>242</v>
      </c>
      <c r="K30" s="2">
        <v>17.0</v>
      </c>
      <c r="L30" s="2" t="s">
        <v>77</v>
      </c>
      <c r="M30" s="2">
        <v>-14.0</v>
      </c>
      <c r="N30" s="2">
        <v>48.0</v>
      </c>
      <c r="O30" s="2">
        <v>0.0</v>
      </c>
      <c r="P30" s="2">
        <v>2.025091407E9</v>
      </c>
      <c r="Q30" s="2">
        <v>59867.0</v>
      </c>
      <c r="S30" s="2" t="s">
        <v>592</v>
      </c>
      <c r="T30" s="2">
        <v>28442.0</v>
      </c>
      <c r="U30" s="2">
        <v>4.01772836E8</v>
      </c>
      <c r="V30" s="2">
        <v>6758.0</v>
      </c>
      <c r="W30" s="2">
        <v>7.0</v>
      </c>
      <c r="X30" s="2">
        <v>7.0</v>
      </c>
      <c r="Y30" s="2">
        <v>160.0</v>
      </c>
      <c r="Z30" s="2">
        <v>-192.0</v>
      </c>
      <c r="AA30" s="2">
        <v>3.5</v>
      </c>
      <c r="AB30" s="2">
        <v>-110.0</v>
      </c>
      <c r="AC30" s="2">
        <v>-110.0</v>
      </c>
      <c r="AD30" s="2">
        <v>40.5</v>
      </c>
      <c r="AE30" s="2">
        <v>-108.0</v>
      </c>
      <c r="AF30" s="2">
        <v>-112.0</v>
      </c>
      <c r="AG30" s="2">
        <v>0.0</v>
      </c>
      <c r="AH30" s="2" t="s">
        <v>395</v>
      </c>
      <c r="AI30" s="2" t="s">
        <v>396</v>
      </c>
      <c r="AJ30" s="2">
        <v>79.0</v>
      </c>
      <c r="AK30" s="2">
        <v>5.0</v>
      </c>
      <c r="AL30" s="2" t="s">
        <v>513</v>
      </c>
      <c r="AM30" s="2" t="s">
        <v>482</v>
      </c>
      <c r="AN30" s="2" t="s">
        <v>245</v>
      </c>
      <c r="AO30" s="2" t="s">
        <v>243</v>
      </c>
      <c r="AP30" s="2" t="s">
        <v>515</v>
      </c>
      <c r="AQ30" s="2" t="s">
        <v>485</v>
      </c>
      <c r="AR30" s="2" t="s">
        <v>477</v>
      </c>
      <c r="AS30" s="2" t="s">
        <v>593</v>
      </c>
      <c r="AT30" s="2" t="s">
        <v>594</v>
      </c>
      <c r="AV30" s="2">
        <f t="array" ref="AV30">IF($A30="","",IF(INDEX($A30:$AT30,1,MAP!$B$3)=CurrentSeason,1,0))</f>
        <v>0</v>
      </c>
      <c r="AW30" s="2" t="str">
        <f t="shared" si="1"/>
        <v/>
      </c>
    </row>
    <row r="31" ht="15.0" customHeight="1">
      <c r="A31" s="2" t="s">
        <v>595</v>
      </c>
      <c r="B31" s="2">
        <v>2025.0</v>
      </c>
      <c r="C31" s="2" t="s">
        <v>390</v>
      </c>
      <c r="D31" s="2">
        <v>2.0</v>
      </c>
      <c r="E31" s="2" t="s">
        <v>565</v>
      </c>
      <c r="F31" s="2" t="s">
        <v>419</v>
      </c>
      <c r="G31" s="2" t="s">
        <v>420</v>
      </c>
      <c r="H31" s="2" t="s">
        <v>142</v>
      </c>
      <c r="I31" s="2">
        <v>33.0</v>
      </c>
      <c r="J31" s="2" t="s">
        <v>250</v>
      </c>
      <c r="K31" s="2">
        <v>19.0</v>
      </c>
      <c r="L31" s="2" t="s">
        <v>77</v>
      </c>
      <c r="M31" s="2">
        <v>-14.0</v>
      </c>
      <c r="N31" s="2">
        <v>52.0</v>
      </c>
      <c r="O31" s="2">
        <v>0.0</v>
      </c>
      <c r="P31" s="2">
        <v>2.025091408E9</v>
      </c>
      <c r="Q31" s="2">
        <v>59868.0</v>
      </c>
      <c r="S31" s="2" t="s">
        <v>596</v>
      </c>
      <c r="T31" s="2">
        <v>28443.0</v>
      </c>
      <c r="U31" s="2">
        <v>4.01772724E8</v>
      </c>
      <c r="V31" s="2">
        <v>6759.0</v>
      </c>
      <c r="W31" s="2">
        <v>7.0</v>
      </c>
      <c r="X31" s="2">
        <v>7.0</v>
      </c>
      <c r="Y31" s="2">
        <v>-250.0</v>
      </c>
      <c r="Z31" s="2">
        <v>205.0</v>
      </c>
      <c r="AA31" s="2">
        <v>-5.5</v>
      </c>
      <c r="AB31" s="2">
        <v>-108.0</v>
      </c>
      <c r="AC31" s="2">
        <v>-112.0</v>
      </c>
      <c r="AD31" s="2">
        <v>41.5</v>
      </c>
      <c r="AE31" s="2">
        <v>-112.0</v>
      </c>
      <c r="AF31" s="2">
        <v>-108.0</v>
      </c>
      <c r="AG31" s="2">
        <v>0.0</v>
      </c>
      <c r="AH31" s="2" t="s">
        <v>395</v>
      </c>
      <c r="AI31" s="2" t="s">
        <v>396</v>
      </c>
      <c r="AJ31" s="2">
        <v>83.0</v>
      </c>
      <c r="AK31" s="2">
        <v>3.0</v>
      </c>
      <c r="AL31" s="2" t="s">
        <v>533</v>
      </c>
      <c r="AM31" s="2" t="s">
        <v>503</v>
      </c>
      <c r="AN31" s="2" t="s">
        <v>218</v>
      </c>
      <c r="AO31" s="2" t="s">
        <v>251</v>
      </c>
      <c r="AP31" s="2" t="s">
        <v>535</v>
      </c>
      <c r="AQ31" s="2" t="s">
        <v>505</v>
      </c>
      <c r="AR31" s="2" t="s">
        <v>544</v>
      </c>
      <c r="AS31" s="2" t="s">
        <v>597</v>
      </c>
      <c r="AT31" s="2" t="s">
        <v>598</v>
      </c>
      <c r="AV31" s="2">
        <f t="array" ref="AV31">IF($A31="","",IF(INDEX($A31:$AT31,1,MAP!$B$3)=CurrentSeason,1,0))</f>
        <v>0</v>
      </c>
      <c r="AW31" s="2" t="str">
        <f t="shared" si="1"/>
        <v/>
      </c>
    </row>
    <row r="32" ht="15.0" customHeight="1">
      <c r="A32" s="2" t="s">
        <v>599</v>
      </c>
      <c r="B32" s="2">
        <v>2025.0</v>
      </c>
      <c r="C32" s="2" t="s">
        <v>390</v>
      </c>
      <c r="D32" s="2">
        <v>2.0</v>
      </c>
      <c r="E32" s="2" t="s">
        <v>565</v>
      </c>
      <c r="F32" s="2" t="s">
        <v>419</v>
      </c>
      <c r="G32" s="2" t="s">
        <v>501</v>
      </c>
      <c r="H32" s="2" t="s">
        <v>189</v>
      </c>
      <c r="I32" s="2">
        <v>22.0</v>
      </c>
      <c r="J32" s="2" t="s">
        <v>178</v>
      </c>
      <c r="K32" s="2">
        <v>27.0</v>
      </c>
      <c r="L32" s="2" t="s">
        <v>77</v>
      </c>
      <c r="M32" s="2">
        <v>5.0</v>
      </c>
      <c r="N32" s="2">
        <v>49.0</v>
      </c>
      <c r="O32" s="2">
        <v>0.0</v>
      </c>
      <c r="P32" s="2">
        <v>2.025091409E9</v>
      </c>
      <c r="Q32" s="2">
        <v>59869.0</v>
      </c>
      <c r="S32" s="2" t="s">
        <v>600</v>
      </c>
      <c r="T32" s="2">
        <v>28445.0</v>
      </c>
      <c r="U32" s="2">
        <v>4.0177273E8</v>
      </c>
      <c r="V32" s="2">
        <v>6760.0</v>
      </c>
      <c r="W32" s="2">
        <v>7.0</v>
      </c>
      <c r="X32" s="2">
        <v>7.0</v>
      </c>
      <c r="Y32" s="2">
        <v>250.0</v>
      </c>
      <c r="Z32" s="2">
        <v>-310.0</v>
      </c>
      <c r="AA32" s="2">
        <v>7.0</v>
      </c>
      <c r="AB32" s="2">
        <v>-110.0</v>
      </c>
      <c r="AC32" s="2">
        <v>-110.0</v>
      </c>
      <c r="AD32" s="2">
        <v>45.5</v>
      </c>
      <c r="AE32" s="2">
        <v>-110.0</v>
      </c>
      <c r="AF32" s="2">
        <v>-110.0</v>
      </c>
      <c r="AG32" s="2">
        <v>0.0</v>
      </c>
      <c r="AH32" s="2" t="s">
        <v>422</v>
      </c>
      <c r="AI32" s="2" t="s">
        <v>396</v>
      </c>
      <c r="AL32" s="2" t="s">
        <v>453</v>
      </c>
      <c r="AM32" s="2" t="s">
        <v>472</v>
      </c>
      <c r="AN32" s="2" t="s">
        <v>190</v>
      </c>
      <c r="AO32" s="2" t="s">
        <v>228</v>
      </c>
      <c r="AP32" s="2" t="s">
        <v>455</v>
      </c>
      <c r="AQ32" s="2" t="s">
        <v>475</v>
      </c>
      <c r="AR32" s="2" t="s">
        <v>466</v>
      </c>
      <c r="AS32" s="2" t="s">
        <v>601</v>
      </c>
      <c r="AT32" s="2" t="s">
        <v>602</v>
      </c>
      <c r="AV32" s="2">
        <f t="array" ref="AV32">IF($A32="","",IF(INDEX($A32:$AT32,1,MAP!$B$3)=CurrentSeason,1,0))</f>
        <v>0</v>
      </c>
      <c r="AW32" s="2" t="str">
        <f t="shared" si="1"/>
        <v/>
      </c>
    </row>
    <row r="33" ht="15.0" customHeight="1">
      <c r="A33" s="2" t="s">
        <v>603</v>
      </c>
      <c r="B33" s="2">
        <v>2025.0</v>
      </c>
      <c r="C33" s="2" t="s">
        <v>390</v>
      </c>
      <c r="D33" s="2">
        <v>2.0</v>
      </c>
      <c r="E33" s="2" t="s">
        <v>565</v>
      </c>
      <c r="F33" s="2" t="s">
        <v>419</v>
      </c>
      <c r="G33" s="2" t="s">
        <v>501</v>
      </c>
      <c r="H33" s="2" t="s">
        <v>139</v>
      </c>
      <c r="I33" s="2">
        <v>28.0</v>
      </c>
      <c r="J33" s="2" t="s">
        <v>210</v>
      </c>
      <c r="K33" s="2">
        <v>29.0</v>
      </c>
      <c r="L33" s="2" t="s">
        <v>77</v>
      </c>
      <c r="M33" s="2">
        <v>1.0</v>
      </c>
      <c r="N33" s="2">
        <v>57.0</v>
      </c>
      <c r="O33" s="2">
        <v>0.0</v>
      </c>
      <c r="P33" s="2">
        <v>2.02509141E9</v>
      </c>
      <c r="Q33" s="2">
        <v>59870.0</v>
      </c>
      <c r="S33" s="2" t="s">
        <v>604</v>
      </c>
      <c r="T33" s="2">
        <v>28444.0</v>
      </c>
      <c r="U33" s="2">
        <v>4.01772729E8</v>
      </c>
      <c r="V33" s="2">
        <v>6761.0</v>
      </c>
      <c r="W33" s="2">
        <v>7.0</v>
      </c>
      <c r="X33" s="2">
        <v>7.0</v>
      </c>
      <c r="Y33" s="2">
        <v>-130.0</v>
      </c>
      <c r="Z33" s="2">
        <v>110.0</v>
      </c>
      <c r="AA33" s="2">
        <v>-2.5</v>
      </c>
      <c r="AB33" s="2">
        <v>-105.0</v>
      </c>
      <c r="AC33" s="2">
        <v>-115.0</v>
      </c>
      <c r="AD33" s="2">
        <v>43.5</v>
      </c>
      <c r="AE33" s="2">
        <v>-112.0</v>
      </c>
      <c r="AF33" s="2">
        <v>-108.0</v>
      </c>
      <c r="AG33" s="2">
        <v>0.0</v>
      </c>
      <c r="AH33" s="2" t="s">
        <v>422</v>
      </c>
      <c r="AI33" s="2" t="s">
        <v>423</v>
      </c>
      <c r="AL33" s="2" t="s">
        <v>504</v>
      </c>
      <c r="AM33" s="2" t="s">
        <v>445</v>
      </c>
      <c r="AN33" s="2" t="s">
        <v>201</v>
      </c>
      <c r="AO33" s="2" t="s">
        <v>211</v>
      </c>
      <c r="AP33" s="2" t="s">
        <v>506</v>
      </c>
      <c r="AQ33" s="2" t="s">
        <v>447</v>
      </c>
      <c r="AR33" s="2" t="s">
        <v>536</v>
      </c>
      <c r="AS33" s="2" t="s">
        <v>449</v>
      </c>
      <c r="AT33" s="2" t="s">
        <v>450</v>
      </c>
      <c r="AV33" s="2">
        <f t="array" ref="AV33">IF($A33="","",IF(INDEX($A33:$AT33,1,MAP!$B$3)=CurrentSeason,1,0))</f>
        <v>0</v>
      </c>
      <c r="AW33" s="2" t="str">
        <f t="shared" si="1"/>
        <v/>
      </c>
    </row>
    <row r="34" ht="15.0" customHeight="1">
      <c r="A34" s="2" t="s">
        <v>605</v>
      </c>
      <c r="B34" s="2">
        <v>2025.0</v>
      </c>
      <c r="C34" s="2" t="s">
        <v>390</v>
      </c>
      <c r="D34" s="2">
        <v>2.0</v>
      </c>
      <c r="E34" s="2" t="s">
        <v>565</v>
      </c>
      <c r="F34" s="2" t="s">
        <v>419</v>
      </c>
      <c r="G34" s="2" t="s">
        <v>520</v>
      </c>
      <c r="H34" s="2" t="s">
        <v>147</v>
      </c>
      <c r="I34" s="2">
        <v>20.0</v>
      </c>
      <c r="J34" s="2" t="s">
        <v>143</v>
      </c>
      <c r="K34" s="2">
        <v>17.0</v>
      </c>
      <c r="L34" s="2" t="s">
        <v>77</v>
      </c>
      <c r="M34" s="2">
        <v>-3.0</v>
      </c>
      <c r="N34" s="2">
        <v>37.0</v>
      </c>
      <c r="O34" s="2">
        <v>0.0</v>
      </c>
      <c r="P34" s="2">
        <v>2.025091411E9</v>
      </c>
      <c r="Q34" s="2">
        <v>59871.0</v>
      </c>
      <c r="S34" s="2" t="s">
        <v>606</v>
      </c>
      <c r="T34" s="2">
        <v>28446.0</v>
      </c>
      <c r="U34" s="2">
        <v>4.01772837E8</v>
      </c>
      <c r="V34" s="2">
        <v>6762.0</v>
      </c>
      <c r="W34" s="2">
        <v>10.0</v>
      </c>
      <c r="X34" s="2">
        <v>9.0</v>
      </c>
      <c r="Y34" s="2">
        <v>-122.0</v>
      </c>
      <c r="Z34" s="2">
        <v>102.0</v>
      </c>
      <c r="AA34" s="2">
        <v>-1.5</v>
      </c>
      <c r="AB34" s="2">
        <v>-110.0</v>
      </c>
      <c r="AC34" s="2">
        <v>-110.0</v>
      </c>
      <c r="AD34" s="2">
        <v>46.5</v>
      </c>
      <c r="AE34" s="2">
        <v>-102.0</v>
      </c>
      <c r="AF34" s="2">
        <v>-118.0</v>
      </c>
      <c r="AG34" s="2">
        <v>0.0</v>
      </c>
      <c r="AH34" s="2" t="s">
        <v>395</v>
      </c>
      <c r="AI34" s="2" t="s">
        <v>396</v>
      </c>
      <c r="AJ34" s="2">
        <v>88.0</v>
      </c>
      <c r="AK34" s="2">
        <v>12.0</v>
      </c>
      <c r="AL34" s="2" t="s">
        <v>398</v>
      </c>
      <c r="AM34" s="2" t="s">
        <v>410</v>
      </c>
      <c r="AN34" s="2" t="s">
        <v>241</v>
      </c>
      <c r="AO34" s="2" t="s">
        <v>216</v>
      </c>
      <c r="AP34" s="2" t="s">
        <v>400</v>
      </c>
      <c r="AQ34" s="2" t="s">
        <v>412</v>
      </c>
      <c r="AR34" s="2" t="s">
        <v>507</v>
      </c>
      <c r="AS34" s="2" t="s">
        <v>607</v>
      </c>
      <c r="AT34" s="2" t="s">
        <v>608</v>
      </c>
      <c r="AV34" s="2">
        <f t="array" ref="AV34">IF($A34="","",IF(INDEX($A34:$AT34,1,MAP!$B$3)=CurrentSeason,1,0))</f>
        <v>0</v>
      </c>
      <c r="AW34" s="2" t="str">
        <f t="shared" si="1"/>
        <v/>
      </c>
    </row>
    <row r="35" ht="15.0" customHeight="1">
      <c r="A35" s="2" t="s">
        <v>609</v>
      </c>
      <c r="B35" s="2">
        <v>2025.0</v>
      </c>
      <c r="C35" s="2" t="s">
        <v>390</v>
      </c>
      <c r="D35" s="2">
        <v>2.0</v>
      </c>
      <c r="E35" s="2" t="s">
        <v>565</v>
      </c>
      <c r="F35" s="2" t="s">
        <v>419</v>
      </c>
      <c r="G35" s="2" t="s">
        <v>393</v>
      </c>
      <c r="H35" s="2" t="s">
        <v>132</v>
      </c>
      <c r="I35" s="2">
        <v>22.0</v>
      </c>
      <c r="J35" s="2" t="s">
        <v>144</v>
      </c>
      <c r="K35" s="2">
        <v>6.0</v>
      </c>
      <c r="L35" s="2" t="s">
        <v>77</v>
      </c>
      <c r="M35" s="2">
        <v>-16.0</v>
      </c>
      <c r="N35" s="2">
        <v>28.0</v>
      </c>
      <c r="O35" s="2">
        <v>0.0</v>
      </c>
      <c r="P35" s="2">
        <v>2.025091412E9</v>
      </c>
      <c r="Q35" s="2">
        <v>59872.0</v>
      </c>
      <c r="S35" s="2" t="s">
        <v>610</v>
      </c>
      <c r="T35" s="2">
        <v>28447.0</v>
      </c>
      <c r="U35" s="2">
        <v>4.01772919E8</v>
      </c>
      <c r="V35" s="2">
        <v>6763.0</v>
      </c>
      <c r="W35" s="2">
        <v>7.0</v>
      </c>
      <c r="X35" s="2">
        <v>6.0</v>
      </c>
      <c r="Y35" s="2">
        <v>150.0</v>
      </c>
      <c r="Z35" s="2">
        <v>-180.0</v>
      </c>
      <c r="AA35" s="2">
        <v>3.5</v>
      </c>
      <c r="AB35" s="2">
        <v>-115.0</v>
      </c>
      <c r="AC35" s="2">
        <v>-105.0</v>
      </c>
      <c r="AD35" s="2">
        <v>44.5</v>
      </c>
      <c r="AE35" s="2">
        <v>-110.0</v>
      </c>
      <c r="AF35" s="2">
        <v>-110.0</v>
      </c>
      <c r="AG35" s="2">
        <v>0.0</v>
      </c>
      <c r="AH35" s="2" t="s">
        <v>409</v>
      </c>
      <c r="AI35" s="2" t="s">
        <v>471</v>
      </c>
      <c r="AL35" s="2" t="s">
        <v>425</v>
      </c>
      <c r="AM35" s="2" t="s">
        <v>552</v>
      </c>
      <c r="AN35" s="2" t="s">
        <v>426</v>
      </c>
      <c r="AO35" s="2" t="s">
        <v>554</v>
      </c>
      <c r="AP35" s="2" t="s">
        <v>428</v>
      </c>
      <c r="AQ35" s="2" t="s">
        <v>555</v>
      </c>
      <c r="AR35" s="2" t="s">
        <v>439</v>
      </c>
      <c r="AS35" s="2" t="s">
        <v>611</v>
      </c>
      <c r="AT35" s="2" t="s">
        <v>612</v>
      </c>
      <c r="AV35" s="2">
        <f t="array" ref="AV35">IF($A35="","",IF(INDEX($A35:$AT35,1,MAP!$B$3)=CurrentSeason,1,0))</f>
        <v>0</v>
      </c>
      <c r="AW35" s="2" t="str">
        <f t="shared" si="1"/>
        <v/>
      </c>
    </row>
    <row r="36" ht="15.0" customHeight="1">
      <c r="A36" s="2" t="s">
        <v>613</v>
      </c>
      <c r="B36" s="2">
        <v>2025.0</v>
      </c>
      <c r="C36" s="2" t="s">
        <v>390</v>
      </c>
      <c r="D36" s="2">
        <v>2.0</v>
      </c>
      <c r="E36" s="2" t="s">
        <v>614</v>
      </c>
      <c r="F36" s="2" t="s">
        <v>549</v>
      </c>
      <c r="G36" s="2" t="s">
        <v>615</v>
      </c>
      <c r="H36" s="2" t="s">
        <v>150</v>
      </c>
      <c r="I36" s="2">
        <v>20.0</v>
      </c>
      <c r="J36" s="2" t="s">
        <v>140</v>
      </c>
      <c r="K36" s="2">
        <v>19.0</v>
      </c>
      <c r="L36" s="2" t="s">
        <v>77</v>
      </c>
      <c r="M36" s="2">
        <v>-1.0</v>
      </c>
      <c r="N36" s="2">
        <v>39.0</v>
      </c>
      <c r="O36" s="2">
        <v>0.0</v>
      </c>
      <c r="P36" s="2">
        <v>2.0250915E9</v>
      </c>
      <c r="Q36" s="2">
        <v>59873.0</v>
      </c>
      <c r="S36" s="2" t="s">
        <v>616</v>
      </c>
      <c r="T36" s="2">
        <v>28448.0</v>
      </c>
      <c r="U36" s="2">
        <v>4.01772715E8</v>
      </c>
      <c r="V36" s="2">
        <v>6765.0</v>
      </c>
      <c r="W36" s="2">
        <v>8.0</v>
      </c>
      <c r="X36" s="2">
        <v>8.0</v>
      </c>
      <c r="Y36" s="2">
        <v>114.0</v>
      </c>
      <c r="Z36" s="2">
        <v>-135.0</v>
      </c>
      <c r="AA36" s="2">
        <v>2.5</v>
      </c>
      <c r="AB36" s="2">
        <v>-110.0</v>
      </c>
      <c r="AC36" s="2">
        <v>-110.0</v>
      </c>
      <c r="AD36" s="2">
        <v>42.5</v>
      </c>
      <c r="AE36" s="2">
        <v>-110.0</v>
      </c>
      <c r="AF36" s="2">
        <v>-110.0</v>
      </c>
      <c r="AG36" s="2">
        <v>0.0</v>
      </c>
      <c r="AH36" s="2" t="s">
        <v>422</v>
      </c>
      <c r="AI36" s="2" t="s">
        <v>617</v>
      </c>
      <c r="AL36" s="2" t="s">
        <v>424</v>
      </c>
      <c r="AM36" s="2" t="s">
        <v>532</v>
      </c>
      <c r="AN36" s="2" t="s">
        <v>248</v>
      </c>
      <c r="AO36" s="2" t="s">
        <v>208</v>
      </c>
      <c r="AP36" s="2" t="s">
        <v>427</v>
      </c>
      <c r="AQ36" s="2" t="s">
        <v>534</v>
      </c>
      <c r="AR36" s="2" t="s">
        <v>516</v>
      </c>
      <c r="AS36" s="2" t="s">
        <v>618</v>
      </c>
      <c r="AT36" s="2" t="s">
        <v>619</v>
      </c>
      <c r="AV36" s="2">
        <f t="array" ref="AV36">IF($A36="","",IF(INDEX($A36:$AT36,1,MAP!$B$3)=CurrentSeason,1,0))</f>
        <v>0</v>
      </c>
      <c r="AW36" s="2" t="str">
        <f t="shared" si="1"/>
        <v/>
      </c>
    </row>
    <row r="37" ht="15.0" customHeight="1">
      <c r="A37" s="2" t="s">
        <v>620</v>
      </c>
      <c r="B37" s="2">
        <v>2025.0</v>
      </c>
      <c r="C37" s="2" t="s">
        <v>390</v>
      </c>
      <c r="D37" s="2">
        <v>2.0</v>
      </c>
      <c r="E37" s="2" t="s">
        <v>614</v>
      </c>
      <c r="F37" s="2" t="s">
        <v>549</v>
      </c>
      <c r="G37" s="2" t="s">
        <v>621</v>
      </c>
      <c r="H37" s="2" t="s">
        <v>220</v>
      </c>
      <c r="I37" s="2">
        <v>20.0</v>
      </c>
      <c r="J37" s="2" t="s">
        <v>222</v>
      </c>
      <c r="K37" s="2">
        <v>9.0</v>
      </c>
      <c r="L37" s="2" t="s">
        <v>77</v>
      </c>
      <c r="M37" s="2">
        <v>-11.0</v>
      </c>
      <c r="N37" s="2">
        <v>29.0</v>
      </c>
      <c r="O37" s="2">
        <v>0.0</v>
      </c>
      <c r="P37" s="2">
        <v>2.025091501E9</v>
      </c>
      <c r="Q37" s="2">
        <v>59874.0</v>
      </c>
      <c r="S37" s="2" t="s">
        <v>622</v>
      </c>
      <c r="T37" s="2">
        <v>28449.0</v>
      </c>
      <c r="U37" s="2">
        <v>4.01772811E8</v>
      </c>
      <c r="V37" s="2">
        <v>6764.0</v>
      </c>
      <c r="W37" s="2">
        <v>10.0</v>
      </c>
      <c r="X37" s="2">
        <v>8.0</v>
      </c>
      <c r="Y37" s="2">
        <v>-198.0</v>
      </c>
      <c r="Z37" s="2">
        <v>164.0</v>
      </c>
      <c r="AA37" s="2">
        <v>-3.5</v>
      </c>
      <c r="AB37" s="2">
        <v>-105.0</v>
      </c>
      <c r="AC37" s="2">
        <v>-115.0</v>
      </c>
      <c r="AD37" s="2">
        <v>46.5</v>
      </c>
      <c r="AE37" s="2">
        <v>-102.0</v>
      </c>
      <c r="AF37" s="2">
        <v>-118.0</v>
      </c>
      <c r="AG37" s="2">
        <v>1.0</v>
      </c>
      <c r="AH37" s="2" t="s">
        <v>409</v>
      </c>
      <c r="AI37" s="2" t="s">
        <v>396</v>
      </c>
      <c r="AL37" s="2" t="s">
        <v>411</v>
      </c>
      <c r="AM37" s="2" t="s">
        <v>462</v>
      </c>
      <c r="AN37" s="2" t="s">
        <v>221</v>
      </c>
      <c r="AO37" s="2" t="s">
        <v>239</v>
      </c>
      <c r="AP37" s="2" t="s">
        <v>413</v>
      </c>
      <c r="AQ37" s="2" t="s">
        <v>464</v>
      </c>
      <c r="AR37" s="2" t="s">
        <v>497</v>
      </c>
      <c r="AS37" s="2" t="s">
        <v>623</v>
      </c>
      <c r="AT37" s="2" t="s">
        <v>624</v>
      </c>
      <c r="AV37" s="2">
        <f t="array" ref="AV37">IF($A37="","",IF(INDEX($A37:$AT37,1,MAP!$B$3)=CurrentSeason,1,0))</f>
        <v>0</v>
      </c>
      <c r="AW37" s="2" t="str">
        <f t="shared" si="1"/>
        <v/>
      </c>
    </row>
    <row r="38" ht="15.0" customHeight="1">
      <c r="A38" s="2" t="s">
        <v>625</v>
      </c>
      <c r="B38" s="2">
        <v>2025.0</v>
      </c>
      <c r="C38" s="2" t="s">
        <v>390</v>
      </c>
      <c r="D38" s="2">
        <v>3.0</v>
      </c>
      <c r="E38" s="2" t="s">
        <v>626</v>
      </c>
      <c r="F38" s="2" t="s">
        <v>392</v>
      </c>
      <c r="G38" s="2" t="s">
        <v>550</v>
      </c>
      <c r="H38" s="2" t="s">
        <v>225</v>
      </c>
      <c r="I38" s="2">
        <v>21.0</v>
      </c>
      <c r="J38" s="2" t="s">
        <v>136</v>
      </c>
      <c r="K38" s="2">
        <v>31.0</v>
      </c>
      <c r="L38" s="2" t="s">
        <v>77</v>
      </c>
      <c r="M38" s="2">
        <v>10.0</v>
      </c>
      <c r="N38" s="2">
        <v>52.0</v>
      </c>
      <c r="O38" s="2">
        <v>0.0</v>
      </c>
      <c r="P38" s="2">
        <v>2.0250918E9</v>
      </c>
      <c r="Q38" s="2">
        <v>59875.0</v>
      </c>
      <c r="S38" s="2" t="s">
        <v>627</v>
      </c>
      <c r="T38" s="2">
        <v>28450.0</v>
      </c>
      <c r="U38" s="2">
        <v>4.01772937E8</v>
      </c>
      <c r="V38" s="2">
        <v>6766.0</v>
      </c>
      <c r="W38" s="2">
        <v>4.0</v>
      </c>
      <c r="X38" s="2">
        <v>4.0</v>
      </c>
      <c r="Y38" s="2">
        <v>550.0</v>
      </c>
      <c r="Z38" s="2">
        <v>-800.0</v>
      </c>
      <c r="AA38" s="2">
        <v>12.5</v>
      </c>
      <c r="AB38" s="2">
        <v>-110.0</v>
      </c>
      <c r="AC38" s="2">
        <v>-110.0</v>
      </c>
      <c r="AD38" s="2">
        <v>50.5</v>
      </c>
      <c r="AE38" s="2">
        <v>-112.0</v>
      </c>
      <c r="AF38" s="2">
        <v>-108.0</v>
      </c>
      <c r="AG38" s="2">
        <v>1.0</v>
      </c>
      <c r="AH38" s="2" t="s">
        <v>395</v>
      </c>
      <c r="AI38" s="2" t="s">
        <v>539</v>
      </c>
      <c r="AJ38" s="2">
        <v>68.0</v>
      </c>
      <c r="AK38" s="2">
        <v>7.0</v>
      </c>
      <c r="AL38" s="2" t="s">
        <v>444</v>
      </c>
      <c r="AM38" s="2" t="s">
        <v>541</v>
      </c>
      <c r="AN38" s="2" t="s">
        <v>182</v>
      </c>
      <c r="AO38" s="2" t="s">
        <v>187</v>
      </c>
      <c r="AP38" s="2" t="s">
        <v>446</v>
      </c>
      <c r="AQ38" s="2" t="s">
        <v>543</v>
      </c>
      <c r="AR38" s="2" t="s">
        <v>557</v>
      </c>
      <c r="AS38" s="2" t="s">
        <v>545</v>
      </c>
      <c r="AT38" s="2" t="s">
        <v>546</v>
      </c>
      <c r="AV38" s="2">
        <f t="array" ref="AV38">IF($A38="","",IF(INDEX($A38:$AT38,1,MAP!$B$3)=CurrentSeason,1,0))</f>
        <v>0</v>
      </c>
      <c r="AW38" s="2" t="str">
        <f t="shared" si="1"/>
        <v/>
      </c>
    </row>
    <row r="39" ht="15.0" customHeight="1">
      <c r="A39" s="2" t="s">
        <v>628</v>
      </c>
      <c r="B39" s="2">
        <v>2025.0</v>
      </c>
      <c r="C39" s="2" t="s">
        <v>390</v>
      </c>
      <c r="D39" s="2">
        <v>3.0</v>
      </c>
      <c r="E39" s="2" t="s">
        <v>629</v>
      </c>
      <c r="F39" s="2" t="s">
        <v>419</v>
      </c>
      <c r="G39" s="2" t="s">
        <v>420</v>
      </c>
      <c r="H39" s="2" t="s">
        <v>132</v>
      </c>
      <c r="I39" s="2">
        <v>0.0</v>
      </c>
      <c r="J39" s="2" t="s">
        <v>189</v>
      </c>
      <c r="K39" s="2">
        <v>30.0</v>
      </c>
      <c r="L39" s="2" t="s">
        <v>77</v>
      </c>
      <c r="M39" s="2">
        <v>30.0</v>
      </c>
      <c r="N39" s="2">
        <v>30.0</v>
      </c>
      <c r="O39" s="2">
        <v>0.0</v>
      </c>
      <c r="P39" s="2">
        <v>2.0250921E9</v>
      </c>
      <c r="Q39" s="2">
        <v>59876.0</v>
      </c>
      <c r="S39" s="2" t="s">
        <v>630</v>
      </c>
      <c r="T39" s="2">
        <v>28452.0</v>
      </c>
      <c r="U39" s="2">
        <v>4.01772838E8</v>
      </c>
      <c r="V39" s="2">
        <v>6767.0</v>
      </c>
      <c r="W39" s="2">
        <v>7.0</v>
      </c>
      <c r="X39" s="2">
        <v>7.0</v>
      </c>
      <c r="Y39" s="2">
        <v>-225.0</v>
      </c>
      <c r="Z39" s="2">
        <v>185.0</v>
      </c>
      <c r="AA39" s="2">
        <v>-5.5</v>
      </c>
      <c r="AB39" s="2">
        <v>-105.0</v>
      </c>
      <c r="AC39" s="2">
        <v>-115.0</v>
      </c>
      <c r="AD39" s="2">
        <v>44.5</v>
      </c>
      <c r="AE39" s="2">
        <v>-115.0</v>
      </c>
      <c r="AF39" s="2">
        <v>-105.0</v>
      </c>
      <c r="AG39" s="2">
        <v>1.0</v>
      </c>
      <c r="AH39" s="2" t="s">
        <v>395</v>
      </c>
      <c r="AI39" s="2" t="s">
        <v>396</v>
      </c>
      <c r="AJ39" s="2">
        <v>83.0</v>
      </c>
      <c r="AK39" s="2">
        <v>5.0</v>
      </c>
      <c r="AL39" s="2" t="s">
        <v>425</v>
      </c>
      <c r="AM39" s="2" t="s">
        <v>453</v>
      </c>
      <c r="AN39" s="2" t="s">
        <v>426</v>
      </c>
      <c r="AO39" s="2" t="s">
        <v>190</v>
      </c>
      <c r="AP39" s="2" t="s">
        <v>428</v>
      </c>
      <c r="AQ39" s="2" t="s">
        <v>455</v>
      </c>
      <c r="AR39" s="2" t="s">
        <v>536</v>
      </c>
      <c r="AS39" s="2" t="s">
        <v>631</v>
      </c>
      <c r="AT39" s="2" t="s">
        <v>632</v>
      </c>
      <c r="AV39" s="2">
        <f t="array" ref="AV39">IF($A39="","",IF(INDEX($A39:$AT39,1,MAP!$B$3)=CurrentSeason,1,0))</f>
        <v>0</v>
      </c>
      <c r="AW39" s="2" t="str">
        <f t="shared" si="1"/>
        <v/>
      </c>
    </row>
    <row r="40" ht="15.0" customHeight="1">
      <c r="A40" s="2" t="s">
        <v>633</v>
      </c>
      <c r="B40" s="2">
        <v>2025.0</v>
      </c>
      <c r="C40" s="2" t="s">
        <v>390</v>
      </c>
      <c r="D40" s="2">
        <v>3.0</v>
      </c>
      <c r="E40" s="2" t="s">
        <v>629</v>
      </c>
      <c r="F40" s="2" t="s">
        <v>419</v>
      </c>
      <c r="G40" s="2" t="s">
        <v>420</v>
      </c>
      <c r="H40" s="2" t="s">
        <v>205</v>
      </c>
      <c r="I40" s="2">
        <v>10.0</v>
      </c>
      <c r="J40" s="2" t="s">
        <v>196</v>
      </c>
      <c r="K40" s="2">
        <v>13.0</v>
      </c>
      <c r="L40" s="2" t="s">
        <v>77</v>
      </c>
      <c r="M40" s="2">
        <v>3.0</v>
      </c>
      <c r="N40" s="2">
        <v>23.0</v>
      </c>
      <c r="O40" s="2">
        <v>0.0</v>
      </c>
      <c r="P40" s="2">
        <v>2.025092101E9</v>
      </c>
      <c r="Q40" s="2">
        <v>59877.0</v>
      </c>
      <c r="S40" s="2" t="s">
        <v>634</v>
      </c>
      <c r="T40" s="2">
        <v>28453.0</v>
      </c>
      <c r="U40" s="2">
        <v>4.01772842E8</v>
      </c>
      <c r="V40" s="2">
        <v>6768.0</v>
      </c>
      <c r="W40" s="2">
        <v>10.0</v>
      </c>
      <c r="X40" s="2">
        <v>7.0</v>
      </c>
      <c r="Y40" s="2">
        <v>-470.0</v>
      </c>
      <c r="Z40" s="2">
        <v>360.0</v>
      </c>
      <c r="AA40" s="2">
        <v>-8.5</v>
      </c>
      <c r="AB40" s="2">
        <v>-102.0</v>
      </c>
      <c r="AC40" s="2">
        <v>-118.0</v>
      </c>
      <c r="AD40" s="2">
        <v>41.5</v>
      </c>
      <c r="AE40" s="2">
        <v>-115.0</v>
      </c>
      <c r="AF40" s="2">
        <v>-105.0</v>
      </c>
      <c r="AG40" s="2">
        <v>0.0</v>
      </c>
      <c r="AH40" s="2" t="s">
        <v>395</v>
      </c>
      <c r="AI40" s="2" t="s">
        <v>396</v>
      </c>
      <c r="AJ40" s="2">
        <v>79.0</v>
      </c>
      <c r="AK40" s="2">
        <v>10.0</v>
      </c>
      <c r="AL40" s="2" t="s">
        <v>523</v>
      </c>
      <c r="AM40" s="2" t="s">
        <v>435</v>
      </c>
      <c r="AN40" s="2" t="s">
        <v>206</v>
      </c>
      <c r="AO40" s="2" t="s">
        <v>436</v>
      </c>
      <c r="AP40" s="2" t="s">
        <v>525</v>
      </c>
      <c r="AQ40" s="2" t="s">
        <v>438</v>
      </c>
      <c r="AR40" s="2" t="s">
        <v>414</v>
      </c>
      <c r="AS40" s="2" t="s">
        <v>440</v>
      </c>
      <c r="AT40" s="2" t="s">
        <v>441</v>
      </c>
      <c r="AV40" s="2">
        <f t="array" ref="AV40">IF($A40="","",IF(INDEX($A40:$AT40,1,MAP!$B$3)=CurrentSeason,1,0))</f>
        <v>0</v>
      </c>
      <c r="AW40" s="2" t="str">
        <f t="shared" si="1"/>
        <v/>
      </c>
    </row>
    <row r="41" ht="15.0" customHeight="1">
      <c r="A41" s="2" t="s">
        <v>635</v>
      </c>
      <c r="B41" s="2">
        <v>2025.0</v>
      </c>
      <c r="C41" s="2" t="s">
        <v>390</v>
      </c>
      <c r="D41" s="2">
        <v>3.0</v>
      </c>
      <c r="E41" s="2" t="s">
        <v>629</v>
      </c>
      <c r="F41" s="2" t="s">
        <v>419</v>
      </c>
      <c r="G41" s="2" t="s">
        <v>420</v>
      </c>
      <c r="H41" s="2" t="s">
        <v>140</v>
      </c>
      <c r="I41" s="2">
        <v>10.0</v>
      </c>
      <c r="J41" s="2" t="s">
        <v>141</v>
      </c>
      <c r="K41" s="2">
        <v>17.0</v>
      </c>
      <c r="L41" s="2" t="s">
        <v>77</v>
      </c>
      <c r="M41" s="2">
        <v>7.0</v>
      </c>
      <c r="N41" s="2">
        <v>27.0</v>
      </c>
      <c r="O41" s="2">
        <v>0.0</v>
      </c>
      <c r="P41" s="2">
        <v>2.025092102E9</v>
      </c>
      <c r="Q41" s="2">
        <v>59878.0</v>
      </c>
      <c r="S41" s="2" t="s">
        <v>636</v>
      </c>
      <c r="T41" s="2">
        <v>28454.0</v>
      </c>
      <c r="U41" s="2">
        <v>4.01772734E8</v>
      </c>
      <c r="V41" s="2">
        <v>6769.0</v>
      </c>
      <c r="W41" s="2">
        <v>6.0</v>
      </c>
      <c r="X41" s="2">
        <v>7.0</v>
      </c>
      <c r="Y41" s="2">
        <v>105.0</v>
      </c>
      <c r="Z41" s="2">
        <v>-125.0</v>
      </c>
      <c r="AA41" s="2">
        <v>1.5</v>
      </c>
      <c r="AB41" s="2">
        <v>-108.0</v>
      </c>
      <c r="AC41" s="2">
        <v>-112.0</v>
      </c>
      <c r="AD41" s="2">
        <v>43.5</v>
      </c>
      <c r="AE41" s="2">
        <v>-115.0</v>
      </c>
      <c r="AF41" s="2">
        <v>-105.0</v>
      </c>
      <c r="AG41" s="2">
        <v>1.0</v>
      </c>
      <c r="AH41" s="2" t="s">
        <v>395</v>
      </c>
      <c r="AI41" s="2" t="s">
        <v>396</v>
      </c>
      <c r="AJ41" s="2">
        <v>85.0</v>
      </c>
      <c r="AK41" s="2">
        <v>11.0</v>
      </c>
      <c r="AL41" s="2" t="s">
        <v>532</v>
      </c>
      <c r="AM41" s="2" t="s">
        <v>454</v>
      </c>
      <c r="AN41" s="2" t="s">
        <v>208</v>
      </c>
      <c r="AO41" s="2" t="s">
        <v>214</v>
      </c>
      <c r="AP41" s="2" t="s">
        <v>534</v>
      </c>
      <c r="AQ41" s="2" t="s">
        <v>456</v>
      </c>
      <c r="AR41" s="2" t="s">
        <v>507</v>
      </c>
      <c r="AS41" s="2" t="s">
        <v>458</v>
      </c>
      <c r="AT41" s="2" t="s">
        <v>459</v>
      </c>
      <c r="AV41" s="2">
        <f t="array" ref="AV41">IF($A41="","",IF(INDEX($A41:$AT41,1,MAP!$B$3)=CurrentSeason,1,0))</f>
        <v>0</v>
      </c>
      <c r="AW41" s="2" t="str">
        <f t="shared" si="1"/>
        <v/>
      </c>
    </row>
    <row r="42" ht="15.0" customHeight="1">
      <c r="A42" s="2" t="s">
        <v>637</v>
      </c>
      <c r="B42" s="2">
        <v>2025.0</v>
      </c>
      <c r="C42" s="2" t="s">
        <v>390</v>
      </c>
      <c r="D42" s="2">
        <v>3.0</v>
      </c>
      <c r="E42" s="2" t="s">
        <v>629</v>
      </c>
      <c r="F42" s="2" t="s">
        <v>419</v>
      </c>
      <c r="G42" s="2" t="s">
        <v>420</v>
      </c>
      <c r="H42" s="2" t="s">
        <v>138</v>
      </c>
      <c r="I42" s="2">
        <v>10.0</v>
      </c>
      <c r="J42" s="2" t="s">
        <v>144</v>
      </c>
      <c r="K42" s="2">
        <v>48.0</v>
      </c>
      <c r="L42" s="2" t="s">
        <v>77</v>
      </c>
      <c r="M42" s="2">
        <v>38.0</v>
      </c>
      <c r="N42" s="2">
        <v>58.0</v>
      </c>
      <c r="O42" s="2">
        <v>0.0</v>
      </c>
      <c r="P42" s="2">
        <v>2.025092103E9</v>
      </c>
      <c r="Q42" s="2">
        <v>59879.0</v>
      </c>
      <c r="S42" s="2" t="s">
        <v>638</v>
      </c>
      <c r="T42" s="2">
        <v>28455.0</v>
      </c>
      <c r="U42" s="2">
        <v>4.01772731E8</v>
      </c>
      <c r="V42" s="2">
        <v>6770.0</v>
      </c>
      <c r="W42" s="2">
        <v>7.0</v>
      </c>
      <c r="X42" s="2">
        <v>7.0</v>
      </c>
      <c r="Y42" s="2">
        <v>136.0</v>
      </c>
      <c r="Z42" s="2">
        <v>-162.0</v>
      </c>
      <c r="AA42" s="2">
        <v>3.0</v>
      </c>
      <c r="AB42" s="2">
        <v>-110.0</v>
      </c>
      <c r="AC42" s="2">
        <v>-110.0</v>
      </c>
      <c r="AD42" s="2">
        <v>41.5</v>
      </c>
      <c r="AE42" s="2">
        <v>-105.0</v>
      </c>
      <c r="AF42" s="2">
        <v>-115.0</v>
      </c>
      <c r="AG42" s="2">
        <v>0.0</v>
      </c>
      <c r="AH42" s="2" t="s">
        <v>409</v>
      </c>
      <c r="AI42" s="2" t="s">
        <v>471</v>
      </c>
      <c r="AL42" s="2" t="s">
        <v>639</v>
      </c>
      <c r="AM42" s="2" t="s">
        <v>640</v>
      </c>
      <c r="AN42" s="2" t="s">
        <v>641</v>
      </c>
      <c r="AO42" s="2" t="s">
        <v>642</v>
      </c>
      <c r="AP42" s="2" t="s">
        <v>437</v>
      </c>
      <c r="AQ42" s="2" t="s">
        <v>555</v>
      </c>
      <c r="AR42" s="2" t="s">
        <v>466</v>
      </c>
      <c r="AS42" s="2" t="s">
        <v>611</v>
      </c>
      <c r="AT42" s="2" t="s">
        <v>612</v>
      </c>
      <c r="AV42" s="2">
        <f t="array" ref="AV42">IF($A42="","",IF(INDEX($A42:$AT42,1,MAP!$B$3)=CurrentSeason,1,0))</f>
        <v>0</v>
      </c>
      <c r="AW42" s="2" t="str">
        <f t="shared" si="1"/>
        <v/>
      </c>
    </row>
    <row r="43" ht="15.0" customHeight="1">
      <c r="A43" s="2" t="s">
        <v>643</v>
      </c>
      <c r="B43" s="2">
        <v>2025.0</v>
      </c>
      <c r="C43" s="2" t="s">
        <v>390</v>
      </c>
      <c r="D43" s="2">
        <v>3.0</v>
      </c>
      <c r="E43" s="2" t="s">
        <v>629</v>
      </c>
      <c r="F43" s="2" t="s">
        <v>419</v>
      </c>
      <c r="G43" s="2" t="s">
        <v>420</v>
      </c>
      <c r="H43" s="2" t="s">
        <v>242</v>
      </c>
      <c r="I43" s="2">
        <v>21.0</v>
      </c>
      <c r="J43" s="2" t="s">
        <v>145</v>
      </c>
      <c r="K43" s="2">
        <v>14.0</v>
      </c>
      <c r="L43" s="2" t="s">
        <v>77</v>
      </c>
      <c r="M43" s="2">
        <v>-7.0</v>
      </c>
      <c r="N43" s="2">
        <v>35.0</v>
      </c>
      <c r="O43" s="2">
        <v>0.0</v>
      </c>
      <c r="P43" s="2">
        <v>2.025092104E9</v>
      </c>
      <c r="Q43" s="2">
        <v>59880.0</v>
      </c>
      <c r="S43" s="2" t="s">
        <v>644</v>
      </c>
      <c r="T43" s="2">
        <v>28456.0</v>
      </c>
      <c r="U43" s="2">
        <v>4.01772732E8</v>
      </c>
      <c r="V43" s="2">
        <v>6771.0</v>
      </c>
      <c r="W43" s="2">
        <v>7.0</v>
      </c>
      <c r="X43" s="2">
        <v>7.0</v>
      </c>
      <c r="Y43" s="2">
        <v>-120.0</v>
      </c>
      <c r="Z43" s="2">
        <v>100.0</v>
      </c>
      <c r="AA43" s="2">
        <v>-1.5</v>
      </c>
      <c r="AB43" s="2">
        <v>-105.0</v>
      </c>
      <c r="AC43" s="2">
        <v>-115.0</v>
      </c>
      <c r="AD43" s="2">
        <v>44.5</v>
      </c>
      <c r="AE43" s="2">
        <v>-112.0</v>
      </c>
      <c r="AF43" s="2">
        <v>-108.0</v>
      </c>
      <c r="AG43" s="2">
        <v>0.0</v>
      </c>
      <c r="AH43" s="2" t="s">
        <v>395</v>
      </c>
      <c r="AI43" s="2" t="s">
        <v>423</v>
      </c>
      <c r="AJ43" s="2">
        <v>66.0</v>
      </c>
      <c r="AK43" s="2">
        <v>5.0</v>
      </c>
      <c r="AL43" s="2" t="s">
        <v>482</v>
      </c>
      <c r="AM43" s="2" t="s">
        <v>463</v>
      </c>
      <c r="AN43" s="2" t="s">
        <v>243</v>
      </c>
      <c r="AO43" s="2" t="s">
        <v>230</v>
      </c>
      <c r="AP43" s="2" t="s">
        <v>485</v>
      </c>
      <c r="AQ43" s="2" t="s">
        <v>465</v>
      </c>
      <c r="AR43" s="2" t="s">
        <v>526</v>
      </c>
      <c r="AS43" s="2" t="s">
        <v>467</v>
      </c>
      <c r="AT43" s="2" t="s">
        <v>468</v>
      </c>
      <c r="AV43" s="2">
        <f t="array" ref="AV43">IF($A43="","",IF(INDEX($A43:$AT43,1,MAP!$B$3)=CurrentSeason,1,0))</f>
        <v>0</v>
      </c>
      <c r="AW43" s="2" t="str">
        <f t="shared" si="1"/>
        <v/>
      </c>
    </row>
    <row r="44" ht="15.0" customHeight="1">
      <c r="A44" s="2" t="s">
        <v>645</v>
      </c>
      <c r="B44" s="2">
        <v>2025.0</v>
      </c>
      <c r="C44" s="2" t="s">
        <v>390</v>
      </c>
      <c r="D44" s="2">
        <v>3.0</v>
      </c>
      <c r="E44" s="2" t="s">
        <v>629</v>
      </c>
      <c r="F44" s="2" t="s">
        <v>419</v>
      </c>
      <c r="G44" s="2" t="s">
        <v>420</v>
      </c>
      <c r="H44" s="2" t="s">
        <v>142</v>
      </c>
      <c r="I44" s="2">
        <v>26.0</v>
      </c>
      <c r="J44" s="2" t="s">
        <v>147</v>
      </c>
      <c r="K44" s="2">
        <v>33.0</v>
      </c>
      <c r="L44" s="2" t="s">
        <v>77</v>
      </c>
      <c r="M44" s="2">
        <v>7.0</v>
      </c>
      <c r="N44" s="2">
        <v>59.0</v>
      </c>
      <c r="O44" s="2">
        <v>0.0</v>
      </c>
      <c r="P44" s="2">
        <v>2.025092105E9</v>
      </c>
      <c r="Q44" s="2">
        <v>59881.0</v>
      </c>
      <c r="S44" s="2" t="s">
        <v>646</v>
      </c>
      <c r="T44" s="2">
        <v>28457.0</v>
      </c>
      <c r="U44" s="2">
        <v>4.01772839E8</v>
      </c>
      <c r="V44" s="2">
        <v>6772.0</v>
      </c>
      <c r="W44" s="2">
        <v>7.0</v>
      </c>
      <c r="X44" s="2">
        <v>7.0</v>
      </c>
      <c r="Y44" s="2">
        <v>164.0</v>
      </c>
      <c r="Z44" s="2">
        <v>-198.0</v>
      </c>
      <c r="AA44" s="2">
        <v>3.5</v>
      </c>
      <c r="AB44" s="2">
        <v>-108.0</v>
      </c>
      <c r="AC44" s="2">
        <v>-112.0</v>
      </c>
      <c r="AD44" s="2">
        <v>45.5</v>
      </c>
      <c r="AE44" s="2">
        <v>-108.0</v>
      </c>
      <c r="AF44" s="2">
        <v>-112.0</v>
      </c>
      <c r="AG44" s="2">
        <v>0.0</v>
      </c>
      <c r="AH44" s="2" t="s">
        <v>395</v>
      </c>
      <c r="AI44" s="2" t="s">
        <v>396</v>
      </c>
      <c r="AJ44" s="2">
        <v>73.0</v>
      </c>
      <c r="AK44" s="2">
        <v>9.0</v>
      </c>
      <c r="AL44" s="2" t="s">
        <v>533</v>
      </c>
      <c r="AM44" s="2" t="s">
        <v>398</v>
      </c>
      <c r="AN44" s="2" t="s">
        <v>218</v>
      </c>
      <c r="AO44" s="2" t="s">
        <v>241</v>
      </c>
      <c r="AP44" s="2" t="s">
        <v>535</v>
      </c>
      <c r="AQ44" s="2" t="s">
        <v>400</v>
      </c>
      <c r="AR44" s="2" t="s">
        <v>563</v>
      </c>
      <c r="AS44" s="2" t="s">
        <v>402</v>
      </c>
      <c r="AT44" s="2" t="s">
        <v>403</v>
      </c>
      <c r="AV44" s="2">
        <f t="array" ref="AV44">IF($A44="","",IF(INDEX($A44:$AT44,1,MAP!$B$3)=CurrentSeason,1,0))</f>
        <v>0</v>
      </c>
      <c r="AW44" s="2" t="str">
        <f t="shared" si="1"/>
        <v/>
      </c>
    </row>
    <row r="45" ht="15.0" customHeight="1">
      <c r="A45" s="2" t="s">
        <v>647</v>
      </c>
      <c r="B45" s="2">
        <v>2025.0</v>
      </c>
      <c r="C45" s="2" t="s">
        <v>390</v>
      </c>
      <c r="D45" s="2">
        <v>3.0</v>
      </c>
      <c r="E45" s="2" t="s">
        <v>629</v>
      </c>
      <c r="F45" s="2" t="s">
        <v>419</v>
      </c>
      <c r="G45" s="2" t="s">
        <v>420</v>
      </c>
      <c r="H45" s="2" t="s">
        <v>238</v>
      </c>
      <c r="I45" s="2">
        <v>27.0</v>
      </c>
      <c r="J45" s="2" t="s">
        <v>150</v>
      </c>
      <c r="K45" s="2">
        <v>29.0</v>
      </c>
      <c r="L45" s="2" t="s">
        <v>77</v>
      </c>
      <c r="M45" s="2">
        <v>2.0</v>
      </c>
      <c r="N45" s="2">
        <v>56.0</v>
      </c>
      <c r="O45" s="2">
        <v>0.0</v>
      </c>
      <c r="P45" s="2">
        <v>2.025092106E9</v>
      </c>
      <c r="Q45" s="2">
        <v>59882.0</v>
      </c>
      <c r="S45" s="2" t="s">
        <v>648</v>
      </c>
      <c r="T45" s="2">
        <v>28458.0</v>
      </c>
      <c r="U45" s="2">
        <v>4.0177284E8</v>
      </c>
      <c r="V45" s="2">
        <v>6773.0</v>
      </c>
      <c r="W45" s="2">
        <v>7.0</v>
      </c>
      <c r="X45" s="2">
        <v>6.0</v>
      </c>
      <c r="Y45" s="2">
        <v>275.0</v>
      </c>
      <c r="Z45" s="2">
        <v>-345.0</v>
      </c>
      <c r="AA45" s="2">
        <v>6.5</v>
      </c>
      <c r="AB45" s="2">
        <v>-105.0</v>
      </c>
      <c r="AC45" s="2">
        <v>-115.0</v>
      </c>
      <c r="AD45" s="2">
        <v>43.5</v>
      </c>
      <c r="AE45" s="2">
        <v>-115.0</v>
      </c>
      <c r="AF45" s="2">
        <v>-105.0</v>
      </c>
      <c r="AG45" s="2">
        <v>0.0</v>
      </c>
      <c r="AH45" s="2" t="s">
        <v>395</v>
      </c>
      <c r="AI45" s="2" t="s">
        <v>396</v>
      </c>
      <c r="AJ45" s="2">
        <v>88.0</v>
      </c>
      <c r="AK45" s="2">
        <v>5.0</v>
      </c>
      <c r="AL45" s="2" t="s">
        <v>649</v>
      </c>
      <c r="AM45" s="2" t="s">
        <v>424</v>
      </c>
      <c r="AN45" s="2" t="s">
        <v>650</v>
      </c>
      <c r="AO45" s="2" t="s">
        <v>248</v>
      </c>
      <c r="AP45" s="2" t="s">
        <v>486</v>
      </c>
      <c r="AQ45" s="2" t="s">
        <v>427</v>
      </c>
      <c r="AR45" s="2" t="s">
        <v>439</v>
      </c>
      <c r="AS45" s="2" t="s">
        <v>651</v>
      </c>
      <c r="AT45" s="2" t="s">
        <v>652</v>
      </c>
      <c r="AV45" s="2">
        <f t="array" ref="AV45">IF($A45="","",IF(INDEX($A45:$AT45,1,MAP!$B$3)=CurrentSeason,1,0))</f>
        <v>0</v>
      </c>
      <c r="AW45" s="2" t="str">
        <f t="shared" si="1"/>
        <v/>
      </c>
    </row>
    <row r="46" ht="15.0" customHeight="1">
      <c r="A46" s="2" t="s">
        <v>653</v>
      </c>
      <c r="B46" s="2">
        <v>2025.0</v>
      </c>
      <c r="C46" s="2" t="s">
        <v>390</v>
      </c>
      <c r="D46" s="2">
        <v>3.0</v>
      </c>
      <c r="E46" s="2" t="s">
        <v>629</v>
      </c>
      <c r="F46" s="2" t="s">
        <v>419</v>
      </c>
      <c r="G46" s="2" t="s">
        <v>420</v>
      </c>
      <c r="H46" s="2" t="s">
        <v>210</v>
      </c>
      <c r="I46" s="2">
        <v>41.0</v>
      </c>
      <c r="J46" s="2" t="s">
        <v>250</v>
      </c>
      <c r="K46" s="2">
        <v>20.0</v>
      </c>
      <c r="L46" s="2" t="s">
        <v>77</v>
      </c>
      <c r="M46" s="2">
        <v>-21.0</v>
      </c>
      <c r="N46" s="2">
        <v>61.0</v>
      </c>
      <c r="O46" s="2">
        <v>0.0</v>
      </c>
      <c r="P46" s="2">
        <v>2.025092107E9</v>
      </c>
      <c r="Q46" s="2">
        <v>59883.0</v>
      </c>
      <c r="S46" s="2" t="s">
        <v>654</v>
      </c>
      <c r="T46" s="2">
        <v>28459.0</v>
      </c>
      <c r="U46" s="2">
        <v>4.01772733E8</v>
      </c>
      <c r="V46" s="2">
        <v>6774.0</v>
      </c>
      <c r="W46" s="2">
        <v>7.0</v>
      </c>
      <c r="X46" s="2">
        <v>7.0</v>
      </c>
      <c r="Y46" s="2">
        <v>-245.0</v>
      </c>
      <c r="Z46" s="2">
        <v>200.0</v>
      </c>
      <c r="AA46" s="2">
        <v>-6.0</v>
      </c>
      <c r="AB46" s="2">
        <v>-108.0</v>
      </c>
      <c r="AC46" s="2">
        <v>-112.0</v>
      </c>
      <c r="AD46" s="2">
        <v>43.5</v>
      </c>
      <c r="AE46" s="2">
        <v>-115.0</v>
      </c>
      <c r="AF46" s="2">
        <v>-105.0</v>
      </c>
      <c r="AG46" s="2">
        <v>1.0</v>
      </c>
      <c r="AH46" s="2" t="s">
        <v>395</v>
      </c>
      <c r="AI46" s="2" t="s">
        <v>396</v>
      </c>
      <c r="AJ46" s="2">
        <v>84.0</v>
      </c>
      <c r="AK46" s="2">
        <v>8.0</v>
      </c>
      <c r="AL46" s="2" t="s">
        <v>445</v>
      </c>
      <c r="AM46" s="2" t="s">
        <v>503</v>
      </c>
      <c r="AN46" s="2" t="s">
        <v>211</v>
      </c>
      <c r="AO46" s="2" t="s">
        <v>251</v>
      </c>
      <c r="AP46" s="2" t="s">
        <v>447</v>
      </c>
      <c r="AQ46" s="2" t="s">
        <v>505</v>
      </c>
      <c r="AR46" s="2" t="s">
        <v>477</v>
      </c>
      <c r="AS46" s="2" t="s">
        <v>597</v>
      </c>
      <c r="AT46" s="2" t="s">
        <v>598</v>
      </c>
      <c r="AV46" s="2">
        <f t="array" ref="AV46">IF($A46="","",IF(INDEX($A46:$AT46,1,MAP!$B$3)=CurrentSeason,1,0))</f>
        <v>0</v>
      </c>
      <c r="AW46" s="2" t="str">
        <f t="shared" si="1"/>
        <v/>
      </c>
    </row>
    <row r="47" ht="15.0" customHeight="1">
      <c r="A47" s="2" t="s">
        <v>655</v>
      </c>
      <c r="B47" s="2">
        <v>2025.0</v>
      </c>
      <c r="C47" s="2" t="s">
        <v>390</v>
      </c>
      <c r="D47" s="2">
        <v>3.0</v>
      </c>
      <c r="E47" s="2" t="s">
        <v>629</v>
      </c>
      <c r="F47" s="2" t="s">
        <v>419</v>
      </c>
      <c r="G47" s="2" t="s">
        <v>420</v>
      </c>
      <c r="H47" s="2" t="s">
        <v>222</v>
      </c>
      <c r="I47" s="2">
        <v>24.0</v>
      </c>
      <c r="J47" s="2" t="s">
        <v>253</v>
      </c>
      <c r="K47" s="2">
        <v>41.0</v>
      </c>
      <c r="L47" s="2" t="s">
        <v>77</v>
      </c>
      <c r="M47" s="2">
        <v>17.0</v>
      </c>
      <c r="N47" s="2">
        <v>65.0</v>
      </c>
      <c r="O47" s="2">
        <v>0.0</v>
      </c>
      <c r="P47" s="2">
        <v>2.025092108E9</v>
      </c>
      <c r="Q47" s="2">
        <v>59884.0</v>
      </c>
      <c r="S47" s="2" t="s">
        <v>656</v>
      </c>
      <c r="T47" s="2">
        <v>28460.0</v>
      </c>
      <c r="U47" s="2">
        <v>4.01772841E8</v>
      </c>
      <c r="V47" s="2">
        <v>6775.0</v>
      </c>
      <c r="W47" s="2">
        <v>6.0</v>
      </c>
      <c r="X47" s="2">
        <v>10.0</v>
      </c>
      <c r="Y47" s="2">
        <v>130.0</v>
      </c>
      <c r="Z47" s="2">
        <v>-155.0</v>
      </c>
      <c r="AA47" s="2">
        <v>2.5</v>
      </c>
      <c r="AB47" s="2">
        <v>100.0</v>
      </c>
      <c r="AC47" s="2">
        <v>-120.0</v>
      </c>
      <c r="AD47" s="2">
        <v>43.5</v>
      </c>
      <c r="AE47" s="2">
        <v>-110.0</v>
      </c>
      <c r="AF47" s="2">
        <v>-110.0</v>
      </c>
      <c r="AG47" s="2">
        <v>0.0</v>
      </c>
      <c r="AH47" s="2" t="s">
        <v>395</v>
      </c>
      <c r="AI47" s="2" t="s">
        <v>396</v>
      </c>
      <c r="AJ47" s="2">
        <v>72.0</v>
      </c>
      <c r="AK47" s="2">
        <v>6.0</v>
      </c>
      <c r="AL47" s="2" t="s">
        <v>462</v>
      </c>
      <c r="AM47" s="2" t="s">
        <v>657</v>
      </c>
      <c r="AN47" s="2" t="s">
        <v>239</v>
      </c>
      <c r="AO47" s="2" t="s">
        <v>658</v>
      </c>
      <c r="AP47" s="2" t="s">
        <v>464</v>
      </c>
      <c r="AQ47" s="2" t="s">
        <v>496</v>
      </c>
      <c r="AR47" s="2" t="s">
        <v>516</v>
      </c>
      <c r="AS47" s="2" t="s">
        <v>498</v>
      </c>
      <c r="AT47" s="2" t="s">
        <v>499</v>
      </c>
      <c r="AV47" s="2">
        <f t="array" ref="AV47">IF($A47="","",IF(INDEX($A47:$AT47,1,MAP!$B$3)=CurrentSeason,1,0))</f>
        <v>0</v>
      </c>
      <c r="AW47" s="2" t="str">
        <f t="shared" si="1"/>
        <v/>
      </c>
    </row>
    <row r="48" ht="15.0" customHeight="1">
      <c r="A48" s="2" t="s">
        <v>659</v>
      </c>
      <c r="B48" s="2">
        <v>2025.0</v>
      </c>
      <c r="C48" s="2" t="s">
        <v>390</v>
      </c>
      <c r="D48" s="2">
        <v>3.0</v>
      </c>
      <c r="E48" s="2" t="s">
        <v>629</v>
      </c>
      <c r="F48" s="2" t="s">
        <v>419</v>
      </c>
      <c r="G48" s="2" t="s">
        <v>501</v>
      </c>
      <c r="H48" s="2" t="s">
        <v>139</v>
      </c>
      <c r="I48" s="2">
        <v>20.0</v>
      </c>
      <c r="J48" s="2" t="s">
        <v>220</v>
      </c>
      <c r="K48" s="2">
        <v>23.0</v>
      </c>
      <c r="L48" s="2" t="s">
        <v>77</v>
      </c>
      <c r="M48" s="2">
        <v>3.0</v>
      </c>
      <c r="N48" s="2">
        <v>43.0</v>
      </c>
      <c r="O48" s="2">
        <v>0.0</v>
      </c>
      <c r="P48" s="2">
        <v>2.025092109E9</v>
      </c>
      <c r="Q48" s="2">
        <v>59885.0</v>
      </c>
      <c r="S48" s="2" t="s">
        <v>660</v>
      </c>
      <c r="T48" s="2">
        <v>28461.0</v>
      </c>
      <c r="U48" s="2">
        <v>4.01772735E8</v>
      </c>
      <c r="V48" s="2">
        <v>6776.0</v>
      </c>
      <c r="W48" s="2">
        <v>7.0</v>
      </c>
      <c r="X48" s="2">
        <v>6.0</v>
      </c>
      <c r="Y48" s="2">
        <v>130.0</v>
      </c>
      <c r="Z48" s="2">
        <v>-155.0</v>
      </c>
      <c r="AA48" s="2">
        <v>2.5</v>
      </c>
      <c r="AB48" s="2">
        <v>100.0</v>
      </c>
      <c r="AC48" s="2">
        <v>-120.0</v>
      </c>
      <c r="AD48" s="2">
        <v>45.5</v>
      </c>
      <c r="AE48" s="2">
        <v>-110.0</v>
      </c>
      <c r="AF48" s="2">
        <v>-110.0</v>
      </c>
      <c r="AG48" s="2">
        <v>1.0</v>
      </c>
      <c r="AH48" s="2" t="s">
        <v>409</v>
      </c>
      <c r="AI48" s="2" t="s">
        <v>531</v>
      </c>
      <c r="AL48" s="2" t="s">
        <v>504</v>
      </c>
      <c r="AM48" s="2" t="s">
        <v>411</v>
      </c>
      <c r="AN48" s="2" t="s">
        <v>201</v>
      </c>
      <c r="AO48" s="2" t="s">
        <v>221</v>
      </c>
      <c r="AP48" s="2" t="s">
        <v>506</v>
      </c>
      <c r="AQ48" s="2" t="s">
        <v>413</v>
      </c>
      <c r="AR48" s="2" t="s">
        <v>401</v>
      </c>
      <c r="AS48" s="2" t="s">
        <v>415</v>
      </c>
      <c r="AT48" s="2" t="s">
        <v>416</v>
      </c>
      <c r="AV48" s="2">
        <f t="array" ref="AV48">IF($A48="","",IF(INDEX($A48:$AT48,1,MAP!$B$3)=CurrentSeason,1,0))</f>
        <v>0</v>
      </c>
      <c r="AW48" s="2" t="str">
        <f t="shared" si="1"/>
        <v/>
      </c>
    </row>
    <row r="49" ht="15.0" customHeight="1">
      <c r="A49" s="2" t="s">
        <v>661</v>
      </c>
      <c r="B49" s="2">
        <v>2025.0</v>
      </c>
      <c r="C49" s="2" t="s">
        <v>390</v>
      </c>
      <c r="D49" s="2">
        <v>3.0</v>
      </c>
      <c r="E49" s="2" t="s">
        <v>629</v>
      </c>
      <c r="F49" s="2" t="s">
        <v>419</v>
      </c>
      <c r="G49" s="2" t="s">
        <v>501</v>
      </c>
      <c r="H49" s="2" t="s">
        <v>232</v>
      </c>
      <c r="I49" s="2">
        <v>13.0</v>
      </c>
      <c r="J49" s="2" t="s">
        <v>149</v>
      </c>
      <c r="K49" s="2">
        <v>44.0</v>
      </c>
      <c r="L49" s="2" t="s">
        <v>77</v>
      </c>
      <c r="M49" s="2">
        <v>31.0</v>
      </c>
      <c r="N49" s="2">
        <v>57.0</v>
      </c>
      <c r="O49" s="2">
        <v>0.0</v>
      </c>
      <c r="P49" s="2">
        <v>2.02509211E9</v>
      </c>
      <c r="Q49" s="2">
        <v>59886.0</v>
      </c>
      <c r="S49" s="2" t="s">
        <v>662</v>
      </c>
      <c r="T49" s="2">
        <v>28462.0</v>
      </c>
      <c r="U49" s="2">
        <v>4.01772736E8</v>
      </c>
      <c r="V49" s="2">
        <v>6777.0</v>
      </c>
      <c r="W49" s="2">
        <v>7.0</v>
      </c>
      <c r="X49" s="2">
        <v>7.0</v>
      </c>
      <c r="Y49" s="2">
        <v>295.0</v>
      </c>
      <c r="Z49" s="2">
        <v>-375.0</v>
      </c>
      <c r="AA49" s="2">
        <v>7.5</v>
      </c>
      <c r="AB49" s="2">
        <v>-115.0</v>
      </c>
      <c r="AC49" s="2">
        <v>-105.0</v>
      </c>
      <c r="AD49" s="2">
        <v>41.5</v>
      </c>
      <c r="AE49" s="2">
        <v>-108.0</v>
      </c>
      <c r="AF49" s="2">
        <v>-112.0</v>
      </c>
      <c r="AG49" s="2">
        <v>0.0</v>
      </c>
      <c r="AH49" s="2" t="s">
        <v>395</v>
      </c>
      <c r="AI49" s="2" t="s">
        <v>423</v>
      </c>
      <c r="AJ49" s="2">
        <v>63.0</v>
      </c>
      <c r="AK49" s="2">
        <v>3.0</v>
      </c>
      <c r="AL49" s="2" t="s">
        <v>473</v>
      </c>
      <c r="AM49" s="2" t="s">
        <v>513</v>
      </c>
      <c r="AN49" s="2" t="s">
        <v>474</v>
      </c>
      <c r="AO49" s="2" t="s">
        <v>245</v>
      </c>
      <c r="AP49" s="2" t="s">
        <v>476</v>
      </c>
      <c r="AQ49" s="2" t="s">
        <v>515</v>
      </c>
      <c r="AR49" s="2" t="s">
        <v>457</v>
      </c>
      <c r="AS49" s="2" t="s">
        <v>517</v>
      </c>
      <c r="AT49" s="2" t="s">
        <v>518</v>
      </c>
      <c r="AV49" s="2">
        <f t="array" ref="AV49">IF($A49="","",IF(INDEX($A49:$AT49,1,MAP!$B$3)=CurrentSeason,1,0))</f>
        <v>0</v>
      </c>
      <c r="AW49" s="2" t="str">
        <f t="shared" si="1"/>
        <v/>
      </c>
    </row>
    <row r="50" ht="15.0" customHeight="1">
      <c r="A50" s="2" t="s">
        <v>663</v>
      </c>
      <c r="B50" s="2">
        <v>2025.0</v>
      </c>
      <c r="C50" s="2" t="s">
        <v>390</v>
      </c>
      <c r="D50" s="2">
        <v>3.0</v>
      </c>
      <c r="E50" s="2" t="s">
        <v>629</v>
      </c>
      <c r="F50" s="2" t="s">
        <v>419</v>
      </c>
      <c r="G50" s="2" t="s">
        <v>520</v>
      </c>
      <c r="H50" s="2" t="s">
        <v>146</v>
      </c>
      <c r="I50" s="2">
        <v>14.0</v>
      </c>
      <c r="J50" s="2" t="s">
        <v>137</v>
      </c>
      <c r="K50" s="2">
        <v>31.0</v>
      </c>
      <c r="L50" s="2" t="s">
        <v>77</v>
      </c>
      <c r="M50" s="2">
        <v>17.0</v>
      </c>
      <c r="N50" s="2">
        <v>45.0</v>
      </c>
      <c r="O50" s="2">
        <v>0.0</v>
      </c>
      <c r="P50" s="2">
        <v>2.025092111E9</v>
      </c>
      <c r="Q50" s="2">
        <v>59887.0</v>
      </c>
      <c r="S50" s="2" t="s">
        <v>664</v>
      </c>
      <c r="T50" s="2">
        <v>28463.0</v>
      </c>
      <c r="U50" s="2">
        <v>4.01772844E8</v>
      </c>
      <c r="V50" s="2">
        <v>6778.0</v>
      </c>
      <c r="W50" s="2">
        <v>7.0</v>
      </c>
      <c r="X50" s="2">
        <v>7.0</v>
      </c>
      <c r="Y50" s="2">
        <v>-125.0</v>
      </c>
      <c r="Z50" s="2">
        <v>105.0</v>
      </c>
      <c r="AA50" s="2">
        <v>-1.5</v>
      </c>
      <c r="AB50" s="2">
        <v>-115.0</v>
      </c>
      <c r="AC50" s="2">
        <v>-105.0</v>
      </c>
      <c r="AD50" s="2">
        <v>49.5</v>
      </c>
      <c r="AE50" s="2">
        <v>100.0</v>
      </c>
      <c r="AF50" s="2">
        <v>-120.0</v>
      </c>
      <c r="AG50" s="2">
        <v>0.0</v>
      </c>
      <c r="AH50" s="2" t="s">
        <v>395</v>
      </c>
      <c r="AI50" s="2" t="s">
        <v>396</v>
      </c>
      <c r="AJ50" s="2">
        <v>82.0</v>
      </c>
      <c r="AK50" s="2">
        <v>4.0</v>
      </c>
      <c r="AL50" s="2" t="s">
        <v>397</v>
      </c>
      <c r="AM50" s="2" t="s">
        <v>553</v>
      </c>
      <c r="AN50" s="2" t="s">
        <v>199</v>
      </c>
      <c r="AO50" s="2" t="s">
        <v>192</v>
      </c>
      <c r="AP50" s="2" t="s">
        <v>399</v>
      </c>
      <c r="AQ50" s="2" t="s">
        <v>556</v>
      </c>
      <c r="AR50" s="2" t="s">
        <v>497</v>
      </c>
      <c r="AS50" s="2" t="s">
        <v>558</v>
      </c>
      <c r="AT50" s="2" t="s">
        <v>559</v>
      </c>
      <c r="AV50" s="2">
        <f t="array" ref="AV50">IF($A50="","",IF(INDEX($A50:$AT50,1,MAP!$B$3)=CurrentSeason,1,0))</f>
        <v>0</v>
      </c>
      <c r="AW50" s="2" t="str">
        <f t="shared" si="1"/>
        <v/>
      </c>
    </row>
    <row r="51" ht="15.0" customHeight="1">
      <c r="A51" s="2" t="s">
        <v>665</v>
      </c>
      <c r="B51" s="2">
        <v>2025.0</v>
      </c>
      <c r="C51" s="2" t="s">
        <v>390</v>
      </c>
      <c r="D51" s="2">
        <v>3.0</v>
      </c>
      <c r="E51" s="2" t="s">
        <v>629</v>
      </c>
      <c r="F51" s="2" t="s">
        <v>419</v>
      </c>
      <c r="G51" s="2" t="s">
        <v>520</v>
      </c>
      <c r="H51" s="2" t="s">
        <v>178</v>
      </c>
      <c r="I51" s="2">
        <v>15.0</v>
      </c>
      <c r="J51" s="2" t="s">
        <v>246</v>
      </c>
      <c r="K51" s="2">
        <v>16.0</v>
      </c>
      <c r="L51" s="2" t="s">
        <v>77</v>
      </c>
      <c r="M51" s="2">
        <v>1.0</v>
      </c>
      <c r="N51" s="2">
        <v>31.0</v>
      </c>
      <c r="O51" s="2">
        <v>0.0</v>
      </c>
      <c r="P51" s="2">
        <v>2.025092112E9</v>
      </c>
      <c r="Q51" s="2">
        <v>59888.0</v>
      </c>
      <c r="S51" s="2" t="s">
        <v>666</v>
      </c>
      <c r="T51" s="2">
        <v>28464.0</v>
      </c>
      <c r="U51" s="2">
        <v>4.01772843E8</v>
      </c>
      <c r="V51" s="2">
        <v>6779.0</v>
      </c>
      <c r="W51" s="2">
        <v>7.0</v>
      </c>
      <c r="X51" s="2">
        <v>7.0</v>
      </c>
      <c r="Y51" s="2">
        <v>105.0</v>
      </c>
      <c r="Z51" s="2">
        <v>-125.0</v>
      </c>
      <c r="AA51" s="2">
        <v>1.5</v>
      </c>
      <c r="AB51" s="2">
        <v>-112.0</v>
      </c>
      <c r="AC51" s="2">
        <v>-108.0</v>
      </c>
      <c r="AD51" s="2">
        <v>44.5</v>
      </c>
      <c r="AE51" s="2">
        <v>-112.0</v>
      </c>
      <c r="AF51" s="2">
        <v>-108.0</v>
      </c>
      <c r="AG51" s="2">
        <v>1.0</v>
      </c>
      <c r="AH51" s="2" t="s">
        <v>395</v>
      </c>
      <c r="AI51" s="2" t="s">
        <v>396</v>
      </c>
      <c r="AJ51" s="2">
        <v>72.0</v>
      </c>
      <c r="AK51" s="2">
        <v>7.0</v>
      </c>
      <c r="AL51" s="2" t="s">
        <v>472</v>
      </c>
      <c r="AM51" s="2" t="s">
        <v>587</v>
      </c>
      <c r="AN51" s="2" t="s">
        <v>228</v>
      </c>
      <c r="AO51" s="2" t="s">
        <v>588</v>
      </c>
      <c r="AP51" s="2" t="s">
        <v>475</v>
      </c>
      <c r="AQ51" s="2" t="s">
        <v>514</v>
      </c>
      <c r="AR51" s="2" t="s">
        <v>544</v>
      </c>
      <c r="AS51" s="2" t="s">
        <v>667</v>
      </c>
      <c r="AT51" s="2" t="s">
        <v>668</v>
      </c>
      <c r="AV51" s="2">
        <f t="array" ref="AV51">IF($A51="","",IF(INDEX($A51:$AT51,1,MAP!$B$3)=CurrentSeason,1,0))</f>
        <v>0</v>
      </c>
      <c r="AW51" s="2" t="str">
        <f t="shared" si="1"/>
        <v/>
      </c>
    </row>
    <row r="52" ht="15.0" customHeight="1">
      <c r="A52" s="2" t="s">
        <v>669</v>
      </c>
      <c r="B52" s="2">
        <v>2025.0</v>
      </c>
      <c r="C52" s="2" t="s">
        <v>390</v>
      </c>
      <c r="D52" s="2">
        <v>3.0</v>
      </c>
      <c r="E52" s="2" t="s">
        <v>629</v>
      </c>
      <c r="F52" s="2" t="s">
        <v>419</v>
      </c>
      <c r="G52" s="2" t="s">
        <v>393</v>
      </c>
      <c r="H52" s="2" t="s">
        <v>143</v>
      </c>
      <c r="I52" s="2">
        <v>22.0</v>
      </c>
      <c r="J52" s="2" t="s">
        <v>235</v>
      </c>
      <c r="K52" s="2">
        <v>9.0</v>
      </c>
      <c r="L52" s="2" t="s">
        <v>77</v>
      </c>
      <c r="M52" s="2">
        <v>-13.0</v>
      </c>
      <c r="N52" s="2">
        <v>31.0</v>
      </c>
      <c r="O52" s="2">
        <v>0.0</v>
      </c>
      <c r="P52" s="2">
        <v>2.025092113E9</v>
      </c>
      <c r="Q52" s="2">
        <v>59889.0</v>
      </c>
      <c r="S52" s="2" t="s">
        <v>670</v>
      </c>
      <c r="T52" s="2">
        <v>28465.0</v>
      </c>
      <c r="U52" s="2">
        <v>4.0177292E8</v>
      </c>
      <c r="V52" s="2">
        <v>6780.0</v>
      </c>
      <c r="W52" s="2">
        <v>7.0</v>
      </c>
      <c r="X52" s="2">
        <v>7.0</v>
      </c>
      <c r="Y52" s="2">
        <v>-325.0</v>
      </c>
      <c r="Z52" s="2">
        <v>260.0</v>
      </c>
      <c r="AA52" s="2">
        <v>-6.0</v>
      </c>
      <c r="AB52" s="2">
        <v>-115.0</v>
      </c>
      <c r="AC52" s="2">
        <v>-105.0</v>
      </c>
      <c r="AD52" s="2">
        <v>44.5</v>
      </c>
      <c r="AE52" s="2">
        <v>-105.0</v>
      </c>
      <c r="AF52" s="2">
        <v>-115.0</v>
      </c>
      <c r="AG52" s="2">
        <v>0.0</v>
      </c>
      <c r="AH52" s="2" t="s">
        <v>395</v>
      </c>
      <c r="AI52" s="2" t="s">
        <v>423</v>
      </c>
      <c r="AJ52" s="2">
        <v>65.0</v>
      </c>
      <c r="AK52" s="2">
        <v>5.0</v>
      </c>
      <c r="AL52" s="2" t="s">
        <v>410</v>
      </c>
      <c r="AM52" s="2" t="s">
        <v>492</v>
      </c>
      <c r="AN52" s="2" t="s">
        <v>216</v>
      </c>
      <c r="AO52" s="2" t="s">
        <v>494</v>
      </c>
      <c r="AP52" s="2" t="s">
        <v>412</v>
      </c>
      <c r="AQ52" s="2" t="s">
        <v>495</v>
      </c>
      <c r="AR52" s="2" t="s">
        <v>429</v>
      </c>
      <c r="AS52" s="2" t="s">
        <v>488</v>
      </c>
      <c r="AT52" s="2" t="s">
        <v>489</v>
      </c>
      <c r="AV52" s="2">
        <f t="array" ref="AV52">IF($A52="","",IF(INDEX($A52:$AT52,1,MAP!$B$3)=CurrentSeason,1,0))</f>
        <v>0</v>
      </c>
      <c r="AW52" s="2" t="str">
        <f t="shared" si="1"/>
        <v/>
      </c>
    </row>
    <row r="53" ht="15.0" customHeight="1">
      <c r="A53" s="2" t="s">
        <v>671</v>
      </c>
      <c r="B53" s="2">
        <v>2025.0</v>
      </c>
      <c r="C53" s="2" t="s">
        <v>390</v>
      </c>
      <c r="D53" s="2">
        <v>3.0</v>
      </c>
      <c r="E53" s="2" t="s">
        <v>672</v>
      </c>
      <c r="F53" s="2" t="s">
        <v>549</v>
      </c>
      <c r="G53" s="2" t="s">
        <v>550</v>
      </c>
      <c r="H53" s="2" t="s">
        <v>202</v>
      </c>
      <c r="I53" s="2">
        <v>38.0</v>
      </c>
      <c r="J53" s="2" t="s">
        <v>148</v>
      </c>
      <c r="K53" s="2">
        <v>30.0</v>
      </c>
      <c r="L53" s="2" t="s">
        <v>77</v>
      </c>
      <c r="M53" s="2">
        <v>-8.0</v>
      </c>
      <c r="N53" s="2">
        <v>68.0</v>
      </c>
      <c r="O53" s="2">
        <v>0.0</v>
      </c>
      <c r="P53" s="2">
        <v>2.0250922E9</v>
      </c>
      <c r="Q53" s="2">
        <v>59890.0</v>
      </c>
      <c r="S53" s="2" t="s">
        <v>673</v>
      </c>
      <c r="T53" s="2">
        <v>28451.0</v>
      </c>
      <c r="U53" s="2">
        <v>4.01772812E8</v>
      </c>
      <c r="V53" s="2">
        <v>6781.0</v>
      </c>
      <c r="W53" s="2">
        <v>8.0</v>
      </c>
      <c r="X53" s="2">
        <v>8.0</v>
      </c>
      <c r="Y53" s="2">
        <v>200.0</v>
      </c>
      <c r="Z53" s="2">
        <v>-245.0</v>
      </c>
      <c r="AA53" s="2">
        <v>4.5</v>
      </c>
      <c r="AB53" s="2">
        <v>-105.0</v>
      </c>
      <c r="AC53" s="2">
        <v>-115.0</v>
      </c>
      <c r="AD53" s="2">
        <v>53.5</v>
      </c>
      <c r="AE53" s="2">
        <v>-105.0</v>
      </c>
      <c r="AF53" s="2">
        <v>-115.0</v>
      </c>
      <c r="AG53" s="2">
        <v>0.0</v>
      </c>
      <c r="AH53" s="2" t="s">
        <v>395</v>
      </c>
      <c r="AI53" s="2" t="s">
        <v>396</v>
      </c>
      <c r="AJ53" s="2">
        <v>74.0</v>
      </c>
      <c r="AK53" s="2">
        <v>7.0</v>
      </c>
      <c r="AL53" s="2" t="s">
        <v>522</v>
      </c>
      <c r="AM53" s="2" t="s">
        <v>540</v>
      </c>
      <c r="AN53" s="2" t="s">
        <v>203</v>
      </c>
      <c r="AO53" s="2" t="s">
        <v>184</v>
      </c>
      <c r="AP53" s="2" t="s">
        <v>524</v>
      </c>
      <c r="AQ53" s="2" t="s">
        <v>542</v>
      </c>
      <c r="AR53" s="2" t="s">
        <v>487</v>
      </c>
      <c r="AS53" s="2" t="s">
        <v>567</v>
      </c>
      <c r="AT53" s="2" t="s">
        <v>568</v>
      </c>
      <c r="AV53" s="2">
        <f t="array" ref="AV53">IF($A53="","",IF(INDEX($A53:$AT53,1,MAP!$B$3)=CurrentSeason,1,0))</f>
        <v>0</v>
      </c>
      <c r="AW53" s="2" t="str">
        <f t="shared" si="1"/>
        <v/>
      </c>
    </row>
    <row r="54" ht="15.0" customHeight="1">
      <c r="A54" s="2" t="s">
        <v>674</v>
      </c>
      <c r="B54" s="2">
        <v>2025.0</v>
      </c>
      <c r="C54" s="2" t="s">
        <v>390</v>
      </c>
      <c r="D54" s="2">
        <v>4.0</v>
      </c>
      <c r="E54" s="2" t="s">
        <v>675</v>
      </c>
      <c r="F54" s="2" t="s">
        <v>392</v>
      </c>
      <c r="G54" s="2" t="s">
        <v>550</v>
      </c>
      <c r="H54" s="2" t="s">
        <v>149</v>
      </c>
      <c r="I54" s="2">
        <v>23.0</v>
      </c>
      <c r="J54" s="2" t="s">
        <v>178</v>
      </c>
      <c r="K54" s="2">
        <v>20.0</v>
      </c>
      <c r="L54" s="2" t="s">
        <v>77</v>
      </c>
      <c r="M54" s="2">
        <v>-3.0</v>
      </c>
      <c r="N54" s="2">
        <v>43.0</v>
      </c>
      <c r="O54" s="2">
        <v>0.0</v>
      </c>
      <c r="P54" s="2">
        <v>2.0250925E9</v>
      </c>
      <c r="Q54" s="2">
        <v>59891.0</v>
      </c>
      <c r="S54" s="2" t="s">
        <v>676</v>
      </c>
      <c r="T54" s="2">
        <v>28466.0</v>
      </c>
      <c r="U54" s="2">
        <v>4.01772938E8</v>
      </c>
      <c r="V54" s="2">
        <v>6782.0</v>
      </c>
      <c r="W54" s="2">
        <v>4.0</v>
      </c>
      <c r="X54" s="2">
        <v>4.0</v>
      </c>
      <c r="Y54" s="2">
        <v>-125.0</v>
      </c>
      <c r="Z54" s="2">
        <v>105.0</v>
      </c>
      <c r="AA54" s="2">
        <v>-1.5</v>
      </c>
      <c r="AB54" s="2">
        <v>-110.0</v>
      </c>
      <c r="AC54" s="2">
        <v>-110.0</v>
      </c>
      <c r="AD54" s="2">
        <v>43.5</v>
      </c>
      <c r="AE54" s="2">
        <v>-108.0</v>
      </c>
      <c r="AF54" s="2">
        <v>-112.0</v>
      </c>
      <c r="AG54" s="2">
        <v>1.0</v>
      </c>
      <c r="AH54" s="2" t="s">
        <v>422</v>
      </c>
      <c r="AI54" s="2" t="s">
        <v>396</v>
      </c>
      <c r="AL54" s="2" t="s">
        <v>513</v>
      </c>
      <c r="AM54" s="2" t="s">
        <v>472</v>
      </c>
      <c r="AN54" s="2" t="s">
        <v>245</v>
      </c>
      <c r="AO54" s="2" t="s">
        <v>228</v>
      </c>
      <c r="AP54" s="2" t="s">
        <v>515</v>
      </c>
      <c r="AQ54" s="2" t="s">
        <v>475</v>
      </c>
      <c r="AR54" s="2" t="s">
        <v>507</v>
      </c>
      <c r="AS54" s="2" t="s">
        <v>601</v>
      </c>
      <c r="AT54" s="2" t="s">
        <v>602</v>
      </c>
      <c r="AV54" s="2">
        <f t="array" ref="AV54">IF($A54="","",IF(INDEX($A54:$AT54,1,MAP!$B$3)=CurrentSeason,1,0))</f>
        <v>0</v>
      </c>
      <c r="AW54" s="2" t="str">
        <f t="shared" si="1"/>
        <v/>
      </c>
    </row>
    <row r="55" ht="15.0" customHeight="1">
      <c r="A55" s="2" t="s">
        <v>677</v>
      </c>
      <c r="B55" s="2">
        <v>2025.0</v>
      </c>
      <c r="C55" s="2" t="s">
        <v>390</v>
      </c>
      <c r="D55" s="2">
        <v>4.0</v>
      </c>
      <c r="E55" s="2" t="s">
        <v>678</v>
      </c>
      <c r="F55" s="2" t="s">
        <v>419</v>
      </c>
      <c r="G55" s="2" t="s">
        <v>679</v>
      </c>
      <c r="H55" s="2" t="s">
        <v>144</v>
      </c>
      <c r="I55" s="2">
        <v>21.0</v>
      </c>
      <c r="J55" s="2" t="s">
        <v>242</v>
      </c>
      <c r="K55" s="2">
        <v>24.0</v>
      </c>
      <c r="L55" s="2" t="s">
        <v>78</v>
      </c>
      <c r="M55" s="2">
        <v>3.0</v>
      </c>
      <c r="N55" s="2">
        <v>45.0</v>
      </c>
      <c r="O55" s="2">
        <v>0.0</v>
      </c>
      <c r="P55" s="2">
        <v>2.0250928E9</v>
      </c>
      <c r="Q55" s="2">
        <v>59892.0</v>
      </c>
      <c r="S55" s="2" t="s">
        <v>680</v>
      </c>
      <c r="T55" s="2">
        <v>28467.0</v>
      </c>
      <c r="U55" s="2">
        <v>4.01772632E8</v>
      </c>
      <c r="V55" s="2">
        <v>6783.0</v>
      </c>
      <c r="W55" s="2">
        <v>7.0</v>
      </c>
      <c r="X55" s="2">
        <v>7.0</v>
      </c>
      <c r="Y55" s="2">
        <v>-148.0</v>
      </c>
      <c r="Z55" s="2">
        <v>124.0</v>
      </c>
      <c r="AA55" s="2">
        <v>-2.5</v>
      </c>
      <c r="AB55" s="2">
        <v>-125.0</v>
      </c>
      <c r="AC55" s="2">
        <v>105.0</v>
      </c>
      <c r="AD55" s="2">
        <v>41.5</v>
      </c>
      <c r="AE55" s="2">
        <v>-115.0</v>
      </c>
      <c r="AF55" s="2">
        <v>-105.0</v>
      </c>
      <c r="AG55" s="2">
        <v>0.0</v>
      </c>
      <c r="AH55" s="2" t="s">
        <v>395</v>
      </c>
      <c r="AI55" s="2" t="s">
        <v>396</v>
      </c>
      <c r="AJ55" s="2">
        <v>61.0</v>
      </c>
      <c r="AK55" s="2">
        <v>5.0</v>
      </c>
      <c r="AL55" s="2" t="s">
        <v>640</v>
      </c>
      <c r="AM55" s="2" t="s">
        <v>482</v>
      </c>
      <c r="AN55" s="2" t="s">
        <v>642</v>
      </c>
      <c r="AO55" s="2" t="s">
        <v>243</v>
      </c>
      <c r="AP55" s="2" t="s">
        <v>555</v>
      </c>
      <c r="AQ55" s="2" t="s">
        <v>485</v>
      </c>
      <c r="AR55" s="2" t="s">
        <v>448</v>
      </c>
      <c r="AS55" s="2" t="s">
        <v>593</v>
      </c>
      <c r="AT55" s="2" t="s">
        <v>594</v>
      </c>
      <c r="AV55" s="2">
        <f t="array" ref="AV55">IF($A55="","",IF(INDEX($A55:$AT55,1,MAP!$B$3)=CurrentSeason,1,0))</f>
        <v>0</v>
      </c>
      <c r="AW55" s="2" t="str">
        <f t="shared" si="1"/>
        <v/>
      </c>
    </row>
    <row r="56" ht="15.0" customHeight="1">
      <c r="A56" s="2" t="s">
        <v>681</v>
      </c>
      <c r="B56" s="2">
        <v>2025.0</v>
      </c>
      <c r="C56" s="2" t="s">
        <v>390</v>
      </c>
      <c r="D56" s="2">
        <v>4.0</v>
      </c>
      <c r="E56" s="2" t="s">
        <v>678</v>
      </c>
      <c r="F56" s="2" t="s">
        <v>419</v>
      </c>
      <c r="G56" s="2" t="s">
        <v>420</v>
      </c>
      <c r="H56" s="2" t="s">
        <v>253</v>
      </c>
      <c r="I56" s="2">
        <v>27.0</v>
      </c>
      <c r="J56" s="2" t="s">
        <v>132</v>
      </c>
      <c r="K56" s="2">
        <v>34.0</v>
      </c>
      <c r="L56" s="2" t="s">
        <v>77</v>
      </c>
      <c r="M56" s="2">
        <v>7.0</v>
      </c>
      <c r="N56" s="2">
        <v>61.0</v>
      </c>
      <c r="O56" s="2">
        <v>0.0</v>
      </c>
      <c r="P56" s="2">
        <v>2.025092801E9</v>
      </c>
      <c r="Q56" s="2">
        <v>59893.0</v>
      </c>
      <c r="S56" s="2" t="s">
        <v>682</v>
      </c>
      <c r="T56" s="2">
        <v>28468.0</v>
      </c>
      <c r="U56" s="2">
        <v>4.01772739E8</v>
      </c>
      <c r="V56" s="2">
        <v>6784.0</v>
      </c>
      <c r="W56" s="2">
        <v>7.0</v>
      </c>
      <c r="X56" s="2">
        <v>7.0</v>
      </c>
      <c r="Y56" s="2">
        <v>120.0</v>
      </c>
      <c r="Z56" s="2">
        <v>-142.0</v>
      </c>
      <c r="AA56" s="2">
        <v>2.5</v>
      </c>
      <c r="AB56" s="2">
        <v>-110.0</v>
      </c>
      <c r="AC56" s="2">
        <v>-110.0</v>
      </c>
      <c r="AD56" s="2">
        <v>43.5</v>
      </c>
      <c r="AE56" s="2">
        <v>-112.0</v>
      </c>
      <c r="AF56" s="2">
        <v>-108.0</v>
      </c>
      <c r="AG56" s="2">
        <v>0.0</v>
      </c>
      <c r="AH56" s="2" t="s">
        <v>422</v>
      </c>
      <c r="AI56" s="2" t="s">
        <v>423</v>
      </c>
      <c r="AL56" s="2" t="s">
        <v>493</v>
      </c>
      <c r="AM56" s="2" t="s">
        <v>425</v>
      </c>
      <c r="AN56" s="2" t="s">
        <v>254</v>
      </c>
      <c r="AO56" s="2" t="s">
        <v>426</v>
      </c>
      <c r="AP56" s="2" t="s">
        <v>496</v>
      </c>
      <c r="AQ56" s="2" t="s">
        <v>428</v>
      </c>
      <c r="AR56" s="2" t="s">
        <v>477</v>
      </c>
      <c r="AS56" s="2" t="s">
        <v>430</v>
      </c>
      <c r="AT56" s="2" t="s">
        <v>431</v>
      </c>
      <c r="AV56" s="2">
        <f t="array" ref="AV56">IF($A56="","",IF(INDEX($A56:$AT56,1,MAP!$B$3)=CurrentSeason,1,0))</f>
        <v>0</v>
      </c>
      <c r="AW56" s="2" t="str">
        <f t="shared" si="1"/>
        <v/>
      </c>
    </row>
    <row r="57" ht="15.0" customHeight="1">
      <c r="A57" s="2" t="s">
        <v>683</v>
      </c>
      <c r="B57" s="2">
        <v>2025.0</v>
      </c>
      <c r="C57" s="2" t="s">
        <v>390</v>
      </c>
      <c r="D57" s="2">
        <v>4.0</v>
      </c>
      <c r="E57" s="2" t="s">
        <v>678</v>
      </c>
      <c r="F57" s="2" t="s">
        <v>419</v>
      </c>
      <c r="G57" s="2" t="s">
        <v>420</v>
      </c>
      <c r="H57" s="2" t="s">
        <v>232</v>
      </c>
      <c r="I57" s="2">
        <v>19.0</v>
      </c>
      <c r="J57" s="2" t="s">
        <v>136</v>
      </c>
      <c r="K57" s="2">
        <v>31.0</v>
      </c>
      <c r="L57" s="2" t="s">
        <v>77</v>
      </c>
      <c r="M57" s="2">
        <v>12.0</v>
      </c>
      <c r="N57" s="2">
        <v>50.0</v>
      </c>
      <c r="O57" s="2">
        <v>0.0</v>
      </c>
      <c r="P57" s="2">
        <v>2.025092802E9</v>
      </c>
      <c r="Q57" s="2">
        <v>59894.0</v>
      </c>
      <c r="S57" s="2" t="s">
        <v>684</v>
      </c>
      <c r="T57" s="2">
        <v>28469.0</v>
      </c>
      <c r="U57" s="2">
        <v>4.0177274E8</v>
      </c>
      <c r="V57" s="2">
        <v>6785.0</v>
      </c>
      <c r="W57" s="2">
        <v>7.0</v>
      </c>
      <c r="X57" s="2">
        <v>10.0</v>
      </c>
      <c r="Y57" s="2">
        <v>800.0</v>
      </c>
      <c r="Z57" s="2">
        <v>-1350.0</v>
      </c>
      <c r="AA57" s="2">
        <v>15.5</v>
      </c>
      <c r="AB57" s="2">
        <v>-115.0</v>
      </c>
      <c r="AC57" s="2">
        <v>-105.0</v>
      </c>
      <c r="AD57" s="2">
        <v>48.5</v>
      </c>
      <c r="AE57" s="2">
        <v>-115.0</v>
      </c>
      <c r="AF57" s="2">
        <v>-105.0</v>
      </c>
      <c r="AG57" s="2">
        <v>0.0</v>
      </c>
      <c r="AH57" s="2" t="s">
        <v>395</v>
      </c>
      <c r="AI57" s="2" t="s">
        <v>539</v>
      </c>
      <c r="AJ57" s="2">
        <v>73.0</v>
      </c>
      <c r="AK57" s="2">
        <v>7.0</v>
      </c>
      <c r="AL57" s="2" t="s">
        <v>473</v>
      </c>
      <c r="AM57" s="2" t="s">
        <v>541</v>
      </c>
      <c r="AN57" s="2" t="s">
        <v>474</v>
      </c>
      <c r="AO57" s="2" t="s">
        <v>187</v>
      </c>
      <c r="AP57" s="2" t="s">
        <v>476</v>
      </c>
      <c r="AQ57" s="2" t="s">
        <v>543</v>
      </c>
      <c r="AR57" s="2" t="s">
        <v>429</v>
      </c>
      <c r="AS57" s="2" t="s">
        <v>545</v>
      </c>
      <c r="AT57" s="2" t="s">
        <v>546</v>
      </c>
      <c r="AV57" s="2">
        <f t="array" ref="AV57">IF($A57="","",IF(INDEX($A57:$AT57,1,MAP!$B$3)=CurrentSeason,1,0))</f>
        <v>0</v>
      </c>
      <c r="AW57" s="2" t="str">
        <f t="shared" si="1"/>
        <v/>
      </c>
    </row>
    <row r="58" ht="15.0" customHeight="1">
      <c r="A58" s="2" t="s">
        <v>685</v>
      </c>
      <c r="B58" s="2">
        <v>2025.0</v>
      </c>
      <c r="C58" s="2" t="s">
        <v>390</v>
      </c>
      <c r="D58" s="2">
        <v>4.0</v>
      </c>
      <c r="E58" s="2" t="s">
        <v>678</v>
      </c>
      <c r="F58" s="2" t="s">
        <v>419</v>
      </c>
      <c r="G58" s="2" t="s">
        <v>420</v>
      </c>
      <c r="H58" s="2" t="s">
        <v>196</v>
      </c>
      <c r="I58" s="2">
        <v>10.0</v>
      </c>
      <c r="J58" s="2" t="s">
        <v>202</v>
      </c>
      <c r="K58" s="2">
        <v>34.0</v>
      </c>
      <c r="L58" s="2" t="s">
        <v>77</v>
      </c>
      <c r="M58" s="2">
        <v>24.0</v>
      </c>
      <c r="N58" s="2">
        <v>44.0</v>
      </c>
      <c r="O58" s="2">
        <v>0.0</v>
      </c>
      <c r="P58" s="2">
        <v>2.025092803E9</v>
      </c>
      <c r="Q58" s="2">
        <v>59895.0</v>
      </c>
      <c r="S58" s="2" t="s">
        <v>686</v>
      </c>
      <c r="T58" s="2">
        <v>28470.0</v>
      </c>
      <c r="U58" s="2">
        <v>4.01772846E8</v>
      </c>
      <c r="V58" s="2">
        <v>6786.0</v>
      </c>
      <c r="W58" s="2">
        <v>7.0</v>
      </c>
      <c r="X58" s="2">
        <v>6.0</v>
      </c>
      <c r="Y58" s="2">
        <v>410.0</v>
      </c>
      <c r="Z58" s="2">
        <v>-550.0</v>
      </c>
      <c r="AA58" s="2">
        <v>10.0</v>
      </c>
      <c r="AB58" s="2">
        <v>-108.0</v>
      </c>
      <c r="AC58" s="2">
        <v>-112.0</v>
      </c>
      <c r="AD58" s="2">
        <v>44.5</v>
      </c>
      <c r="AE58" s="2">
        <v>-115.0</v>
      </c>
      <c r="AF58" s="2">
        <v>-105.0</v>
      </c>
      <c r="AG58" s="2">
        <v>0.0</v>
      </c>
      <c r="AH58" s="2" t="s">
        <v>409</v>
      </c>
      <c r="AI58" s="2" t="s">
        <v>423</v>
      </c>
      <c r="AL58" s="2" t="s">
        <v>435</v>
      </c>
      <c r="AM58" s="2" t="s">
        <v>522</v>
      </c>
      <c r="AN58" s="2" t="s">
        <v>436</v>
      </c>
      <c r="AO58" s="2" t="s">
        <v>203</v>
      </c>
      <c r="AP58" s="2" t="s">
        <v>438</v>
      </c>
      <c r="AQ58" s="2" t="s">
        <v>524</v>
      </c>
      <c r="AR58" s="2" t="s">
        <v>401</v>
      </c>
      <c r="AS58" s="2" t="s">
        <v>579</v>
      </c>
      <c r="AT58" s="2" t="s">
        <v>580</v>
      </c>
      <c r="AV58" s="2">
        <f t="array" ref="AV58">IF($A58="","",IF(INDEX($A58:$AT58,1,MAP!$B$3)=CurrentSeason,1,0))</f>
        <v>0</v>
      </c>
      <c r="AW58" s="2" t="str">
        <f t="shared" si="1"/>
        <v/>
      </c>
    </row>
    <row r="59" ht="15.0" customHeight="1">
      <c r="A59" s="2" t="s">
        <v>687</v>
      </c>
      <c r="B59" s="2">
        <v>2025.0</v>
      </c>
      <c r="C59" s="2" t="s">
        <v>390</v>
      </c>
      <c r="D59" s="2">
        <v>4.0</v>
      </c>
      <c r="E59" s="2" t="s">
        <v>678</v>
      </c>
      <c r="F59" s="2" t="s">
        <v>419</v>
      </c>
      <c r="G59" s="2" t="s">
        <v>420</v>
      </c>
      <c r="H59" s="2" t="s">
        <v>250</v>
      </c>
      <c r="I59" s="2">
        <v>0.0</v>
      </c>
      <c r="J59" s="2" t="s">
        <v>140</v>
      </c>
      <c r="K59" s="2">
        <v>26.0</v>
      </c>
      <c r="L59" s="2" t="s">
        <v>77</v>
      </c>
      <c r="M59" s="2">
        <v>26.0</v>
      </c>
      <c r="N59" s="2">
        <v>26.0</v>
      </c>
      <c r="O59" s="2">
        <v>0.0</v>
      </c>
      <c r="P59" s="2">
        <v>2.025092804E9</v>
      </c>
      <c r="Q59" s="2">
        <v>59896.0</v>
      </c>
      <c r="S59" s="2" t="s">
        <v>688</v>
      </c>
      <c r="T59" s="2">
        <v>28471.0</v>
      </c>
      <c r="U59" s="2">
        <v>4.01772738E8</v>
      </c>
      <c r="V59" s="2">
        <v>6787.0</v>
      </c>
      <c r="W59" s="2">
        <v>7.0</v>
      </c>
      <c r="X59" s="2">
        <v>7.0</v>
      </c>
      <c r="Y59" s="2">
        <v>340.0</v>
      </c>
      <c r="Z59" s="2">
        <v>-440.0</v>
      </c>
      <c r="AA59" s="2">
        <v>7.5</v>
      </c>
      <c r="AB59" s="2">
        <v>-115.0</v>
      </c>
      <c r="AC59" s="2">
        <v>-105.0</v>
      </c>
      <c r="AD59" s="2">
        <v>39.5</v>
      </c>
      <c r="AE59" s="2">
        <v>-105.0</v>
      </c>
      <c r="AF59" s="2">
        <v>-115.0</v>
      </c>
      <c r="AG59" s="2">
        <v>1.0</v>
      </c>
      <c r="AH59" s="2" t="s">
        <v>422</v>
      </c>
      <c r="AI59" s="2" t="s">
        <v>617</v>
      </c>
      <c r="AL59" s="2" t="s">
        <v>503</v>
      </c>
      <c r="AM59" s="2" t="s">
        <v>532</v>
      </c>
      <c r="AN59" s="2" t="s">
        <v>251</v>
      </c>
      <c r="AO59" s="2" t="s">
        <v>208</v>
      </c>
      <c r="AP59" s="2" t="s">
        <v>505</v>
      </c>
      <c r="AQ59" s="2" t="s">
        <v>534</v>
      </c>
      <c r="AR59" s="2" t="s">
        <v>563</v>
      </c>
      <c r="AS59" s="2" t="s">
        <v>618</v>
      </c>
      <c r="AT59" s="2" t="s">
        <v>619</v>
      </c>
      <c r="AV59" s="2">
        <f t="array" ref="AV59">IF($A59="","",IF(INDEX($A59:$AT59,1,MAP!$B$3)=CurrentSeason,1,0))</f>
        <v>0</v>
      </c>
      <c r="AW59" s="2" t="str">
        <f t="shared" si="1"/>
        <v/>
      </c>
    </row>
    <row r="60" ht="15.0" customHeight="1">
      <c r="A60" s="2" t="s">
        <v>689</v>
      </c>
      <c r="B60" s="2">
        <v>2025.0</v>
      </c>
      <c r="C60" s="2" t="s">
        <v>390</v>
      </c>
      <c r="D60" s="2">
        <v>4.0</v>
      </c>
      <c r="E60" s="2" t="s">
        <v>678</v>
      </c>
      <c r="F60" s="2" t="s">
        <v>419</v>
      </c>
      <c r="G60" s="2" t="s">
        <v>420</v>
      </c>
      <c r="H60" s="2" t="s">
        <v>189</v>
      </c>
      <c r="I60" s="2">
        <v>13.0</v>
      </c>
      <c r="J60" s="2" t="s">
        <v>145</v>
      </c>
      <c r="K60" s="2">
        <v>42.0</v>
      </c>
      <c r="L60" s="2" t="s">
        <v>77</v>
      </c>
      <c r="M60" s="2">
        <v>29.0</v>
      </c>
      <c r="N60" s="2">
        <v>55.0</v>
      </c>
      <c r="O60" s="2">
        <v>0.0</v>
      </c>
      <c r="P60" s="2">
        <v>2.025092805E9</v>
      </c>
      <c r="Q60" s="2">
        <v>59897.0</v>
      </c>
      <c r="S60" s="2" t="s">
        <v>690</v>
      </c>
      <c r="T60" s="2">
        <v>28472.0</v>
      </c>
      <c r="U60" s="2">
        <v>4.01772847E8</v>
      </c>
      <c r="V60" s="2">
        <v>6788.0</v>
      </c>
      <c r="W60" s="2">
        <v>7.0</v>
      </c>
      <c r="X60" s="2">
        <v>7.0</v>
      </c>
      <c r="Y60" s="2">
        <v>215.0</v>
      </c>
      <c r="Z60" s="2">
        <v>-265.0</v>
      </c>
      <c r="AA60" s="2">
        <v>5.5</v>
      </c>
      <c r="AB60" s="2">
        <v>-108.0</v>
      </c>
      <c r="AC60" s="2">
        <v>-112.0</v>
      </c>
      <c r="AD60" s="2">
        <v>42.5</v>
      </c>
      <c r="AE60" s="2">
        <v>-108.0</v>
      </c>
      <c r="AF60" s="2">
        <v>-112.0</v>
      </c>
      <c r="AG60" s="2">
        <v>0.0</v>
      </c>
      <c r="AH60" s="2" t="s">
        <v>395</v>
      </c>
      <c r="AI60" s="2" t="s">
        <v>423</v>
      </c>
      <c r="AJ60" s="2">
        <v>76.0</v>
      </c>
      <c r="AK60" s="2">
        <v>7.0</v>
      </c>
      <c r="AL60" s="2" t="s">
        <v>453</v>
      </c>
      <c r="AM60" s="2" t="s">
        <v>463</v>
      </c>
      <c r="AN60" s="2" t="s">
        <v>190</v>
      </c>
      <c r="AO60" s="2" t="s">
        <v>230</v>
      </c>
      <c r="AP60" s="2" t="s">
        <v>455</v>
      </c>
      <c r="AQ60" s="2" t="s">
        <v>465</v>
      </c>
      <c r="AR60" s="2" t="s">
        <v>487</v>
      </c>
      <c r="AS60" s="2" t="s">
        <v>467</v>
      </c>
      <c r="AT60" s="2" t="s">
        <v>468</v>
      </c>
      <c r="AV60" s="2">
        <f t="array" ref="AV60">IF($A60="","",IF(INDEX($A60:$AT60,1,MAP!$B$3)=CurrentSeason,1,0))</f>
        <v>0</v>
      </c>
      <c r="AW60" s="2" t="str">
        <f t="shared" si="1"/>
        <v/>
      </c>
    </row>
    <row r="61" ht="15.0" customHeight="1">
      <c r="A61" s="2" t="s">
        <v>691</v>
      </c>
      <c r="B61" s="2">
        <v>2025.0</v>
      </c>
      <c r="C61" s="2" t="s">
        <v>390</v>
      </c>
      <c r="D61" s="2">
        <v>4.0</v>
      </c>
      <c r="E61" s="2" t="s">
        <v>678</v>
      </c>
      <c r="F61" s="2" t="s">
        <v>419</v>
      </c>
      <c r="G61" s="2" t="s">
        <v>420</v>
      </c>
      <c r="H61" s="2" t="s">
        <v>220</v>
      </c>
      <c r="I61" s="2">
        <v>18.0</v>
      </c>
      <c r="J61" s="2" t="s">
        <v>235</v>
      </c>
      <c r="K61" s="2">
        <v>21.0</v>
      </c>
      <c r="L61" s="2" t="s">
        <v>77</v>
      </c>
      <c r="M61" s="2">
        <v>3.0</v>
      </c>
      <c r="N61" s="2">
        <v>39.0</v>
      </c>
      <c r="O61" s="2">
        <v>0.0</v>
      </c>
      <c r="P61" s="2">
        <v>2.025092806E9</v>
      </c>
      <c r="Q61" s="2">
        <v>59898.0</v>
      </c>
      <c r="S61" s="2" t="s">
        <v>692</v>
      </c>
      <c r="T61" s="2">
        <v>28473.0</v>
      </c>
      <c r="U61" s="2">
        <v>4.01772737E8</v>
      </c>
      <c r="V61" s="2">
        <v>6789.0</v>
      </c>
      <c r="W61" s="2">
        <v>7.0</v>
      </c>
      <c r="X61" s="2">
        <v>7.0</v>
      </c>
      <c r="Y61" s="2">
        <v>-285.0</v>
      </c>
      <c r="Z61" s="2">
        <v>230.0</v>
      </c>
      <c r="AA61" s="2">
        <v>-6.0</v>
      </c>
      <c r="AB61" s="2">
        <v>-112.0</v>
      </c>
      <c r="AC61" s="2">
        <v>-108.0</v>
      </c>
      <c r="AD61" s="2">
        <v>43.5</v>
      </c>
      <c r="AE61" s="2">
        <v>-115.0</v>
      </c>
      <c r="AF61" s="2">
        <v>-105.0</v>
      </c>
      <c r="AG61" s="2">
        <v>0.0</v>
      </c>
      <c r="AH61" s="2" t="s">
        <v>395</v>
      </c>
      <c r="AI61" s="2" t="s">
        <v>423</v>
      </c>
      <c r="AJ61" s="2">
        <v>81.0</v>
      </c>
      <c r="AK61" s="2">
        <v>4.0</v>
      </c>
      <c r="AL61" s="2" t="s">
        <v>411</v>
      </c>
      <c r="AM61" s="2" t="s">
        <v>693</v>
      </c>
      <c r="AN61" s="2" t="s">
        <v>221</v>
      </c>
      <c r="AO61" s="2" t="s">
        <v>236</v>
      </c>
      <c r="AP61" s="2" t="s">
        <v>413</v>
      </c>
      <c r="AQ61" s="2" t="s">
        <v>495</v>
      </c>
      <c r="AR61" s="2" t="s">
        <v>516</v>
      </c>
      <c r="AS61" s="2" t="s">
        <v>488</v>
      </c>
      <c r="AT61" s="2" t="s">
        <v>489</v>
      </c>
      <c r="AV61" s="2">
        <f t="array" ref="AV61">IF($A61="","",IF(INDEX($A61:$AT61,1,MAP!$B$3)=CurrentSeason,1,0))</f>
        <v>0</v>
      </c>
      <c r="AW61" s="2" t="str">
        <f t="shared" si="1"/>
        <v/>
      </c>
    </row>
    <row r="62" ht="15.0" customHeight="1">
      <c r="A62" s="2" t="s">
        <v>694</v>
      </c>
      <c r="B62" s="2">
        <v>2025.0</v>
      </c>
      <c r="C62" s="2" t="s">
        <v>390</v>
      </c>
      <c r="D62" s="2">
        <v>4.0</v>
      </c>
      <c r="E62" s="2" t="s">
        <v>678</v>
      </c>
      <c r="F62" s="2" t="s">
        <v>419</v>
      </c>
      <c r="G62" s="2" t="s">
        <v>420</v>
      </c>
      <c r="H62" s="2" t="s">
        <v>147</v>
      </c>
      <c r="I62" s="2">
        <v>31.0</v>
      </c>
      <c r="J62" s="2" t="s">
        <v>150</v>
      </c>
      <c r="K62" s="2">
        <v>25.0</v>
      </c>
      <c r="L62" s="2" t="s">
        <v>77</v>
      </c>
      <c r="M62" s="2">
        <v>-6.0</v>
      </c>
      <c r="N62" s="2">
        <v>56.0</v>
      </c>
      <c r="O62" s="2">
        <v>0.0</v>
      </c>
      <c r="P62" s="2">
        <v>2.025092807E9</v>
      </c>
      <c r="Q62" s="2">
        <v>59899.0</v>
      </c>
      <c r="S62" s="2" t="s">
        <v>695</v>
      </c>
      <c r="T62" s="2">
        <v>28474.0</v>
      </c>
      <c r="U62" s="2">
        <v>4.01772845E8</v>
      </c>
      <c r="V62" s="2">
        <v>6790.0</v>
      </c>
      <c r="W62" s="2">
        <v>7.0</v>
      </c>
      <c r="X62" s="2">
        <v>7.0</v>
      </c>
      <c r="Y62" s="2">
        <v>-185.0</v>
      </c>
      <c r="Z62" s="2">
        <v>154.0</v>
      </c>
      <c r="AA62" s="2">
        <v>-3.5</v>
      </c>
      <c r="AB62" s="2">
        <v>-102.0</v>
      </c>
      <c r="AC62" s="2">
        <v>-118.0</v>
      </c>
      <c r="AD62" s="2">
        <v>44.5</v>
      </c>
      <c r="AE62" s="2">
        <v>-118.0</v>
      </c>
      <c r="AF62" s="2">
        <v>-102.0</v>
      </c>
      <c r="AG62" s="2">
        <v>0.0</v>
      </c>
      <c r="AH62" s="2" t="s">
        <v>395</v>
      </c>
      <c r="AI62" s="2" t="s">
        <v>396</v>
      </c>
      <c r="AJ62" s="2">
        <v>88.0</v>
      </c>
      <c r="AK62" s="2">
        <v>6.0</v>
      </c>
      <c r="AL62" s="2" t="s">
        <v>398</v>
      </c>
      <c r="AM62" s="2" t="s">
        <v>424</v>
      </c>
      <c r="AN62" s="2" t="s">
        <v>241</v>
      </c>
      <c r="AO62" s="2" t="s">
        <v>248</v>
      </c>
      <c r="AP62" s="2" t="s">
        <v>400</v>
      </c>
      <c r="AQ62" s="2" t="s">
        <v>427</v>
      </c>
      <c r="AR62" s="2" t="s">
        <v>557</v>
      </c>
      <c r="AS62" s="2" t="s">
        <v>651</v>
      </c>
      <c r="AT62" s="2" t="s">
        <v>652</v>
      </c>
      <c r="AV62" s="2">
        <f t="array" ref="AV62">IF($A62="","",IF(INDEX($A62:$AT62,1,MAP!$B$3)=CurrentSeason,1,0))</f>
        <v>0</v>
      </c>
      <c r="AW62" s="2" t="str">
        <f t="shared" si="1"/>
        <v/>
      </c>
    </row>
    <row r="63" ht="15.0" customHeight="1">
      <c r="A63" s="2" t="s">
        <v>696</v>
      </c>
      <c r="B63" s="2">
        <v>2025.0</v>
      </c>
      <c r="C63" s="2" t="s">
        <v>390</v>
      </c>
      <c r="D63" s="2">
        <v>4.0</v>
      </c>
      <c r="E63" s="2" t="s">
        <v>678</v>
      </c>
      <c r="F63" s="2" t="s">
        <v>419</v>
      </c>
      <c r="G63" s="2" t="s">
        <v>501</v>
      </c>
      <c r="H63" s="2" t="s">
        <v>210</v>
      </c>
      <c r="I63" s="2">
        <v>20.0</v>
      </c>
      <c r="J63" s="2" t="s">
        <v>142</v>
      </c>
      <c r="K63" s="2">
        <v>27.0</v>
      </c>
      <c r="L63" s="2" t="s">
        <v>77</v>
      </c>
      <c r="M63" s="2">
        <v>7.0</v>
      </c>
      <c r="N63" s="2">
        <v>47.0</v>
      </c>
      <c r="O63" s="2">
        <v>0.0</v>
      </c>
      <c r="P63" s="2">
        <v>2.025092808E9</v>
      </c>
      <c r="Q63" s="2">
        <v>59900.0</v>
      </c>
      <c r="S63" s="2" t="s">
        <v>697</v>
      </c>
      <c r="T63" s="2">
        <v>28475.0</v>
      </c>
      <c r="U63" s="2">
        <v>4.01772849E8</v>
      </c>
      <c r="V63" s="2">
        <v>6791.0</v>
      </c>
      <c r="W63" s="2">
        <v>7.0</v>
      </c>
      <c r="X63" s="2">
        <v>7.0</v>
      </c>
      <c r="Y63" s="2">
        <v>154.0</v>
      </c>
      <c r="Z63" s="2">
        <v>-185.0</v>
      </c>
      <c r="AA63" s="2">
        <v>3.5</v>
      </c>
      <c r="AB63" s="2">
        <v>-105.0</v>
      </c>
      <c r="AC63" s="2">
        <v>-115.0</v>
      </c>
      <c r="AD63" s="2">
        <v>49.5</v>
      </c>
      <c r="AE63" s="2">
        <v>-105.0</v>
      </c>
      <c r="AF63" s="2">
        <v>-115.0</v>
      </c>
      <c r="AG63" s="2">
        <v>0.0</v>
      </c>
      <c r="AH63" s="2" t="s">
        <v>409</v>
      </c>
      <c r="AI63" s="2" t="s">
        <v>531</v>
      </c>
      <c r="AL63" s="2" t="s">
        <v>445</v>
      </c>
      <c r="AM63" s="2" t="s">
        <v>533</v>
      </c>
      <c r="AN63" s="2" t="s">
        <v>211</v>
      </c>
      <c r="AO63" s="2" t="s">
        <v>218</v>
      </c>
      <c r="AP63" s="2" t="s">
        <v>447</v>
      </c>
      <c r="AQ63" s="2" t="s">
        <v>535</v>
      </c>
      <c r="AR63" s="2" t="s">
        <v>414</v>
      </c>
      <c r="AS63" s="2" t="s">
        <v>415</v>
      </c>
      <c r="AT63" s="2" t="s">
        <v>416</v>
      </c>
      <c r="AV63" s="2">
        <f t="array" ref="AV63">IF($A63="","",IF(INDEX($A63:$AT63,1,MAP!$B$3)=CurrentSeason,1,0))</f>
        <v>0</v>
      </c>
      <c r="AW63" s="2" t="str">
        <f t="shared" si="1"/>
        <v/>
      </c>
    </row>
    <row r="64" ht="15.0" customHeight="1">
      <c r="A64" s="2" t="s">
        <v>698</v>
      </c>
      <c r="B64" s="2">
        <v>2025.0</v>
      </c>
      <c r="C64" s="2" t="s">
        <v>390</v>
      </c>
      <c r="D64" s="2">
        <v>4.0</v>
      </c>
      <c r="E64" s="2" t="s">
        <v>678</v>
      </c>
      <c r="F64" s="2" t="s">
        <v>419</v>
      </c>
      <c r="G64" s="2" t="s">
        <v>501</v>
      </c>
      <c r="H64" s="2" t="s">
        <v>141</v>
      </c>
      <c r="I64" s="2">
        <v>26.0</v>
      </c>
      <c r="J64" s="2" t="s">
        <v>246</v>
      </c>
      <c r="K64" s="2">
        <v>21.0</v>
      </c>
      <c r="L64" s="2" t="s">
        <v>77</v>
      </c>
      <c r="M64" s="2">
        <v>-5.0</v>
      </c>
      <c r="N64" s="2">
        <v>47.0</v>
      </c>
      <c r="O64" s="2">
        <v>0.0</v>
      </c>
      <c r="P64" s="2">
        <v>2.025092809E9</v>
      </c>
      <c r="Q64" s="2">
        <v>59901.0</v>
      </c>
      <c r="S64" s="2" t="s">
        <v>699</v>
      </c>
      <c r="T64" s="2">
        <v>28476.0</v>
      </c>
      <c r="U64" s="2">
        <v>4.01772848E8</v>
      </c>
      <c r="V64" s="2">
        <v>6792.0</v>
      </c>
      <c r="W64" s="2">
        <v>7.0</v>
      </c>
      <c r="X64" s="2">
        <v>7.0</v>
      </c>
      <c r="Y64" s="2">
        <v>150.0</v>
      </c>
      <c r="Z64" s="2">
        <v>-180.0</v>
      </c>
      <c r="AA64" s="2">
        <v>3.5</v>
      </c>
      <c r="AB64" s="2">
        <v>-120.0</v>
      </c>
      <c r="AC64" s="2">
        <v>100.0</v>
      </c>
      <c r="AD64" s="2">
        <v>45.5</v>
      </c>
      <c r="AE64" s="2">
        <v>-108.0</v>
      </c>
      <c r="AF64" s="2">
        <v>-112.0</v>
      </c>
      <c r="AG64" s="2">
        <v>0.0</v>
      </c>
      <c r="AH64" s="2" t="s">
        <v>395</v>
      </c>
      <c r="AI64" s="2" t="s">
        <v>396</v>
      </c>
      <c r="AJ64" s="2">
        <v>72.0</v>
      </c>
      <c r="AK64" s="2">
        <v>7.0</v>
      </c>
      <c r="AL64" s="2" t="s">
        <v>454</v>
      </c>
      <c r="AM64" s="2" t="s">
        <v>512</v>
      </c>
      <c r="AN64" s="2" t="s">
        <v>214</v>
      </c>
      <c r="AO64" s="2" t="s">
        <v>247</v>
      </c>
      <c r="AP64" s="2" t="s">
        <v>456</v>
      </c>
      <c r="AQ64" s="2" t="s">
        <v>514</v>
      </c>
      <c r="AR64" s="2" t="s">
        <v>526</v>
      </c>
      <c r="AS64" s="2" t="s">
        <v>667</v>
      </c>
      <c r="AT64" s="2" t="s">
        <v>668</v>
      </c>
      <c r="AV64" s="2">
        <f t="array" ref="AV64">IF($A64="","",IF(INDEX($A64:$AT64,1,MAP!$B$3)=CurrentSeason,1,0))</f>
        <v>0</v>
      </c>
      <c r="AW64" s="2" t="str">
        <f t="shared" si="1"/>
        <v/>
      </c>
    </row>
    <row r="65" ht="15.0" customHeight="1">
      <c r="A65" s="2" t="s">
        <v>700</v>
      </c>
      <c r="B65" s="2">
        <v>2025.0</v>
      </c>
      <c r="C65" s="2" t="s">
        <v>390</v>
      </c>
      <c r="D65" s="2">
        <v>4.0</v>
      </c>
      <c r="E65" s="2" t="s">
        <v>678</v>
      </c>
      <c r="F65" s="2" t="s">
        <v>419</v>
      </c>
      <c r="G65" s="2" t="s">
        <v>520</v>
      </c>
      <c r="H65" s="2" t="s">
        <v>148</v>
      </c>
      <c r="I65" s="2">
        <v>20.0</v>
      </c>
      <c r="J65" s="2" t="s">
        <v>143</v>
      </c>
      <c r="K65" s="2">
        <v>37.0</v>
      </c>
      <c r="L65" s="2" t="s">
        <v>77</v>
      </c>
      <c r="M65" s="2">
        <v>17.0</v>
      </c>
      <c r="N65" s="2">
        <v>57.0</v>
      </c>
      <c r="O65" s="2">
        <v>0.0</v>
      </c>
      <c r="P65" s="2">
        <v>2.02509281E9</v>
      </c>
      <c r="Q65" s="2">
        <v>59902.0</v>
      </c>
      <c r="S65" s="2" t="s">
        <v>701</v>
      </c>
      <c r="T65" s="2">
        <v>28478.0</v>
      </c>
      <c r="U65" s="2">
        <v>4.01772741E8</v>
      </c>
      <c r="V65" s="2">
        <v>6793.0</v>
      </c>
      <c r="W65" s="2">
        <v>6.0</v>
      </c>
      <c r="X65" s="2">
        <v>7.0</v>
      </c>
      <c r="Y65" s="2">
        <v>-148.0</v>
      </c>
      <c r="Z65" s="2">
        <v>124.0</v>
      </c>
      <c r="AA65" s="2">
        <v>-2.5</v>
      </c>
      <c r="AB65" s="2">
        <v>-120.0</v>
      </c>
      <c r="AC65" s="2">
        <v>100.0</v>
      </c>
      <c r="AD65" s="2">
        <v>48.5</v>
      </c>
      <c r="AE65" s="2">
        <v>100.0</v>
      </c>
      <c r="AF65" s="2">
        <v>-120.0</v>
      </c>
      <c r="AG65" s="2">
        <v>0.0</v>
      </c>
      <c r="AH65" s="2" t="s">
        <v>395</v>
      </c>
      <c r="AI65" s="2" t="s">
        <v>396</v>
      </c>
      <c r="AJ65" s="2">
        <v>89.0</v>
      </c>
      <c r="AK65" s="2">
        <v>10.0</v>
      </c>
      <c r="AL65" s="2" t="s">
        <v>540</v>
      </c>
      <c r="AM65" s="2" t="s">
        <v>410</v>
      </c>
      <c r="AN65" s="2" t="s">
        <v>184</v>
      </c>
      <c r="AO65" s="2" t="s">
        <v>216</v>
      </c>
      <c r="AP65" s="2" t="s">
        <v>542</v>
      </c>
      <c r="AQ65" s="2" t="s">
        <v>412</v>
      </c>
      <c r="AR65" s="2" t="s">
        <v>497</v>
      </c>
      <c r="AS65" s="2" t="s">
        <v>607</v>
      </c>
      <c r="AT65" s="2" t="s">
        <v>608</v>
      </c>
      <c r="AV65" s="2">
        <f t="array" ref="AV65">IF($A65="","",IF(INDEX($A65:$AT65,1,MAP!$B$3)=CurrentSeason,1,0))</f>
        <v>0</v>
      </c>
      <c r="AW65" s="2" t="str">
        <f t="shared" si="1"/>
        <v/>
      </c>
    </row>
    <row r="66" ht="15.0" customHeight="1">
      <c r="A66" s="2" t="s">
        <v>702</v>
      </c>
      <c r="B66" s="2">
        <v>2025.0</v>
      </c>
      <c r="C66" s="2" t="s">
        <v>390</v>
      </c>
      <c r="D66" s="2">
        <v>4.0</v>
      </c>
      <c r="E66" s="2" t="s">
        <v>678</v>
      </c>
      <c r="F66" s="2" t="s">
        <v>419</v>
      </c>
      <c r="G66" s="2" t="s">
        <v>520</v>
      </c>
      <c r="H66" s="2" t="s">
        <v>137</v>
      </c>
      <c r="I66" s="2">
        <v>25.0</v>
      </c>
      <c r="J66" s="2" t="s">
        <v>222</v>
      </c>
      <c r="K66" s="2">
        <v>24.0</v>
      </c>
      <c r="L66" s="2" t="s">
        <v>77</v>
      </c>
      <c r="M66" s="2">
        <v>-1.0</v>
      </c>
      <c r="N66" s="2">
        <v>49.0</v>
      </c>
      <c r="O66" s="2">
        <v>0.0</v>
      </c>
      <c r="P66" s="2">
        <v>2.025092811E9</v>
      </c>
      <c r="Q66" s="2">
        <v>59903.0</v>
      </c>
      <c r="S66" s="2" t="s">
        <v>703</v>
      </c>
      <c r="T66" s="2">
        <v>28477.0</v>
      </c>
      <c r="U66" s="2">
        <v>4.01772742E8</v>
      </c>
      <c r="V66" s="2">
        <v>6794.0</v>
      </c>
      <c r="W66" s="2">
        <v>7.0</v>
      </c>
      <c r="X66" s="2">
        <v>7.0</v>
      </c>
      <c r="Y66" s="2">
        <v>105.0</v>
      </c>
      <c r="Z66" s="2">
        <v>-125.0</v>
      </c>
      <c r="AA66" s="2">
        <v>1.5</v>
      </c>
      <c r="AB66" s="2">
        <v>-110.0</v>
      </c>
      <c r="AC66" s="2">
        <v>-110.0</v>
      </c>
      <c r="AD66" s="2">
        <v>47.5</v>
      </c>
      <c r="AE66" s="2">
        <v>-105.0</v>
      </c>
      <c r="AF66" s="2">
        <v>-115.0</v>
      </c>
      <c r="AG66" s="2">
        <v>0.0</v>
      </c>
      <c r="AH66" s="2" t="s">
        <v>409</v>
      </c>
      <c r="AI66" s="2" t="s">
        <v>396</v>
      </c>
      <c r="AL66" s="2" t="s">
        <v>553</v>
      </c>
      <c r="AM66" s="2" t="s">
        <v>462</v>
      </c>
      <c r="AN66" s="2" t="s">
        <v>192</v>
      </c>
      <c r="AO66" s="2" t="s">
        <v>239</v>
      </c>
      <c r="AP66" s="2" t="s">
        <v>556</v>
      </c>
      <c r="AQ66" s="2" t="s">
        <v>464</v>
      </c>
      <c r="AR66" s="2" t="s">
        <v>439</v>
      </c>
      <c r="AS66" s="2" t="s">
        <v>623</v>
      </c>
      <c r="AT66" s="2" t="s">
        <v>624</v>
      </c>
      <c r="AV66" s="2">
        <f t="array" ref="AV66">IF($A66="","",IF(INDEX($A66:$AT66,1,MAP!$B$3)=CurrentSeason,1,0))</f>
        <v>0</v>
      </c>
      <c r="AW66" s="2" t="str">
        <f t="shared" si="1"/>
        <v/>
      </c>
    </row>
    <row r="67" ht="15.0" customHeight="1">
      <c r="A67" s="2" t="s">
        <v>704</v>
      </c>
      <c r="B67" s="2">
        <v>2025.0</v>
      </c>
      <c r="C67" s="2" t="s">
        <v>390</v>
      </c>
      <c r="D67" s="2">
        <v>4.0</v>
      </c>
      <c r="E67" s="2" t="s">
        <v>678</v>
      </c>
      <c r="F67" s="2" t="s">
        <v>419</v>
      </c>
      <c r="G67" s="2" t="s">
        <v>393</v>
      </c>
      <c r="H67" s="2" t="s">
        <v>205</v>
      </c>
      <c r="I67" s="2">
        <v>40.0</v>
      </c>
      <c r="J67" s="2" t="s">
        <v>146</v>
      </c>
      <c r="K67" s="2">
        <v>40.0</v>
      </c>
      <c r="L67" s="2" t="s">
        <v>77</v>
      </c>
      <c r="M67" s="2">
        <v>0.0</v>
      </c>
      <c r="N67" s="2">
        <v>80.0</v>
      </c>
      <c r="O67" s="2">
        <v>1.0</v>
      </c>
      <c r="P67" s="2">
        <v>2.025092812E9</v>
      </c>
      <c r="Q67" s="2">
        <v>59904.0</v>
      </c>
      <c r="S67" s="2" t="s">
        <v>705</v>
      </c>
      <c r="T67" s="2">
        <v>28479.0</v>
      </c>
      <c r="U67" s="2">
        <v>4.01772921E8</v>
      </c>
      <c r="V67" s="2">
        <v>6795.0</v>
      </c>
      <c r="W67" s="2">
        <v>7.0</v>
      </c>
      <c r="X67" s="2">
        <v>7.0</v>
      </c>
      <c r="Y67" s="2">
        <v>-345.0</v>
      </c>
      <c r="Z67" s="2">
        <v>275.0</v>
      </c>
      <c r="AA67" s="2">
        <v>-7.0</v>
      </c>
      <c r="AB67" s="2">
        <v>-105.0</v>
      </c>
      <c r="AC67" s="2">
        <v>-115.0</v>
      </c>
      <c r="AD67" s="2">
        <v>47.5</v>
      </c>
      <c r="AE67" s="2">
        <v>-115.0</v>
      </c>
      <c r="AF67" s="2">
        <v>-105.0</v>
      </c>
      <c r="AG67" s="2">
        <v>0.0</v>
      </c>
      <c r="AH67" s="2" t="s">
        <v>422</v>
      </c>
      <c r="AI67" s="2" t="s">
        <v>531</v>
      </c>
      <c r="AL67" s="2" t="s">
        <v>523</v>
      </c>
      <c r="AM67" s="2" t="s">
        <v>397</v>
      </c>
      <c r="AN67" s="2" t="s">
        <v>206</v>
      </c>
      <c r="AO67" s="2" t="s">
        <v>199</v>
      </c>
      <c r="AP67" s="2" t="s">
        <v>525</v>
      </c>
      <c r="AQ67" s="2" t="s">
        <v>399</v>
      </c>
      <c r="AR67" s="2" t="s">
        <v>466</v>
      </c>
      <c r="AS67" s="2" t="s">
        <v>575</v>
      </c>
      <c r="AT67" s="2" t="s">
        <v>576</v>
      </c>
      <c r="AV67" s="2">
        <f t="array" ref="AV67">IF($A67="","",IF(INDEX($A67:$AT67,1,MAP!$B$3)=CurrentSeason,1,0))</f>
        <v>0</v>
      </c>
      <c r="AW67" s="2" t="str">
        <f t="shared" si="1"/>
        <v/>
      </c>
    </row>
    <row r="68" ht="15.0" customHeight="1">
      <c r="A68" s="2" t="s">
        <v>706</v>
      </c>
      <c r="B68" s="2">
        <v>2025.0</v>
      </c>
      <c r="C68" s="2" t="s">
        <v>390</v>
      </c>
      <c r="D68" s="2">
        <v>4.0</v>
      </c>
      <c r="E68" s="2" t="s">
        <v>707</v>
      </c>
      <c r="F68" s="2" t="s">
        <v>549</v>
      </c>
      <c r="G68" s="2" t="s">
        <v>708</v>
      </c>
      <c r="H68" s="2" t="s">
        <v>238</v>
      </c>
      <c r="I68" s="2">
        <v>21.0</v>
      </c>
      <c r="J68" s="2" t="s">
        <v>225</v>
      </c>
      <c r="K68" s="2">
        <v>27.0</v>
      </c>
      <c r="L68" s="2" t="s">
        <v>77</v>
      </c>
      <c r="M68" s="2">
        <v>6.0</v>
      </c>
      <c r="N68" s="2">
        <v>48.0</v>
      </c>
      <c r="O68" s="2">
        <v>0.0</v>
      </c>
      <c r="P68" s="2">
        <v>2.0250929E9</v>
      </c>
      <c r="Q68" s="2">
        <v>59905.0</v>
      </c>
      <c r="S68" s="2" t="s">
        <v>709</v>
      </c>
      <c r="T68" s="2">
        <v>28481.0</v>
      </c>
      <c r="U68" s="2">
        <v>4.01772813E8</v>
      </c>
      <c r="V68" s="2">
        <v>6796.0</v>
      </c>
      <c r="W68" s="2">
        <v>8.0</v>
      </c>
      <c r="X68" s="2">
        <v>11.0</v>
      </c>
      <c r="Y68" s="2">
        <v>124.0</v>
      </c>
      <c r="Z68" s="2">
        <v>-148.0</v>
      </c>
      <c r="AA68" s="2">
        <v>2.5</v>
      </c>
      <c r="AB68" s="2">
        <v>-105.0</v>
      </c>
      <c r="AC68" s="2">
        <v>-115.0</v>
      </c>
      <c r="AD68" s="2">
        <v>44.5</v>
      </c>
      <c r="AE68" s="2">
        <v>-120.0</v>
      </c>
      <c r="AF68" s="2">
        <v>100.0</v>
      </c>
      <c r="AG68" s="2">
        <v>1.0</v>
      </c>
      <c r="AH68" s="2" t="s">
        <v>395</v>
      </c>
      <c r="AI68" s="2" t="s">
        <v>396</v>
      </c>
      <c r="AJ68" s="2">
        <v>88.0</v>
      </c>
      <c r="AK68" s="2">
        <v>17.0</v>
      </c>
      <c r="AL68" s="2" t="s">
        <v>483</v>
      </c>
      <c r="AM68" s="2" t="s">
        <v>444</v>
      </c>
      <c r="AN68" s="2" t="s">
        <v>484</v>
      </c>
      <c r="AO68" s="2" t="s">
        <v>182</v>
      </c>
      <c r="AP68" s="2" t="s">
        <v>486</v>
      </c>
      <c r="AQ68" s="2" t="s">
        <v>446</v>
      </c>
      <c r="AR68" s="2" t="s">
        <v>536</v>
      </c>
      <c r="AS68" s="2" t="s">
        <v>583</v>
      </c>
      <c r="AT68" s="2" t="s">
        <v>584</v>
      </c>
      <c r="AV68" s="2">
        <f t="array" ref="AV68">IF($A68="","",IF(INDEX($A68:$AT68,1,MAP!$B$3)=CurrentSeason,1,0))</f>
        <v>0</v>
      </c>
      <c r="AW68" s="2" t="str">
        <f t="shared" si="1"/>
        <v/>
      </c>
    </row>
    <row r="69" ht="15.0" customHeight="1">
      <c r="A69" s="2" t="s">
        <v>710</v>
      </c>
      <c r="B69" s="2">
        <v>2025.0</v>
      </c>
      <c r="C69" s="2" t="s">
        <v>390</v>
      </c>
      <c r="D69" s="2">
        <v>4.0</v>
      </c>
      <c r="E69" s="2" t="s">
        <v>707</v>
      </c>
      <c r="F69" s="2" t="s">
        <v>549</v>
      </c>
      <c r="G69" s="2" t="s">
        <v>550</v>
      </c>
      <c r="H69" s="2" t="s">
        <v>138</v>
      </c>
      <c r="I69" s="2">
        <v>3.0</v>
      </c>
      <c r="J69" s="2" t="s">
        <v>139</v>
      </c>
      <c r="K69" s="2">
        <v>28.0</v>
      </c>
      <c r="L69" s="2" t="s">
        <v>77</v>
      </c>
      <c r="M69" s="2">
        <v>25.0</v>
      </c>
      <c r="N69" s="2">
        <v>31.0</v>
      </c>
      <c r="O69" s="2">
        <v>0.0</v>
      </c>
      <c r="P69" s="2">
        <v>2.025092901E9</v>
      </c>
      <c r="Q69" s="2">
        <v>59906.0</v>
      </c>
      <c r="S69" s="2" t="s">
        <v>711</v>
      </c>
      <c r="T69" s="2">
        <v>28480.0</v>
      </c>
      <c r="U69" s="2">
        <v>4.01772716E8</v>
      </c>
      <c r="V69" s="2">
        <v>6797.0</v>
      </c>
      <c r="W69" s="2">
        <v>8.0</v>
      </c>
      <c r="X69" s="2">
        <v>8.0</v>
      </c>
      <c r="Y69" s="2">
        <v>360.0</v>
      </c>
      <c r="Z69" s="2">
        <v>-470.0</v>
      </c>
      <c r="AA69" s="2">
        <v>7.5</v>
      </c>
      <c r="AB69" s="2">
        <v>-115.0</v>
      </c>
      <c r="AC69" s="2">
        <v>-105.0</v>
      </c>
      <c r="AD69" s="2">
        <v>44.5</v>
      </c>
      <c r="AE69" s="2">
        <v>-115.0</v>
      </c>
      <c r="AF69" s="2">
        <v>-105.0</v>
      </c>
      <c r="AG69" s="2">
        <v>0.0</v>
      </c>
      <c r="AH69" s="2" t="s">
        <v>395</v>
      </c>
      <c r="AI69" s="2" t="s">
        <v>396</v>
      </c>
      <c r="AJ69" s="2">
        <v>66.0</v>
      </c>
      <c r="AK69" s="2">
        <v>12.0</v>
      </c>
      <c r="AL69" s="2" t="s">
        <v>639</v>
      </c>
      <c r="AM69" s="2" t="s">
        <v>504</v>
      </c>
      <c r="AN69" s="2" t="s">
        <v>641</v>
      </c>
      <c r="AO69" s="2" t="s">
        <v>201</v>
      </c>
      <c r="AP69" s="2" t="s">
        <v>437</v>
      </c>
      <c r="AQ69" s="2" t="s">
        <v>506</v>
      </c>
      <c r="AR69" s="2" t="s">
        <v>457</v>
      </c>
      <c r="AS69" s="2" t="s">
        <v>508</v>
      </c>
      <c r="AT69" s="2" t="s">
        <v>509</v>
      </c>
      <c r="AV69" s="2">
        <f t="array" ref="AV69">IF($A69="","",IF(INDEX($A69:$AT69,1,MAP!$B$3)=CurrentSeason,1,0))</f>
        <v>0</v>
      </c>
      <c r="AW69" s="2" t="str">
        <f t="shared" si="1"/>
        <v/>
      </c>
    </row>
    <row r="70" ht="15.0" customHeight="1">
      <c r="A70" s="2" t="s">
        <v>712</v>
      </c>
      <c r="B70" s="2">
        <v>2025.0</v>
      </c>
      <c r="C70" s="2" t="s">
        <v>390</v>
      </c>
      <c r="D70" s="2">
        <v>5.0</v>
      </c>
      <c r="E70" s="2" t="s">
        <v>713</v>
      </c>
      <c r="F70" s="2" t="s">
        <v>392</v>
      </c>
      <c r="G70" s="2" t="s">
        <v>550</v>
      </c>
      <c r="H70" s="2" t="s">
        <v>246</v>
      </c>
      <c r="I70" s="2">
        <v>26.0</v>
      </c>
      <c r="J70" s="2" t="s">
        <v>142</v>
      </c>
      <c r="K70" s="2">
        <v>23.0</v>
      </c>
      <c r="L70" s="2" t="s">
        <v>77</v>
      </c>
      <c r="M70" s="2">
        <v>-3.0</v>
      </c>
      <c r="N70" s="2">
        <v>49.0</v>
      </c>
      <c r="O70" s="2">
        <v>1.0</v>
      </c>
      <c r="P70" s="2">
        <v>2.0251002E9</v>
      </c>
      <c r="Q70" s="2">
        <v>59907.0</v>
      </c>
      <c r="S70" s="2" t="s">
        <v>714</v>
      </c>
      <c r="T70" s="2">
        <v>28482.0</v>
      </c>
      <c r="U70" s="2">
        <v>4.01772939E8</v>
      </c>
      <c r="V70" s="2">
        <v>6798.0</v>
      </c>
      <c r="W70" s="2">
        <v>4.0</v>
      </c>
      <c r="X70" s="2">
        <v>4.0</v>
      </c>
      <c r="Y70" s="2">
        <v>340.0</v>
      </c>
      <c r="Z70" s="2">
        <v>-440.0</v>
      </c>
      <c r="AA70" s="2">
        <v>8.5</v>
      </c>
      <c r="AB70" s="2">
        <v>-110.0</v>
      </c>
      <c r="AC70" s="2">
        <v>-110.0</v>
      </c>
      <c r="AD70" s="2">
        <v>43.5</v>
      </c>
      <c r="AE70" s="2">
        <v>-108.0</v>
      </c>
      <c r="AF70" s="2">
        <v>-112.0</v>
      </c>
      <c r="AG70" s="2">
        <v>1.0</v>
      </c>
      <c r="AH70" s="2" t="s">
        <v>409</v>
      </c>
      <c r="AI70" s="2" t="s">
        <v>531</v>
      </c>
      <c r="AL70" s="2" t="s">
        <v>587</v>
      </c>
      <c r="AM70" s="2" t="s">
        <v>533</v>
      </c>
      <c r="AN70" s="2" t="s">
        <v>588</v>
      </c>
      <c r="AO70" s="2" t="s">
        <v>218</v>
      </c>
      <c r="AP70" s="2" t="s">
        <v>514</v>
      </c>
      <c r="AQ70" s="2" t="s">
        <v>535</v>
      </c>
      <c r="AR70" s="2" t="s">
        <v>487</v>
      </c>
      <c r="AS70" s="2" t="s">
        <v>415</v>
      </c>
      <c r="AT70" s="2" t="s">
        <v>416</v>
      </c>
      <c r="AV70" s="2">
        <f t="array" ref="AV70">IF($A70="","",IF(INDEX($A70:$AT70,1,MAP!$B$3)=CurrentSeason,1,0))</f>
        <v>0</v>
      </c>
      <c r="AW70" s="2" t="str">
        <f t="shared" si="1"/>
        <v/>
      </c>
    </row>
    <row r="71" ht="15.0" customHeight="1">
      <c r="A71" s="2" t="s">
        <v>715</v>
      </c>
      <c r="B71" s="2">
        <v>2025.0</v>
      </c>
      <c r="C71" s="2" t="s">
        <v>390</v>
      </c>
      <c r="D71" s="2">
        <v>5.0</v>
      </c>
      <c r="E71" s="2" t="s">
        <v>716</v>
      </c>
      <c r="F71" s="2" t="s">
        <v>419</v>
      </c>
      <c r="G71" s="2" t="s">
        <v>679</v>
      </c>
      <c r="H71" s="2" t="s">
        <v>144</v>
      </c>
      <c r="I71" s="2">
        <v>21.0</v>
      </c>
      <c r="J71" s="2" t="s">
        <v>196</v>
      </c>
      <c r="K71" s="2">
        <v>17.0</v>
      </c>
      <c r="L71" s="2" t="s">
        <v>78</v>
      </c>
      <c r="M71" s="2">
        <v>-4.0</v>
      </c>
      <c r="N71" s="2">
        <v>38.0</v>
      </c>
      <c r="O71" s="2">
        <v>0.0</v>
      </c>
      <c r="P71" s="2">
        <v>2.0251005E9</v>
      </c>
      <c r="Q71" s="2">
        <v>59908.0</v>
      </c>
      <c r="S71" s="2" t="s">
        <v>717</v>
      </c>
      <c r="T71" s="2">
        <v>28483.0</v>
      </c>
      <c r="U71" s="2">
        <v>4.01772633E8</v>
      </c>
      <c r="V71" s="2">
        <v>6799.0</v>
      </c>
      <c r="W71" s="2">
        <v>7.0</v>
      </c>
      <c r="X71" s="2">
        <v>7.0</v>
      </c>
      <c r="Y71" s="2">
        <v>-198.0</v>
      </c>
      <c r="Z71" s="2">
        <v>164.0</v>
      </c>
      <c r="AA71" s="2">
        <v>-3.5</v>
      </c>
      <c r="AB71" s="2">
        <v>-110.0</v>
      </c>
      <c r="AC71" s="2">
        <v>-110.0</v>
      </c>
      <c r="AD71" s="2">
        <v>35.5</v>
      </c>
      <c r="AE71" s="2">
        <v>-112.0</v>
      </c>
      <c r="AF71" s="2">
        <v>-108.0</v>
      </c>
      <c r="AG71" s="2">
        <v>0.0</v>
      </c>
      <c r="AH71" s="2" t="s">
        <v>395</v>
      </c>
      <c r="AI71" s="2" t="s">
        <v>396</v>
      </c>
      <c r="AJ71" s="2">
        <v>61.0</v>
      </c>
      <c r="AK71" s="2">
        <v>14.0</v>
      </c>
      <c r="AL71" s="2" t="s">
        <v>640</v>
      </c>
      <c r="AM71" s="2" t="s">
        <v>718</v>
      </c>
      <c r="AN71" s="2" t="s">
        <v>642</v>
      </c>
      <c r="AO71" s="2" t="s">
        <v>719</v>
      </c>
      <c r="AP71" s="2" t="s">
        <v>555</v>
      </c>
      <c r="AQ71" s="2" t="s">
        <v>438</v>
      </c>
      <c r="AR71" s="2" t="s">
        <v>477</v>
      </c>
      <c r="AS71" s="2" t="s">
        <v>440</v>
      </c>
      <c r="AT71" s="2" t="s">
        <v>441</v>
      </c>
      <c r="AV71" s="2">
        <f t="array" ref="AV71">IF($A71="","",IF(INDEX($A71:$AT71,1,MAP!$B$3)=CurrentSeason,1,0))</f>
        <v>0</v>
      </c>
      <c r="AW71" s="2" t="str">
        <f t="shared" si="1"/>
        <v/>
      </c>
    </row>
    <row r="72" ht="15.0" customHeight="1">
      <c r="A72" s="2" t="s">
        <v>720</v>
      </c>
      <c r="B72" s="2">
        <v>2025.0</v>
      </c>
      <c r="C72" s="2" t="s">
        <v>390</v>
      </c>
      <c r="D72" s="2">
        <v>5.0</v>
      </c>
      <c r="E72" s="2" t="s">
        <v>716</v>
      </c>
      <c r="F72" s="2" t="s">
        <v>419</v>
      </c>
      <c r="G72" s="2" t="s">
        <v>420</v>
      </c>
      <c r="H72" s="2" t="s">
        <v>140</v>
      </c>
      <c r="I72" s="2">
        <v>44.0</v>
      </c>
      <c r="J72" s="2" t="s">
        <v>148</v>
      </c>
      <c r="K72" s="2">
        <v>10.0</v>
      </c>
      <c r="L72" s="2" t="s">
        <v>77</v>
      </c>
      <c r="M72" s="2">
        <v>-34.0</v>
      </c>
      <c r="N72" s="2">
        <v>54.0</v>
      </c>
      <c r="O72" s="2">
        <v>0.0</v>
      </c>
      <c r="P72" s="2">
        <v>2.025100501E9</v>
      </c>
      <c r="Q72" s="2">
        <v>59909.0</v>
      </c>
      <c r="S72" s="2" t="s">
        <v>721</v>
      </c>
      <c r="T72" s="2">
        <v>28484.0</v>
      </c>
      <c r="U72" s="2">
        <v>4.01772743E8</v>
      </c>
      <c r="V72" s="2">
        <v>6800.0</v>
      </c>
      <c r="W72" s="2">
        <v>7.0</v>
      </c>
      <c r="X72" s="2">
        <v>7.0</v>
      </c>
      <c r="Y72" s="2">
        <v>-148.0</v>
      </c>
      <c r="Z72" s="2">
        <v>124.0</v>
      </c>
      <c r="AA72" s="2">
        <v>-2.5</v>
      </c>
      <c r="AB72" s="2">
        <v>-118.0</v>
      </c>
      <c r="AC72" s="2">
        <v>-102.0</v>
      </c>
      <c r="AD72" s="2">
        <v>41.5</v>
      </c>
      <c r="AE72" s="2">
        <v>-115.0</v>
      </c>
      <c r="AF72" s="2">
        <v>-105.0</v>
      </c>
      <c r="AG72" s="2">
        <v>0.0</v>
      </c>
      <c r="AH72" s="2" t="s">
        <v>395</v>
      </c>
      <c r="AI72" s="2" t="s">
        <v>396</v>
      </c>
      <c r="AJ72" s="2">
        <v>78.0</v>
      </c>
      <c r="AK72" s="2">
        <v>2.0</v>
      </c>
      <c r="AL72" s="2" t="s">
        <v>532</v>
      </c>
      <c r="AM72" s="2" t="s">
        <v>722</v>
      </c>
      <c r="AN72" s="2" t="s">
        <v>208</v>
      </c>
      <c r="AO72" s="2" t="s">
        <v>723</v>
      </c>
      <c r="AP72" s="2" t="s">
        <v>534</v>
      </c>
      <c r="AQ72" s="2" t="s">
        <v>542</v>
      </c>
      <c r="AR72" s="2" t="s">
        <v>429</v>
      </c>
      <c r="AS72" s="2" t="s">
        <v>567</v>
      </c>
      <c r="AT72" s="2" t="s">
        <v>568</v>
      </c>
      <c r="AV72" s="2">
        <f t="array" ref="AV72">IF($A72="","",IF(INDEX($A72:$AT72,1,MAP!$B$3)=CurrentSeason,1,0))</f>
        <v>0</v>
      </c>
      <c r="AW72" s="2" t="str">
        <f t="shared" si="1"/>
        <v/>
      </c>
    </row>
    <row r="73" ht="15.0" customHeight="1">
      <c r="A73" s="2" t="s">
        <v>724</v>
      </c>
      <c r="B73" s="2">
        <v>2025.0</v>
      </c>
      <c r="C73" s="2" t="s">
        <v>390</v>
      </c>
      <c r="D73" s="2">
        <v>5.0</v>
      </c>
      <c r="E73" s="2" t="s">
        <v>716</v>
      </c>
      <c r="F73" s="2" t="s">
        <v>419</v>
      </c>
      <c r="G73" s="2" t="s">
        <v>420</v>
      </c>
      <c r="H73" s="2" t="s">
        <v>225</v>
      </c>
      <c r="I73" s="2">
        <v>24.0</v>
      </c>
      <c r="J73" s="2" t="s">
        <v>189</v>
      </c>
      <c r="K73" s="2">
        <v>27.0</v>
      </c>
      <c r="L73" s="2" t="s">
        <v>77</v>
      </c>
      <c r="M73" s="2">
        <v>3.0</v>
      </c>
      <c r="N73" s="2">
        <v>51.0</v>
      </c>
      <c r="O73" s="2">
        <v>0.0</v>
      </c>
      <c r="P73" s="2">
        <v>2.025100502E9</v>
      </c>
      <c r="Q73" s="2">
        <v>59910.0</v>
      </c>
      <c r="S73" s="2" t="s">
        <v>725</v>
      </c>
      <c r="T73" s="2">
        <v>28485.0</v>
      </c>
      <c r="U73" s="2">
        <v>4.01772852E8</v>
      </c>
      <c r="V73" s="2">
        <v>6801.0</v>
      </c>
      <c r="W73" s="2">
        <v>6.0</v>
      </c>
      <c r="X73" s="2">
        <v>7.0</v>
      </c>
      <c r="Y73" s="2">
        <v>-120.0</v>
      </c>
      <c r="Z73" s="2">
        <v>100.0</v>
      </c>
      <c r="AA73" s="2">
        <v>-1.5</v>
      </c>
      <c r="AB73" s="2">
        <v>-105.0</v>
      </c>
      <c r="AC73" s="2">
        <v>-115.0</v>
      </c>
      <c r="AD73" s="2">
        <v>44.5</v>
      </c>
      <c r="AE73" s="2">
        <v>-105.0</v>
      </c>
      <c r="AF73" s="2">
        <v>-115.0</v>
      </c>
      <c r="AG73" s="2">
        <v>0.0</v>
      </c>
      <c r="AH73" s="2" t="s">
        <v>395</v>
      </c>
      <c r="AI73" s="2" t="s">
        <v>396</v>
      </c>
      <c r="AJ73" s="2">
        <v>77.0</v>
      </c>
      <c r="AK73" s="2">
        <v>8.0</v>
      </c>
      <c r="AL73" s="2" t="s">
        <v>444</v>
      </c>
      <c r="AM73" s="2" t="s">
        <v>453</v>
      </c>
      <c r="AN73" s="2" t="s">
        <v>182</v>
      </c>
      <c r="AO73" s="2" t="s">
        <v>190</v>
      </c>
      <c r="AP73" s="2" t="s">
        <v>446</v>
      </c>
      <c r="AQ73" s="2" t="s">
        <v>455</v>
      </c>
      <c r="AR73" s="2" t="s">
        <v>497</v>
      </c>
      <c r="AS73" s="2" t="s">
        <v>631</v>
      </c>
      <c r="AT73" s="2" t="s">
        <v>632</v>
      </c>
      <c r="AV73" s="2">
        <f t="array" ref="AV73">IF($A73="","",IF(INDEX($A73:$AT73,1,MAP!$B$3)=CurrentSeason,1,0))</f>
        <v>0</v>
      </c>
      <c r="AW73" s="2" t="str">
        <f t="shared" si="1"/>
        <v/>
      </c>
    </row>
    <row r="74" ht="15.0" customHeight="1">
      <c r="A74" s="2" t="s">
        <v>726</v>
      </c>
      <c r="B74" s="2">
        <v>2025.0</v>
      </c>
      <c r="C74" s="2" t="s">
        <v>390</v>
      </c>
      <c r="D74" s="2">
        <v>5.0</v>
      </c>
      <c r="E74" s="2" t="s">
        <v>716</v>
      </c>
      <c r="F74" s="2" t="s">
        <v>419</v>
      </c>
      <c r="G74" s="2" t="s">
        <v>420</v>
      </c>
      <c r="H74" s="2" t="s">
        <v>222</v>
      </c>
      <c r="I74" s="2">
        <v>6.0</v>
      </c>
      <c r="J74" s="2" t="s">
        <v>210</v>
      </c>
      <c r="K74" s="2">
        <v>40.0</v>
      </c>
      <c r="L74" s="2" t="s">
        <v>77</v>
      </c>
      <c r="M74" s="2">
        <v>34.0</v>
      </c>
      <c r="N74" s="2">
        <v>46.0</v>
      </c>
      <c r="O74" s="2">
        <v>0.0</v>
      </c>
      <c r="P74" s="2">
        <v>2.025100503E9</v>
      </c>
      <c r="Q74" s="2">
        <v>59911.0</v>
      </c>
      <c r="S74" s="2" t="s">
        <v>727</v>
      </c>
      <c r="T74" s="2">
        <v>28486.0</v>
      </c>
      <c r="U74" s="2">
        <v>4.01772851E8</v>
      </c>
      <c r="V74" s="2">
        <v>6802.0</v>
      </c>
      <c r="W74" s="2">
        <v>7.0</v>
      </c>
      <c r="X74" s="2">
        <v>7.0</v>
      </c>
      <c r="Y74" s="2">
        <v>285.0</v>
      </c>
      <c r="Z74" s="2">
        <v>-360.0</v>
      </c>
      <c r="AA74" s="2">
        <v>7.0</v>
      </c>
      <c r="AB74" s="2">
        <v>100.0</v>
      </c>
      <c r="AC74" s="2">
        <v>-120.0</v>
      </c>
      <c r="AD74" s="2">
        <v>46.5</v>
      </c>
      <c r="AE74" s="2">
        <v>-108.0</v>
      </c>
      <c r="AF74" s="2">
        <v>-112.0</v>
      </c>
      <c r="AG74" s="2">
        <v>0.0</v>
      </c>
      <c r="AH74" s="2" t="s">
        <v>422</v>
      </c>
      <c r="AI74" s="2" t="s">
        <v>423</v>
      </c>
      <c r="AL74" s="2" t="s">
        <v>462</v>
      </c>
      <c r="AM74" s="2" t="s">
        <v>445</v>
      </c>
      <c r="AN74" s="2" t="s">
        <v>239</v>
      </c>
      <c r="AO74" s="2" t="s">
        <v>211</v>
      </c>
      <c r="AP74" s="2" t="s">
        <v>464</v>
      </c>
      <c r="AQ74" s="2" t="s">
        <v>447</v>
      </c>
      <c r="AR74" s="2" t="s">
        <v>507</v>
      </c>
      <c r="AS74" s="2" t="s">
        <v>449</v>
      </c>
      <c r="AT74" s="2" t="s">
        <v>450</v>
      </c>
      <c r="AV74" s="2">
        <f t="array" ref="AV74">IF($A74="","",IF(INDEX($A74:$AT74,1,MAP!$B$3)=CurrentSeason,1,0))</f>
        <v>0</v>
      </c>
      <c r="AW74" s="2" t="str">
        <f t="shared" si="1"/>
        <v/>
      </c>
    </row>
    <row r="75" ht="15.0" customHeight="1">
      <c r="A75" s="2" t="s">
        <v>728</v>
      </c>
      <c r="B75" s="2">
        <v>2025.0</v>
      </c>
      <c r="C75" s="2" t="s">
        <v>390</v>
      </c>
      <c r="D75" s="2">
        <v>5.0</v>
      </c>
      <c r="E75" s="2" t="s">
        <v>716</v>
      </c>
      <c r="F75" s="2" t="s">
        <v>419</v>
      </c>
      <c r="G75" s="2" t="s">
        <v>420</v>
      </c>
      <c r="H75" s="2" t="s">
        <v>235</v>
      </c>
      <c r="I75" s="2">
        <v>14.0</v>
      </c>
      <c r="J75" s="2" t="s">
        <v>232</v>
      </c>
      <c r="K75" s="2">
        <v>26.0</v>
      </c>
      <c r="L75" s="2" t="s">
        <v>77</v>
      </c>
      <c r="M75" s="2">
        <v>12.0</v>
      </c>
      <c r="N75" s="2">
        <v>40.0</v>
      </c>
      <c r="O75" s="2">
        <v>0.0</v>
      </c>
      <c r="P75" s="2">
        <v>2.025100504E9</v>
      </c>
      <c r="Q75" s="2">
        <v>59912.0</v>
      </c>
      <c r="S75" s="2" t="s">
        <v>729</v>
      </c>
      <c r="T75" s="2">
        <v>28487.0</v>
      </c>
      <c r="U75" s="2">
        <v>4.01772744E8</v>
      </c>
      <c r="V75" s="2">
        <v>6803.0</v>
      </c>
      <c r="W75" s="2">
        <v>7.0</v>
      </c>
      <c r="X75" s="2">
        <v>7.0</v>
      </c>
      <c r="Y75" s="2">
        <v>100.0</v>
      </c>
      <c r="Z75" s="2">
        <v>-120.0</v>
      </c>
      <c r="AA75" s="2">
        <v>1.5</v>
      </c>
      <c r="AB75" s="2">
        <v>-115.0</v>
      </c>
      <c r="AC75" s="2">
        <v>-105.0</v>
      </c>
      <c r="AD75" s="2">
        <v>41.5</v>
      </c>
      <c r="AE75" s="2">
        <v>-105.0</v>
      </c>
      <c r="AF75" s="2">
        <v>-115.0</v>
      </c>
      <c r="AG75" s="2">
        <v>0.0</v>
      </c>
      <c r="AH75" s="2" t="s">
        <v>409</v>
      </c>
      <c r="AI75" s="2" t="s">
        <v>471</v>
      </c>
      <c r="AL75" s="2" t="s">
        <v>693</v>
      </c>
      <c r="AM75" s="2" t="s">
        <v>473</v>
      </c>
      <c r="AN75" s="2" t="s">
        <v>236</v>
      </c>
      <c r="AO75" s="2" t="s">
        <v>474</v>
      </c>
      <c r="AP75" s="2" t="s">
        <v>495</v>
      </c>
      <c r="AQ75" s="2" t="s">
        <v>476</v>
      </c>
      <c r="AR75" s="2" t="s">
        <v>557</v>
      </c>
      <c r="AS75" s="2" t="s">
        <v>478</v>
      </c>
      <c r="AT75" s="2" t="s">
        <v>479</v>
      </c>
      <c r="AV75" s="2">
        <f t="array" ref="AV75">IF($A75="","",IF(INDEX($A75:$AT75,1,MAP!$B$3)=CurrentSeason,1,0))</f>
        <v>0</v>
      </c>
      <c r="AW75" s="2" t="str">
        <f t="shared" si="1"/>
        <v/>
      </c>
    </row>
    <row r="76" ht="15.0" customHeight="1">
      <c r="A76" s="2" t="s">
        <v>730</v>
      </c>
      <c r="B76" s="2">
        <v>2025.0</v>
      </c>
      <c r="C76" s="2" t="s">
        <v>390</v>
      </c>
      <c r="D76" s="2">
        <v>5.0</v>
      </c>
      <c r="E76" s="2" t="s">
        <v>716</v>
      </c>
      <c r="F76" s="2" t="s">
        <v>419</v>
      </c>
      <c r="G76" s="2" t="s">
        <v>420</v>
      </c>
      <c r="H76" s="2" t="s">
        <v>146</v>
      </c>
      <c r="I76" s="2">
        <v>37.0</v>
      </c>
      <c r="J76" s="2" t="s">
        <v>238</v>
      </c>
      <c r="K76" s="2">
        <v>22.0</v>
      </c>
      <c r="L76" s="2" t="s">
        <v>77</v>
      </c>
      <c r="M76" s="2">
        <v>-15.0</v>
      </c>
      <c r="N76" s="2">
        <v>59.0</v>
      </c>
      <c r="O76" s="2">
        <v>0.0</v>
      </c>
      <c r="P76" s="2">
        <v>2.025100505E9</v>
      </c>
      <c r="Q76" s="2">
        <v>59913.0</v>
      </c>
      <c r="S76" s="2" t="s">
        <v>731</v>
      </c>
      <c r="T76" s="2">
        <v>28488.0</v>
      </c>
      <c r="U76" s="2">
        <v>4.0177285E8</v>
      </c>
      <c r="V76" s="2">
        <v>6804.0</v>
      </c>
      <c r="W76" s="2">
        <v>7.0</v>
      </c>
      <c r="X76" s="2">
        <v>6.0</v>
      </c>
      <c r="Y76" s="2">
        <v>-105.0</v>
      </c>
      <c r="Z76" s="2">
        <v>-115.0</v>
      </c>
      <c r="AA76" s="2">
        <v>1.5</v>
      </c>
      <c r="AB76" s="2">
        <v>-120.0</v>
      </c>
      <c r="AC76" s="2">
        <v>100.0</v>
      </c>
      <c r="AD76" s="2">
        <v>48.5</v>
      </c>
      <c r="AE76" s="2">
        <v>-110.0</v>
      </c>
      <c r="AF76" s="2">
        <v>-110.0</v>
      </c>
      <c r="AG76" s="2">
        <v>0.0</v>
      </c>
      <c r="AH76" s="2" t="s">
        <v>395</v>
      </c>
      <c r="AI76" s="2" t="s">
        <v>423</v>
      </c>
      <c r="AJ76" s="2">
        <v>82.0</v>
      </c>
      <c r="AK76" s="2">
        <v>3.0</v>
      </c>
      <c r="AL76" s="2" t="s">
        <v>397</v>
      </c>
      <c r="AM76" s="2" t="s">
        <v>483</v>
      </c>
      <c r="AN76" s="2" t="s">
        <v>199</v>
      </c>
      <c r="AO76" s="2" t="s">
        <v>484</v>
      </c>
      <c r="AP76" s="2" t="s">
        <v>399</v>
      </c>
      <c r="AQ76" s="2" t="s">
        <v>486</v>
      </c>
      <c r="AR76" s="2" t="s">
        <v>457</v>
      </c>
      <c r="AS76" s="2" t="s">
        <v>488</v>
      </c>
      <c r="AT76" s="2" t="s">
        <v>489</v>
      </c>
      <c r="AV76" s="2">
        <f t="array" ref="AV76">IF($A76="","",IF(INDEX($A76:$AT76,1,MAP!$B$3)=CurrentSeason,1,0))</f>
        <v>0</v>
      </c>
      <c r="AW76" s="2" t="str">
        <f t="shared" si="1"/>
        <v/>
      </c>
    </row>
    <row r="77" ht="15.0" customHeight="1">
      <c r="A77" s="2" t="s">
        <v>732</v>
      </c>
      <c r="B77" s="2">
        <v>2025.0</v>
      </c>
      <c r="C77" s="2" t="s">
        <v>390</v>
      </c>
      <c r="D77" s="2">
        <v>5.0</v>
      </c>
      <c r="E77" s="2" t="s">
        <v>716</v>
      </c>
      <c r="F77" s="2" t="s">
        <v>419</v>
      </c>
      <c r="G77" s="2" t="s">
        <v>420</v>
      </c>
      <c r="H77" s="2" t="s">
        <v>139</v>
      </c>
      <c r="I77" s="2">
        <v>21.0</v>
      </c>
      <c r="J77" s="2" t="s">
        <v>147</v>
      </c>
      <c r="K77" s="2">
        <v>17.0</v>
      </c>
      <c r="L77" s="2" t="s">
        <v>77</v>
      </c>
      <c r="M77" s="2">
        <v>-4.0</v>
      </c>
      <c r="N77" s="2">
        <v>38.0</v>
      </c>
      <c r="O77" s="2">
        <v>0.0</v>
      </c>
      <c r="P77" s="2">
        <v>2.025100506E9</v>
      </c>
      <c r="Q77" s="2">
        <v>59914.0</v>
      </c>
      <c r="S77" s="2" t="s">
        <v>733</v>
      </c>
      <c r="T77" s="2">
        <v>28489.0</v>
      </c>
      <c r="U77" s="2">
        <v>4.01772745E8</v>
      </c>
      <c r="V77" s="2">
        <v>6805.0</v>
      </c>
      <c r="W77" s="2">
        <v>6.0</v>
      </c>
      <c r="X77" s="2">
        <v>7.0</v>
      </c>
      <c r="Y77" s="2">
        <v>180.0</v>
      </c>
      <c r="Z77" s="2">
        <v>-218.0</v>
      </c>
      <c r="AA77" s="2">
        <v>3.5</v>
      </c>
      <c r="AB77" s="2">
        <v>-105.0</v>
      </c>
      <c r="AC77" s="2">
        <v>-115.0</v>
      </c>
      <c r="AD77" s="2">
        <v>44.5</v>
      </c>
      <c r="AE77" s="2">
        <v>-115.0</v>
      </c>
      <c r="AF77" s="2">
        <v>-105.0</v>
      </c>
      <c r="AG77" s="2">
        <v>0.0</v>
      </c>
      <c r="AH77" s="2" t="s">
        <v>395</v>
      </c>
      <c r="AI77" s="2" t="s">
        <v>396</v>
      </c>
      <c r="AJ77" s="2">
        <v>80.0</v>
      </c>
      <c r="AK77" s="2">
        <v>6.0</v>
      </c>
      <c r="AL77" s="2" t="s">
        <v>504</v>
      </c>
      <c r="AM77" s="2" t="s">
        <v>398</v>
      </c>
      <c r="AN77" s="2" t="s">
        <v>201</v>
      </c>
      <c r="AO77" s="2" t="s">
        <v>241</v>
      </c>
      <c r="AP77" s="2" t="s">
        <v>506</v>
      </c>
      <c r="AQ77" s="2" t="s">
        <v>400</v>
      </c>
      <c r="AR77" s="2" t="s">
        <v>439</v>
      </c>
      <c r="AS77" s="2" t="s">
        <v>402</v>
      </c>
      <c r="AT77" s="2" t="s">
        <v>403</v>
      </c>
      <c r="AV77" s="2">
        <f t="array" ref="AV77">IF($A77="","",IF(INDEX($A77:$AT77,1,MAP!$B$3)=CurrentSeason,1,0))</f>
        <v>0</v>
      </c>
      <c r="AW77" s="2" t="str">
        <f t="shared" si="1"/>
        <v/>
      </c>
    </row>
    <row r="78" ht="15.0" customHeight="1">
      <c r="A78" s="2" t="s">
        <v>734</v>
      </c>
      <c r="B78" s="2">
        <v>2025.0</v>
      </c>
      <c r="C78" s="2" t="s">
        <v>390</v>
      </c>
      <c r="D78" s="2">
        <v>5.0</v>
      </c>
      <c r="E78" s="2" t="s">
        <v>716</v>
      </c>
      <c r="F78" s="2" t="s">
        <v>419</v>
      </c>
      <c r="G78" s="2" t="s">
        <v>501</v>
      </c>
      <c r="H78" s="2" t="s">
        <v>250</v>
      </c>
      <c r="I78" s="2">
        <v>22.0</v>
      </c>
      <c r="J78" s="2" t="s">
        <v>178</v>
      </c>
      <c r="K78" s="2">
        <v>21.0</v>
      </c>
      <c r="L78" s="2" t="s">
        <v>77</v>
      </c>
      <c r="M78" s="2">
        <v>-1.0</v>
      </c>
      <c r="N78" s="2">
        <v>43.0</v>
      </c>
      <c r="O78" s="2">
        <v>0.0</v>
      </c>
      <c r="P78" s="2">
        <v>2.025100507E9</v>
      </c>
      <c r="Q78" s="2">
        <v>59915.0</v>
      </c>
      <c r="S78" s="2" t="s">
        <v>735</v>
      </c>
      <c r="T78" s="2">
        <v>28491.0</v>
      </c>
      <c r="U78" s="2">
        <v>4.01772747E8</v>
      </c>
      <c r="V78" s="2">
        <v>6806.0</v>
      </c>
      <c r="W78" s="2">
        <v>7.0</v>
      </c>
      <c r="X78" s="2">
        <v>10.0</v>
      </c>
      <c r="Y78" s="2">
        <v>330.0</v>
      </c>
      <c r="Z78" s="2">
        <v>-425.0</v>
      </c>
      <c r="AA78" s="2">
        <v>7.5</v>
      </c>
      <c r="AB78" s="2">
        <v>-108.0</v>
      </c>
      <c r="AC78" s="2">
        <v>-112.0</v>
      </c>
      <c r="AD78" s="2">
        <v>41.5</v>
      </c>
      <c r="AE78" s="2">
        <v>-110.0</v>
      </c>
      <c r="AF78" s="2">
        <v>-110.0</v>
      </c>
      <c r="AG78" s="2">
        <v>0.0</v>
      </c>
      <c r="AH78" s="2" t="s">
        <v>422</v>
      </c>
      <c r="AI78" s="2" t="s">
        <v>396</v>
      </c>
      <c r="AL78" s="2" t="s">
        <v>503</v>
      </c>
      <c r="AM78" s="2" t="s">
        <v>472</v>
      </c>
      <c r="AN78" s="2" t="s">
        <v>251</v>
      </c>
      <c r="AO78" s="2" t="s">
        <v>228</v>
      </c>
      <c r="AP78" s="2" t="s">
        <v>505</v>
      </c>
      <c r="AQ78" s="2" t="s">
        <v>475</v>
      </c>
      <c r="AR78" s="2" t="s">
        <v>401</v>
      </c>
      <c r="AS78" s="2" t="s">
        <v>601</v>
      </c>
      <c r="AT78" s="2" t="s">
        <v>602</v>
      </c>
      <c r="AV78" s="2">
        <f t="array" ref="AV78">IF($A78="","",IF(INDEX($A78:$AT78,1,MAP!$B$3)=CurrentSeason,1,0))</f>
        <v>0</v>
      </c>
      <c r="AW78" s="2" t="str">
        <f t="shared" si="1"/>
        <v/>
      </c>
    </row>
    <row r="79" ht="15.0" customHeight="1">
      <c r="A79" s="2" t="s">
        <v>736</v>
      </c>
      <c r="B79" s="2">
        <v>2025.0</v>
      </c>
      <c r="C79" s="2" t="s">
        <v>390</v>
      </c>
      <c r="D79" s="2">
        <v>5.0</v>
      </c>
      <c r="E79" s="2" t="s">
        <v>716</v>
      </c>
      <c r="F79" s="2" t="s">
        <v>419</v>
      </c>
      <c r="G79" s="2" t="s">
        <v>501</v>
      </c>
      <c r="H79" s="2" t="s">
        <v>150</v>
      </c>
      <c r="I79" s="2">
        <v>38.0</v>
      </c>
      <c r="J79" s="2" t="s">
        <v>149</v>
      </c>
      <c r="K79" s="2">
        <v>35.0</v>
      </c>
      <c r="L79" s="2" t="s">
        <v>77</v>
      </c>
      <c r="M79" s="2">
        <v>-3.0</v>
      </c>
      <c r="N79" s="2">
        <v>73.0</v>
      </c>
      <c r="O79" s="2">
        <v>0.0</v>
      </c>
      <c r="P79" s="2">
        <v>2.025100508E9</v>
      </c>
      <c r="Q79" s="2">
        <v>59916.0</v>
      </c>
      <c r="S79" s="2" t="s">
        <v>737</v>
      </c>
      <c r="T79" s="2">
        <v>28490.0</v>
      </c>
      <c r="U79" s="2">
        <v>4.01772746E8</v>
      </c>
      <c r="V79" s="2">
        <v>6807.0</v>
      </c>
      <c r="W79" s="2">
        <v>7.0</v>
      </c>
      <c r="X79" s="2">
        <v>10.0</v>
      </c>
      <c r="Y79" s="2">
        <v>150.0</v>
      </c>
      <c r="Z79" s="2">
        <v>-180.0</v>
      </c>
      <c r="AA79" s="2">
        <v>3.5</v>
      </c>
      <c r="AB79" s="2">
        <v>-115.0</v>
      </c>
      <c r="AC79" s="2">
        <v>-105.0</v>
      </c>
      <c r="AD79" s="2">
        <v>44.5</v>
      </c>
      <c r="AE79" s="2">
        <v>-110.0</v>
      </c>
      <c r="AF79" s="2">
        <v>-110.0</v>
      </c>
      <c r="AG79" s="2">
        <v>0.0</v>
      </c>
      <c r="AH79" s="2" t="s">
        <v>395</v>
      </c>
      <c r="AI79" s="2" t="s">
        <v>423</v>
      </c>
      <c r="AJ79" s="2">
        <v>61.0</v>
      </c>
      <c r="AK79" s="2">
        <v>8.0</v>
      </c>
      <c r="AL79" s="2" t="s">
        <v>424</v>
      </c>
      <c r="AM79" s="2" t="s">
        <v>513</v>
      </c>
      <c r="AN79" s="2" t="s">
        <v>248</v>
      </c>
      <c r="AO79" s="2" t="s">
        <v>245</v>
      </c>
      <c r="AP79" s="2" t="s">
        <v>427</v>
      </c>
      <c r="AQ79" s="2" t="s">
        <v>515</v>
      </c>
      <c r="AR79" s="2" t="s">
        <v>536</v>
      </c>
      <c r="AS79" s="2" t="s">
        <v>517</v>
      </c>
      <c r="AT79" s="2" t="s">
        <v>518</v>
      </c>
      <c r="AV79" s="2">
        <f t="array" ref="AV79">IF($A79="","",IF(INDEX($A79:$AT79,1,MAP!$B$3)=CurrentSeason,1,0))</f>
        <v>0</v>
      </c>
      <c r="AW79" s="2" t="str">
        <f t="shared" si="1"/>
        <v/>
      </c>
    </row>
    <row r="80" ht="15.0" customHeight="1">
      <c r="A80" s="2" t="s">
        <v>738</v>
      </c>
      <c r="B80" s="2">
        <v>2025.0</v>
      </c>
      <c r="C80" s="2" t="s">
        <v>390</v>
      </c>
      <c r="D80" s="2">
        <v>5.0</v>
      </c>
      <c r="E80" s="2" t="s">
        <v>716</v>
      </c>
      <c r="F80" s="2" t="s">
        <v>419</v>
      </c>
      <c r="G80" s="2" t="s">
        <v>520</v>
      </c>
      <c r="H80" s="2" t="s">
        <v>202</v>
      </c>
      <c r="I80" s="2">
        <v>37.0</v>
      </c>
      <c r="J80" s="2" t="s">
        <v>138</v>
      </c>
      <c r="K80" s="2">
        <v>24.0</v>
      </c>
      <c r="L80" s="2" t="s">
        <v>77</v>
      </c>
      <c r="M80" s="2">
        <v>-13.0</v>
      </c>
      <c r="N80" s="2">
        <v>61.0</v>
      </c>
      <c r="O80" s="2">
        <v>0.0</v>
      </c>
      <c r="P80" s="2">
        <v>2.025100509E9</v>
      </c>
      <c r="Q80" s="2">
        <v>59917.0</v>
      </c>
      <c r="S80" s="2" t="s">
        <v>739</v>
      </c>
      <c r="T80" s="2">
        <v>28492.0</v>
      </c>
      <c r="U80" s="2">
        <v>4.01772854E8</v>
      </c>
      <c r="V80" s="2">
        <v>6808.0</v>
      </c>
      <c r="W80" s="2">
        <v>7.0</v>
      </c>
      <c r="X80" s="2">
        <v>6.0</v>
      </c>
      <c r="Y80" s="2">
        <v>-575.0</v>
      </c>
      <c r="Z80" s="2">
        <v>425.0</v>
      </c>
      <c r="AA80" s="2">
        <v>-10.5</v>
      </c>
      <c r="AB80" s="2">
        <v>-102.0</v>
      </c>
      <c r="AC80" s="2">
        <v>-118.0</v>
      </c>
      <c r="AD80" s="2">
        <v>49.5</v>
      </c>
      <c r="AE80" s="2">
        <v>-112.0</v>
      </c>
      <c r="AF80" s="2">
        <v>-108.0</v>
      </c>
      <c r="AG80" s="2">
        <v>0.0</v>
      </c>
      <c r="AH80" s="2" t="s">
        <v>395</v>
      </c>
      <c r="AI80" s="2" t="s">
        <v>423</v>
      </c>
      <c r="AJ80" s="2">
        <v>84.0</v>
      </c>
      <c r="AK80" s="2">
        <v>7.0</v>
      </c>
      <c r="AL80" s="2" t="s">
        <v>522</v>
      </c>
      <c r="AM80" s="2" t="s">
        <v>639</v>
      </c>
      <c r="AN80" s="2" t="s">
        <v>203</v>
      </c>
      <c r="AO80" s="2" t="s">
        <v>641</v>
      </c>
      <c r="AP80" s="2" t="s">
        <v>524</v>
      </c>
      <c r="AQ80" s="2" t="s">
        <v>437</v>
      </c>
      <c r="AR80" s="2" t="s">
        <v>414</v>
      </c>
      <c r="AS80" s="2" t="s">
        <v>571</v>
      </c>
      <c r="AT80" s="2" t="s">
        <v>572</v>
      </c>
      <c r="AV80" s="2">
        <f t="array" ref="AV80">IF($A80="","",IF(INDEX($A80:$AT80,1,MAP!$B$3)=CurrentSeason,1,0))</f>
        <v>0</v>
      </c>
      <c r="AW80" s="2" t="str">
        <f t="shared" si="1"/>
        <v/>
      </c>
    </row>
    <row r="81" ht="15.0" customHeight="1">
      <c r="A81" s="2" t="s">
        <v>740</v>
      </c>
      <c r="B81" s="2">
        <v>2025.0</v>
      </c>
      <c r="C81" s="2" t="s">
        <v>390</v>
      </c>
      <c r="D81" s="2">
        <v>5.0</v>
      </c>
      <c r="E81" s="2" t="s">
        <v>716</v>
      </c>
      <c r="F81" s="2" t="s">
        <v>419</v>
      </c>
      <c r="G81" s="2" t="s">
        <v>520</v>
      </c>
      <c r="H81" s="2" t="s">
        <v>253</v>
      </c>
      <c r="I81" s="2">
        <v>27.0</v>
      </c>
      <c r="J81" s="2" t="s">
        <v>220</v>
      </c>
      <c r="K81" s="2">
        <v>10.0</v>
      </c>
      <c r="L81" s="2" t="s">
        <v>77</v>
      </c>
      <c r="M81" s="2">
        <v>-17.0</v>
      </c>
      <c r="N81" s="2">
        <v>37.0</v>
      </c>
      <c r="O81" s="2">
        <v>0.0</v>
      </c>
      <c r="P81" s="2">
        <v>2.02510051E9</v>
      </c>
      <c r="Q81" s="2">
        <v>59918.0</v>
      </c>
      <c r="S81" s="2" t="s">
        <v>741</v>
      </c>
      <c r="T81" s="2">
        <v>28493.0</v>
      </c>
      <c r="U81" s="2">
        <v>4.01772853E8</v>
      </c>
      <c r="V81" s="2">
        <v>6809.0</v>
      </c>
      <c r="W81" s="2">
        <v>7.0</v>
      </c>
      <c r="X81" s="2">
        <v>7.0</v>
      </c>
      <c r="Y81" s="2">
        <v>130.0</v>
      </c>
      <c r="Z81" s="2">
        <v>-155.0</v>
      </c>
      <c r="AA81" s="2">
        <v>2.5</v>
      </c>
      <c r="AB81" s="2">
        <v>100.0</v>
      </c>
      <c r="AC81" s="2">
        <v>-120.0</v>
      </c>
      <c r="AD81" s="2">
        <v>47.5</v>
      </c>
      <c r="AE81" s="2">
        <v>-115.0</v>
      </c>
      <c r="AF81" s="2">
        <v>-105.0</v>
      </c>
      <c r="AG81" s="2">
        <v>0.0</v>
      </c>
      <c r="AH81" s="2" t="s">
        <v>409</v>
      </c>
      <c r="AI81" s="2" t="s">
        <v>531</v>
      </c>
      <c r="AL81" s="2" t="s">
        <v>493</v>
      </c>
      <c r="AM81" s="2" t="s">
        <v>411</v>
      </c>
      <c r="AN81" s="2" t="s">
        <v>254</v>
      </c>
      <c r="AO81" s="2" t="s">
        <v>221</v>
      </c>
      <c r="AP81" s="2" t="s">
        <v>496</v>
      </c>
      <c r="AQ81" s="2" t="s">
        <v>413</v>
      </c>
      <c r="AR81" s="2" t="s">
        <v>544</v>
      </c>
      <c r="AS81" s="2" t="s">
        <v>415</v>
      </c>
      <c r="AT81" s="2" t="s">
        <v>416</v>
      </c>
      <c r="AV81" s="2">
        <f t="array" ref="AV81">IF($A81="","",IF(INDEX($A81:$AT81,1,MAP!$B$3)=CurrentSeason,1,0))</f>
        <v>0</v>
      </c>
      <c r="AW81" s="2" t="str">
        <f t="shared" si="1"/>
        <v/>
      </c>
    </row>
    <row r="82" ht="15.0" customHeight="1">
      <c r="A82" s="2" t="s">
        <v>742</v>
      </c>
      <c r="B82" s="2">
        <v>2025.0</v>
      </c>
      <c r="C82" s="2" t="s">
        <v>390</v>
      </c>
      <c r="D82" s="2">
        <v>5.0</v>
      </c>
      <c r="E82" s="2" t="s">
        <v>716</v>
      </c>
      <c r="F82" s="2" t="s">
        <v>419</v>
      </c>
      <c r="G82" s="2" t="s">
        <v>393</v>
      </c>
      <c r="H82" s="2" t="s">
        <v>145</v>
      </c>
      <c r="I82" s="2">
        <v>23.0</v>
      </c>
      <c r="J82" s="2" t="s">
        <v>136</v>
      </c>
      <c r="K82" s="2">
        <v>20.0</v>
      </c>
      <c r="L82" s="2" t="s">
        <v>77</v>
      </c>
      <c r="M82" s="2">
        <v>-3.0</v>
      </c>
      <c r="N82" s="2">
        <v>43.0</v>
      </c>
      <c r="O82" s="2">
        <v>0.0</v>
      </c>
      <c r="P82" s="2">
        <v>2.025100511E9</v>
      </c>
      <c r="Q82" s="2">
        <v>59919.0</v>
      </c>
      <c r="S82" s="2" t="s">
        <v>743</v>
      </c>
      <c r="T82" s="2">
        <v>28494.0</v>
      </c>
      <c r="U82" s="2">
        <v>4.01772922E8</v>
      </c>
      <c r="V82" s="2">
        <v>6810.0</v>
      </c>
      <c r="W82" s="2">
        <v>7.0</v>
      </c>
      <c r="X82" s="2">
        <v>7.0</v>
      </c>
      <c r="Y82" s="2">
        <v>310.0</v>
      </c>
      <c r="Z82" s="2">
        <v>-395.0</v>
      </c>
      <c r="AA82" s="2">
        <v>7.5</v>
      </c>
      <c r="AB82" s="2">
        <v>-105.0</v>
      </c>
      <c r="AC82" s="2">
        <v>-115.0</v>
      </c>
      <c r="AD82" s="2">
        <v>49.5</v>
      </c>
      <c r="AE82" s="2">
        <v>-108.0</v>
      </c>
      <c r="AF82" s="2">
        <v>-112.0</v>
      </c>
      <c r="AG82" s="2">
        <v>1.0</v>
      </c>
      <c r="AH82" s="2" t="s">
        <v>395</v>
      </c>
      <c r="AI82" s="2" t="s">
        <v>539</v>
      </c>
      <c r="AJ82" s="2">
        <v>66.0</v>
      </c>
      <c r="AK82" s="2">
        <v>3.0</v>
      </c>
      <c r="AL82" s="2" t="s">
        <v>463</v>
      </c>
      <c r="AM82" s="2" t="s">
        <v>541</v>
      </c>
      <c r="AN82" s="2" t="s">
        <v>230</v>
      </c>
      <c r="AO82" s="2" t="s">
        <v>187</v>
      </c>
      <c r="AP82" s="2" t="s">
        <v>465</v>
      </c>
      <c r="AQ82" s="2" t="s">
        <v>543</v>
      </c>
      <c r="AR82" s="2" t="s">
        <v>516</v>
      </c>
      <c r="AS82" s="2" t="s">
        <v>545</v>
      </c>
      <c r="AT82" s="2" t="s">
        <v>546</v>
      </c>
      <c r="AV82" s="2">
        <f t="array" ref="AV82">IF($A82="","",IF(INDEX($A82:$AT82,1,MAP!$B$3)=CurrentSeason,1,0))</f>
        <v>0</v>
      </c>
      <c r="AW82" s="2" t="str">
        <f t="shared" si="1"/>
        <v/>
      </c>
    </row>
    <row r="83" ht="15.0" customHeight="1">
      <c r="A83" s="2" t="s">
        <v>744</v>
      </c>
      <c r="B83" s="2">
        <v>2025.0</v>
      </c>
      <c r="C83" s="2" t="s">
        <v>390</v>
      </c>
      <c r="D83" s="2">
        <v>5.0</v>
      </c>
      <c r="E83" s="2" t="s">
        <v>745</v>
      </c>
      <c r="F83" s="2" t="s">
        <v>549</v>
      </c>
      <c r="G83" s="2" t="s">
        <v>550</v>
      </c>
      <c r="H83" s="2" t="s">
        <v>143</v>
      </c>
      <c r="I83" s="2">
        <v>28.0</v>
      </c>
      <c r="J83" s="2" t="s">
        <v>141</v>
      </c>
      <c r="K83" s="2">
        <v>31.0</v>
      </c>
      <c r="L83" s="2" t="s">
        <v>77</v>
      </c>
      <c r="M83" s="2">
        <v>3.0</v>
      </c>
      <c r="N83" s="2">
        <v>59.0</v>
      </c>
      <c r="O83" s="2">
        <v>0.0</v>
      </c>
      <c r="P83" s="2">
        <v>2.0251006E9</v>
      </c>
      <c r="Q83" s="2">
        <v>59920.0</v>
      </c>
      <c r="S83" s="2" t="s">
        <v>746</v>
      </c>
      <c r="T83" s="2">
        <v>28495.0</v>
      </c>
      <c r="U83" s="2">
        <v>4.01772814E8</v>
      </c>
      <c r="V83" s="2">
        <v>6811.0</v>
      </c>
      <c r="W83" s="2">
        <v>8.0</v>
      </c>
      <c r="X83" s="2">
        <v>8.0</v>
      </c>
      <c r="Y83" s="2">
        <v>-198.0</v>
      </c>
      <c r="Z83" s="2">
        <v>164.0</v>
      </c>
      <c r="AA83" s="2">
        <v>-3.5</v>
      </c>
      <c r="AB83" s="2">
        <v>-110.0</v>
      </c>
      <c r="AC83" s="2">
        <v>-110.0</v>
      </c>
      <c r="AD83" s="2">
        <v>45.5</v>
      </c>
      <c r="AE83" s="2">
        <v>-108.0</v>
      </c>
      <c r="AF83" s="2">
        <v>-112.0</v>
      </c>
      <c r="AG83" s="2">
        <v>0.0</v>
      </c>
      <c r="AH83" s="2" t="s">
        <v>395</v>
      </c>
      <c r="AI83" s="2" t="s">
        <v>396</v>
      </c>
      <c r="AJ83" s="2">
        <v>80.0</v>
      </c>
      <c r="AK83" s="2">
        <v>12.0</v>
      </c>
      <c r="AL83" s="2" t="s">
        <v>410</v>
      </c>
      <c r="AM83" s="2" t="s">
        <v>454</v>
      </c>
      <c r="AN83" s="2" t="s">
        <v>216</v>
      </c>
      <c r="AO83" s="2" t="s">
        <v>214</v>
      </c>
      <c r="AP83" s="2" t="s">
        <v>412</v>
      </c>
      <c r="AQ83" s="2" t="s">
        <v>456</v>
      </c>
      <c r="AR83" s="2" t="s">
        <v>563</v>
      </c>
      <c r="AS83" s="2" t="s">
        <v>458</v>
      </c>
      <c r="AT83" s="2" t="s">
        <v>459</v>
      </c>
      <c r="AV83" s="2">
        <f t="array" ref="AV83">IF($A83="","",IF(INDEX($A83:$AT83,1,MAP!$B$3)=CurrentSeason,1,0))</f>
        <v>0</v>
      </c>
      <c r="AW83" s="2" t="str">
        <f t="shared" si="1"/>
        <v/>
      </c>
    </row>
    <row r="84" ht="15.0" customHeight="1">
      <c r="A84" s="2" t="s">
        <v>747</v>
      </c>
      <c r="B84" s="2">
        <v>2025.0</v>
      </c>
      <c r="C84" s="2" t="s">
        <v>390</v>
      </c>
      <c r="D84" s="2">
        <v>6.0</v>
      </c>
      <c r="E84" s="2" t="s">
        <v>748</v>
      </c>
      <c r="F84" s="2" t="s">
        <v>392</v>
      </c>
      <c r="G84" s="2" t="s">
        <v>550</v>
      </c>
      <c r="H84" s="2" t="s">
        <v>147</v>
      </c>
      <c r="I84" s="2">
        <v>17.0</v>
      </c>
      <c r="J84" s="2" t="s">
        <v>235</v>
      </c>
      <c r="K84" s="2">
        <v>34.0</v>
      </c>
      <c r="L84" s="2" t="s">
        <v>77</v>
      </c>
      <c r="M84" s="2">
        <v>17.0</v>
      </c>
      <c r="N84" s="2">
        <v>51.0</v>
      </c>
      <c r="O84" s="2">
        <v>0.0</v>
      </c>
      <c r="P84" s="2">
        <v>2.0251009E9</v>
      </c>
      <c r="Q84" s="2">
        <v>59921.0</v>
      </c>
      <c r="S84" s="2" t="s">
        <v>749</v>
      </c>
      <c r="T84" s="2">
        <v>28496.0</v>
      </c>
      <c r="U84" s="2">
        <v>4.0177294E8</v>
      </c>
      <c r="V84" s="2">
        <v>6812.0</v>
      </c>
      <c r="W84" s="2">
        <v>4.0</v>
      </c>
      <c r="X84" s="2">
        <v>4.0</v>
      </c>
      <c r="Y84" s="2">
        <v>-395.0</v>
      </c>
      <c r="Z84" s="2">
        <v>310.0</v>
      </c>
      <c r="AA84" s="2">
        <v>-7.0</v>
      </c>
      <c r="AB84" s="2">
        <v>-120.0</v>
      </c>
      <c r="AC84" s="2">
        <v>100.0</v>
      </c>
      <c r="AD84" s="2">
        <v>40.5</v>
      </c>
      <c r="AE84" s="2">
        <v>-105.0</v>
      </c>
      <c r="AF84" s="2">
        <v>-115.0</v>
      </c>
      <c r="AG84" s="2">
        <v>1.0</v>
      </c>
      <c r="AH84" s="2" t="s">
        <v>395</v>
      </c>
      <c r="AI84" s="2" t="s">
        <v>423</v>
      </c>
      <c r="AJ84" s="2">
        <v>53.0</v>
      </c>
      <c r="AK84" s="2">
        <v>3.0</v>
      </c>
      <c r="AL84" s="2" t="s">
        <v>398</v>
      </c>
      <c r="AM84" s="2" t="s">
        <v>693</v>
      </c>
      <c r="AN84" s="2" t="s">
        <v>241</v>
      </c>
      <c r="AO84" s="2" t="s">
        <v>236</v>
      </c>
      <c r="AP84" s="2" t="s">
        <v>400</v>
      </c>
      <c r="AQ84" s="2" t="s">
        <v>495</v>
      </c>
      <c r="AR84" s="2" t="s">
        <v>526</v>
      </c>
      <c r="AS84" s="2" t="s">
        <v>488</v>
      </c>
      <c r="AT84" s="2" t="s">
        <v>489</v>
      </c>
      <c r="AV84" s="2">
        <f t="array" ref="AV84">IF($A84="","",IF(INDEX($A84:$AT84,1,MAP!$B$3)=CurrentSeason,1,0))</f>
        <v>0</v>
      </c>
      <c r="AW84" s="2" t="str">
        <f t="shared" si="1"/>
        <v/>
      </c>
    </row>
    <row r="85" ht="15.0" customHeight="1">
      <c r="A85" s="2" t="s">
        <v>750</v>
      </c>
      <c r="B85" s="2">
        <v>2025.0</v>
      </c>
      <c r="C85" s="2" t="s">
        <v>390</v>
      </c>
      <c r="D85" s="2">
        <v>6.0</v>
      </c>
      <c r="E85" s="2" t="s">
        <v>751</v>
      </c>
      <c r="F85" s="2" t="s">
        <v>419</v>
      </c>
      <c r="G85" s="2" t="s">
        <v>679</v>
      </c>
      <c r="H85" s="2" t="s">
        <v>139</v>
      </c>
      <c r="I85" s="2">
        <v>13.0</v>
      </c>
      <c r="J85" s="2" t="s">
        <v>238</v>
      </c>
      <c r="K85" s="2">
        <v>11.0</v>
      </c>
      <c r="L85" s="2" t="s">
        <v>78</v>
      </c>
      <c r="M85" s="2">
        <v>-2.0</v>
      </c>
      <c r="N85" s="2">
        <v>24.0</v>
      </c>
      <c r="O85" s="2">
        <v>0.0</v>
      </c>
      <c r="P85" s="2">
        <v>2.0251012E9</v>
      </c>
      <c r="Q85" s="2">
        <v>59922.0</v>
      </c>
      <c r="S85" s="2" t="s">
        <v>752</v>
      </c>
      <c r="T85" s="2">
        <v>28497.0</v>
      </c>
      <c r="U85" s="2">
        <v>4.01772634E8</v>
      </c>
      <c r="V85" s="2">
        <v>6813.0</v>
      </c>
      <c r="W85" s="2">
        <v>7.0</v>
      </c>
      <c r="X85" s="2">
        <v>7.0</v>
      </c>
      <c r="Y85" s="2">
        <v>-395.0</v>
      </c>
      <c r="Z85" s="2">
        <v>310.0</v>
      </c>
      <c r="AA85" s="2">
        <v>-7.5</v>
      </c>
      <c r="AB85" s="2">
        <v>100.0</v>
      </c>
      <c r="AC85" s="2">
        <v>-120.0</v>
      </c>
      <c r="AD85" s="2">
        <v>43.5</v>
      </c>
      <c r="AE85" s="2">
        <v>-112.0</v>
      </c>
      <c r="AF85" s="2">
        <v>-108.0</v>
      </c>
      <c r="AG85" s="2">
        <v>0.0</v>
      </c>
      <c r="AH85" s="2" t="s">
        <v>395</v>
      </c>
      <c r="AI85" s="2" t="s">
        <v>396</v>
      </c>
      <c r="AJ85" s="2">
        <v>59.0</v>
      </c>
      <c r="AK85" s="2">
        <v>6.0</v>
      </c>
      <c r="AL85" s="2" t="s">
        <v>504</v>
      </c>
      <c r="AM85" s="2" t="s">
        <v>483</v>
      </c>
      <c r="AN85" s="2" t="s">
        <v>201</v>
      </c>
      <c r="AO85" s="2" t="s">
        <v>484</v>
      </c>
      <c r="AP85" s="2" t="s">
        <v>506</v>
      </c>
      <c r="AQ85" s="2" t="s">
        <v>486</v>
      </c>
      <c r="AR85" s="2" t="s">
        <v>429</v>
      </c>
      <c r="AS85" s="2" t="s">
        <v>488</v>
      </c>
      <c r="AT85" s="2" t="s">
        <v>489</v>
      </c>
      <c r="AV85" s="2">
        <f t="array" ref="AV85">IF($A85="","",IF(INDEX($A85:$AT85,1,MAP!$B$3)=CurrentSeason,1,0))</f>
        <v>0</v>
      </c>
      <c r="AW85" s="2" t="str">
        <f t="shared" si="1"/>
        <v/>
      </c>
    </row>
    <row r="86" ht="15.0" customHeight="1">
      <c r="A86" s="2" t="s">
        <v>753</v>
      </c>
      <c r="B86" s="2">
        <v>2025.0</v>
      </c>
      <c r="C86" s="2" t="s">
        <v>390</v>
      </c>
      <c r="D86" s="2">
        <v>6.0</v>
      </c>
      <c r="E86" s="2" t="s">
        <v>751</v>
      </c>
      <c r="F86" s="2" t="s">
        <v>419</v>
      </c>
      <c r="G86" s="2" t="s">
        <v>420</v>
      </c>
      <c r="H86" s="2" t="s">
        <v>142</v>
      </c>
      <c r="I86" s="2">
        <v>17.0</v>
      </c>
      <c r="J86" s="2" t="s">
        <v>148</v>
      </c>
      <c r="K86" s="2">
        <v>3.0</v>
      </c>
      <c r="L86" s="2" t="s">
        <v>77</v>
      </c>
      <c r="M86" s="2">
        <v>-14.0</v>
      </c>
      <c r="N86" s="2">
        <v>20.0</v>
      </c>
      <c r="O86" s="2">
        <v>0.0</v>
      </c>
      <c r="P86" s="2">
        <v>2.025101201E9</v>
      </c>
      <c r="Q86" s="2">
        <v>59923.0</v>
      </c>
      <c r="S86" s="2" t="s">
        <v>754</v>
      </c>
      <c r="T86" s="2">
        <v>28498.0</v>
      </c>
      <c r="U86" s="2">
        <v>4.01772855E8</v>
      </c>
      <c r="V86" s="2">
        <v>6814.0</v>
      </c>
      <c r="W86" s="2">
        <v>10.0</v>
      </c>
      <c r="X86" s="2">
        <v>7.0</v>
      </c>
      <c r="Y86" s="2">
        <v>-355.0</v>
      </c>
      <c r="Z86" s="2">
        <v>280.0</v>
      </c>
      <c r="AA86" s="2">
        <v>-7.0</v>
      </c>
      <c r="AB86" s="2">
        <v>-105.0</v>
      </c>
      <c r="AC86" s="2">
        <v>-115.0</v>
      </c>
      <c r="AD86" s="2">
        <v>43.5</v>
      </c>
      <c r="AE86" s="2">
        <v>-108.0</v>
      </c>
      <c r="AF86" s="2">
        <v>-112.0</v>
      </c>
      <c r="AG86" s="2">
        <v>0.0</v>
      </c>
      <c r="AH86" s="2" t="s">
        <v>395</v>
      </c>
      <c r="AI86" s="2" t="s">
        <v>396</v>
      </c>
      <c r="AJ86" s="2">
        <v>64.0</v>
      </c>
      <c r="AK86" s="2">
        <v>15.0</v>
      </c>
      <c r="AL86" s="2" t="s">
        <v>533</v>
      </c>
      <c r="AM86" s="2" t="s">
        <v>722</v>
      </c>
      <c r="AN86" s="2" t="s">
        <v>218</v>
      </c>
      <c r="AO86" s="2" t="s">
        <v>723</v>
      </c>
      <c r="AP86" s="2" t="s">
        <v>535</v>
      </c>
      <c r="AQ86" s="2" t="s">
        <v>542</v>
      </c>
      <c r="AR86" s="2" t="s">
        <v>507</v>
      </c>
      <c r="AS86" s="2" t="s">
        <v>567</v>
      </c>
      <c r="AT86" s="2" t="s">
        <v>568</v>
      </c>
      <c r="AV86" s="2">
        <f t="array" ref="AV86">IF($A86="","",IF(INDEX($A86:$AT86,1,MAP!$B$3)=CurrentSeason,1,0))</f>
        <v>0</v>
      </c>
      <c r="AW86" s="2" t="str">
        <f t="shared" si="1"/>
        <v/>
      </c>
    </row>
    <row r="87" ht="15.0" customHeight="1">
      <c r="A87" s="2" t="s">
        <v>755</v>
      </c>
      <c r="B87" s="2">
        <v>2025.0</v>
      </c>
      <c r="C87" s="2" t="s">
        <v>390</v>
      </c>
      <c r="D87" s="2">
        <v>6.0</v>
      </c>
      <c r="E87" s="2" t="s">
        <v>751</v>
      </c>
      <c r="F87" s="2" t="s">
        <v>419</v>
      </c>
      <c r="G87" s="2" t="s">
        <v>420</v>
      </c>
      <c r="H87" s="2" t="s">
        <v>146</v>
      </c>
      <c r="I87" s="2">
        <v>27.0</v>
      </c>
      <c r="J87" s="2" t="s">
        <v>189</v>
      </c>
      <c r="K87" s="2">
        <v>30.0</v>
      </c>
      <c r="L87" s="2" t="s">
        <v>77</v>
      </c>
      <c r="M87" s="2">
        <v>3.0</v>
      </c>
      <c r="N87" s="2">
        <v>57.0</v>
      </c>
      <c r="O87" s="2">
        <v>0.0</v>
      </c>
      <c r="P87" s="2">
        <v>2.025101202E9</v>
      </c>
      <c r="Q87" s="2">
        <v>59924.0</v>
      </c>
      <c r="S87" s="2" t="s">
        <v>756</v>
      </c>
      <c r="T87" s="2">
        <v>28499.0</v>
      </c>
      <c r="U87" s="2">
        <v>4.01772858E8</v>
      </c>
      <c r="V87" s="2">
        <v>6815.0</v>
      </c>
      <c r="W87" s="2">
        <v>7.0</v>
      </c>
      <c r="X87" s="2">
        <v>7.0</v>
      </c>
      <c r="Y87" s="2">
        <v>-175.0</v>
      </c>
      <c r="Z87" s="2">
        <v>145.0</v>
      </c>
      <c r="AA87" s="2">
        <v>-3.0</v>
      </c>
      <c r="AB87" s="2">
        <v>-118.0</v>
      </c>
      <c r="AC87" s="2">
        <v>-102.0</v>
      </c>
      <c r="AD87" s="2">
        <v>47.5</v>
      </c>
      <c r="AE87" s="2">
        <v>-105.0</v>
      </c>
      <c r="AF87" s="2">
        <v>-115.0</v>
      </c>
      <c r="AG87" s="2">
        <v>0.0</v>
      </c>
      <c r="AH87" s="2" t="s">
        <v>395</v>
      </c>
      <c r="AI87" s="2" t="s">
        <v>396</v>
      </c>
      <c r="AJ87" s="2">
        <v>68.0</v>
      </c>
      <c r="AK87" s="2">
        <v>15.0</v>
      </c>
      <c r="AL87" s="2" t="s">
        <v>397</v>
      </c>
      <c r="AM87" s="2" t="s">
        <v>453</v>
      </c>
      <c r="AN87" s="2" t="s">
        <v>199</v>
      </c>
      <c r="AO87" s="2" t="s">
        <v>190</v>
      </c>
      <c r="AP87" s="2" t="s">
        <v>399</v>
      </c>
      <c r="AQ87" s="2" t="s">
        <v>455</v>
      </c>
      <c r="AR87" s="2" t="s">
        <v>544</v>
      </c>
      <c r="AS87" s="2" t="s">
        <v>631</v>
      </c>
      <c r="AT87" s="2" t="s">
        <v>632</v>
      </c>
      <c r="AV87" s="2">
        <f t="array" ref="AV87">IF($A87="","",IF(INDEX($A87:$AT87,1,MAP!$B$3)=CurrentSeason,1,0))</f>
        <v>0</v>
      </c>
      <c r="AW87" s="2" t="str">
        <f t="shared" si="1"/>
        <v/>
      </c>
    </row>
    <row r="88" ht="15.0" customHeight="1">
      <c r="A88" s="2" t="s">
        <v>757</v>
      </c>
      <c r="B88" s="2">
        <v>2025.0</v>
      </c>
      <c r="C88" s="2" t="s">
        <v>390</v>
      </c>
      <c r="D88" s="2">
        <v>6.0</v>
      </c>
      <c r="E88" s="2" t="s">
        <v>751</v>
      </c>
      <c r="F88" s="2" t="s">
        <v>419</v>
      </c>
      <c r="G88" s="2" t="s">
        <v>420</v>
      </c>
      <c r="H88" s="2" t="s">
        <v>178</v>
      </c>
      <c r="I88" s="2">
        <v>27.0</v>
      </c>
      <c r="J88" s="2" t="s">
        <v>210</v>
      </c>
      <c r="K88" s="2">
        <v>31.0</v>
      </c>
      <c r="L88" s="2" t="s">
        <v>77</v>
      </c>
      <c r="M88" s="2">
        <v>4.0</v>
      </c>
      <c r="N88" s="2">
        <v>58.0</v>
      </c>
      <c r="O88" s="2">
        <v>0.0</v>
      </c>
      <c r="P88" s="2">
        <v>2.025101203E9</v>
      </c>
      <c r="Q88" s="2">
        <v>59925.0</v>
      </c>
      <c r="S88" s="2" t="s">
        <v>758</v>
      </c>
      <c r="T88" s="2">
        <v>28500.0</v>
      </c>
      <c r="U88" s="2">
        <v>4.01772856E8</v>
      </c>
      <c r="V88" s="2">
        <v>6816.0</v>
      </c>
      <c r="W88" s="2">
        <v>7.0</v>
      </c>
      <c r="X88" s="2">
        <v>7.0</v>
      </c>
      <c r="Y88" s="2">
        <v>360.0</v>
      </c>
      <c r="Z88" s="2">
        <v>-470.0</v>
      </c>
      <c r="AA88" s="2">
        <v>8.5</v>
      </c>
      <c r="AB88" s="2">
        <v>-110.0</v>
      </c>
      <c r="AC88" s="2">
        <v>-110.0</v>
      </c>
      <c r="AD88" s="2">
        <v>46.5</v>
      </c>
      <c r="AE88" s="2">
        <v>-122.0</v>
      </c>
      <c r="AF88" s="2">
        <v>102.0</v>
      </c>
      <c r="AG88" s="2">
        <v>0.0</v>
      </c>
      <c r="AH88" s="2" t="s">
        <v>422</v>
      </c>
      <c r="AI88" s="2" t="s">
        <v>423</v>
      </c>
      <c r="AL88" s="2" t="s">
        <v>759</v>
      </c>
      <c r="AM88" s="2" t="s">
        <v>445</v>
      </c>
      <c r="AN88" s="2" t="s">
        <v>179</v>
      </c>
      <c r="AO88" s="2" t="s">
        <v>211</v>
      </c>
      <c r="AP88" s="2" t="s">
        <v>475</v>
      </c>
      <c r="AQ88" s="2" t="s">
        <v>447</v>
      </c>
      <c r="AR88" s="2" t="s">
        <v>516</v>
      </c>
      <c r="AS88" s="2" t="s">
        <v>449</v>
      </c>
      <c r="AT88" s="2" t="s">
        <v>450</v>
      </c>
      <c r="AV88" s="2">
        <f t="array" ref="AV88">IF($A88="","",IF(INDEX($A88:$AT88,1,MAP!$B$3)=CurrentSeason,1,0))</f>
        <v>0</v>
      </c>
      <c r="AW88" s="2" t="str">
        <f t="shared" si="1"/>
        <v/>
      </c>
    </row>
    <row r="89" ht="15.0" customHeight="1">
      <c r="A89" s="2" t="s">
        <v>760</v>
      </c>
      <c r="B89" s="2">
        <v>2025.0</v>
      </c>
      <c r="C89" s="2" t="s">
        <v>390</v>
      </c>
      <c r="D89" s="2">
        <v>6.0</v>
      </c>
      <c r="E89" s="2" t="s">
        <v>751</v>
      </c>
      <c r="F89" s="2" t="s">
        <v>419</v>
      </c>
      <c r="G89" s="2" t="s">
        <v>420</v>
      </c>
      <c r="H89" s="2" t="s">
        <v>149</v>
      </c>
      <c r="I89" s="2">
        <v>20.0</v>
      </c>
      <c r="J89" s="2" t="s">
        <v>141</v>
      </c>
      <c r="K89" s="2">
        <v>12.0</v>
      </c>
      <c r="L89" s="2" t="s">
        <v>77</v>
      </c>
      <c r="M89" s="2">
        <v>-8.0</v>
      </c>
      <c r="N89" s="2">
        <v>32.0</v>
      </c>
      <c r="O89" s="2">
        <v>0.0</v>
      </c>
      <c r="P89" s="2">
        <v>2.025101204E9</v>
      </c>
      <c r="Q89" s="2">
        <v>59926.0</v>
      </c>
      <c r="S89" s="2" t="s">
        <v>761</v>
      </c>
      <c r="T89" s="2">
        <v>28501.0</v>
      </c>
      <c r="U89" s="2">
        <v>4.01772857E8</v>
      </c>
      <c r="V89" s="2">
        <v>6817.0</v>
      </c>
      <c r="W89" s="2">
        <v>7.0</v>
      </c>
      <c r="X89" s="2">
        <v>6.0</v>
      </c>
      <c r="Y89" s="2">
        <v>-115.0</v>
      </c>
      <c r="Z89" s="2">
        <v>-105.0</v>
      </c>
      <c r="AA89" s="2">
        <v>-1.5</v>
      </c>
      <c r="AB89" s="2">
        <v>100.0</v>
      </c>
      <c r="AC89" s="2">
        <v>-120.0</v>
      </c>
      <c r="AD89" s="2">
        <v>47.5</v>
      </c>
      <c r="AE89" s="2">
        <v>-115.0</v>
      </c>
      <c r="AF89" s="2">
        <v>-105.0</v>
      </c>
      <c r="AG89" s="2">
        <v>0.0</v>
      </c>
      <c r="AH89" s="2" t="s">
        <v>395</v>
      </c>
      <c r="AI89" s="2" t="s">
        <v>396</v>
      </c>
      <c r="AJ89" s="2">
        <v>76.0</v>
      </c>
      <c r="AK89" s="2">
        <v>8.0</v>
      </c>
      <c r="AL89" s="2" t="s">
        <v>513</v>
      </c>
      <c r="AM89" s="2" t="s">
        <v>454</v>
      </c>
      <c r="AN89" s="2" t="s">
        <v>245</v>
      </c>
      <c r="AO89" s="2" t="s">
        <v>214</v>
      </c>
      <c r="AP89" s="2" t="s">
        <v>515</v>
      </c>
      <c r="AQ89" s="2" t="s">
        <v>456</v>
      </c>
      <c r="AR89" s="2" t="s">
        <v>497</v>
      </c>
      <c r="AS89" s="2" t="s">
        <v>458</v>
      </c>
      <c r="AT89" s="2" t="s">
        <v>459</v>
      </c>
      <c r="AV89" s="2">
        <f t="array" ref="AV89">IF($A89="","",IF(INDEX($A89:$AT89,1,MAP!$B$3)=CurrentSeason,1,0))</f>
        <v>0</v>
      </c>
      <c r="AW89" s="2" t="str">
        <f t="shared" si="1"/>
        <v/>
      </c>
    </row>
    <row r="90" ht="15.0" customHeight="1">
      <c r="A90" s="2" t="s">
        <v>762</v>
      </c>
      <c r="B90" s="2">
        <v>2025.0</v>
      </c>
      <c r="C90" s="2" t="s">
        <v>390</v>
      </c>
      <c r="D90" s="2">
        <v>6.0</v>
      </c>
      <c r="E90" s="2" t="s">
        <v>751</v>
      </c>
      <c r="F90" s="2" t="s">
        <v>419</v>
      </c>
      <c r="G90" s="2" t="s">
        <v>420</v>
      </c>
      <c r="H90" s="2" t="s">
        <v>220</v>
      </c>
      <c r="I90" s="2">
        <v>29.0</v>
      </c>
      <c r="J90" s="2" t="s">
        <v>225</v>
      </c>
      <c r="K90" s="2">
        <v>27.0</v>
      </c>
      <c r="L90" s="2" t="s">
        <v>77</v>
      </c>
      <c r="M90" s="2">
        <v>-2.0</v>
      </c>
      <c r="N90" s="2">
        <v>56.0</v>
      </c>
      <c r="O90" s="2">
        <v>0.0</v>
      </c>
      <c r="P90" s="2">
        <v>2.025101205E9</v>
      </c>
      <c r="Q90" s="2">
        <v>59927.0</v>
      </c>
      <c r="S90" s="2" t="s">
        <v>763</v>
      </c>
      <c r="T90" s="2">
        <v>28502.0</v>
      </c>
      <c r="U90" s="2">
        <v>4.0177275E8</v>
      </c>
      <c r="V90" s="2">
        <v>6818.0</v>
      </c>
      <c r="W90" s="2">
        <v>7.0</v>
      </c>
      <c r="X90" s="2">
        <v>7.0</v>
      </c>
      <c r="Y90" s="2">
        <v>-205.0</v>
      </c>
      <c r="Z90" s="2">
        <v>170.0</v>
      </c>
      <c r="AA90" s="2">
        <v>-3.5</v>
      </c>
      <c r="AB90" s="2">
        <v>-115.0</v>
      </c>
      <c r="AC90" s="2">
        <v>-105.0</v>
      </c>
      <c r="AD90" s="2">
        <v>45.5</v>
      </c>
      <c r="AE90" s="2">
        <v>-115.0</v>
      </c>
      <c r="AF90" s="2">
        <v>-105.0</v>
      </c>
      <c r="AG90" s="2">
        <v>0.0</v>
      </c>
      <c r="AH90" s="2" t="s">
        <v>395</v>
      </c>
      <c r="AI90" s="2" t="s">
        <v>396</v>
      </c>
      <c r="AJ90" s="2">
        <v>85.0</v>
      </c>
      <c r="AK90" s="2">
        <v>4.0</v>
      </c>
      <c r="AL90" s="2" t="s">
        <v>411</v>
      </c>
      <c r="AM90" s="2" t="s">
        <v>444</v>
      </c>
      <c r="AN90" s="2" t="s">
        <v>221</v>
      </c>
      <c r="AO90" s="2" t="s">
        <v>182</v>
      </c>
      <c r="AP90" s="2" t="s">
        <v>413</v>
      </c>
      <c r="AQ90" s="2" t="s">
        <v>446</v>
      </c>
      <c r="AR90" s="2" t="s">
        <v>487</v>
      </c>
      <c r="AS90" s="2" t="s">
        <v>583</v>
      </c>
      <c r="AT90" s="2" t="s">
        <v>584</v>
      </c>
      <c r="AV90" s="2">
        <f t="array" ref="AV90">IF($A90="","",IF(INDEX($A90:$AT90,1,MAP!$B$3)=CurrentSeason,1,0))</f>
        <v>0</v>
      </c>
      <c r="AW90" s="2" t="str">
        <f t="shared" si="1"/>
        <v/>
      </c>
    </row>
    <row r="91" ht="15.0" customHeight="1">
      <c r="A91" s="2" t="s">
        <v>764</v>
      </c>
      <c r="B91" s="2">
        <v>2025.0</v>
      </c>
      <c r="C91" s="2" t="s">
        <v>390</v>
      </c>
      <c r="D91" s="2">
        <v>6.0</v>
      </c>
      <c r="E91" s="2" t="s">
        <v>751</v>
      </c>
      <c r="F91" s="2" t="s">
        <v>419</v>
      </c>
      <c r="G91" s="2" t="s">
        <v>420</v>
      </c>
      <c r="H91" s="2" t="s">
        <v>145</v>
      </c>
      <c r="I91" s="2">
        <v>25.0</v>
      </c>
      <c r="J91" s="2" t="s">
        <v>232</v>
      </c>
      <c r="K91" s="2">
        <v>19.0</v>
      </c>
      <c r="L91" s="2" t="s">
        <v>77</v>
      </c>
      <c r="M91" s="2">
        <v>-6.0</v>
      </c>
      <c r="N91" s="2">
        <v>44.0</v>
      </c>
      <c r="O91" s="2">
        <v>0.0</v>
      </c>
      <c r="P91" s="2">
        <v>2.02510121E9</v>
      </c>
      <c r="Q91" s="2">
        <v>59932.0</v>
      </c>
      <c r="S91" s="2" t="s">
        <v>765</v>
      </c>
      <c r="T91" s="2">
        <v>28507.0</v>
      </c>
      <c r="U91" s="2">
        <v>4.01772751E8</v>
      </c>
      <c r="V91" s="2">
        <v>6823.0</v>
      </c>
      <c r="W91" s="2">
        <v>7.0</v>
      </c>
      <c r="X91" s="2">
        <v>7.0</v>
      </c>
      <c r="Y91" s="2">
        <v>-192.0</v>
      </c>
      <c r="Z91" s="2">
        <v>160.0</v>
      </c>
      <c r="AA91" s="2">
        <v>-3.5</v>
      </c>
      <c r="AB91" s="2">
        <v>-105.0</v>
      </c>
      <c r="AC91" s="2">
        <v>-115.0</v>
      </c>
      <c r="AD91" s="2">
        <v>46.5</v>
      </c>
      <c r="AE91" s="2">
        <v>-115.0</v>
      </c>
      <c r="AF91" s="2">
        <v>-105.0</v>
      </c>
      <c r="AG91" s="2">
        <v>0.0</v>
      </c>
      <c r="AH91" s="2" t="s">
        <v>409</v>
      </c>
      <c r="AI91" s="2" t="s">
        <v>471</v>
      </c>
      <c r="AL91" s="2" t="s">
        <v>463</v>
      </c>
      <c r="AM91" s="2" t="s">
        <v>473</v>
      </c>
      <c r="AN91" s="2" t="s">
        <v>230</v>
      </c>
      <c r="AO91" s="2" t="s">
        <v>474</v>
      </c>
      <c r="AP91" s="2" t="s">
        <v>465</v>
      </c>
      <c r="AQ91" s="2" t="s">
        <v>476</v>
      </c>
      <c r="AR91" s="2" t="s">
        <v>439</v>
      </c>
      <c r="AS91" s="2" t="s">
        <v>478</v>
      </c>
      <c r="AT91" s="2" t="s">
        <v>479</v>
      </c>
      <c r="AV91" s="2">
        <f t="array" ref="AV91">IF($A91="","",IF(INDEX($A91:$AT91,1,MAP!$B$3)=CurrentSeason,1,0))</f>
        <v>0</v>
      </c>
      <c r="AW91" s="2" t="str">
        <f t="shared" si="1"/>
        <v/>
      </c>
    </row>
    <row r="92" ht="15.0" customHeight="1">
      <c r="A92" s="2" t="s">
        <v>766</v>
      </c>
      <c r="B92" s="2">
        <v>2025.0</v>
      </c>
      <c r="C92" s="2" t="s">
        <v>390</v>
      </c>
      <c r="D92" s="2">
        <v>6.0</v>
      </c>
      <c r="E92" s="2" t="s">
        <v>751</v>
      </c>
      <c r="F92" s="2" t="s">
        <v>419</v>
      </c>
      <c r="G92" s="2" t="s">
        <v>420</v>
      </c>
      <c r="H92" s="2" t="s">
        <v>196</v>
      </c>
      <c r="I92" s="2">
        <v>9.0</v>
      </c>
      <c r="J92" s="2" t="s">
        <v>242</v>
      </c>
      <c r="K92" s="2">
        <v>23.0</v>
      </c>
      <c r="L92" s="2" t="s">
        <v>77</v>
      </c>
      <c r="M92" s="2">
        <v>14.0</v>
      </c>
      <c r="N92" s="2">
        <v>32.0</v>
      </c>
      <c r="O92" s="2">
        <v>0.0</v>
      </c>
      <c r="P92" s="2">
        <v>2.025101206E9</v>
      </c>
      <c r="Q92" s="2">
        <v>59928.0</v>
      </c>
      <c r="S92" s="2" t="s">
        <v>767</v>
      </c>
      <c r="T92" s="2">
        <v>28503.0</v>
      </c>
      <c r="U92" s="2">
        <v>4.01772748E8</v>
      </c>
      <c r="V92" s="2">
        <v>6819.0</v>
      </c>
      <c r="W92" s="2">
        <v>7.0</v>
      </c>
      <c r="X92" s="2">
        <v>14.0</v>
      </c>
      <c r="Y92" s="2">
        <v>225.0</v>
      </c>
      <c r="Z92" s="2">
        <v>-278.0</v>
      </c>
      <c r="AA92" s="2">
        <v>5.5</v>
      </c>
      <c r="AB92" s="2">
        <v>100.0</v>
      </c>
      <c r="AC92" s="2">
        <v>-120.0</v>
      </c>
      <c r="AD92" s="2">
        <v>37.5</v>
      </c>
      <c r="AE92" s="2">
        <v>100.0</v>
      </c>
      <c r="AF92" s="2">
        <v>-120.0</v>
      </c>
      <c r="AG92" s="2">
        <v>1.0</v>
      </c>
      <c r="AH92" s="2" t="s">
        <v>395</v>
      </c>
      <c r="AI92" s="2" t="s">
        <v>396</v>
      </c>
      <c r="AJ92" s="2">
        <v>64.0</v>
      </c>
      <c r="AK92" s="2">
        <v>8.0</v>
      </c>
      <c r="AL92" s="2" t="s">
        <v>718</v>
      </c>
      <c r="AM92" s="2" t="s">
        <v>482</v>
      </c>
      <c r="AN92" s="2" t="s">
        <v>719</v>
      </c>
      <c r="AO92" s="2" t="s">
        <v>243</v>
      </c>
      <c r="AP92" s="2" t="s">
        <v>438</v>
      </c>
      <c r="AQ92" s="2" t="s">
        <v>485</v>
      </c>
      <c r="AR92" s="2" t="s">
        <v>466</v>
      </c>
      <c r="AS92" s="2" t="s">
        <v>593</v>
      </c>
      <c r="AT92" s="2" t="s">
        <v>594</v>
      </c>
      <c r="AV92" s="2">
        <f t="array" ref="AV92">IF($A92="","",IF(INDEX($A92:$AT92,1,MAP!$B$3)=CurrentSeason,1,0))</f>
        <v>0</v>
      </c>
      <c r="AW92" s="2" t="str">
        <f t="shared" si="1"/>
        <v/>
      </c>
    </row>
    <row r="93" ht="15.0" customHeight="1">
      <c r="A93" s="2" t="s">
        <v>768</v>
      </c>
      <c r="B93" s="2">
        <v>2025.0</v>
      </c>
      <c r="C93" s="2" t="s">
        <v>390</v>
      </c>
      <c r="D93" s="2">
        <v>6.0</v>
      </c>
      <c r="E93" s="2" t="s">
        <v>751</v>
      </c>
      <c r="F93" s="2" t="s">
        <v>419</v>
      </c>
      <c r="G93" s="2" t="s">
        <v>501</v>
      </c>
      <c r="H93" s="2" t="s">
        <v>250</v>
      </c>
      <c r="I93" s="2">
        <v>10.0</v>
      </c>
      <c r="J93" s="2" t="s">
        <v>222</v>
      </c>
      <c r="K93" s="2">
        <v>20.0</v>
      </c>
      <c r="L93" s="2" t="s">
        <v>77</v>
      </c>
      <c r="M93" s="2">
        <v>10.0</v>
      </c>
      <c r="N93" s="2">
        <v>30.0</v>
      </c>
      <c r="O93" s="2">
        <v>0.0</v>
      </c>
      <c r="P93" s="2">
        <v>2.025101208E9</v>
      </c>
      <c r="Q93" s="2">
        <v>59930.0</v>
      </c>
      <c r="S93" s="2" t="s">
        <v>769</v>
      </c>
      <c r="T93" s="2">
        <v>28505.0</v>
      </c>
      <c r="U93" s="2">
        <v>4.01772859E8</v>
      </c>
      <c r="V93" s="2">
        <v>6821.0</v>
      </c>
      <c r="W93" s="2">
        <v>7.0</v>
      </c>
      <c r="X93" s="2">
        <v>7.0</v>
      </c>
      <c r="Y93" s="2">
        <v>154.0</v>
      </c>
      <c r="Z93" s="2">
        <v>-185.0</v>
      </c>
      <c r="AA93" s="2">
        <v>3.5</v>
      </c>
      <c r="AB93" s="2">
        <v>-110.0</v>
      </c>
      <c r="AC93" s="2">
        <v>-110.0</v>
      </c>
      <c r="AD93" s="2">
        <v>41.5</v>
      </c>
      <c r="AE93" s="2">
        <v>-105.0</v>
      </c>
      <c r="AF93" s="2">
        <v>-115.0</v>
      </c>
      <c r="AG93" s="2">
        <v>0.0</v>
      </c>
      <c r="AH93" s="2" t="s">
        <v>409</v>
      </c>
      <c r="AI93" s="2" t="s">
        <v>396</v>
      </c>
      <c r="AL93" s="2" t="s">
        <v>503</v>
      </c>
      <c r="AM93" s="2" t="s">
        <v>462</v>
      </c>
      <c r="AN93" s="2" t="s">
        <v>251</v>
      </c>
      <c r="AO93" s="2" t="s">
        <v>239</v>
      </c>
      <c r="AP93" s="2" t="s">
        <v>505</v>
      </c>
      <c r="AQ93" s="2" t="s">
        <v>464</v>
      </c>
      <c r="AR93" s="2" t="s">
        <v>414</v>
      </c>
      <c r="AS93" s="2" t="s">
        <v>623</v>
      </c>
      <c r="AT93" s="2" t="s">
        <v>624</v>
      </c>
      <c r="AV93" s="2">
        <f t="array" ref="AV93">IF($A93="","",IF(INDEX($A93:$AT93,1,MAP!$B$3)=CurrentSeason,1,0))</f>
        <v>0</v>
      </c>
      <c r="AW93" s="2" t="str">
        <f t="shared" si="1"/>
        <v/>
      </c>
    </row>
    <row r="94" ht="15.0" customHeight="1">
      <c r="A94" s="2" t="s">
        <v>770</v>
      </c>
      <c r="B94" s="2">
        <v>2025.0</v>
      </c>
      <c r="C94" s="2" t="s">
        <v>390</v>
      </c>
      <c r="D94" s="2">
        <v>6.0</v>
      </c>
      <c r="E94" s="2" t="s">
        <v>751</v>
      </c>
      <c r="F94" s="2" t="s">
        <v>419</v>
      </c>
      <c r="G94" s="2" t="s">
        <v>520</v>
      </c>
      <c r="H94" s="2" t="s">
        <v>138</v>
      </c>
      <c r="I94" s="2">
        <v>18.0</v>
      </c>
      <c r="J94" s="2" t="s">
        <v>205</v>
      </c>
      <c r="K94" s="2">
        <v>27.0</v>
      </c>
      <c r="L94" s="2" t="s">
        <v>77</v>
      </c>
      <c r="M94" s="2">
        <v>9.0</v>
      </c>
      <c r="N94" s="2">
        <v>45.0</v>
      </c>
      <c r="O94" s="2">
        <v>0.0</v>
      </c>
      <c r="P94" s="2">
        <v>2.025101209E9</v>
      </c>
      <c r="Q94" s="2">
        <v>59931.0</v>
      </c>
      <c r="S94" s="2" t="s">
        <v>771</v>
      </c>
      <c r="T94" s="2">
        <v>28506.0</v>
      </c>
      <c r="U94" s="2">
        <v>4.01772752E8</v>
      </c>
      <c r="V94" s="2">
        <v>6822.0</v>
      </c>
      <c r="W94" s="2">
        <v>7.0</v>
      </c>
      <c r="X94" s="2">
        <v>14.0</v>
      </c>
      <c r="Y94" s="2">
        <v>650.0</v>
      </c>
      <c r="Z94" s="2">
        <v>-1000.0</v>
      </c>
      <c r="AA94" s="2">
        <v>14.0</v>
      </c>
      <c r="AB94" s="2">
        <v>-110.0</v>
      </c>
      <c r="AC94" s="2">
        <v>-110.0</v>
      </c>
      <c r="AD94" s="2">
        <v>44.5</v>
      </c>
      <c r="AE94" s="2">
        <v>-110.0</v>
      </c>
      <c r="AF94" s="2">
        <v>-110.0</v>
      </c>
      <c r="AG94" s="2">
        <v>0.0</v>
      </c>
      <c r="AH94" s="2" t="s">
        <v>395</v>
      </c>
      <c r="AI94" s="2" t="s">
        <v>396</v>
      </c>
      <c r="AJ94" s="2">
        <v>64.0</v>
      </c>
      <c r="AK94" s="2">
        <v>14.0</v>
      </c>
      <c r="AL94" s="2" t="s">
        <v>435</v>
      </c>
      <c r="AM94" s="2" t="s">
        <v>523</v>
      </c>
      <c r="AN94" s="2" t="s">
        <v>436</v>
      </c>
      <c r="AO94" s="2" t="s">
        <v>206</v>
      </c>
      <c r="AP94" s="2" t="s">
        <v>437</v>
      </c>
      <c r="AQ94" s="2" t="s">
        <v>525</v>
      </c>
      <c r="AR94" s="2" t="s">
        <v>448</v>
      </c>
      <c r="AS94" s="2" t="s">
        <v>527</v>
      </c>
      <c r="AT94" s="2" t="s">
        <v>528</v>
      </c>
      <c r="AV94" s="2">
        <f t="array" ref="AV94">IF($A94="","",IF(INDEX($A94:$AT94,1,MAP!$B$3)=CurrentSeason,1,0))</f>
        <v>0</v>
      </c>
      <c r="AW94" s="2" t="str">
        <f t="shared" si="1"/>
        <v/>
      </c>
    </row>
    <row r="95" ht="15.0" customHeight="1">
      <c r="A95" s="2" t="s">
        <v>772</v>
      </c>
      <c r="B95" s="2">
        <v>2025.0</v>
      </c>
      <c r="C95" s="2" t="s">
        <v>390</v>
      </c>
      <c r="D95" s="2">
        <v>6.0</v>
      </c>
      <c r="E95" s="2" t="s">
        <v>751</v>
      </c>
      <c r="F95" s="2" t="s">
        <v>419</v>
      </c>
      <c r="G95" s="2" t="s">
        <v>520</v>
      </c>
      <c r="H95" s="2" t="s">
        <v>246</v>
      </c>
      <c r="I95" s="2">
        <v>19.0</v>
      </c>
      <c r="J95" s="2" t="s">
        <v>150</v>
      </c>
      <c r="K95" s="2">
        <v>30.0</v>
      </c>
      <c r="L95" s="2" t="s">
        <v>77</v>
      </c>
      <c r="M95" s="2">
        <v>11.0</v>
      </c>
      <c r="N95" s="2">
        <v>49.0</v>
      </c>
      <c r="O95" s="2">
        <v>0.0</v>
      </c>
      <c r="P95" s="2">
        <v>2.025101207E9</v>
      </c>
      <c r="Q95" s="2">
        <v>59929.0</v>
      </c>
      <c r="S95" s="2" t="s">
        <v>773</v>
      </c>
      <c r="T95" s="2">
        <v>28504.0</v>
      </c>
      <c r="U95" s="2">
        <v>4.01772749E8</v>
      </c>
      <c r="V95" s="2">
        <v>6820.0</v>
      </c>
      <c r="W95" s="2">
        <v>10.0</v>
      </c>
      <c r="X95" s="2">
        <v>7.0</v>
      </c>
      <c r="Y95" s="2">
        <v>160.0</v>
      </c>
      <c r="Z95" s="2">
        <v>-192.0</v>
      </c>
      <c r="AA95" s="2">
        <v>3.5</v>
      </c>
      <c r="AB95" s="2">
        <v>-105.0</v>
      </c>
      <c r="AC95" s="2">
        <v>-115.0</v>
      </c>
      <c r="AD95" s="2">
        <v>46.5</v>
      </c>
      <c r="AE95" s="2">
        <v>-105.0</v>
      </c>
      <c r="AF95" s="2">
        <v>-115.0</v>
      </c>
      <c r="AG95" s="2">
        <v>0.0</v>
      </c>
      <c r="AH95" s="2" t="s">
        <v>395</v>
      </c>
      <c r="AI95" s="2" t="s">
        <v>396</v>
      </c>
      <c r="AJ95" s="2">
        <v>82.0</v>
      </c>
      <c r="AK95" s="2">
        <v>10.0</v>
      </c>
      <c r="AL95" s="2" t="s">
        <v>587</v>
      </c>
      <c r="AM95" s="2" t="s">
        <v>424</v>
      </c>
      <c r="AN95" s="2" t="s">
        <v>588</v>
      </c>
      <c r="AO95" s="2" t="s">
        <v>248</v>
      </c>
      <c r="AP95" s="2" t="s">
        <v>514</v>
      </c>
      <c r="AQ95" s="2" t="s">
        <v>427</v>
      </c>
      <c r="AR95" s="2" t="s">
        <v>563</v>
      </c>
      <c r="AS95" s="2" t="s">
        <v>651</v>
      </c>
      <c r="AT95" s="2" t="s">
        <v>652</v>
      </c>
      <c r="AV95" s="2">
        <f t="array" ref="AV95">IF($A95="","",IF(INDEX($A95:$AT95,1,MAP!$B$3)=CurrentSeason,1,0))</f>
        <v>0</v>
      </c>
      <c r="AW95" s="2" t="str">
        <f t="shared" si="1"/>
        <v/>
      </c>
    </row>
    <row r="96" ht="15.0" customHeight="1">
      <c r="A96" s="2" t="s">
        <v>774</v>
      </c>
      <c r="B96" s="2">
        <v>2025.0</v>
      </c>
      <c r="C96" s="2" t="s">
        <v>390</v>
      </c>
      <c r="D96" s="2">
        <v>6.0</v>
      </c>
      <c r="E96" s="2" t="s">
        <v>751</v>
      </c>
      <c r="F96" s="2" t="s">
        <v>419</v>
      </c>
      <c r="G96" s="2" t="s">
        <v>393</v>
      </c>
      <c r="H96" s="2" t="s">
        <v>202</v>
      </c>
      <c r="I96" s="2">
        <v>17.0</v>
      </c>
      <c r="J96" s="2" t="s">
        <v>143</v>
      </c>
      <c r="K96" s="2">
        <v>30.0</v>
      </c>
      <c r="L96" s="2" t="s">
        <v>77</v>
      </c>
      <c r="M96" s="2">
        <v>13.0</v>
      </c>
      <c r="N96" s="2">
        <v>47.0</v>
      </c>
      <c r="O96" s="2">
        <v>0.0</v>
      </c>
      <c r="P96" s="2">
        <v>2.025101211E9</v>
      </c>
      <c r="Q96" s="2">
        <v>59933.0</v>
      </c>
      <c r="S96" s="2" t="s">
        <v>775</v>
      </c>
      <c r="T96" s="2">
        <v>28508.0</v>
      </c>
      <c r="U96" s="2">
        <v>4.01772923E8</v>
      </c>
      <c r="V96" s="2">
        <v>6824.0</v>
      </c>
      <c r="W96" s="2">
        <v>7.0</v>
      </c>
      <c r="X96" s="2">
        <v>6.0</v>
      </c>
      <c r="Y96" s="2">
        <v>120.0</v>
      </c>
      <c r="Z96" s="2">
        <v>-142.0</v>
      </c>
      <c r="AA96" s="2">
        <v>2.5</v>
      </c>
      <c r="AB96" s="2">
        <v>-105.0</v>
      </c>
      <c r="AC96" s="2">
        <v>-115.0</v>
      </c>
      <c r="AD96" s="2">
        <v>51.5</v>
      </c>
      <c r="AE96" s="2">
        <v>-105.0</v>
      </c>
      <c r="AF96" s="2">
        <v>-115.0</v>
      </c>
      <c r="AG96" s="2">
        <v>0.0</v>
      </c>
      <c r="AH96" s="2" t="s">
        <v>395</v>
      </c>
      <c r="AI96" s="2" t="s">
        <v>396</v>
      </c>
      <c r="AJ96" s="2">
        <v>85.0</v>
      </c>
      <c r="AK96" s="2">
        <v>13.0</v>
      </c>
      <c r="AL96" s="2" t="s">
        <v>522</v>
      </c>
      <c r="AM96" s="2" t="s">
        <v>410</v>
      </c>
      <c r="AN96" s="2" t="s">
        <v>203</v>
      </c>
      <c r="AO96" s="2" t="s">
        <v>216</v>
      </c>
      <c r="AP96" s="2" t="s">
        <v>524</v>
      </c>
      <c r="AQ96" s="2" t="s">
        <v>412</v>
      </c>
      <c r="AR96" s="2" t="s">
        <v>536</v>
      </c>
      <c r="AS96" s="2" t="s">
        <v>607</v>
      </c>
      <c r="AT96" s="2" t="s">
        <v>608</v>
      </c>
      <c r="AV96" s="2">
        <f t="array" ref="AV96">IF($A96="","",IF(INDEX($A96:$AT96,1,MAP!$B$3)=CurrentSeason,1,0))</f>
        <v>0</v>
      </c>
      <c r="AW96" s="2" t="str">
        <f t="shared" si="1"/>
        <v/>
      </c>
    </row>
    <row r="97" ht="15.0" customHeight="1">
      <c r="A97" s="2" t="s">
        <v>776</v>
      </c>
      <c r="B97" s="2">
        <v>2025.0</v>
      </c>
      <c r="C97" s="2" t="s">
        <v>390</v>
      </c>
      <c r="D97" s="2">
        <v>6.0</v>
      </c>
      <c r="E97" s="2" t="s">
        <v>777</v>
      </c>
      <c r="F97" s="2" t="s">
        <v>549</v>
      </c>
      <c r="G97" s="2" t="s">
        <v>708</v>
      </c>
      <c r="H97" s="2" t="s">
        <v>136</v>
      </c>
      <c r="I97" s="2">
        <v>14.0</v>
      </c>
      <c r="J97" s="2" t="s">
        <v>132</v>
      </c>
      <c r="K97" s="2">
        <v>24.0</v>
      </c>
      <c r="L97" s="2" t="s">
        <v>77</v>
      </c>
      <c r="M97" s="2">
        <v>10.0</v>
      </c>
      <c r="N97" s="2">
        <v>38.0</v>
      </c>
      <c r="O97" s="2">
        <v>0.0</v>
      </c>
      <c r="P97" s="2">
        <v>2.0251013E9</v>
      </c>
      <c r="Q97" s="2">
        <v>59934.0</v>
      </c>
      <c r="S97" s="2" t="s">
        <v>778</v>
      </c>
      <c r="T97" s="2">
        <v>28509.0</v>
      </c>
      <c r="U97" s="2">
        <v>4.01772815E8</v>
      </c>
      <c r="V97" s="2">
        <v>6825.0</v>
      </c>
      <c r="W97" s="2">
        <v>8.0</v>
      </c>
      <c r="X97" s="2">
        <v>15.0</v>
      </c>
      <c r="Y97" s="2">
        <v>-205.0</v>
      </c>
      <c r="Z97" s="2">
        <v>170.0</v>
      </c>
      <c r="AA97" s="2">
        <v>-3.5</v>
      </c>
      <c r="AB97" s="2">
        <v>-120.0</v>
      </c>
      <c r="AC97" s="2">
        <v>100.0</v>
      </c>
      <c r="AD97" s="2">
        <v>49.5</v>
      </c>
      <c r="AE97" s="2">
        <v>-102.0</v>
      </c>
      <c r="AF97" s="2">
        <v>-118.0</v>
      </c>
      <c r="AG97" s="2">
        <v>0.0</v>
      </c>
      <c r="AH97" s="2" t="s">
        <v>422</v>
      </c>
      <c r="AI97" s="2" t="s">
        <v>423</v>
      </c>
      <c r="AL97" s="2" t="s">
        <v>541</v>
      </c>
      <c r="AM97" s="2" t="s">
        <v>425</v>
      </c>
      <c r="AN97" s="2" t="s">
        <v>187</v>
      </c>
      <c r="AO97" s="2" t="s">
        <v>426</v>
      </c>
      <c r="AP97" s="2" t="s">
        <v>543</v>
      </c>
      <c r="AQ97" s="2" t="s">
        <v>428</v>
      </c>
      <c r="AR97" s="2" t="s">
        <v>401</v>
      </c>
      <c r="AS97" s="2" t="s">
        <v>430</v>
      </c>
      <c r="AT97" s="2" t="s">
        <v>431</v>
      </c>
      <c r="AV97" s="2">
        <f t="array" ref="AV97">IF($A97="","",IF(INDEX($A97:$AT97,1,MAP!$B$3)=CurrentSeason,1,0))</f>
        <v>0</v>
      </c>
      <c r="AW97" s="2" t="str">
        <f t="shared" si="1"/>
        <v/>
      </c>
    </row>
    <row r="98" ht="15.0" customHeight="1">
      <c r="A98" s="2" t="s">
        <v>779</v>
      </c>
      <c r="B98" s="2">
        <v>2025.0</v>
      </c>
      <c r="C98" s="2" t="s">
        <v>390</v>
      </c>
      <c r="D98" s="2">
        <v>6.0</v>
      </c>
      <c r="E98" s="2" t="s">
        <v>777</v>
      </c>
      <c r="F98" s="2" t="s">
        <v>549</v>
      </c>
      <c r="G98" s="2" t="s">
        <v>550</v>
      </c>
      <c r="H98" s="2" t="s">
        <v>137</v>
      </c>
      <c r="I98" s="2">
        <v>25.0</v>
      </c>
      <c r="J98" s="2" t="s">
        <v>253</v>
      </c>
      <c r="K98" s="2">
        <v>24.0</v>
      </c>
      <c r="L98" s="2" t="s">
        <v>77</v>
      </c>
      <c r="M98" s="2">
        <v>-1.0</v>
      </c>
      <c r="N98" s="2">
        <v>49.0</v>
      </c>
      <c r="O98" s="2">
        <v>0.0</v>
      </c>
      <c r="P98" s="2">
        <v>2.025101301E9</v>
      </c>
      <c r="Q98" s="2">
        <v>59935.0</v>
      </c>
      <c r="S98" s="2" t="s">
        <v>780</v>
      </c>
      <c r="T98" s="2">
        <v>28510.0</v>
      </c>
      <c r="U98" s="2">
        <v>4.01772717E8</v>
      </c>
      <c r="V98" s="2">
        <v>6826.0</v>
      </c>
      <c r="W98" s="2">
        <v>15.0</v>
      </c>
      <c r="X98" s="2">
        <v>8.0</v>
      </c>
      <c r="Y98" s="2">
        <v>210.0</v>
      </c>
      <c r="Z98" s="2">
        <v>-258.0</v>
      </c>
      <c r="AA98" s="2">
        <v>5.5</v>
      </c>
      <c r="AB98" s="2">
        <v>-108.0</v>
      </c>
      <c r="AC98" s="2">
        <v>-112.0</v>
      </c>
      <c r="AD98" s="2">
        <v>49.5</v>
      </c>
      <c r="AE98" s="2">
        <v>-105.0</v>
      </c>
      <c r="AF98" s="2">
        <v>-115.0</v>
      </c>
      <c r="AG98" s="2">
        <v>0.0</v>
      </c>
      <c r="AH98" s="2" t="s">
        <v>395</v>
      </c>
      <c r="AI98" s="2" t="s">
        <v>396</v>
      </c>
      <c r="AJ98" s="2">
        <v>59.0</v>
      </c>
      <c r="AK98" s="2">
        <v>12.0</v>
      </c>
      <c r="AL98" s="2" t="s">
        <v>553</v>
      </c>
      <c r="AM98" s="2" t="s">
        <v>493</v>
      </c>
      <c r="AN98" s="2" t="s">
        <v>192</v>
      </c>
      <c r="AO98" s="2" t="s">
        <v>254</v>
      </c>
      <c r="AP98" s="2" t="s">
        <v>556</v>
      </c>
      <c r="AQ98" s="2" t="s">
        <v>496</v>
      </c>
      <c r="AR98" s="2" t="s">
        <v>457</v>
      </c>
      <c r="AS98" s="2" t="s">
        <v>498</v>
      </c>
      <c r="AT98" s="2" t="s">
        <v>499</v>
      </c>
      <c r="AV98" s="2">
        <f t="array" ref="AV98">IF($A98="","",IF(INDEX($A98:$AT98,1,MAP!$B$3)=CurrentSeason,1,0))</f>
        <v>0</v>
      </c>
      <c r="AW98" s="2" t="str">
        <f t="shared" si="1"/>
        <v/>
      </c>
    </row>
    <row r="99" ht="15.0" customHeight="1">
      <c r="A99" s="2" t="s">
        <v>781</v>
      </c>
      <c r="B99" s="2">
        <v>2025.0</v>
      </c>
      <c r="C99" s="2" t="s">
        <v>390</v>
      </c>
      <c r="D99" s="2">
        <v>7.0</v>
      </c>
      <c r="E99" s="2" t="s">
        <v>782</v>
      </c>
      <c r="F99" s="2" t="s">
        <v>392</v>
      </c>
      <c r="G99" s="2" t="s">
        <v>550</v>
      </c>
      <c r="H99" s="2" t="s">
        <v>242</v>
      </c>
      <c r="I99" s="2">
        <v>31.0</v>
      </c>
      <c r="J99" s="2" t="s">
        <v>138</v>
      </c>
      <c r="K99" s="2">
        <v>33.0</v>
      </c>
      <c r="L99" s="2" t="s">
        <v>77</v>
      </c>
      <c r="M99" s="2">
        <v>2.0</v>
      </c>
      <c r="N99" s="2">
        <v>64.0</v>
      </c>
      <c r="O99" s="2">
        <v>0.0</v>
      </c>
      <c r="P99" s="2">
        <v>2.0251016E9</v>
      </c>
      <c r="Q99" s="2">
        <v>59936.0</v>
      </c>
      <c r="S99" s="2" t="s">
        <v>783</v>
      </c>
      <c r="T99" s="2">
        <v>28511.0</v>
      </c>
      <c r="U99" s="2">
        <v>4.01772941E8</v>
      </c>
      <c r="V99" s="2">
        <v>6827.0</v>
      </c>
      <c r="W99" s="2">
        <v>4.0</v>
      </c>
      <c r="X99" s="2">
        <v>4.0</v>
      </c>
      <c r="Y99" s="2">
        <v>-245.0</v>
      </c>
      <c r="Z99" s="2">
        <v>200.0</v>
      </c>
      <c r="AA99" s="2">
        <v>-5.5</v>
      </c>
      <c r="AB99" s="2">
        <v>-105.0</v>
      </c>
      <c r="AC99" s="2">
        <v>-115.0</v>
      </c>
      <c r="AD99" s="2">
        <v>45.5</v>
      </c>
      <c r="AE99" s="2">
        <v>-115.0</v>
      </c>
      <c r="AF99" s="2">
        <v>-105.0</v>
      </c>
      <c r="AG99" s="2">
        <v>1.0</v>
      </c>
      <c r="AH99" s="2" t="s">
        <v>395</v>
      </c>
      <c r="AI99" s="2" t="s">
        <v>423</v>
      </c>
      <c r="AJ99" s="2">
        <v>60.0</v>
      </c>
      <c r="AK99" s="2">
        <v>5.0</v>
      </c>
      <c r="AL99" s="2" t="s">
        <v>482</v>
      </c>
      <c r="AM99" s="2" t="s">
        <v>435</v>
      </c>
      <c r="AN99" s="2" t="s">
        <v>243</v>
      </c>
      <c r="AO99" s="2" t="s">
        <v>436</v>
      </c>
      <c r="AP99" s="2" t="s">
        <v>485</v>
      </c>
      <c r="AQ99" s="2" t="s">
        <v>437</v>
      </c>
      <c r="AR99" s="2" t="s">
        <v>497</v>
      </c>
      <c r="AS99" s="2" t="s">
        <v>571</v>
      </c>
      <c r="AT99" s="2" t="s">
        <v>572</v>
      </c>
      <c r="AV99" s="2">
        <f t="array" ref="AV99">IF($A99="","",IF(INDEX($A99:$AT99,1,MAP!$B$3)=CurrentSeason,1,0))</f>
        <v>0</v>
      </c>
      <c r="AW99" s="2" t="str">
        <f t="shared" si="1"/>
        <v/>
      </c>
    </row>
    <row r="100" ht="15.0" customHeight="1">
      <c r="A100" s="2" t="s">
        <v>784</v>
      </c>
      <c r="B100" s="2">
        <v>2025.0</v>
      </c>
      <c r="C100" s="2" t="s">
        <v>390</v>
      </c>
      <c r="D100" s="2">
        <v>7.0</v>
      </c>
      <c r="E100" s="2" t="s">
        <v>785</v>
      </c>
      <c r="F100" s="2" t="s">
        <v>419</v>
      </c>
      <c r="G100" s="2" t="s">
        <v>679</v>
      </c>
      <c r="H100" s="2" t="s">
        <v>142</v>
      </c>
      <c r="I100" s="2">
        <v>35.0</v>
      </c>
      <c r="J100" s="2" t="s">
        <v>141</v>
      </c>
      <c r="K100" s="2">
        <v>7.0</v>
      </c>
      <c r="L100" s="2" t="s">
        <v>78</v>
      </c>
      <c r="M100" s="2">
        <v>-28.0</v>
      </c>
      <c r="N100" s="2">
        <v>42.0</v>
      </c>
      <c r="O100" s="2">
        <v>0.0</v>
      </c>
      <c r="P100" s="2">
        <v>2.0251019E9</v>
      </c>
      <c r="Q100" s="2">
        <v>59937.0</v>
      </c>
      <c r="S100" s="2" t="s">
        <v>786</v>
      </c>
      <c r="T100" s="2">
        <v>28512.0</v>
      </c>
      <c r="U100" s="2">
        <v>4.01772635E8</v>
      </c>
      <c r="V100" s="2">
        <v>6828.0</v>
      </c>
      <c r="W100" s="2">
        <v>7.0</v>
      </c>
      <c r="X100" s="2">
        <v>7.0</v>
      </c>
      <c r="Y100" s="2">
        <v>-166.0</v>
      </c>
      <c r="Z100" s="2">
        <v>140.0</v>
      </c>
      <c r="AA100" s="2">
        <v>-3.0</v>
      </c>
      <c r="AB100" s="2">
        <v>-115.0</v>
      </c>
      <c r="AC100" s="2">
        <v>-105.0</v>
      </c>
      <c r="AD100" s="2">
        <v>44.5</v>
      </c>
      <c r="AE100" s="2">
        <v>-105.0</v>
      </c>
      <c r="AF100" s="2">
        <v>-115.0</v>
      </c>
      <c r="AG100" s="2">
        <v>0.0</v>
      </c>
      <c r="AH100" s="2" t="s">
        <v>395</v>
      </c>
      <c r="AI100" s="2" t="s">
        <v>396</v>
      </c>
      <c r="AJ100" s="2">
        <v>59.0</v>
      </c>
      <c r="AK100" s="2">
        <v>9.0</v>
      </c>
      <c r="AL100" s="2" t="s">
        <v>533</v>
      </c>
      <c r="AM100" s="2" t="s">
        <v>454</v>
      </c>
      <c r="AN100" s="2" t="s">
        <v>218</v>
      </c>
      <c r="AO100" s="2" t="s">
        <v>214</v>
      </c>
      <c r="AP100" s="2" t="s">
        <v>535</v>
      </c>
      <c r="AQ100" s="2" t="s">
        <v>456</v>
      </c>
      <c r="AR100" s="2" t="s">
        <v>439</v>
      </c>
      <c r="AS100" s="2" t="s">
        <v>458</v>
      </c>
      <c r="AT100" s="2" t="s">
        <v>459</v>
      </c>
      <c r="AV100" s="2">
        <f t="array" ref="AV100">IF($A100="","",IF(INDEX($A100:$AT100,1,MAP!$B$3)=CurrentSeason,1,0))</f>
        <v>0</v>
      </c>
      <c r="AW100" s="2" t="str">
        <f t="shared" si="1"/>
        <v/>
      </c>
    </row>
    <row r="101" ht="15.0" customHeight="1">
      <c r="A101" s="2" t="s">
        <v>787</v>
      </c>
      <c r="B101" s="2">
        <v>2025.0</v>
      </c>
      <c r="C101" s="2" t="s">
        <v>390</v>
      </c>
      <c r="D101" s="2">
        <v>7.0</v>
      </c>
      <c r="E101" s="2" t="s">
        <v>785</v>
      </c>
      <c r="F101" s="2" t="s">
        <v>419</v>
      </c>
      <c r="G101" s="2" t="s">
        <v>420</v>
      </c>
      <c r="H101" s="2" t="s">
        <v>232</v>
      </c>
      <c r="I101" s="2">
        <v>14.0</v>
      </c>
      <c r="J101" s="2" t="s">
        <v>137</v>
      </c>
      <c r="K101" s="2">
        <v>26.0</v>
      </c>
      <c r="L101" s="2" t="s">
        <v>77</v>
      </c>
      <c r="M101" s="2">
        <v>12.0</v>
      </c>
      <c r="N101" s="2">
        <v>40.0</v>
      </c>
      <c r="O101" s="2">
        <v>0.0</v>
      </c>
      <c r="P101" s="2">
        <v>2.025101901E9</v>
      </c>
      <c r="Q101" s="2">
        <v>59938.0</v>
      </c>
      <c r="S101" s="2" t="s">
        <v>788</v>
      </c>
      <c r="T101" s="2">
        <v>28513.0</v>
      </c>
      <c r="U101" s="2">
        <v>4.01772861E8</v>
      </c>
      <c r="V101" s="2">
        <v>6829.0</v>
      </c>
      <c r="W101" s="2">
        <v>7.0</v>
      </c>
      <c r="X101" s="2">
        <v>6.0</v>
      </c>
      <c r="Y101" s="2">
        <v>185.0</v>
      </c>
      <c r="Z101" s="2">
        <v>-225.0</v>
      </c>
      <c r="AA101" s="2">
        <v>4.5</v>
      </c>
      <c r="AB101" s="2">
        <v>-120.0</v>
      </c>
      <c r="AC101" s="2">
        <v>100.0</v>
      </c>
      <c r="AD101" s="2">
        <v>43.5</v>
      </c>
      <c r="AE101" s="2">
        <v>-110.0</v>
      </c>
      <c r="AF101" s="2">
        <v>-110.0</v>
      </c>
      <c r="AG101" s="2">
        <v>0.0</v>
      </c>
      <c r="AH101" s="2" t="s">
        <v>395</v>
      </c>
      <c r="AI101" s="2" t="s">
        <v>396</v>
      </c>
      <c r="AJ101" s="2">
        <v>49.0</v>
      </c>
      <c r="AK101" s="2">
        <v>8.0</v>
      </c>
      <c r="AL101" s="2" t="s">
        <v>473</v>
      </c>
      <c r="AM101" s="2" t="s">
        <v>553</v>
      </c>
      <c r="AN101" s="2" t="s">
        <v>474</v>
      </c>
      <c r="AO101" s="2" t="s">
        <v>192</v>
      </c>
      <c r="AP101" s="2" t="s">
        <v>476</v>
      </c>
      <c r="AQ101" s="2" t="s">
        <v>556</v>
      </c>
      <c r="AR101" s="2" t="s">
        <v>477</v>
      </c>
      <c r="AS101" s="2" t="s">
        <v>558</v>
      </c>
      <c r="AT101" s="2" t="s">
        <v>559</v>
      </c>
      <c r="AV101" s="2">
        <f t="array" ref="AV101">IF($A101="","",IF(INDEX($A101:$AT101,1,MAP!$B$3)=CurrentSeason,1,0))</f>
        <v>0</v>
      </c>
      <c r="AW101" s="2" t="str">
        <f t="shared" si="1"/>
        <v/>
      </c>
    </row>
    <row r="102" ht="15.0" customHeight="1">
      <c r="A102" s="2" t="s">
        <v>789</v>
      </c>
      <c r="B102" s="2">
        <v>2025.0</v>
      </c>
      <c r="C102" s="2" t="s">
        <v>390</v>
      </c>
      <c r="D102" s="2">
        <v>7.0</v>
      </c>
      <c r="E102" s="2" t="s">
        <v>785</v>
      </c>
      <c r="F102" s="2" t="s">
        <v>419</v>
      </c>
      <c r="G102" s="2" t="s">
        <v>420</v>
      </c>
      <c r="H102" s="2" t="s">
        <v>225</v>
      </c>
      <c r="I102" s="2">
        <v>6.0</v>
      </c>
      <c r="J102" s="2" t="s">
        <v>196</v>
      </c>
      <c r="K102" s="2">
        <v>31.0</v>
      </c>
      <c r="L102" s="2" t="s">
        <v>77</v>
      </c>
      <c r="M102" s="2">
        <v>25.0</v>
      </c>
      <c r="N102" s="2">
        <v>37.0</v>
      </c>
      <c r="O102" s="2">
        <v>0.0</v>
      </c>
      <c r="P102" s="2">
        <v>2.025101902E9</v>
      </c>
      <c r="Q102" s="2">
        <v>59939.0</v>
      </c>
      <c r="S102" s="2" t="s">
        <v>790</v>
      </c>
      <c r="T102" s="2">
        <v>28514.0</v>
      </c>
      <c r="U102" s="2">
        <v>4.01772754E8</v>
      </c>
      <c r="V102" s="2">
        <v>6830.0</v>
      </c>
      <c r="W102" s="2">
        <v>7.0</v>
      </c>
      <c r="X102" s="2">
        <v>7.0</v>
      </c>
      <c r="Y102" s="2">
        <v>124.0</v>
      </c>
      <c r="Z102" s="2">
        <v>-148.0</v>
      </c>
      <c r="AA102" s="2">
        <v>2.5</v>
      </c>
      <c r="AB102" s="2">
        <v>-102.0</v>
      </c>
      <c r="AC102" s="2">
        <v>-118.0</v>
      </c>
      <c r="AD102" s="2">
        <v>34.5</v>
      </c>
      <c r="AE102" s="2">
        <v>-112.0</v>
      </c>
      <c r="AF102" s="2">
        <v>-108.0</v>
      </c>
      <c r="AG102" s="2">
        <v>0.0</v>
      </c>
      <c r="AH102" s="2" t="s">
        <v>395</v>
      </c>
      <c r="AI102" s="2" t="s">
        <v>396</v>
      </c>
      <c r="AJ102" s="2">
        <v>65.0</v>
      </c>
      <c r="AK102" s="2">
        <v>17.0</v>
      </c>
      <c r="AL102" s="2" t="s">
        <v>444</v>
      </c>
      <c r="AM102" s="2" t="s">
        <v>718</v>
      </c>
      <c r="AN102" s="2" t="s">
        <v>182</v>
      </c>
      <c r="AO102" s="2" t="s">
        <v>719</v>
      </c>
      <c r="AP102" s="2" t="s">
        <v>446</v>
      </c>
      <c r="AQ102" s="2" t="s">
        <v>438</v>
      </c>
      <c r="AR102" s="2" t="s">
        <v>516</v>
      </c>
      <c r="AS102" s="2" t="s">
        <v>440</v>
      </c>
      <c r="AT102" s="2" t="s">
        <v>441</v>
      </c>
      <c r="AV102" s="2">
        <f t="array" ref="AV102">IF($A102="","",IF(INDEX($A102:$AT102,1,MAP!$B$3)=CurrentSeason,1,0))</f>
        <v>0</v>
      </c>
      <c r="AW102" s="2" t="str">
        <f t="shared" si="1"/>
        <v/>
      </c>
    </row>
    <row r="103" ht="15.0" customHeight="1">
      <c r="A103" s="2" t="s">
        <v>791</v>
      </c>
      <c r="B103" s="2">
        <v>2025.0</v>
      </c>
      <c r="C103" s="2" t="s">
        <v>390</v>
      </c>
      <c r="D103" s="2">
        <v>7.0</v>
      </c>
      <c r="E103" s="2" t="s">
        <v>785</v>
      </c>
      <c r="F103" s="2" t="s">
        <v>419</v>
      </c>
      <c r="G103" s="2" t="s">
        <v>420</v>
      </c>
      <c r="H103" s="2" t="s">
        <v>222</v>
      </c>
      <c r="I103" s="2">
        <v>0.0</v>
      </c>
      <c r="J103" s="2" t="s">
        <v>143</v>
      </c>
      <c r="K103" s="2">
        <v>31.0</v>
      </c>
      <c r="L103" s="2" t="s">
        <v>77</v>
      </c>
      <c r="M103" s="2">
        <v>31.0</v>
      </c>
      <c r="N103" s="2">
        <v>31.0</v>
      </c>
      <c r="O103" s="2">
        <v>0.0</v>
      </c>
      <c r="P103" s="2">
        <v>2.025101903E9</v>
      </c>
      <c r="Q103" s="2">
        <v>59940.0</v>
      </c>
      <c r="S103" s="2" t="s">
        <v>792</v>
      </c>
      <c r="T103" s="2">
        <v>28515.0</v>
      </c>
      <c r="U103" s="2">
        <v>4.01772753E8</v>
      </c>
      <c r="V103" s="2">
        <v>6831.0</v>
      </c>
      <c r="W103" s="2">
        <v>7.0</v>
      </c>
      <c r="X103" s="2">
        <v>7.0</v>
      </c>
      <c r="Y103" s="2">
        <v>625.0</v>
      </c>
      <c r="Z103" s="2">
        <v>-950.0</v>
      </c>
      <c r="AA103" s="2">
        <v>13.5</v>
      </c>
      <c r="AB103" s="2">
        <v>-115.0</v>
      </c>
      <c r="AC103" s="2">
        <v>-105.0</v>
      </c>
      <c r="AD103" s="2">
        <v>44.5</v>
      </c>
      <c r="AE103" s="2">
        <v>-115.0</v>
      </c>
      <c r="AF103" s="2">
        <v>-105.0</v>
      </c>
      <c r="AG103" s="2">
        <v>1.0</v>
      </c>
      <c r="AH103" s="2" t="s">
        <v>395</v>
      </c>
      <c r="AI103" s="2" t="s">
        <v>396</v>
      </c>
      <c r="AJ103" s="2">
        <v>57.0</v>
      </c>
      <c r="AK103" s="2">
        <v>9.0</v>
      </c>
      <c r="AL103" s="2" t="s">
        <v>462</v>
      </c>
      <c r="AM103" s="2" t="s">
        <v>410</v>
      </c>
      <c r="AN103" s="2" t="s">
        <v>239</v>
      </c>
      <c r="AO103" s="2" t="s">
        <v>216</v>
      </c>
      <c r="AP103" s="2" t="s">
        <v>464</v>
      </c>
      <c r="AQ103" s="2" t="s">
        <v>412</v>
      </c>
      <c r="AR103" s="2" t="s">
        <v>526</v>
      </c>
      <c r="AS103" s="2" t="s">
        <v>607</v>
      </c>
      <c r="AT103" s="2" t="s">
        <v>608</v>
      </c>
      <c r="AV103" s="2">
        <f t="array" ref="AV103">IF($A103="","",IF(INDEX($A103:$AT103,1,MAP!$B$3)=CurrentSeason,1,0))</f>
        <v>0</v>
      </c>
      <c r="AW103" s="2" t="str">
        <f t="shared" si="1"/>
        <v/>
      </c>
    </row>
    <row r="104" ht="15.0" customHeight="1">
      <c r="A104" s="2" t="s">
        <v>793</v>
      </c>
      <c r="B104" s="2">
        <v>2025.0</v>
      </c>
      <c r="C104" s="2" t="s">
        <v>390</v>
      </c>
      <c r="D104" s="2">
        <v>7.0</v>
      </c>
      <c r="E104" s="2" t="s">
        <v>785</v>
      </c>
      <c r="F104" s="2" t="s">
        <v>419</v>
      </c>
      <c r="G104" s="2" t="s">
        <v>420</v>
      </c>
      <c r="H104" s="2" t="s">
        <v>147</v>
      </c>
      <c r="I104" s="2">
        <v>28.0</v>
      </c>
      <c r="J104" s="2" t="s">
        <v>144</v>
      </c>
      <c r="K104" s="2">
        <v>22.0</v>
      </c>
      <c r="L104" s="2" t="s">
        <v>77</v>
      </c>
      <c r="M104" s="2">
        <v>-6.0</v>
      </c>
      <c r="N104" s="2">
        <v>50.0</v>
      </c>
      <c r="O104" s="2">
        <v>0.0</v>
      </c>
      <c r="P104" s="2">
        <v>2.025101904E9</v>
      </c>
      <c r="Q104" s="2">
        <v>59941.0</v>
      </c>
      <c r="S104" s="2" t="s">
        <v>794</v>
      </c>
      <c r="T104" s="2">
        <v>28516.0</v>
      </c>
      <c r="U104" s="2">
        <v>4.01772862E8</v>
      </c>
      <c r="V104" s="2">
        <v>6832.0</v>
      </c>
      <c r="W104" s="2">
        <v>10.0</v>
      </c>
      <c r="X104" s="2">
        <v>14.0</v>
      </c>
      <c r="Y104" s="2">
        <v>-148.0</v>
      </c>
      <c r="Z104" s="2">
        <v>124.0</v>
      </c>
      <c r="AA104" s="2">
        <v>-2.5</v>
      </c>
      <c r="AB104" s="2">
        <v>-110.0</v>
      </c>
      <c r="AC104" s="2">
        <v>-110.0</v>
      </c>
      <c r="AD104" s="2">
        <v>43.5</v>
      </c>
      <c r="AE104" s="2">
        <v>-105.0</v>
      </c>
      <c r="AF104" s="2">
        <v>-115.0</v>
      </c>
      <c r="AG104" s="2">
        <v>0.0</v>
      </c>
      <c r="AH104" s="2" t="s">
        <v>409</v>
      </c>
      <c r="AI104" s="2" t="s">
        <v>471</v>
      </c>
      <c r="AL104" s="2" t="s">
        <v>398</v>
      </c>
      <c r="AM104" s="2" t="s">
        <v>640</v>
      </c>
      <c r="AN104" s="2" t="s">
        <v>241</v>
      </c>
      <c r="AO104" s="2" t="s">
        <v>642</v>
      </c>
      <c r="AP104" s="2" t="s">
        <v>400</v>
      </c>
      <c r="AQ104" s="2" t="s">
        <v>555</v>
      </c>
      <c r="AR104" s="2" t="s">
        <v>487</v>
      </c>
      <c r="AS104" s="2" t="s">
        <v>611</v>
      </c>
      <c r="AT104" s="2" t="s">
        <v>612</v>
      </c>
      <c r="AV104" s="2">
        <f t="array" ref="AV104">IF($A104="","",IF(INDEX($A104:$AT104,1,MAP!$B$3)=CurrentSeason,1,0))</f>
        <v>0</v>
      </c>
      <c r="AW104" s="2" t="str">
        <f t="shared" si="1"/>
        <v/>
      </c>
    </row>
    <row r="105" ht="15.0" customHeight="1">
      <c r="A105" s="2" t="s">
        <v>795</v>
      </c>
      <c r="B105" s="2">
        <v>2025.0</v>
      </c>
      <c r="C105" s="2" t="s">
        <v>390</v>
      </c>
      <c r="D105" s="2">
        <v>7.0</v>
      </c>
      <c r="E105" s="2" t="s">
        <v>785</v>
      </c>
      <c r="F105" s="2" t="s">
        <v>419</v>
      </c>
      <c r="G105" s="2" t="s">
        <v>420</v>
      </c>
      <c r="H105" s="2" t="s">
        <v>189</v>
      </c>
      <c r="I105" s="2">
        <v>13.0</v>
      </c>
      <c r="J105" s="2" t="s">
        <v>238</v>
      </c>
      <c r="K105" s="2">
        <v>6.0</v>
      </c>
      <c r="L105" s="2" t="s">
        <v>77</v>
      </c>
      <c r="M105" s="2">
        <v>-7.0</v>
      </c>
      <c r="N105" s="2">
        <v>19.0</v>
      </c>
      <c r="O105" s="2">
        <v>0.0</v>
      </c>
      <c r="P105" s="2">
        <v>2.025101905E9</v>
      </c>
      <c r="Q105" s="2">
        <v>59942.0</v>
      </c>
      <c r="S105" s="2" t="s">
        <v>796</v>
      </c>
      <c r="T105" s="2">
        <v>28517.0</v>
      </c>
      <c r="U105" s="2">
        <v>4.0177286E8</v>
      </c>
      <c r="V105" s="2">
        <v>6833.0</v>
      </c>
      <c r="W105" s="2">
        <v>7.0</v>
      </c>
      <c r="X105" s="2">
        <v>7.0</v>
      </c>
      <c r="Y105" s="2">
        <v>-108.0</v>
      </c>
      <c r="Z105" s="2">
        <v>-112.0</v>
      </c>
      <c r="AA105" s="2">
        <v>1.5</v>
      </c>
      <c r="AB105" s="2">
        <v>-125.0</v>
      </c>
      <c r="AC105" s="2">
        <v>105.0</v>
      </c>
      <c r="AD105" s="2">
        <v>39.5</v>
      </c>
      <c r="AE105" s="2">
        <v>-102.0</v>
      </c>
      <c r="AF105" s="2">
        <v>-118.0</v>
      </c>
      <c r="AG105" s="2">
        <v>0.0</v>
      </c>
      <c r="AH105" s="2" t="s">
        <v>395</v>
      </c>
      <c r="AI105" s="2" t="s">
        <v>423</v>
      </c>
      <c r="AJ105" s="2">
        <v>71.0</v>
      </c>
      <c r="AK105" s="2">
        <v>13.0</v>
      </c>
      <c r="AL105" s="2" t="s">
        <v>453</v>
      </c>
      <c r="AM105" s="2" t="s">
        <v>483</v>
      </c>
      <c r="AN105" s="2" t="s">
        <v>190</v>
      </c>
      <c r="AO105" s="2" t="s">
        <v>484</v>
      </c>
      <c r="AP105" s="2" t="s">
        <v>455</v>
      </c>
      <c r="AQ105" s="2" t="s">
        <v>486</v>
      </c>
      <c r="AR105" s="2" t="s">
        <v>563</v>
      </c>
      <c r="AS105" s="2" t="s">
        <v>488</v>
      </c>
      <c r="AT105" s="2" t="s">
        <v>489</v>
      </c>
      <c r="AV105" s="2">
        <f t="array" ref="AV105">IF($A105="","",IF(INDEX($A105:$AT105,1,MAP!$B$3)=CurrentSeason,1,0))</f>
        <v>0</v>
      </c>
      <c r="AW105" s="2" t="str">
        <f t="shared" si="1"/>
        <v/>
      </c>
    </row>
    <row r="106" ht="15.0" customHeight="1">
      <c r="A106" s="2" t="s">
        <v>797</v>
      </c>
      <c r="B106" s="2">
        <v>2025.0</v>
      </c>
      <c r="C106" s="2" t="s">
        <v>390</v>
      </c>
      <c r="D106" s="2">
        <v>7.0</v>
      </c>
      <c r="E106" s="2" t="s">
        <v>785</v>
      </c>
      <c r="F106" s="2" t="s">
        <v>419</v>
      </c>
      <c r="G106" s="2" t="s">
        <v>420</v>
      </c>
      <c r="H106" s="2" t="s">
        <v>145</v>
      </c>
      <c r="I106" s="2">
        <v>31.0</v>
      </c>
      <c r="J106" s="2" t="s">
        <v>250</v>
      </c>
      <c r="K106" s="2">
        <v>13.0</v>
      </c>
      <c r="L106" s="2" t="s">
        <v>77</v>
      </c>
      <c r="M106" s="2">
        <v>-18.0</v>
      </c>
      <c r="N106" s="2">
        <v>44.0</v>
      </c>
      <c r="O106" s="2">
        <v>0.0</v>
      </c>
      <c r="P106" s="2">
        <v>2.025101906E9</v>
      </c>
      <c r="Q106" s="2">
        <v>59943.0</v>
      </c>
      <c r="S106" s="2" t="s">
        <v>798</v>
      </c>
      <c r="T106" s="2">
        <v>28518.0</v>
      </c>
      <c r="U106" s="2">
        <v>4.01772755E8</v>
      </c>
      <c r="V106" s="2">
        <v>6834.0</v>
      </c>
      <c r="W106" s="2">
        <v>7.0</v>
      </c>
      <c r="X106" s="2">
        <v>7.0</v>
      </c>
      <c r="Y106" s="2">
        <v>-290.0</v>
      </c>
      <c r="Z106" s="2">
        <v>235.0</v>
      </c>
      <c r="AA106" s="2">
        <v>-6.5</v>
      </c>
      <c r="AB106" s="2">
        <v>-108.0</v>
      </c>
      <c r="AC106" s="2">
        <v>-112.0</v>
      </c>
      <c r="AD106" s="2">
        <v>40.5</v>
      </c>
      <c r="AE106" s="2">
        <v>-108.0</v>
      </c>
      <c r="AF106" s="2">
        <v>-112.0</v>
      </c>
      <c r="AG106" s="2">
        <v>0.0</v>
      </c>
      <c r="AH106" s="2" t="s">
        <v>395</v>
      </c>
      <c r="AI106" s="2" t="s">
        <v>396</v>
      </c>
      <c r="AJ106" s="2">
        <v>60.0</v>
      </c>
      <c r="AK106" s="2">
        <v>18.0</v>
      </c>
      <c r="AL106" s="2" t="s">
        <v>463</v>
      </c>
      <c r="AM106" s="2" t="s">
        <v>503</v>
      </c>
      <c r="AN106" s="2" t="s">
        <v>230</v>
      </c>
      <c r="AO106" s="2" t="s">
        <v>251</v>
      </c>
      <c r="AP106" s="2" t="s">
        <v>465</v>
      </c>
      <c r="AQ106" s="2" t="s">
        <v>505</v>
      </c>
      <c r="AR106" s="2" t="s">
        <v>536</v>
      </c>
      <c r="AS106" s="2" t="s">
        <v>597</v>
      </c>
      <c r="AT106" s="2" t="s">
        <v>598</v>
      </c>
      <c r="AV106" s="2">
        <f t="array" ref="AV106">IF($A106="","",IF(INDEX($A106:$AT106,1,MAP!$B$3)=CurrentSeason,1,0))</f>
        <v>0</v>
      </c>
      <c r="AW106" s="2" t="str">
        <f t="shared" si="1"/>
        <v/>
      </c>
    </row>
    <row r="107" ht="15.0" customHeight="1">
      <c r="A107" s="2" t="s">
        <v>799</v>
      </c>
      <c r="B107" s="2">
        <v>2025.0</v>
      </c>
      <c r="C107" s="2" t="s">
        <v>390</v>
      </c>
      <c r="D107" s="2">
        <v>7.0</v>
      </c>
      <c r="E107" s="2" t="s">
        <v>785</v>
      </c>
      <c r="F107" s="2" t="s">
        <v>419</v>
      </c>
      <c r="G107" s="2" t="s">
        <v>501</v>
      </c>
      <c r="H107" s="2" t="s">
        <v>235</v>
      </c>
      <c r="I107" s="2">
        <v>32.0</v>
      </c>
      <c r="J107" s="2" t="s">
        <v>139</v>
      </c>
      <c r="K107" s="2">
        <v>33.0</v>
      </c>
      <c r="L107" s="2" t="s">
        <v>77</v>
      </c>
      <c r="M107" s="2">
        <v>1.0</v>
      </c>
      <c r="N107" s="2">
        <v>65.0</v>
      </c>
      <c r="O107" s="2">
        <v>0.0</v>
      </c>
      <c r="P107" s="2">
        <v>2.025101907E9</v>
      </c>
      <c r="Q107" s="2">
        <v>59944.0</v>
      </c>
      <c r="S107" s="2" t="s">
        <v>800</v>
      </c>
      <c r="T107" s="2">
        <v>28519.0</v>
      </c>
      <c r="U107" s="2">
        <v>4.01772757E8</v>
      </c>
      <c r="V107" s="2">
        <v>6835.0</v>
      </c>
      <c r="W107" s="2">
        <v>10.0</v>
      </c>
      <c r="X107" s="2">
        <v>7.0</v>
      </c>
      <c r="Y107" s="2">
        <v>330.0</v>
      </c>
      <c r="Z107" s="2">
        <v>-425.0</v>
      </c>
      <c r="AA107" s="2">
        <v>7.5</v>
      </c>
      <c r="AB107" s="2">
        <v>-105.0</v>
      </c>
      <c r="AC107" s="2">
        <v>-115.0</v>
      </c>
      <c r="AD107" s="2">
        <v>39.5</v>
      </c>
      <c r="AE107" s="2">
        <v>-105.0</v>
      </c>
      <c r="AF107" s="2">
        <v>-115.0</v>
      </c>
      <c r="AG107" s="2">
        <v>0.0</v>
      </c>
      <c r="AH107" s="2" t="s">
        <v>395</v>
      </c>
      <c r="AI107" s="2" t="s">
        <v>396</v>
      </c>
      <c r="AJ107" s="2">
        <v>72.0</v>
      </c>
      <c r="AK107" s="2">
        <v>3.0</v>
      </c>
      <c r="AL107" s="2" t="s">
        <v>693</v>
      </c>
      <c r="AM107" s="2" t="s">
        <v>504</v>
      </c>
      <c r="AN107" s="2" t="s">
        <v>236</v>
      </c>
      <c r="AO107" s="2" t="s">
        <v>201</v>
      </c>
      <c r="AP107" s="2" t="s">
        <v>495</v>
      </c>
      <c r="AQ107" s="2" t="s">
        <v>506</v>
      </c>
      <c r="AR107" s="2" t="s">
        <v>448</v>
      </c>
      <c r="AS107" s="2" t="s">
        <v>508</v>
      </c>
      <c r="AT107" s="2" t="s">
        <v>509</v>
      </c>
      <c r="AV107" s="2">
        <f t="array" ref="AV107">IF($A107="","",IF(INDEX($A107:$AT107,1,MAP!$B$3)=CurrentSeason,1,0))</f>
        <v>0</v>
      </c>
      <c r="AW107" s="2" t="str">
        <f t="shared" si="1"/>
        <v/>
      </c>
    </row>
    <row r="108" ht="15.0" customHeight="1">
      <c r="A108" s="2" t="s">
        <v>801</v>
      </c>
      <c r="B108" s="2">
        <v>2025.0</v>
      </c>
      <c r="C108" s="2" t="s">
        <v>390</v>
      </c>
      <c r="D108" s="2">
        <v>7.0</v>
      </c>
      <c r="E108" s="2" t="s">
        <v>785</v>
      </c>
      <c r="F108" s="2" t="s">
        <v>419</v>
      </c>
      <c r="G108" s="2" t="s">
        <v>501</v>
      </c>
      <c r="H108" s="2" t="s">
        <v>210</v>
      </c>
      <c r="I108" s="2">
        <v>38.0</v>
      </c>
      <c r="J108" s="2" t="s">
        <v>220</v>
      </c>
      <c r="K108" s="2">
        <v>24.0</v>
      </c>
      <c r="L108" s="2" t="s">
        <v>77</v>
      </c>
      <c r="M108" s="2">
        <v>-14.0</v>
      </c>
      <c r="N108" s="2">
        <v>62.0</v>
      </c>
      <c r="O108" s="2">
        <v>0.0</v>
      </c>
      <c r="P108" s="2">
        <v>2.025101908E9</v>
      </c>
      <c r="Q108" s="2">
        <v>59945.0</v>
      </c>
      <c r="S108" s="2" t="s">
        <v>802</v>
      </c>
      <c r="T108" s="2">
        <v>28520.0</v>
      </c>
      <c r="U108" s="2">
        <v>4.01772756E8</v>
      </c>
      <c r="V108" s="2">
        <v>6836.0</v>
      </c>
      <c r="W108" s="2">
        <v>7.0</v>
      </c>
      <c r="X108" s="2">
        <v>7.0</v>
      </c>
      <c r="Y108" s="2">
        <v>114.0</v>
      </c>
      <c r="Z108" s="2">
        <v>-135.0</v>
      </c>
      <c r="AA108" s="2">
        <v>2.5</v>
      </c>
      <c r="AB108" s="2">
        <v>-108.0</v>
      </c>
      <c r="AC108" s="2">
        <v>-112.0</v>
      </c>
      <c r="AD108" s="2">
        <v>48.5</v>
      </c>
      <c r="AE108" s="2">
        <v>-110.0</v>
      </c>
      <c r="AF108" s="2">
        <v>-110.0</v>
      </c>
      <c r="AG108" s="2">
        <v>0.0</v>
      </c>
      <c r="AH108" s="2" t="s">
        <v>409</v>
      </c>
      <c r="AI108" s="2" t="s">
        <v>531</v>
      </c>
      <c r="AL108" s="2" t="s">
        <v>445</v>
      </c>
      <c r="AM108" s="2" t="s">
        <v>411</v>
      </c>
      <c r="AN108" s="2" t="s">
        <v>211</v>
      </c>
      <c r="AO108" s="2" t="s">
        <v>221</v>
      </c>
      <c r="AP108" s="2" t="s">
        <v>447</v>
      </c>
      <c r="AQ108" s="2" t="s">
        <v>413</v>
      </c>
      <c r="AR108" s="2" t="s">
        <v>557</v>
      </c>
      <c r="AS108" s="2" t="s">
        <v>415</v>
      </c>
      <c r="AT108" s="2" t="s">
        <v>416</v>
      </c>
      <c r="AV108" s="2">
        <f t="array" ref="AV108">IF($A108="","",IF(INDEX($A108:$AT108,1,MAP!$B$3)=CurrentSeason,1,0))</f>
        <v>0</v>
      </c>
      <c r="AW108" s="2" t="str">
        <f t="shared" si="1"/>
        <v/>
      </c>
    </row>
    <row r="109" ht="15.0" customHeight="1">
      <c r="A109" s="2" t="s">
        <v>803</v>
      </c>
      <c r="B109" s="2">
        <v>2025.0</v>
      </c>
      <c r="C109" s="2" t="s">
        <v>390</v>
      </c>
      <c r="D109" s="2">
        <v>7.0</v>
      </c>
      <c r="E109" s="2" t="s">
        <v>785</v>
      </c>
      <c r="F109" s="2" t="s">
        <v>419</v>
      </c>
      <c r="G109" s="2" t="s">
        <v>520</v>
      </c>
      <c r="H109" s="2" t="s">
        <v>205</v>
      </c>
      <c r="I109" s="2">
        <v>27.0</v>
      </c>
      <c r="J109" s="2" t="s">
        <v>178</v>
      </c>
      <c r="K109" s="2">
        <v>23.0</v>
      </c>
      <c r="L109" s="2" t="s">
        <v>77</v>
      </c>
      <c r="M109" s="2">
        <v>-4.0</v>
      </c>
      <c r="N109" s="2">
        <v>50.0</v>
      </c>
      <c r="O109" s="2">
        <v>0.0</v>
      </c>
      <c r="P109" s="2">
        <v>2.025101909E9</v>
      </c>
      <c r="Q109" s="2">
        <v>59946.0</v>
      </c>
      <c r="S109" s="2" t="s">
        <v>804</v>
      </c>
      <c r="T109" s="2">
        <v>28521.0</v>
      </c>
      <c r="U109" s="2">
        <v>4.01772863E8</v>
      </c>
      <c r="V109" s="2">
        <v>6837.0</v>
      </c>
      <c r="W109" s="2">
        <v>7.0</v>
      </c>
      <c r="X109" s="2">
        <v>7.0</v>
      </c>
      <c r="Y109" s="2">
        <v>-395.0</v>
      </c>
      <c r="Z109" s="2">
        <v>310.0</v>
      </c>
      <c r="AA109" s="2">
        <v>-7.0</v>
      </c>
      <c r="AB109" s="2">
        <v>-115.0</v>
      </c>
      <c r="AC109" s="2">
        <v>-105.0</v>
      </c>
      <c r="AD109" s="2">
        <v>44.5</v>
      </c>
      <c r="AE109" s="2">
        <v>-110.0</v>
      </c>
      <c r="AF109" s="2">
        <v>-110.0</v>
      </c>
      <c r="AG109" s="2">
        <v>0.0</v>
      </c>
      <c r="AH109" s="2" t="s">
        <v>422</v>
      </c>
      <c r="AI109" s="2" t="s">
        <v>396</v>
      </c>
      <c r="AL109" s="2" t="s">
        <v>523</v>
      </c>
      <c r="AM109" s="2" t="s">
        <v>759</v>
      </c>
      <c r="AN109" s="2" t="s">
        <v>206</v>
      </c>
      <c r="AO109" s="2" t="s">
        <v>179</v>
      </c>
      <c r="AP109" s="2" t="s">
        <v>525</v>
      </c>
      <c r="AQ109" s="2" t="s">
        <v>475</v>
      </c>
      <c r="AR109" s="2" t="s">
        <v>457</v>
      </c>
      <c r="AS109" s="2" t="s">
        <v>601</v>
      </c>
      <c r="AT109" s="2" t="s">
        <v>602</v>
      </c>
      <c r="AV109" s="2">
        <f t="array" ref="AV109">IF($A109="","",IF(INDEX($A109:$AT109,1,MAP!$B$3)=CurrentSeason,1,0))</f>
        <v>0</v>
      </c>
      <c r="AW109" s="2" t="str">
        <f t="shared" si="1"/>
        <v/>
      </c>
    </row>
    <row r="110" ht="15.0" customHeight="1">
      <c r="A110" s="2" t="s">
        <v>805</v>
      </c>
      <c r="B110" s="2">
        <v>2025.0</v>
      </c>
      <c r="C110" s="2" t="s">
        <v>390</v>
      </c>
      <c r="D110" s="2">
        <v>7.0</v>
      </c>
      <c r="E110" s="2" t="s">
        <v>785</v>
      </c>
      <c r="F110" s="2" t="s">
        <v>419</v>
      </c>
      <c r="G110" s="2" t="s">
        <v>520</v>
      </c>
      <c r="H110" s="2" t="s">
        <v>253</v>
      </c>
      <c r="I110" s="2">
        <v>22.0</v>
      </c>
      <c r="J110" s="2" t="s">
        <v>146</v>
      </c>
      <c r="K110" s="2">
        <v>44.0</v>
      </c>
      <c r="L110" s="2" t="s">
        <v>77</v>
      </c>
      <c r="M110" s="2">
        <v>22.0</v>
      </c>
      <c r="N110" s="2">
        <v>66.0</v>
      </c>
      <c r="O110" s="2">
        <v>0.0</v>
      </c>
      <c r="P110" s="2">
        <v>2.02510191E9</v>
      </c>
      <c r="Q110" s="2">
        <v>59947.0</v>
      </c>
      <c r="S110" s="2" t="s">
        <v>806</v>
      </c>
      <c r="T110" s="2">
        <v>28522.0</v>
      </c>
      <c r="U110" s="2">
        <v>4.01772864E8</v>
      </c>
      <c r="V110" s="2">
        <v>6838.0</v>
      </c>
      <c r="W110" s="2">
        <v>6.0</v>
      </c>
      <c r="X110" s="2">
        <v>7.0</v>
      </c>
      <c r="Y110" s="2">
        <v>105.0</v>
      </c>
      <c r="Z110" s="2">
        <v>-125.0</v>
      </c>
      <c r="AA110" s="2">
        <v>1.5</v>
      </c>
      <c r="AB110" s="2">
        <v>-108.0</v>
      </c>
      <c r="AC110" s="2">
        <v>-112.0</v>
      </c>
      <c r="AD110" s="2">
        <v>54.5</v>
      </c>
      <c r="AE110" s="2">
        <v>-108.0</v>
      </c>
      <c r="AF110" s="2">
        <v>-112.0</v>
      </c>
      <c r="AG110" s="2">
        <v>1.0</v>
      </c>
      <c r="AH110" s="2" t="s">
        <v>422</v>
      </c>
      <c r="AI110" s="2" t="s">
        <v>531</v>
      </c>
      <c r="AL110" s="2" t="s">
        <v>493</v>
      </c>
      <c r="AM110" s="2" t="s">
        <v>397</v>
      </c>
      <c r="AN110" s="2" t="s">
        <v>254</v>
      </c>
      <c r="AO110" s="2" t="s">
        <v>199</v>
      </c>
      <c r="AP110" s="2" t="s">
        <v>496</v>
      </c>
      <c r="AQ110" s="2" t="s">
        <v>399</v>
      </c>
      <c r="AR110" s="2" t="s">
        <v>507</v>
      </c>
      <c r="AS110" s="2" t="s">
        <v>575</v>
      </c>
      <c r="AT110" s="2" t="s">
        <v>576</v>
      </c>
      <c r="AV110" s="2">
        <f t="array" ref="AV110">IF($A110="","",IF(INDEX($A110:$AT110,1,MAP!$B$3)=CurrentSeason,1,0))</f>
        <v>0</v>
      </c>
      <c r="AW110" s="2" t="str">
        <f t="shared" si="1"/>
        <v/>
      </c>
    </row>
    <row r="111" ht="15.0" customHeight="1">
      <c r="A111" s="2" t="s">
        <v>807</v>
      </c>
      <c r="B111" s="2">
        <v>2025.0</v>
      </c>
      <c r="C111" s="2" t="s">
        <v>390</v>
      </c>
      <c r="D111" s="2">
        <v>7.0</v>
      </c>
      <c r="E111" s="2" t="s">
        <v>785</v>
      </c>
      <c r="F111" s="2" t="s">
        <v>419</v>
      </c>
      <c r="G111" s="2" t="s">
        <v>393</v>
      </c>
      <c r="H111" s="2" t="s">
        <v>132</v>
      </c>
      <c r="I111" s="2">
        <v>10.0</v>
      </c>
      <c r="J111" s="2" t="s">
        <v>246</v>
      </c>
      <c r="K111" s="2">
        <v>20.0</v>
      </c>
      <c r="L111" s="2" t="s">
        <v>77</v>
      </c>
      <c r="M111" s="2">
        <v>10.0</v>
      </c>
      <c r="N111" s="2">
        <v>30.0</v>
      </c>
      <c r="O111" s="2">
        <v>0.0</v>
      </c>
      <c r="P111" s="2">
        <v>2.025101911E9</v>
      </c>
      <c r="Q111" s="2">
        <v>59948.0</v>
      </c>
      <c r="S111" s="2" t="s">
        <v>808</v>
      </c>
      <c r="T111" s="2">
        <v>28523.0</v>
      </c>
      <c r="U111" s="2">
        <v>4.01772924E8</v>
      </c>
      <c r="V111" s="2">
        <v>6839.0</v>
      </c>
      <c r="W111" s="2">
        <v>6.0</v>
      </c>
      <c r="X111" s="2">
        <v>7.0</v>
      </c>
      <c r="Y111" s="2">
        <v>-105.0</v>
      </c>
      <c r="Z111" s="2">
        <v>-115.0</v>
      </c>
      <c r="AA111" s="2">
        <v>1.5</v>
      </c>
      <c r="AB111" s="2">
        <v>-120.0</v>
      </c>
      <c r="AC111" s="2">
        <v>100.0</v>
      </c>
      <c r="AD111" s="2">
        <v>46.5</v>
      </c>
      <c r="AE111" s="2">
        <v>-112.0</v>
      </c>
      <c r="AF111" s="2">
        <v>-108.0</v>
      </c>
      <c r="AG111" s="2">
        <v>0.0</v>
      </c>
      <c r="AH111" s="2" t="s">
        <v>395</v>
      </c>
      <c r="AI111" s="2" t="s">
        <v>396</v>
      </c>
      <c r="AJ111" s="2">
        <v>74.0</v>
      </c>
      <c r="AK111" s="2">
        <v>5.0</v>
      </c>
      <c r="AL111" s="2" t="s">
        <v>425</v>
      </c>
      <c r="AM111" s="2" t="s">
        <v>587</v>
      </c>
      <c r="AN111" s="2" t="s">
        <v>426</v>
      </c>
      <c r="AO111" s="2" t="s">
        <v>588</v>
      </c>
      <c r="AP111" s="2" t="s">
        <v>428</v>
      </c>
      <c r="AQ111" s="2" t="s">
        <v>514</v>
      </c>
      <c r="AR111" s="2" t="s">
        <v>466</v>
      </c>
      <c r="AS111" s="2" t="s">
        <v>667</v>
      </c>
      <c r="AT111" s="2" t="s">
        <v>668</v>
      </c>
      <c r="AV111" s="2">
        <f t="array" ref="AV111">IF($A111="","",IF(INDEX($A111:$AT111,1,MAP!$B$3)=CurrentSeason,1,0))</f>
        <v>0</v>
      </c>
      <c r="AW111" s="2" t="str">
        <f t="shared" si="1"/>
        <v/>
      </c>
    </row>
    <row r="112" ht="15.0" customHeight="1">
      <c r="A112" s="2" t="s">
        <v>809</v>
      </c>
      <c r="B112" s="2">
        <v>2025.0</v>
      </c>
      <c r="C112" s="2" t="s">
        <v>390</v>
      </c>
      <c r="D112" s="2">
        <v>7.0</v>
      </c>
      <c r="E112" s="2" t="s">
        <v>810</v>
      </c>
      <c r="F112" s="2" t="s">
        <v>549</v>
      </c>
      <c r="G112" s="2" t="s">
        <v>615</v>
      </c>
      <c r="H112" s="2" t="s">
        <v>150</v>
      </c>
      <c r="I112" s="2">
        <v>9.0</v>
      </c>
      <c r="J112" s="2" t="s">
        <v>202</v>
      </c>
      <c r="K112" s="2">
        <v>24.0</v>
      </c>
      <c r="L112" s="2" t="s">
        <v>77</v>
      </c>
      <c r="M112" s="2">
        <v>15.0</v>
      </c>
      <c r="N112" s="2">
        <v>33.0</v>
      </c>
      <c r="O112" s="2">
        <v>0.0</v>
      </c>
      <c r="P112" s="2">
        <v>2.025102E9</v>
      </c>
      <c r="Q112" s="2">
        <v>59949.0</v>
      </c>
      <c r="S112" s="2" t="s">
        <v>811</v>
      </c>
      <c r="T112" s="2">
        <v>28524.0</v>
      </c>
      <c r="U112" s="2">
        <v>4.01772816E8</v>
      </c>
      <c r="V112" s="2">
        <v>6841.0</v>
      </c>
      <c r="W112" s="2">
        <v>8.0</v>
      </c>
      <c r="X112" s="2">
        <v>8.0</v>
      </c>
      <c r="Y112" s="2">
        <v>225.0</v>
      </c>
      <c r="Z112" s="2">
        <v>-278.0</v>
      </c>
      <c r="AA112" s="2">
        <v>6.0</v>
      </c>
      <c r="AB112" s="2">
        <v>-112.0</v>
      </c>
      <c r="AC112" s="2">
        <v>-108.0</v>
      </c>
      <c r="AD112" s="2">
        <v>54.5</v>
      </c>
      <c r="AE112" s="2">
        <v>-115.0</v>
      </c>
      <c r="AF112" s="2">
        <v>-105.0</v>
      </c>
      <c r="AG112" s="2">
        <v>0.0</v>
      </c>
      <c r="AH112" s="2" t="s">
        <v>409</v>
      </c>
      <c r="AI112" s="2" t="s">
        <v>423</v>
      </c>
      <c r="AL112" s="2" t="s">
        <v>424</v>
      </c>
      <c r="AM112" s="2" t="s">
        <v>522</v>
      </c>
      <c r="AN112" s="2" t="s">
        <v>248</v>
      </c>
      <c r="AO112" s="2" t="s">
        <v>203</v>
      </c>
      <c r="AP112" s="2" t="s">
        <v>427</v>
      </c>
      <c r="AQ112" s="2" t="s">
        <v>524</v>
      </c>
      <c r="AR112" s="2" t="s">
        <v>544</v>
      </c>
      <c r="AS112" s="2" t="s">
        <v>579</v>
      </c>
      <c r="AT112" s="2" t="s">
        <v>580</v>
      </c>
      <c r="AV112" s="2">
        <f t="array" ref="AV112">IF($A112="","",IF(INDEX($A112:$AT112,1,MAP!$B$3)=CurrentSeason,1,0))</f>
        <v>0</v>
      </c>
      <c r="AW112" s="2" t="str">
        <f t="shared" si="1"/>
        <v/>
      </c>
    </row>
    <row r="113" ht="15.0" customHeight="1">
      <c r="A113" s="2" t="s">
        <v>812</v>
      </c>
      <c r="B113" s="2">
        <v>2025.0</v>
      </c>
      <c r="C113" s="2" t="s">
        <v>390</v>
      </c>
      <c r="D113" s="2">
        <v>7.0</v>
      </c>
      <c r="E113" s="2" t="s">
        <v>810</v>
      </c>
      <c r="F113" s="2" t="s">
        <v>549</v>
      </c>
      <c r="G113" s="2" t="s">
        <v>621</v>
      </c>
      <c r="H113" s="2" t="s">
        <v>140</v>
      </c>
      <c r="I113" s="2">
        <v>19.0</v>
      </c>
      <c r="J113" s="2" t="s">
        <v>149</v>
      </c>
      <c r="K113" s="2">
        <v>27.0</v>
      </c>
      <c r="L113" s="2" t="s">
        <v>77</v>
      </c>
      <c r="M113" s="2">
        <v>8.0</v>
      </c>
      <c r="N113" s="2">
        <v>46.0</v>
      </c>
      <c r="O113" s="2">
        <v>0.0</v>
      </c>
      <c r="P113" s="2">
        <v>2.025102001E9</v>
      </c>
      <c r="Q113" s="2">
        <v>59950.0</v>
      </c>
      <c r="S113" s="2" t="s">
        <v>813</v>
      </c>
      <c r="T113" s="2">
        <v>28525.0</v>
      </c>
      <c r="U113" s="2">
        <v>4.01772826E8</v>
      </c>
      <c r="V113" s="2">
        <v>6840.0</v>
      </c>
      <c r="W113" s="2">
        <v>15.0</v>
      </c>
      <c r="X113" s="2">
        <v>8.0</v>
      </c>
      <c r="Y113" s="2">
        <v>140.0</v>
      </c>
      <c r="Z113" s="2">
        <v>-166.0</v>
      </c>
      <c r="AA113" s="2">
        <v>3.0</v>
      </c>
      <c r="AB113" s="2">
        <v>-110.0</v>
      </c>
      <c r="AC113" s="2">
        <v>-110.0</v>
      </c>
      <c r="AD113" s="2">
        <v>41.5</v>
      </c>
      <c r="AE113" s="2">
        <v>-110.0</v>
      </c>
      <c r="AF113" s="2">
        <v>-110.0</v>
      </c>
      <c r="AG113" s="2">
        <v>0.0</v>
      </c>
      <c r="AH113" s="2" t="s">
        <v>395</v>
      </c>
      <c r="AI113" s="2" t="s">
        <v>423</v>
      </c>
      <c r="AJ113" s="2">
        <v>56.0</v>
      </c>
      <c r="AK113" s="2">
        <v>5.0</v>
      </c>
      <c r="AL113" s="2" t="s">
        <v>532</v>
      </c>
      <c r="AM113" s="2" t="s">
        <v>513</v>
      </c>
      <c r="AN113" s="2" t="s">
        <v>208</v>
      </c>
      <c r="AO113" s="2" t="s">
        <v>245</v>
      </c>
      <c r="AP113" s="2" t="s">
        <v>534</v>
      </c>
      <c r="AQ113" s="2" t="s">
        <v>515</v>
      </c>
      <c r="AR113" s="2" t="s">
        <v>414</v>
      </c>
      <c r="AS113" s="2" t="s">
        <v>517</v>
      </c>
      <c r="AT113" s="2" t="s">
        <v>518</v>
      </c>
      <c r="AV113" s="2">
        <f t="array" ref="AV113">IF($A113="","",IF(INDEX($A113:$AT113,1,MAP!$B$3)=CurrentSeason,1,0))</f>
        <v>0</v>
      </c>
      <c r="AW113" s="2" t="str">
        <f t="shared" si="1"/>
        <v/>
      </c>
    </row>
    <row r="114" ht="15.0" customHeight="1">
      <c r="A114" s="2" t="s">
        <v>814</v>
      </c>
      <c r="B114" s="2">
        <v>2025.0</v>
      </c>
      <c r="C114" s="2" t="s">
        <v>390</v>
      </c>
      <c r="D114" s="2">
        <v>8.0</v>
      </c>
      <c r="E114" s="2" t="s">
        <v>815</v>
      </c>
      <c r="F114" s="2" t="s">
        <v>392</v>
      </c>
      <c r="G114" s="2" t="s">
        <v>550</v>
      </c>
      <c r="H114" s="2" t="s">
        <v>144</v>
      </c>
      <c r="I114" s="2">
        <v>10.0</v>
      </c>
      <c r="J114" s="2" t="s">
        <v>220</v>
      </c>
      <c r="K114" s="2">
        <v>37.0</v>
      </c>
      <c r="L114" s="2" t="s">
        <v>77</v>
      </c>
      <c r="M114" s="2">
        <v>27.0</v>
      </c>
      <c r="N114" s="2">
        <v>47.0</v>
      </c>
      <c r="O114" s="2">
        <v>0.0</v>
      </c>
      <c r="P114" s="2">
        <v>2.0251023E9</v>
      </c>
      <c r="Q114" s="2">
        <v>59951.0</v>
      </c>
      <c r="S114" s="2" t="s">
        <v>816</v>
      </c>
      <c r="T114" s="2">
        <v>28526.0</v>
      </c>
      <c r="U114" s="2">
        <v>4.01772942E8</v>
      </c>
      <c r="V114" s="2">
        <v>6842.0</v>
      </c>
      <c r="W114" s="2">
        <v>4.0</v>
      </c>
      <c r="X114" s="2">
        <v>4.0</v>
      </c>
      <c r="Y114" s="2">
        <v>142.0</v>
      </c>
      <c r="Z114" s="2">
        <v>-170.0</v>
      </c>
      <c r="AA114" s="2">
        <v>3.0</v>
      </c>
      <c r="AB114" s="2">
        <v>100.0</v>
      </c>
      <c r="AC114" s="2">
        <v>-120.0</v>
      </c>
      <c r="AD114" s="2">
        <v>45.5</v>
      </c>
      <c r="AE114" s="2">
        <v>-110.0</v>
      </c>
      <c r="AF114" s="2">
        <v>-110.0</v>
      </c>
      <c r="AG114" s="2">
        <v>0.0</v>
      </c>
      <c r="AH114" s="2" t="s">
        <v>409</v>
      </c>
      <c r="AI114" s="2" t="s">
        <v>531</v>
      </c>
      <c r="AL114" s="2" t="s">
        <v>640</v>
      </c>
      <c r="AM114" s="2" t="s">
        <v>411</v>
      </c>
      <c r="AN114" s="2" t="s">
        <v>642</v>
      </c>
      <c r="AO114" s="2" t="s">
        <v>221</v>
      </c>
      <c r="AP114" s="2" t="s">
        <v>555</v>
      </c>
      <c r="AQ114" s="2" t="s">
        <v>413</v>
      </c>
      <c r="AR114" s="2" t="s">
        <v>526</v>
      </c>
      <c r="AS114" s="2" t="s">
        <v>415</v>
      </c>
      <c r="AT114" s="2" t="s">
        <v>416</v>
      </c>
      <c r="AV114" s="2">
        <f t="array" ref="AV114">IF($A114="","",IF(INDEX($A114:$AT114,1,MAP!$B$3)=CurrentSeason,1,0))</f>
        <v>0</v>
      </c>
      <c r="AW114" s="2" t="str">
        <f t="shared" si="1"/>
        <v/>
      </c>
    </row>
    <row r="115" ht="15.0" customHeight="1">
      <c r="A115" s="2" t="s">
        <v>817</v>
      </c>
      <c r="B115" s="2">
        <v>2025.0</v>
      </c>
      <c r="C115" s="2" t="s">
        <v>390</v>
      </c>
      <c r="D115" s="2">
        <v>8.0</v>
      </c>
      <c r="E115" s="2" t="s">
        <v>818</v>
      </c>
      <c r="F115" s="2" t="s">
        <v>419</v>
      </c>
      <c r="G115" s="2" t="s">
        <v>420</v>
      </c>
      <c r="H115" s="2" t="s">
        <v>225</v>
      </c>
      <c r="I115" s="2">
        <v>34.0</v>
      </c>
      <c r="J115" s="2" t="s">
        <v>132</v>
      </c>
      <c r="K115" s="2">
        <v>10.0</v>
      </c>
      <c r="L115" s="2" t="s">
        <v>77</v>
      </c>
      <c r="M115" s="2">
        <v>-24.0</v>
      </c>
      <c r="N115" s="2">
        <v>44.0</v>
      </c>
      <c r="O115" s="2">
        <v>0.0</v>
      </c>
      <c r="P115" s="2">
        <v>2.0251026E9</v>
      </c>
      <c r="Q115" s="2">
        <v>59952.0</v>
      </c>
      <c r="S115" s="2" t="s">
        <v>819</v>
      </c>
      <c r="T115" s="2">
        <v>28527.0</v>
      </c>
      <c r="U115" s="2">
        <v>4.0177276E8</v>
      </c>
      <c r="V115" s="2">
        <v>6843.0</v>
      </c>
      <c r="W115" s="2">
        <v>7.0</v>
      </c>
      <c r="X115" s="2">
        <v>7.0</v>
      </c>
      <c r="Y115" s="2">
        <v>280.0</v>
      </c>
      <c r="Z115" s="2">
        <v>-355.0</v>
      </c>
      <c r="AA115" s="2">
        <v>7.0</v>
      </c>
      <c r="AB115" s="2">
        <v>-115.0</v>
      </c>
      <c r="AC115" s="2">
        <v>-105.0</v>
      </c>
      <c r="AD115" s="2">
        <v>44.5</v>
      </c>
      <c r="AE115" s="2">
        <v>-115.0</v>
      </c>
      <c r="AF115" s="2">
        <v>-105.0</v>
      </c>
      <c r="AG115" s="2">
        <v>0.0</v>
      </c>
      <c r="AH115" s="2" t="s">
        <v>422</v>
      </c>
      <c r="AI115" s="2" t="s">
        <v>423</v>
      </c>
      <c r="AL115" s="2" t="s">
        <v>444</v>
      </c>
      <c r="AM115" s="2" t="s">
        <v>820</v>
      </c>
      <c r="AN115" s="2" t="s">
        <v>182</v>
      </c>
      <c r="AO115" s="2" t="s">
        <v>821</v>
      </c>
      <c r="AP115" s="2" t="s">
        <v>446</v>
      </c>
      <c r="AQ115" s="2" t="s">
        <v>428</v>
      </c>
      <c r="AR115" s="2" t="s">
        <v>544</v>
      </c>
      <c r="AS115" s="2" t="s">
        <v>430</v>
      </c>
      <c r="AT115" s="2" t="s">
        <v>431</v>
      </c>
      <c r="AV115" s="2">
        <f t="array" ref="AV115">IF($A115="","",IF(INDEX($A115:$AT115,1,MAP!$B$3)=CurrentSeason,1,0))</f>
        <v>0</v>
      </c>
      <c r="AW115" s="2" t="str">
        <f t="shared" si="1"/>
        <v/>
      </c>
    </row>
    <row r="116" ht="15.0" customHeight="1">
      <c r="A116" s="2" t="s">
        <v>822</v>
      </c>
      <c r="B116" s="2">
        <v>2025.0</v>
      </c>
      <c r="C116" s="2" t="s">
        <v>390</v>
      </c>
      <c r="D116" s="2">
        <v>8.0</v>
      </c>
      <c r="E116" s="2" t="s">
        <v>818</v>
      </c>
      <c r="F116" s="2" t="s">
        <v>419</v>
      </c>
      <c r="G116" s="2" t="s">
        <v>420</v>
      </c>
      <c r="H116" s="2" t="s">
        <v>137</v>
      </c>
      <c r="I116" s="2">
        <v>16.0</v>
      </c>
      <c r="J116" s="2" t="s">
        <v>148</v>
      </c>
      <c r="K116" s="2">
        <v>30.0</v>
      </c>
      <c r="L116" s="2" t="s">
        <v>77</v>
      </c>
      <c r="M116" s="2">
        <v>14.0</v>
      </c>
      <c r="N116" s="2">
        <v>46.0</v>
      </c>
      <c r="O116" s="2">
        <v>0.0</v>
      </c>
      <c r="P116" s="2">
        <v>2.025102601E9</v>
      </c>
      <c r="Q116" s="2">
        <v>59953.0</v>
      </c>
      <c r="S116" s="2" t="s">
        <v>823</v>
      </c>
      <c r="T116" s="2">
        <v>28528.0</v>
      </c>
      <c r="U116" s="2">
        <v>4.01772759E8</v>
      </c>
      <c r="V116" s="2">
        <v>6844.0</v>
      </c>
      <c r="W116" s="2">
        <v>7.0</v>
      </c>
      <c r="X116" s="2">
        <v>14.0</v>
      </c>
      <c r="Y116" s="2">
        <v>124.0</v>
      </c>
      <c r="Z116" s="2">
        <v>-148.0</v>
      </c>
      <c r="AA116" s="2">
        <v>2.5</v>
      </c>
      <c r="AB116" s="2">
        <v>-102.0</v>
      </c>
      <c r="AC116" s="2">
        <v>-118.0</v>
      </c>
      <c r="AD116" s="2">
        <v>45.5</v>
      </c>
      <c r="AE116" s="2">
        <v>-112.0</v>
      </c>
      <c r="AF116" s="2">
        <v>-108.0</v>
      </c>
      <c r="AG116" s="2">
        <v>0.0</v>
      </c>
      <c r="AH116" s="2" t="s">
        <v>395</v>
      </c>
      <c r="AI116" s="2" t="s">
        <v>396</v>
      </c>
      <c r="AJ116" s="2">
        <v>60.0</v>
      </c>
      <c r="AK116" s="2">
        <v>2.0</v>
      </c>
      <c r="AL116" s="2" t="s">
        <v>553</v>
      </c>
      <c r="AM116" s="2" t="s">
        <v>824</v>
      </c>
      <c r="AN116" s="2" t="s">
        <v>192</v>
      </c>
      <c r="AO116" s="2" t="s">
        <v>825</v>
      </c>
      <c r="AP116" s="2" t="s">
        <v>556</v>
      </c>
      <c r="AQ116" s="2" t="s">
        <v>542</v>
      </c>
      <c r="AR116" s="2" t="s">
        <v>401</v>
      </c>
      <c r="AS116" s="2" t="s">
        <v>567</v>
      </c>
      <c r="AT116" s="2" t="s">
        <v>568</v>
      </c>
      <c r="AV116" s="2">
        <f t="array" ref="AV116">IF($A116="","",IF(INDEX($A116:$AT116,1,MAP!$B$3)=CurrentSeason,1,0))</f>
        <v>0</v>
      </c>
      <c r="AW116" s="2" t="str">
        <f t="shared" si="1"/>
        <v/>
      </c>
    </row>
    <row r="117" ht="15.0" customHeight="1">
      <c r="A117" s="2" t="s">
        <v>826</v>
      </c>
      <c r="B117" s="2">
        <v>2025.0</v>
      </c>
      <c r="C117" s="2" t="s">
        <v>390</v>
      </c>
      <c r="D117" s="2">
        <v>8.0</v>
      </c>
      <c r="E117" s="2" t="s">
        <v>818</v>
      </c>
      <c r="F117" s="2" t="s">
        <v>419</v>
      </c>
      <c r="G117" s="2" t="s">
        <v>420</v>
      </c>
      <c r="H117" s="2" t="s">
        <v>136</v>
      </c>
      <c r="I117" s="2">
        <v>40.0</v>
      </c>
      <c r="J117" s="2" t="s">
        <v>189</v>
      </c>
      <c r="K117" s="2">
        <v>9.0</v>
      </c>
      <c r="L117" s="2" t="s">
        <v>77</v>
      </c>
      <c r="M117" s="2">
        <v>-31.0</v>
      </c>
      <c r="N117" s="2">
        <v>49.0</v>
      </c>
      <c r="O117" s="2">
        <v>0.0</v>
      </c>
      <c r="P117" s="2">
        <v>2.025102602E9</v>
      </c>
      <c r="Q117" s="2">
        <v>59954.0</v>
      </c>
      <c r="S117" s="2" t="s">
        <v>827</v>
      </c>
      <c r="T117" s="2">
        <v>28529.0</v>
      </c>
      <c r="U117" s="2">
        <v>4.01772865E8</v>
      </c>
      <c r="V117" s="2">
        <v>6845.0</v>
      </c>
      <c r="W117" s="2">
        <v>13.0</v>
      </c>
      <c r="X117" s="2">
        <v>7.0</v>
      </c>
      <c r="Y117" s="2">
        <v>-395.0</v>
      </c>
      <c r="Z117" s="2">
        <v>310.0</v>
      </c>
      <c r="AA117" s="2">
        <v>-7.0</v>
      </c>
      <c r="AB117" s="2">
        <v>-115.0</v>
      </c>
      <c r="AC117" s="2">
        <v>-105.0</v>
      </c>
      <c r="AD117" s="2">
        <v>47.5</v>
      </c>
      <c r="AE117" s="2">
        <v>-108.0</v>
      </c>
      <c r="AF117" s="2">
        <v>-112.0</v>
      </c>
      <c r="AG117" s="2">
        <v>0.0</v>
      </c>
      <c r="AH117" s="2" t="s">
        <v>395</v>
      </c>
      <c r="AI117" s="2" t="s">
        <v>396</v>
      </c>
      <c r="AJ117" s="2">
        <v>63.0</v>
      </c>
      <c r="AK117" s="2">
        <v>9.0</v>
      </c>
      <c r="AL117" s="2" t="s">
        <v>541</v>
      </c>
      <c r="AM117" s="2" t="s">
        <v>453</v>
      </c>
      <c r="AN117" s="2" t="s">
        <v>187</v>
      </c>
      <c r="AO117" s="2" t="s">
        <v>190</v>
      </c>
      <c r="AP117" s="2" t="s">
        <v>543</v>
      </c>
      <c r="AQ117" s="2" t="s">
        <v>455</v>
      </c>
      <c r="AR117" s="2" t="s">
        <v>536</v>
      </c>
      <c r="AS117" s="2" t="s">
        <v>631</v>
      </c>
      <c r="AT117" s="2" t="s">
        <v>632</v>
      </c>
      <c r="AV117" s="2">
        <f t="array" ref="AV117">IF($A117="","",IF(INDEX($A117:$AT117,1,MAP!$B$3)=CurrentSeason,1,0))</f>
        <v>0</v>
      </c>
      <c r="AW117" s="2" t="str">
        <f t="shared" si="1"/>
        <v/>
      </c>
    </row>
    <row r="118" ht="15.0" customHeight="1">
      <c r="A118" s="2" t="s">
        <v>828</v>
      </c>
      <c r="B118" s="2">
        <v>2025.0</v>
      </c>
      <c r="C118" s="2" t="s">
        <v>390</v>
      </c>
      <c r="D118" s="2">
        <v>8.0</v>
      </c>
      <c r="E118" s="2" t="s">
        <v>818</v>
      </c>
      <c r="F118" s="2" t="s">
        <v>419</v>
      </c>
      <c r="G118" s="2" t="s">
        <v>420</v>
      </c>
      <c r="H118" s="2" t="s">
        <v>238</v>
      </c>
      <c r="I118" s="2">
        <v>39.0</v>
      </c>
      <c r="J118" s="2" t="s">
        <v>138</v>
      </c>
      <c r="K118" s="2">
        <v>38.0</v>
      </c>
      <c r="L118" s="2" t="s">
        <v>77</v>
      </c>
      <c r="M118" s="2">
        <v>-1.0</v>
      </c>
      <c r="N118" s="2">
        <v>77.0</v>
      </c>
      <c r="O118" s="2">
        <v>0.0</v>
      </c>
      <c r="P118" s="2">
        <v>2.025102603E9</v>
      </c>
      <c r="Q118" s="2">
        <v>59955.0</v>
      </c>
      <c r="S118" s="2" t="s">
        <v>829</v>
      </c>
      <c r="T118" s="2">
        <v>28530.0</v>
      </c>
      <c r="U118" s="2">
        <v>4.01772758E8</v>
      </c>
      <c r="V118" s="2">
        <v>6846.0</v>
      </c>
      <c r="W118" s="2">
        <v>7.0</v>
      </c>
      <c r="X118" s="2">
        <v>10.0</v>
      </c>
      <c r="Y118" s="2">
        <v>210.0</v>
      </c>
      <c r="Z118" s="2">
        <v>-258.0</v>
      </c>
      <c r="AA118" s="2">
        <v>5.5</v>
      </c>
      <c r="AB118" s="2">
        <v>-112.0</v>
      </c>
      <c r="AC118" s="2">
        <v>-108.0</v>
      </c>
      <c r="AD118" s="2">
        <v>43.5</v>
      </c>
      <c r="AE118" s="2">
        <v>-102.0</v>
      </c>
      <c r="AF118" s="2">
        <v>-118.0</v>
      </c>
      <c r="AG118" s="2">
        <v>0.0</v>
      </c>
      <c r="AH118" s="2" t="s">
        <v>395</v>
      </c>
      <c r="AI118" s="2" t="s">
        <v>423</v>
      </c>
      <c r="AJ118" s="2">
        <v>57.0</v>
      </c>
      <c r="AK118" s="2">
        <v>8.0</v>
      </c>
      <c r="AL118" s="2" t="s">
        <v>483</v>
      </c>
      <c r="AM118" s="2" t="s">
        <v>435</v>
      </c>
      <c r="AN118" s="2" t="s">
        <v>484</v>
      </c>
      <c r="AO118" s="2" t="s">
        <v>436</v>
      </c>
      <c r="AP118" s="2" t="s">
        <v>486</v>
      </c>
      <c r="AQ118" s="2" t="s">
        <v>437</v>
      </c>
      <c r="AR118" s="2" t="s">
        <v>477</v>
      </c>
      <c r="AS118" s="2" t="s">
        <v>571</v>
      </c>
      <c r="AT118" s="2" t="s">
        <v>572</v>
      </c>
      <c r="AV118" s="2">
        <f t="array" ref="AV118">IF($A118="","",IF(INDEX($A118:$AT118,1,MAP!$B$3)=CurrentSeason,1,0))</f>
        <v>0</v>
      </c>
      <c r="AW118" s="2" t="str">
        <f t="shared" si="1"/>
        <v/>
      </c>
    </row>
    <row r="119" ht="15.0" customHeight="1">
      <c r="A119" s="2" t="s">
        <v>830</v>
      </c>
      <c r="B119" s="2">
        <v>2025.0</v>
      </c>
      <c r="C119" s="2" t="s">
        <v>390</v>
      </c>
      <c r="D119" s="2">
        <v>8.0</v>
      </c>
      <c r="E119" s="2" t="s">
        <v>818</v>
      </c>
      <c r="F119" s="2" t="s">
        <v>419</v>
      </c>
      <c r="G119" s="2" t="s">
        <v>420</v>
      </c>
      <c r="H119" s="2" t="s">
        <v>246</v>
      </c>
      <c r="I119" s="2">
        <v>15.0</v>
      </c>
      <c r="J119" s="2" t="s">
        <v>140</v>
      </c>
      <c r="K119" s="2">
        <v>26.0</v>
      </c>
      <c r="L119" s="2" t="s">
        <v>77</v>
      </c>
      <c r="M119" s="2">
        <v>11.0</v>
      </c>
      <c r="N119" s="2">
        <v>41.0</v>
      </c>
      <c r="O119" s="2">
        <v>0.0</v>
      </c>
      <c r="P119" s="2">
        <v>2.025102604E9</v>
      </c>
      <c r="Q119" s="2">
        <v>59956.0</v>
      </c>
      <c r="S119" s="2" t="s">
        <v>831</v>
      </c>
      <c r="T119" s="2">
        <v>28531.0</v>
      </c>
      <c r="U119" s="2">
        <v>4.01772866E8</v>
      </c>
      <c r="V119" s="2">
        <v>6847.0</v>
      </c>
      <c r="W119" s="2">
        <v>7.0</v>
      </c>
      <c r="X119" s="2">
        <v>6.0</v>
      </c>
      <c r="Y119" s="2">
        <v>130.0</v>
      </c>
      <c r="Z119" s="2">
        <v>-155.0</v>
      </c>
      <c r="AA119" s="2">
        <v>2.5</v>
      </c>
      <c r="AB119" s="2">
        <v>100.0</v>
      </c>
      <c r="AC119" s="2">
        <v>-120.0</v>
      </c>
      <c r="AD119" s="2">
        <v>41.5</v>
      </c>
      <c r="AE119" s="2">
        <v>-112.0</v>
      </c>
      <c r="AF119" s="2">
        <v>-108.0</v>
      </c>
      <c r="AG119" s="2">
        <v>0.0</v>
      </c>
      <c r="AH119" s="2" t="s">
        <v>422</v>
      </c>
      <c r="AI119" s="2" t="s">
        <v>617</v>
      </c>
      <c r="AL119" s="2" t="s">
        <v>587</v>
      </c>
      <c r="AM119" s="2" t="s">
        <v>532</v>
      </c>
      <c r="AN119" s="2" t="s">
        <v>588</v>
      </c>
      <c r="AO119" s="2" t="s">
        <v>208</v>
      </c>
      <c r="AP119" s="2" t="s">
        <v>514</v>
      </c>
      <c r="AQ119" s="2" t="s">
        <v>534</v>
      </c>
      <c r="AR119" s="2" t="s">
        <v>557</v>
      </c>
      <c r="AS119" s="2" t="s">
        <v>618</v>
      </c>
      <c r="AT119" s="2" t="s">
        <v>619</v>
      </c>
      <c r="AV119" s="2">
        <f t="array" ref="AV119">IF($A119="","",IF(INDEX($A119:$AT119,1,MAP!$B$3)=CurrentSeason,1,0))</f>
        <v>0</v>
      </c>
      <c r="AW119" s="2" t="str">
        <f t="shared" si="1"/>
        <v/>
      </c>
    </row>
    <row r="120" ht="15.0" customHeight="1">
      <c r="A120" s="2" t="s">
        <v>832</v>
      </c>
      <c r="B120" s="2">
        <v>2025.0</v>
      </c>
      <c r="C120" s="2" t="s">
        <v>390</v>
      </c>
      <c r="D120" s="2">
        <v>8.0</v>
      </c>
      <c r="E120" s="2" t="s">
        <v>818</v>
      </c>
      <c r="F120" s="2" t="s">
        <v>419</v>
      </c>
      <c r="G120" s="2" t="s">
        <v>420</v>
      </c>
      <c r="H120" s="2" t="s">
        <v>196</v>
      </c>
      <c r="I120" s="2">
        <v>13.0</v>
      </c>
      <c r="J120" s="2" t="s">
        <v>145</v>
      </c>
      <c r="K120" s="2">
        <v>32.0</v>
      </c>
      <c r="L120" s="2" t="s">
        <v>77</v>
      </c>
      <c r="M120" s="2">
        <v>19.0</v>
      </c>
      <c r="N120" s="2">
        <v>45.0</v>
      </c>
      <c r="O120" s="2">
        <v>0.0</v>
      </c>
      <c r="P120" s="2">
        <v>2.025102605E9</v>
      </c>
      <c r="Q120" s="2">
        <v>59957.0</v>
      </c>
      <c r="S120" s="2" t="s">
        <v>833</v>
      </c>
      <c r="T120" s="2">
        <v>28532.0</v>
      </c>
      <c r="U120" s="2">
        <v>4.01772868E8</v>
      </c>
      <c r="V120" s="2">
        <v>6848.0</v>
      </c>
      <c r="W120" s="2">
        <v>7.0</v>
      </c>
      <c r="X120" s="2">
        <v>7.0</v>
      </c>
      <c r="Y120" s="2">
        <v>300.0</v>
      </c>
      <c r="Z120" s="2">
        <v>-380.0</v>
      </c>
      <c r="AA120" s="2">
        <v>7.0</v>
      </c>
      <c r="AB120" s="2">
        <v>-115.0</v>
      </c>
      <c r="AC120" s="2">
        <v>-105.0</v>
      </c>
      <c r="AD120" s="2">
        <v>40.5</v>
      </c>
      <c r="AE120" s="2">
        <v>-115.0</v>
      </c>
      <c r="AF120" s="2">
        <v>-105.0</v>
      </c>
      <c r="AG120" s="2">
        <v>0.0</v>
      </c>
      <c r="AH120" s="2" t="s">
        <v>395</v>
      </c>
      <c r="AI120" s="2" t="s">
        <v>423</v>
      </c>
      <c r="AJ120" s="2">
        <v>53.0</v>
      </c>
      <c r="AK120" s="2">
        <v>7.0</v>
      </c>
      <c r="AL120" s="2" t="s">
        <v>718</v>
      </c>
      <c r="AM120" s="2" t="s">
        <v>463</v>
      </c>
      <c r="AN120" s="2" t="s">
        <v>719</v>
      </c>
      <c r="AO120" s="2" t="s">
        <v>230</v>
      </c>
      <c r="AP120" s="2" t="s">
        <v>438</v>
      </c>
      <c r="AQ120" s="2" t="s">
        <v>465</v>
      </c>
      <c r="AR120" s="2" t="s">
        <v>457</v>
      </c>
      <c r="AS120" s="2" t="s">
        <v>467</v>
      </c>
      <c r="AT120" s="2" t="s">
        <v>468</v>
      </c>
      <c r="AV120" s="2">
        <f t="array" ref="AV120">IF($A120="","",IF(INDEX($A120:$AT120,1,MAP!$B$3)=CurrentSeason,1,0))</f>
        <v>0</v>
      </c>
      <c r="AW120" s="2" t="str">
        <f t="shared" si="1"/>
        <v/>
      </c>
    </row>
    <row r="121" ht="15.0" customHeight="1">
      <c r="A121" s="2" t="s">
        <v>834</v>
      </c>
      <c r="B121" s="2">
        <v>2025.0</v>
      </c>
      <c r="C121" s="2" t="s">
        <v>390</v>
      </c>
      <c r="D121" s="2">
        <v>8.0</v>
      </c>
      <c r="E121" s="2" t="s">
        <v>818</v>
      </c>
      <c r="F121" s="2" t="s">
        <v>419</v>
      </c>
      <c r="G121" s="2" t="s">
        <v>420</v>
      </c>
      <c r="H121" s="2" t="s">
        <v>235</v>
      </c>
      <c r="I121" s="2">
        <v>20.0</v>
      </c>
      <c r="J121" s="2" t="s">
        <v>147</v>
      </c>
      <c r="K121" s="2">
        <v>38.0</v>
      </c>
      <c r="L121" s="2" t="s">
        <v>77</v>
      </c>
      <c r="M121" s="2">
        <v>18.0</v>
      </c>
      <c r="N121" s="2">
        <v>58.0</v>
      </c>
      <c r="O121" s="2">
        <v>0.0</v>
      </c>
      <c r="P121" s="2">
        <v>2.025102606E9</v>
      </c>
      <c r="Q121" s="2">
        <v>59958.0</v>
      </c>
      <c r="S121" s="2" t="s">
        <v>835</v>
      </c>
      <c r="T121" s="2">
        <v>28533.0</v>
      </c>
      <c r="U121" s="2">
        <v>4.01772867E8</v>
      </c>
      <c r="V121" s="2">
        <v>6849.0</v>
      </c>
      <c r="W121" s="2">
        <v>7.0</v>
      </c>
      <c r="X121" s="2">
        <v>7.0</v>
      </c>
      <c r="Y121" s="2">
        <v>300.0</v>
      </c>
      <c r="Z121" s="2">
        <v>-380.0</v>
      </c>
      <c r="AA121" s="2">
        <v>7.0</v>
      </c>
      <c r="AB121" s="2">
        <v>-102.0</v>
      </c>
      <c r="AC121" s="2">
        <v>-118.0</v>
      </c>
      <c r="AD121" s="2">
        <v>43.5</v>
      </c>
      <c r="AE121" s="2">
        <v>-108.0</v>
      </c>
      <c r="AF121" s="2">
        <v>-112.0</v>
      </c>
      <c r="AG121" s="2">
        <v>1.0</v>
      </c>
      <c r="AH121" s="2" t="s">
        <v>395</v>
      </c>
      <c r="AI121" s="2" t="s">
        <v>396</v>
      </c>
      <c r="AJ121" s="2">
        <v>60.0</v>
      </c>
      <c r="AK121" s="2">
        <v>4.0</v>
      </c>
      <c r="AL121" s="2" t="s">
        <v>693</v>
      </c>
      <c r="AM121" s="2" t="s">
        <v>398</v>
      </c>
      <c r="AN121" s="2" t="s">
        <v>236</v>
      </c>
      <c r="AO121" s="2" t="s">
        <v>241</v>
      </c>
      <c r="AP121" s="2" t="s">
        <v>495</v>
      </c>
      <c r="AQ121" s="2" t="s">
        <v>400</v>
      </c>
      <c r="AR121" s="2" t="s">
        <v>563</v>
      </c>
      <c r="AS121" s="2" t="s">
        <v>402</v>
      </c>
      <c r="AT121" s="2" t="s">
        <v>403</v>
      </c>
      <c r="AV121" s="2">
        <f t="array" ref="AV121">IF($A121="","",IF(INDEX($A121:$AT121,1,MAP!$B$3)=CurrentSeason,1,0))</f>
        <v>0</v>
      </c>
      <c r="AW121" s="2" t="str">
        <f t="shared" si="1"/>
        <v/>
      </c>
    </row>
    <row r="122" ht="15.0" customHeight="1">
      <c r="A122" s="2" t="s">
        <v>836</v>
      </c>
      <c r="B122" s="2">
        <v>2025.0</v>
      </c>
      <c r="C122" s="2" t="s">
        <v>390</v>
      </c>
      <c r="D122" s="2">
        <v>8.0</v>
      </c>
      <c r="E122" s="2" t="s">
        <v>818</v>
      </c>
      <c r="F122" s="2" t="s">
        <v>419</v>
      </c>
      <c r="G122" s="2" t="s">
        <v>501</v>
      </c>
      <c r="H122" s="2" t="s">
        <v>150</v>
      </c>
      <c r="I122" s="2">
        <v>23.0</v>
      </c>
      <c r="J122" s="2" t="s">
        <v>232</v>
      </c>
      <c r="K122" s="2">
        <v>3.0</v>
      </c>
      <c r="L122" s="2" t="s">
        <v>77</v>
      </c>
      <c r="M122" s="2">
        <v>-20.0</v>
      </c>
      <c r="N122" s="2">
        <v>26.0</v>
      </c>
      <c r="O122" s="2">
        <v>0.0</v>
      </c>
      <c r="P122" s="2">
        <v>2.025102607E9</v>
      </c>
      <c r="Q122" s="2">
        <v>59959.0</v>
      </c>
      <c r="S122" s="2" t="s">
        <v>837</v>
      </c>
      <c r="T122" s="2">
        <v>28534.0</v>
      </c>
      <c r="U122" s="2">
        <v>4.01772869E8</v>
      </c>
      <c r="V122" s="2">
        <v>6850.0</v>
      </c>
      <c r="W122" s="2">
        <v>6.0</v>
      </c>
      <c r="X122" s="2">
        <v>7.0</v>
      </c>
      <c r="Y122" s="2">
        <v>-218.0</v>
      </c>
      <c r="Z122" s="2">
        <v>180.0</v>
      </c>
      <c r="AA122" s="2">
        <v>-4.5</v>
      </c>
      <c r="AB122" s="2">
        <v>-105.0</v>
      </c>
      <c r="AC122" s="2">
        <v>-115.0</v>
      </c>
      <c r="AD122" s="2">
        <v>46.5</v>
      </c>
      <c r="AE122" s="2">
        <v>-110.0</v>
      </c>
      <c r="AF122" s="2">
        <v>-110.0</v>
      </c>
      <c r="AG122" s="2">
        <v>1.0</v>
      </c>
      <c r="AH122" s="2" t="s">
        <v>409</v>
      </c>
      <c r="AI122" s="2" t="s">
        <v>471</v>
      </c>
      <c r="AL122" s="2" t="s">
        <v>424</v>
      </c>
      <c r="AM122" s="2" t="s">
        <v>473</v>
      </c>
      <c r="AN122" s="2" t="s">
        <v>248</v>
      </c>
      <c r="AO122" s="2" t="s">
        <v>474</v>
      </c>
      <c r="AP122" s="2" t="s">
        <v>427</v>
      </c>
      <c r="AQ122" s="2" t="s">
        <v>476</v>
      </c>
      <c r="AR122" s="2" t="s">
        <v>466</v>
      </c>
      <c r="AS122" s="2" t="s">
        <v>478</v>
      </c>
      <c r="AT122" s="2" t="s">
        <v>479</v>
      </c>
      <c r="AV122" s="2">
        <f t="array" ref="AV122">IF($A122="","",IF(INDEX($A122:$AT122,1,MAP!$B$3)=CurrentSeason,1,0))</f>
        <v>0</v>
      </c>
      <c r="AW122" s="2" t="str">
        <f t="shared" si="1"/>
        <v/>
      </c>
    </row>
    <row r="123" ht="15.0" customHeight="1">
      <c r="A123" s="2" t="s">
        <v>838</v>
      </c>
      <c r="B123" s="2">
        <v>2025.0</v>
      </c>
      <c r="C123" s="2" t="s">
        <v>390</v>
      </c>
      <c r="D123" s="2">
        <v>8.0</v>
      </c>
      <c r="E123" s="2" t="s">
        <v>818</v>
      </c>
      <c r="F123" s="2" t="s">
        <v>419</v>
      </c>
      <c r="G123" s="2" t="s">
        <v>520</v>
      </c>
      <c r="H123" s="2" t="s">
        <v>146</v>
      </c>
      <c r="I123" s="2">
        <v>24.0</v>
      </c>
      <c r="J123" s="2" t="s">
        <v>139</v>
      </c>
      <c r="K123" s="2">
        <v>44.0</v>
      </c>
      <c r="L123" s="2" t="s">
        <v>77</v>
      </c>
      <c r="M123" s="2">
        <v>20.0</v>
      </c>
      <c r="N123" s="2">
        <v>68.0</v>
      </c>
      <c r="O123" s="2">
        <v>0.0</v>
      </c>
      <c r="P123" s="2">
        <v>2.025102608E9</v>
      </c>
      <c r="Q123" s="2">
        <v>59960.0</v>
      </c>
      <c r="S123" s="2" t="s">
        <v>839</v>
      </c>
      <c r="T123" s="2">
        <v>28535.0</v>
      </c>
      <c r="U123" s="2">
        <v>4.01772762E8</v>
      </c>
      <c r="V123" s="2">
        <v>6851.0</v>
      </c>
      <c r="W123" s="2">
        <v>7.0</v>
      </c>
      <c r="X123" s="2">
        <v>7.0</v>
      </c>
      <c r="Y123" s="2">
        <v>160.0</v>
      </c>
      <c r="Z123" s="2">
        <v>-192.0</v>
      </c>
      <c r="AA123" s="2">
        <v>3.5</v>
      </c>
      <c r="AB123" s="2">
        <v>-110.0</v>
      </c>
      <c r="AC123" s="2">
        <v>-110.0</v>
      </c>
      <c r="AD123" s="2">
        <v>51.5</v>
      </c>
      <c r="AE123" s="2">
        <v>-110.0</v>
      </c>
      <c r="AF123" s="2">
        <v>-110.0</v>
      </c>
      <c r="AG123" s="2">
        <v>0.0</v>
      </c>
      <c r="AH123" s="2" t="s">
        <v>395</v>
      </c>
      <c r="AI123" s="2" t="s">
        <v>396</v>
      </c>
      <c r="AJ123" s="2">
        <v>67.0</v>
      </c>
      <c r="AK123" s="2">
        <v>4.0</v>
      </c>
      <c r="AL123" s="2" t="s">
        <v>397</v>
      </c>
      <c r="AM123" s="2" t="s">
        <v>504</v>
      </c>
      <c r="AN123" s="2" t="s">
        <v>199</v>
      </c>
      <c r="AO123" s="2" t="s">
        <v>201</v>
      </c>
      <c r="AP123" s="2" t="s">
        <v>399</v>
      </c>
      <c r="AQ123" s="2" t="s">
        <v>506</v>
      </c>
      <c r="AR123" s="2" t="s">
        <v>414</v>
      </c>
      <c r="AS123" s="2" t="s">
        <v>508</v>
      </c>
      <c r="AT123" s="2" t="s">
        <v>509</v>
      </c>
      <c r="AV123" s="2">
        <f t="array" ref="AV123">IF($A123="","",IF(INDEX($A123:$AT123,1,MAP!$B$3)=CurrentSeason,1,0))</f>
        <v>0</v>
      </c>
      <c r="AW123" s="2" t="str">
        <f t="shared" si="1"/>
        <v/>
      </c>
    </row>
    <row r="124" ht="15.0" customHeight="1">
      <c r="A124" s="2" t="s">
        <v>840</v>
      </c>
      <c r="B124" s="2">
        <v>2025.0</v>
      </c>
      <c r="C124" s="2" t="s">
        <v>390</v>
      </c>
      <c r="D124" s="2">
        <v>8.0</v>
      </c>
      <c r="E124" s="2" t="s">
        <v>818</v>
      </c>
      <c r="F124" s="2" t="s">
        <v>419</v>
      </c>
      <c r="G124" s="2" t="s">
        <v>520</v>
      </c>
      <c r="H124" s="2" t="s">
        <v>250</v>
      </c>
      <c r="I124" s="2">
        <v>14.0</v>
      </c>
      <c r="J124" s="2" t="s">
        <v>210</v>
      </c>
      <c r="K124" s="2">
        <v>38.0</v>
      </c>
      <c r="L124" s="2" t="s">
        <v>77</v>
      </c>
      <c r="M124" s="2">
        <v>24.0</v>
      </c>
      <c r="N124" s="2">
        <v>52.0</v>
      </c>
      <c r="O124" s="2">
        <v>0.0</v>
      </c>
      <c r="P124" s="2">
        <v>2.025102609E9</v>
      </c>
      <c r="Q124" s="2">
        <v>59961.0</v>
      </c>
      <c r="S124" s="2" t="s">
        <v>841</v>
      </c>
      <c r="T124" s="2">
        <v>28536.0</v>
      </c>
      <c r="U124" s="2">
        <v>4.01772761E8</v>
      </c>
      <c r="V124" s="2">
        <v>6852.0</v>
      </c>
      <c r="W124" s="2">
        <v>7.0</v>
      </c>
      <c r="X124" s="2">
        <v>7.0</v>
      </c>
      <c r="Y124" s="2">
        <v>950.0</v>
      </c>
      <c r="Z124" s="2">
        <v>-1650.0</v>
      </c>
      <c r="AA124" s="2">
        <v>15.5</v>
      </c>
      <c r="AB124" s="2">
        <v>-115.0</v>
      </c>
      <c r="AC124" s="2">
        <v>-105.0</v>
      </c>
      <c r="AD124" s="2">
        <v>47.5</v>
      </c>
      <c r="AE124" s="2">
        <v>-102.0</v>
      </c>
      <c r="AF124" s="2">
        <v>-118.0</v>
      </c>
      <c r="AG124" s="2">
        <v>1.0</v>
      </c>
      <c r="AH124" s="2" t="s">
        <v>422</v>
      </c>
      <c r="AI124" s="2" t="s">
        <v>423</v>
      </c>
      <c r="AL124" s="2" t="s">
        <v>503</v>
      </c>
      <c r="AM124" s="2" t="s">
        <v>445</v>
      </c>
      <c r="AN124" s="2" t="s">
        <v>251</v>
      </c>
      <c r="AO124" s="2" t="s">
        <v>211</v>
      </c>
      <c r="AP124" s="2" t="s">
        <v>505</v>
      </c>
      <c r="AQ124" s="2" t="s">
        <v>447</v>
      </c>
      <c r="AR124" s="2" t="s">
        <v>429</v>
      </c>
      <c r="AS124" s="2" t="s">
        <v>449</v>
      </c>
      <c r="AT124" s="2" t="s">
        <v>450</v>
      </c>
      <c r="AV124" s="2">
        <f t="array" ref="AV124">IF($A124="","",IF(INDEX($A124:$AT124,1,MAP!$B$3)=CurrentSeason,1,0))</f>
        <v>0</v>
      </c>
      <c r="AW124" s="2" t="str">
        <f t="shared" si="1"/>
        <v/>
      </c>
    </row>
    <row r="125" ht="15.0" customHeight="1">
      <c r="A125" s="2" t="s">
        <v>842</v>
      </c>
      <c r="B125" s="2">
        <v>2025.0</v>
      </c>
      <c r="C125" s="2" t="s">
        <v>390</v>
      </c>
      <c r="D125" s="2">
        <v>8.0</v>
      </c>
      <c r="E125" s="2" t="s">
        <v>818</v>
      </c>
      <c r="F125" s="2" t="s">
        <v>419</v>
      </c>
      <c r="G125" s="2" t="s">
        <v>393</v>
      </c>
      <c r="H125" s="2" t="s">
        <v>205</v>
      </c>
      <c r="I125" s="2">
        <v>35.0</v>
      </c>
      <c r="J125" s="2" t="s">
        <v>242</v>
      </c>
      <c r="K125" s="2">
        <v>25.0</v>
      </c>
      <c r="L125" s="2" t="s">
        <v>77</v>
      </c>
      <c r="M125" s="2">
        <v>-10.0</v>
      </c>
      <c r="N125" s="2">
        <v>60.0</v>
      </c>
      <c r="O125" s="2">
        <v>0.0</v>
      </c>
      <c r="P125" s="2">
        <v>2.02510261E9</v>
      </c>
      <c r="Q125" s="2">
        <v>59962.0</v>
      </c>
      <c r="S125" s="2" t="s">
        <v>843</v>
      </c>
      <c r="T125" s="2">
        <v>28537.0</v>
      </c>
      <c r="U125" s="2">
        <v>4.01772925E8</v>
      </c>
      <c r="V125" s="2">
        <v>6853.0</v>
      </c>
      <c r="W125" s="2">
        <v>7.0</v>
      </c>
      <c r="X125" s="2">
        <v>10.0</v>
      </c>
      <c r="Y125" s="2">
        <v>-155.0</v>
      </c>
      <c r="Z125" s="2">
        <v>130.0</v>
      </c>
      <c r="AA125" s="2">
        <v>-3.0</v>
      </c>
      <c r="AB125" s="2">
        <v>100.0</v>
      </c>
      <c r="AC125" s="2">
        <v>-120.0</v>
      </c>
      <c r="AD125" s="2">
        <v>46.5</v>
      </c>
      <c r="AE125" s="2">
        <v>-115.0</v>
      </c>
      <c r="AF125" s="2">
        <v>-105.0</v>
      </c>
      <c r="AG125" s="2">
        <v>0.0</v>
      </c>
      <c r="AH125" s="2" t="s">
        <v>395</v>
      </c>
      <c r="AI125" s="2" t="s">
        <v>396</v>
      </c>
      <c r="AJ125" s="2">
        <v>46.0</v>
      </c>
      <c r="AK125" s="2">
        <v>5.0</v>
      </c>
      <c r="AL125" s="2" t="s">
        <v>523</v>
      </c>
      <c r="AM125" s="2" t="s">
        <v>482</v>
      </c>
      <c r="AN125" s="2" t="s">
        <v>206</v>
      </c>
      <c r="AO125" s="2" t="s">
        <v>243</v>
      </c>
      <c r="AP125" s="2" t="s">
        <v>525</v>
      </c>
      <c r="AQ125" s="2" t="s">
        <v>485</v>
      </c>
      <c r="AR125" s="2" t="s">
        <v>516</v>
      </c>
      <c r="AS125" s="2" t="s">
        <v>593</v>
      </c>
      <c r="AT125" s="2" t="s">
        <v>594</v>
      </c>
      <c r="AV125" s="2">
        <f t="array" ref="AV125">IF($A125="","",IF(INDEX($A125:$AT125,1,MAP!$B$3)=CurrentSeason,1,0))</f>
        <v>0</v>
      </c>
      <c r="AW125" s="2" t="str">
        <f t="shared" si="1"/>
        <v/>
      </c>
    </row>
    <row r="126" ht="15.0" customHeight="1">
      <c r="A126" s="2" t="s">
        <v>844</v>
      </c>
      <c r="B126" s="2">
        <v>2025.0</v>
      </c>
      <c r="C126" s="2" t="s">
        <v>390</v>
      </c>
      <c r="D126" s="2">
        <v>8.0</v>
      </c>
      <c r="E126" s="2" t="s">
        <v>845</v>
      </c>
      <c r="F126" s="2" t="s">
        <v>549</v>
      </c>
      <c r="G126" s="2" t="s">
        <v>550</v>
      </c>
      <c r="H126" s="2" t="s">
        <v>253</v>
      </c>
      <c r="I126" s="2">
        <v>7.0</v>
      </c>
      <c r="J126" s="2" t="s">
        <v>143</v>
      </c>
      <c r="K126" s="2">
        <v>28.0</v>
      </c>
      <c r="L126" s="2" t="s">
        <v>77</v>
      </c>
      <c r="M126" s="2">
        <v>21.0</v>
      </c>
      <c r="N126" s="2">
        <v>35.0</v>
      </c>
      <c r="O126" s="2">
        <v>0.0</v>
      </c>
      <c r="P126" s="2">
        <v>2.0251027E9</v>
      </c>
      <c r="Q126" s="2">
        <v>59963.0</v>
      </c>
      <c r="S126" s="2" t="s">
        <v>846</v>
      </c>
      <c r="T126" s="2">
        <v>28538.0</v>
      </c>
      <c r="U126" s="2">
        <v>4.01772817E8</v>
      </c>
      <c r="V126" s="2">
        <v>6854.0</v>
      </c>
      <c r="W126" s="2">
        <v>8.0</v>
      </c>
      <c r="X126" s="2">
        <v>8.0</v>
      </c>
      <c r="Y126" s="2">
        <v>500.0</v>
      </c>
      <c r="Z126" s="2">
        <v>-700.0</v>
      </c>
      <c r="AA126" s="2">
        <v>10.5</v>
      </c>
      <c r="AB126" s="2">
        <v>-105.0</v>
      </c>
      <c r="AC126" s="2">
        <v>-115.0</v>
      </c>
      <c r="AD126" s="2">
        <v>48.5</v>
      </c>
      <c r="AE126" s="2">
        <v>-115.0</v>
      </c>
      <c r="AF126" s="2">
        <v>-105.0</v>
      </c>
      <c r="AG126" s="2">
        <v>0.0</v>
      </c>
      <c r="AH126" s="2" t="s">
        <v>395</v>
      </c>
      <c r="AI126" s="2" t="s">
        <v>396</v>
      </c>
      <c r="AJ126" s="2">
        <v>54.0</v>
      </c>
      <c r="AK126" s="2">
        <v>8.0</v>
      </c>
      <c r="AL126" s="2" t="s">
        <v>493</v>
      </c>
      <c r="AM126" s="2" t="s">
        <v>410</v>
      </c>
      <c r="AN126" s="2" t="s">
        <v>254</v>
      </c>
      <c r="AO126" s="2" t="s">
        <v>216</v>
      </c>
      <c r="AP126" s="2" t="s">
        <v>496</v>
      </c>
      <c r="AQ126" s="2" t="s">
        <v>412</v>
      </c>
      <c r="AR126" s="2" t="s">
        <v>448</v>
      </c>
      <c r="AS126" s="2" t="s">
        <v>607</v>
      </c>
      <c r="AT126" s="2" t="s">
        <v>608</v>
      </c>
      <c r="AV126" s="2">
        <f t="array" ref="AV126">IF($A126="","",IF(INDEX($A126:$AT126,1,MAP!$B$3)=CurrentSeason,1,0))</f>
        <v>0</v>
      </c>
      <c r="AW126" s="2" t="str">
        <f t="shared" si="1"/>
        <v/>
      </c>
    </row>
    <row r="127" ht="15.0" customHeight="1">
      <c r="A127" s="2" t="s">
        <v>847</v>
      </c>
      <c r="B127" s="2">
        <v>2025.0</v>
      </c>
      <c r="C127" s="2" t="s">
        <v>390</v>
      </c>
      <c r="D127" s="2">
        <v>9.0</v>
      </c>
      <c r="E127" s="2" t="s">
        <v>848</v>
      </c>
      <c r="F127" s="2" t="s">
        <v>392</v>
      </c>
      <c r="G127" s="2" t="s">
        <v>550</v>
      </c>
      <c r="H127" s="2" t="s">
        <v>148</v>
      </c>
      <c r="I127" s="2">
        <v>28.0</v>
      </c>
      <c r="J127" s="2" t="s">
        <v>225</v>
      </c>
      <c r="K127" s="2">
        <v>6.0</v>
      </c>
      <c r="L127" s="2" t="s">
        <v>77</v>
      </c>
      <c r="M127" s="2">
        <v>-22.0</v>
      </c>
      <c r="N127" s="2">
        <v>34.0</v>
      </c>
      <c r="O127" s="2">
        <v>0.0</v>
      </c>
      <c r="P127" s="2">
        <v>2.025103E9</v>
      </c>
      <c r="Q127" s="2">
        <v>59964.0</v>
      </c>
      <c r="S127" s="2" t="s">
        <v>849</v>
      </c>
      <c r="T127" s="2">
        <v>28539.0</v>
      </c>
      <c r="U127" s="2">
        <v>4.01772943E8</v>
      </c>
      <c r="V127" s="2">
        <v>6855.0</v>
      </c>
      <c r="W127" s="2">
        <v>4.0</v>
      </c>
      <c r="X127" s="2">
        <v>4.0</v>
      </c>
      <c r="Y127" s="2">
        <v>-455.0</v>
      </c>
      <c r="Z127" s="2">
        <v>350.0</v>
      </c>
      <c r="AA127" s="2">
        <v>-7.5</v>
      </c>
      <c r="AB127" s="2">
        <v>-120.0</v>
      </c>
      <c r="AC127" s="2">
        <v>100.0</v>
      </c>
      <c r="AD127" s="2">
        <v>51.5</v>
      </c>
      <c r="AE127" s="2">
        <v>-110.0</v>
      </c>
      <c r="AF127" s="2">
        <v>-110.0</v>
      </c>
      <c r="AG127" s="2">
        <v>0.0</v>
      </c>
      <c r="AH127" s="2" t="s">
        <v>395</v>
      </c>
      <c r="AI127" s="2" t="s">
        <v>396</v>
      </c>
      <c r="AJ127" s="2">
        <v>73.0</v>
      </c>
      <c r="AK127" s="2">
        <v>5.0</v>
      </c>
      <c r="AL127" s="2" t="s">
        <v>540</v>
      </c>
      <c r="AM127" s="2" t="s">
        <v>444</v>
      </c>
      <c r="AN127" s="2" t="s">
        <v>184</v>
      </c>
      <c r="AO127" s="2" t="s">
        <v>182</v>
      </c>
      <c r="AP127" s="2" t="s">
        <v>542</v>
      </c>
      <c r="AQ127" s="2" t="s">
        <v>446</v>
      </c>
      <c r="AR127" s="2" t="s">
        <v>477</v>
      </c>
      <c r="AS127" s="2" t="s">
        <v>583</v>
      </c>
      <c r="AT127" s="2" t="s">
        <v>584</v>
      </c>
      <c r="AV127" s="2">
        <f t="array" ref="AV127">IF($A127="","",IF(INDEX($A127:$AT127,1,MAP!$B$3)=CurrentSeason,1,0))</f>
        <v>0</v>
      </c>
      <c r="AW127" s="2" t="str">
        <f t="shared" si="1"/>
        <v/>
      </c>
    </row>
    <row r="128" ht="15.0" customHeight="1">
      <c r="A128" s="2" t="s">
        <v>850</v>
      </c>
      <c r="B128" s="2">
        <v>2025.0</v>
      </c>
      <c r="C128" s="2" t="s">
        <v>390</v>
      </c>
      <c r="D128" s="2">
        <v>9.0</v>
      </c>
      <c r="E128" s="2" t="s">
        <v>851</v>
      </c>
      <c r="F128" s="2" t="s">
        <v>419</v>
      </c>
      <c r="G128" s="2" t="s">
        <v>420</v>
      </c>
      <c r="H128" s="2" t="s">
        <v>137</v>
      </c>
      <c r="I128" s="2">
        <v>47.0</v>
      </c>
      <c r="J128" s="2" t="s">
        <v>138</v>
      </c>
      <c r="K128" s="2">
        <v>42.0</v>
      </c>
      <c r="L128" s="2" t="s">
        <v>77</v>
      </c>
      <c r="M128" s="2">
        <v>-5.0</v>
      </c>
      <c r="N128" s="2">
        <v>89.0</v>
      </c>
      <c r="O128" s="2">
        <v>0.0</v>
      </c>
      <c r="P128" s="2">
        <v>2.0251102E9</v>
      </c>
      <c r="Q128" s="2">
        <v>59965.0</v>
      </c>
      <c r="S128" s="2" t="s">
        <v>852</v>
      </c>
      <c r="T128" s="2">
        <v>28540.0</v>
      </c>
      <c r="U128" s="2">
        <v>4.01772765E8</v>
      </c>
      <c r="V128" s="2">
        <v>6856.0</v>
      </c>
      <c r="W128" s="2">
        <v>7.0</v>
      </c>
      <c r="X128" s="2">
        <v>7.0</v>
      </c>
      <c r="Y128" s="2">
        <v>-162.0</v>
      </c>
      <c r="Z128" s="2">
        <v>136.0</v>
      </c>
      <c r="AA128" s="2">
        <v>-3.0</v>
      </c>
      <c r="AB128" s="2">
        <v>-105.0</v>
      </c>
      <c r="AC128" s="2">
        <v>-115.0</v>
      </c>
      <c r="AD128" s="2">
        <v>51.5</v>
      </c>
      <c r="AE128" s="2">
        <v>-108.0</v>
      </c>
      <c r="AF128" s="2">
        <v>-112.0</v>
      </c>
      <c r="AG128" s="2">
        <v>0.0</v>
      </c>
      <c r="AH128" s="2" t="s">
        <v>395</v>
      </c>
      <c r="AI128" s="2" t="s">
        <v>423</v>
      </c>
      <c r="AJ128" s="2">
        <v>50.0</v>
      </c>
      <c r="AK128" s="2">
        <v>6.0</v>
      </c>
      <c r="AL128" s="2" t="s">
        <v>553</v>
      </c>
      <c r="AM128" s="2" t="s">
        <v>435</v>
      </c>
      <c r="AN128" s="2" t="s">
        <v>192</v>
      </c>
      <c r="AO128" s="2" t="s">
        <v>436</v>
      </c>
      <c r="AP128" s="2" t="s">
        <v>556</v>
      </c>
      <c r="AQ128" s="2" t="s">
        <v>437</v>
      </c>
      <c r="AR128" s="2" t="s">
        <v>526</v>
      </c>
      <c r="AS128" s="2" t="s">
        <v>571</v>
      </c>
      <c r="AT128" s="2" t="s">
        <v>572</v>
      </c>
      <c r="AV128" s="2">
        <f t="array" ref="AV128">IF($A128="","",IF(INDEX($A128:$AT128,1,MAP!$B$3)=CurrentSeason,1,0))</f>
        <v>0</v>
      </c>
      <c r="AW128" s="2" t="str">
        <f t="shared" si="1"/>
        <v/>
      </c>
    </row>
    <row r="129" ht="15.0" customHeight="1">
      <c r="A129" s="2" t="s">
        <v>853</v>
      </c>
      <c r="B129" s="2">
        <v>2025.0</v>
      </c>
      <c r="C129" s="2" t="s">
        <v>390</v>
      </c>
      <c r="D129" s="2">
        <v>9.0</v>
      </c>
      <c r="E129" s="2" t="s">
        <v>851</v>
      </c>
      <c r="F129" s="2" t="s">
        <v>419</v>
      </c>
      <c r="G129" s="2" t="s">
        <v>420</v>
      </c>
      <c r="H129" s="2" t="s">
        <v>144</v>
      </c>
      <c r="I129" s="2">
        <v>27.0</v>
      </c>
      <c r="J129" s="2" t="s">
        <v>202</v>
      </c>
      <c r="K129" s="2">
        <v>24.0</v>
      </c>
      <c r="L129" s="2" t="s">
        <v>77</v>
      </c>
      <c r="M129" s="2">
        <v>-3.0</v>
      </c>
      <c r="N129" s="2">
        <v>51.0</v>
      </c>
      <c r="O129" s="2">
        <v>0.0</v>
      </c>
      <c r="P129" s="2">
        <v>2.025110201E9</v>
      </c>
      <c r="Q129" s="2">
        <v>59966.0</v>
      </c>
      <c r="S129" s="2" t="s">
        <v>854</v>
      </c>
      <c r="T129" s="2">
        <v>28541.0</v>
      </c>
      <c r="U129" s="2">
        <v>4.01772871E8</v>
      </c>
      <c r="V129" s="2">
        <v>6857.0</v>
      </c>
      <c r="W129" s="2">
        <v>10.0</v>
      </c>
      <c r="X129" s="2">
        <v>13.0</v>
      </c>
      <c r="Y129" s="2">
        <v>410.0</v>
      </c>
      <c r="Z129" s="2">
        <v>-550.0</v>
      </c>
      <c r="AA129" s="2">
        <v>9.5</v>
      </c>
      <c r="AB129" s="2">
        <v>-108.0</v>
      </c>
      <c r="AC129" s="2">
        <v>-112.0</v>
      </c>
      <c r="AD129" s="2">
        <v>47.5</v>
      </c>
      <c r="AE129" s="2">
        <v>-105.0</v>
      </c>
      <c r="AF129" s="2">
        <v>-115.0</v>
      </c>
      <c r="AG129" s="2">
        <v>1.0</v>
      </c>
      <c r="AH129" s="2" t="s">
        <v>409</v>
      </c>
      <c r="AI129" s="2" t="s">
        <v>423</v>
      </c>
      <c r="AL129" s="2" t="s">
        <v>552</v>
      </c>
      <c r="AM129" s="2" t="s">
        <v>522</v>
      </c>
      <c r="AN129" s="2" t="s">
        <v>554</v>
      </c>
      <c r="AO129" s="2" t="s">
        <v>203</v>
      </c>
      <c r="AP129" s="2" t="s">
        <v>555</v>
      </c>
      <c r="AQ129" s="2" t="s">
        <v>524</v>
      </c>
      <c r="AR129" s="2" t="s">
        <v>497</v>
      </c>
      <c r="AS129" s="2" t="s">
        <v>579</v>
      </c>
      <c r="AT129" s="2" t="s">
        <v>580</v>
      </c>
      <c r="AV129" s="2">
        <f t="array" ref="AV129">IF($A129="","",IF(INDEX($A129:$AT129,1,MAP!$B$3)=CurrentSeason,1,0))</f>
        <v>0</v>
      </c>
      <c r="AW129" s="2" t="str">
        <f t="shared" si="1"/>
        <v/>
      </c>
    </row>
    <row r="130" ht="15.0" customHeight="1">
      <c r="A130" s="2" t="s">
        <v>855</v>
      </c>
      <c r="B130" s="2">
        <v>2025.0</v>
      </c>
      <c r="C130" s="2" t="s">
        <v>390</v>
      </c>
      <c r="D130" s="2">
        <v>9.0</v>
      </c>
      <c r="E130" s="2" t="s">
        <v>851</v>
      </c>
      <c r="F130" s="2" t="s">
        <v>419</v>
      </c>
      <c r="G130" s="2" t="s">
        <v>420</v>
      </c>
      <c r="H130" s="2" t="s">
        <v>189</v>
      </c>
      <c r="I130" s="2">
        <v>16.0</v>
      </c>
      <c r="J130" s="2" t="s">
        <v>205</v>
      </c>
      <c r="K130" s="2">
        <v>13.0</v>
      </c>
      <c r="L130" s="2" t="s">
        <v>77</v>
      </c>
      <c r="M130" s="2">
        <v>-3.0</v>
      </c>
      <c r="N130" s="2">
        <v>29.0</v>
      </c>
      <c r="O130" s="2">
        <v>0.0</v>
      </c>
      <c r="P130" s="2">
        <v>2.025110202E9</v>
      </c>
      <c r="Q130" s="2">
        <v>59967.0</v>
      </c>
      <c r="S130" s="2" t="s">
        <v>856</v>
      </c>
      <c r="T130" s="2">
        <v>28542.0</v>
      </c>
      <c r="U130" s="2">
        <v>4.01772872E8</v>
      </c>
      <c r="V130" s="2">
        <v>6858.0</v>
      </c>
      <c r="W130" s="2">
        <v>7.0</v>
      </c>
      <c r="X130" s="2">
        <v>7.0</v>
      </c>
      <c r="Y130" s="2">
        <v>650.0</v>
      </c>
      <c r="Z130" s="2">
        <v>-1000.0</v>
      </c>
      <c r="AA130" s="2">
        <v>12.5</v>
      </c>
      <c r="AB130" s="2">
        <v>-102.0</v>
      </c>
      <c r="AC130" s="2">
        <v>-118.0</v>
      </c>
      <c r="AD130" s="2">
        <v>43.5</v>
      </c>
      <c r="AE130" s="2">
        <v>-115.0</v>
      </c>
      <c r="AF130" s="2">
        <v>-105.0</v>
      </c>
      <c r="AG130" s="2">
        <v>0.0</v>
      </c>
      <c r="AH130" s="2" t="s">
        <v>395</v>
      </c>
      <c r="AI130" s="2" t="s">
        <v>396</v>
      </c>
      <c r="AJ130" s="2">
        <v>47.0</v>
      </c>
      <c r="AK130" s="2">
        <v>15.0</v>
      </c>
      <c r="AL130" s="2" t="s">
        <v>453</v>
      </c>
      <c r="AM130" s="2" t="s">
        <v>523</v>
      </c>
      <c r="AN130" s="2" t="s">
        <v>190</v>
      </c>
      <c r="AO130" s="2" t="s">
        <v>206</v>
      </c>
      <c r="AP130" s="2" t="s">
        <v>455</v>
      </c>
      <c r="AQ130" s="2" t="s">
        <v>525</v>
      </c>
      <c r="AR130" s="2" t="s">
        <v>429</v>
      </c>
      <c r="AS130" s="2" t="s">
        <v>527</v>
      </c>
      <c r="AT130" s="2" t="s">
        <v>528</v>
      </c>
      <c r="AV130" s="2">
        <f t="array" ref="AV130">IF($A130="","",IF(INDEX($A130:$AT130,1,MAP!$B$3)=CurrentSeason,1,0))</f>
        <v>0</v>
      </c>
      <c r="AW130" s="2" t="str">
        <f t="shared" si="1"/>
        <v/>
      </c>
    </row>
    <row r="131" ht="15.0" customHeight="1">
      <c r="A131" s="2" t="s">
        <v>857</v>
      </c>
      <c r="B131" s="2">
        <v>2025.0</v>
      </c>
      <c r="C131" s="2" t="s">
        <v>390</v>
      </c>
      <c r="D131" s="2">
        <v>9.0</v>
      </c>
      <c r="E131" s="2" t="s">
        <v>851</v>
      </c>
      <c r="F131" s="2" t="s">
        <v>419</v>
      </c>
      <c r="G131" s="2" t="s">
        <v>420</v>
      </c>
      <c r="H131" s="2" t="s">
        <v>139</v>
      </c>
      <c r="I131" s="2">
        <v>18.0</v>
      </c>
      <c r="J131" s="2" t="s">
        <v>140</v>
      </c>
      <c r="K131" s="2">
        <v>15.0</v>
      </c>
      <c r="L131" s="2" t="s">
        <v>77</v>
      </c>
      <c r="M131" s="2">
        <v>-3.0</v>
      </c>
      <c r="N131" s="2">
        <v>33.0</v>
      </c>
      <c r="O131" s="2">
        <v>0.0</v>
      </c>
      <c r="P131" s="2">
        <v>2.025110203E9</v>
      </c>
      <c r="Q131" s="2">
        <v>59968.0</v>
      </c>
      <c r="S131" s="2" t="s">
        <v>858</v>
      </c>
      <c r="T131" s="2">
        <v>28543.0</v>
      </c>
      <c r="U131" s="2">
        <v>4.0177287E8</v>
      </c>
      <c r="V131" s="2">
        <v>6859.0</v>
      </c>
      <c r="W131" s="2">
        <v>7.0</v>
      </c>
      <c r="X131" s="2">
        <v>7.0</v>
      </c>
      <c r="Y131" s="2">
        <v>105.0</v>
      </c>
      <c r="Z131" s="2">
        <v>-125.0</v>
      </c>
      <c r="AA131" s="2">
        <v>1.5</v>
      </c>
      <c r="AB131" s="2">
        <v>-110.0</v>
      </c>
      <c r="AC131" s="2">
        <v>-110.0</v>
      </c>
      <c r="AD131" s="2">
        <v>40.5</v>
      </c>
      <c r="AE131" s="2">
        <v>-105.0</v>
      </c>
      <c r="AF131" s="2">
        <v>-115.0</v>
      </c>
      <c r="AG131" s="2">
        <v>0.0</v>
      </c>
      <c r="AH131" s="2" t="s">
        <v>422</v>
      </c>
      <c r="AI131" s="2" t="s">
        <v>617</v>
      </c>
      <c r="AL131" s="2" t="s">
        <v>504</v>
      </c>
      <c r="AM131" s="2" t="s">
        <v>532</v>
      </c>
      <c r="AN131" s="2" t="s">
        <v>201</v>
      </c>
      <c r="AO131" s="2" t="s">
        <v>208</v>
      </c>
      <c r="AP131" s="2" t="s">
        <v>506</v>
      </c>
      <c r="AQ131" s="2" t="s">
        <v>534</v>
      </c>
      <c r="AR131" s="2" t="s">
        <v>466</v>
      </c>
      <c r="AS131" s="2" t="s">
        <v>618</v>
      </c>
      <c r="AT131" s="2" t="s">
        <v>619</v>
      </c>
      <c r="AV131" s="2">
        <f t="array" ref="AV131">IF($A131="","",IF(INDEX($A131:$AT131,1,MAP!$B$3)=CurrentSeason,1,0))</f>
        <v>0</v>
      </c>
      <c r="AW131" s="2" t="str">
        <f t="shared" si="1"/>
        <v/>
      </c>
    </row>
    <row r="132" ht="15.0" customHeight="1">
      <c r="A132" s="2" t="s">
        <v>859</v>
      </c>
      <c r="B132" s="2">
        <v>2025.0</v>
      </c>
      <c r="C132" s="2" t="s">
        <v>390</v>
      </c>
      <c r="D132" s="2">
        <v>9.0</v>
      </c>
      <c r="E132" s="2" t="s">
        <v>851</v>
      </c>
      <c r="F132" s="2" t="s">
        <v>419</v>
      </c>
      <c r="G132" s="2" t="s">
        <v>420</v>
      </c>
      <c r="H132" s="2" t="s">
        <v>132</v>
      </c>
      <c r="I132" s="2">
        <v>23.0</v>
      </c>
      <c r="J132" s="2" t="s">
        <v>145</v>
      </c>
      <c r="K132" s="2">
        <v>24.0</v>
      </c>
      <c r="L132" s="2" t="s">
        <v>77</v>
      </c>
      <c r="M132" s="2">
        <v>1.0</v>
      </c>
      <c r="N132" s="2">
        <v>47.0</v>
      </c>
      <c r="O132" s="2">
        <v>0.0</v>
      </c>
      <c r="P132" s="2">
        <v>2.025110204E9</v>
      </c>
      <c r="Q132" s="2">
        <v>59969.0</v>
      </c>
      <c r="S132" s="2" t="s">
        <v>860</v>
      </c>
      <c r="T132" s="2">
        <v>28544.0</v>
      </c>
      <c r="U132" s="2">
        <v>4.01772763E8</v>
      </c>
      <c r="V132" s="2">
        <v>6860.0</v>
      </c>
      <c r="W132" s="2">
        <v>7.0</v>
      </c>
      <c r="X132" s="2">
        <v>7.0</v>
      </c>
      <c r="Y132" s="2">
        <v>205.0</v>
      </c>
      <c r="Z132" s="2">
        <v>-250.0</v>
      </c>
      <c r="AA132" s="2">
        <v>5.5</v>
      </c>
      <c r="AB132" s="2">
        <v>-110.0</v>
      </c>
      <c r="AC132" s="2">
        <v>-110.0</v>
      </c>
      <c r="AD132" s="2">
        <v>45.5</v>
      </c>
      <c r="AE132" s="2">
        <v>-112.0</v>
      </c>
      <c r="AF132" s="2">
        <v>-108.0</v>
      </c>
      <c r="AG132" s="2">
        <v>0.0</v>
      </c>
      <c r="AH132" s="2" t="s">
        <v>395</v>
      </c>
      <c r="AI132" s="2" t="s">
        <v>423</v>
      </c>
      <c r="AJ132" s="2">
        <v>52.0</v>
      </c>
      <c r="AK132" s="2">
        <v>7.0</v>
      </c>
      <c r="AL132" s="2" t="s">
        <v>425</v>
      </c>
      <c r="AM132" s="2" t="s">
        <v>463</v>
      </c>
      <c r="AN132" s="2" t="s">
        <v>426</v>
      </c>
      <c r="AO132" s="2" t="s">
        <v>230</v>
      </c>
      <c r="AP132" s="2" t="s">
        <v>428</v>
      </c>
      <c r="AQ132" s="2" t="s">
        <v>465</v>
      </c>
      <c r="AR132" s="2" t="s">
        <v>448</v>
      </c>
      <c r="AS132" s="2" t="s">
        <v>467</v>
      </c>
      <c r="AT132" s="2" t="s">
        <v>468</v>
      </c>
      <c r="AV132" s="2">
        <f t="array" ref="AV132">IF($A132="","",IF(INDEX($A132:$AT132,1,MAP!$B$3)=CurrentSeason,1,0))</f>
        <v>0</v>
      </c>
      <c r="AW132" s="2" t="str">
        <f t="shared" si="1"/>
        <v/>
      </c>
    </row>
    <row r="133" ht="15.0" customHeight="1">
      <c r="A133" s="2" t="s">
        <v>861</v>
      </c>
      <c r="B133" s="2">
        <v>2025.0</v>
      </c>
      <c r="C133" s="2" t="s">
        <v>390</v>
      </c>
      <c r="D133" s="2">
        <v>9.0</v>
      </c>
      <c r="E133" s="2" t="s">
        <v>851</v>
      </c>
      <c r="F133" s="2" t="s">
        <v>419</v>
      </c>
      <c r="G133" s="2" t="s">
        <v>420</v>
      </c>
      <c r="H133" s="2" t="s">
        <v>246</v>
      </c>
      <c r="I133" s="2">
        <v>34.0</v>
      </c>
      <c r="J133" s="2" t="s">
        <v>235</v>
      </c>
      <c r="K133" s="2">
        <v>24.0</v>
      </c>
      <c r="L133" s="2" t="s">
        <v>77</v>
      </c>
      <c r="M133" s="2">
        <v>-10.0</v>
      </c>
      <c r="N133" s="2">
        <v>58.0</v>
      </c>
      <c r="O133" s="2">
        <v>0.0</v>
      </c>
      <c r="P133" s="2">
        <v>2.025110205E9</v>
      </c>
      <c r="Q133" s="2">
        <v>59970.0</v>
      </c>
      <c r="S133" s="2" t="s">
        <v>862</v>
      </c>
      <c r="T133" s="2">
        <v>28545.0</v>
      </c>
      <c r="U133" s="2">
        <v>4.01772767E8</v>
      </c>
      <c r="V133" s="2">
        <v>6861.0</v>
      </c>
      <c r="W133" s="2">
        <v>7.0</v>
      </c>
      <c r="X133" s="2">
        <v>7.0</v>
      </c>
      <c r="Y133" s="2">
        <v>-148.0</v>
      </c>
      <c r="Z133" s="2">
        <v>124.0</v>
      </c>
      <c r="AA133" s="2">
        <v>-2.5</v>
      </c>
      <c r="AB133" s="2">
        <v>-120.0</v>
      </c>
      <c r="AC133" s="2">
        <v>100.0</v>
      </c>
      <c r="AD133" s="2">
        <v>47.5</v>
      </c>
      <c r="AE133" s="2">
        <v>-108.0</v>
      </c>
      <c r="AF133" s="2">
        <v>-112.0</v>
      </c>
      <c r="AG133" s="2">
        <v>0.0</v>
      </c>
      <c r="AH133" s="2" t="s">
        <v>395</v>
      </c>
      <c r="AI133" s="2" t="s">
        <v>423</v>
      </c>
      <c r="AJ133" s="2">
        <v>56.0</v>
      </c>
      <c r="AK133" s="2">
        <v>5.0</v>
      </c>
      <c r="AL133" s="2" t="s">
        <v>587</v>
      </c>
      <c r="AM133" s="2" t="s">
        <v>693</v>
      </c>
      <c r="AN133" s="2" t="s">
        <v>588</v>
      </c>
      <c r="AO133" s="2" t="s">
        <v>236</v>
      </c>
      <c r="AP133" s="2" t="s">
        <v>514</v>
      </c>
      <c r="AQ133" s="2" t="s">
        <v>495</v>
      </c>
      <c r="AR133" s="2" t="s">
        <v>544</v>
      </c>
      <c r="AS133" s="2" t="s">
        <v>488</v>
      </c>
      <c r="AT133" s="2" t="s">
        <v>489</v>
      </c>
      <c r="AV133" s="2">
        <f t="array" ref="AV133">IF($A133="","",IF(INDEX($A133:$AT133,1,MAP!$B$3)=CurrentSeason,1,0))</f>
        <v>0</v>
      </c>
      <c r="AW133" s="2" t="str">
        <f t="shared" si="1"/>
        <v/>
      </c>
    </row>
    <row r="134" ht="15.0" customHeight="1">
      <c r="A134" s="2" t="s">
        <v>863</v>
      </c>
      <c r="B134" s="2">
        <v>2025.0</v>
      </c>
      <c r="C134" s="2" t="s">
        <v>390</v>
      </c>
      <c r="D134" s="2">
        <v>9.0</v>
      </c>
      <c r="E134" s="2" t="s">
        <v>851</v>
      </c>
      <c r="F134" s="2" t="s">
        <v>419</v>
      </c>
      <c r="G134" s="2" t="s">
        <v>420</v>
      </c>
      <c r="H134" s="2" t="s">
        <v>210</v>
      </c>
      <c r="I134" s="2">
        <v>20.0</v>
      </c>
      <c r="J134" s="2" t="s">
        <v>242</v>
      </c>
      <c r="K134" s="2">
        <v>27.0</v>
      </c>
      <c r="L134" s="2" t="s">
        <v>77</v>
      </c>
      <c r="M134" s="2">
        <v>7.0</v>
      </c>
      <c r="N134" s="2">
        <v>47.0</v>
      </c>
      <c r="O134" s="2">
        <v>0.0</v>
      </c>
      <c r="P134" s="2">
        <v>2.025110206E9</v>
      </c>
      <c r="Q134" s="2">
        <v>59971.0</v>
      </c>
      <c r="S134" s="2" t="s">
        <v>864</v>
      </c>
      <c r="T134" s="2">
        <v>28546.0</v>
      </c>
      <c r="U134" s="2">
        <v>4.01772766E8</v>
      </c>
      <c r="V134" s="2">
        <v>6862.0</v>
      </c>
      <c r="W134" s="2">
        <v>7.0</v>
      </c>
      <c r="X134" s="2">
        <v>7.0</v>
      </c>
      <c r="Y134" s="2">
        <v>-185.0</v>
      </c>
      <c r="Z134" s="2">
        <v>154.0</v>
      </c>
      <c r="AA134" s="2">
        <v>-3.5</v>
      </c>
      <c r="AB134" s="2">
        <v>100.0</v>
      </c>
      <c r="AC134" s="2">
        <v>-120.0</v>
      </c>
      <c r="AD134" s="2">
        <v>51.5</v>
      </c>
      <c r="AE134" s="2">
        <v>-105.0</v>
      </c>
      <c r="AF134" s="2">
        <v>-115.0</v>
      </c>
      <c r="AG134" s="2">
        <v>0.0</v>
      </c>
      <c r="AH134" s="2" t="s">
        <v>395</v>
      </c>
      <c r="AI134" s="2" t="s">
        <v>396</v>
      </c>
      <c r="AJ134" s="2">
        <v>56.0</v>
      </c>
      <c r="AK134" s="2">
        <v>2.0</v>
      </c>
      <c r="AL134" s="2" t="s">
        <v>445</v>
      </c>
      <c r="AM134" s="2" t="s">
        <v>482</v>
      </c>
      <c r="AN134" s="2" t="s">
        <v>211</v>
      </c>
      <c r="AO134" s="2" t="s">
        <v>243</v>
      </c>
      <c r="AP134" s="2" t="s">
        <v>447</v>
      </c>
      <c r="AQ134" s="2" t="s">
        <v>485</v>
      </c>
      <c r="AR134" s="2" t="s">
        <v>536</v>
      </c>
      <c r="AS134" s="2" t="s">
        <v>593</v>
      </c>
      <c r="AT134" s="2" t="s">
        <v>594</v>
      </c>
      <c r="AV134" s="2">
        <f t="array" ref="AV134">IF($A134="","",IF(INDEX($A134:$AT134,1,MAP!$B$3)=CurrentSeason,1,0))</f>
        <v>0</v>
      </c>
      <c r="AW134" s="2" t="str">
        <f t="shared" si="1"/>
        <v/>
      </c>
    </row>
    <row r="135" ht="15.0" customHeight="1">
      <c r="A135" s="2" t="s">
        <v>865</v>
      </c>
      <c r="B135" s="2">
        <v>2025.0</v>
      </c>
      <c r="C135" s="2" t="s">
        <v>390</v>
      </c>
      <c r="D135" s="2">
        <v>9.0</v>
      </c>
      <c r="E135" s="2" t="s">
        <v>851</v>
      </c>
      <c r="F135" s="2" t="s">
        <v>419</v>
      </c>
      <c r="G135" s="2" t="s">
        <v>420</v>
      </c>
      <c r="H135" s="2" t="s">
        <v>220</v>
      </c>
      <c r="I135" s="2">
        <v>27.0</v>
      </c>
      <c r="J135" s="2" t="s">
        <v>250</v>
      </c>
      <c r="K135" s="2">
        <v>20.0</v>
      </c>
      <c r="L135" s="2" t="s">
        <v>77</v>
      </c>
      <c r="M135" s="2">
        <v>-7.0</v>
      </c>
      <c r="N135" s="2">
        <v>47.0</v>
      </c>
      <c r="O135" s="2">
        <v>0.0</v>
      </c>
      <c r="P135" s="2">
        <v>2.025110207E9</v>
      </c>
      <c r="Q135" s="2">
        <v>59972.0</v>
      </c>
      <c r="S135" s="2" t="s">
        <v>866</v>
      </c>
      <c r="T135" s="2">
        <v>28547.0</v>
      </c>
      <c r="U135" s="2">
        <v>4.01772764E8</v>
      </c>
      <c r="V135" s="2">
        <v>6863.0</v>
      </c>
      <c r="W135" s="2">
        <v>10.0</v>
      </c>
      <c r="X135" s="2">
        <v>7.0</v>
      </c>
      <c r="Y135" s="2">
        <v>-650.0</v>
      </c>
      <c r="Z135" s="2">
        <v>470.0</v>
      </c>
      <c r="AA135" s="2">
        <v>-10.0</v>
      </c>
      <c r="AB135" s="2">
        <v>-112.0</v>
      </c>
      <c r="AC135" s="2">
        <v>-108.0</v>
      </c>
      <c r="AD135" s="2">
        <v>44.5</v>
      </c>
      <c r="AE135" s="2">
        <v>-110.0</v>
      </c>
      <c r="AF135" s="2">
        <v>-110.0</v>
      </c>
      <c r="AG135" s="2">
        <v>0.0</v>
      </c>
      <c r="AH135" s="2" t="s">
        <v>395</v>
      </c>
      <c r="AI135" s="2" t="s">
        <v>396</v>
      </c>
      <c r="AJ135" s="2">
        <v>46.0</v>
      </c>
      <c r="AK135" s="2">
        <v>5.0</v>
      </c>
      <c r="AL135" s="2" t="s">
        <v>411</v>
      </c>
      <c r="AM135" s="2" t="s">
        <v>503</v>
      </c>
      <c r="AN135" s="2" t="s">
        <v>221</v>
      </c>
      <c r="AO135" s="2" t="s">
        <v>251</v>
      </c>
      <c r="AP135" s="2" t="s">
        <v>413</v>
      </c>
      <c r="AQ135" s="2" t="s">
        <v>505</v>
      </c>
      <c r="AR135" s="2" t="s">
        <v>507</v>
      </c>
      <c r="AS135" s="2" t="s">
        <v>597</v>
      </c>
      <c r="AT135" s="2" t="s">
        <v>598</v>
      </c>
      <c r="AV135" s="2">
        <f t="array" ref="AV135">IF($A135="","",IF(INDEX($A135:$AT135,1,MAP!$B$3)=CurrentSeason,1,0))</f>
        <v>0</v>
      </c>
      <c r="AW135" s="2" t="str">
        <f t="shared" si="1"/>
        <v/>
      </c>
    </row>
    <row r="136" ht="15.0" customHeight="1">
      <c r="A136" s="2" t="s">
        <v>867</v>
      </c>
      <c r="B136" s="2">
        <v>2025.0</v>
      </c>
      <c r="C136" s="2" t="s">
        <v>390</v>
      </c>
      <c r="D136" s="2">
        <v>9.0</v>
      </c>
      <c r="E136" s="2" t="s">
        <v>851</v>
      </c>
      <c r="F136" s="2" t="s">
        <v>419</v>
      </c>
      <c r="G136" s="2" t="s">
        <v>501</v>
      </c>
      <c r="H136" s="2" t="s">
        <v>232</v>
      </c>
      <c r="I136" s="2">
        <v>10.0</v>
      </c>
      <c r="J136" s="2" t="s">
        <v>142</v>
      </c>
      <c r="K136" s="2">
        <v>34.0</v>
      </c>
      <c r="L136" s="2" t="s">
        <v>77</v>
      </c>
      <c r="M136" s="2">
        <v>24.0</v>
      </c>
      <c r="N136" s="2">
        <v>44.0</v>
      </c>
      <c r="O136" s="2">
        <v>0.0</v>
      </c>
      <c r="P136" s="2">
        <v>2.025110208E9</v>
      </c>
      <c r="Q136" s="2">
        <v>59973.0</v>
      </c>
      <c r="S136" s="2" t="s">
        <v>868</v>
      </c>
      <c r="T136" s="2">
        <v>28548.0</v>
      </c>
      <c r="U136" s="2">
        <v>4.01772874E8</v>
      </c>
      <c r="V136" s="2">
        <v>6864.0</v>
      </c>
      <c r="W136" s="2">
        <v>7.0</v>
      </c>
      <c r="X136" s="2">
        <v>14.0</v>
      </c>
      <c r="Y136" s="2">
        <v>750.0</v>
      </c>
      <c r="Z136" s="2">
        <v>-1200.0</v>
      </c>
      <c r="AA136" s="2">
        <v>14.0</v>
      </c>
      <c r="AB136" s="2">
        <v>-105.0</v>
      </c>
      <c r="AC136" s="2">
        <v>-115.0</v>
      </c>
      <c r="AD136" s="2">
        <v>44.5</v>
      </c>
      <c r="AE136" s="2">
        <v>-105.0</v>
      </c>
      <c r="AF136" s="2">
        <v>-115.0</v>
      </c>
      <c r="AG136" s="2">
        <v>0.0</v>
      </c>
      <c r="AH136" s="2" t="s">
        <v>409</v>
      </c>
      <c r="AI136" s="2" t="s">
        <v>531</v>
      </c>
      <c r="AL136" s="2" t="s">
        <v>869</v>
      </c>
      <c r="AM136" s="2" t="s">
        <v>533</v>
      </c>
      <c r="AN136" s="2" t="s">
        <v>233</v>
      </c>
      <c r="AO136" s="2" t="s">
        <v>218</v>
      </c>
      <c r="AP136" s="2" t="s">
        <v>476</v>
      </c>
      <c r="AQ136" s="2" t="s">
        <v>535</v>
      </c>
      <c r="AR136" s="2" t="s">
        <v>401</v>
      </c>
      <c r="AS136" s="2" t="s">
        <v>415</v>
      </c>
      <c r="AT136" s="2" t="s">
        <v>416</v>
      </c>
      <c r="AV136" s="2">
        <f t="array" ref="AV136">IF($A136="","",IF(INDEX($A136:$AT136,1,MAP!$B$3)=CurrentSeason,1,0))</f>
        <v>0</v>
      </c>
      <c r="AW136" s="2" t="str">
        <f t="shared" si="1"/>
        <v/>
      </c>
    </row>
    <row r="137" ht="15.0" customHeight="1">
      <c r="A137" s="2" t="s">
        <v>870</v>
      </c>
      <c r="B137" s="2">
        <v>2025.0</v>
      </c>
      <c r="C137" s="2" t="s">
        <v>390</v>
      </c>
      <c r="D137" s="2">
        <v>9.0</v>
      </c>
      <c r="E137" s="2" t="s">
        <v>851</v>
      </c>
      <c r="F137" s="2" t="s">
        <v>419</v>
      </c>
      <c r="G137" s="2" t="s">
        <v>501</v>
      </c>
      <c r="H137" s="2" t="s">
        <v>141</v>
      </c>
      <c r="I137" s="2">
        <v>30.0</v>
      </c>
      <c r="J137" s="2" t="s">
        <v>222</v>
      </c>
      <c r="K137" s="2">
        <v>29.0</v>
      </c>
      <c r="L137" s="2" t="s">
        <v>77</v>
      </c>
      <c r="M137" s="2">
        <v>-1.0</v>
      </c>
      <c r="N137" s="2">
        <v>59.0</v>
      </c>
      <c r="O137" s="2">
        <v>1.0</v>
      </c>
      <c r="P137" s="2">
        <v>2.025110209E9</v>
      </c>
      <c r="Q137" s="2">
        <v>59974.0</v>
      </c>
      <c r="S137" s="2" t="s">
        <v>871</v>
      </c>
      <c r="T137" s="2">
        <v>28549.0</v>
      </c>
      <c r="U137" s="2">
        <v>4.01772873E8</v>
      </c>
      <c r="V137" s="2">
        <v>6865.0</v>
      </c>
      <c r="W137" s="2">
        <v>14.0</v>
      </c>
      <c r="X137" s="2">
        <v>14.0</v>
      </c>
      <c r="Y137" s="2">
        <v>-130.0</v>
      </c>
      <c r="Z137" s="2">
        <v>110.0</v>
      </c>
      <c r="AA137" s="2">
        <v>-2.5</v>
      </c>
      <c r="AB137" s="2">
        <v>-105.0</v>
      </c>
      <c r="AC137" s="2">
        <v>-115.0</v>
      </c>
      <c r="AD137" s="2">
        <v>43.5</v>
      </c>
      <c r="AE137" s="2">
        <v>-105.0</v>
      </c>
      <c r="AF137" s="2">
        <v>-115.0</v>
      </c>
      <c r="AG137" s="2">
        <v>0.0</v>
      </c>
      <c r="AH137" s="2" t="s">
        <v>409</v>
      </c>
      <c r="AI137" s="2" t="s">
        <v>396</v>
      </c>
      <c r="AL137" s="2" t="s">
        <v>454</v>
      </c>
      <c r="AM137" s="2" t="s">
        <v>462</v>
      </c>
      <c r="AN137" s="2" t="s">
        <v>214</v>
      </c>
      <c r="AO137" s="2" t="s">
        <v>239</v>
      </c>
      <c r="AP137" s="2" t="s">
        <v>456</v>
      </c>
      <c r="AQ137" s="2" t="s">
        <v>464</v>
      </c>
      <c r="AR137" s="2" t="s">
        <v>557</v>
      </c>
      <c r="AS137" s="2" t="s">
        <v>623</v>
      </c>
      <c r="AT137" s="2" t="s">
        <v>624</v>
      </c>
      <c r="AV137" s="2">
        <f t="array" ref="AV137">IF($A137="","",IF(INDEX($A137:$AT137,1,MAP!$B$3)=CurrentSeason,1,0))</f>
        <v>0</v>
      </c>
      <c r="AW137" s="2" t="str">
        <f t="shared" si="1"/>
        <v/>
      </c>
    </row>
    <row r="138" ht="15.0" customHeight="1">
      <c r="A138" s="2" t="s">
        <v>872</v>
      </c>
      <c r="B138" s="2">
        <v>2025.0</v>
      </c>
      <c r="C138" s="2" t="s">
        <v>390</v>
      </c>
      <c r="D138" s="2">
        <v>9.0</v>
      </c>
      <c r="E138" s="2" t="s">
        <v>851</v>
      </c>
      <c r="F138" s="2" t="s">
        <v>419</v>
      </c>
      <c r="G138" s="2" t="s">
        <v>520</v>
      </c>
      <c r="H138" s="2" t="s">
        <v>143</v>
      </c>
      <c r="I138" s="2">
        <v>21.0</v>
      </c>
      <c r="J138" s="2" t="s">
        <v>136</v>
      </c>
      <c r="K138" s="2">
        <v>28.0</v>
      </c>
      <c r="L138" s="2" t="s">
        <v>77</v>
      </c>
      <c r="M138" s="2">
        <v>7.0</v>
      </c>
      <c r="N138" s="2">
        <v>49.0</v>
      </c>
      <c r="O138" s="2">
        <v>0.0</v>
      </c>
      <c r="P138" s="2">
        <v>2.02511021E9</v>
      </c>
      <c r="Q138" s="2">
        <v>59975.0</v>
      </c>
      <c r="S138" s="2" t="s">
        <v>873</v>
      </c>
      <c r="T138" s="2">
        <v>28550.0</v>
      </c>
      <c r="U138" s="2">
        <v>4.01772768E8</v>
      </c>
      <c r="V138" s="2">
        <v>6866.0</v>
      </c>
      <c r="W138" s="2">
        <v>6.0</v>
      </c>
      <c r="X138" s="2">
        <v>7.0</v>
      </c>
      <c r="Y138" s="2">
        <v>-135.0</v>
      </c>
      <c r="Z138" s="2">
        <v>114.0</v>
      </c>
      <c r="AA138" s="2">
        <v>-2.5</v>
      </c>
      <c r="AB138" s="2">
        <v>-105.0</v>
      </c>
      <c r="AC138" s="2">
        <v>-115.0</v>
      </c>
      <c r="AD138" s="2">
        <v>53.5</v>
      </c>
      <c r="AE138" s="2">
        <v>-115.0</v>
      </c>
      <c r="AF138" s="2">
        <v>-105.0</v>
      </c>
      <c r="AG138" s="2">
        <v>0.0</v>
      </c>
      <c r="AH138" s="2" t="s">
        <v>395</v>
      </c>
      <c r="AI138" s="2" t="s">
        <v>539</v>
      </c>
      <c r="AJ138" s="2">
        <v>54.0</v>
      </c>
      <c r="AK138" s="2">
        <v>6.0</v>
      </c>
      <c r="AL138" s="2" t="s">
        <v>410</v>
      </c>
      <c r="AM138" s="2" t="s">
        <v>541</v>
      </c>
      <c r="AN138" s="2" t="s">
        <v>216</v>
      </c>
      <c r="AO138" s="2" t="s">
        <v>187</v>
      </c>
      <c r="AP138" s="2" t="s">
        <v>412</v>
      </c>
      <c r="AQ138" s="2" t="s">
        <v>543</v>
      </c>
      <c r="AR138" s="2" t="s">
        <v>414</v>
      </c>
      <c r="AS138" s="2" t="s">
        <v>545</v>
      </c>
      <c r="AT138" s="2" t="s">
        <v>546</v>
      </c>
      <c r="AV138" s="2">
        <f t="array" ref="AV138">IF($A138="","",IF(INDEX($A138:$AT138,1,MAP!$B$3)=CurrentSeason,1,0))</f>
        <v>0</v>
      </c>
      <c r="AW138" s="2" t="str">
        <f t="shared" si="1"/>
        <v/>
      </c>
    </row>
    <row r="139" ht="15.0" customHeight="1">
      <c r="A139" s="2" t="s">
        <v>874</v>
      </c>
      <c r="B139" s="2">
        <v>2025.0</v>
      </c>
      <c r="C139" s="2" t="s">
        <v>390</v>
      </c>
      <c r="D139" s="2">
        <v>9.0</v>
      </c>
      <c r="E139" s="2" t="s">
        <v>851</v>
      </c>
      <c r="F139" s="2" t="s">
        <v>419</v>
      </c>
      <c r="G139" s="2" t="s">
        <v>393</v>
      </c>
      <c r="H139" s="2" t="s">
        <v>149</v>
      </c>
      <c r="I139" s="2">
        <v>38.0</v>
      </c>
      <c r="J139" s="2" t="s">
        <v>253</v>
      </c>
      <c r="K139" s="2">
        <v>14.0</v>
      </c>
      <c r="L139" s="2" t="s">
        <v>77</v>
      </c>
      <c r="M139" s="2">
        <v>-24.0</v>
      </c>
      <c r="N139" s="2">
        <v>52.0</v>
      </c>
      <c r="O139" s="2">
        <v>0.0</v>
      </c>
      <c r="P139" s="2">
        <v>2.025110211E9</v>
      </c>
      <c r="Q139" s="2">
        <v>59976.0</v>
      </c>
      <c r="S139" s="2" t="s">
        <v>875</v>
      </c>
      <c r="T139" s="2">
        <v>28551.0</v>
      </c>
      <c r="U139" s="2">
        <v>4.01772926E8</v>
      </c>
      <c r="V139" s="2">
        <v>6867.0</v>
      </c>
      <c r="W139" s="2">
        <v>13.0</v>
      </c>
      <c r="X139" s="2">
        <v>6.0</v>
      </c>
      <c r="Y139" s="2">
        <v>-148.0</v>
      </c>
      <c r="Z139" s="2">
        <v>124.0</v>
      </c>
      <c r="AA139" s="2">
        <v>-2.5</v>
      </c>
      <c r="AB139" s="2">
        <v>-120.0</v>
      </c>
      <c r="AC139" s="2">
        <v>100.0</v>
      </c>
      <c r="AD139" s="2">
        <v>47.5</v>
      </c>
      <c r="AE139" s="2">
        <v>-115.0</v>
      </c>
      <c r="AF139" s="2">
        <v>-105.0</v>
      </c>
      <c r="AG139" s="2">
        <v>0.0</v>
      </c>
      <c r="AH139" s="2" t="s">
        <v>395</v>
      </c>
      <c r="AI139" s="2" t="s">
        <v>396</v>
      </c>
      <c r="AJ139" s="2">
        <v>53.0</v>
      </c>
      <c r="AK139" s="2">
        <v>3.0</v>
      </c>
      <c r="AL139" s="2" t="s">
        <v>513</v>
      </c>
      <c r="AM139" s="2" t="s">
        <v>493</v>
      </c>
      <c r="AN139" s="2" t="s">
        <v>245</v>
      </c>
      <c r="AO139" s="2" t="s">
        <v>254</v>
      </c>
      <c r="AP139" s="2" t="s">
        <v>515</v>
      </c>
      <c r="AQ139" s="2" t="s">
        <v>496</v>
      </c>
      <c r="AR139" s="2" t="s">
        <v>487</v>
      </c>
      <c r="AS139" s="2" t="s">
        <v>498</v>
      </c>
      <c r="AT139" s="2" t="s">
        <v>499</v>
      </c>
      <c r="AV139" s="2">
        <f t="array" ref="AV139">IF($A139="","",IF(INDEX($A139:$AT139,1,MAP!$B$3)=CurrentSeason,1,0))</f>
        <v>0</v>
      </c>
      <c r="AW139" s="2" t="str">
        <f t="shared" si="1"/>
        <v/>
      </c>
    </row>
    <row r="140" ht="15.0" customHeight="1">
      <c r="A140" s="2" t="s">
        <v>876</v>
      </c>
      <c r="B140" s="2">
        <v>2025.0</v>
      </c>
      <c r="C140" s="2" t="s">
        <v>390</v>
      </c>
      <c r="D140" s="2">
        <v>9.0</v>
      </c>
      <c r="E140" s="2" t="s">
        <v>877</v>
      </c>
      <c r="F140" s="2" t="s">
        <v>549</v>
      </c>
      <c r="G140" s="2" t="s">
        <v>550</v>
      </c>
      <c r="H140" s="2" t="s">
        <v>178</v>
      </c>
      <c r="I140" s="2">
        <v>27.0</v>
      </c>
      <c r="J140" s="2" t="s">
        <v>146</v>
      </c>
      <c r="K140" s="2">
        <v>17.0</v>
      </c>
      <c r="L140" s="2" t="s">
        <v>77</v>
      </c>
      <c r="M140" s="2">
        <v>-10.0</v>
      </c>
      <c r="N140" s="2">
        <v>44.0</v>
      </c>
      <c r="O140" s="2">
        <v>0.0</v>
      </c>
      <c r="P140" s="2">
        <v>2.0251103E9</v>
      </c>
      <c r="Q140" s="2">
        <v>59977.0</v>
      </c>
      <c r="S140" s="2" t="s">
        <v>878</v>
      </c>
      <c r="T140" s="2">
        <v>28552.0</v>
      </c>
      <c r="U140" s="2">
        <v>4.01772818E8</v>
      </c>
      <c r="V140" s="2">
        <v>6868.0</v>
      </c>
      <c r="W140" s="2">
        <v>15.0</v>
      </c>
      <c r="X140" s="2">
        <v>8.0</v>
      </c>
      <c r="Y140" s="2">
        <v>145.0</v>
      </c>
      <c r="Z140" s="2">
        <v>-175.0</v>
      </c>
      <c r="AA140" s="2">
        <v>3.5</v>
      </c>
      <c r="AB140" s="2">
        <v>-115.0</v>
      </c>
      <c r="AC140" s="2">
        <v>-105.0</v>
      </c>
      <c r="AD140" s="2">
        <v>53.5</v>
      </c>
      <c r="AE140" s="2">
        <v>-105.0</v>
      </c>
      <c r="AF140" s="2">
        <v>-115.0</v>
      </c>
      <c r="AG140" s="2">
        <v>0.0</v>
      </c>
      <c r="AH140" s="2" t="s">
        <v>422</v>
      </c>
      <c r="AI140" s="2" t="s">
        <v>531</v>
      </c>
      <c r="AL140" s="2" t="s">
        <v>759</v>
      </c>
      <c r="AM140" s="2" t="s">
        <v>397</v>
      </c>
      <c r="AN140" s="2" t="s">
        <v>179</v>
      </c>
      <c r="AO140" s="2" t="s">
        <v>199</v>
      </c>
      <c r="AP140" s="2" t="s">
        <v>475</v>
      </c>
      <c r="AQ140" s="2" t="s">
        <v>399</v>
      </c>
      <c r="AR140" s="2" t="s">
        <v>439</v>
      </c>
      <c r="AS140" s="2" t="s">
        <v>575</v>
      </c>
      <c r="AT140" s="2" t="s">
        <v>576</v>
      </c>
      <c r="AV140" s="2">
        <f t="array" ref="AV140">IF($A140="","",IF(INDEX($A140:$AT140,1,MAP!$B$3)=CurrentSeason,1,0))</f>
        <v>0</v>
      </c>
      <c r="AW140" s="2" t="str">
        <f t="shared" si="1"/>
        <v/>
      </c>
    </row>
    <row r="141" ht="15.0" customHeight="1">
      <c r="A141" s="2" t="s">
        <v>879</v>
      </c>
      <c r="B141" s="2">
        <v>2025.0</v>
      </c>
      <c r="C141" s="2" t="s">
        <v>390</v>
      </c>
      <c r="D141" s="2">
        <v>10.0</v>
      </c>
      <c r="E141" s="2" t="s">
        <v>880</v>
      </c>
      <c r="F141" s="2" t="s">
        <v>392</v>
      </c>
      <c r="G141" s="2" t="s">
        <v>550</v>
      </c>
      <c r="H141" s="2" t="s">
        <v>222</v>
      </c>
      <c r="I141" s="2">
        <v>7.0</v>
      </c>
      <c r="J141" s="2" t="s">
        <v>139</v>
      </c>
      <c r="K141" s="2">
        <v>10.0</v>
      </c>
      <c r="L141" s="2" t="s">
        <v>77</v>
      </c>
      <c r="M141" s="2">
        <v>3.0</v>
      </c>
      <c r="N141" s="2">
        <v>17.0</v>
      </c>
      <c r="O141" s="2">
        <v>0.0</v>
      </c>
      <c r="P141" s="2">
        <v>2.0251106E9</v>
      </c>
      <c r="Q141" s="2">
        <v>59978.0</v>
      </c>
      <c r="S141" s="2" t="s">
        <v>881</v>
      </c>
      <c r="T141" s="2">
        <v>28553.0</v>
      </c>
      <c r="U141" s="2">
        <v>4.01772944E8</v>
      </c>
      <c r="V141" s="2">
        <v>6869.0</v>
      </c>
      <c r="W141" s="2">
        <v>4.0</v>
      </c>
      <c r="X141" s="2">
        <v>4.0</v>
      </c>
      <c r="Y141" s="2">
        <v>380.0</v>
      </c>
      <c r="Z141" s="2">
        <v>-500.0</v>
      </c>
      <c r="AA141" s="2">
        <v>9.5</v>
      </c>
      <c r="AB141" s="2">
        <v>-112.0</v>
      </c>
      <c r="AC141" s="2">
        <v>-108.0</v>
      </c>
      <c r="AD141" s="2">
        <v>42.5</v>
      </c>
      <c r="AE141" s="2">
        <v>-110.0</v>
      </c>
      <c r="AF141" s="2">
        <v>-110.0</v>
      </c>
      <c r="AG141" s="2">
        <v>1.0</v>
      </c>
      <c r="AH141" s="2" t="s">
        <v>395</v>
      </c>
      <c r="AI141" s="2" t="s">
        <v>396</v>
      </c>
      <c r="AJ141" s="2">
        <v>60.0</v>
      </c>
      <c r="AK141" s="2">
        <v>10.0</v>
      </c>
      <c r="AL141" s="2" t="s">
        <v>462</v>
      </c>
      <c r="AM141" s="2" t="s">
        <v>504</v>
      </c>
      <c r="AN141" s="2" t="s">
        <v>239</v>
      </c>
      <c r="AO141" s="2" t="s">
        <v>201</v>
      </c>
      <c r="AP141" s="2" t="s">
        <v>464</v>
      </c>
      <c r="AQ141" s="2" t="s">
        <v>506</v>
      </c>
      <c r="AR141" s="2" t="s">
        <v>487</v>
      </c>
      <c r="AS141" s="2" t="s">
        <v>508</v>
      </c>
      <c r="AT141" s="2" t="s">
        <v>509</v>
      </c>
      <c r="AV141" s="2">
        <f t="array" ref="AV141">IF($A141="","",IF(INDEX($A141:$AT141,1,MAP!$B$3)=CurrentSeason,1,0))</f>
        <v>0</v>
      </c>
      <c r="AW141" s="2" t="str">
        <f t="shared" si="1"/>
        <v/>
      </c>
    </row>
    <row r="142" ht="15.0" customHeight="1">
      <c r="A142" s="2" t="s">
        <v>882</v>
      </c>
      <c r="B142" s="2">
        <v>2025.0</v>
      </c>
      <c r="C142" s="2" t="s">
        <v>390</v>
      </c>
      <c r="D142" s="2">
        <v>10.0</v>
      </c>
      <c r="E142" s="2" t="s">
        <v>883</v>
      </c>
      <c r="F142" s="2" t="s">
        <v>419</v>
      </c>
      <c r="G142" s="2" t="s">
        <v>679</v>
      </c>
      <c r="H142" s="2" t="s">
        <v>132</v>
      </c>
      <c r="I142" s="2">
        <v>25.0</v>
      </c>
      <c r="J142" s="2" t="s">
        <v>210</v>
      </c>
      <c r="K142" s="2">
        <v>31.0</v>
      </c>
      <c r="L142" s="2" t="s">
        <v>78</v>
      </c>
      <c r="M142" s="2">
        <v>6.0</v>
      </c>
      <c r="N142" s="2">
        <v>56.0</v>
      </c>
      <c r="O142" s="2">
        <v>1.0</v>
      </c>
      <c r="P142" s="2">
        <v>2.0251109E9</v>
      </c>
      <c r="Q142" s="2">
        <v>59979.0</v>
      </c>
      <c r="S142" s="2" t="s">
        <v>884</v>
      </c>
      <c r="T142" s="2">
        <v>28554.0</v>
      </c>
      <c r="U142" s="2">
        <v>4.01772636E8</v>
      </c>
      <c r="V142" s="2">
        <v>6870.0</v>
      </c>
      <c r="W142" s="2">
        <v>7.0</v>
      </c>
      <c r="X142" s="2">
        <v>7.0</v>
      </c>
      <c r="Y142" s="2">
        <v>250.0</v>
      </c>
      <c r="Z142" s="2">
        <v>-310.0</v>
      </c>
      <c r="AA142" s="2">
        <v>6.5</v>
      </c>
      <c r="AB142" s="2">
        <v>-112.0</v>
      </c>
      <c r="AC142" s="2">
        <v>-108.0</v>
      </c>
      <c r="AD142" s="2">
        <v>48.5</v>
      </c>
      <c r="AE142" s="2">
        <v>-112.0</v>
      </c>
      <c r="AF142" s="2">
        <v>-108.0</v>
      </c>
      <c r="AG142" s="2">
        <v>0.0</v>
      </c>
      <c r="AH142" s="2" t="s">
        <v>422</v>
      </c>
      <c r="AI142" s="2" t="s">
        <v>396</v>
      </c>
      <c r="AJ142" s="2">
        <v>46.0</v>
      </c>
      <c r="AK142" s="2">
        <v>2.0</v>
      </c>
      <c r="AL142" s="2" t="s">
        <v>425</v>
      </c>
      <c r="AM142" s="2" t="s">
        <v>445</v>
      </c>
      <c r="AN142" s="2" t="s">
        <v>426</v>
      </c>
      <c r="AO142" s="2" t="s">
        <v>211</v>
      </c>
      <c r="AP142" s="2" t="s">
        <v>428</v>
      </c>
      <c r="AQ142" s="2" t="s">
        <v>447</v>
      </c>
      <c r="AR142" s="2" t="s">
        <v>526</v>
      </c>
      <c r="AS142" s="2" t="s">
        <v>449</v>
      </c>
      <c r="AT142" s="2" t="s">
        <v>450</v>
      </c>
      <c r="AV142" s="2">
        <f t="array" ref="AV142">IF($A142="","",IF(INDEX($A142:$AT142,1,MAP!$B$3)=CurrentSeason,1,0))</f>
        <v>0</v>
      </c>
      <c r="AW142" s="2" t="str">
        <f t="shared" si="1"/>
        <v/>
      </c>
    </row>
    <row r="143" ht="15.0" customHeight="1">
      <c r="A143" s="2" t="s">
        <v>885</v>
      </c>
      <c r="B143" s="2">
        <v>2025.0</v>
      </c>
      <c r="C143" s="2" t="s">
        <v>390</v>
      </c>
      <c r="D143" s="2">
        <v>10.0</v>
      </c>
      <c r="E143" s="2" t="s">
        <v>883</v>
      </c>
      <c r="F143" s="2" t="s">
        <v>419</v>
      </c>
      <c r="G143" s="2" t="s">
        <v>420</v>
      </c>
      <c r="H143" s="2" t="s">
        <v>232</v>
      </c>
      <c r="I143" s="2">
        <v>17.0</v>
      </c>
      <c r="J143" s="2" t="s">
        <v>189</v>
      </c>
      <c r="K143" s="2">
        <v>7.0</v>
      </c>
      <c r="L143" s="2" t="s">
        <v>77</v>
      </c>
      <c r="M143" s="2">
        <v>-10.0</v>
      </c>
      <c r="N143" s="2">
        <v>24.0</v>
      </c>
      <c r="O143" s="2">
        <v>0.0</v>
      </c>
      <c r="P143" s="2">
        <v>2.025110901E9</v>
      </c>
      <c r="Q143" s="2">
        <v>59980.0</v>
      </c>
      <c r="S143" s="2" t="s">
        <v>886</v>
      </c>
      <c r="T143" s="2">
        <v>28555.0</v>
      </c>
      <c r="U143" s="2">
        <v>4.01772877E8</v>
      </c>
      <c r="V143" s="2">
        <v>6871.0</v>
      </c>
      <c r="W143" s="2">
        <v>7.0</v>
      </c>
      <c r="X143" s="2">
        <v>7.0</v>
      </c>
      <c r="Y143" s="2">
        <v>200.0</v>
      </c>
      <c r="Z143" s="2">
        <v>-245.0</v>
      </c>
      <c r="AA143" s="2">
        <v>5.5</v>
      </c>
      <c r="AB143" s="2">
        <v>-112.0</v>
      </c>
      <c r="AC143" s="2">
        <v>-108.0</v>
      </c>
      <c r="AD143" s="2">
        <v>38.5</v>
      </c>
      <c r="AE143" s="2">
        <v>-105.0</v>
      </c>
      <c r="AF143" s="2">
        <v>-115.0</v>
      </c>
      <c r="AG143" s="2">
        <v>1.0</v>
      </c>
      <c r="AH143" s="2" t="s">
        <v>395</v>
      </c>
      <c r="AI143" s="2" t="s">
        <v>396</v>
      </c>
      <c r="AJ143" s="2">
        <v>73.0</v>
      </c>
      <c r="AK143" s="2">
        <v>15.0</v>
      </c>
      <c r="AL143" s="2" t="s">
        <v>869</v>
      </c>
      <c r="AM143" s="2" t="s">
        <v>453</v>
      </c>
      <c r="AN143" s="2" t="s">
        <v>233</v>
      </c>
      <c r="AO143" s="2" t="s">
        <v>190</v>
      </c>
      <c r="AP143" s="2" t="s">
        <v>476</v>
      </c>
      <c r="AQ143" s="2" t="s">
        <v>455</v>
      </c>
      <c r="AR143" s="2" t="s">
        <v>448</v>
      </c>
      <c r="AS143" s="2" t="s">
        <v>631</v>
      </c>
      <c r="AT143" s="2" t="s">
        <v>632</v>
      </c>
      <c r="AV143" s="2">
        <f t="array" ref="AV143">IF($A143="","",IF(INDEX($A143:$AT143,1,MAP!$B$3)=CurrentSeason,1,0))</f>
        <v>0</v>
      </c>
      <c r="AW143" s="2" t="str">
        <f t="shared" si="1"/>
        <v/>
      </c>
    </row>
    <row r="144" ht="15.0" customHeight="1">
      <c r="A144" s="2" t="s">
        <v>887</v>
      </c>
      <c r="B144" s="2">
        <v>2025.0</v>
      </c>
      <c r="C144" s="2" t="s">
        <v>390</v>
      </c>
      <c r="D144" s="2">
        <v>10.0</v>
      </c>
      <c r="E144" s="2" t="s">
        <v>883</v>
      </c>
      <c r="F144" s="2" t="s">
        <v>419</v>
      </c>
      <c r="G144" s="2" t="s">
        <v>420</v>
      </c>
      <c r="H144" s="2" t="s">
        <v>235</v>
      </c>
      <c r="I144" s="2">
        <v>20.0</v>
      </c>
      <c r="J144" s="2" t="s">
        <v>137</v>
      </c>
      <c r="K144" s="2">
        <v>24.0</v>
      </c>
      <c r="L144" s="2" t="s">
        <v>77</v>
      </c>
      <c r="M144" s="2">
        <v>4.0</v>
      </c>
      <c r="N144" s="2">
        <v>44.0</v>
      </c>
      <c r="O144" s="2">
        <v>0.0</v>
      </c>
      <c r="P144" s="2">
        <v>2.025110902E9</v>
      </c>
      <c r="Q144" s="2">
        <v>59981.0</v>
      </c>
      <c r="S144" s="2" t="s">
        <v>888</v>
      </c>
      <c r="T144" s="2">
        <v>28556.0</v>
      </c>
      <c r="U144" s="2">
        <v>4.01772875E8</v>
      </c>
      <c r="V144" s="2">
        <v>6872.0</v>
      </c>
      <c r="W144" s="2">
        <v>7.0</v>
      </c>
      <c r="X144" s="2">
        <v>7.0</v>
      </c>
      <c r="Y144" s="2">
        <v>180.0</v>
      </c>
      <c r="Z144" s="2">
        <v>-218.0</v>
      </c>
      <c r="AA144" s="2">
        <v>4.5</v>
      </c>
      <c r="AB144" s="2">
        <v>-108.0</v>
      </c>
      <c r="AC144" s="2">
        <v>-112.0</v>
      </c>
      <c r="AD144" s="2">
        <v>45.5</v>
      </c>
      <c r="AE144" s="2">
        <v>-112.0</v>
      </c>
      <c r="AF144" s="2">
        <v>-108.0</v>
      </c>
      <c r="AG144" s="2">
        <v>0.0</v>
      </c>
      <c r="AH144" s="2" t="s">
        <v>395</v>
      </c>
      <c r="AI144" s="2" t="s">
        <v>396</v>
      </c>
      <c r="AJ144" s="2">
        <v>33.0</v>
      </c>
      <c r="AK144" s="2">
        <v>10.0</v>
      </c>
      <c r="AL144" s="2" t="s">
        <v>693</v>
      </c>
      <c r="AM144" s="2" t="s">
        <v>553</v>
      </c>
      <c r="AN144" s="2" t="s">
        <v>236</v>
      </c>
      <c r="AO144" s="2" t="s">
        <v>192</v>
      </c>
      <c r="AP144" s="2" t="s">
        <v>495</v>
      </c>
      <c r="AQ144" s="2" t="s">
        <v>556</v>
      </c>
      <c r="AR144" s="2" t="s">
        <v>439</v>
      </c>
      <c r="AS144" s="2" t="s">
        <v>558</v>
      </c>
      <c r="AT144" s="2" t="s">
        <v>559</v>
      </c>
      <c r="AV144" s="2">
        <f t="array" ref="AV144">IF($A144="","",IF(INDEX($A144:$AT144,1,MAP!$B$3)=CurrentSeason,1,0))</f>
        <v>0</v>
      </c>
      <c r="AW144" s="2" t="str">
        <f t="shared" si="1"/>
        <v/>
      </c>
    </row>
    <row r="145" ht="15.0" customHeight="1">
      <c r="A145" s="2" t="s">
        <v>889</v>
      </c>
      <c r="B145" s="2">
        <v>2025.0</v>
      </c>
      <c r="C145" s="2" t="s">
        <v>390</v>
      </c>
      <c r="D145" s="2">
        <v>10.0</v>
      </c>
      <c r="E145" s="2" t="s">
        <v>883</v>
      </c>
      <c r="F145" s="2" t="s">
        <v>419</v>
      </c>
      <c r="G145" s="2" t="s">
        <v>420</v>
      </c>
      <c r="H145" s="2" t="s">
        <v>141</v>
      </c>
      <c r="I145" s="2">
        <v>29.0</v>
      </c>
      <c r="J145" s="2" t="s">
        <v>140</v>
      </c>
      <c r="K145" s="2">
        <v>36.0</v>
      </c>
      <c r="L145" s="2" t="s">
        <v>77</v>
      </c>
      <c r="M145" s="2">
        <v>7.0</v>
      </c>
      <c r="N145" s="2">
        <v>65.0</v>
      </c>
      <c r="O145" s="2">
        <v>0.0</v>
      </c>
      <c r="P145" s="2">
        <v>2.025110903E9</v>
      </c>
      <c r="Q145" s="2">
        <v>59982.0</v>
      </c>
      <c r="S145" s="2" t="s">
        <v>890</v>
      </c>
      <c r="T145" s="2">
        <v>28557.0</v>
      </c>
      <c r="U145" s="2">
        <v>4.0177277E8</v>
      </c>
      <c r="V145" s="2">
        <v>6873.0</v>
      </c>
      <c r="W145" s="2">
        <v>7.0</v>
      </c>
      <c r="X145" s="2">
        <v>7.0</v>
      </c>
      <c r="Y145" s="2">
        <v>-115.0</v>
      </c>
      <c r="Z145" s="2">
        <v>-105.0</v>
      </c>
      <c r="AA145" s="2">
        <v>-1.5</v>
      </c>
      <c r="AB145" s="2">
        <v>100.0</v>
      </c>
      <c r="AC145" s="2">
        <v>-120.0</v>
      </c>
      <c r="AD145" s="2">
        <v>37.5</v>
      </c>
      <c r="AE145" s="2">
        <v>-112.0</v>
      </c>
      <c r="AF145" s="2">
        <v>-108.0</v>
      </c>
      <c r="AG145" s="2">
        <v>1.0</v>
      </c>
      <c r="AH145" s="2" t="s">
        <v>422</v>
      </c>
      <c r="AI145" s="2" t="s">
        <v>617</v>
      </c>
      <c r="AL145" s="2" t="s">
        <v>454</v>
      </c>
      <c r="AM145" s="2" t="s">
        <v>891</v>
      </c>
      <c r="AN145" s="2" t="s">
        <v>214</v>
      </c>
      <c r="AO145" s="2" t="s">
        <v>892</v>
      </c>
      <c r="AP145" s="2" t="s">
        <v>456</v>
      </c>
      <c r="AQ145" s="2" t="s">
        <v>534</v>
      </c>
      <c r="AR145" s="2" t="s">
        <v>457</v>
      </c>
      <c r="AS145" s="2" t="s">
        <v>618</v>
      </c>
      <c r="AT145" s="2" t="s">
        <v>619</v>
      </c>
      <c r="AV145" s="2">
        <f t="array" ref="AV145">IF($A145="","",IF(INDEX($A145:$AT145,1,MAP!$B$3)=CurrentSeason,1,0))</f>
        <v>0</v>
      </c>
      <c r="AW145" s="2" t="str">
        <f t="shared" si="1"/>
        <v/>
      </c>
    </row>
    <row r="146" ht="15.0" customHeight="1">
      <c r="A146" s="2" t="s">
        <v>893</v>
      </c>
      <c r="B146" s="2">
        <v>2025.0</v>
      </c>
      <c r="C146" s="2" t="s">
        <v>390</v>
      </c>
      <c r="D146" s="2">
        <v>10.0</v>
      </c>
      <c r="E146" s="2" t="s">
        <v>883</v>
      </c>
      <c r="F146" s="2" t="s">
        <v>419</v>
      </c>
      <c r="G146" s="2" t="s">
        <v>420</v>
      </c>
      <c r="H146" s="2" t="s">
        <v>136</v>
      </c>
      <c r="I146" s="2">
        <v>13.0</v>
      </c>
      <c r="J146" s="2" t="s">
        <v>225</v>
      </c>
      <c r="K146" s="2">
        <v>30.0</v>
      </c>
      <c r="L146" s="2" t="s">
        <v>77</v>
      </c>
      <c r="M146" s="2">
        <v>17.0</v>
      </c>
      <c r="N146" s="2">
        <v>43.0</v>
      </c>
      <c r="O146" s="2">
        <v>0.0</v>
      </c>
      <c r="P146" s="2">
        <v>2.025110904E9</v>
      </c>
      <c r="Q146" s="2">
        <v>59983.0</v>
      </c>
      <c r="S146" s="2" t="s">
        <v>894</v>
      </c>
      <c r="T146" s="2">
        <v>28558.0</v>
      </c>
      <c r="U146" s="2">
        <v>4.01772771E8</v>
      </c>
      <c r="V146" s="2">
        <v>6874.0</v>
      </c>
      <c r="W146" s="2">
        <v>7.0</v>
      </c>
      <c r="X146" s="2">
        <v>10.0</v>
      </c>
      <c r="Y146" s="2">
        <v>-455.0</v>
      </c>
      <c r="Z146" s="2">
        <v>350.0</v>
      </c>
      <c r="AA146" s="2">
        <v>-8.5</v>
      </c>
      <c r="AB146" s="2">
        <v>-105.0</v>
      </c>
      <c r="AC146" s="2">
        <v>-115.0</v>
      </c>
      <c r="AD146" s="2">
        <v>50.5</v>
      </c>
      <c r="AE146" s="2">
        <v>-115.0</v>
      </c>
      <c r="AF146" s="2">
        <v>-105.0</v>
      </c>
      <c r="AG146" s="2">
        <v>1.0</v>
      </c>
      <c r="AH146" s="2" t="s">
        <v>395</v>
      </c>
      <c r="AI146" s="2" t="s">
        <v>396</v>
      </c>
      <c r="AJ146" s="2">
        <v>84.0</v>
      </c>
      <c r="AK146" s="2">
        <v>6.0</v>
      </c>
      <c r="AL146" s="2" t="s">
        <v>541</v>
      </c>
      <c r="AM146" s="2" t="s">
        <v>444</v>
      </c>
      <c r="AN146" s="2" t="s">
        <v>187</v>
      </c>
      <c r="AO146" s="2" t="s">
        <v>182</v>
      </c>
      <c r="AP146" s="2" t="s">
        <v>543</v>
      </c>
      <c r="AQ146" s="2" t="s">
        <v>446</v>
      </c>
      <c r="AR146" s="2" t="s">
        <v>466</v>
      </c>
      <c r="AS146" s="2" t="s">
        <v>583</v>
      </c>
      <c r="AT146" s="2" t="s">
        <v>584</v>
      </c>
      <c r="AV146" s="2">
        <f t="array" ref="AV146">IF($A146="","",IF(INDEX($A146:$AT146,1,MAP!$B$3)=CurrentSeason,1,0))</f>
        <v>0</v>
      </c>
      <c r="AW146" s="2" t="str">
        <f t="shared" si="1"/>
        <v/>
      </c>
    </row>
    <row r="147" ht="15.0" customHeight="1">
      <c r="A147" s="2" t="s">
        <v>895</v>
      </c>
      <c r="B147" s="2">
        <v>2025.0</v>
      </c>
      <c r="C147" s="2" t="s">
        <v>390</v>
      </c>
      <c r="D147" s="2">
        <v>10.0</v>
      </c>
      <c r="E147" s="2" t="s">
        <v>883</v>
      </c>
      <c r="F147" s="2" t="s">
        <v>419</v>
      </c>
      <c r="G147" s="2" t="s">
        <v>420</v>
      </c>
      <c r="H147" s="2" t="s">
        <v>148</v>
      </c>
      <c r="I147" s="2">
        <v>27.0</v>
      </c>
      <c r="J147" s="2" t="s">
        <v>144</v>
      </c>
      <c r="K147" s="2">
        <v>19.0</v>
      </c>
      <c r="L147" s="2" t="s">
        <v>77</v>
      </c>
      <c r="M147" s="2">
        <v>-8.0</v>
      </c>
      <c r="N147" s="2">
        <v>46.0</v>
      </c>
      <c r="O147" s="2">
        <v>0.0</v>
      </c>
      <c r="P147" s="2">
        <v>2.025110905E9</v>
      </c>
      <c r="Q147" s="2">
        <v>59984.0</v>
      </c>
      <c r="S147" s="2" t="s">
        <v>896</v>
      </c>
      <c r="T147" s="2">
        <v>28559.0</v>
      </c>
      <c r="U147" s="2">
        <v>4.01772876E8</v>
      </c>
      <c r="V147" s="2">
        <v>6875.0</v>
      </c>
      <c r="W147" s="2">
        <v>10.0</v>
      </c>
      <c r="X147" s="2">
        <v>7.0</v>
      </c>
      <c r="Y147" s="2">
        <v>-230.0</v>
      </c>
      <c r="Z147" s="2">
        <v>190.0</v>
      </c>
      <c r="AA147" s="2">
        <v>-4.5</v>
      </c>
      <c r="AB147" s="2">
        <v>-105.0</v>
      </c>
      <c r="AC147" s="2">
        <v>-115.0</v>
      </c>
      <c r="AD147" s="2">
        <v>48.5</v>
      </c>
      <c r="AE147" s="2">
        <v>-105.0</v>
      </c>
      <c r="AF147" s="2">
        <v>-115.0</v>
      </c>
      <c r="AG147" s="2">
        <v>0.0</v>
      </c>
      <c r="AH147" s="2" t="s">
        <v>409</v>
      </c>
      <c r="AI147" s="2" t="s">
        <v>471</v>
      </c>
      <c r="AL147" s="2" t="s">
        <v>540</v>
      </c>
      <c r="AM147" s="2" t="s">
        <v>552</v>
      </c>
      <c r="AN147" s="2" t="s">
        <v>184</v>
      </c>
      <c r="AO147" s="2" t="s">
        <v>554</v>
      </c>
      <c r="AP147" s="2" t="s">
        <v>542</v>
      </c>
      <c r="AQ147" s="2" t="s">
        <v>555</v>
      </c>
      <c r="AR147" s="2" t="s">
        <v>516</v>
      </c>
      <c r="AS147" s="2" t="s">
        <v>611</v>
      </c>
      <c r="AT147" s="2" t="s">
        <v>612</v>
      </c>
      <c r="AV147" s="2">
        <f t="array" ref="AV147">IF($A147="","",IF(INDEX($A147:$AT147,1,MAP!$B$3)=CurrentSeason,1,0))</f>
        <v>0</v>
      </c>
      <c r="AW147" s="2" t="str">
        <f t="shared" si="1"/>
        <v/>
      </c>
    </row>
    <row r="148" ht="15.0" customHeight="1">
      <c r="A148" s="2" t="s">
        <v>897</v>
      </c>
      <c r="B148" s="2">
        <v>2025.0</v>
      </c>
      <c r="C148" s="2" t="s">
        <v>390</v>
      </c>
      <c r="D148" s="2">
        <v>10.0</v>
      </c>
      <c r="E148" s="2" t="s">
        <v>883</v>
      </c>
      <c r="F148" s="2" t="s">
        <v>419</v>
      </c>
      <c r="G148" s="2" t="s">
        <v>420</v>
      </c>
      <c r="H148" s="2" t="s">
        <v>196</v>
      </c>
      <c r="I148" s="2">
        <v>20.0</v>
      </c>
      <c r="J148" s="2" t="s">
        <v>238</v>
      </c>
      <c r="K148" s="2">
        <v>27.0</v>
      </c>
      <c r="L148" s="2" t="s">
        <v>77</v>
      </c>
      <c r="M148" s="2">
        <v>7.0</v>
      </c>
      <c r="N148" s="2">
        <v>47.0</v>
      </c>
      <c r="O148" s="2">
        <v>0.0</v>
      </c>
      <c r="P148" s="2">
        <v>2.025110906E9</v>
      </c>
      <c r="Q148" s="2">
        <v>59985.0</v>
      </c>
      <c r="S148" s="2" t="s">
        <v>898</v>
      </c>
      <c r="T148" s="2">
        <v>28560.0</v>
      </c>
      <c r="U148" s="2">
        <v>4.01772769E8</v>
      </c>
      <c r="V148" s="2">
        <v>6876.0</v>
      </c>
      <c r="W148" s="2">
        <v>14.0</v>
      </c>
      <c r="X148" s="2">
        <v>14.0</v>
      </c>
      <c r="Y148" s="2">
        <v>-130.0</v>
      </c>
      <c r="Z148" s="2">
        <v>110.0</v>
      </c>
      <c r="AA148" s="2">
        <v>-1.5</v>
      </c>
      <c r="AB148" s="2">
        <v>-115.0</v>
      </c>
      <c r="AC148" s="2">
        <v>-105.0</v>
      </c>
      <c r="AD148" s="2">
        <v>37.5</v>
      </c>
      <c r="AE148" s="2">
        <v>-115.0</v>
      </c>
      <c r="AF148" s="2">
        <v>-105.0</v>
      </c>
      <c r="AG148" s="2">
        <v>0.0</v>
      </c>
      <c r="AH148" s="2" t="s">
        <v>395</v>
      </c>
      <c r="AI148" s="2" t="s">
        <v>423</v>
      </c>
      <c r="AJ148" s="2">
        <v>62.0</v>
      </c>
      <c r="AK148" s="2">
        <v>12.0</v>
      </c>
      <c r="AL148" s="2" t="s">
        <v>718</v>
      </c>
      <c r="AM148" s="2" t="s">
        <v>649</v>
      </c>
      <c r="AN148" s="2" t="s">
        <v>719</v>
      </c>
      <c r="AO148" s="2" t="s">
        <v>650</v>
      </c>
      <c r="AP148" s="2" t="s">
        <v>438</v>
      </c>
      <c r="AQ148" s="2" t="s">
        <v>486</v>
      </c>
      <c r="AR148" s="2" t="s">
        <v>401</v>
      </c>
      <c r="AS148" s="2" t="s">
        <v>488</v>
      </c>
      <c r="AT148" s="2" t="s">
        <v>489</v>
      </c>
      <c r="AV148" s="2">
        <f t="array" ref="AV148">IF($A148="","",IF(INDEX($A148:$AT148,1,MAP!$B$3)=CurrentSeason,1,0))</f>
        <v>0</v>
      </c>
      <c r="AW148" s="2" t="str">
        <f t="shared" si="1"/>
        <v/>
      </c>
    </row>
    <row r="149" ht="15.0" customHeight="1">
      <c r="A149" s="2" t="s">
        <v>899</v>
      </c>
      <c r="B149" s="2">
        <v>2025.0</v>
      </c>
      <c r="C149" s="2" t="s">
        <v>390</v>
      </c>
      <c r="D149" s="2">
        <v>10.0</v>
      </c>
      <c r="E149" s="2" t="s">
        <v>883</v>
      </c>
      <c r="F149" s="2" t="s">
        <v>419</v>
      </c>
      <c r="G149" s="2" t="s">
        <v>420</v>
      </c>
      <c r="H149" s="2" t="s">
        <v>145</v>
      </c>
      <c r="I149" s="2">
        <v>28.0</v>
      </c>
      <c r="J149" s="2" t="s">
        <v>150</v>
      </c>
      <c r="K149" s="2">
        <v>23.0</v>
      </c>
      <c r="L149" s="2" t="s">
        <v>77</v>
      </c>
      <c r="M149" s="2">
        <v>-5.0</v>
      </c>
      <c r="N149" s="2">
        <v>51.0</v>
      </c>
      <c r="O149" s="2">
        <v>0.0</v>
      </c>
      <c r="P149" s="2">
        <v>2.025110907E9</v>
      </c>
      <c r="Q149" s="2">
        <v>59986.0</v>
      </c>
      <c r="S149" s="2" t="s">
        <v>900</v>
      </c>
      <c r="T149" s="2">
        <v>28561.0</v>
      </c>
      <c r="U149" s="2">
        <v>4.01772772E8</v>
      </c>
      <c r="V149" s="2">
        <v>6877.0</v>
      </c>
      <c r="W149" s="2">
        <v>7.0</v>
      </c>
      <c r="X149" s="2">
        <v>14.0</v>
      </c>
      <c r="Y149" s="2">
        <v>124.0</v>
      </c>
      <c r="Z149" s="2">
        <v>-148.0</v>
      </c>
      <c r="AA149" s="2">
        <v>2.5</v>
      </c>
      <c r="AB149" s="2">
        <v>100.0</v>
      </c>
      <c r="AC149" s="2">
        <v>-120.0</v>
      </c>
      <c r="AD149" s="2">
        <v>48.5</v>
      </c>
      <c r="AE149" s="2">
        <v>-105.0</v>
      </c>
      <c r="AF149" s="2">
        <v>-115.0</v>
      </c>
      <c r="AG149" s="2">
        <v>0.0</v>
      </c>
      <c r="AH149" s="2" t="s">
        <v>395</v>
      </c>
      <c r="AI149" s="2" t="s">
        <v>396</v>
      </c>
      <c r="AJ149" s="2">
        <v>82.0</v>
      </c>
      <c r="AK149" s="2">
        <v>11.0</v>
      </c>
      <c r="AL149" s="2" t="s">
        <v>463</v>
      </c>
      <c r="AM149" s="2" t="s">
        <v>424</v>
      </c>
      <c r="AN149" s="2" t="s">
        <v>230</v>
      </c>
      <c r="AO149" s="2" t="s">
        <v>248</v>
      </c>
      <c r="AP149" s="2" t="s">
        <v>465</v>
      </c>
      <c r="AQ149" s="2" t="s">
        <v>427</v>
      </c>
      <c r="AR149" s="2" t="s">
        <v>507</v>
      </c>
      <c r="AS149" s="2" t="s">
        <v>651</v>
      </c>
      <c r="AT149" s="2" t="s">
        <v>652</v>
      </c>
      <c r="AV149" s="2">
        <f t="array" ref="AV149">IF($A149="","",IF(INDEX($A149:$AT149,1,MAP!$B$3)=CurrentSeason,1,0))</f>
        <v>0</v>
      </c>
      <c r="AW149" s="2" t="str">
        <f t="shared" si="1"/>
        <v/>
      </c>
    </row>
    <row r="150" ht="15.0" customHeight="1">
      <c r="A150" s="2" t="s">
        <v>901</v>
      </c>
      <c r="B150" s="2">
        <v>2025.0</v>
      </c>
      <c r="C150" s="2" t="s">
        <v>390</v>
      </c>
      <c r="D150" s="2">
        <v>10.0</v>
      </c>
      <c r="E150" s="2" t="s">
        <v>883</v>
      </c>
      <c r="F150" s="2" t="s">
        <v>419</v>
      </c>
      <c r="G150" s="2" t="s">
        <v>501</v>
      </c>
      <c r="H150" s="2" t="s">
        <v>178</v>
      </c>
      <c r="I150" s="2">
        <v>22.0</v>
      </c>
      <c r="J150" s="2" t="s">
        <v>149</v>
      </c>
      <c r="K150" s="2">
        <v>44.0</v>
      </c>
      <c r="L150" s="2" t="s">
        <v>77</v>
      </c>
      <c r="M150" s="2">
        <v>22.0</v>
      </c>
      <c r="N150" s="2">
        <v>66.0</v>
      </c>
      <c r="O150" s="2">
        <v>0.0</v>
      </c>
      <c r="P150" s="2">
        <v>2.025110908E9</v>
      </c>
      <c r="Q150" s="2">
        <v>59987.0</v>
      </c>
      <c r="S150" s="2" t="s">
        <v>902</v>
      </c>
      <c r="T150" s="2">
        <v>28562.0</v>
      </c>
      <c r="U150" s="2">
        <v>4.01772773E8</v>
      </c>
      <c r="V150" s="2">
        <v>6878.0</v>
      </c>
      <c r="W150" s="2">
        <v>6.0</v>
      </c>
      <c r="X150" s="2">
        <v>7.0</v>
      </c>
      <c r="Y150" s="2">
        <v>270.0</v>
      </c>
      <c r="Z150" s="2">
        <v>-340.0</v>
      </c>
      <c r="AA150" s="2">
        <v>7.0</v>
      </c>
      <c r="AB150" s="2">
        <v>-115.0</v>
      </c>
      <c r="AC150" s="2">
        <v>-105.0</v>
      </c>
      <c r="AD150" s="2">
        <v>44.5</v>
      </c>
      <c r="AE150" s="2">
        <v>-102.0</v>
      </c>
      <c r="AF150" s="2">
        <v>-118.0</v>
      </c>
      <c r="AG150" s="2">
        <v>1.0</v>
      </c>
      <c r="AH150" s="2" t="s">
        <v>395</v>
      </c>
      <c r="AI150" s="2" t="s">
        <v>423</v>
      </c>
      <c r="AJ150" s="2">
        <v>59.0</v>
      </c>
      <c r="AK150" s="2">
        <v>5.0</v>
      </c>
      <c r="AL150" s="2" t="s">
        <v>759</v>
      </c>
      <c r="AM150" s="2" t="s">
        <v>513</v>
      </c>
      <c r="AN150" s="2" t="s">
        <v>179</v>
      </c>
      <c r="AO150" s="2" t="s">
        <v>245</v>
      </c>
      <c r="AP150" s="2" t="s">
        <v>475</v>
      </c>
      <c r="AQ150" s="2" t="s">
        <v>515</v>
      </c>
      <c r="AR150" s="2" t="s">
        <v>557</v>
      </c>
      <c r="AS150" s="2" t="s">
        <v>517</v>
      </c>
      <c r="AT150" s="2" t="s">
        <v>518</v>
      </c>
      <c r="AV150" s="2">
        <f t="array" ref="AV150">IF($A150="","",IF(INDEX($A150:$AT150,1,MAP!$B$3)=CurrentSeason,1,0))</f>
        <v>0</v>
      </c>
      <c r="AW150" s="2" t="str">
        <f t="shared" si="1"/>
        <v/>
      </c>
    </row>
    <row r="151" ht="15.0" customHeight="1">
      <c r="A151" s="2" t="s">
        <v>903</v>
      </c>
      <c r="B151" s="2">
        <v>2025.0</v>
      </c>
      <c r="C151" s="2" t="s">
        <v>390</v>
      </c>
      <c r="D151" s="2">
        <v>10.0</v>
      </c>
      <c r="E151" s="2" t="s">
        <v>883</v>
      </c>
      <c r="F151" s="2" t="s">
        <v>419</v>
      </c>
      <c r="G151" s="2" t="s">
        <v>520</v>
      </c>
      <c r="H151" s="2" t="s">
        <v>142</v>
      </c>
      <c r="I151" s="2">
        <v>42.0</v>
      </c>
      <c r="J151" s="2" t="s">
        <v>246</v>
      </c>
      <c r="K151" s="2">
        <v>26.0</v>
      </c>
      <c r="L151" s="2" t="s">
        <v>77</v>
      </c>
      <c r="M151" s="2">
        <v>-16.0</v>
      </c>
      <c r="N151" s="2">
        <v>68.0</v>
      </c>
      <c r="O151" s="2">
        <v>0.0</v>
      </c>
      <c r="P151" s="2">
        <v>2.025110909E9</v>
      </c>
      <c r="Q151" s="2">
        <v>59988.0</v>
      </c>
      <c r="S151" s="2" t="s">
        <v>904</v>
      </c>
      <c r="T151" s="2">
        <v>28563.0</v>
      </c>
      <c r="U151" s="2">
        <v>4.01772879E8</v>
      </c>
      <c r="V151" s="2">
        <v>6879.0</v>
      </c>
      <c r="W151" s="2">
        <v>7.0</v>
      </c>
      <c r="X151" s="2">
        <v>7.0</v>
      </c>
      <c r="Y151" s="2">
        <v>-258.0</v>
      </c>
      <c r="Z151" s="2">
        <v>210.0</v>
      </c>
      <c r="AA151" s="2">
        <v>-5.5</v>
      </c>
      <c r="AB151" s="2">
        <v>-115.0</v>
      </c>
      <c r="AC151" s="2">
        <v>-105.0</v>
      </c>
      <c r="AD151" s="2">
        <v>49.5</v>
      </c>
      <c r="AE151" s="2">
        <v>-110.0</v>
      </c>
      <c r="AF151" s="2">
        <v>-110.0</v>
      </c>
      <c r="AG151" s="2">
        <v>1.0</v>
      </c>
      <c r="AH151" s="2" t="s">
        <v>395</v>
      </c>
      <c r="AI151" s="2" t="s">
        <v>396</v>
      </c>
      <c r="AJ151" s="2">
        <v>77.0</v>
      </c>
      <c r="AK151" s="2">
        <v>3.0</v>
      </c>
      <c r="AL151" s="2" t="s">
        <v>533</v>
      </c>
      <c r="AM151" s="2" t="s">
        <v>587</v>
      </c>
      <c r="AN151" s="2" t="s">
        <v>218</v>
      </c>
      <c r="AO151" s="2" t="s">
        <v>588</v>
      </c>
      <c r="AP151" s="2" t="s">
        <v>535</v>
      </c>
      <c r="AQ151" s="2" t="s">
        <v>514</v>
      </c>
      <c r="AR151" s="2" t="s">
        <v>429</v>
      </c>
      <c r="AS151" s="2" t="s">
        <v>667</v>
      </c>
      <c r="AT151" s="2" t="s">
        <v>668</v>
      </c>
      <c r="AV151" s="2">
        <f t="array" ref="AV151">IF($A151="","",IF(INDEX($A151:$AT151,1,MAP!$B$3)=CurrentSeason,1,0))</f>
        <v>0</v>
      </c>
      <c r="AW151" s="2" t="str">
        <f t="shared" si="1"/>
        <v/>
      </c>
    </row>
    <row r="152" ht="15.0" customHeight="1">
      <c r="A152" s="2" t="s">
        <v>905</v>
      </c>
      <c r="B152" s="2">
        <v>2025.0</v>
      </c>
      <c r="C152" s="2" t="s">
        <v>390</v>
      </c>
      <c r="D152" s="2">
        <v>10.0</v>
      </c>
      <c r="E152" s="2" t="s">
        <v>883</v>
      </c>
      <c r="F152" s="2" t="s">
        <v>419</v>
      </c>
      <c r="G152" s="2" t="s">
        <v>520</v>
      </c>
      <c r="H152" s="2" t="s">
        <v>202</v>
      </c>
      <c r="I152" s="2">
        <v>44.0</v>
      </c>
      <c r="J152" s="2" t="s">
        <v>253</v>
      </c>
      <c r="K152" s="2">
        <v>22.0</v>
      </c>
      <c r="L152" s="2" t="s">
        <v>77</v>
      </c>
      <c r="M152" s="2">
        <v>-22.0</v>
      </c>
      <c r="N152" s="2">
        <v>66.0</v>
      </c>
      <c r="O152" s="2">
        <v>0.0</v>
      </c>
      <c r="P152" s="2">
        <v>2.02511091E9</v>
      </c>
      <c r="Q152" s="2">
        <v>59989.0</v>
      </c>
      <c r="S152" s="2" t="s">
        <v>906</v>
      </c>
      <c r="T152" s="2">
        <v>28564.0</v>
      </c>
      <c r="U152" s="2">
        <v>4.01772878E8</v>
      </c>
      <c r="V152" s="2">
        <v>6880.0</v>
      </c>
      <c r="W152" s="2">
        <v>7.0</v>
      </c>
      <c r="X152" s="2">
        <v>7.0</v>
      </c>
      <c r="Y152" s="2">
        <v>-455.0</v>
      </c>
      <c r="Z152" s="2">
        <v>350.0</v>
      </c>
      <c r="AA152" s="2">
        <v>-8.5</v>
      </c>
      <c r="AB152" s="2">
        <v>-105.0</v>
      </c>
      <c r="AC152" s="2">
        <v>-115.0</v>
      </c>
      <c r="AD152" s="2">
        <v>49.5</v>
      </c>
      <c r="AE152" s="2">
        <v>-112.0</v>
      </c>
      <c r="AF152" s="2">
        <v>-108.0</v>
      </c>
      <c r="AG152" s="2">
        <v>0.0</v>
      </c>
      <c r="AH152" s="2" t="s">
        <v>395</v>
      </c>
      <c r="AI152" s="2" t="s">
        <v>396</v>
      </c>
      <c r="AJ152" s="2">
        <v>64.0</v>
      </c>
      <c r="AK152" s="2">
        <v>9.0</v>
      </c>
      <c r="AL152" s="2" t="s">
        <v>522</v>
      </c>
      <c r="AM152" s="2" t="s">
        <v>657</v>
      </c>
      <c r="AN152" s="2" t="s">
        <v>203</v>
      </c>
      <c r="AO152" s="2" t="s">
        <v>658</v>
      </c>
      <c r="AP152" s="2" t="s">
        <v>524</v>
      </c>
      <c r="AQ152" s="2" t="s">
        <v>496</v>
      </c>
      <c r="AR152" s="2" t="s">
        <v>477</v>
      </c>
      <c r="AS152" s="2" t="s">
        <v>498</v>
      </c>
      <c r="AT152" s="2" t="s">
        <v>499</v>
      </c>
      <c r="AV152" s="2">
        <f t="array" ref="AV152">IF($A152="","",IF(INDEX($A152:$AT152,1,MAP!$B$3)=CurrentSeason,1,0))</f>
        <v>0</v>
      </c>
      <c r="AW152" s="2" t="str">
        <f t="shared" si="1"/>
        <v/>
      </c>
    </row>
    <row r="153" ht="15.0" customHeight="1">
      <c r="A153" s="2" t="s">
        <v>907</v>
      </c>
      <c r="B153" s="2">
        <v>2025.0</v>
      </c>
      <c r="C153" s="2" t="s">
        <v>390</v>
      </c>
      <c r="D153" s="2">
        <v>10.0</v>
      </c>
      <c r="E153" s="2" t="s">
        <v>883</v>
      </c>
      <c r="F153" s="2" t="s">
        <v>419</v>
      </c>
      <c r="G153" s="2" t="s">
        <v>393</v>
      </c>
      <c r="H153" s="2" t="s">
        <v>242</v>
      </c>
      <c r="I153" s="2">
        <v>10.0</v>
      </c>
      <c r="J153" s="2" t="s">
        <v>220</v>
      </c>
      <c r="K153" s="2">
        <v>25.0</v>
      </c>
      <c r="L153" s="2" t="s">
        <v>77</v>
      </c>
      <c r="M153" s="2">
        <v>15.0</v>
      </c>
      <c r="N153" s="2">
        <v>35.0</v>
      </c>
      <c r="O153" s="2">
        <v>0.0</v>
      </c>
      <c r="P153" s="2">
        <v>2.025110911E9</v>
      </c>
      <c r="Q153" s="2">
        <v>59990.0</v>
      </c>
      <c r="S153" s="2" t="s">
        <v>908</v>
      </c>
      <c r="T153" s="2">
        <v>28565.0</v>
      </c>
      <c r="U153" s="2">
        <v>4.01772927E8</v>
      </c>
      <c r="V153" s="2">
        <v>6881.0</v>
      </c>
      <c r="W153" s="2">
        <v>7.0</v>
      </c>
      <c r="X153" s="2">
        <v>7.0</v>
      </c>
      <c r="Y153" s="2">
        <v>136.0</v>
      </c>
      <c r="Z153" s="2">
        <v>-162.0</v>
      </c>
      <c r="AA153" s="2">
        <v>3.0</v>
      </c>
      <c r="AB153" s="2">
        <v>-118.0</v>
      </c>
      <c r="AC153" s="2">
        <v>-102.0</v>
      </c>
      <c r="AD153" s="2">
        <v>45.5</v>
      </c>
      <c r="AE153" s="2">
        <v>-115.0</v>
      </c>
      <c r="AF153" s="2">
        <v>-105.0</v>
      </c>
      <c r="AG153" s="2">
        <v>0.0</v>
      </c>
      <c r="AH153" s="2" t="s">
        <v>409</v>
      </c>
      <c r="AI153" s="2" t="s">
        <v>531</v>
      </c>
      <c r="AL153" s="2" t="s">
        <v>482</v>
      </c>
      <c r="AM153" s="2" t="s">
        <v>411</v>
      </c>
      <c r="AN153" s="2" t="s">
        <v>243</v>
      </c>
      <c r="AO153" s="2" t="s">
        <v>221</v>
      </c>
      <c r="AP153" s="2" t="s">
        <v>485</v>
      </c>
      <c r="AQ153" s="2" t="s">
        <v>413</v>
      </c>
      <c r="AR153" s="2" t="s">
        <v>563</v>
      </c>
      <c r="AS153" s="2" t="s">
        <v>415</v>
      </c>
      <c r="AT153" s="2" t="s">
        <v>416</v>
      </c>
      <c r="AV153" s="2">
        <f t="array" ref="AV153">IF($A153="","",IF(INDEX($A153:$AT153,1,MAP!$B$3)=CurrentSeason,1,0))</f>
        <v>0</v>
      </c>
      <c r="AW153" s="2" t="str">
        <f t="shared" si="1"/>
        <v/>
      </c>
    </row>
    <row r="154" ht="15.0" customHeight="1">
      <c r="A154" s="2" t="s">
        <v>909</v>
      </c>
      <c r="B154" s="2">
        <v>2025.0</v>
      </c>
      <c r="C154" s="2" t="s">
        <v>390</v>
      </c>
      <c r="D154" s="2">
        <v>10.0</v>
      </c>
      <c r="E154" s="2" t="s">
        <v>910</v>
      </c>
      <c r="F154" s="2" t="s">
        <v>549</v>
      </c>
      <c r="G154" s="2" t="s">
        <v>550</v>
      </c>
      <c r="H154" s="2" t="s">
        <v>147</v>
      </c>
      <c r="I154" s="2">
        <v>10.0</v>
      </c>
      <c r="J154" s="2" t="s">
        <v>205</v>
      </c>
      <c r="K154" s="2">
        <v>7.0</v>
      </c>
      <c r="L154" s="2" t="s">
        <v>77</v>
      </c>
      <c r="M154" s="2">
        <v>-3.0</v>
      </c>
      <c r="N154" s="2">
        <v>17.0</v>
      </c>
      <c r="O154" s="2">
        <v>0.0</v>
      </c>
      <c r="P154" s="2">
        <v>2.025111E9</v>
      </c>
      <c r="Q154" s="2">
        <v>59991.0</v>
      </c>
      <c r="S154" s="2" t="s">
        <v>911</v>
      </c>
      <c r="T154" s="2">
        <v>28566.0</v>
      </c>
      <c r="U154" s="2">
        <v>4.0177263E8</v>
      </c>
      <c r="V154" s="2">
        <v>6882.0</v>
      </c>
      <c r="W154" s="2">
        <v>15.0</v>
      </c>
      <c r="X154" s="2">
        <v>8.0</v>
      </c>
      <c r="Y154" s="2">
        <v>-110.0</v>
      </c>
      <c r="Z154" s="2">
        <v>-110.0</v>
      </c>
      <c r="AA154" s="2">
        <v>1.5</v>
      </c>
      <c r="AB154" s="2">
        <v>-122.0</v>
      </c>
      <c r="AC154" s="2">
        <v>102.0</v>
      </c>
      <c r="AD154" s="2">
        <v>45.5</v>
      </c>
      <c r="AE154" s="2">
        <v>-108.0</v>
      </c>
      <c r="AF154" s="2">
        <v>-112.0</v>
      </c>
      <c r="AG154" s="2">
        <v>0.0</v>
      </c>
      <c r="AH154" s="2" t="s">
        <v>395</v>
      </c>
      <c r="AI154" s="2" t="s">
        <v>396</v>
      </c>
      <c r="AJ154" s="2">
        <v>33.0</v>
      </c>
      <c r="AK154" s="2">
        <v>9.0</v>
      </c>
      <c r="AL154" s="2" t="s">
        <v>398</v>
      </c>
      <c r="AM154" s="2" t="s">
        <v>523</v>
      </c>
      <c r="AN154" s="2" t="s">
        <v>241</v>
      </c>
      <c r="AO154" s="2" t="s">
        <v>206</v>
      </c>
      <c r="AP154" s="2" t="s">
        <v>400</v>
      </c>
      <c r="AQ154" s="2" t="s">
        <v>525</v>
      </c>
      <c r="AR154" s="2" t="s">
        <v>497</v>
      </c>
      <c r="AS154" s="2" t="s">
        <v>527</v>
      </c>
      <c r="AT154" s="2" t="s">
        <v>528</v>
      </c>
      <c r="AV154" s="2">
        <f t="array" ref="AV154">IF($A154="","",IF(INDEX($A154:$AT154,1,MAP!$B$3)=CurrentSeason,1,0))</f>
        <v>0</v>
      </c>
      <c r="AW154" s="2" t="str">
        <f t="shared" si="1"/>
        <v/>
      </c>
    </row>
    <row r="155" ht="15.0" customHeight="1">
      <c r="A155" s="2" t="s">
        <v>912</v>
      </c>
      <c r="B155" s="2">
        <v>2025.0</v>
      </c>
      <c r="C155" s="2" t="s">
        <v>390</v>
      </c>
      <c r="D155" s="2">
        <v>11.0</v>
      </c>
      <c r="E155" s="2" t="s">
        <v>913</v>
      </c>
      <c r="F155" s="2" t="s">
        <v>392</v>
      </c>
      <c r="G155" s="2" t="s">
        <v>550</v>
      </c>
      <c r="H155" s="2" t="s">
        <v>238</v>
      </c>
      <c r="I155" s="2">
        <v>14.0</v>
      </c>
      <c r="J155" s="2" t="s">
        <v>145</v>
      </c>
      <c r="K155" s="2">
        <v>27.0</v>
      </c>
      <c r="L155" s="2" t="s">
        <v>77</v>
      </c>
      <c r="M155" s="2">
        <v>13.0</v>
      </c>
      <c r="N155" s="2">
        <v>41.0</v>
      </c>
      <c r="O155" s="2">
        <v>0.0</v>
      </c>
      <c r="P155" s="2">
        <v>2.0251113E9</v>
      </c>
      <c r="Q155" s="2">
        <v>59992.0</v>
      </c>
      <c r="S155" s="2" t="s">
        <v>914</v>
      </c>
      <c r="T155" s="2">
        <v>28567.0</v>
      </c>
      <c r="U155" s="2">
        <v>4.01772945E8</v>
      </c>
      <c r="V155" s="2">
        <v>6883.0</v>
      </c>
      <c r="W155" s="2">
        <v>4.0</v>
      </c>
      <c r="X155" s="2">
        <v>4.0</v>
      </c>
      <c r="Y155" s="2">
        <v>625.0</v>
      </c>
      <c r="Z155" s="2">
        <v>-950.0</v>
      </c>
      <c r="AA155" s="2">
        <v>12.5</v>
      </c>
      <c r="AB155" s="2">
        <v>-105.0</v>
      </c>
      <c r="AC155" s="2">
        <v>-115.0</v>
      </c>
      <c r="AD155" s="2">
        <v>43.5</v>
      </c>
      <c r="AE155" s="2">
        <v>-115.0</v>
      </c>
      <c r="AF155" s="2">
        <v>-105.0</v>
      </c>
      <c r="AG155" s="2">
        <v>1.0</v>
      </c>
      <c r="AH155" s="2" t="s">
        <v>395</v>
      </c>
      <c r="AI155" s="2" t="s">
        <v>423</v>
      </c>
      <c r="AJ155" s="2">
        <v>39.0</v>
      </c>
      <c r="AK155" s="2">
        <v>9.0</v>
      </c>
      <c r="AL155" s="2" t="s">
        <v>649</v>
      </c>
      <c r="AM155" s="2" t="s">
        <v>463</v>
      </c>
      <c r="AN155" s="2" t="s">
        <v>650</v>
      </c>
      <c r="AO155" s="2" t="s">
        <v>230</v>
      </c>
      <c r="AP155" s="2" t="s">
        <v>486</v>
      </c>
      <c r="AQ155" s="2" t="s">
        <v>465</v>
      </c>
      <c r="AR155" s="2" t="s">
        <v>557</v>
      </c>
      <c r="AS155" s="2" t="s">
        <v>467</v>
      </c>
      <c r="AT155" s="2" t="s">
        <v>468</v>
      </c>
      <c r="AV155" s="2">
        <f t="array" ref="AV155">IF($A155="","",IF(INDEX($A155:$AT155,1,MAP!$B$3)=CurrentSeason,1,0))</f>
        <v>0</v>
      </c>
      <c r="AW155" s="2" t="str">
        <f t="shared" si="1"/>
        <v/>
      </c>
    </row>
    <row r="156" ht="15.0" customHeight="1">
      <c r="A156" s="2" t="s">
        <v>915</v>
      </c>
      <c r="B156" s="2">
        <v>2025.0</v>
      </c>
      <c r="C156" s="2" t="s">
        <v>390</v>
      </c>
      <c r="D156" s="2">
        <v>11.0</v>
      </c>
      <c r="E156" s="2" t="s">
        <v>916</v>
      </c>
      <c r="F156" s="2" t="s">
        <v>419</v>
      </c>
      <c r="G156" s="2" t="s">
        <v>679</v>
      </c>
      <c r="H156" s="2" t="s">
        <v>253</v>
      </c>
      <c r="I156" s="2">
        <v>13.0</v>
      </c>
      <c r="J156" s="2" t="s">
        <v>225</v>
      </c>
      <c r="K156" s="2">
        <v>16.0</v>
      </c>
      <c r="L156" s="2" t="s">
        <v>78</v>
      </c>
      <c r="M156" s="2">
        <v>3.0</v>
      </c>
      <c r="N156" s="2">
        <v>29.0</v>
      </c>
      <c r="O156" s="2">
        <v>1.0</v>
      </c>
      <c r="P156" s="2">
        <v>2.0251116E9</v>
      </c>
      <c r="Q156" s="2">
        <v>59993.0</v>
      </c>
      <c r="S156" s="2" t="s">
        <v>917</v>
      </c>
      <c r="T156" s="2">
        <v>28568.0</v>
      </c>
      <c r="U156" s="2">
        <v>4.01772631E8</v>
      </c>
      <c r="V156" s="2">
        <v>6884.0</v>
      </c>
      <c r="W156" s="2">
        <v>7.0</v>
      </c>
      <c r="X156" s="2">
        <v>7.0</v>
      </c>
      <c r="Y156" s="2">
        <v>124.0</v>
      </c>
      <c r="Z156" s="2">
        <v>-148.0</v>
      </c>
      <c r="AA156" s="2">
        <v>2.5</v>
      </c>
      <c r="AB156" s="2">
        <v>100.0</v>
      </c>
      <c r="AC156" s="2">
        <v>-120.0</v>
      </c>
      <c r="AD156" s="2">
        <v>47.5</v>
      </c>
      <c r="AE156" s="2">
        <v>-110.0</v>
      </c>
      <c r="AF156" s="2">
        <v>-110.0</v>
      </c>
      <c r="AG156" s="2">
        <v>0.0</v>
      </c>
      <c r="AH156" s="2" t="s">
        <v>395</v>
      </c>
      <c r="AI156" s="2" t="s">
        <v>396</v>
      </c>
      <c r="AL156" s="2" t="s">
        <v>657</v>
      </c>
      <c r="AM156" s="2" t="s">
        <v>444</v>
      </c>
      <c r="AN156" s="2" t="s">
        <v>658</v>
      </c>
      <c r="AO156" s="2" t="s">
        <v>182</v>
      </c>
      <c r="AP156" s="2" t="s">
        <v>496</v>
      </c>
      <c r="AQ156" s="2" t="s">
        <v>446</v>
      </c>
      <c r="AR156" s="2" t="s">
        <v>401</v>
      </c>
      <c r="AS156" s="2" t="s">
        <v>583</v>
      </c>
      <c r="AT156" s="2" t="s">
        <v>584</v>
      </c>
      <c r="AV156" s="2">
        <f t="array" ref="AV156">IF($A156="","",IF(INDEX($A156:$AT156,1,MAP!$B$3)=CurrentSeason,1,0))</f>
        <v>0</v>
      </c>
      <c r="AW156" s="2" t="str">
        <f t="shared" si="1"/>
        <v/>
      </c>
    </row>
    <row r="157" ht="15.0" customHeight="1">
      <c r="A157" s="2" t="s">
        <v>918</v>
      </c>
      <c r="B157" s="2">
        <v>2025.0</v>
      </c>
      <c r="C157" s="2" t="s">
        <v>390</v>
      </c>
      <c r="D157" s="2">
        <v>11.0</v>
      </c>
      <c r="E157" s="2" t="s">
        <v>916</v>
      </c>
      <c r="F157" s="2" t="s">
        <v>419</v>
      </c>
      <c r="G157" s="2" t="s">
        <v>420</v>
      </c>
      <c r="H157" s="2" t="s">
        <v>189</v>
      </c>
      <c r="I157" s="2">
        <v>30.0</v>
      </c>
      <c r="J157" s="2" t="s">
        <v>132</v>
      </c>
      <c r="K157" s="2">
        <v>27.0</v>
      </c>
      <c r="L157" s="2" t="s">
        <v>77</v>
      </c>
      <c r="M157" s="2">
        <v>-3.0</v>
      </c>
      <c r="N157" s="2">
        <v>57.0</v>
      </c>
      <c r="O157" s="2">
        <v>1.0</v>
      </c>
      <c r="P157" s="2">
        <v>2.025111601E9</v>
      </c>
      <c r="Q157" s="2">
        <v>59994.0</v>
      </c>
      <c r="S157" s="2" t="s">
        <v>919</v>
      </c>
      <c r="T157" s="2">
        <v>28569.0</v>
      </c>
      <c r="U157" s="2">
        <v>4.01772882E8</v>
      </c>
      <c r="V157" s="2">
        <v>6885.0</v>
      </c>
      <c r="W157" s="2">
        <v>7.0</v>
      </c>
      <c r="X157" s="2">
        <v>7.0</v>
      </c>
      <c r="Y157" s="2">
        <v>180.0</v>
      </c>
      <c r="Z157" s="2">
        <v>-218.0</v>
      </c>
      <c r="AA157" s="2">
        <v>4.5</v>
      </c>
      <c r="AB157" s="2">
        <v>-118.0</v>
      </c>
      <c r="AC157" s="2">
        <v>-102.0</v>
      </c>
      <c r="AD157" s="2">
        <v>42.5</v>
      </c>
      <c r="AE157" s="2">
        <v>-110.0</v>
      </c>
      <c r="AF157" s="2">
        <v>-110.0</v>
      </c>
      <c r="AG157" s="2">
        <v>1.0</v>
      </c>
      <c r="AH157" s="2" t="s">
        <v>422</v>
      </c>
      <c r="AI157" s="2" t="s">
        <v>423</v>
      </c>
      <c r="AL157" s="2" t="s">
        <v>453</v>
      </c>
      <c r="AM157" s="2" t="s">
        <v>425</v>
      </c>
      <c r="AN157" s="2" t="s">
        <v>190</v>
      </c>
      <c r="AO157" s="2" t="s">
        <v>426</v>
      </c>
      <c r="AP157" s="2" t="s">
        <v>455</v>
      </c>
      <c r="AQ157" s="2" t="s">
        <v>428</v>
      </c>
      <c r="AR157" s="2" t="s">
        <v>497</v>
      </c>
      <c r="AS157" s="2" t="s">
        <v>430</v>
      </c>
      <c r="AT157" s="2" t="s">
        <v>431</v>
      </c>
      <c r="AV157" s="2">
        <f t="array" ref="AV157">IF($A157="","",IF(INDEX($A157:$AT157,1,MAP!$B$3)=CurrentSeason,1,0))</f>
        <v>0</v>
      </c>
      <c r="AW157" s="2" t="str">
        <f t="shared" si="1"/>
        <v/>
      </c>
    </row>
    <row r="158" ht="15.0" customHeight="1">
      <c r="A158" s="2" t="s">
        <v>920</v>
      </c>
      <c r="B158" s="2">
        <v>2025.0</v>
      </c>
      <c r="C158" s="2" t="s">
        <v>390</v>
      </c>
      <c r="D158" s="2">
        <v>11.0</v>
      </c>
      <c r="E158" s="2" t="s">
        <v>916</v>
      </c>
      <c r="F158" s="2" t="s">
        <v>419</v>
      </c>
      <c r="G158" s="2" t="s">
        <v>420</v>
      </c>
      <c r="H158" s="2" t="s">
        <v>150</v>
      </c>
      <c r="I158" s="2">
        <v>32.0</v>
      </c>
      <c r="J158" s="2" t="s">
        <v>136</v>
      </c>
      <c r="K158" s="2">
        <v>44.0</v>
      </c>
      <c r="L158" s="2" t="s">
        <v>77</v>
      </c>
      <c r="M158" s="2">
        <v>12.0</v>
      </c>
      <c r="N158" s="2">
        <v>76.0</v>
      </c>
      <c r="O158" s="2">
        <v>0.0</v>
      </c>
      <c r="P158" s="2">
        <v>2.025111602E9</v>
      </c>
      <c r="Q158" s="2">
        <v>59995.0</v>
      </c>
      <c r="S158" s="2" t="s">
        <v>921</v>
      </c>
      <c r="T158" s="2">
        <v>28570.0</v>
      </c>
      <c r="U158" s="2">
        <v>4.01772776E8</v>
      </c>
      <c r="V158" s="2">
        <v>6886.0</v>
      </c>
      <c r="W158" s="2">
        <v>7.0</v>
      </c>
      <c r="X158" s="2">
        <v>7.0</v>
      </c>
      <c r="Y158" s="2">
        <v>230.0</v>
      </c>
      <c r="Z158" s="2">
        <v>-285.0</v>
      </c>
      <c r="AA158" s="2">
        <v>6.0</v>
      </c>
      <c r="AB158" s="2">
        <v>-108.0</v>
      </c>
      <c r="AC158" s="2">
        <v>-112.0</v>
      </c>
      <c r="AD158" s="2">
        <v>46.5</v>
      </c>
      <c r="AE158" s="2">
        <v>-112.0</v>
      </c>
      <c r="AF158" s="2">
        <v>-108.0</v>
      </c>
      <c r="AG158" s="2">
        <v>0.0</v>
      </c>
      <c r="AH158" s="2" t="s">
        <v>395</v>
      </c>
      <c r="AI158" s="2" t="s">
        <v>539</v>
      </c>
      <c r="AJ158" s="2">
        <v>38.0</v>
      </c>
      <c r="AK158" s="2">
        <v>20.0</v>
      </c>
      <c r="AL158" s="2" t="s">
        <v>424</v>
      </c>
      <c r="AM158" s="2" t="s">
        <v>541</v>
      </c>
      <c r="AN158" s="2" t="s">
        <v>248</v>
      </c>
      <c r="AO158" s="2" t="s">
        <v>187</v>
      </c>
      <c r="AP158" s="2" t="s">
        <v>427</v>
      </c>
      <c r="AQ158" s="2" t="s">
        <v>543</v>
      </c>
      <c r="AR158" s="2" t="s">
        <v>457</v>
      </c>
      <c r="AS158" s="2" t="s">
        <v>545</v>
      </c>
      <c r="AT158" s="2" t="s">
        <v>546</v>
      </c>
      <c r="AV158" s="2">
        <f t="array" ref="AV158">IF($A158="","",IF(INDEX($A158:$AT158,1,MAP!$B$3)=CurrentSeason,1,0))</f>
        <v>0</v>
      </c>
      <c r="AW158" s="2" t="str">
        <f t="shared" si="1"/>
        <v/>
      </c>
    </row>
    <row r="159" ht="15.0" customHeight="1">
      <c r="A159" s="2" t="s">
        <v>922</v>
      </c>
      <c r="B159" s="2">
        <v>2025.0</v>
      </c>
      <c r="C159" s="2" t="s">
        <v>390</v>
      </c>
      <c r="D159" s="2">
        <v>11.0</v>
      </c>
      <c r="E159" s="2" t="s">
        <v>916</v>
      </c>
      <c r="F159" s="2" t="s">
        <v>419</v>
      </c>
      <c r="G159" s="2" t="s">
        <v>420</v>
      </c>
      <c r="H159" s="2" t="s">
        <v>220</v>
      </c>
      <c r="I159" s="2">
        <v>6.0</v>
      </c>
      <c r="J159" s="2" t="s">
        <v>141</v>
      </c>
      <c r="K159" s="2">
        <v>35.0</v>
      </c>
      <c r="L159" s="2" t="s">
        <v>77</v>
      </c>
      <c r="M159" s="2">
        <v>29.0</v>
      </c>
      <c r="N159" s="2">
        <v>41.0</v>
      </c>
      <c r="O159" s="2">
        <v>0.0</v>
      </c>
      <c r="P159" s="2">
        <v>2.025111603E9</v>
      </c>
      <c r="Q159" s="2">
        <v>59996.0</v>
      </c>
      <c r="S159" s="2" t="s">
        <v>923</v>
      </c>
      <c r="T159" s="2">
        <v>28571.0</v>
      </c>
      <c r="U159" s="2">
        <v>4.01772775E8</v>
      </c>
      <c r="V159" s="2">
        <v>6887.0</v>
      </c>
      <c r="W159" s="2">
        <v>7.0</v>
      </c>
      <c r="X159" s="2">
        <v>7.0</v>
      </c>
      <c r="Y159" s="2">
        <v>-155.0</v>
      </c>
      <c r="Z159" s="2">
        <v>130.0</v>
      </c>
      <c r="AA159" s="2">
        <v>-3.0</v>
      </c>
      <c r="AB159" s="2">
        <v>-105.0</v>
      </c>
      <c r="AC159" s="2">
        <v>-115.0</v>
      </c>
      <c r="AD159" s="2">
        <v>43.5</v>
      </c>
      <c r="AE159" s="2">
        <v>-110.0</v>
      </c>
      <c r="AF159" s="2">
        <v>-110.0</v>
      </c>
      <c r="AG159" s="2">
        <v>0.0</v>
      </c>
      <c r="AH159" s="2" t="s">
        <v>395</v>
      </c>
      <c r="AI159" s="2" t="s">
        <v>396</v>
      </c>
      <c r="AJ159" s="2">
        <v>74.0</v>
      </c>
      <c r="AK159" s="2">
        <v>9.0</v>
      </c>
      <c r="AL159" s="2" t="s">
        <v>411</v>
      </c>
      <c r="AM159" s="2" t="s">
        <v>454</v>
      </c>
      <c r="AN159" s="2" t="s">
        <v>221</v>
      </c>
      <c r="AO159" s="2" t="s">
        <v>214</v>
      </c>
      <c r="AP159" s="2" t="s">
        <v>413</v>
      </c>
      <c r="AQ159" s="2" t="s">
        <v>456</v>
      </c>
      <c r="AR159" s="2" t="s">
        <v>536</v>
      </c>
      <c r="AS159" s="2" t="s">
        <v>458</v>
      </c>
      <c r="AT159" s="2" t="s">
        <v>459</v>
      </c>
      <c r="AV159" s="2">
        <f t="array" ref="AV159">IF($A159="","",IF(INDEX($A159:$AT159,1,MAP!$B$3)=CurrentSeason,1,0))</f>
        <v>0</v>
      </c>
      <c r="AW159" s="2" t="str">
        <f t="shared" si="1"/>
        <v/>
      </c>
    </row>
    <row r="160" ht="15.0" customHeight="1">
      <c r="A160" s="2" t="s">
        <v>924</v>
      </c>
      <c r="B160" s="2">
        <v>2025.0</v>
      </c>
      <c r="C160" s="2" t="s">
        <v>390</v>
      </c>
      <c r="D160" s="2">
        <v>11.0</v>
      </c>
      <c r="E160" s="2" t="s">
        <v>916</v>
      </c>
      <c r="F160" s="2" t="s">
        <v>419</v>
      </c>
      <c r="G160" s="2" t="s">
        <v>420</v>
      </c>
      <c r="H160" s="2" t="s">
        <v>137</v>
      </c>
      <c r="I160" s="2">
        <v>19.0</v>
      </c>
      <c r="J160" s="2" t="s">
        <v>144</v>
      </c>
      <c r="K160" s="2">
        <v>17.0</v>
      </c>
      <c r="L160" s="2" t="s">
        <v>77</v>
      </c>
      <c r="M160" s="2">
        <v>-2.0</v>
      </c>
      <c r="N160" s="2">
        <v>36.0</v>
      </c>
      <c r="O160" s="2">
        <v>0.0</v>
      </c>
      <c r="P160" s="2">
        <v>2.025111604E9</v>
      </c>
      <c r="Q160" s="2">
        <v>59997.0</v>
      </c>
      <c r="S160" s="2" t="s">
        <v>925</v>
      </c>
      <c r="T160" s="2">
        <v>28573.0</v>
      </c>
      <c r="U160" s="2">
        <v>4.0177288E8</v>
      </c>
      <c r="V160" s="2">
        <v>6888.0</v>
      </c>
      <c r="W160" s="2">
        <v>7.0</v>
      </c>
      <c r="X160" s="2">
        <v>7.0</v>
      </c>
      <c r="Y160" s="2">
        <v>124.0</v>
      </c>
      <c r="Z160" s="2">
        <v>-148.0</v>
      </c>
      <c r="AA160" s="2">
        <v>3.0</v>
      </c>
      <c r="AB160" s="2">
        <v>-115.0</v>
      </c>
      <c r="AC160" s="2">
        <v>-105.0</v>
      </c>
      <c r="AD160" s="2">
        <v>47.5</v>
      </c>
      <c r="AE160" s="2">
        <v>-102.0</v>
      </c>
      <c r="AF160" s="2">
        <v>-118.0</v>
      </c>
      <c r="AG160" s="2">
        <v>1.0</v>
      </c>
      <c r="AH160" s="2" t="s">
        <v>409</v>
      </c>
      <c r="AI160" s="2" t="s">
        <v>471</v>
      </c>
      <c r="AL160" s="2" t="s">
        <v>553</v>
      </c>
      <c r="AM160" s="2" t="s">
        <v>552</v>
      </c>
      <c r="AN160" s="2" t="s">
        <v>192</v>
      </c>
      <c r="AO160" s="2" t="s">
        <v>554</v>
      </c>
      <c r="AP160" s="2" t="s">
        <v>556</v>
      </c>
      <c r="AQ160" s="2" t="s">
        <v>555</v>
      </c>
      <c r="AR160" s="2" t="s">
        <v>563</v>
      </c>
      <c r="AS160" s="2" t="s">
        <v>611</v>
      </c>
      <c r="AT160" s="2" t="s">
        <v>612</v>
      </c>
      <c r="AV160" s="2">
        <f t="array" ref="AV160">IF($A160="","",IF(INDEX($A160:$AT160,1,MAP!$B$3)=CurrentSeason,1,0))</f>
        <v>0</v>
      </c>
      <c r="AW160" s="2" t="str">
        <f t="shared" si="1"/>
        <v/>
      </c>
    </row>
    <row r="161" ht="15.0" customHeight="1">
      <c r="A161" s="2" t="s">
        <v>926</v>
      </c>
      <c r="B161" s="2">
        <v>2025.0</v>
      </c>
      <c r="C161" s="2" t="s">
        <v>390</v>
      </c>
      <c r="D161" s="2">
        <v>11.0</v>
      </c>
      <c r="E161" s="2" t="s">
        <v>916</v>
      </c>
      <c r="F161" s="2" t="s">
        <v>419</v>
      </c>
      <c r="G161" s="2" t="s">
        <v>420</v>
      </c>
      <c r="H161" s="2" t="s">
        <v>205</v>
      </c>
      <c r="I161" s="2">
        <v>27.0</v>
      </c>
      <c r="J161" s="2" t="s">
        <v>235</v>
      </c>
      <c r="K161" s="2">
        <v>20.0</v>
      </c>
      <c r="L161" s="2" t="s">
        <v>77</v>
      </c>
      <c r="M161" s="2">
        <v>-7.0</v>
      </c>
      <c r="N161" s="2">
        <v>47.0</v>
      </c>
      <c r="O161" s="2">
        <v>0.0</v>
      </c>
      <c r="P161" s="2">
        <v>2.025111605E9</v>
      </c>
      <c r="Q161" s="2">
        <v>59998.0</v>
      </c>
      <c r="S161" s="2" t="s">
        <v>927</v>
      </c>
      <c r="T161" s="2">
        <v>28574.0</v>
      </c>
      <c r="U161" s="2">
        <v>4.01772883E8</v>
      </c>
      <c r="V161" s="2">
        <v>6889.0</v>
      </c>
      <c r="W161" s="2">
        <v>6.0</v>
      </c>
      <c r="X161" s="2">
        <v>7.0</v>
      </c>
      <c r="Y161" s="2">
        <v>-440.0</v>
      </c>
      <c r="Z161" s="2">
        <v>340.0</v>
      </c>
      <c r="AA161" s="2">
        <v>-7.5</v>
      </c>
      <c r="AB161" s="2">
        <v>-110.0</v>
      </c>
      <c r="AC161" s="2">
        <v>-110.0</v>
      </c>
      <c r="AD161" s="2">
        <v>41.5</v>
      </c>
      <c r="AE161" s="2">
        <v>-110.0</v>
      </c>
      <c r="AF161" s="2">
        <v>-110.0</v>
      </c>
      <c r="AG161" s="2">
        <v>0.0</v>
      </c>
      <c r="AH161" s="2" t="s">
        <v>395</v>
      </c>
      <c r="AI161" s="2" t="s">
        <v>423</v>
      </c>
      <c r="AJ161" s="2">
        <v>55.0</v>
      </c>
      <c r="AK161" s="2">
        <v>17.0</v>
      </c>
      <c r="AL161" s="2" t="s">
        <v>523</v>
      </c>
      <c r="AM161" s="2" t="s">
        <v>928</v>
      </c>
      <c r="AN161" s="2" t="s">
        <v>206</v>
      </c>
      <c r="AO161" s="2" t="s">
        <v>929</v>
      </c>
      <c r="AP161" s="2" t="s">
        <v>525</v>
      </c>
      <c r="AQ161" s="2" t="s">
        <v>495</v>
      </c>
      <c r="AR161" s="2" t="s">
        <v>477</v>
      </c>
      <c r="AS161" s="2" t="s">
        <v>488</v>
      </c>
      <c r="AT161" s="2" t="s">
        <v>489</v>
      </c>
      <c r="AV161" s="2">
        <f t="array" ref="AV161">IF($A161="","",IF(INDEX($A161:$AT161,1,MAP!$B$3)=CurrentSeason,1,0))</f>
        <v>0</v>
      </c>
      <c r="AW161" s="2" t="str">
        <f t="shared" si="1"/>
        <v/>
      </c>
    </row>
    <row r="162" ht="15.0" customHeight="1">
      <c r="A162" s="2" t="s">
        <v>930</v>
      </c>
      <c r="B162" s="2">
        <v>2025.0</v>
      </c>
      <c r="C162" s="2" t="s">
        <v>390</v>
      </c>
      <c r="D162" s="2">
        <v>11.0</v>
      </c>
      <c r="E162" s="2" t="s">
        <v>916</v>
      </c>
      <c r="F162" s="2" t="s">
        <v>419</v>
      </c>
      <c r="G162" s="2" t="s">
        <v>420</v>
      </c>
      <c r="H162" s="2" t="s">
        <v>138</v>
      </c>
      <c r="I162" s="2">
        <v>12.0</v>
      </c>
      <c r="J162" s="2" t="s">
        <v>242</v>
      </c>
      <c r="K162" s="2">
        <v>34.0</v>
      </c>
      <c r="L162" s="2" t="s">
        <v>77</v>
      </c>
      <c r="M162" s="2">
        <v>22.0</v>
      </c>
      <c r="N162" s="2">
        <v>46.0</v>
      </c>
      <c r="O162" s="2">
        <v>0.0</v>
      </c>
      <c r="P162" s="2">
        <v>2.025111606E9</v>
      </c>
      <c r="Q162" s="2">
        <v>59999.0</v>
      </c>
      <c r="S162" s="2" t="s">
        <v>931</v>
      </c>
      <c r="T162" s="2">
        <v>28575.0</v>
      </c>
      <c r="U162" s="2">
        <v>4.01772774E8</v>
      </c>
      <c r="V162" s="2">
        <v>6890.0</v>
      </c>
      <c r="W162" s="2">
        <v>14.0</v>
      </c>
      <c r="X162" s="2">
        <v>7.0</v>
      </c>
      <c r="Y162" s="2">
        <v>205.0</v>
      </c>
      <c r="Z162" s="2">
        <v>-250.0</v>
      </c>
      <c r="AA162" s="2">
        <v>5.5</v>
      </c>
      <c r="AB162" s="2">
        <v>-108.0</v>
      </c>
      <c r="AC162" s="2">
        <v>-112.0</v>
      </c>
      <c r="AD162" s="2">
        <v>48.5</v>
      </c>
      <c r="AE162" s="2">
        <v>-110.0</v>
      </c>
      <c r="AF162" s="2">
        <v>-110.0</v>
      </c>
      <c r="AG162" s="2">
        <v>1.0</v>
      </c>
      <c r="AH162" s="2" t="s">
        <v>395</v>
      </c>
      <c r="AI162" s="2" t="s">
        <v>396</v>
      </c>
      <c r="AJ162" s="2">
        <v>46.0</v>
      </c>
      <c r="AK162" s="2">
        <v>17.0</v>
      </c>
      <c r="AL162" s="2" t="s">
        <v>435</v>
      </c>
      <c r="AM162" s="2" t="s">
        <v>482</v>
      </c>
      <c r="AN162" s="2" t="s">
        <v>436</v>
      </c>
      <c r="AO162" s="2" t="s">
        <v>243</v>
      </c>
      <c r="AP162" s="2" t="s">
        <v>437</v>
      </c>
      <c r="AQ162" s="2" t="s">
        <v>485</v>
      </c>
      <c r="AR162" s="2" t="s">
        <v>487</v>
      </c>
      <c r="AS162" s="2" t="s">
        <v>593</v>
      </c>
      <c r="AT162" s="2" t="s">
        <v>594</v>
      </c>
      <c r="AV162" s="2">
        <f t="array" ref="AV162">IF($A162="","",IF(INDEX($A162:$AT162,1,MAP!$B$3)=CurrentSeason,1,0))</f>
        <v>0</v>
      </c>
      <c r="AW162" s="2" t="str">
        <f t="shared" si="1"/>
        <v/>
      </c>
    </row>
    <row r="163" ht="15.0" customHeight="1">
      <c r="A163" s="2" t="s">
        <v>932</v>
      </c>
      <c r="B163" s="2">
        <v>2025.0</v>
      </c>
      <c r="C163" s="2" t="s">
        <v>390</v>
      </c>
      <c r="D163" s="2">
        <v>11.0</v>
      </c>
      <c r="E163" s="2" t="s">
        <v>916</v>
      </c>
      <c r="F163" s="2" t="s">
        <v>419</v>
      </c>
      <c r="G163" s="2" t="s">
        <v>420</v>
      </c>
      <c r="H163" s="2" t="s">
        <v>140</v>
      </c>
      <c r="I163" s="2">
        <v>16.0</v>
      </c>
      <c r="J163" s="2" t="s">
        <v>250</v>
      </c>
      <c r="K163" s="2">
        <v>13.0</v>
      </c>
      <c r="L163" s="2" t="s">
        <v>77</v>
      </c>
      <c r="M163" s="2">
        <v>-3.0</v>
      </c>
      <c r="N163" s="2">
        <v>29.0</v>
      </c>
      <c r="O163" s="2">
        <v>0.0</v>
      </c>
      <c r="P163" s="2">
        <v>2.025111607E9</v>
      </c>
      <c r="Q163" s="2">
        <v>60000.0</v>
      </c>
      <c r="S163" s="2" t="s">
        <v>933</v>
      </c>
      <c r="T163" s="2">
        <v>28576.0</v>
      </c>
      <c r="U163" s="2">
        <v>4.01772881E8</v>
      </c>
      <c r="V163" s="2">
        <v>6891.0</v>
      </c>
      <c r="W163" s="2">
        <v>7.0</v>
      </c>
      <c r="X163" s="2">
        <v>14.0</v>
      </c>
      <c r="Y163" s="2">
        <v>-265.0</v>
      </c>
      <c r="Z163" s="2">
        <v>215.0</v>
      </c>
      <c r="AA163" s="2">
        <v>-5.5</v>
      </c>
      <c r="AB163" s="2">
        <v>-108.0</v>
      </c>
      <c r="AC163" s="2">
        <v>-112.0</v>
      </c>
      <c r="AD163" s="2">
        <v>37.5</v>
      </c>
      <c r="AE163" s="2">
        <v>-118.0</v>
      </c>
      <c r="AF163" s="2">
        <v>-102.0</v>
      </c>
      <c r="AG163" s="2">
        <v>1.0</v>
      </c>
      <c r="AH163" s="2" t="s">
        <v>395</v>
      </c>
      <c r="AI163" s="2" t="s">
        <v>396</v>
      </c>
      <c r="AJ163" s="2">
        <v>64.0</v>
      </c>
      <c r="AK163" s="2">
        <v>8.0</v>
      </c>
      <c r="AL163" s="2" t="s">
        <v>891</v>
      </c>
      <c r="AM163" s="2" t="s">
        <v>503</v>
      </c>
      <c r="AN163" s="2" t="s">
        <v>892</v>
      </c>
      <c r="AO163" s="2" t="s">
        <v>251</v>
      </c>
      <c r="AP163" s="2" t="s">
        <v>534</v>
      </c>
      <c r="AQ163" s="2" t="s">
        <v>505</v>
      </c>
      <c r="AR163" s="2" t="s">
        <v>516</v>
      </c>
      <c r="AS163" s="2" t="s">
        <v>597</v>
      </c>
      <c r="AT163" s="2" t="s">
        <v>598</v>
      </c>
      <c r="AV163" s="2">
        <f t="array" ref="AV163">IF($A163="","",IF(INDEX($A163:$AT163,1,MAP!$B$3)=CurrentSeason,1,0))</f>
        <v>0</v>
      </c>
      <c r="AW163" s="2" t="str">
        <f t="shared" si="1"/>
        <v/>
      </c>
    </row>
    <row r="164" ht="15.0" customHeight="1">
      <c r="A164" s="2" t="s">
        <v>934</v>
      </c>
      <c r="B164" s="2">
        <v>2025.0</v>
      </c>
      <c r="C164" s="2" t="s">
        <v>390</v>
      </c>
      <c r="D164" s="2">
        <v>11.0</v>
      </c>
      <c r="E164" s="2" t="s">
        <v>916</v>
      </c>
      <c r="F164" s="2" t="s">
        <v>419</v>
      </c>
      <c r="G164" s="2" t="s">
        <v>501</v>
      </c>
      <c r="H164" s="2" t="s">
        <v>246</v>
      </c>
      <c r="I164" s="2">
        <v>41.0</v>
      </c>
      <c r="J164" s="2" t="s">
        <v>178</v>
      </c>
      <c r="K164" s="2">
        <v>22.0</v>
      </c>
      <c r="L164" s="2" t="s">
        <v>77</v>
      </c>
      <c r="M164" s="2">
        <v>-19.0</v>
      </c>
      <c r="N164" s="2">
        <v>63.0</v>
      </c>
      <c r="O164" s="2">
        <v>0.0</v>
      </c>
      <c r="P164" s="2">
        <v>2.025111608E9</v>
      </c>
      <c r="Q164" s="2">
        <v>60001.0</v>
      </c>
      <c r="S164" s="2" t="s">
        <v>935</v>
      </c>
      <c r="T164" s="2">
        <v>28577.0</v>
      </c>
      <c r="U164" s="2">
        <v>4.01772885E8</v>
      </c>
      <c r="V164" s="2">
        <v>6892.0</v>
      </c>
      <c r="W164" s="2">
        <v>7.0</v>
      </c>
      <c r="X164" s="2">
        <v>7.0</v>
      </c>
      <c r="Y164" s="2">
        <v>-192.0</v>
      </c>
      <c r="Z164" s="2">
        <v>160.0</v>
      </c>
      <c r="AA164" s="2">
        <v>-3.5</v>
      </c>
      <c r="AB164" s="2">
        <v>-105.0</v>
      </c>
      <c r="AC164" s="2">
        <v>-115.0</v>
      </c>
      <c r="AD164" s="2">
        <v>48.5</v>
      </c>
      <c r="AE164" s="2">
        <v>-112.0</v>
      </c>
      <c r="AF164" s="2">
        <v>-108.0</v>
      </c>
      <c r="AG164" s="2">
        <v>1.0</v>
      </c>
      <c r="AH164" s="2" t="s">
        <v>422</v>
      </c>
      <c r="AI164" s="2" t="s">
        <v>396</v>
      </c>
      <c r="AL164" s="2" t="s">
        <v>512</v>
      </c>
      <c r="AM164" s="2" t="s">
        <v>759</v>
      </c>
      <c r="AN164" s="2" t="s">
        <v>247</v>
      </c>
      <c r="AO164" s="2" t="s">
        <v>179</v>
      </c>
      <c r="AP164" s="2" t="s">
        <v>514</v>
      </c>
      <c r="AQ164" s="2" t="s">
        <v>475</v>
      </c>
      <c r="AR164" s="2" t="s">
        <v>414</v>
      </c>
      <c r="AS164" s="2" t="s">
        <v>601</v>
      </c>
      <c r="AT164" s="2" t="s">
        <v>602</v>
      </c>
      <c r="AV164" s="2">
        <f t="array" ref="AV164">IF($A164="","",IF(INDEX($A164:$AT164,1,MAP!$B$3)=CurrentSeason,1,0))</f>
        <v>0</v>
      </c>
      <c r="AW164" s="2" t="str">
        <f t="shared" si="1"/>
        <v/>
      </c>
    </row>
    <row r="165" ht="15.0" customHeight="1">
      <c r="A165" s="2" t="s">
        <v>936</v>
      </c>
      <c r="B165" s="2">
        <v>2025.0</v>
      </c>
      <c r="C165" s="2" t="s">
        <v>390</v>
      </c>
      <c r="D165" s="2">
        <v>11.0</v>
      </c>
      <c r="E165" s="2" t="s">
        <v>916</v>
      </c>
      <c r="F165" s="2" t="s">
        <v>419</v>
      </c>
      <c r="G165" s="2" t="s">
        <v>501</v>
      </c>
      <c r="H165" s="2" t="s">
        <v>149</v>
      </c>
      <c r="I165" s="2">
        <v>19.0</v>
      </c>
      <c r="J165" s="2" t="s">
        <v>142</v>
      </c>
      <c r="K165" s="2">
        <v>21.0</v>
      </c>
      <c r="L165" s="2" t="s">
        <v>77</v>
      </c>
      <c r="M165" s="2">
        <v>2.0</v>
      </c>
      <c r="N165" s="2">
        <v>40.0</v>
      </c>
      <c r="O165" s="2">
        <v>0.0</v>
      </c>
      <c r="P165" s="2">
        <v>2.025111609E9</v>
      </c>
      <c r="Q165" s="2">
        <v>60002.0</v>
      </c>
      <c r="S165" s="2" t="s">
        <v>937</v>
      </c>
      <c r="T165" s="2">
        <v>28578.0</v>
      </c>
      <c r="U165" s="2">
        <v>4.01772884E8</v>
      </c>
      <c r="V165" s="2">
        <v>6893.0</v>
      </c>
      <c r="W165" s="2">
        <v>7.0</v>
      </c>
      <c r="X165" s="2">
        <v>7.0</v>
      </c>
      <c r="Y165" s="2">
        <v>145.0</v>
      </c>
      <c r="Z165" s="2">
        <v>-175.0</v>
      </c>
      <c r="AA165" s="2">
        <v>3.0</v>
      </c>
      <c r="AB165" s="2">
        <v>100.0</v>
      </c>
      <c r="AC165" s="2">
        <v>-120.0</v>
      </c>
      <c r="AD165" s="2">
        <v>49.5</v>
      </c>
      <c r="AE165" s="2">
        <v>-105.0</v>
      </c>
      <c r="AF165" s="2">
        <v>-115.0</v>
      </c>
      <c r="AG165" s="2">
        <v>1.0</v>
      </c>
      <c r="AH165" s="2" t="s">
        <v>409</v>
      </c>
      <c r="AI165" s="2" t="s">
        <v>531</v>
      </c>
      <c r="AL165" s="2" t="s">
        <v>513</v>
      </c>
      <c r="AM165" s="2" t="s">
        <v>533</v>
      </c>
      <c r="AN165" s="2" t="s">
        <v>245</v>
      </c>
      <c r="AO165" s="2" t="s">
        <v>218</v>
      </c>
      <c r="AP165" s="2" t="s">
        <v>515</v>
      </c>
      <c r="AQ165" s="2" t="s">
        <v>535</v>
      </c>
      <c r="AR165" s="2" t="s">
        <v>544</v>
      </c>
      <c r="AS165" s="2" t="s">
        <v>415</v>
      </c>
      <c r="AT165" s="2" t="s">
        <v>416</v>
      </c>
      <c r="AV165" s="2">
        <f t="array" ref="AV165">IF($A165="","",IF(INDEX($A165:$AT165,1,MAP!$B$3)=CurrentSeason,1,0))</f>
        <v>0</v>
      </c>
      <c r="AW165" s="2" t="str">
        <f t="shared" si="1"/>
        <v/>
      </c>
    </row>
    <row r="166" ht="15.0" customHeight="1">
      <c r="A166" s="2" t="s">
        <v>938</v>
      </c>
      <c r="B166" s="2">
        <v>2025.0</v>
      </c>
      <c r="C166" s="2" t="s">
        <v>390</v>
      </c>
      <c r="D166" s="2">
        <v>11.0</v>
      </c>
      <c r="E166" s="2" t="s">
        <v>916</v>
      </c>
      <c r="F166" s="2" t="s">
        <v>419</v>
      </c>
      <c r="G166" s="2" t="s">
        <v>520</v>
      </c>
      <c r="H166" s="2" t="s">
        <v>148</v>
      </c>
      <c r="I166" s="2">
        <v>23.0</v>
      </c>
      <c r="J166" s="2" t="s">
        <v>196</v>
      </c>
      <c r="K166" s="2">
        <v>16.0</v>
      </c>
      <c r="L166" s="2" t="s">
        <v>77</v>
      </c>
      <c r="M166" s="2">
        <v>-7.0</v>
      </c>
      <c r="N166" s="2">
        <v>39.0</v>
      </c>
      <c r="O166" s="2">
        <v>0.0</v>
      </c>
      <c r="P166" s="2">
        <v>2.02511161E9</v>
      </c>
      <c r="Q166" s="2">
        <v>60003.0</v>
      </c>
      <c r="S166" s="2" t="s">
        <v>939</v>
      </c>
      <c r="T166" s="2">
        <v>28579.0</v>
      </c>
      <c r="U166" s="2">
        <v>4.01772777E8</v>
      </c>
      <c r="V166" s="2">
        <v>6894.0</v>
      </c>
      <c r="W166" s="2">
        <v>7.0</v>
      </c>
      <c r="X166" s="2">
        <v>7.0</v>
      </c>
      <c r="Y166" s="2">
        <v>-440.0</v>
      </c>
      <c r="Z166" s="2">
        <v>340.0</v>
      </c>
      <c r="AA166" s="2">
        <v>-7.5</v>
      </c>
      <c r="AB166" s="2">
        <v>-105.0</v>
      </c>
      <c r="AC166" s="2">
        <v>-115.0</v>
      </c>
      <c r="AD166" s="2">
        <v>37.5</v>
      </c>
      <c r="AE166" s="2">
        <v>-105.0</v>
      </c>
      <c r="AF166" s="2">
        <v>-115.0</v>
      </c>
      <c r="AG166" s="2">
        <v>1.0</v>
      </c>
      <c r="AH166" s="2" t="s">
        <v>395</v>
      </c>
      <c r="AI166" s="2" t="s">
        <v>396</v>
      </c>
      <c r="AJ166" s="2">
        <v>44.0</v>
      </c>
      <c r="AK166" s="2">
        <v>20.0</v>
      </c>
      <c r="AL166" s="2" t="s">
        <v>540</v>
      </c>
      <c r="AM166" s="2" t="s">
        <v>718</v>
      </c>
      <c r="AN166" s="2" t="s">
        <v>184</v>
      </c>
      <c r="AO166" s="2" t="s">
        <v>719</v>
      </c>
      <c r="AP166" s="2" t="s">
        <v>542</v>
      </c>
      <c r="AQ166" s="2" t="s">
        <v>438</v>
      </c>
      <c r="AR166" s="2" t="s">
        <v>429</v>
      </c>
      <c r="AS166" s="2" t="s">
        <v>440</v>
      </c>
      <c r="AT166" s="2" t="s">
        <v>441</v>
      </c>
      <c r="AV166" s="2">
        <f t="array" ref="AV166">IF($A166="","",IF(INDEX($A166:$AT166,1,MAP!$B$3)=CurrentSeason,1,0))</f>
        <v>0</v>
      </c>
      <c r="AW166" s="2" t="str">
        <f t="shared" si="1"/>
        <v/>
      </c>
    </row>
    <row r="167" ht="15.0" customHeight="1">
      <c r="A167" s="2" t="s">
        <v>940</v>
      </c>
      <c r="B167" s="2">
        <v>2025.0</v>
      </c>
      <c r="C167" s="2" t="s">
        <v>390</v>
      </c>
      <c r="D167" s="2">
        <v>11.0</v>
      </c>
      <c r="E167" s="2" t="s">
        <v>916</v>
      </c>
      <c r="F167" s="2" t="s">
        <v>419</v>
      </c>
      <c r="G167" s="2" t="s">
        <v>520</v>
      </c>
      <c r="H167" s="2" t="s">
        <v>143</v>
      </c>
      <c r="I167" s="2">
        <v>19.0</v>
      </c>
      <c r="J167" s="2" t="s">
        <v>139</v>
      </c>
      <c r="K167" s="2">
        <v>22.0</v>
      </c>
      <c r="L167" s="2" t="s">
        <v>77</v>
      </c>
      <c r="M167" s="2">
        <v>3.0</v>
      </c>
      <c r="N167" s="2">
        <v>41.0</v>
      </c>
      <c r="O167" s="2">
        <v>0.0</v>
      </c>
      <c r="P167" s="2">
        <v>2.025111611E9</v>
      </c>
      <c r="Q167" s="2">
        <v>60004.0</v>
      </c>
      <c r="S167" s="2" t="s">
        <v>941</v>
      </c>
      <c r="T167" s="2">
        <v>28580.0</v>
      </c>
      <c r="U167" s="2">
        <v>4.01772778E8</v>
      </c>
      <c r="V167" s="2">
        <v>6895.0</v>
      </c>
      <c r="W167" s="2">
        <v>14.0</v>
      </c>
      <c r="X167" s="2">
        <v>10.0</v>
      </c>
      <c r="Y167" s="2">
        <v>-218.0</v>
      </c>
      <c r="Z167" s="2">
        <v>180.0</v>
      </c>
      <c r="AA167" s="2">
        <v>-3.5</v>
      </c>
      <c r="AB167" s="2">
        <v>-120.0</v>
      </c>
      <c r="AC167" s="2">
        <v>100.0</v>
      </c>
      <c r="AD167" s="2">
        <v>44.5</v>
      </c>
      <c r="AE167" s="2">
        <v>-110.0</v>
      </c>
      <c r="AF167" s="2">
        <v>-110.0</v>
      </c>
      <c r="AG167" s="2">
        <v>1.0</v>
      </c>
      <c r="AH167" s="2" t="s">
        <v>395</v>
      </c>
      <c r="AI167" s="2" t="s">
        <v>396</v>
      </c>
      <c r="AJ167" s="2">
        <v>70.0</v>
      </c>
      <c r="AK167" s="2">
        <v>6.0</v>
      </c>
      <c r="AL167" s="2" t="s">
        <v>410</v>
      </c>
      <c r="AM167" s="2" t="s">
        <v>504</v>
      </c>
      <c r="AN167" s="2" t="s">
        <v>216</v>
      </c>
      <c r="AO167" s="2" t="s">
        <v>201</v>
      </c>
      <c r="AP167" s="2" t="s">
        <v>412</v>
      </c>
      <c r="AQ167" s="2" t="s">
        <v>506</v>
      </c>
      <c r="AR167" s="2" t="s">
        <v>439</v>
      </c>
      <c r="AS167" s="2" t="s">
        <v>508</v>
      </c>
      <c r="AT167" s="2" t="s">
        <v>509</v>
      </c>
      <c r="AV167" s="2">
        <f t="array" ref="AV167">IF($A167="","",IF(INDEX($A167:$AT167,1,MAP!$B$3)=CurrentSeason,1,0))</f>
        <v>0</v>
      </c>
      <c r="AW167" s="2" t="str">
        <f t="shared" si="1"/>
        <v/>
      </c>
    </row>
    <row r="168" ht="15.0" customHeight="1">
      <c r="A168" s="2" t="s">
        <v>942</v>
      </c>
      <c r="B168" s="2">
        <v>2025.0</v>
      </c>
      <c r="C168" s="2" t="s">
        <v>390</v>
      </c>
      <c r="D168" s="2">
        <v>11.0</v>
      </c>
      <c r="E168" s="2" t="s">
        <v>916</v>
      </c>
      <c r="F168" s="2" t="s">
        <v>419</v>
      </c>
      <c r="G168" s="2" t="s">
        <v>393</v>
      </c>
      <c r="H168" s="2" t="s">
        <v>202</v>
      </c>
      <c r="I168" s="2">
        <v>9.0</v>
      </c>
      <c r="J168" s="2" t="s">
        <v>147</v>
      </c>
      <c r="K168" s="2">
        <v>16.0</v>
      </c>
      <c r="L168" s="2" t="s">
        <v>77</v>
      </c>
      <c r="M168" s="2">
        <v>7.0</v>
      </c>
      <c r="N168" s="2">
        <v>25.0</v>
      </c>
      <c r="O168" s="2">
        <v>0.0</v>
      </c>
      <c r="P168" s="2">
        <v>2.025111612E9</v>
      </c>
      <c r="Q168" s="2">
        <v>60005.0</v>
      </c>
      <c r="S168" s="2" t="s">
        <v>943</v>
      </c>
      <c r="T168" s="2">
        <v>28581.0</v>
      </c>
      <c r="U168" s="2">
        <v>4.01772928E8</v>
      </c>
      <c r="V168" s="2">
        <v>6896.0</v>
      </c>
      <c r="W168" s="2">
        <v>7.0</v>
      </c>
      <c r="X168" s="2">
        <v>6.0</v>
      </c>
      <c r="Y168" s="2">
        <v>130.0</v>
      </c>
      <c r="Z168" s="2">
        <v>-155.0</v>
      </c>
      <c r="AA168" s="2">
        <v>2.5</v>
      </c>
      <c r="AB168" s="2">
        <v>-102.0</v>
      </c>
      <c r="AC168" s="2">
        <v>-118.0</v>
      </c>
      <c r="AD168" s="2">
        <v>46.5</v>
      </c>
      <c r="AE168" s="2">
        <v>-108.0</v>
      </c>
      <c r="AF168" s="2">
        <v>-112.0</v>
      </c>
      <c r="AG168" s="2">
        <v>0.0</v>
      </c>
      <c r="AH168" s="2" t="s">
        <v>395</v>
      </c>
      <c r="AI168" s="2" t="s">
        <v>396</v>
      </c>
      <c r="AJ168" s="2">
        <v>45.0</v>
      </c>
      <c r="AK168" s="2">
        <v>15.0</v>
      </c>
      <c r="AL168" s="2" t="s">
        <v>522</v>
      </c>
      <c r="AM168" s="2" t="s">
        <v>398</v>
      </c>
      <c r="AN168" s="2" t="s">
        <v>203</v>
      </c>
      <c r="AO168" s="2" t="s">
        <v>241</v>
      </c>
      <c r="AP168" s="2" t="s">
        <v>524</v>
      </c>
      <c r="AQ168" s="2" t="s">
        <v>400</v>
      </c>
      <c r="AR168" s="2" t="s">
        <v>507</v>
      </c>
      <c r="AS168" s="2" t="s">
        <v>402</v>
      </c>
      <c r="AT168" s="2" t="s">
        <v>403</v>
      </c>
      <c r="AV168" s="2">
        <f t="array" ref="AV168">IF($A168="","",IF(INDEX($A168:$AT168,1,MAP!$B$3)=CurrentSeason,1,0))</f>
        <v>0</v>
      </c>
      <c r="AW168" s="2" t="str">
        <f t="shared" si="1"/>
        <v/>
      </c>
    </row>
    <row r="169" ht="15.0" customHeight="1">
      <c r="A169" s="2" t="s">
        <v>944</v>
      </c>
      <c r="B169" s="2">
        <v>2025.0</v>
      </c>
      <c r="C169" s="2" t="s">
        <v>390</v>
      </c>
      <c r="D169" s="2">
        <v>11.0</v>
      </c>
      <c r="E169" s="2" t="s">
        <v>945</v>
      </c>
      <c r="F169" s="2" t="s">
        <v>549</v>
      </c>
      <c r="G169" s="2" t="s">
        <v>550</v>
      </c>
      <c r="H169" s="2" t="s">
        <v>146</v>
      </c>
      <c r="I169" s="2">
        <v>33.0</v>
      </c>
      <c r="J169" s="2" t="s">
        <v>222</v>
      </c>
      <c r="K169" s="2">
        <v>16.0</v>
      </c>
      <c r="L169" s="2" t="s">
        <v>77</v>
      </c>
      <c r="M169" s="2">
        <v>-17.0</v>
      </c>
      <c r="N169" s="2">
        <v>49.0</v>
      </c>
      <c r="O169" s="2">
        <v>0.0</v>
      </c>
      <c r="P169" s="2">
        <v>2.0251117E9</v>
      </c>
      <c r="Q169" s="2">
        <v>60006.0</v>
      </c>
      <c r="S169" s="2" t="s">
        <v>946</v>
      </c>
      <c r="T169" s="2">
        <v>28572.0</v>
      </c>
      <c r="U169" s="2">
        <v>4.01772819E8</v>
      </c>
      <c r="V169" s="2">
        <v>6897.0</v>
      </c>
      <c r="W169" s="2">
        <v>14.0</v>
      </c>
      <c r="X169" s="2">
        <v>11.0</v>
      </c>
      <c r="Y169" s="2">
        <v>-198.0</v>
      </c>
      <c r="Z169" s="2">
        <v>164.0</v>
      </c>
      <c r="AA169" s="2">
        <v>-3.5</v>
      </c>
      <c r="AB169" s="2">
        <v>-115.0</v>
      </c>
      <c r="AC169" s="2">
        <v>-105.0</v>
      </c>
      <c r="AD169" s="2">
        <v>48.5</v>
      </c>
      <c r="AE169" s="2">
        <v>-115.0</v>
      </c>
      <c r="AF169" s="2">
        <v>-105.0</v>
      </c>
      <c r="AG169" s="2">
        <v>0.0</v>
      </c>
      <c r="AH169" s="2" t="s">
        <v>409</v>
      </c>
      <c r="AI169" s="2" t="s">
        <v>396</v>
      </c>
      <c r="AL169" s="2" t="s">
        <v>397</v>
      </c>
      <c r="AM169" s="2" t="s">
        <v>462</v>
      </c>
      <c r="AN169" s="2" t="s">
        <v>199</v>
      </c>
      <c r="AO169" s="2" t="s">
        <v>239</v>
      </c>
      <c r="AP169" s="2" t="s">
        <v>399</v>
      </c>
      <c r="AQ169" s="2" t="s">
        <v>464</v>
      </c>
      <c r="AR169" s="2" t="s">
        <v>448</v>
      </c>
      <c r="AS169" s="2" t="s">
        <v>623</v>
      </c>
      <c r="AT169" s="2" t="s">
        <v>624</v>
      </c>
      <c r="AV169" s="2">
        <f t="array" ref="AV169">IF($A169="","",IF(INDEX($A169:$AT169,1,MAP!$B$3)=CurrentSeason,1,0))</f>
        <v>0</v>
      </c>
      <c r="AW169" s="2" t="str">
        <f t="shared" si="1"/>
        <v/>
      </c>
    </row>
    <row r="170" ht="15.0" customHeight="1">
      <c r="A170" s="2" t="s">
        <v>947</v>
      </c>
      <c r="B170" s="2">
        <v>2025.0</v>
      </c>
      <c r="C170" s="2" t="s">
        <v>390</v>
      </c>
      <c r="D170" s="2">
        <v>12.0</v>
      </c>
      <c r="E170" s="2" t="s">
        <v>948</v>
      </c>
      <c r="F170" s="2" t="s">
        <v>392</v>
      </c>
      <c r="G170" s="2" t="s">
        <v>550</v>
      </c>
      <c r="H170" s="2" t="s">
        <v>136</v>
      </c>
      <c r="I170" s="2">
        <v>19.0</v>
      </c>
      <c r="J170" s="2" t="s">
        <v>140</v>
      </c>
      <c r="K170" s="2">
        <v>23.0</v>
      </c>
      <c r="L170" s="2" t="s">
        <v>77</v>
      </c>
      <c r="M170" s="2">
        <v>4.0</v>
      </c>
      <c r="N170" s="2">
        <v>42.0</v>
      </c>
      <c r="O170" s="2">
        <v>0.0</v>
      </c>
      <c r="P170" s="2">
        <v>2.025112E9</v>
      </c>
      <c r="Q170" s="2">
        <v>60007.0</v>
      </c>
      <c r="S170" s="2" t="s">
        <v>949</v>
      </c>
      <c r="T170" s="2">
        <v>28582.0</v>
      </c>
      <c r="U170" s="2">
        <v>4.01772946E8</v>
      </c>
      <c r="V170" s="2">
        <v>6898.0</v>
      </c>
      <c r="W170" s="2">
        <v>4.0</v>
      </c>
      <c r="X170" s="2">
        <v>4.0</v>
      </c>
      <c r="Y170" s="2">
        <v>-258.0</v>
      </c>
      <c r="Z170" s="2">
        <v>210.0</v>
      </c>
      <c r="AA170" s="2">
        <v>-5.5</v>
      </c>
      <c r="AB170" s="2">
        <v>-108.0</v>
      </c>
      <c r="AC170" s="2">
        <v>-112.0</v>
      </c>
      <c r="AD170" s="2">
        <v>43.5</v>
      </c>
      <c r="AE170" s="2">
        <v>-105.0</v>
      </c>
      <c r="AF170" s="2">
        <v>-115.0</v>
      </c>
      <c r="AG170" s="2">
        <v>0.0</v>
      </c>
      <c r="AH170" s="2" t="s">
        <v>422</v>
      </c>
      <c r="AI170" s="2" t="s">
        <v>617</v>
      </c>
      <c r="AL170" s="2" t="s">
        <v>541</v>
      </c>
      <c r="AM170" s="2" t="s">
        <v>891</v>
      </c>
      <c r="AN170" s="2" t="s">
        <v>187</v>
      </c>
      <c r="AO170" s="2" t="s">
        <v>892</v>
      </c>
      <c r="AP170" s="2" t="s">
        <v>543</v>
      </c>
      <c r="AQ170" s="2" t="s">
        <v>534</v>
      </c>
      <c r="AR170" s="2" t="s">
        <v>439</v>
      </c>
      <c r="AS170" s="2" t="s">
        <v>618</v>
      </c>
      <c r="AT170" s="2" t="s">
        <v>619</v>
      </c>
      <c r="AV170" s="2">
        <f t="array" ref="AV170">IF($A170="","",IF(INDEX($A170:$AT170,1,MAP!$B$3)=CurrentSeason,1,0))</f>
        <v>0</v>
      </c>
      <c r="AW170" s="2" t="str">
        <f t="shared" si="1"/>
        <v/>
      </c>
    </row>
    <row r="171" ht="15.0" customHeight="1">
      <c r="A171" s="2" t="s">
        <v>950</v>
      </c>
      <c r="B171" s="2">
        <v>2025.0</v>
      </c>
      <c r="C171" s="2" t="s">
        <v>390</v>
      </c>
      <c r="D171" s="2">
        <v>12.0</v>
      </c>
      <c r="E171" s="2" t="s">
        <v>951</v>
      </c>
      <c r="F171" s="2" t="s">
        <v>419</v>
      </c>
      <c r="G171" s="2" t="s">
        <v>420</v>
      </c>
      <c r="H171" s="2" t="s">
        <v>238</v>
      </c>
      <c r="I171" s="2">
        <v>10.0</v>
      </c>
      <c r="J171" s="2" t="s">
        <v>148</v>
      </c>
      <c r="K171" s="2">
        <v>23.0</v>
      </c>
      <c r="L171" s="2" t="s">
        <v>77</v>
      </c>
      <c r="M171" s="2">
        <v>13.0</v>
      </c>
      <c r="N171" s="2">
        <v>33.0</v>
      </c>
      <c r="O171" s="2">
        <v>0.0</v>
      </c>
      <c r="P171" s="2">
        <v>2.0251123E9</v>
      </c>
      <c r="Q171" s="2">
        <v>60008.0</v>
      </c>
      <c r="S171" s="2" t="s">
        <v>952</v>
      </c>
      <c r="T171" s="2">
        <v>28583.0</v>
      </c>
      <c r="U171" s="2">
        <v>4.01772782E8</v>
      </c>
      <c r="V171" s="2">
        <v>6899.0</v>
      </c>
      <c r="W171" s="2">
        <v>10.0</v>
      </c>
      <c r="X171" s="2">
        <v>7.0</v>
      </c>
      <c r="Y171" s="2">
        <v>675.0</v>
      </c>
      <c r="Z171" s="2">
        <v>-1050.0</v>
      </c>
      <c r="AA171" s="2">
        <v>14.0</v>
      </c>
      <c r="AB171" s="2">
        <v>-110.0</v>
      </c>
      <c r="AC171" s="2">
        <v>-110.0</v>
      </c>
      <c r="AD171" s="2">
        <v>44.5</v>
      </c>
      <c r="AE171" s="2">
        <v>-102.0</v>
      </c>
      <c r="AF171" s="2">
        <v>-118.0</v>
      </c>
      <c r="AG171" s="2">
        <v>0.0</v>
      </c>
      <c r="AH171" s="2" t="s">
        <v>395</v>
      </c>
      <c r="AI171" s="2" t="s">
        <v>396</v>
      </c>
      <c r="AJ171" s="2">
        <v>54.0</v>
      </c>
      <c r="AK171" s="2">
        <v>3.0</v>
      </c>
      <c r="AL171" s="2" t="s">
        <v>649</v>
      </c>
      <c r="AM171" s="2" t="s">
        <v>540</v>
      </c>
      <c r="AN171" s="2" t="s">
        <v>650</v>
      </c>
      <c r="AO171" s="2" t="s">
        <v>184</v>
      </c>
      <c r="AP171" s="2" t="s">
        <v>486</v>
      </c>
      <c r="AQ171" s="2" t="s">
        <v>542</v>
      </c>
      <c r="AR171" s="2" t="s">
        <v>526</v>
      </c>
      <c r="AS171" s="2" t="s">
        <v>567</v>
      </c>
      <c r="AT171" s="2" t="s">
        <v>568</v>
      </c>
      <c r="AV171" s="2">
        <f t="array" ref="AV171">IF($A171="","",IF(INDEX($A171:$AT171,1,MAP!$B$3)=CurrentSeason,1,0))</f>
        <v>0</v>
      </c>
      <c r="AW171" s="2" t="str">
        <f t="shared" si="1"/>
        <v/>
      </c>
    </row>
    <row r="172" ht="15.0" customHeight="1">
      <c r="A172" s="2" t="s">
        <v>953</v>
      </c>
      <c r="B172" s="2">
        <v>2025.0</v>
      </c>
      <c r="C172" s="2" t="s">
        <v>390</v>
      </c>
      <c r="D172" s="2">
        <v>12.0</v>
      </c>
      <c r="E172" s="2" t="s">
        <v>951</v>
      </c>
      <c r="F172" s="2" t="s">
        <v>419</v>
      </c>
      <c r="G172" s="2" t="s">
        <v>420</v>
      </c>
      <c r="H172" s="2" t="s">
        <v>242</v>
      </c>
      <c r="I172" s="2">
        <v>28.0</v>
      </c>
      <c r="J172" s="2" t="s">
        <v>137</v>
      </c>
      <c r="K172" s="2">
        <v>31.0</v>
      </c>
      <c r="L172" s="2" t="s">
        <v>77</v>
      </c>
      <c r="M172" s="2">
        <v>3.0</v>
      </c>
      <c r="N172" s="2">
        <v>59.0</v>
      </c>
      <c r="O172" s="2">
        <v>0.0</v>
      </c>
      <c r="P172" s="2">
        <v>2.025112301E9</v>
      </c>
      <c r="Q172" s="2">
        <v>60009.0</v>
      </c>
      <c r="S172" s="2" t="s">
        <v>954</v>
      </c>
      <c r="T172" s="2">
        <v>28584.0</v>
      </c>
      <c r="U172" s="2">
        <v>4.0177278E8</v>
      </c>
      <c r="V172" s="2">
        <v>6900.0</v>
      </c>
      <c r="W172" s="2">
        <v>7.0</v>
      </c>
      <c r="X172" s="2">
        <v>7.0</v>
      </c>
      <c r="Y172" s="2">
        <v>130.0</v>
      </c>
      <c r="Z172" s="2">
        <v>-155.0</v>
      </c>
      <c r="AA172" s="2">
        <v>3.0</v>
      </c>
      <c r="AB172" s="2">
        <v>-115.0</v>
      </c>
      <c r="AC172" s="2">
        <v>-105.0</v>
      </c>
      <c r="AD172" s="2">
        <v>46.5</v>
      </c>
      <c r="AE172" s="2">
        <v>-108.0</v>
      </c>
      <c r="AF172" s="2">
        <v>-112.0</v>
      </c>
      <c r="AG172" s="2">
        <v>0.0</v>
      </c>
      <c r="AH172" s="2" t="s">
        <v>395</v>
      </c>
      <c r="AI172" s="2" t="s">
        <v>396</v>
      </c>
      <c r="AJ172" s="2">
        <v>51.0</v>
      </c>
      <c r="AK172" s="2">
        <v>3.0</v>
      </c>
      <c r="AL172" s="2" t="s">
        <v>955</v>
      </c>
      <c r="AM172" s="2" t="s">
        <v>553</v>
      </c>
      <c r="AN172" s="2" t="s">
        <v>956</v>
      </c>
      <c r="AO172" s="2" t="s">
        <v>192</v>
      </c>
      <c r="AP172" s="2" t="s">
        <v>485</v>
      </c>
      <c r="AQ172" s="2" t="s">
        <v>556</v>
      </c>
      <c r="AR172" s="2" t="s">
        <v>544</v>
      </c>
      <c r="AS172" s="2" t="s">
        <v>558</v>
      </c>
      <c r="AT172" s="2" t="s">
        <v>559</v>
      </c>
      <c r="AV172" s="2">
        <f t="array" ref="AV172">IF($A172="","",IF(INDEX($A172:$AT172,1,MAP!$B$3)=CurrentSeason,1,0))</f>
        <v>0</v>
      </c>
      <c r="AW172" s="2" t="str">
        <f t="shared" si="1"/>
        <v/>
      </c>
    </row>
    <row r="173" ht="15.0" customHeight="1">
      <c r="A173" s="2" t="s">
        <v>957</v>
      </c>
      <c r="B173" s="2">
        <v>2025.0</v>
      </c>
      <c r="C173" s="2" t="s">
        <v>390</v>
      </c>
      <c r="D173" s="2">
        <v>12.0</v>
      </c>
      <c r="E173" s="2" t="s">
        <v>951</v>
      </c>
      <c r="F173" s="2" t="s">
        <v>419</v>
      </c>
      <c r="G173" s="2" t="s">
        <v>420</v>
      </c>
      <c r="H173" s="2" t="s">
        <v>145</v>
      </c>
      <c r="I173" s="2">
        <v>26.0</v>
      </c>
      <c r="J173" s="2" t="s">
        <v>138</v>
      </c>
      <c r="K173" s="2">
        <v>20.0</v>
      </c>
      <c r="L173" s="2" t="s">
        <v>77</v>
      </c>
      <c r="M173" s="2">
        <v>-6.0</v>
      </c>
      <c r="N173" s="2">
        <v>46.0</v>
      </c>
      <c r="O173" s="2">
        <v>0.0</v>
      </c>
      <c r="P173" s="2">
        <v>2.025112302E9</v>
      </c>
      <c r="Q173" s="2">
        <v>60010.0</v>
      </c>
      <c r="S173" s="2" t="s">
        <v>958</v>
      </c>
      <c r="T173" s="2">
        <v>28585.0</v>
      </c>
      <c r="U173" s="2">
        <v>4.01772781E8</v>
      </c>
      <c r="V173" s="2">
        <v>6901.0</v>
      </c>
      <c r="W173" s="2">
        <v>10.0</v>
      </c>
      <c r="X173" s="2">
        <v>7.0</v>
      </c>
      <c r="Y173" s="2">
        <v>-395.0</v>
      </c>
      <c r="Z173" s="2">
        <v>310.0</v>
      </c>
      <c r="AA173" s="2">
        <v>-7.5</v>
      </c>
      <c r="AB173" s="2">
        <v>-108.0</v>
      </c>
      <c r="AC173" s="2">
        <v>-112.0</v>
      </c>
      <c r="AD173" s="2">
        <v>50.5</v>
      </c>
      <c r="AE173" s="2">
        <v>-102.0</v>
      </c>
      <c r="AF173" s="2">
        <v>-118.0</v>
      </c>
      <c r="AG173" s="2">
        <v>0.0</v>
      </c>
      <c r="AH173" s="2" t="s">
        <v>395</v>
      </c>
      <c r="AI173" s="2" t="s">
        <v>423</v>
      </c>
      <c r="AJ173" s="2">
        <v>54.0</v>
      </c>
      <c r="AK173" s="2">
        <v>7.0</v>
      </c>
      <c r="AL173" s="2" t="s">
        <v>463</v>
      </c>
      <c r="AM173" s="2" t="s">
        <v>435</v>
      </c>
      <c r="AN173" s="2" t="s">
        <v>230</v>
      </c>
      <c r="AO173" s="2" t="s">
        <v>436</v>
      </c>
      <c r="AP173" s="2" t="s">
        <v>465</v>
      </c>
      <c r="AQ173" s="2" t="s">
        <v>437</v>
      </c>
      <c r="AR173" s="2" t="s">
        <v>429</v>
      </c>
      <c r="AS173" s="2" t="s">
        <v>571</v>
      </c>
      <c r="AT173" s="2" t="s">
        <v>572</v>
      </c>
      <c r="AV173" s="2">
        <f t="array" ref="AV173">IF($A173="","",IF(INDEX($A173:$AT173,1,MAP!$B$3)=CurrentSeason,1,0))</f>
        <v>0</v>
      </c>
      <c r="AW173" s="2" t="str">
        <f t="shared" si="1"/>
        <v/>
      </c>
    </row>
    <row r="174" ht="15.0" customHeight="1">
      <c r="A174" s="2" t="s">
        <v>959</v>
      </c>
      <c r="B174" s="2">
        <v>2025.0</v>
      </c>
      <c r="C174" s="2" t="s">
        <v>390</v>
      </c>
      <c r="D174" s="2">
        <v>12.0</v>
      </c>
      <c r="E174" s="2" t="s">
        <v>951</v>
      </c>
      <c r="F174" s="2" t="s">
        <v>419</v>
      </c>
      <c r="G174" s="2" t="s">
        <v>420</v>
      </c>
      <c r="H174" s="2" t="s">
        <v>235</v>
      </c>
      <c r="I174" s="2">
        <v>27.0</v>
      </c>
      <c r="J174" s="2" t="s">
        <v>202</v>
      </c>
      <c r="K174" s="2">
        <v>34.0</v>
      </c>
      <c r="L174" s="2" t="s">
        <v>77</v>
      </c>
      <c r="M174" s="2">
        <v>7.0</v>
      </c>
      <c r="N174" s="2">
        <v>61.0</v>
      </c>
      <c r="O174" s="2">
        <v>1.0</v>
      </c>
      <c r="P174" s="2">
        <v>2.025112303E9</v>
      </c>
      <c r="Q174" s="2">
        <v>60011.0</v>
      </c>
      <c r="S174" s="2" t="s">
        <v>960</v>
      </c>
      <c r="T174" s="2">
        <v>28586.0</v>
      </c>
      <c r="U174" s="2">
        <v>4.01772888E8</v>
      </c>
      <c r="V174" s="2">
        <v>6902.0</v>
      </c>
      <c r="W174" s="2">
        <v>7.0</v>
      </c>
      <c r="X174" s="2">
        <v>7.0</v>
      </c>
      <c r="Y174" s="2">
        <v>675.0</v>
      </c>
      <c r="Z174" s="2">
        <v>-1050.0</v>
      </c>
      <c r="AA174" s="2">
        <v>14.0</v>
      </c>
      <c r="AB174" s="2">
        <v>-115.0</v>
      </c>
      <c r="AC174" s="2">
        <v>-105.0</v>
      </c>
      <c r="AD174" s="2">
        <v>50.5</v>
      </c>
      <c r="AE174" s="2">
        <v>100.0</v>
      </c>
      <c r="AF174" s="2">
        <v>-120.0</v>
      </c>
      <c r="AG174" s="2">
        <v>0.0</v>
      </c>
      <c r="AH174" s="2" t="s">
        <v>409</v>
      </c>
      <c r="AI174" s="2" t="s">
        <v>423</v>
      </c>
      <c r="AL174" s="2" t="s">
        <v>928</v>
      </c>
      <c r="AM174" s="2" t="s">
        <v>522</v>
      </c>
      <c r="AN174" s="2" t="s">
        <v>929</v>
      </c>
      <c r="AO174" s="2" t="s">
        <v>203</v>
      </c>
      <c r="AP174" s="2" t="s">
        <v>495</v>
      </c>
      <c r="AQ174" s="2" t="s">
        <v>524</v>
      </c>
      <c r="AR174" s="2" t="s">
        <v>536</v>
      </c>
      <c r="AS174" s="2" t="s">
        <v>579</v>
      </c>
      <c r="AT174" s="2" t="s">
        <v>580</v>
      </c>
      <c r="AV174" s="2">
        <f t="array" ref="AV174">IF($A174="","",IF(INDEX($A174:$AT174,1,MAP!$B$3)=CurrentSeason,1,0))</f>
        <v>0</v>
      </c>
      <c r="AW174" s="2" t="str">
        <f t="shared" si="1"/>
        <v/>
      </c>
    </row>
    <row r="175" ht="15.0" customHeight="1">
      <c r="A175" s="2" t="s">
        <v>961</v>
      </c>
      <c r="B175" s="2">
        <v>2025.0</v>
      </c>
      <c r="C175" s="2" t="s">
        <v>390</v>
      </c>
      <c r="D175" s="2">
        <v>12.0</v>
      </c>
      <c r="E175" s="2" t="s">
        <v>951</v>
      </c>
      <c r="F175" s="2" t="s">
        <v>419</v>
      </c>
      <c r="G175" s="2" t="s">
        <v>420</v>
      </c>
      <c r="H175" s="2" t="s">
        <v>144</v>
      </c>
      <c r="I175" s="2">
        <v>6.0</v>
      </c>
      <c r="J175" s="2" t="s">
        <v>205</v>
      </c>
      <c r="K175" s="2">
        <v>23.0</v>
      </c>
      <c r="L175" s="2" t="s">
        <v>77</v>
      </c>
      <c r="M175" s="2">
        <v>17.0</v>
      </c>
      <c r="N175" s="2">
        <v>29.0</v>
      </c>
      <c r="O175" s="2">
        <v>0.0</v>
      </c>
      <c r="P175" s="2">
        <v>2.025112304E9</v>
      </c>
      <c r="Q175" s="2">
        <v>60012.0</v>
      </c>
      <c r="S175" s="2" t="s">
        <v>962</v>
      </c>
      <c r="T175" s="2">
        <v>28587.0</v>
      </c>
      <c r="U175" s="2">
        <v>4.01772887E8</v>
      </c>
      <c r="V175" s="2">
        <v>6903.0</v>
      </c>
      <c r="W175" s="2">
        <v>7.0</v>
      </c>
      <c r="X175" s="2">
        <v>7.0</v>
      </c>
      <c r="Y175" s="2">
        <v>235.0</v>
      </c>
      <c r="Z175" s="2">
        <v>-290.0</v>
      </c>
      <c r="AA175" s="2">
        <v>6.5</v>
      </c>
      <c r="AB175" s="2">
        <v>-112.0</v>
      </c>
      <c r="AC175" s="2">
        <v>-108.0</v>
      </c>
      <c r="AD175" s="2">
        <v>41.5</v>
      </c>
      <c r="AE175" s="2">
        <v>-112.0</v>
      </c>
      <c r="AF175" s="2">
        <v>-108.0</v>
      </c>
      <c r="AG175" s="2">
        <v>1.0</v>
      </c>
      <c r="AH175" s="2" t="s">
        <v>395</v>
      </c>
      <c r="AI175" s="2" t="s">
        <v>396</v>
      </c>
      <c r="AJ175" s="2">
        <v>43.0</v>
      </c>
      <c r="AK175" s="2">
        <v>10.0</v>
      </c>
      <c r="AL175" s="2" t="s">
        <v>552</v>
      </c>
      <c r="AM175" s="2" t="s">
        <v>523</v>
      </c>
      <c r="AN175" s="2" t="s">
        <v>554</v>
      </c>
      <c r="AO175" s="2" t="s">
        <v>206</v>
      </c>
      <c r="AP175" s="2" t="s">
        <v>555</v>
      </c>
      <c r="AQ175" s="2" t="s">
        <v>525</v>
      </c>
      <c r="AR175" s="2" t="s">
        <v>414</v>
      </c>
      <c r="AS175" s="2" t="s">
        <v>527</v>
      </c>
      <c r="AT175" s="2" t="s">
        <v>528</v>
      </c>
      <c r="AV175" s="2">
        <f t="array" ref="AV175">IF($A175="","",IF(INDEX($A175:$AT175,1,MAP!$B$3)=CurrentSeason,1,0))</f>
        <v>0</v>
      </c>
      <c r="AW175" s="2" t="str">
        <f t="shared" si="1"/>
        <v/>
      </c>
    </row>
    <row r="176" ht="15.0" customHeight="1">
      <c r="A176" s="2" t="s">
        <v>963</v>
      </c>
      <c r="B176" s="2">
        <v>2025.0</v>
      </c>
      <c r="C176" s="2" t="s">
        <v>390</v>
      </c>
      <c r="D176" s="2">
        <v>12.0</v>
      </c>
      <c r="E176" s="2" t="s">
        <v>951</v>
      </c>
      <c r="F176" s="2" t="s">
        <v>419</v>
      </c>
      <c r="G176" s="2" t="s">
        <v>420</v>
      </c>
      <c r="H176" s="2" t="s">
        <v>210</v>
      </c>
      <c r="I176" s="2">
        <v>20.0</v>
      </c>
      <c r="J176" s="2" t="s">
        <v>143</v>
      </c>
      <c r="K176" s="2">
        <v>23.0</v>
      </c>
      <c r="L176" s="2" t="s">
        <v>77</v>
      </c>
      <c r="M176" s="2">
        <v>3.0</v>
      </c>
      <c r="N176" s="2">
        <v>43.0</v>
      </c>
      <c r="O176" s="2">
        <v>1.0</v>
      </c>
      <c r="P176" s="2">
        <v>2.025112305E9</v>
      </c>
      <c r="Q176" s="2">
        <v>60013.0</v>
      </c>
      <c r="S176" s="2" t="s">
        <v>964</v>
      </c>
      <c r="T176" s="2">
        <v>28588.0</v>
      </c>
      <c r="U176" s="2">
        <v>4.01772779E8</v>
      </c>
      <c r="V176" s="2">
        <v>6904.0</v>
      </c>
      <c r="W176" s="2">
        <v>14.0</v>
      </c>
      <c r="X176" s="2">
        <v>7.0</v>
      </c>
      <c r="Y176" s="2">
        <v>180.0</v>
      </c>
      <c r="Z176" s="2">
        <v>-218.0</v>
      </c>
      <c r="AA176" s="2">
        <v>3.5</v>
      </c>
      <c r="AB176" s="2">
        <v>100.0</v>
      </c>
      <c r="AC176" s="2">
        <v>-120.0</v>
      </c>
      <c r="AD176" s="2">
        <v>50.5</v>
      </c>
      <c r="AE176" s="2">
        <v>-112.0</v>
      </c>
      <c r="AF176" s="2">
        <v>-108.0</v>
      </c>
      <c r="AG176" s="2">
        <v>0.0</v>
      </c>
      <c r="AH176" s="2" t="s">
        <v>395</v>
      </c>
      <c r="AI176" s="2" t="s">
        <v>396</v>
      </c>
      <c r="AL176" s="2" t="s">
        <v>445</v>
      </c>
      <c r="AM176" s="2" t="s">
        <v>410</v>
      </c>
      <c r="AN176" s="2" t="s">
        <v>211</v>
      </c>
      <c r="AO176" s="2" t="s">
        <v>216</v>
      </c>
      <c r="AP176" s="2" t="s">
        <v>447</v>
      </c>
      <c r="AQ176" s="2" t="s">
        <v>412</v>
      </c>
      <c r="AR176" s="2" t="s">
        <v>457</v>
      </c>
      <c r="AS176" s="2" t="s">
        <v>607</v>
      </c>
      <c r="AT176" s="2" t="s">
        <v>608</v>
      </c>
      <c r="AV176" s="2">
        <f t="array" ref="AV176">IF($A176="","",IF(INDEX($A176:$AT176,1,MAP!$B$3)=CurrentSeason,1,0))</f>
        <v>0</v>
      </c>
      <c r="AW176" s="2" t="str">
        <f t="shared" si="1"/>
        <v/>
      </c>
    </row>
    <row r="177" ht="15.0" customHeight="1">
      <c r="A177" s="2" t="s">
        <v>965</v>
      </c>
      <c r="B177" s="2">
        <v>2025.0</v>
      </c>
      <c r="C177" s="2" t="s">
        <v>390</v>
      </c>
      <c r="D177" s="2">
        <v>12.0</v>
      </c>
      <c r="E177" s="2" t="s">
        <v>951</v>
      </c>
      <c r="F177" s="2" t="s">
        <v>419</v>
      </c>
      <c r="G177" s="2" t="s">
        <v>420</v>
      </c>
      <c r="H177" s="2" t="s">
        <v>149</v>
      </c>
      <c r="I177" s="2">
        <v>30.0</v>
      </c>
      <c r="J177" s="2" t="s">
        <v>250</v>
      </c>
      <c r="K177" s="2">
        <v>24.0</v>
      </c>
      <c r="L177" s="2" t="s">
        <v>77</v>
      </c>
      <c r="M177" s="2">
        <v>-6.0</v>
      </c>
      <c r="N177" s="2">
        <v>54.0</v>
      </c>
      <c r="O177" s="2">
        <v>0.0</v>
      </c>
      <c r="P177" s="2">
        <v>2.025112306E9</v>
      </c>
      <c r="Q177" s="2">
        <v>60014.0</v>
      </c>
      <c r="S177" s="2" t="s">
        <v>966</v>
      </c>
      <c r="T177" s="2">
        <v>28589.0</v>
      </c>
      <c r="U177" s="2">
        <v>4.01772886E8</v>
      </c>
      <c r="V177" s="2">
        <v>6905.0</v>
      </c>
      <c r="W177" s="2">
        <v>7.0</v>
      </c>
      <c r="X177" s="2">
        <v>7.0</v>
      </c>
      <c r="Y177" s="2">
        <v>-950.0</v>
      </c>
      <c r="Z177" s="2">
        <v>625.0</v>
      </c>
      <c r="AA177" s="2">
        <v>-12.5</v>
      </c>
      <c r="AB177" s="2">
        <v>-115.0</v>
      </c>
      <c r="AC177" s="2">
        <v>-105.0</v>
      </c>
      <c r="AD177" s="2">
        <v>41.5</v>
      </c>
      <c r="AE177" s="2">
        <v>-110.0</v>
      </c>
      <c r="AF177" s="2">
        <v>-110.0</v>
      </c>
      <c r="AG177" s="2">
        <v>0.0</v>
      </c>
      <c r="AH177" s="2" t="s">
        <v>395</v>
      </c>
      <c r="AI177" s="2" t="s">
        <v>396</v>
      </c>
      <c r="AJ177" s="2">
        <v>55.0</v>
      </c>
      <c r="AK177" s="2">
        <v>1.0</v>
      </c>
      <c r="AL177" s="2" t="s">
        <v>513</v>
      </c>
      <c r="AM177" s="2" t="s">
        <v>503</v>
      </c>
      <c r="AN177" s="2" t="s">
        <v>245</v>
      </c>
      <c r="AO177" s="2" t="s">
        <v>251</v>
      </c>
      <c r="AP177" s="2" t="s">
        <v>515</v>
      </c>
      <c r="AQ177" s="2" t="s">
        <v>505</v>
      </c>
      <c r="AR177" s="2" t="s">
        <v>466</v>
      </c>
      <c r="AS177" s="2" t="s">
        <v>597</v>
      </c>
      <c r="AT177" s="2" t="s">
        <v>598</v>
      </c>
      <c r="AV177" s="2">
        <f t="array" ref="AV177">IF($A177="","",IF(INDEX($A177:$AT177,1,MAP!$B$3)=CurrentSeason,1,0))</f>
        <v>0</v>
      </c>
      <c r="AW177" s="2" t="str">
        <f t="shared" si="1"/>
        <v/>
      </c>
    </row>
    <row r="178" ht="15.0" customHeight="1">
      <c r="A178" s="2" t="s">
        <v>967</v>
      </c>
      <c r="B178" s="2">
        <v>2025.0</v>
      </c>
      <c r="C178" s="2" t="s">
        <v>390</v>
      </c>
      <c r="D178" s="2">
        <v>12.0</v>
      </c>
      <c r="E178" s="2" t="s">
        <v>951</v>
      </c>
      <c r="F178" s="2" t="s">
        <v>419</v>
      </c>
      <c r="G178" s="2" t="s">
        <v>501</v>
      </c>
      <c r="H178" s="2" t="s">
        <v>141</v>
      </c>
      <c r="I178" s="2">
        <v>27.0</v>
      </c>
      <c r="J178" s="2" t="s">
        <v>178</v>
      </c>
      <c r="K178" s="2">
        <v>24.0</v>
      </c>
      <c r="L178" s="2" t="s">
        <v>77</v>
      </c>
      <c r="M178" s="2">
        <v>-3.0</v>
      </c>
      <c r="N178" s="2">
        <v>51.0</v>
      </c>
      <c r="O178" s="2">
        <v>1.0</v>
      </c>
      <c r="P178" s="2">
        <v>2.025112307E9</v>
      </c>
      <c r="Q178" s="2">
        <v>60015.0</v>
      </c>
      <c r="S178" s="2" t="s">
        <v>968</v>
      </c>
      <c r="T178" s="2">
        <v>28590.0</v>
      </c>
      <c r="U178" s="2">
        <v>4.01772783E8</v>
      </c>
      <c r="V178" s="2">
        <v>6906.0</v>
      </c>
      <c r="W178" s="2">
        <v>7.0</v>
      </c>
      <c r="X178" s="2">
        <v>7.0</v>
      </c>
      <c r="Y178" s="2">
        <v>-135.0</v>
      </c>
      <c r="Z178" s="2">
        <v>114.0</v>
      </c>
      <c r="AA178" s="2">
        <v>-2.5</v>
      </c>
      <c r="AB178" s="2">
        <v>-108.0</v>
      </c>
      <c r="AC178" s="2">
        <v>-112.0</v>
      </c>
      <c r="AD178" s="2">
        <v>47.5</v>
      </c>
      <c r="AE178" s="2">
        <v>-115.0</v>
      </c>
      <c r="AF178" s="2">
        <v>-105.0</v>
      </c>
      <c r="AG178" s="2">
        <v>0.0</v>
      </c>
      <c r="AH178" s="2" t="s">
        <v>422</v>
      </c>
      <c r="AI178" s="2" t="s">
        <v>396</v>
      </c>
      <c r="AL178" s="2" t="s">
        <v>454</v>
      </c>
      <c r="AM178" s="2" t="s">
        <v>759</v>
      </c>
      <c r="AN178" s="2" t="s">
        <v>214</v>
      </c>
      <c r="AO178" s="2" t="s">
        <v>179</v>
      </c>
      <c r="AP178" s="2" t="s">
        <v>456</v>
      </c>
      <c r="AQ178" s="2" t="s">
        <v>475</v>
      </c>
      <c r="AR178" s="2" t="s">
        <v>477</v>
      </c>
      <c r="AS178" s="2" t="s">
        <v>601</v>
      </c>
      <c r="AT178" s="2" t="s">
        <v>602</v>
      </c>
      <c r="AV178" s="2">
        <f t="array" ref="AV178">IF($A178="","",IF(INDEX($A178:$AT178,1,MAP!$B$3)=CurrentSeason,1,0))</f>
        <v>0</v>
      </c>
      <c r="AW178" s="2" t="str">
        <f t="shared" si="1"/>
        <v/>
      </c>
    </row>
    <row r="179" ht="15.0" customHeight="1">
      <c r="A179" s="2" t="s">
        <v>969</v>
      </c>
      <c r="B179" s="2">
        <v>2025.0</v>
      </c>
      <c r="C179" s="2" t="s">
        <v>390</v>
      </c>
      <c r="D179" s="2">
        <v>12.0</v>
      </c>
      <c r="E179" s="2" t="s">
        <v>951</v>
      </c>
      <c r="F179" s="2" t="s">
        <v>419</v>
      </c>
      <c r="G179" s="2" t="s">
        <v>501</v>
      </c>
      <c r="H179" s="2" t="s">
        <v>196</v>
      </c>
      <c r="I179" s="2">
        <v>24.0</v>
      </c>
      <c r="J179" s="2" t="s">
        <v>222</v>
      </c>
      <c r="K179" s="2">
        <v>10.0</v>
      </c>
      <c r="L179" s="2" t="s">
        <v>77</v>
      </c>
      <c r="M179" s="2">
        <v>-14.0</v>
      </c>
      <c r="N179" s="2">
        <v>34.0</v>
      </c>
      <c r="O179" s="2">
        <v>0.0</v>
      </c>
      <c r="P179" s="2">
        <v>2.025112308E9</v>
      </c>
      <c r="Q179" s="2">
        <v>60016.0</v>
      </c>
      <c r="S179" s="2" t="s">
        <v>970</v>
      </c>
      <c r="T179" s="2">
        <v>28591.0</v>
      </c>
      <c r="U179" s="2">
        <v>4.01772784E8</v>
      </c>
      <c r="V179" s="2">
        <v>6907.0</v>
      </c>
      <c r="W179" s="2">
        <v>7.0</v>
      </c>
      <c r="X179" s="2">
        <v>6.0</v>
      </c>
      <c r="Y179" s="2">
        <v>136.0</v>
      </c>
      <c r="Z179" s="2">
        <v>-162.0</v>
      </c>
      <c r="AA179" s="2">
        <v>3.0</v>
      </c>
      <c r="AB179" s="2">
        <v>-105.0</v>
      </c>
      <c r="AC179" s="2">
        <v>-115.0</v>
      </c>
      <c r="AD179" s="2">
        <v>35.5</v>
      </c>
      <c r="AE179" s="2">
        <v>-102.0</v>
      </c>
      <c r="AF179" s="2">
        <v>-118.0</v>
      </c>
      <c r="AG179" s="2">
        <v>0.0</v>
      </c>
      <c r="AH179" s="2" t="s">
        <v>409</v>
      </c>
      <c r="AI179" s="2" t="s">
        <v>396</v>
      </c>
      <c r="AL179" s="2" t="s">
        <v>971</v>
      </c>
      <c r="AM179" s="2" t="s">
        <v>462</v>
      </c>
      <c r="AN179" s="2" t="s">
        <v>972</v>
      </c>
      <c r="AO179" s="2" t="s">
        <v>239</v>
      </c>
      <c r="AP179" s="2" t="s">
        <v>438</v>
      </c>
      <c r="AQ179" s="2" t="s">
        <v>464</v>
      </c>
      <c r="AR179" s="2" t="s">
        <v>516</v>
      </c>
      <c r="AS179" s="2" t="s">
        <v>623</v>
      </c>
      <c r="AT179" s="2" t="s">
        <v>624</v>
      </c>
      <c r="AV179" s="2">
        <f t="array" ref="AV179">IF($A179="","",IF(INDEX($A179:$AT179,1,MAP!$B$3)=CurrentSeason,1,0))</f>
        <v>0</v>
      </c>
      <c r="AW179" s="2" t="str">
        <f t="shared" si="1"/>
        <v/>
      </c>
    </row>
    <row r="180" ht="15.0" customHeight="1">
      <c r="A180" s="2" t="s">
        <v>973</v>
      </c>
      <c r="B180" s="2">
        <v>2025.0</v>
      </c>
      <c r="C180" s="2" t="s">
        <v>390</v>
      </c>
      <c r="D180" s="2">
        <v>12.0</v>
      </c>
      <c r="E180" s="2" t="s">
        <v>951</v>
      </c>
      <c r="F180" s="2" t="s">
        <v>419</v>
      </c>
      <c r="G180" s="2" t="s">
        <v>520</v>
      </c>
      <c r="H180" s="2" t="s">
        <v>147</v>
      </c>
      <c r="I180" s="2">
        <v>21.0</v>
      </c>
      <c r="J180" s="2" t="s">
        <v>146</v>
      </c>
      <c r="K180" s="2">
        <v>24.0</v>
      </c>
      <c r="L180" s="2" t="s">
        <v>77</v>
      </c>
      <c r="M180" s="2">
        <v>3.0</v>
      </c>
      <c r="N180" s="2">
        <v>45.0</v>
      </c>
      <c r="O180" s="2">
        <v>0.0</v>
      </c>
      <c r="P180" s="2">
        <v>2.025112309E9</v>
      </c>
      <c r="Q180" s="2">
        <v>60017.0</v>
      </c>
      <c r="S180" s="2" t="s">
        <v>974</v>
      </c>
      <c r="T180" s="2">
        <v>28592.0</v>
      </c>
      <c r="U180" s="2">
        <v>4.0177289E8</v>
      </c>
      <c r="V180" s="2">
        <v>6908.0</v>
      </c>
      <c r="W180" s="2">
        <v>7.0</v>
      </c>
      <c r="X180" s="2">
        <v>6.0</v>
      </c>
      <c r="Y180" s="2">
        <v>-162.0</v>
      </c>
      <c r="Z180" s="2">
        <v>136.0</v>
      </c>
      <c r="AA180" s="2">
        <v>-3.0</v>
      </c>
      <c r="AB180" s="2">
        <v>-105.0</v>
      </c>
      <c r="AC180" s="2">
        <v>-115.0</v>
      </c>
      <c r="AD180" s="2">
        <v>47.5</v>
      </c>
      <c r="AE180" s="2">
        <v>100.0</v>
      </c>
      <c r="AF180" s="2">
        <v>-120.0</v>
      </c>
      <c r="AG180" s="2">
        <v>1.0</v>
      </c>
      <c r="AH180" s="2" t="s">
        <v>422</v>
      </c>
      <c r="AI180" s="2" t="s">
        <v>531</v>
      </c>
      <c r="AL180" s="2" t="s">
        <v>398</v>
      </c>
      <c r="AM180" s="2" t="s">
        <v>397</v>
      </c>
      <c r="AN180" s="2" t="s">
        <v>241</v>
      </c>
      <c r="AO180" s="2" t="s">
        <v>199</v>
      </c>
      <c r="AP180" s="2" t="s">
        <v>400</v>
      </c>
      <c r="AQ180" s="2" t="s">
        <v>399</v>
      </c>
      <c r="AR180" s="2" t="s">
        <v>487</v>
      </c>
      <c r="AS180" s="2" t="s">
        <v>575</v>
      </c>
      <c r="AT180" s="2" t="s">
        <v>576</v>
      </c>
      <c r="AV180" s="2">
        <f t="array" ref="AV180">IF($A180="","",IF(INDEX($A180:$AT180,1,MAP!$B$3)=CurrentSeason,1,0))</f>
        <v>0</v>
      </c>
      <c r="AW180" s="2" t="str">
        <f t="shared" si="1"/>
        <v/>
      </c>
    </row>
    <row r="181" ht="15.0" customHeight="1">
      <c r="A181" s="2" t="s">
        <v>975</v>
      </c>
      <c r="B181" s="2">
        <v>2025.0</v>
      </c>
      <c r="C181" s="2" t="s">
        <v>390</v>
      </c>
      <c r="D181" s="2">
        <v>12.0</v>
      </c>
      <c r="E181" s="2" t="s">
        <v>951</v>
      </c>
      <c r="F181" s="2" t="s">
        <v>419</v>
      </c>
      <c r="G181" s="2" t="s">
        <v>520</v>
      </c>
      <c r="H181" s="2" t="s">
        <v>132</v>
      </c>
      <c r="I181" s="2">
        <v>24.0</v>
      </c>
      <c r="J181" s="2" t="s">
        <v>232</v>
      </c>
      <c r="K181" s="2">
        <v>10.0</v>
      </c>
      <c r="L181" s="2" t="s">
        <v>77</v>
      </c>
      <c r="M181" s="2">
        <v>-14.0</v>
      </c>
      <c r="N181" s="2">
        <v>34.0</v>
      </c>
      <c r="O181" s="2">
        <v>0.0</v>
      </c>
      <c r="P181" s="2">
        <v>2.02511231E9</v>
      </c>
      <c r="Q181" s="2">
        <v>60018.0</v>
      </c>
      <c r="S181" s="2" t="s">
        <v>976</v>
      </c>
      <c r="T181" s="2">
        <v>28593.0</v>
      </c>
      <c r="U181" s="2">
        <v>4.01772889E8</v>
      </c>
      <c r="V181" s="2">
        <v>6909.0</v>
      </c>
      <c r="W181" s="2">
        <v>7.0</v>
      </c>
      <c r="X181" s="2">
        <v>14.0</v>
      </c>
      <c r="Y181" s="2">
        <v>102.0</v>
      </c>
      <c r="Z181" s="2">
        <v>-122.0</v>
      </c>
      <c r="AA181" s="2">
        <v>1.5</v>
      </c>
      <c r="AB181" s="2">
        <v>-112.0</v>
      </c>
      <c r="AC181" s="2">
        <v>-108.0</v>
      </c>
      <c r="AD181" s="2">
        <v>41.5</v>
      </c>
      <c r="AE181" s="2">
        <v>-118.0</v>
      </c>
      <c r="AF181" s="2">
        <v>-102.0</v>
      </c>
      <c r="AG181" s="2">
        <v>1.0</v>
      </c>
      <c r="AH181" s="2" t="s">
        <v>409</v>
      </c>
      <c r="AI181" s="2" t="s">
        <v>471</v>
      </c>
      <c r="AL181" s="2" t="s">
        <v>820</v>
      </c>
      <c r="AM181" s="2" t="s">
        <v>869</v>
      </c>
      <c r="AN181" s="2" t="s">
        <v>821</v>
      </c>
      <c r="AO181" s="2" t="s">
        <v>233</v>
      </c>
      <c r="AP181" s="2" t="s">
        <v>428</v>
      </c>
      <c r="AQ181" s="2" t="s">
        <v>476</v>
      </c>
      <c r="AR181" s="2" t="s">
        <v>563</v>
      </c>
      <c r="AS181" s="2" t="s">
        <v>478</v>
      </c>
      <c r="AT181" s="2" t="s">
        <v>479</v>
      </c>
      <c r="AV181" s="2">
        <f t="array" ref="AV181">IF($A181="","",IF(INDEX($A181:$AT181,1,MAP!$B$3)=CurrentSeason,1,0))</f>
        <v>0</v>
      </c>
      <c r="AW181" s="2" t="str">
        <f t="shared" si="1"/>
        <v/>
      </c>
    </row>
    <row r="182" ht="15.0" customHeight="1">
      <c r="A182" s="2" t="s">
        <v>977</v>
      </c>
      <c r="B182" s="2">
        <v>2025.0</v>
      </c>
      <c r="C182" s="2" t="s">
        <v>390</v>
      </c>
      <c r="D182" s="2">
        <v>12.0</v>
      </c>
      <c r="E182" s="2" t="s">
        <v>951</v>
      </c>
      <c r="F182" s="2" t="s">
        <v>419</v>
      </c>
      <c r="G182" s="2" t="s">
        <v>393</v>
      </c>
      <c r="H182" s="2" t="s">
        <v>150</v>
      </c>
      <c r="I182" s="2">
        <v>7.0</v>
      </c>
      <c r="J182" s="2" t="s">
        <v>142</v>
      </c>
      <c r="K182" s="2">
        <v>34.0</v>
      </c>
      <c r="L182" s="2" t="s">
        <v>77</v>
      </c>
      <c r="M182" s="2">
        <v>27.0</v>
      </c>
      <c r="N182" s="2">
        <v>41.0</v>
      </c>
      <c r="O182" s="2">
        <v>0.0</v>
      </c>
      <c r="P182" s="2">
        <v>2.025112311E9</v>
      </c>
      <c r="Q182" s="2">
        <v>60019.0</v>
      </c>
      <c r="S182" s="2" t="s">
        <v>978</v>
      </c>
      <c r="T182" s="2">
        <v>28594.0</v>
      </c>
      <c r="U182" s="2">
        <v>4.01772929E8</v>
      </c>
      <c r="V182" s="2">
        <v>6910.0</v>
      </c>
      <c r="W182" s="2">
        <v>7.0</v>
      </c>
      <c r="X182" s="2">
        <v>7.0</v>
      </c>
      <c r="Y182" s="2">
        <v>295.0</v>
      </c>
      <c r="Z182" s="2">
        <v>-375.0</v>
      </c>
      <c r="AA182" s="2">
        <v>7.0</v>
      </c>
      <c r="AB182" s="2">
        <v>-110.0</v>
      </c>
      <c r="AC182" s="2">
        <v>-110.0</v>
      </c>
      <c r="AD182" s="2">
        <v>49.5</v>
      </c>
      <c r="AE182" s="2">
        <v>100.0</v>
      </c>
      <c r="AF182" s="2">
        <v>-120.0</v>
      </c>
      <c r="AG182" s="2">
        <v>0.0</v>
      </c>
      <c r="AH182" s="2" t="s">
        <v>409</v>
      </c>
      <c r="AI182" s="2" t="s">
        <v>531</v>
      </c>
      <c r="AL182" s="2" t="s">
        <v>424</v>
      </c>
      <c r="AM182" s="2" t="s">
        <v>533</v>
      </c>
      <c r="AN182" s="2" t="s">
        <v>248</v>
      </c>
      <c r="AO182" s="2" t="s">
        <v>218</v>
      </c>
      <c r="AP182" s="2" t="s">
        <v>427</v>
      </c>
      <c r="AQ182" s="2" t="s">
        <v>535</v>
      </c>
      <c r="AR182" s="2" t="s">
        <v>497</v>
      </c>
      <c r="AS182" s="2" t="s">
        <v>415</v>
      </c>
      <c r="AT182" s="2" t="s">
        <v>416</v>
      </c>
      <c r="AV182" s="2">
        <f t="array" ref="AV182">IF($A182="","",IF(INDEX($A182:$AT182,1,MAP!$B$3)=CurrentSeason,1,0))</f>
        <v>0</v>
      </c>
      <c r="AW182" s="2" t="str">
        <f t="shared" si="1"/>
        <v/>
      </c>
    </row>
    <row r="183" ht="15.0" customHeight="1">
      <c r="A183" s="2" t="s">
        <v>979</v>
      </c>
      <c r="B183" s="2">
        <v>2025.0</v>
      </c>
      <c r="C183" s="2" t="s">
        <v>390</v>
      </c>
      <c r="D183" s="2">
        <v>12.0</v>
      </c>
      <c r="E183" s="2" t="s">
        <v>980</v>
      </c>
      <c r="F183" s="2" t="s">
        <v>549</v>
      </c>
      <c r="G183" s="2" t="s">
        <v>550</v>
      </c>
      <c r="H183" s="2" t="s">
        <v>189</v>
      </c>
      <c r="I183" s="2">
        <v>9.0</v>
      </c>
      <c r="J183" s="2" t="s">
        <v>246</v>
      </c>
      <c r="K183" s="2">
        <v>20.0</v>
      </c>
      <c r="L183" s="2" t="s">
        <v>77</v>
      </c>
      <c r="M183" s="2">
        <v>11.0</v>
      </c>
      <c r="N183" s="2">
        <v>29.0</v>
      </c>
      <c r="O183" s="2">
        <v>0.0</v>
      </c>
      <c r="P183" s="2">
        <v>2.0251124E9</v>
      </c>
      <c r="Q183" s="2">
        <v>60020.0</v>
      </c>
      <c r="S183" s="2" t="s">
        <v>981</v>
      </c>
      <c r="T183" s="2">
        <v>28595.0</v>
      </c>
      <c r="U183" s="2">
        <v>4.0177282E8</v>
      </c>
      <c r="V183" s="2">
        <v>6911.0</v>
      </c>
      <c r="W183" s="2">
        <v>8.0</v>
      </c>
      <c r="X183" s="2">
        <v>8.0</v>
      </c>
      <c r="Y183" s="2">
        <v>310.0</v>
      </c>
      <c r="Z183" s="2">
        <v>-395.0</v>
      </c>
      <c r="AA183" s="2">
        <v>7.5</v>
      </c>
      <c r="AB183" s="2">
        <v>-115.0</v>
      </c>
      <c r="AC183" s="2">
        <v>-105.0</v>
      </c>
      <c r="AD183" s="2">
        <v>48.5</v>
      </c>
      <c r="AE183" s="2">
        <v>-105.0</v>
      </c>
      <c r="AF183" s="2">
        <v>-115.0</v>
      </c>
      <c r="AG183" s="2">
        <v>0.0</v>
      </c>
      <c r="AH183" s="2" t="s">
        <v>395</v>
      </c>
      <c r="AI183" s="2" t="s">
        <v>396</v>
      </c>
      <c r="AJ183" s="2">
        <v>58.0</v>
      </c>
      <c r="AK183" s="2">
        <v>3.0</v>
      </c>
      <c r="AL183" s="2" t="s">
        <v>453</v>
      </c>
      <c r="AM183" s="2" t="s">
        <v>512</v>
      </c>
      <c r="AN183" s="2" t="s">
        <v>190</v>
      </c>
      <c r="AO183" s="2" t="s">
        <v>247</v>
      </c>
      <c r="AP183" s="2" t="s">
        <v>455</v>
      </c>
      <c r="AQ183" s="2" t="s">
        <v>514</v>
      </c>
      <c r="AR183" s="2" t="s">
        <v>507</v>
      </c>
      <c r="AS183" s="2" t="s">
        <v>667</v>
      </c>
      <c r="AT183" s="2" t="s">
        <v>668</v>
      </c>
      <c r="AV183" s="2">
        <f t="array" ref="AV183">IF($A183="","",IF(INDEX($A183:$AT183,1,MAP!$B$3)=CurrentSeason,1,0))</f>
        <v>0</v>
      </c>
      <c r="AW183" s="2" t="str">
        <f t="shared" si="1"/>
        <v/>
      </c>
    </row>
    <row r="184" ht="15.0" customHeight="1">
      <c r="A184" s="2" t="s">
        <v>982</v>
      </c>
      <c r="B184" s="2">
        <v>2025.0</v>
      </c>
      <c r="C184" s="2" t="s">
        <v>390</v>
      </c>
      <c r="D184" s="2">
        <v>13.0</v>
      </c>
      <c r="E184" s="2" t="s">
        <v>983</v>
      </c>
      <c r="F184" s="2" t="s">
        <v>392</v>
      </c>
      <c r="G184" s="2" t="s">
        <v>420</v>
      </c>
      <c r="H184" s="2" t="s">
        <v>205</v>
      </c>
      <c r="I184" s="2">
        <v>31.0</v>
      </c>
      <c r="J184" s="2" t="s">
        <v>202</v>
      </c>
      <c r="K184" s="2">
        <v>24.0</v>
      </c>
      <c r="L184" s="2" t="s">
        <v>77</v>
      </c>
      <c r="M184" s="2">
        <v>-7.0</v>
      </c>
      <c r="N184" s="2">
        <v>55.0</v>
      </c>
      <c r="O184" s="2">
        <v>0.0</v>
      </c>
      <c r="P184" s="2">
        <v>2.0251127E9</v>
      </c>
      <c r="Q184" s="2">
        <v>60021.0</v>
      </c>
      <c r="S184" s="2" t="s">
        <v>984</v>
      </c>
      <c r="T184" s="2">
        <v>28596.0</v>
      </c>
      <c r="U184" s="2">
        <v>4.01772891E8</v>
      </c>
      <c r="V184" s="2">
        <v>6912.0</v>
      </c>
      <c r="W184" s="2">
        <v>4.0</v>
      </c>
      <c r="X184" s="2">
        <v>4.0</v>
      </c>
      <c r="Y184" s="2">
        <v>130.0</v>
      </c>
      <c r="Z184" s="2">
        <v>-155.0</v>
      </c>
      <c r="AA184" s="2">
        <v>2.5</v>
      </c>
      <c r="AB184" s="2">
        <v>105.0</v>
      </c>
      <c r="AC184" s="2">
        <v>-125.0</v>
      </c>
      <c r="AD184" s="2">
        <v>48.5</v>
      </c>
      <c r="AE184" s="2">
        <v>-110.0</v>
      </c>
      <c r="AF184" s="2">
        <v>-110.0</v>
      </c>
      <c r="AG184" s="2">
        <v>1.0</v>
      </c>
      <c r="AH184" s="2" t="s">
        <v>409</v>
      </c>
      <c r="AI184" s="2" t="s">
        <v>423</v>
      </c>
      <c r="AL184" s="2" t="s">
        <v>523</v>
      </c>
      <c r="AM184" s="2" t="s">
        <v>522</v>
      </c>
      <c r="AN184" s="2" t="s">
        <v>206</v>
      </c>
      <c r="AO184" s="2" t="s">
        <v>203</v>
      </c>
      <c r="AP184" s="2" t="s">
        <v>525</v>
      </c>
      <c r="AQ184" s="2" t="s">
        <v>524</v>
      </c>
      <c r="AR184" s="2" t="s">
        <v>466</v>
      </c>
      <c r="AS184" s="2" t="s">
        <v>579</v>
      </c>
      <c r="AT184" s="2" t="s">
        <v>580</v>
      </c>
      <c r="AV184" s="2">
        <f t="array" ref="AV184">IF($A184="","",IF(INDEX($A184:$AT184,1,MAP!$B$3)=CurrentSeason,1,0))</f>
        <v>0</v>
      </c>
      <c r="AW184" s="2" t="str">
        <f t="shared" si="1"/>
        <v/>
      </c>
    </row>
    <row r="185" ht="15.0" customHeight="1">
      <c r="A185" s="2" t="s">
        <v>985</v>
      </c>
      <c r="B185" s="2">
        <v>2025.0</v>
      </c>
      <c r="C185" s="2" t="s">
        <v>390</v>
      </c>
      <c r="D185" s="2">
        <v>13.0</v>
      </c>
      <c r="E185" s="2" t="s">
        <v>983</v>
      </c>
      <c r="F185" s="2" t="s">
        <v>392</v>
      </c>
      <c r="G185" s="2" t="s">
        <v>986</v>
      </c>
      <c r="H185" s="2" t="s">
        <v>143</v>
      </c>
      <c r="I185" s="2">
        <v>28.0</v>
      </c>
      <c r="J185" s="2" t="s">
        <v>146</v>
      </c>
      <c r="K185" s="2">
        <v>31.0</v>
      </c>
      <c r="L185" s="2" t="s">
        <v>77</v>
      </c>
      <c r="M185" s="2">
        <v>3.0</v>
      </c>
      <c r="N185" s="2">
        <v>59.0</v>
      </c>
      <c r="O185" s="2">
        <v>0.0</v>
      </c>
      <c r="P185" s="2">
        <v>2.025112701E9</v>
      </c>
      <c r="Q185" s="2">
        <v>60022.0</v>
      </c>
      <c r="S185" s="2" t="s">
        <v>987</v>
      </c>
      <c r="T185" s="2">
        <v>28597.0</v>
      </c>
      <c r="U185" s="2">
        <v>4.01772694E8</v>
      </c>
      <c r="V185" s="2">
        <v>6913.0</v>
      </c>
      <c r="W185" s="2">
        <v>4.0</v>
      </c>
      <c r="X185" s="2">
        <v>4.0</v>
      </c>
      <c r="Y185" s="2">
        <v>-185.0</v>
      </c>
      <c r="Z185" s="2">
        <v>154.0</v>
      </c>
      <c r="AA185" s="2">
        <v>-3.5</v>
      </c>
      <c r="AB185" s="2">
        <v>-105.0</v>
      </c>
      <c r="AC185" s="2">
        <v>-115.0</v>
      </c>
      <c r="AD185" s="2">
        <v>53.5</v>
      </c>
      <c r="AE185" s="2">
        <v>-110.0</v>
      </c>
      <c r="AF185" s="2">
        <v>-110.0</v>
      </c>
      <c r="AG185" s="2">
        <v>0.0</v>
      </c>
      <c r="AH185" s="2" t="s">
        <v>422</v>
      </c>
      <c r="AI185" s="2" t="s">
        <v>531</v>
      </c>
      <c r="AL185" s="2" t="s">
        <v>410</v>
      </c>
      <c r="AM185" s="2" t="s">
        <v>397</v>
      </c>
      <c r="AN185" s="2" t="s">
        <v>216</v>
      </c>
      <c r="AO185" s="2" t="s">
        <v>199</v>
      </c>
      <c r="AP185" s="2" t="s">
        <v>412</v>
      </c>
      <c r="AQ185" s="2" t="s">
        <v>399</v>
      </c>
      <c r="AR185" s="2" t="s">
        <v>544</v>
      </c>
      <c r="AS185" s="2" t="s">
        <v>575</v>
      </c>
      <c r="AT185" s="2" t="s">
        <v>576</v>
      </c>
      <c r="AV185" s="2">
        <f t="array" ref="AV185">IF($A185="","",IF(INDEX($A185:$AT185,1,MAP!$B$3)=CurrentSeason,1,0))</f>
        <v>0</v>
      </c>
      <c r="AW185" s="2" t="str">
        <f t="shared" si="1"/>
        <v/>
      </c>
    </row>
    <row r="186" ht="15.0" customHeight="1">
      <c r="A186" s="2" t="s">
        <v>988</v>
      </c>
      <c r="B186" s="2">
        <v>2025.0</v>
      </c>
      <c r="C186" s="2" t="s">
        <v>390</v>
      </c>
      <c r="D186" s="2">
        <v>13.0</v>
      </c>
      <c r="E186" s="2" t="s">
        <v>983</v>
      </c>
      <c r="F186" s="2" t="s">
        <v>392</v>
      </c>
      <c r="G186" s="2" t="s">
        <v>393</v>
      </c>
      <c r="H186" s="2" t="s">
        <v>138</v>
      </c>
      <c r="I186" s="2">
        <v>32.0</v>
      </c>
      <c r="J186" s="2" t="s">
        <v>148</v>
      </c>
      <c r="K186" s="2">
        <v>14.0</v>
      </c>
      <c r="L186" s="2" t="s">
        <v>77</v>
      </c>
      <c r="M186" s="2">
        <v>-18.0</v>
      </c>
      <c r="N186" s="2">
        <v>46.0</v>
      </c>
      <c r="O186" s="2">
        <v>0.0</v>
      </c>
      <c r="P186" s="2">
        <v>2.025112702E9</v>
      </c>
      <c r="Q186" s="2">
        <v>60023.0</v>
      </c>
      <c r="S186" s="2" t="s">
        <v>989</v>
      </c>
      <c r="T186" s="2">
        <v>28598.0</v>
      </c>
      <c r="U186" s="2">
        <v>4.0177293E8</v>
      </c>
      <c r="V186" s="2">
        <v>6914.0</v>
      </c>
      <c r="W186" s="2">
        <v>4.0</v>
      </c>
      <c r="X186" s="2">
        <v>4.0</v>
      </c>
      <c r="Y186" s="2">
        <v>295.0</v>
      </c>
      <c r="Z186" s="2">
        <v>-375.0</v>
      </c>
      <c r="AA186" s="2">
        <v>7.0</v>
      </c>
      <c r="AB186" s="2">
        <v>100.0</v>
      </c>
      <c r="AC186" s="2">
        <v>-120.0</v>
      </c>
      <c r="AD186" s="2">
        <v>52.5</v>
      </c>
      <c r="AE186" s="2">
        <v>-115.0</v>
      </c>
      <c r="AF186" s="2">
        <v>-105.0</v>
      </c>
      <c r="AG186" s="2">
        <v>1.0</v>
      </c>
      <c r="AH186" s="2" t="s">
        <v>395</v>
      </c>
      <c r="AI186" s="2" t="s">
        <v>396</v>
      </c>
      <c r="AJ186" s="2">
        <v>38.0</v>
      </c>
      <c r="AK186" s="2">
        <v>11.0</v>
      </c>
      <c r="AL186" s="2" t="s">
        <v>434</v>
      </c>
      <c r="AM186" s="2" t="s">
        <v>540</v>
      </c>
      <c r="AN186" s="2" t="s">
        <v>194</v>
      </c>
      <c r="AO186" s="2" t="s">
        <v>184</v>
      </c>
      <c r="AP186" s="2" t="s">
        <v>437</v>
      </c>
      <c r="AQ186" s="2" t="s">
        <v>542</v>
      </c>
      <c r="AR186" s="2" t="s">
        <v>536</v>
      </c>
      <c r="AS186" s="2" t="s">
        <v>567</v>
      </c>
      <c r="AT186" s="2" t="s">
        <v>568</v>
      </c>
      <c r="AV186" s="2">
        <f t="array" ref="AV186">IF($A186="","",IF(INDEX($A186:$AT186,1,MAP!$B$3)=CurrentSeason,1,0))</f>
        <v>0</v>
      </c>
      <c r="AW186" s="2" t="str">
        <f t="shared" si="1"/>
        <v/>
      </c>
    </row>
    <row r="187" ht="15.0" customHeight="1">
      <c r="A187" s="2" t="s">
        <v>990</v>
      </c>
      <c r="B187" s="2">
        <v>2025.0</v>
      </c>
      <c r="C187" s="2" t="s">
        <v>390</v>
      </c>
      <c r="D187" s="2">
        <v>13.0</v>
      </c>
      <c r="E187" s="2" t="s">
        <v>991</v>
      </c>
      <c r="F187" s="2" t="s">
        <v>406</v>
      </c>
      <c r="G187" s="2" t="s">
        <v>992</v>
      </c>
      <c r="H187" s="2" t="s">
        <v>137</v>
      </c>
      <c r="I187" s="2">
        <v>24.0</v>
      </c>
      <c r="J187" s="2" t="s">
        <v>147</v>
      </c>
      <c r="K187" s="2">
        <v>15.0</v>
      </c>
      <c r="L187" s="2" t="s">
        <v>77</v>
      </c>
      <c r="M187" s="2">
        <v>-9.0</v>
      </c>
      <c r="N187" s="2">
        <v>39.0</v>
      </c>
      <c r="O187" s="2">
        <v>0.0</v>
      </c>
      <c r="P187" s="2">
        <v>2.0251128E9</v>
      </c>
      <c r="Q187" s="2">
        <v>60024.0</v>
      </c>
      <c r="S187" s="2" t="s">
        <v>993</v>
      </c>
      <c r="T187" s="2">
        <v>28599.0</v>
      </c>
      <c r="U187" s="2">
        <v>4.01772621E8</v>
      </c>
      <c r="V187" s="2">
        <v>6915.0</v>
      </c>
      <c r="W187" s="2">
        <v>5.0</v>
      </c>
      <c r="X187" s="2">
        <v>5.0</v>
      </c>
      <c r="Y187" s="2">
        <v>270.0</v>
      </c>
      <c r="Z187" s="2">
        <v>-340.0</v>
      </c>
      <c r="AA187" s="2">
        <v>7.0</v>
      </c>
      <c r="AB187" s="2">
        <v>-105.0</v>
      </c>
      <c r="AC187" s="2">
        <v>-115.0</v>
      </c>
      <c r="AD187" s="2">
        <v>43.5</v>
      </c>
      <c r="AE187" s="2">
        <v>-115.0</v>
      </c>
      <c r="AF187" s="2">
        <v>-105.0</v>
      </c>
      <c r="AG187" s="2">
        <v>0.0</v>
      </c>
      <c r="AH187" s="2" t="s">
        <v>395</v>
      </c>
      <c r="AI187" s="2" t="s">
        <v>396</v>
      </c>
      <c r="AJ187" s="2">
        <v>42.0</v>
      </c>
      <c r="AK187" s="2">
        <v>18.0</v>
      </c>
      <c r="AL187" s="2" t="s">
        <v>553</v>
      </c>
      <c r="AM187" s="2" t="s">
        <v>398</v>
      </c>
      <c r="AN187" s="2" t="s">
        <v>192</v>
      </c>
      <c r="AO187" s="2" t="s">
        <v>241</v>
      </c>
      <c r="AP187" s="2" t="s">
        <v>556</v>
      </c>
      <c r="AQ187" s="2" t="s">
        <v>400</v>
      </c>
      <c r="AR187" s="2" t="s">
        <v>414</v>
      </c>
      <c r="AS187" s="2" t="s">
        <v>402</v>
      </c>
      <c r="AT187" s="2" t="s">
        <v>403</v>
      </c>
      <c r="AV187" s="2">
        <f t="array" ref="AV187">IF($A187="","",IF(INDEX($A187:$AT187,1,MAP!$B$3)=CurrentSeason,1,0))</f>
        <v>0</v>
      </c>
      <c r="AW187" s="2" t="str">
        <f t="shared" si="1"/>
        <v/>
      </c>
    </row>
    <row r="188" ht="15.0" customHeight="1">
      <c r="A188" s="2" t="s">
        <v>994</v>
      </c>
      <c r="B188" s="2">
        <v>2025.0</v>
      </c>
      <c r="C188" s="2" t="s">
        <v>390</v>
      </c>
      <c r="D188" s="2">
        <v>13.0</v>
      </c>
      <c r="E188" s="2" t="s">
        <v>995</v>
      </c>
      <c r="F188" s="2" t="s">
        <v>419</v>
      </c>
      <c r="G188" s="2" t="s">
        <v>420</v>
      </c>
      <c r="H188" s="2" t="s">
        <v>142</v>
      </c>
      <c r="I188" s="2">
        <v>28.0</v>
      </c>
      <c r="J188" s="2" t="s">
        <v>189</v>
      </c>
      <c r="K188" s="2">
        <v>31.0</v>
      </c>
      <c r="L188" s="2" t="s">
        <v>77</v>
      </c>
      <c r="M188" s="2">
        <v>3.0</v>
      </c>
      <c r="N188" s="2">
        <v>59.0</v>
      </c>
      <c r="O188" s="2">
        <v>0.0</v>
      </c>
      <c r="P188" s="2">
        <v>2.025113E9</v>
      </c>
      <c r="Q188" s="2">
        <v>60025.0</v>
      </c>
      <c r="S188" s="2" t="s">
        <v>996</v>
      </c>
      <c r="T188" s="2">
        <v>28600.0</v>
      </c>
      <c r="U188" s="2">
        <v>4.01772894E8</v>
      </c>
      <c r="V188" s="2">
        <v>6916.0</v>
      </c>
      <c r="W188" s="2">
        <v>7.0</v>
      </c>
      <c r="X188" s="2">
        <v>6.0</v>
      </c>
      <c r="Y188" s="2">
        <v>-575.0</v>
      </c>
      <c r="Z188" s="2">
        <v>425.0</v>
      </c>
      <c r="AA188" s="2">
        <v>-10.0</v>
      </c>
      <c r="AB188" s="2">
        <v>-110.0</v>
      </c>
      <c r="AC188" s="2">
        <v>-110.0</v>
      </c>
      <c r="AD188" s="2">
        <v>44.5</v>
      </c>
      <c r="AE188" s="2">
        <v>-105.0</v>
      </c>
      <c r="AF188" s="2">
        <v>-115.0</v>
      </c>
      <c r="AG188" s="2">
        <v>0.0</v>
      </c>
      <c r="AH188" s="2" t="s">
        <v>395</v>
      </c>
      <c r="AI188" s="2" t="s">
        <v>396</v>
      </c>
      <c r="AJ188" s="2">
        <v>45.0</v>
      </c>
      <c r="AK188" s="2">
        <v>3.0</v>
      </c>
      <c r="AL188" s="2" t="s">
        <v>533</v>
      </c>
      <c r="AM188" s="2" t="s">
        <v>453</v>
      </c>
      <c r="AN188" s="2" t="s">
        <v>218</v>
      </c>
      <c r="AO188" s="2" t="s">
        <v>190</v>
      </c>
      <c r="AP188" s="2" t="s">
        <v>535</v>
      </c>
      <c r="AQ188" s="2" t="s">
        <v>455</v>
      </c>
      <c r="AR188" s="2" t="s">
        <v>477</v>
      </c>
      <c r="AS188" s="2" t="s">
        <v>631</v>
      </c>
      <c r="AT188" s="2" t="s">
        <v>632</v>
      </c>
      <c r="AV188" s="2">
        <f t="array" ref="AV188">IF($A188="","",IF(INDEX($A188:$AT188,1,MAP!$B$3)=CurrentSeason,1,0))</f>
        <v>0</v>
      </c>
      <c r="AW188" s="2" t="str">
        <f t="shared" si="1"/>
        <v/>
      </c>
    </row>
    <row r="189" ht="15.0" customHeight="1">
      <c r="A189" s="2" t="s">
        <v>997</v>
      </c>
      <c r="B189" s="2">
        <v>2025.0</v>
      </c>
      <c r="C189" s="2" t="s">
        <v>390</v>
      </c>
      <c r="D189" s="2">
        <v>13.0</v>
      </c>
      <c r="E189" s="2" t="s">
        <v>995</v>
      </c>
      <c r="F189" s="2" t="s">
        <v>419</v>
      </c>
      <c r="G189" s="2" t="s">
        <v>420</v>
      </c>
      <c r="H189" s="2" t="s">
        <v>246</v>
      </c>
      <c r="I189" s="2">
        <v>26.0</v>
      </c>
      <c r="J189" s="2" t="s">
        <v>196</v>
      </c>
      <c r="K189" s="2">
        <v>8.0</v>
      </c>
      <c r="L189" s="2" t="s">
        <v>77</v>
      </c>
      <c r="M189" s="2">
        <v>-18.0</v>
      </c>
      <c r="N189" s="2">
        <v>34.0</v>
      </c>
      <c r="O189" s="2">
        <v>0.0</v>
      </c>
      <c r="P189" s="2">
        <v>2.025113001E9</v>
      </c>
      <c r="Q189" s="2">
        <v>60026.0</v>
      </c>
      <c r="S189" s="2" t="s">
        <v>998</v>
      </c>
      <c r="T189" s="2">
        <v>28601.0</v>
      </c>
      <c r="U189" s="2">
        <v>4.01772785E8</v>
      </c>
      <c r="V189" s="2">
        <v>6917.0</v>
      </c>
      <c r="W189" s="2">
        <v>6.0</v>
      </c>
      <c r="X189" s="2">
        <v>7.0</v>
      </c>
      <c r="Y189" s="2">
        <v>-250.0</v>
      </c>
      <c r="Z189" s="2">
        <v>205.0</v>
      </c>
      <c r="AA189" s="2">
        <v>-5.5</v>
      </c>
      <c r="AB189" s="2">
        <v>-108.0</v>
      </c>
      <c r="AC189" s="2">
        <v>-112.0</v>
      </c>
      <c r="AD189" s="2">
        <v>35.5</v>
      </c>
      <c r="AE189" s="2">
        <v>-112.0</v>
      </c>
      <c r="AF189" s="2">
        <v>-108.0</v>
      </c>
      <c r="AG189" s="2">
        <v>0.0</v>
      </c>
      <c r="AH189" s="2" t="s">
        <v>395</v>
      </c>
      <c r="AI189" s="2" t="s">
        <v>396</v>
      </c>
      <c r="AJ189" s="2">
        <v>35.0</v>
      </c>
      <c r="AK189" s="2">
        <v>20.0</v>
      </c>
      <c r="AL189" s="2" t="s">
        <v>512</v>
      </c>
      <c r="AM189" s="2" t="s">
        <v>971</v>
      </c>
      <c r="AN189" s="2" t="s">
        <v>247</v>
      </c>
      <c r="AO189" s="2" t="s">
        <v>972</v>
      </c>
      <c r="AP189" s="2" t="s">
        <v>514</v>
      </c>
      <c r="AQ189" s="2" t="s">
        <v>438</v>
      </c>
      <c r="AR189" s="2" t="s">
        <v>448</v>
      </c>
      <c r="AS189" s="2" t="s">
        <v>440</v>
      </c>
      <c r="AT189" s="2" t="s">
        <v>441</v>
      </c>
      <c r="AV189" s="2">
        <f t="array" ref="AV189">IF($A189="","",IF(INDEX($A189:$AT189,1,MAP!$B$3)=CurrentSeason,1,0))</f>
        <v>0</v>
      </c>
      <c r="AW189" s="2" t="str">
        <f t="shared" si="1"/>
        <v/>
      </c>
    </row>
    <row r="190" ht="15.0" customHeight="1">
      <c r="A190" s="2" t="s">
        <v>999</v>
      </c>
      <c r="B190" s="2">
        <v>2025.0</v>
      </c>
      <c r="C190" s="2" t="s">
        <v>390</v>
      </c>
      <c r="D190" s="2">
        <v>13.0</v>
      </c>
      <c r="E190" s="2" t="s">
        <v>995</v>
      </c>
      <c r="F190" s="2" t="s">
        <v>419</v>
      </c>
      <c r="G190" s="2" t="s">
        <v>420</v>
      </c>
      <c r="H190" s="2" t="s">
        <v>140</v>
      </c>
      <c r="I190" s="2">
        <v>20.0</v>
      </c>
      <c r="J190" s="2" t="s">
        <v>210</v>
      </c>
      <c r="K190" s="2">
        <v>16.0</v>
      </c>
      <c r="L190" s="2" t="s">
        <v>77</v>
      </c>
      <c r="M190" s="2">
        <v>-4.0</v>
      </c>
      <c r="N190" s="2">
        <v>36.0</v>
      </c>
      <c r="O190" s="2">
        <v>0.0</v>
      </c>
      <c r="P190" s="2">
        <v>2.025113002E9</v>
      </c>
      <c r="Q190" s="2">
        <v>60027.0</v>
      </c>
      <c r="S190" s="2" t="s">
        <v>1000</v>
      </c>
      <c r="T190" s="2">
        <v>28602.0</v>
      </c>
      <c r="U190" s="2">
        <v>4.01772787E8</v>
      </c>
      <c r="V190" s="2">
        <v>6918.0</v>
      </c>
      <c r="W190" s="2">
        <v>10.0</v>
      </c>
      <c r="X190" s="2">
        <v>7.0</v>
      </c>
      <c r="Y190" s="2">
        <v>142.0</v>
      </c>
      <c r="Z190" s="2">
        <v>-170.0</v>
      </c>
      <c r="AA190" s="2">
        <v>3.0</v>
      </c>
      <c r="AB190" s="2">
        <v>-105.0</v>
      </c>
      <c r="AC190" s="2">
        <v>-115.0</v>
      </c>
      <c r="AD190" s="2">
        <v>44.5</v>
      </c>
      <c r="AE190" s="2">
        <v>-112.0</v>
      </c>
      <c r="AF190" s="2">
        <v>-108.0</v>
      </c>
      <c r="AG190" s="2">
        <v>1.0</v>
      </c>
      <c r="AH190" s="2" t="s">
        <v>422</v>
      </c>
      <c r="AI190" s="2" t="s">
        <v>423</v>
      </c>
      <c r="AL190" s="2" t="s">
        <v>532</v>
      </c>
      <c r="AM190" s="2" t="s">
        <v>445</v>
      </c>
      <c r="AN190" s="2" t="s">
        <v>208</v>
      </c>
      <c r="AO190" s="2" t="s">
        <v>211</v>
      </c>
      <c r="AP190" s="2" t="s">
        <v>534</v>
      </c>
      <c r="AQ190" s="2" t="s">
        <v>447</v>
      </c>
      <c r="AR190" s="2" t="s">
        <v>497</v>
      </c>
      <c r="AS190" s="2" t="s">
        <v>449</v>
      </c>
      <c r="AT190" s="2" t="s">
        <v>450</v>
      </c>
      <c r="AV190" s="2">
        <f t="array" ref="AV190">IF($A190="","",IF(INDEX($A190:$AT190,1,MAP!$B$3)=CurrentSeason,1,0))</f>
        <v>0</v>
      </c>
      <c r="AW190" s="2" t="str">
        <f t="shared" si="1"/>
        <v/>
      </c>
    </row>
    <row r="191" ht="15.0" customHeight="1">
      <c r="A191" s="2" t="s">
        <v>1001</v>
      </c>
      <c r="B191" s="2">
        <v>2025.0</v>
      </c>
      <c r="C191" s="2" t="s">
        <v>390</v>
      </c>
      <c r="D191" s="2">
        <v>13.0</v>
      </c>
      <c r="E191" s="2" t="s">
        <v>995</v>
      </c>
      <c r="F191" s="2" t="s">
        <v>419</v>
      </c>
      <c r="G191" s="2" t="s">
        <v>420</v>
      </c>
      <c r="H191" s="2" t="s">
        <v>232</v>
      </c>
      <c r="I191" s="2">
        <v>17.0</v>
      </c>
      <c r="J191" s="2" t="s">
        <v>225</v>
      </c>
      <c r="K191" s="2">
        <v>21.0</v>
      </c>
      <c r="L191" s="2" t="s">
        <v>77</v>
      </c>
      <c r="M191" s="2">
        <v>4.0</v>
      </c>
      <c r="N191" s="2">
        <v>38.0</v>
      </c>
      <c r="O191" s="2">
        <v>0.0</v>
      </c>
      <c r="P191" s="2">
        <v>2.025113003E9</v>
      </c>
      <c r="Q191" s="2">
        <v>60028.0</v>
      </c>
      <c r="S191" s="2" t="s">
        <v>1002</v>
      </c>
      <c r="T191" s="2">
        <v>28603.0</v>
      </c>
      <c r="U191" s="2">
        <v>4.01772892E8</v>
      </c>
      <c r="V191" s="2">
        <v>6919.0</v>
      </c>
      <c r="W191" s="2">
        <v>7.0</v>
      </c>
      <c r="X191" s="2">
        <v>14.0</v>
      </c>
      <c r="Y191" s="2">
        <v>205.0</v>
      </c>
      <c r="Z191" s="2">
        <v>-250.0</v>
      </c>
      <c r="AA191" s="2">
        <v>5.5</v>
      </c>
      <c r="AB191" s="2">
        <v>-110.0</v>
      </c>
      <c r="AC191" s="2">
        <v>-110.0</v>
      </c>
      <c r="AD191" s="2">
        <v>41.5</v>
      </c>
      <c r="AE191" s="2">
        <v>-105.0</v>
      </c>
      <c r="AF191" s="2">
        <v>-115.0</v>
      </c>
      <c r="AG191" s="2">
        <v>0.0</v>
      </c>
      <c r="AH191" s="2" t="s">
        <v>395</v>
      </c>
      <c r="AI191" s="2" t="s">
        <v>396</v>
      </c>
      <c r="AJ191" s="2">
        <v>76.0</v>
      </c>
      <c r="AK191" s="2">
        <v>10.0</v>
      </c>
      <c r="AL191" s="2" t="s">
        <v>869</v>
      </c>
      <c r="AM191" s="2" t="s">
        <v>444</v>
      </c>
      <c r="AN191" s="2" t="s">
        <v>233</v>
      </c>
      <c r="AO191" s="2" t="s">
        <v>182</v>
      </c>
      <c r="AP191" s="2" t="s">
        <v>476</v>
      </c>
      <c r="AQ191" s="2" t="s">
        <v>446</v>
      </c>
      <c r="AR191" s="2" t="s">
        <v>557</v>
      </c>
      <c r="AS191" s="2" t="s">
        <v>583</v>
      </c>
      <c r="AT191" s="2" t="s">
        <v>584</v>
      </c>
      <c r="AV191" s="2">
        <f t="array" ref="AV191">IF($A191="","",IF(INDEX($A191:$AT191,1,MAP!$B$3)=CurrentSeason,1,0))</f>
        <v>0</v>
      </c>
      <c r="AW191" s="2" t="str">
        <f t="shared" si="1"/>
        <v/>
      </c>
    </row>
    <row r="192" ht="15.0" customHeight="1">
      <c r="A192" s="2" t="s">
        <v>1003</v>
      </c>
      <c r="B192" s="2">
        <v>2025.0</v>
      </c>
      <c r="C192" s="2" t="s">
        <v>390</v>
      </c>
      <c r="D192" s="2">
        <v>13.0</v>
      </c>
      <c r="E192" s="2" t="s">
        <v>995</v>
      </c>
      <c r="F192" s="2" t="s">
        <v>419</v>
      </c>
      <c r="G192" s="2" t="s">
        <v>420</v>
      </c>
      <c r="H192" s="2" t="s">
        <v>132</v>
      </c>
      <c r="I192" s="2">
        <v>24.0</v>
      </c>
      <c r="J192" s="2" t="s">
        <v>238</v>
      </c>
      <c r="K192" s="2">
        <v>27.0</v>
      </c>
      <c r="L192" s="2" t="s">
        <v>77</v>
      </c>
      <c r="M192" s="2">
        <v>3.0</v>
      </c>
      <c r="N192" s="2">
        <v>51.0</v>
      </c>
      <c r="O192" s="2">
        <v>0.0</v>
      </c>
      <c r="P192" s="2">
        <v>2.025113004E9</v>
      </c>
      <c r="Q192" s="2">
        <v>60029.0</v>
      </c>
      <c r="S192" s="2" t="s">
        <v>1004</v>
      </c>
      <c r="T192" s="2">
        <v>28604.0</v>
      </c>
      <c r="U192" s="2">
        <v>4.01772893E8</v>
      </c>
      <c r="V192" s="2">
        <v>6920.0</v>
      </c>
      <c r="W192" s="2">
        <v>7.0</v>
      </c>
      <c r="X192" s="2">
        <v>7.0</v>
      </c>
      <c r="Y192" s="2">
        <v>-166.0</v>
      </c>
      <c r="Z192" s="2">
        <v>140.0</v>
      </c>
      <c r="AA192" s="2">
        <v>-3.0</v>
      </c>
      <c r="AB192" s="2">
        <v>-112.0</v>
      </c>
      <c r="AC192" s="2">
        <v>-108.0</v>
      </c>
      <c r="AD192" s="2">
        <v>38.5</v>
      </c>
      <c r="AE192" s="2">
        <v>-105.0</v>
      </c>
      <c r="AF192" s="2">
        <v>-115.0</v>
      </c>
      <c r="AG192" s="2">
        <v>0.0</v>
      </c>
      <c r="AH192" s="2" t="s">
        <v>395</v>
      </c>
      <c r="AI192" s="2" t="s">
        <v>423</v>
      </c>
      <c r="AJ192" s="2">
        <v>43.0</v>
      </c>
      <c r="AK192" s="2">
        <v>8.0</v>
      </c>
      <c r="AL192" s="2" t="s">
        <v>820</v>
      </c>
      <c r="AM192" s="2" t="s">
        <v>649</v>
      </c>
      <c r="AN192" s="2" t="s">
        <v>821</v>
      </c>
      <c r="AO192" s="2" t="s">
        <v>650</v>
      </c>
      <c r="AP192" s="2" t="s">
        <v>428</v>
      </c>
      <c r="AQ192" s="2" t="s">
        <v>486</v>
      </c>
      <c r="AR192" s="2" t="s">
        <v>516</v>
      </c>
      <c r="AS192" s="2" t="s">
        <v>488</v>
      </c>
      <c r="AT192" s="2" t="s">
        <v>489</v>
      </c>
      <c r="AV192" s="2">
        <f t="array" ref="AV192">IF($A192="","",IF(INDEX($A192:$AT192,1,MAP!$B$3)=CurrentSeason,1,0))</f>
        <v>0</v>
      </c>
      <c r="AW192" s="2" t="str">
        <f t="shared" si="1"/>
        <v/>
      </c>
    </row>
    <row r="193" ht="15.0" customHeight="1">
      <c r="A193" s="2" t="s">
        <v>1005</v>
      </c>
      <c r="B193" s="2">
        <v>2025.0</v>
      </c>
      <c r="C193" s="2" t="s">
        <v>390</v>
      </c>
      <c r="D193" s="2">
        <v>13.0</v>
      </c>
      <c r="E193" s="2" t="s">
        <v>995</v>
      </c>
      <c r="F193" s="2" t="s">
        <v>419</v>
      </c>
      <c r="G193" s="2" t="s">
        <v>420</v>
      </c>
      <c r="H193" s="2" t="s">
        <v>178</v>
      </c>
      <c r="I193" s="2">
        <v>17.0</v>
      </c>
      <c r="J193" s="2" t="s">
        <v>150</v>
      </c>
      <c r="K193" s="2">
        <v>20.0</v>
      </c>
      <c r="L193" s="2" t="s">
        <v>77</v>
      </c>
      <c r="M193" s="2">
        <v>3.0</v>
      </c>
      <c r="N193" s="2">
        <v>37.0</v>
      </c>
      <c r="O193" s="2">
        <v>0.0</v>
      </c>
      <c r="P193" s="2">
        <v>2.025113005E9</v>
      </c>
      <c r="Q193" s="2">
        <v>60030.0</v>
      </c>
      <c r="S193" s="2" t="s">
        <v>1006</v>
      </c>
      <c r="T193" s="2">
        <v>28605.0</v>
      </c>
      <c r="U193" s="2">
        <v>4.01772895E8</v>
      </c>
      <c r="V193" s="2">
        <v>6921.0</v>
      </c>
      <c r="W193" s="2">
        <v>7.0</v>
      </c>
      <c r="X193" s="2">
        <v>7.0</v>
      </c>
      <c r="Y193" s="2">
        <v>164.0</v>
      </c>
      <c r="Z193" s="2">
        <v>-198.0</v>
      </c>
      <c r="AA193" s="2">
        <v>4.5</v>
      </c>
      <c r="AB193" s="2">
        <v>-115.0</v>
      </c>
      <c r="AC193" s="2">
        <v>-105.0</v>
      </c>
      <c r="AD193" s="2">
        <v>44.5</v>
      </c>
      <c r="AE193" s="2">
        <v>-108.0</v>
      </c>
      <c r="AF193" s="2">
        <v>-112.0</v>
      </c>
      <c r="AG193" s="2">
        <v>0.0</v>
      </c>
      <c r="AH193" s="2" t="s">
        <v>395</v>
      </c>
      <c r="AI193" s="2" t="s">
        <v>396</v>
      </c>
      <c r="AJ193" s="2">
        <v>80.0</v>
      </c>
      <c r="AK193" s="2">
        <v>8.0</v>
      </c>
      <c r="AL193" s="2" t="s">
        <v>759</v>
      </c>
      <c r="AM193" s="2" t="s">
        <v>424</v>
      </c>
      <c r="AN193" s="2" t="s">
        <v>179</v>
      </c>
      <c r="AO193" s="2" t="s">
        <v>248</v>
      </c>
      <c r="AP193" s="2" t="s">
        <v>475</v>
      </c>
      <c r="AQ193" s="2" t="s">
        <v>427</v>
      </c>
      <c r="AR193" s="2" t="s">
        <v>487</v>
      </c>
      <c r="AS193" s="2" t="s">
        <v>651</v>
      </c>
      <c r="AT193" s="2" t="s">
        <v>652</v>
      </c>
      <c r="AV193" s="2">
        <f t="array" ref="AV193">IF($A193="","",IF(INDEX($A193:$AT193,1,MAP!$B$3)=CurrentSeason,1,0))</f>
        <v>0</v>
      </c>
      <c r="AW193" s="2" t="str">
        <f t="shared" si="1"/>
        <v/>
      </c>
    </row>
    <row r="194" ht="15.0" customHeight="1">
      <c r="A194" s="2" t="s">
        <v>1007</v>
      </c>
      <c r="B194" s="2">
        <v>2025.0</v>
      </c>
      <c r="C194" s="2" t="s">
        <v>390</v>
      </c>
      <c r="D194" s="2">
        <v>13.0</v>
      </c>
      <c r="E194" s="2" t="s">
        <v>995</v>
      </c>
      <c r="F194" s="2" t="s">
        <v>419</v>
      </c>
      <c r="G194" s="2" t="s">
        <v>420</v>
      </c>
      <c r="H194" s="2" t="s">
        <v>141</v>
      </c>
      <c r="I194" s="2">
        <v>25.0</v>
      </c>
      <c r="J194" s="2" t="s">
        <v>250</v>
      </c>
      <c r="K194" s="2">
        <v>3.0</v>
      </c>
      <c r="L194" s="2" t="s">
        <v>77</v>
      </c>
      <c r="M194" s="2">
        <v>-22.0</v>
      </c>
      <c r="N194" s="2">
        <v>28.0</v>
      </c>
      <c r="O194" s="2">
        <v>0.0</v>
      </c>
      <c r="P194" s="2">
        <v>2.025113006E9</v>
      </c>
      <c r="Q194" s="2">
        <v>60031.0</v>
      </c>
      <c r="S194" s="2" t="s">
        <v>1008</v>
      </c>
      <c r="T194" s="2">
        <v>28606.0</v>
      </c>
      <c r="U194" s="2">
        <v>4.01772786E8</v>
      </c>
      <c r="V194" s="2">
        <v>6922.0</v>
      </c>
      <c r="W194" s="2">
        <v>7.0</v>
      </c>
      <c r="X194" s="2">
        <v>7.0</v>
      </c>
      <c r="Y194" s="2">
        <v>-270.0</v>
      </c>
      <c r="Z194" s="2">
        <v>220.0</v>
      </c>
      <c r="AA194" s="2">
        <v>-6.0</v>
      </c>
      <c r="AB194" s="2">
        <v>-108.0</v>
      </c>
      <c r="AC194" s="2">
        <v>-112.0</v>
      </c>
      <c r="AD194" s="2">
        <v>42.5</v>
      </c>
      <c r="AE194" s="2">
        <v>-105.0</v>
      </c>
      <c r="AF194" s="2">
        <v>-115.0</v>
      </c>
      <c r="AG194" s="2">
        <v>1.0</v>
      </c>
      <c r="AH194" s="2" t="s">
        <v>395</v>
      </c>
      <c r="AI194" s="2" t="s">
        <v>396</v>
      </c>
      <c r="AJ194" s="2">
        <v>38.0</v>
      </c>
      <c r="AK194" s="2">
        <v>7.0</v>
      </c>
      <c r="AL194" s="2" t="s">
        <v>454</v>
      </c>
      <c r="AM194" s="2" t="s">
        <v>503</v>
      </c>
      <c r="AN194" s="2" t="s">
        <v>214</v>
      </c>
      <c r="AO194" s="2" t="s">
        <v>251</v>
      </c>
      <c r="AP194" s="2" t="s">
        <v>456</v>
      </c>
      <c r="AQ194" s="2" t="s">
        <v>505</v>
      </c>
      <c r="AR194" s="2" t="s">
        <v>563</v>
      </c>
      <c r="AS194" s="2" t="s">
        <v>597</v>
      </c>
      <c r="AT194" s="2" t="s">
        <v>598</v>
      </c>
      <c r="AV194" s="2">
        <f t="array" ref="AV194">IF($A194="","",IF(INDEX($A194:$AT194,1,MAP!$B$3)=CurrentSeason,1,0))</f>
        <v>0</v>
      </c>
      <c r="AW194" s="2" t="str">
        <f t="shared" si="1"/>
        <v/>
      </c>
    </row>
    <row r="195" ht="15.0" customHeight="1">
      <c r="A195" s="2" t="s">
        <v>1009</v>
      </c>
      <c r="B195" s="2">
        <v>2025.0</v>
      </c>
      <c r="C195" s="2" t="s">
        <v>390</v>
      </c>
      <c r="D195" s="2">
        <v>13.0</v>
      </c>
      <c r="E195" s="2" t="s">
        <v>995</v>
      </c>
      <c r="F195" s="2" t="s">
        <v>419</v>
      </c>
      <c r="G195" s="2" t="s">
        <v>501</v>
      </c>
      <c r="H195" s="2" t="s">
        <v>144</v>
      </c>
      <c r="I195" s="2">
        <v>0.0</v>
      </c>
      <c r="J195" s="2" t="s">
        <v>149</v>
      </c>
      <c r="K195" s="2">
        <v>26.0</v>
      </c>
      <c r="L195" s="2" t="s">
        <v>77</v>
      </c>
      <c r="M195" s="2">
        <v>26.0</v>
      </c>
      <c r="N195" s="2">
        <v>26.0</v>
      </c>
      <c r="O195" s="2">
        <v>0.0</v>
      </c>
      <c r="P195" s="2">
        <v>2.025113007E9</v>
      </c>
      <c r="Q195" s="2">
        <v>60032.0</v>
      </c>
      <c r="S195" s="2" t="s">
        <v>1010</v>
      </c>
      <c r="T195" s="2">
        <v>28608.0</v>
      </c>
      <c r="U195" s="2">
        <v>4.01772896E8</v>
      </c>
      <c r="V195" s="2">
        <v>6923.0</v>
      </c>
      <c r="W195" s="2">
        <v>7.0</v>
      </c>
      <c r="X195" s="2">
        <v>7.0</v>
      </c>
      <c r="Y195" s="2">
        <v>600.0</v>
      </c>
      <c r="Z195" s="2">
        <v>-900.0</v>
      </c>
      <c r="AA195" s="2">
        <v>12.5</v>
      </c>
      <c r="AB195" s="2">
        <v>-110.0</v>
      </c>
      <c r="AC195" s="2">
        <v>-110.0</v>
      </c>
      <c r="AD195" s="2">
        <v>42.5</v>
      </c>
      <c r="AE195" s="2">
        <v>-110.0</v>
      </c>
      <c r="AF195" s="2">
        <v>-110.0</v>
      </c>
      <c r="AG195" s="2">
        <v>0.0</v>
      </c>
      <c r="AH195" s="2" t="s">
        <v>395</v>
      </c>
      <c r="AI195" s="2" t="s">
        <v>423</v>
      </c>
      <c r="AJ195" s="2">
        <v>45.0</v>
      </c>
      <c r="AK195" s="2">
        <v>2.0</v>
      </c>
      <c r="AL195" s="2" t="s">
        <v>1011</v>
      </c>
      <c r="AM195" s="2" t="s">
        <v>513</v>
      </c>
      <c r="AN195" s="2" t="s">
        <v>1012</v>
      </c>
      <c r="AO195" s="2" t="s">
        <v>245</v>
      </c>
      <c r="AP195" s="2" t="s">
        <v>555</v>
      </c>
      <c r="AQ195" s="2" t="s">
        <v>515</v>
      </c>
      <c r="AR195" s="2" t="s">
        <v>526</v>
      </c>
      <c r="AS195" s="2" t="s">
        <v>517</v>
      </c>
      <c r="AT195" s="2" t="s">
        <v>518</v>
      </c>
      <c r="AV195" s="2">
        <f t="array" ref="AV195">IF($A195="","",IF(INDEX($A195:$AT195,1,MAP!$B$3)=CurrentSeason,1,0))</f>
        <v>0</v>
      </c>
      <c r="AW195" s="2" t="str">
        <f t="shared" si="1"/>
        <v/>
      </c>
    </row>
    <row r="196" ht="15.0" customHeight="1">
      <c r="A196" s="2" t="s">
        <v>1013</v>
      </c>
      <c r="B196" s="2">
        <v>2025.0</v>
      </c>
      <c r="C196" s="2" t="s">
        <v>390</v>
      </c>
      <c r="D196" s="2">
        <v>13.0</v>
      </c>
      <c r="E196" s="2" t="s">
        <v>995</v>
      </c>
      <c r="F196" s="2" t="s">
        <v>419</v>
      </c>
      <c r="G196" s="2" t="s">
        <v>520</v>
      </c>
      <c r="H196" s="2" t="s">
        <v>222</v>
      </c>
      <c r="I196" s="2">
        <v>14.0</v>
      </c>
      <c r="J196" s="2" t="s">
        <v>220</v>
      </c>
      <c r="K196" s="2">
        <v>31.0</v>
      </c>
      <c r="L196" s="2" t="s">
        <v>77</v>
      </c>
      <c r="M196" s="2">
        <v>17.0</v>
      </c>
      <c r="N196" s="2">
        <v>45.0</v>
      </c>
      <c r="O196" s="2">
        <v>0.0</v>
      </c>
      <c r="P196" s="2">
        <v>2.025113008E9</v>
      </c>
      <c r="Q196" s="2">
        <v>60033.0</v>
      </c>
      <c r="S196" s="2" t="s">
        <v>1014</v>
      </c>
      <c r="T196" s="2">
        <v>28607.0</v>
      </c>
      <c r="U196" s="2">
        <v>4.01772788E8</v>
      </c>
      <c r="V196" s="2">
        <v>6924.0</v>
      </c>
      <c r="W196" s="2">
        <v>7.0</v>
      </c>
      <c r="X196" s="2">
        <v>14.0</v>
      </c>
      <c r="Y196" s="2">
        <v>440.0</v>
      </c>
      <c r="Z196" s="2">
        <v>-600.0</v>
      </c>
      <c r="AA196" s="2">
        <v>10.0</v>
      </c>
      <c r="AB196" s="2">
        <v>-115.0</v>
      </c>
      <c r="AC196" s="2">
        <v>-105.0</v>
      </c>
      <c r="AD196" s="2">
        <v>40.5</v>
      </c>
      <c r="AE196" s="2">
        <v>-108.0</v>
      </c>
      <c r="AF196" s="2">
        <v>-112.0</v>
      </c>
      <c r="AG196" s="2">
        <v>1.0</v>
      </c>
      <c r="AH196" s="2" t="s">
        <v>409</v>
      </c>
      <c r="AI196" s="2" t="s">
        <v>531</v>
      </c>
      <c r="AL196" s="2" t="s">
        <v>462</v>
      </c>
      <c r="AM196" s="2" t="s">
        <v>411</v>
      </c>
      <c r="AN196" s="2" t="s">
        <v>239</v>
      </c>
      <c r="AO196" s="2" t="s">
        <v>221</v>
      </c>
      <c r="AP196" s="2" t="s">
        <v>464</v>
      </c>
      <c r="AQ196" s="2" t="s">
        <v>413</v>
      </c>
      <c r="AR196" s="2" t="s">
        <v>457</v>
      </c>
      <c r="AS196" s="2" t="s">
        <v>415</v>
      </c>
      <c r="AT196" s="2" t="s">
        <v>416</v>
      </c>
      <c r="AV196" s="2">
        <f t="array" ref="AV196">IF($A196="","",IF(INDEX($A196:$AT196,1,MAP!$B$3)=CurrentSeason,1,0))</f>
        <v>0</v>
      </c>
      <c r="AW196" s="2" t="str">
        <f t="shared" si="1"/>
        <v/>
      </c>
    </row>
    <row r="197" ht="15.0" customHeight="1">
      <c r="A197" s="2" t="s">
        <v>1015</v>
      </c>
      <c r="B197" s="2">
        <v>2025.0</v>
      </c>
      <c r="C197" s="2" t="s">
        <v>390</v>
      </c>
      <c r="D197" s="2">
        <v>13.0</v>
      </c>
      <c r="E197" s="2" t="s">
        <v>995</v>
      </c>
      <c r="F197" s="2" t="s">
        <v>419</v>
      </c>
      <c r="G197" s="2" t="s">
        <v>520</v>
      </c>
      <c r="H197" s="2" t="s">
        <v>136</v>
      </c>
      <c r="I197" s="2">
        <v>26.0</v>
      </c>
      <c r="J197" s="2" t="s">
        <v>242</v>
      </c>
      <c r="K197" s="2">
        <v>7.0</v>
      </c>
      <c r="L197" s="2" t="s">
        <v>77</v>
      </c>
      <c r="M197" s="2">
        <v>-19.0</v>
      </c>
      <c r="N197" s="2">
        <v>33.0</v>
      </c>
      <c r="O197" s="2">
        <v>0.0</v>
      </c>
      <c r="P197" s="2">
        <v>2.025113009E9</v>
      </c>
      <c r="Q197" s="2">
        <v>60034.0</v>
      </c>
      <c r="S197" s="2" t="s">
        <v>1016</v>
      </c>
      <c r="T197" s="2">
        <v>28609.0</v>
      </c>
      <c r="U197" s="2">
        <v>4.01772789E8</v>
      </c>
      <c r="V197" s="2">
        <v>6925.0</v>
      </c>
      <c r="W197" s="2">
        <v>10.0</v>
      </c>
      <c r="X197" s="2">
        <v>7.0</v>
      </c>
      <c r="Y197" s="2">
        <v>-166.0</v>
      </c>
      <c r="Z197" s="2">
        <v>140.0</v>
      </c>
      <c r="AA197" s="2">
        <v>-3.0</v>
      </c>
      <c r="AB197" s="2">
        <v>-115.0</v>
      </c>
      <c r="AC197" s="2">
        <v>-105.0</v>
      </c>
      <c r="AD197" s="2">
        <v>44.5</v>
      </c>
      <c r="AE197" s="2">
        <v>-112.0</v>
      </c>
      <c r="AF197" s="2">
        <v>-108.0</v>
      </c>
      <c r="AG197" s="2">
        <v>0.0</v>
      </c>
      <c r="AH197" s="2" t="s">
        <v>395</v>
      </c>
      <c r="AI197" s="2" t="s">
        <v>396</v>
      </c>
      <c r="AJ197" s="2">
        <v>34.0</v>
      </c>
      <c r="AK197" s="2">
        <v>16.0</v>
      </c>
      <c r="AL197" s="2" t="s">
        <v>541</v>
      </c>
      <c r="AM197" s="2" t="s">
        <v>482</v>
      </c>
      <c r="AN197" s="2" t="s">
        <v>187</v>
      </c>
      <c r="AO197" s="2" t="s">
        <v>243</v>
      </c>
      <c r="AP197" s="2" t="s">
        <v>543</v>
      </c>
      <c r="AQ197" s="2" t="s">
        <v>485</v>
      </c>
      <c r="AR197" s="2" t="s">
        <v>507</v>
      </c>
      <c r="AS197" s="2" t="s">
        <v>593</v>
      </c>
      <c r="AT197" s="2" t="s">
        <v>594</v>
      </c>
      <c r="AV197" s="2">
        <f t="array" ref="AV197">IF($A197="","",IF(INDEX($A197:$AT197,1,MAP!$B$3)=CurrentSeason,1,0))</f>
        <v>0</v>
      </c>
      <c r="AW197" s="2" t="str">
        <f t="shared" si="1"/>
        <v/>
      </c>
    </row>
    <row r="198" ht="15.0" customHeight="1">
      <c r="A198" s="2" t="s">
        <v>1017</v>
      </c>
      <c r="B198" s="2">
        <v>2025.0</v>
      </c>
      <c r="C198" s="2" t="s">
        <v>390</v>
      </c>
      <c r="D198" s="2">
        <v>13.0</v>
      </c>
      <c r="E198" s="2" t="s">
        <v>995</v>
      </c>
      <c r="F198" s="2" t="s">
        <v>419</v>
      </c>
      <c r="G198" s="2" t="s">
        <v>393</v>
      </c>
      <c r="H198" s="2" t="s">
        <v>139</v>
      </c>
      <c r="I198" s="2">
        <v>27.0</v>
      </c>
      <c r="J198" s="2" t="s">
        <v>253</v>
      </c>
      <c r="K198" s="2">
        <v>26.0</v>
      </c>
      <c r="L198" s="2" t="s">
        <v>77</v>
      </c>
      <c r="M198" s="2">
        <v>-1.0</v>
      </c>
      <c r="N198" s="2">
        <v>53.0</v>
      </c>
      <c r="O198" s="2">
        <v>1.0</v>
      </c>
      <c r="P198" s="2">
        <v>2.02511301E9</v>
      </c>
      <c r="Q198" s="2">
        <v>60035.0</v>
      </c>
      <c r="S198" s="2" t="s">
        <v>1018</v>
      </c>
      <c r="T198" s="2">
        <v>28610.0</v>
      </c>
      <c r="U198" s="2">
        <v>4.01772931E8</v>
      </c>
      <c r="V198" s="2">
        <v>6926.0</v>
      </c>
      <c r="W198" s="2">
        <v>14.0</v>
      </c>
      <c r="X198" s="2">
        <v>14.0</v>
      </c>
      <c r="Y198" s="2">
        <v>-310.0</v>
      </c>
      <c r="Z198" s="2">
        <v>250.0</v>
      </c>
      <c r="AA198" s="2">
        <v>-6.5</v>
      </c>
      <c r="AB198" s="2">
        <v>-105.0</v>
      </c>
      <c r="AC198" s="2">
        <v>-115.0</v>
      </c>
      <c r="AD198" s="2">
        <v>43.5</v>
      </c>
      <c r="AE198" s="2">
        <v>-112.0</v>
      </c>
      <c r="AF198" s="2">
        <v>-108.0</v>
      </c>
      <c r="AG198" s="2">
        <v>0.0</v>
      </c>
      <c r="AH198" s="2" t="s">
        <v>395</v>
      </c>
      <c r="AI198" s="2" t="s">
        <v>396</v>
      </c>
      <c r="AJ198" s="2">
        <v>40.0</v>
      </c>
      <c r="AK198" s="2">
        <v>13.0</v>
      </c>
      <c r="AL198" s="2" t="s">
        <v>504</v>
      </c>
      <c r="AM198" s="2" t="s">
        <v>657</v>
      </c>
      <c r="AN198" s="2" t="s">
        <v>201</v>
      </c>
      <c r="AO198" s="2" t="s">
        <v>658</v>
      </c>
      <c r="AP198" s="2" t="s">
        <v>506</v>
      </c>
      <c r="AQ198" s="2" t="s">
        <v>496</v>
      </c>
      <c r="AR198" s="2" t="s">
        <v>429</v>
      </c>
      <c r="AS198" s="2" t="s">
        <v>498</v>
      </c>
      <c r="AT198" s="2" t="s">
        <v>499</v>
      </c>
      <c r="AV198" s="2">
        <f t="array" ref="AV198">IF($A198="","",IF(INDEX($A198:$AT198,1,MAP!$B$3)=CurrentSeason,1,0))</f>
        <v>0</v>
      </c>
      <c r="AW198" s="2" t="str">
        <f t="shared" si="1"/>
        <v/>
      </c>
    </row>
    <row r="199" ht="15.0" customHeight="1">
      <c r="A199" s="2" t="s">
        <v>1019</v>
      </c>
      <c r="B199" s="2">
        <v>2025.0</v>
      </c>
      <c r="C199" s="2" t="s">
        <v>390</v>
      </c>
      <c r="D199" s="2">
        <v>13.0</v>
      </c>
      <c r="E199" s="2" t="s">
        <v>1020</v>
      </c>
      <c r="F199" s="2" t="s">
        <v>549</v>
      </c>
      <c r="G199" s="2" t="s">
        <v>550</v>
      </c>
      <c r="H199" s="2" t="s">
        <v>235</v>
      </c>
      <c r="I199" s="2">
        <v>15.0</v>
      </c>
      <c r="J199" s="2" t="s">
        <v>145</v>
      </c>
      <c r="K199" s="2">
        <v>33.0</v>
      </c>
      <c r="L199" s="2" t="s">
        <v>77</v>
      </c>
      <c r="M199" s="2">
        <v>18.0</v>
      </c>
      <c r="N199" s="2">
        <v>48.0</v>
      </c>
      <c r="O199" s="2">
        <v>0.0</v>
      </c>
      <c r="P199" s="2">
        <v>2.0251201E9</v>
      </c>
      <c r="Q199" s="2">
        <v>60036.0</v>
      </c>
      <c r="S199" s="2" t="s">
        <v>1021</v>
      </c>
      <c r="T199" s="2">
        <v>28611.0</v>
      </c>
      <c r="U199" s="2">
        <v>4.01772821E8</v>
      </c>
      <c r="V199" s="2">
        <v>6927.0</v>
      </c>
      <c r="W199" s="2">
        <v>8.0</v>
      </c>
      <c r="X199" s="2">
        <v>8.0</v>
      </c>
      <c r="Y199" s="2">
        <v>295.0</v>
      </c>
      <c r="Z199" s="2">
        <v>-375.0</v>
      </c>
      <c r="AA199" s="2">
        <v>7.0</v>
      </c>
      <c r="AB199" s="2">
        <v>-105.0</v>
      </c>
      <c r="AC199" s="2">
        <v>-115.0</v>
      </c>
      <c r="AD199" s="2">
        <v>46.5</v>
      </c>
      <c r="AE199" s="2">
        <v>-105.0</v>
      </c>
      <c r="AF199" s="2">
        <v>-115.0</v>
      </c>
      <c r="AG199" s="2">
        <v>0.0</v>
      </c>
      <c r="AH199" s="2" t="s">
        <v>395</v>
      </c>
      <c r="AI199" s="2" t="s">
        <v>423</v>
      </c>
      <c r="AJ199" s="2">
        <v>30.0</v>
      </c>
      <c r="AK199" s="2">
        <v>5.0</v>
      </c>
      <c r="AL199" s="2" t="s">
        <v>693</v>
      </c>
      <c r="AM199" s="2" t="s">
        <v>463</v>
      </c>
      <c r="AN199" s="2" t="s">
        <v>236</v>
      </c>
      <c r="AO199" s="2" t="s">
        <v>230</v>
      </c>
      <c r="AP199" s="2" t="s">
        <v>495</v>
      </c>
      <c r="AQ199" s="2" t="s">
        <v>465</v>
      </c>
      <c r="AR199" s="2" t="s">
        <v>507</v>
      </c>
      <c r="AS199" s="2" t="s">
        <v>467</v>
      </c>
      <c r="AT199" s="2" t="s">
        <v>468</v>
      </c>
      <c r="AV199" s="2">
        <f t="array" ref="AV199">IF($A199="","",IF(INDEX($A199:$AT199,1,MAP!$B$3)=CurrentSeason,1,0))</f>
        <v>0</v>
      </c>
      <c r="AW199" s="2" t="str">
        <f t="shared" si="1"/>
        <v/>
      </c>
    </row>
    <row r="200" ht="15.0" customHeight="1">
      <c r="A200" s="2" t="s">
        <v>1022</v>
      </c>
      <c r="B200" s="2">
        <v>2025.0</v>
      </c>
      <c r="C200" s="2" t="s">
        <v>390</v>
      </c>
      <c r="D200" s="2">
        <v>14.0</v>
      </c>
      <c r="E200" s="2" t="s">
        <v>1023</v>
      </c>
      <c r="F200" s="2" t="s">
        <v>392</v>
      </c>
      <c r="G200" s="2" t="s">
        <v>550</v>
      </c>
      <c r="H200" s="2" t="s">
        <v>146</v>
      </c>
      <c r="I200" s="2">
        <v>30.0</v>
      </c>
      <c r="J200" s="2" t="s">
        <v>202</v>
      </c>
      <c r="K200" s="2">
        <v>44.0</v>
      </c>
      <c r="L200" s="2" t="s">
        <v>77</v>
      </c>
      <c r="M200" s="2">
        <v>14.0</v>
      </c>
      <c r="N200" s="2">
        <v>74.0</v>
      </c>
      <c r="O200" s="2">
        <v>0.0</v>
      </c>
      <c r="P200" s="2">
        <v>2.0251204E9</v>
      </c>
      <c r="Q200" s="2">
        <v>60037.0</v>
      </c>
      <c r="S200" s="2" t="s">
        <v>1024</v>
      </c>
      <c r="T200" s="2">
        <v>28612.0</v>
      </c>
      <c r="U200" s="2">
        <v>4.01772947E8</v>
      </c>
      <c r="V200" s="2">
        <v>6928.0</v>
      </c>
      <c r="W200" s="2">
        <v>7.0</v>
      </c>
      <c r="X200" s="2">
        <v>7.0</v>
      </c>
      <c r="Y200" s="2">
        <v>160.0</v>
      </c>
      <c r="Z200" s="2">
        <v>-192.0</v>
      </c>
      <c r="AA200" s="2">
        <v>3.5</v>
      </c>
      <c r="AB200" s="2">
        <v>-110.0</v>
      </c>
      <c r="AC200" s="2">
        <v>-110.0</v>
      </c>
      <c r="AD200" s="2">
        <v>55.5</v>
      </c>
      <c r="AE200" s="2">
        <v>-110.0</v>
      </c>
      <c r="AF200" s="2">
        <v>-110.0</v>
      </c>
      <c r="AG200" s="2">
        <v>0.0</v>
      </c>
      <c r="AH200" s="2" t="s">
        <v>409</v>
      </c>
      <c r="AI200" s="2" t="s">
        <v>423</v>
      </c>
      <c r="AL200" s="2" t="s">
        <v>397</v>
      </c>
      <c r="AM200" s="2" t="s">
        <v>522</v>
      </c>
      <c r="AN200" s="2" t="s">
        <v>199</v>
      </c>
      <c r="AO200" s="2" t="s">
        <v>203</v>
      </c>
      <c r="AP200" s="2" t="s">
        <v>399</v>
      </c>
      <c r="AQ200" s="2" t="s">
        <v>524</v>
      </c>
      <c r="AR200" s="2" t="s">
        <v>516</v>
      </c>
      <c r="AS200" s="2" t="s">
        <v>579</v>
      </c>
      <c r="AT200" s="2" t="s">
        <v>580</v>
      </c>
      <c r="AV200" s="2">
        <f t="array" ref="AV200">IF($A200="","",IF(INDEX($A200:$AT200,1,MAP!$B$3)=CurrentSeason,1,0))</f>
        <v>0</v>
      </c>
      <c r="AW200" s="2" t="str">
        <f t="shared" si="1"/>
        <v/>
      </c>
    </row>
    <row r="201" ht="15.0" customHeight="1">
      <c r="A201" s="2" t="s">
        <v>1025</v>
      </c>
      <c r="B201" s="2">
        <v>2025.0</v>
      </c>
      <c r="C201" s="2" t="s">
        <v>390</v>
      </c>
      <c r="D201" s="2">
        <v>14.0</v>
      </c>
      <c r="E201" s="2" t="s">
        <v>1026</v>
      </c>
      <c r="F201" s="2" t="s">
        <v>419</v>
      </c>
      <c r="G201" s="2" t="s">
        <v>420</v>
      </c>
      <c r="H201" s="2" t="s">
        <v>149</v>
      </c>
      <c r="I201" s="2">
        <v>37.0</v>
      </c>
      <c r="J201" s="2" t="s">
        <v>132</v>
      </c>
      <c r="K201" s="2">
        <v>9.0</v>
      </c>
      <c r="L201" s="2" t="s">
        <v>77</v>
      </c>
      <c r="M201" s="2">
        <v>-28.0</v>
      </c>
      <c r="N201" s="2">
        <v>46.0</v>
      </c>
      <c r="O201" s="2">
        <v>0.0</v>
      </c>
      <c r="P201" s="2">
        <v>2.0251207E9</v>
      </c>
      <c r="Q201" s="2">
        <v>60038.0</v>
      </c>
      <c r="S201" s="2" t="s">
        <v>1027</v>
      </c>
      <c r="T201" s="2">
        <v>28613.0</v>
      </c>
      <c r="U201" s="2">
        <v>4.017729E8</v>
      </c>
      <c r="V201" s="2">
        <v>6929.0</v>
      </c>
      <c r="W201" s="2">
        <v>7.0</v>
      </c>
      <c r="X201" s="2">
        <v>7.0</v>
      </c>
      <c r="Y201" s="2">
        <v>-355.0</v>
      </c>
      <c r="Z201" s="2">
        <v>280.0</v>
      </c>
      <c r="AA201" s="2">
        <v>-7.0</v>
      </c>
      <c r="AB201" s="2">
        <v>100.0</v>
      </c>
      <c r="AC201" s="2">
        <v>-120.0</v>
      </c>
      <c r="AD201" s="2">
        <v>44.5</v>
      </c>
      <c r="AE201" s="2">
        <v>-108.0</v>
      </c>
      <c r="AF201" s="2">
        <v>-112.0</v>
      </c>
      <c r="AG201" s="2">
        <v>0.0</v>
      </c>
      <c r="AH201" s="2" t="s">
        <v>422</v>
      </c>
      <c r="AI201" s="2" t="s">
        <v>423</v>
      </c>
      <c r="AL201" s="2" t="s">
        <v>513</v>
      </c>
      <c r="AM201" s="2" t="s">
        <v>820</v>
      </c>
      <c r="AN201" s="2" t="s">
        <v>245</v>
      </c>
      <c r="AO201" s="2" t="s">
        <v>821</v>
      </c>
      <c r="AP201" s="2" t="s">
        <v>515</v>
      </c>
      <c r="AQ201" s="2" t="s">
        <v>428</v>
      </c>
      <c r="AR201" s="2" t="s">
        <v>507</v>
      </c>
      <c r="AS201" s="2" t="s">
        <v>430</v>
      </c>
      <c r="AT201" s="2" t="s">
        <v>431</v>
      </c>
      <c r="AV201" s="2">
        <f t="array" ref="AV201">IF($A201="","",IF(INDEX($A201:$AT201,1,MAP!$B$3)=CurrentSeason,1,0))</f>
        <v>0</v>
      </c>
      <c r="AW201" s="2" t="str">
        <f t="shared" si="1"/>
        <v/>
      </c>
    </row>
    <row r="202" ht="15.0" customHeight="1">
      <c r="A202" s="2" t="s">
        <v>1028</v>
      </c>
      <c r="B202" s="2">
        <v>2025.0</v>
      </c>
      <c r="C202" s="2" t="s">
        <v>390</v>
      </c>
      <c r="D202" s="2">
        <v>14.0</v>
      </c>
      <c r="E202" s="2" t="s">
        <v>1026</v>
      </c>
      <c r="F202" s="2" t="s">
        <v>419</v>
      </c>
      <c r="G202" s="2" t="s">
        <v>420</v>
      </c>
      <c r="H202" s="2" t="s">
        <v>242</v>
      </c>
      <c r="I202" s="2">
        <v>27.0</v>
      </c>
      <c r="J202" s="2" t="s">
        <v>148</v>
      </c>
      <c r="K202" s="2">
        <v>22.0</v>
      </c>
      <c r="L202" s="2" t="s">
        <v>77</v>
      </c>
      <c r="M202" s="2">
        <v>-5.0</v>
      </c>
      <c r="N202" s="2">
        <v>49.0</v>
      </c>
      <c r="O202" s="2">
        <v>0.0</v>
      </c>
      <c r="P202" s="2">
        <v>2.025120701E9</v>
      </c>
      <c r="Q202" s="2">
        <v>60039.0</v>
      </c>
      <c r="S202" s="2" t="s">
        <v>1029</v>
      </c>
      <c r="T202" s="2">
        <v>28614.0</v>
      </c>
      <c r="U202" s="2">
        <v>4.01772791E8</v>
      </c>
      <c r="V202" s="2">
        <v>6930.0</v>
      </c>
      <c r="W202" s="2">
        <v>7.0</v>
      </c>
      <c r="X202" s="2">
        <v>10.0</v>
      </c>
      <c r="Y202" s="2">
        <v>220.0</v>
      </c>
      <c r="Z202" s="2">
        <v>-270.0</v>
      </c>
      <c r="AA202" s="2">
        <v>5.5</v>
      </c>
      <c r="AB202" s="2">
        <v>100.0</v>
      </c>
      <c r="AC202" s="2">
        <v>-120.0</v>
      </c>
      <c r="AD202" s="2">
        <v>43.5</v>
      </c>
      <c r="AE202" s="2">
        <v>-105.0</v>
      </c>
      <c r="AF202" s="2">
        <v>-115.0</v>
      </c>
      <c r="AG202" s="2">
        <v>1.0</v>
      </c>
      <c r="AH202" s="2" t="s">
        <v>395</v>
      </c>
      <c r="AI202" s="2" t="s">
        <v>396</v>
      </c>
      <c r="AJ202" s="2">
        <v>44.0</v>
      </c>
      <c r="AK202" s="2">
        <v>6.0</v>
      </c>
      <c r="AL202" s="2" t="s">
        <v>482</v>
      </c>
      <c r="AM202" s="2" t="s">
        <v>540</v>
      </c>
      <c r="AN202" s="2" t="s">
        <v>243</v>
      </c>
      <c r="AO202" s="2" t="s">
        <v>184</v>
      </c>
      <c r="AP202" s="2" t="s">
        <v>485</v>
      </c>
      <c r="AQ202" s="2" t="s">
        <v>542</v>
      </c>
      <c r="AR202" s="2" t="s">
        <v>457</v>
      </c>
      <c r="AS202" s="2" t="s">
        <v>567</v>
      </c>
      <c r="AT202" s="2" t="s">
        <v>568</v>
      </c>
      <c r="AV202" s="2">
        <f t="array" ref="AV202">IF($A202="","",IF(INDEX($A202:$AT202,1,MAP!$B$3)=CurrentSeason,1,0))</f>
        <v>0</v>
      </c>
      <c r="AW202" s="2" t="str">
        <f t="shared" si="1"/>
        <v/>
      </c>
    </row>
    <row r="203" ht="15.0" customHeight="1">
      <c r="A203" s="2" t="s">
        <v>1030</v>
      </c>
      <c r="B203" s="2">
        <v>2025.0</v>
      </c>
      <c r="C203" s="2" t="s">
        <v>390</v>
      </c>
      <c r="D203" s="2">
        <v>14.0</v>
      </c>
      <c r="E203" s="2" t="s">
        <v>1026</v>
      </c>
      <c r="F203" s="2" t="s">
        <v>419</v>
      </c>
      <c r="G203" s="2" t="s">
        <v>420</v>
      </c>
      <c r="H203" s="2" t="s">
        <v>250</v>
      </c>
      <c r="I203" s="2">
        <v>31.0</v>
      </c>
      <c r="J203" s="2" t="s">
        <v>196</v>
      </c>
      <c r="K203" s="2">
        <v>29.0</v>
      </c>
      <c r="L203" s="2" t="s">
        <v>77</v>
      </c>
      <c r="M203" s="2">
        <v>-2.0</v>
      </c>
      <c r="N203" s="2">
        <v>60.0</v>
      </c>
      <c r="O203" s="2">
        <v>0.0</v>
      </c>
      <c r="P203" s="2">
        <v>2.025120702E9</v>
      </c>
      <c r="Q203" s="2">
        <v>60040.0</v>
      </c>
      <c r="S203" s="2" t="s">
        <v>1031</v>
      </c>
      <c r="T203" s="2">
        <v>28615.0</v>
      </c>
      <c r="U203" s="2">
        <v>4.01772898E8</v>
      </c>
      <c r="V203" s="2">
        <v>6931.0</v>
      </c>
      <c r="W203" s="2">
        <v>7.0</v>
      </c>
      <c r="X203" s="2">
        <v>7.0</v>
      </c>
      <c r="Y203" s="2">
        <v>170.0</v>
      </c>
      <c r="Z203" s="2">
        <v>-205.0</v>
      </c>
      <c r="AA203" s="2">
        <v>4.5</v>
      </c>
      <c r="AB203" s="2">
        <v>-120.0</v>
      </c>
      <c r="AC203" s="2">
        <v>100.0</v>
      </c>
      <c r="AD203" s="2">
        <v>33.5</v>
      </c>
      <c r="AE203" s="2">
        <v>-105.0</v>
      </c>
      <c r="AF203" s="2">
        <v>-115.0</v>
      </c>
      <c r="AG203" s="2">
        <v>0.0</v>
      </c>
      <c r="AH203" s="2" t="s">
        <v>395</v>
      </c>
      <c r="AI203" s="2" t="s">
        <v>396</v>
      </c>
      <c r="AJ203" s="2">
        <v>33.0</v>
      </c>
      <c r="AK203" s="2">
        <v>6.0</v>
      </c>
      <c r="AL203" s="2" t="s">
        <v>503</v>
      </c>
      <c r="AM203" s="2" t="s">
        <v>971</v>
      </c>
      <c r="AN203" s="2" t="s">
        <v>251</v>
      </c>
      <c r="AO203" s="2" t="s">
        <v>972</v>
      </c>
      <c r="AP203" s="2" t="s">
        <v>505</v>
      </c>
      <c r="AQ203" s="2" t="s">
        <v>438</v>
      </c>
      <c r="AR203" s="2" t="s">
        <v>414</v>
      </c>
      <c r="AS203" s="2" t="s">
        <v>440</v>
      </c>
      <c r="AT203" s="2" t="s">
        <v>441</v>
      </c>
      <c r="AV203" s="2">
        <f t="array" ref="AV203">IF($A203="","",IF(INDEX($A203:$AT203,1,MAP!$B$3)=CurrentSeason,1,0))</f>
        <v>0</v>
      </c>
      <c r="AW203" s="2" t="str">
        <f t="shared" si="1"/>
        <v/>
      </c>
    </row>
    <row r="204" ht="15.0" customHeight="1">
      <c r="A204" s="2" t="s">
        <v>1032</v>
      </c>
      <c r="B204" s="2">
        <v>2025.0</v>
      </c>
      <c r="C204" s="2" t="s">
        <v>390</v>
      </c>
      <c r="D204" s="2">
        <v>14.0</v>
      </c>
      <c r="E204" s="2" t="s">
        <v>1026</v>
      </c>
      <c r="F204" s="2" t="s">
        <v>419</v>
      </c>
      <c r="G204" s="2" t="s">
        <v>520</v>
      </c>
      <c r="H204" s="2" t="s">
        <v>137</v>
      </c>
      <c r="I204" s="2">
        <v>21.0</v>
      </c>
      <c r="J204" s="2" t="s">
        <v>205</v>
      </c>
      <c r="K204" s="2">
        <v>28.0</v>
      </c>
      <c r="L204" s="2" t="s">
        <v>77</v>
      </c>
      <c r="M204" s="2">
        <v>7.0</v>
      </c>
      <c r="N204" s="2">
        <v>49.0</v>
      </c>
      <c r="O204" s="2">
        <v>0.0</v>
      </c>
      <c r="P204" s="2">
        <v>2.025120703E9</v>
      </c>
      <c r="Q204" s="2">
        <v>60041.0</v>
      </c>
      <c r="S204" s="2" t="s">
        <v>1033</v>
      </c>
      <c r="T204" s="2">
        <v>28616.0</v>
      </c>
      <c r="U204" s="2">
        <v>4.01772897E8</v>
      </c>
      <c r="V204" s="2">
        <v>6932.0</v>
      </c>
      <c r="W204" s="2">
        <v>9.0</v>
      </c>
      <c r="X204" s="2">
        <v>10.0</v>
      </c>
      <c r="Y204" s="2">
        <v>245.0</v>
      </c>
      <c r="Z204" s="2">
        <v>-305.0</v>
      </c>
      <c r="AA204" s="2">
        <v>6.5</v>
      </c>
      <c r="AB204" s="2">
        <v>-105.0</v>
      </c>
      <c r="AC204" s="2">
        <v>-115.0</v>
      </c>
      <c r="AD204" s="2">
        <v>44.5</v>
      </c>
      <c r="AE204" s="2">
        <v>-115.0</v>
      </c>
      <c r="AF204" s="2">
        <v>-105.0</v>
      </c>
      <c r="AG204" s="2">
        <v>1.0</v>
      </c>
      <c r="AH204" s="2" t="s">
        <v>395</v>
      </c>
      <c r="AI204" s="2" t="s">
        <v>396</v>
      </c>
      <c r="AJ204" s="2">
        <v>16.0</v>
      </c>
      <c r="AK204" s="2">
        <v>9.0</v>
      </c>
      <c r="AL204" s="2" t="s">
        <v>553</v>
      </c>
      <c r="AM204" s="2" t="s">
        <v>523</v>
      </c>
      <c r="AN204" s="2" t="s">
        <v>192</v>
      </c>
      <c r="AO204" s="2" t="s">
        <v>206</v>
      </c>
      <c r="AP204" s="2" t="s">
        <v>556</v>
      </c>
      <c r="AQ204" s="2" t="s">
        <v>525</v>
      </c>
      <c r="AR204" s="2" t="s">
        <v>536</v>
      </c>
      <c r="AS204" s="2" t="s">
        <v>527</v>
      </c>
      <c r="AT204" s="2" t="s">
        <v>528</v>
      </c>
      <c r="AV204" s="2">
        <f t="array" ref="AV204">IF($A204="","",IF(INDEX($A204:$AT204,1,MAP!$B$3)=CurrentSeason,1,0))</f>
        <v>0</v>
      </c>
      <c r="AW204" s="2" t="str">
        <f t="shared" si="1"/>
        <v/>
      </c>
    </row>
    <row r="205" ht="15.0" customHeight="1">
      <c r="A205" s="2" t="s">
        <v>1034</v>
      </c>
      <c r="B205" s="2">
        <v>2025.0</v>
      </c>
      <c r="C205" s="2" t="s">
        <v>390</v>
      </c>
      <c r="D205" s="2">
        <v>14.0</v>
      </c>
      <c r="E205" s="2" t="s">
        <v>1026</v>
      </c>
      <c r="F205" s="2" t="s">
        <v>419</v>
      </c>
      <c r="G205" s="2" t="s">
        <v>420</v>
      </c>
      <c r="H205" s="2" t="s">
        <v>210</v>
      </c>
      <c r="I205" s="2">
        <v>19.0</v>
      </c>
      <c r="J205" s="2" t="s">
        <v>141</v>
      </c>
      <c r="K205" s="2">
        <v>36.0</v>
      </c>
      <c r="L205" s="2" t="s">
        <v>77</v>
      </c>
      <c r="M205" s="2">
        <v>17.0</v>
      </c>
      <c r="N205" s="2">
        <v>55.0</v>
      </c>
      <c r="O205" s="2">
        <v>0.0</v>
      </c>
      <c r="P205" s="2">
        <v>2.025120704E9</v>
      </c>
      <c r="Q205" s="2">
        <v>60042.0</v>
      </c>
      <c r="S205" s="2" t="s">
        <v>1035</v>
      </c>
      <c r="T205" s="2">
        <v>28617.0</v>
      </c>
      <c r="U205" s="2">
        <v>4.01772793E8</v>
      </c>
      <c r="V205" s="2">
        <v>6933.0</v>
      </c>
      <c r="W205" s="2">
        <v>7.0</v>
      </c>
      <c r="X205" s="2">
        <v>7.0</v>
      </c>
      <c r="Y205" s="2">
        <v>-135.0</v>
      </c>
      <c r="Z205" s="2">
        <v>114.0</v>
      </c>
      <c r="AA205" s="2">
        <v>-2.5</v>
      </c>
      <c r="AB205" s="2">
        <v>-112.0</v>
      </c>
      <c r="AC205" s="2">
        <v>-108.0</v>
      </c>
      <c r="AD205" s="2">
        <v>44.5</v>
      </c>
      <c r="AE205" s="2">
        <v>-105.0</v>
      </c>
      <c r="AF205" s="2">
        <v>-115.0</v>
      </c>
      <c r="AG205" s="2">
        <v>1.0</v>
      </c>
      <c r="AH205" s="2" t="s">
        <v>395</v>
      </c>
      <c r="AI205" s="2" t="s">
        <v>396</v>
      </c>
      <c r="AJ205" s="2">
        <v>61.0</v>
      </c>
      <c r="AK205" s="2">
        <v>7.0</v>
      </c>
      <c r="AL205" s="2" t="s">
        <v>445</v>
      </c>
      <c r="AM205" s="2" t="s">
        <v>454</v>
      </c>
      <c r="AN205" s="2" t="s">
        <v>211</v>
      </c>
      <c r="AO205" s="2" t="s">
        <v>214</v>
      </c>
      <c r="AP205" s="2" t="s">
        <v>447</v>
      </c>
      <c r="AQ205" s="2" t="s">
        <v>456</v>
      </c>
      <c r="AR205" s="2" t="s">
        <v>544</v>
      </c>
      <c r="AS205" s="2" t="s">
        <v>458</v>
      </c>
      <c r="AT205" s="2" t="s">
        <v>459</v>
      </c>
      <c r="AV205" s="2">
        <f t="array" ref="AV205">IF($A205="","",IF(INDEX($A205:$AT205,1,MAP!$B$3)=CurrentSeason,1,0))</f>
        <v>0</v>
      </c>
      <c r="AW205" s="2" t="str">
        <f t="shared" si="1"/>
        <v/>
      </c>
    </row>
    <row r="206" ht="15.0" customHeight="1">
      <c r="A206" s="2" t="s">
        <v>1036</v>
      </c>
      <c r="B206" s="2">
        <v>2025.0</v>
      </c>
      <c r="C206" s="2" t="s">
        <v>390</v>
      </c>
      <c r="D206" s="2">
        <v>14.0</v>
      </c>
      <c r="E206" s="2" t="s">
        <v>1026</v>
      </c>
      <c r="F206" s="2" t="s">
        <v>419</v>
      </c>
      <c r="G206" s="2" t="s">
        <v>420</v>
      </c>
      <c r="H206" s="2" t="s">
        <v>253</v>
      </c>
      <c r="I206" s="2">
        <v>0.0</v>
      </c>
      <c r="J206" s="2" t="s">
        <v>144</v>
      </c>
      <c r="K206" s="2">
        <v>31.0</v>
      </c>
      <c r="L206" s="2" t="s">
        <v>77</v>
      </c>
      <c r="M206" s="2">
        <v>31.0</v>
      </c>
      <c r="N206" s="2">
        <v>31.0</v>
      </c>
      <c r="O206" s="2">
        <v>0.0</v>
      </c>
      <c r="P206" s="2">
        <v>2.025120705E9</v>
      </c>
      <c r="Q206" s="2">
        <v>60043.0</v>
      </c>
      <c r="S206" s="2" t="s">
        <v>1037</v>
      </c>
      <c r="T206" s="2">
        <v>28618.0</v>
      </c>
      <c r="U206" s="2">
        <v>4.01772899E8</v>
      </c>
      <c r="V206" s="2">
        <v>6934.0</v>
      </c>
      <c r="W206" s="2">
        <v>7.0</v>
      </c>
      <c r="X206" s="2">
        <v>7.0</v>
      </c>
      <c r="Y206" s="2">
        <v>-115.0</v>
      </c>
      <c r="Z206" s="2">
        <v>-105.0</v>
      </c>
      <c r="AA206" s="2">
        <v>-1.5</v>
      </c>
      <c r="AB206" s="2">
        <v>-102.0</v>
      </c>
      <c r="AC206" s="2">
        <v>-118.0</v>
      </c>
      <c r="AD206" s="2">
        <v>43.5</v>
      </c>
      <c r="AE206" s="2">
        <v>-102.0</v>
      </c>
      <c r="AF206" s="2">
        <v>-118.0</v>
      </c>
      <c r="AG206" s="2">
        <v>0.0</v>
      </c>
      <c r="AH206" s="2" t="s">
        <v>409</v>
      </c>
      <c r="AI206" s="2" t="s">
        <v>471</v>
      </c>
      <c r="AL206" s="2" t="s">
        <v>657</v>
      </c>
      <c r="AM206" s="2" t="s">
        <v>552</v>
      </c>
      <c r="AN206" s="2" t="s">
        <v>658</v>
      </c>
      <c r="AO206" s="2" t="s">
        <v>554</v>
      </c>
      <c r="AP206" s="2" t="s">
        <v>496</v>
      </c>
      <c r="AQ206" s="2" t="s">
        <v>555</v>
      </c>
      <c r="AR206" s="2" t="s">
        <v>448</v>
      </c>
      <c r="AS206" s="2" t="s">
        <v>611</v>
      </c>
      <c r="AT206" s="2" t="s">
        <v>612</v>
      </c>
      <c r="AV206" s="2">
        <f t="array" ref="AV206">IF($A206="","",IF(INDEX($A206:$AT206,1,MAP!$B$3)=CurrentSeason,1,0))</f>
        <v>0</v>
      </c>
      <c r="AW206" s="2" t="str">
        <f t="shared" si="1"/>
        <v/>
      </c>
    </row>
    <row r="207" ht="15.0" customHeight="1">
      <c r="A207" s="2" t="s">
        <v>1038</v>
      </c>
      <c r="B207" s="2">
        <v>2025.0</v>
      </c>
      <c r="C207" s="2" t="s">
        <v>390</v>
      </c>
      <c r="D207" s="2">
        <v>14.0</v>
      </c>
      <c r="E207" s="2" t="s">
        <v>1026</v>
      </c>
      <c r="F207" s="2" t="s">
        <v>419</v>
      </c>
      <c r="G207" s="2" t="s">
        <v>420</v>
      </c>
      <c r="H207" s="2" t="s">
        <v>225</v>
      </c>
      <c r="I207" s="2">
        <v>34.0</v>
      </c>
      <c r="J207" s="2" t="s">
        <v>238</v>
      </c>
      <c r="K207" s="2">
        <v>10.0</v>
      </c>
      <c r="L207" s="2" t="s">
        <v>77</v>
      </c>
      <c r="M207" s="2">
        <v>-24.0</v>
      </c>
      <c r="N207" s="2">
        <v>44.0</v>
      </c>
      <c r="O207" s="2">
        <v>0.0</v>
      </c>
      <c r="P207" s="2">
        <v>2.025120706E9</v>
      </c>
      <c r="Q207" s="2">
        <v>60044.0</v>
      </c>
      <c r="S207" s="2" t="s">
        <v>1039</v>
      </c>
      <c r="T207" s="2">
        <v>28619.0</v>
      </c>
      <c r="U207" s="2">
        <v>4.0177279E8</v>
      </c>
      <c r="V207" s="2">
        <v>6935.0</v>
      </c>
      <c r="W207" s="2">
        <v>7.0</v>
      </c>
      <c r="X207" s="2">
        <v>7.0</v>
      </c>
      <c r="Y207" s="2">
        <v>-148.0</v>
      </c>
      <c r="Z207" s="2">
        <v>124.0</v>
      </c>
      <c r="AA207" s="2">
        <v>-2.5</v>
      </c>
      <c r="AB207" s="2">
        <v>-115.0</v>
      </c>
      <c r="AC207" s="2">
        <v>-105.0</v>
      </c>
      <c r="AD207" s="2">
        <v>41.5</v>
      </c>
      <c r="AE207" s="2">
        <v>-112.0</v>
      </c>
      <c r="AF207" s="2">
        <v>-108.0</v>
      </c>
      <c r="AG207" s="2">
        <v>1.0</v>
      </c>
      <c r="AH207" s="2" t="s">
        <v>395</v>
      </c>
      <c r="AI207" s="2" t="s">
        <v>423</v>
      </c>
      <c r="AJ207" s="2">
        <v>41.0</v>
      </c>
      <c r="AK207" s="2">
        <v>6.0</v>
      </c>
      <c r="AL207" s="2" t="s">
        <v>444</v>
      </c>
      <c r="AM207" s="2" t="s">
        <v>649</v>
      </c>
      <c r="AN207" s="2" t="s">
        <v>182</v>
      </c>
      <c r="AO207" s="2" t="s">
        <v>650</v>
      </c>
      <c r="AP207" s="2" t="s">
        <v>446</v>
      </c>
      <c r="AQ207" s="2" t="s">
        <v>486</v>
      </c>
      <c r="AR207" s="2" t="s">
        <v>487</v>
      </c>
      <c r="AS207" s="2" t="s">
        <v>488</v>
      </c>
      <c r="AT207" s="2" t="s">
        <v>489</v>
      </c>
      <c r="AV207" s="2">
        <f t="array" ref="AV207">IF($A207="","",IF(INDEX($A207:$AT207,1,MAP!$B$3)=CurrentSeason,1,0))</f>
        <v>0</v>
      </c>
      <c r="AW207" s="2" t="str">
        <f t="shared" si="1"/>
        <v/>
      </c>
    </row>
    <row r="208" ht="15.0" customHeight="1">
      <c r="A208" s="2" t="s">
        <v>1040</v>
      </c>
      <c r="B208" s="2">
        <v>2025.0</v>
      </c>
      <c r="C208" s="2" t="s">
        <v>390</v>
      </c>
      <c r="D208" s="2">
        <v>14.0</v>
      </c>
      <c r="E208" s="2" t="s">
        <v>1026</v>
      </c>
      <c r="F208" s="2" t="s">
        <v>419</v>
      </c>
      <c r="G208" s="2" t="s">
        <v>420</v>
      </c>
      <c r="H208" s="2" t="s">
        <v>232</v>
      </c>
      <c r="I208" s="2">
        <v>24.0</v>
      </c>
      <c r="J208" s="2" t="s">
        <v>150</v>
      </c>
      <c r="K208" s="2">
        <v>20.0</v>
      </c>
      <c r="L208" s="2" t="s">
        <v>77</v>
      </c>
      <c r="M208" s="2">
        <v>-4.0</v>
      </c>
      <c r="N208" s="2">
        <v>44.0</v>
      </c>
      <c r="O208" s="2">
        <v>0.0</v>
      </c>
      <c r="P208" s="2">
        <v>2.025120707E9</v>
      </c>
      <c r="Q208" s="2">
        <v>60045.0</v>
      </c>
      <c r="S208" s="2" t="s">
        <v>1041</v>
      </c>
      <c r="T208" s="2">
        <v>28620.0</v>
      </c>
      <c r="U208" s="2">
        <v>4.01772792E8</v>
      </c>
      <c r="V208" s="2">
        <v>6936.0</v>
      </c>
      <c r="W208" s="2">
        <v>7.0</v>
      </c>
      <c r="X208" s="2">
        <v>7.0</v>
      </c>
      <c r="Y208" s="2">
        <v>330.0</v>
      </c>
      <c r="Z208" s="2">
        <v>-425.0</v>
      </c>
      <c r="AA208" s="2">
        <v>7.5</v>
      </c>
      <c r="AB208" s="2">
        <v>-102.0</v>
      </c>
      <c r="AC208" s="2">
        <v>-118.0</v>
      </c>
      <c r="AD208" s="2">
        <v>41.5</v>
      </c>
      <c r="AE208" s="2">
        <v>-105.0</v>
      </c>
      <c r="AF208" s="2">
        <v>-115.0</v>
      </c>
      <c r="AG208" s="2">
        <v>1.0</v>
      </c>
      <c r="AH208" s="2" t="s">
        <v>395</v>
      </c>
      <c r="AI208" s="2" t="s">
        <v>396</v>
      </c>
      <c r="AJ208" s="2">
        <v>73.0</v>
      </c>
      <c r="AK208" s="2">
        <v>6.0</v>
      </c>
      <c r="AL208" s="2" t="s">
        <v>869</v>
      </c>
      <c r="AM208" s="2" t="s">
        <v>424</v>
      </c>
      <c r="AN208" s="2" t="s">
        <v>233</v>
      </c>
      <c r="AO208" s="2" t="s">
        <v>248</v>
      </c>
      <c r="AP208" s="2" t="s">
        <v>476</v>
      </c>
      <c r="AQ208" s="2" t="s">
        <v>427</v>
      </c>
      <c r="AR208" s="2" t="s">
        <v>526</v>
      </c>
      <c r="AS208" s="2" t="s">
        <v>651</v>
      </c>
      <c r="AT208" s="2" t="s">
        <v>652</v>
      </c>
      <c r="AV208" s="2">
        <f t="array" ref="AV208">IF($A208="","",IF(INDEX($A208:$AT208,1,MAP!$B$3)=CurrentSeason,1,0))</f>
        <v>0</v>
      </c>
      <c r="AW208" s="2" t="str">
        <f t="shared" si="1"/>
        <v/>
      </c>
    </row>
    <row r="209" ht="15.0" customHeight="1">
      <c r="A209" s="2" t="s">
        <v>1042</v>
      </c>
      <c r="B209" s="2">
        <v>2025.0</v>
      </c>
      <c r="C209" s="2" t="s">
        <v>390</v>
      </c>
      <c r="D209" s="2">
        <v>14.0</v>
      </c>
      <c r="E209" s="2" t="s">
        <v>1026</v>
      </c>
      <c r="F209" s="2" t="s">
        <v>419</v>
      </c>
      <c r="G209" s="2" t="s">
        <v>501</v>
      </c>
      <c r="H209" s="2" t="s">
        <v>139</v>
      </c>
      <c r="I209" s="2">
        <v>24.0</v>
      </c>
      <c r="J209" s="2" t="s">
        <v>222</v>
      </c>
      <c r="K209" s="2">
        <v>17.0</v>
      </c>
      <c r="L209" s="2" t="s">
        <v>77</v>
      </c>
      <c r="M209" s="2">
        <v>-7.0</v>
      </c>
      <c r="N209" s="2">
        <v>41.0</v>
      </c>
      <c r="O209" s="2">
        <v>0.0</v>
      </c>
      <c r="P209" s="2">
        <v>2.025120708E9</v>
      </c>
      <c r="Q209" s="2">
        <v>60046.0</v>
      </c>
      <c r="S209" s="2" t="s">
        <v>1043</v>
      </c>
      <c r="T209" s="2">
        <v>28621.0</v>
      </c>
      <c r="U209" s="2">
        <v>4.01772794E8</v>
      </c>
      <c r="V209" s="2">
        <v>6937.0</v>
      </c>
      <c r="W209" s="2">
        <v>7.0</v>
      </c>
      <c r="X209" s="2">
        <v>7.0</v>
      </c>
      <c r="Y209" s="2">
        <v>-470.0</v>
      </c>
      <c r="Z209" s="2">
        <v>360.0</v>
      </c>
      <c r="AA209" s="2">
        <v>-8.5</v>
      </c>
      <c r="AB209" s="2">
        <v>-110.0</v>
      </c>
      <c r="AC209" s="2">
        <v>-110.0</v>
      </c>
      <c r="AD209" s="2">
        <v>40.5</v>
      </c>
      <c r="AE209" s="2">
        <v>-115.0</v>
      </c>
      <c r="AF209" s="2">
        <v>-105.0</v>
      </c>
      <c r="AG209" s="2">
        <v>1.0</v>
      </c>
      <c r="AH209" s="2" t="s">
        <v>409</v>
      </c>
      <c r="AI209" s="2" t="s">
        <v>396</v>
      </c>
      <c r="AL209" s="2" t="s">
        <v>504</v>
      </c>
      <c r="AM209" s="2" t="s">
        <v>462</v>
      </c>
      <c r="AN209" s="2" t="s">
        <v>201</v>
      </c>
      <c r="AO209" s="2" t="s">
        <v>239</v>
      </c>
      <c r="AP209" s="2" t="s">
        <v>506</v>
      </c>
      <c r="AQ209" s="2" t="s">
        <v>464</v>
      </c>
      <c r="AR209" s="2" t="s">
        <v>401</v>
      </c>
      <c r="AS209" s="2" t="s">
        <v>623</v>
      </c>
      <c r="AT209" s="2" t="s">
        <v>624</v>
      </c>
      <c r="AV209" s="2">
        <f t="array" ref="AV209">IF($A209="","",IF(INDEX($A209:$AT209,1,MAP!$B$3)=CurrentSeason,1,0))</f>
        <v>0</v>
      </c>
      <c r="AW209" s="2" t="str">
        <f t="shared" si="1"/>
        <v/>
      </c>
    </row>
    <row r="210" ht="15.0" customHeight="1">
      <c r="A210" s="2" t="s">
        <v>1044</v>
      </c>
      <c r="B210" s="2">
        <v>2025.0</v>
      </c>
      <c r="C210" s="2" t="s">
        <v>390</v>
      </c>
      <c r="D210" s="2">
        <v>14.0</v>
      </c>
      <c r="E210" s="2" t="s">
        <v>1026</v>
      </c>
      <c r="F210" s="2" t="s">
        <v>419</v>
      </c>
      <c r="G210" s="2" t="s">
        <v>520</v>
      </c>
      <c r="H210" s="2" t="s">
        <v>142</v>
      </c>
      <c r="I210" s="2">
        <v>45.0</v>
      </c>
      <c r="J210" s="2" t="s">
        <v>178</v>
      </c>
      <c r="K210" s="2">
        <v>17.0</v>
      </c>
      <c r="L210" s="2" t="s">
        <v>77</v>
      </c>
      <c r="M210" s="2">
        <v>-28.0</v>
      </c>
      <c r="N210" s="2">
        <v>62.0</v>
      </c>
      <c r="O210" s="2">
        <v>0.0</v>
      </c>
      <c r="P210" s="2">
        <v>2.025120709E9</v>
      </c>
      <c r="Q210" s="2">
        <v>60047.0</v>
      </c>
      <c r="S210" s="2" t="s">
        <v>1045</v>
      </c>
      <c r="T210" s="2">
        <v>28622.0</v>
      </c>
      <c r="U210" s="2">
        <v>4.01772901E8</v>
      </c>
      <c r="V210" s="2">
        <v>6938.0</v>
      </c>
      <c r="W210" s="2">
        <v>7.0</v>
      </c>
      <c r="X210" s="2">
        <v>7.0</v>
      </c>
      <c r="Y210" s="2">
        <v>-500.0</v>
      </c>
      <c r="Z210" s="2">
        <v>380.0</v>
      </c>
      <c r="AA210" s="2">
        <v>-9.5</v>
      </c>
      <c r="AB210" s="2">
        <v>-110.0</v>
      </c>
      <c r="AC210" s="2">
        <v>-110.0</v>
      </c>
      <c r="AD210" s="2">
        <v>49.5</v>
      </c>
      <c r="AE210" s="2">
        <v>-110.0</v>
      </c>
      <c r="AF210" s="2">
        <v>-110.0</v>
      </c>
      <c r="AG210" s="2">
        <v>1.0</v>
      </c>
      <c r="AH210" s="2" t="s">
        <v>422</v>
      </c>
      <c r="AI210" s="2" t="s">
        <v>396</v>
      </c>
      <c r="AL210" s="2" t="s">
        <v>533</v>
      </c>
      <c r="AM210" s="2" t="s">
        <v>759</v>
      </c>
      <c r="AN210" s="2" t="s">
        <v>218</v>
      </c>
      <c r="AO210" s="2" t="s">
        <v>179</v>
      </c>
      <c r="AP210" s="2" t="s">
        <v>535</v>
      </c>
      <c r="AQ210" s="2" t="s">
        <v>475</v>
      </c>
      <c r="AR210" s="2" t="s">
        <v>466</v>
      </c>
      <c r="AS210" s="2" t="s">
        <v>601</v>
      </c>
      <c r="AT210" s="2" t="s">
        <v>602</v>
      </c>
      <c r="AV210" s="2">
        <f t="array" ref="AV210">IF($A210="","",IF(INDEX($A210:$AT210,1,MAP!$B$3)=CurrentSeason,1,0))</f>
        <v>0</v>
      </c>
      <c r="AW210" s="2" t="str">
        <f t="shared" si="1"/>
        <v/>
      </c>
    </row>
    <row r="211" ht="15.0" customHeight="1">
      <c r="A211" s="2" t="s">
        <v>1046</v>
      </c>
      <c r="B211" s="2">
        <v>2025.0</v>
      </c>
      <c r="C211" s="2" t="s">
        <v>390</v>
      </c>
      <c r="D211" s="2">
        <v>14.0</v>
      </c>
      <c r="E211" s="2" t="s">
        <v>1026</v>
      </c>
      <c r="F211" s="2" t="s">
        <v>419</v>
      </c>
      <c r="G211" s="2" t="s">
        <v>420</v>
      </c>
      <c r="H211" s="2" t="s">
        <v>138</v>
      </c>
      <c r="I211" s="2">
        <v>34.0</v>
      </c>
      <c r="J211" s="2" t="s">
        <v>136</v>
      </c>
      <c r="K211" s="2">
        <v>39.0</v>
      </c>
      <c r="L211" s="2" t="s">
        <v>77</v>
      </c>
      <c r="M211" s="2">
        <v>5.0</v>
      </c>
      <c r="N211" s="2">
        <v>73.0</v>
      </c>
      <c r="O211" s="2">
        <v>0.0</v>
      </c>
      <c r="P211" s="2">
        <v>2.02512071E9</v>
      </c>
      <c r="Q211" s="2">
        <v>60048.0</v>
      </c>
      <c r="S211" s="2" t="s">
        <v>1047</v>
      </c>
      <c r="T211" s="2">
        <v>28623.0</v>
      </c>
      <c r="U211" s="2">
        <v>4.01772902E8</v>
      </c>
      <c r="V211" s="2">
        <v>6939.0</v>
      </c>
      <c r="W211" s="2">
        <v>10.0</v>
      </c>
      <c r="X211" s="2">
        <v>7.0</v>
      </c>
      <c r="Y211" s="2">
        <v>230.0</v>
      </c>
      <c r="Z211" s="2">
        <v>-285.0</v>
      </c>
      <c r="AA211" s="2">
        <v>6.0</v>
      </c>
      <c r="AB211" s="2">
        <v>-108.0</v>
      </c>
      <c r="AC211" s="2">
        <v>-112.0</v>
      </c>
      <c r="AD211" s="2">
        <v>54.5</v>
      </c>
      <c r="AE211" s="2">
        <v>-108.0</v>
      </c>
      <c r="AF211" s="2">
        <v>-112.0</v>
      </c>
      <c r="AG211" s="2">
        <v>0.0</v>
      </c>
      <c r="AH211" s="2" t="s">
        <v>395</v>
      </c>
      <c r="AI211" s="2" t="s">
        <v>539</v>
      </c>
      <c r="AJ211" s="2">
        <v>31.0</v>
      </c>
      <c r="AK211" s="2">
        <v>12.0</v>
      </c>
      <c r="AL211" s="2" t="s">
        <v>434</v>
      </c>
      <c r="AM211" s="2" t="s">
        <v>541</v>
      </c>
      <c r="AN211" s="2" t="s">
        <v>194</v>
      </c>
      <c r="AO211" s="2" t="s">
        <v>187</v>
      </c>
      <c r="AP211" s="2" t="s">
        <v>437</v>
      </c>
      <c r="AQ211" s="2" t="s">
        <v>543</v>
      </c>
      <c r="AR211" s="2" t="s">
        <v>563</v>
      </c>
      <c r="AS211" s="2" t="s">
        <v>545</v>
      </c>
      <c r="AT211" s="2" t="s">
        <v>546</v>
      </c>
      <c r="AV211" s="2">
        <f t="array" ref="AV211">IF($A211="","",IF(INDEX($A211:$AT211,1,MAP!$B$3)=CurrentSeason,1,0))</f>
        <v>0</v>
      </c>
      <c r="AW211" s="2" t="str">
        <f t="shared" si="1"/>
        <v/>
      </c>
    </row>
    <row r="212" ht="15.0" customHeight="1">
      <c r="A212" s="2" t="s">
        <v>1048</v>
      </c>
      <c r="B212" s="2">
        <v>2025.0</v>
      </c>
      <c r="C212" s="2" t="s">
        <v>390</v>
      </c>
      <c r="D212" s="2">
        <v>14.0</v>
      </c>
      <c r="E212" s="2" t="s">
        <v>1026</v>
      </c>
      <c r="F212" s="2" t="s">
        <v>419</v>
      </c>
      <c r="G212" s="2" t="s">
        <v>393</v>
      </c>
      <c r="H212" s="2" t="s">
        <v>140</v>
      </c>
      <c r="I212" s="2">
        <v>20.0</v>
      </c>
      <c r="J212" s="2" t="s">
        <v>143</v>
      </c>
      <c r="K212" s="2">
        <v>10.0</v>
      </c>
      <c r="L212" s="2" t="s">
        <v>77</v>
      </c>
      <c r="M212" s="2">
        <v>-10.0</v>
      </c>
      <c r="N212" s="2">
        <v>30.0</v>
      </c>
      <c r="O212" s="2">
        <v>0.0</v>
      </c>
      <c r="P212" s="2">
        <v>2.025120711E9</v>
      </c>
      <c r="Q212" s="2">
        <v>60049.0</v>
      </c>
      <c r="S212" s="2" t="s">
        <v>1049</v>
      </c>
      <c r="T212" s="2">
        <v>28624.0</v>
      </c>
      <c r="U212" s="2">
        <v>4.01772932E8</v>
      </c>
      <c r="V212" s="2">
        <v>6940.0</v>
      </c>
      <c r="W212" s="2">
        <v>7.0</v>
      </c>
      <c r="X212" s="2">
        <v>10.0</v>
      </c>
      <c r="Y212" s="2">
        <v>180.0</v>
      </c>
      <c r="Z212" s="2">
        <v>-218.0</v>
      </c>
      <c r="AA212" s="2">
        <v>4.5</v>
      </c>
      <c r="AB212" s="2">
        <v>-115.0</v>
      </c>
      <c r="AC212" s="2">
        <v>-105.0</v>
      </c>
      <c r="AD212" s="2">
        <v>41.5</v>
      </c>
      <c r="AE212" s="2">
        <v>-110.0</v>
      </c>
      <c r="AF212" s="2">
        <v>-110.0</v>
      </c>
      <c r="AG212" s="2">
        <v>0.0</v>
      </c>
      <c r="AH212" s="2" t="s">
        <v>395</v>
      </c>
      <c r="AI212" s="2" t="s">
        <v>396</v>
      </c>
      <c r="AJ212" s="2">
        <v>27.0</v>
      </c>
      <c r="AK212" s="2">
        <v>8.0</v>
      </c>
      <c r="AL212" s="2" t="s">
        <v>532</v>
      </c>
      <c r="AM212" s="2" t="s">
        <v>410</v>
      </c>
      <c r="AN212" s="2" t="s">
        <v>208</v>
      </c>
      <c r="AO212" s="2" t="s">
        <v>216</v>
      </c>
      <c r="AP212" s="2" t="s">
        <v>534</v>
      </c>
      <c r="AQ212" s="2" t="s">
        <v>412</v>
      </c>
      <c r="AR212" s="2" t="s">
        <v>557</v>
      </c>
      <c r="AS212" s="2" t="s">
        <v>607</v>
      </c>
      <c r="AT212" s="2" t="s">
        <v>608</v>
      </c>
      <c r="AV212" s="2">
        <f t="array" ref="AV212">IF($A212="","",IF(INDEX($A212:$AT212,1,MAP!$B$3)=CurrentSeason,1,0))</f>
        <v>0</v>
      </c>
      <c r="AW212" s="2" t="str">
        <f t="shared" si="1"/>
        <v/>
      </c>
    </row>
    <row r="213" ht="15.0" customHeight="1">
      <c r="A213" s="2" t="s">
        <v>1050</v>
      </c>
      <c r="B213" s="2">
        <v>2025.0</v>
      </c>
      <c r="C213" s="2" t="s">
        <v>390</v>
      </c>
      <c r="D213" s="2">
        <v>14.0</v>
      </c>
      <c r="E213" s="2" t="s">
        <v>1051</v>
      </c>
      <c r="F213" s="2" t="s">
        <v>549</v>
      </c>
      <c r="G213" s="2" t="s">
        <v>550</v>
      </c>
      <c r="H213" s="2" t="s">
        <v>147</v>
      </c>
      <c r="I213" s="2">
        <v>19.0</v>
      </c>
      <c r="J213" s="2" t="s">
        <v>220</v>
      </c>
      <c r="K213" s="2">
        <v>22.0</v>
      </c>
      <c r="L213" s="2" t="s">
        <v>77</v>
      </c>
      <c r="M213" s="2">
        <v>3.0</v>
      </c>
      <c r="N213" s="2">
        <v>41.0</v>
      </c>
      <c r="O213" s="2">
        <v>1.0</v>
      </c>
      <c r="P213" s="2">
        <v>2.0251208E9</v>
      </c>
      <c r="Q213" s="2">
        <v>60050.0</v>
      </c>
      <c r="S213" s="2" t="s">
        <v>1052</v>
      </c>
      <c r="T213" s="2">
        <v>28625.0</v>
      </c>
      <c r="U213" s="2">
        <v>4.01772822E8</v>
      </c>
      <c r="V213" s="2">
        <v>6941.0</v>
      </c>
      <c r="W213" s="2">
        <v>10.0</v>
      </c>
      <c r="X213" s="2">
        <v>8.0</v>
      </c>
      <c r="Y213" s="2">
        <v>-120.0</v>
      </c>
      <c r="Z213" s="2">
        <v>100.0</v>
      </c>
      <c r="AA213" s="2">
        <v>-1.5</v>
      </c>
      <c r="AB213" s="2">
        <v>-105.0</v>
      </c>
      <c r="AC213" s="2">
        <v>-115.0</v>
      </c>
      <c r="AD213" s="2">
        <v>41.5</v>
      </c>
      <c r="AE213" s="2">
        <v>-105.0</v>
      </c>
      <c r="AF213" s="2">
        <v>-115.0</v>
      </c>
      <c r="AG213" s="2">
        <v>0.0</v>
      </c>
      <c r="AH213" s="2" t="s">
        <v>409</v>
      </c>
      <c r="AI213" s="2" t="s">
        <v>531</v>
      </c>
      <c r="AL213" s="2" t="s">
        <v>398</v>
      </c>
      <c r="AM213" s="2" t="s">
        <v>411</v>
      </c>
      <c r="AN213" s="2" t="s">
        <v>241</v>
      </c>
      <c r="AO213" s="2" t="s">
        <v>221</v>
      </c>
      <c r="AP213" s="2" t="s">
        <v>400</v>
      </c>
      <c r="AQ213" s="2" t="s">
        <v>413</v>
      </c>
      <c r="AR213" s="2" t="s">
        <v>477</v>
      </c>
      <c r="AS213" s="2" t="s">
        <v>415</v>
      </c>
      <c r="AT213" s="2" t="s">
        <v>416</v>
      </c>
      <c r="AV213" s="2">
        <f t="array" ref="AV213">IF($A213="","",IF(INDEX($A213:$AT213,1,MAP!$B$3)=CurrentSeason,1,0))</f>
        <v>0</v>
      </c>
      <c r="AW213" s="2" t="str">
        <f t="shared" si="1"/>
        <v/>
      </c>
    </row>
    <row r="214" ht="15.0" customHeight="1">
      <c r="A214" s="2" t="s">
        <v>1053</v>
      </c>
      <c r="B214" s="2">
        <v>2025.0</v>
      </c>
      <c r="C214" s="2" t="s">
        <v>390</v>
      </c>
      <c r="D214" s="2">
        <v>15.0</v>
      </c>
      <c r="E214" s="2" t="s">
        <v>1054</v>
      </c>
      <c r="F214" s="2" t="s">
        <v>392</v>
      </c>
      <c r="G214" s="2" t="s">
        <v>550</v>
      </c>
      <c r="H214" s="2" t="s">
        <v>132</v>
      </c>
      <c r="I214" s="2">
        <v>29.0</v>
      </c>
      <c r="J214" s="2" t="s">
        <v>150</v>
      </c>
      <c r="K214" s="2">
        <v>28.0</v>
      </c>
      <c r="L214" s="2" t="s">
        <v>77</v>
      </c>
      <c r="M214" s="2">
        <v>-1.0</v>
      </c>
      <c r="N214" s="2">
        <v>57.0</v>
      </c>
      <c r="O214" s="2">
        <v>0.0</v>
      </c>
      <c r="P214" s="2">
        <v>2.0251211E9</v>
      </c>
      <c r="Q214" s="2">
        <v>60051.0</v>
      </c>
      <c r="S214" s="2" t="s">
        <v>1055</v>
      </c>
      <c r="T214" s="2">
        <v>28626.0</v>
      </c>
      <c r="U214" s="2">
        <v>4.01772948E8</v>
      </c>
      <c r="V214" s="2">
        <v>6942.0</v>
      </c>
      <c r="W214" s="2">
        <v>4.0</v>
      </c>
      <c r="X214" s="2">
        <v>4.0</v>
      </c>
      <c r="Y214" s="2">
        <v>225.0</v>
      </c>
      <c r="Z214" s="2">
        <v>-278.0</v>
      </c>
      <c r="AA214" s="2">
        <v>6.0</v>
      </c>
      <c r="AB214" s="2">
        <v>-112.0</v>
      </c>
      <c r="AC214" s="2">
        <v>-108.0</v>
      </c>
      <c r="AD214" s="2">
        <v>43.5</v>
      </c>
      <c r="AE214" s="2">
        <v>-110.0</v>
      </c>
      <c r="AF214" s="2">
        <v>-110.0</v>
      </c>
      <c r="AG214" s="2">
        <v>1.0</v>
      </c>
      <c r="AH214" s="2" t="s">
        <v>395</v>
      </c>
      <c r="AI214" s="2" t="s">
        <v>396</v>
      </c>
      <c r="AJ214" s="2">
        <v>56.0</v>
      </c>
      <c r="AK214" s="2">
        <v>5.0</v>
      </c>
      <c r="AL214" s="2" t="s">
        <v>820</v>
      </c>
      <c r="AM214" s="2" t="s">
        <v>424</v>
      </c>
      <c r="AN214" s="2" t="s">
        <v>821</v>
      </c>
      <c r="AO214" s="2" t="s">
        <v>248</v>
      </c>
      <c r="AP214" s="2" t="s">
        <v>428</v>
      </c>
      <c r="AQ214" s="2" t="s">
        <v>427</v>
      </c>
      <c r="AR214" s="2" t="s">
        <v>414</v>
      </c>
      <c r="AS214" s="2" t="s">
        <v>651</v>
      </c>
      <c r="AT214" s="2" t="s">
        <v>652</v>
      </c>
      <c r="AV214" s="2">
        <f t="array" ref="AV214">IF($A214="","",IF(INDEX($A214:$AT214,1,MAP!$B$3)=CurrentSeason,1,0))</f>
        <v>0</v>
      </c>
      <c r="AW214" s="2" t="str">
        <f t="shared" si="1"/>
        <v/>
      </c>
    </row>
    <row r="215" ht="15.0" customHeight="1">
      <c r="A215" s="2" t="s">
        <v>1056</v>
      </c>
      <c r="B215" s="2">
        <v>2025.0</v>
      </c>
      <c r="C215" s="2" t="s">
        <v>390</v>
      </c>
      <c r="D215" s="2">
        <v>15.0</v>
      </c>
      <c r="E215" s="2" t="s">
        <v>1057</v>
      </c>
      <c r="F215" s="2" t="s">
        <v>419</v>
      </c>
      <c r="G215" s="2" t="s">
        <v>420</v>
      </c>
      <c r="H215" s="2" t="s">
        <v>196</v>
      </c>
      <c r="I215" s="2">
        <v>3.0</v>
      </c>
      <c r="J215" s="2" t="s">
        <v>137</v>
      </c>
      <c r="K215" s="2">
        <v>31.0</v>
      </c>
      <c r="L215" s="2" t="s">
        <v>77</v>
      </c>
      <c r="M215" s="2">
        <v>28.0</v>
      </c>
      <c r="N215" s="2">
        <v>34.0</v>
      </c>
      <c r="O215" s="2">
        <v>0.0</v>
      </c>
      <c r="P215" s="2">
        <v>2.0251214E9</v>
      </c>
      <c r="Q215" s="2">
        <v>60052.0</v>
      </c>
      <c r="S215" s="2" t="s">
        <v>1058</v>
      </c>
      <c r="T215" s="2">
        <v>28627.0</v>
      </c>
      <c r="U215" s="2">
        <v>4.01772904E8</v>
      </c>
      <c r="V215" s="2">
        <v>6943.0</v>
      </c>
      <c r="W215" s="2">
        <v>7.0</v>
      </c>
      <c r="X215" s="2">
        <v>7.0</v>
      </c>
      <c r="Y215" s="2">
        <v>295.0</v>
      </c>
      <c r="Z215" s="2">
        <v>-375.0</v>
      </c>
      <c r="AA215" s="2">
        <v>7.5</v>
      </c>
      <c r="AB215" s="2">
        <v>-112.0</v>
      </c>
      <c r="AC215" s="2">
        <v>-108.0</v>
      </c>
      <c r="AD215" s="2">
        <v>38.5</v>
      </c>
      <c r="AE215" s="2">
        <v>-115.0</v>
      </c>
      <c r="AF215" s="2">
        <v>-105.0</v>
      </c>
      <c r="AG215" s="2">
        <v>0.0</v>
      </c>
      <c r="AH215" s="2" t="s">
        <v>395</v>
      </c>
      <c r="AI215" s="2" t="s">
        <v>396</v>
      </c>
      <c r="AJ215" s="2">
        <v>8.0</v>
      </c>
      <c r="AK215" s="2">
        <v>6.0</v>
      </c>
      <c r="AL215" s="2" t="s">
        <v>971</v>
      </c>
      <c r="AM215" s="2" t="s">
        <v>553</v>
      </c>
      <c r="AN215" s="2" t="s">
        <v>972</v>
      </c>
      <c r="AO215" s="2" t="s">
        <v>192</v>
      </c>
      <c r="AP215" s="2" t="s">
        <v>438</v>
      </c>
      <c r="AQ215" s="2" t="s">
        <v>556</v>
      </c>
      <c r="AR215" s="2" t="s">
        <v>466</v>
      </c>
      <c r="AS215" s="2" t="s">
        <v>558</v>
      </c>
      <c r="AT215" s="2" t="s">
        <v>559</v>
      </c>
      <c r="AV215" s="2">
        <f t="array" ref="AV215">IF($A215="","",IF(INDEX($A215:$AT215,1,MAP!$B$3)=CurrentSeason,1,0))</f>
        <v>0</v>
      </c>
      <c r="AW215" s="2" t="str">
        <f t="shared" si="1"/>
        <v/>
      </c>
    </row>
    <row r="216" ht="15.0" customHeight="1">
      <c r="A216" s="2" t="s">
        <v>1059</v>
      </c>
      <c r="B216" s="2">
        <v>2025.0</v>
      </c>
      <c r="C216" s="2" t="s">
        <v>390</v>
      </c>
      <c r="D216" s="2">
        <v>15.0</v>
      </c>
      <c r="E216" s="2" t="s">
        <v>1057</v>
      </c>
      <c r="F216" s="2" t="s">
        <v>419</v>
      </c>
      <c r="G216" s="2" t="s">
        <v>420</v>
      </c>
      <c r="H216" s="2" t="s">
        <v>148</v>
      </c>
      <c r="I216" s="2">
        <v>24.0</v>
      </c>
      <c r="J216" s="2" t="s">
        <v>138</v>
      </c>
      <c r="K216" s="2">
        <v>0.0</v>
      </c>
      <c r="L216" s="2" t="s">
        <v>77</v>
      </c>
      <c r="M216" s="2">
        <v>-24.0</v>
      </c>
      <c r="N216" s="2">
        <v>24.0</v>
      </c>
      <c r="O216" s="2">
        <v>0.0</v>
      </c>
      <c r="P216" s="2">
        <v>2.025121401E9</v>
      </c>
      <c r="Q216" s="2">
        <v>60053.0</v>
      </c>
      <c r="S216" s="2" t="s">
        <v>1060</v>
      </c>
      <c r="T216" s="2">
        <v>28628.0</v>
      </c>
      <c r="U216" s="2">
        <v>4.01772796E8</v>
      </c>
      <c r="V216" s="2">
        <v>6944.0</v>
      </c>
      <c r="W216" s="2">
        <v>7.0</v>
      </c>
      <c r="X216" s="2">
        <v>7.0</v>
      </c>
      <c r="Y216" s="2">
        <v>-162.0</v>
      </c>
      <c r="Z216" s="2">
        <v>136.0</v>
      </c>
      <c r="AA216" s="2">
        <v>-2.5</v>
      </c>
      <c r="AB216" s="2">
        <v>-125.0</v>
      </c>
      <c r="AC216" s="2">
        <v>105.0</v>
      </c>
      <c r="AD216" s="2">
        <v>51.5</v>
      </c>
      <c r="AE216" s="2">
        <v>-110.0</v>
      </c>
      <c r="AF216" s="2">
        <v>-110.0</v>
      </c>
      <c r="AG216" s="2">
        <v>1.0</v>
      </c>
      <c r="AH216" s="2" t="s">
        <v>395</v>
      </c>
      <c r="AI216" s="2" t="s">
        <v>423</v>
      </c>
      <c r="AJ216" s="2">
        <v>10.0</v>
      </c>
      <c r="AK216" s="2">
        <v>7.0</v>
      </c>
      <c r="AL216" s="2" t="s">
        <v>540</v>
      </c>
      <c r="AM216" s="2" t="s">
        <v>434</v>
      </c>
      <c r="AN216" s="2" t="s">
        <v>184</v>
      </c>
      <c r="AO216" s="2" t="s">
        <v>194</v>
      </c>
      <c r="AP216" s="2" t="s">
        <v>542</v>
      </c>
      <c r="AQ216" s="2" t="s">
        <v>437</v>
      </c>
      <c r="AR216" s="2" t="s">
        <v>448</v>
      </c>
      <c r="AS216" s="2" t="s">
        <v>571</v>
      </c>
      <c r="AT216" s="2" t="s">
        <v>572</v>
      </c>
      <c r="AV216" s="2">
        <f t="array" ref="AV216">IF($A216="","",IF(INDEX($A216:$AT216,1,MAP!$B$3)=CurrentSeason,1,0))</f>
        <v>0</v>
      </c>
      <c r="AW216" s="2" t="str">
        <f t="shared" si="1"/>
        <v/>
      </c>
    </row>
    <row r="217" ht="15.0" customHeight="1">
      <c r="A217" s="2" t="s">
        <v>1061</v>
      </c>
      <c r="B217" s="2">
        <v>2025.0</v>
      </c>
      <c r="C217" s="2" t="s">
        <v>390</v>
      </c>
      <c r="D217" s="2">
        <v>15.0</v>
      </c>
      <c r="E217" s="2" t="s">
        <v>1057</v>
      </c>
      <c r="F217" s="2" t="s">
        <v>419</v>
      </c>
      <c r="G217" s="2" t="s">
        <v>420</v>
      </c>
      <c r="H217" s="2" t="s">
        <v>178</v>
      </c>
      <c r="I217" s="2">
        <v>20.0</v>
      </c>
      <c r="J217" s="2" t="s">
        <v>140</v>
      </c>
      <c r="K217" s="2">
        <v>40.0</v>
      </c>
      <c r="L217" s="2" t="s">
        <v>77</v>
      </c>
      <c r="M217" s="2">
        <v>20.0</v>
      </c>
      <c r="N217" s="2">
        <v>60.0</v>
      </c>
      <c r="O217" s="2">
        <v>0.0</v>
      </c>
      <c r="P217" s="2">
        <v>2.025121402E9</v>
      </c>
      <c r="Q217" s="2">
        <v>60054.0</v>
      </c>
      <c r="S217" s="2" t="s">
        <v>1062</v>
      </c>
      <c r="T217" s="2">
        <v>28629.0</v>
      </c>
      <c r="U217" s="2">
        <v>4.01772903E8</v>
      </c>
      <c r="V217" s="2">
        <v>6945.0</v>
      </c>
      <c r="W217" s="2">
        <v>7.0</v>
      </c>
      <c r="X217" s="2">
        <v>7.0</v>
      </c>
      <c r="Y217" s="2">
        <v>455.0</v>
      </c>
      <c r="Z217" s="2">
        <v>-625.0</v>
      </c>
      <c r="AA217" s="2">
        <v>10.5</v>
      </c>
      <c r="AB217" s="2">
        <v>-110.0</v>
      </c>
      <c r="AC217" s="2">
        <v>-110.0</v>
      </c>
      <c r="AD217" s="2">
        <v>42.5</v>
      </c>
      <c r="AE217" s="2">
        <v>-112.0</v>
      </c>
      <c r="AF217" s="2">
        <v>-108.0</v>
      </c>
      <c r="AG217" s="2">
        <v>0.0</v>
      </c>
      <c r="AH217" s="2" t="s">
        <v>422</v>
      </c>
      <c r="AI217" s="2" t="s">
        <v>617</v>
      </c>
      <c r="AL217" s="2" t="s">
        <v>759</v>
      </c>
      <c r="AM217" s="2" t="s">
        <v>532</v>
      </c>
      <c r="AN217" s="2" t="s">
        <v>179</v>
      </c>
      <c r="AO217" s="2" t="s">
        <v>208</v>
      </c>
      <c r="AP217" s="2" t="s">
        <v>475</v>
      </c>
      <c r="AQ217" s="2" t="s">
        <v>534</v>
      </c>
      <c r="AR217" s="2" t="s">
        <v>526</v>
      </c>
      <c r="AS217" s="2" t="s">
        <v>618</v>
      </c>
      <c r="AT217" s="2" t="s">
        <v>619</v>
      </c>
      <c r="AV217" s="2">
        <f t="array" ref="AV217">IF($A217="","",IF(INDEX($A217:$AT217,1,MAP!$B$3)=CurrentSeason,1,0))</f>
        <v>0</v>
      </c>
      <c r="AW217" s="2" t="str">
        <f t="shared" si="1"/>
        <v/>
      </c>
    </row>
    <row r="218" ht="15.0" customHeight="1">
      <c r="A218" s="2" t="s">
        <v>1063</v>
      </c>
      <c r="B218" s="2">
        <v>2025.0</v>
      </c>
      <c r="C218" s="2" t="s">
        <v>390</v>
      </c>
      <c r="D218" s="2">
        <v>15.0</v>
      </c>
      <c r="E218" s="2" t="s">
        <v>1057</v>
      </c>
      <c r="F218" s="2" t="s">
        <v>419</v>
      </c>
      <c r="G218" s="2" t="s">
        <v>420</v>
      </c>
      <c r="H218" s="2" t="s">
        <v>238</v>
      </c>
      <c r="I218" s="2">
        <v>20.0</v>
      </c>
      <c r="J218" s="2" t="s">
        <v>141</v>
      </c>
      <c r="K218" s="2">
        <v>48.0</v>
      </c>
      <c r="L218" s="2" t="s">
        <v>77</v>
      </c>
      <c r="M218" s="2">
        <v>28.0</v>
      </c>
      <c r="N218" s="2">
        <v>68.0</v>
      </c>
      <c r="O218" s="2">
        <v>0.0</v>
      </c>
      <c r="P218" s="2">
        <v>2.025121403E9</v>
      </c>
      <c r="Q218" s="2">
        <v>60055.0</v>
      </c>
      <c r="S218" s="2" t="s">
        <v>1064</v>
      </c>
      <c r="T218" s="2">
        <v>28630.0</v>
      </c>
      <c r="U218" s="2">
        <v>4.01772797E8</v>
      </c>
      <c r="V218" s="2">
        <v>6946.0</v>
      </c>
      <c r="W218" s="2">
        <v>7.0</v>
      </c>
      <c r="X218" s="2">
        <v>7.0</v>
      </c>
      <c r="Y218" s="2">
        <v>675.0</v>
      </c>
      <c r="Z218" s="2">
        <v>-1050.0</v>
      </c>
      <c r="AA218" s="2">
        <v>13.5</v>
      </c>
      <c r="AB218" s="2">
        <v>-105.0</v>
      </c>
      <c r="AC218" s="2">
        <v>-115.0</v>
      </c>
      <c r="AD218" s="2">
        <v>40.5</v>
      </c>
      <c r="AE218" s="2">
        <v>-115.0</v>
      </c>
      <c r="AF218" s="2">
        <v>-105.0</v>
      </c>
      <c r="AG218" s="2">
        <v>0.0</v>
      </c>
      <c r="AH218" s="2" t="s">
        <v>395</v>
      </c>
      <c r="AI218" s="2" t="s">
        <v>396</v>
      </c>
      <c r="AJ218" s="2">
        <v>70.0</v>
      </c>
      <c r="AK218" s="2">
        <v>11.0</v>
      </c>
      <c r="AL218" s="2" t="s">
        <v>1065</v>
      </c>
      <c r="AM218" s="2" t="s">
        <v>454</v>
      </c>
      <c r="AN218" s="2" t="s">
        <v>1066</v>
      </c>
      <c r="AO218" s="2" t="s">
        <v>214</v>
      </c>
      <c r="AP218" s="2" t="s">
        <v>486</v>
      </c>
      <c r="AQ218" s="2" t="s">
        <v>456</v>
      </c>
      <c r="AR218" s="2" t="s">
        <v>401</v>
      </c>
      <c r="AS218" s="2" t="s">
        <v>458</v>
      </c>
      <c r="AT218" s="2" t="s">
        <v>459</v>
      </c>
      <c r="AV218" s="2">
        <f t="array" ref="AV218">IF($A218="","",IF(INDEX($A218:$AT218,1,MAP!$B$3)=CurrentSeason,1,0))</f>
        <v>0</v>
      </c>
      <c r="AW218" s="2" t="str">
        <f t="shared" si="1"/>
        <v/>
      </c>
    </row>
    <row r="219" ht="15.0" customHeight="1">
      <c r="A219" s="2" t="s">
        <v>1067</v>
      </c>
      <c r="B219" s="2">
        <v>2025.0</v>
      </c>
      <c r="C219" s="2" t="s">
        <v>390</v>
      </c>
      <c r="D219" s="2">
        <v>15.0</v>
      </c>
      <c r="E219" s="2" t="s">
        <v>1057</v>
      </c>
      <c r="F219" s="2" t="s">
        <v>419</v>
      </c>
      <c r="G219" s="2" t="s">
        <v>420</v>
      </c>
      <c r="H219" s="2" t="s">
        <v>220</v>
      </c>
      <c r="I219" s="2">
        <v>16.0</v>
      </c>
      <c r="J219" s="2" t="s">
        <v>143</v>
      </c>
      <c r="K219" s="2">
        <v>13.0</v>
      </c>
      <c r="L219" s="2" t="s">
        <v>77</v>
      </c>
      <c r="M219" s="2">
        <v>-3.0</v>
      </c>
      <c r="N219" s="2">
        <v>29.0</v>
      </c>
      <c r="O219" s="2">
        <v>0.0</v>
      </c>
      <c r="P219" s="2">
        <v>2.025121404E9</v>
      </c>
      <c r="Q219" s="2">
        <v>60056.0</v>
      </c>
      <c r="S219" s="2" t="s">
        <v>1068</v>
      </c>
      <c r="T219" s="2">
        <v>28631.0</v>
      </c>
      <c r="U219" s="2">
        <v>4.01772798E8</v>
      </c>
      <c r="V219" s="2">
        <v>6947.0</v>
      </c>
      <c r="W219" s="2">
        <v>6.0</v>
      </c>
      <c r="X219" s="2">
        <v>7.0</v>
      </c>
      <c r="Y219" s="2">
        <v>210.0</v>
      </c>
      <c r="Z219" s="2">
        <v>-258.0</v>
      </c>
      <c r="AA219" s="2">
        <v>5.5</v>
      </c>
      <c r="AB219" s="2">
        <v>100.0</v>
      </c>
      <c r="AC219" s="2">
        <v>-120.0</v>
      </c>
      <c r="AD219" s="2">
        <v>41.5</v>
      </c>
      <c r="AE219" s="2">
        <v>-108.0</v>
      </c>
      <c r="AF219" s="2">
        <v>-112.0</v>
      </c>
      <c r="AG219" s="2">
        <v>1.0</v>
      </c>
      <c r="AH219" s="2" t="s">
        <v>395</v>
      </c>
      <c r="AI219" s="2" t="s">
        <v>396</v>
      </c>
      <c r="AL219" s="2" t="s">
        <v>411</v>
      </c>
      <c r="AM219" s="2" t="s">
        <v>410</v>
      </c>
      <c r="AN219" s="2" t="s">
        <v>221</v>
      </c>
      <c r="AO219" s="2" t="s">
        <v>216</v>
      </c>
      <c r="AP219" s="2" t="s">
        <v>413</v>
      </c>
      <c r="AQ219" s="2" t="s">
        <v>412</v>
      </c>
      <c r="AR219" s="2" t="s">
        <v>516</v>
      </c>
      <c r="AS219" s="2" t="s">
        <v>607</v>
      </c>
      <c r="AT219" s="2" t="s">
        <v>608</v>
      </c>
      <c r="AV219" s="2">
        <f t="array" ref="AV219">IF($A219="","",IF(INDEX($A219:$AT219,1,MAP!$B$3)=CurrentSeason,1,0))</f>
        <v>0</v>
      </c>
      <c r="AW219" s="2" t="str">
        <f t="shared" si="1"/>
        <v/>
      </c>
    </row>
    <row r="220" ht="15.0" customHeight="1">
      <c r="A220" s="2" t="s">
        <v>1069</v>
      </c>
      <c r="B220" s="2">
        <v>2025.0</v>
      </c>
      <c r="C220" s="2" t="s">
        <v>390</v>
      </c>
      <c r="D220" s="2">
        <v>15.0</v>
      </c>
      <c r="E220" s="2" t="s">
        <v>1057</v>
      </c>
      <c r="F220" s="2" t="s">
        <v>419</v>
      </c>
      <c r="G220" s="2" t="s">
        <v>420</v>
      </c>
      <c r="H220" s="2" t="s">
        <v>136</v>
      </c>
      <c r="I220" s="2">
        <v>35.0</v>
      </c>
      <c r="J220" s="2" t="s">
        <v>145</v>
      </c>
      <c r="K220" s="2">
        <v>31.0</v>
      </c>
      <c r="L220" s="2" t="s">
        <v>77</v>
      </c>
      <c r="M220" s="2">
        <v>-4.0</v>
      </c>
      <c r="N220" s="2">
        <v>66.0</v>
      </c>
      <c r="O220" s="2">
        <v>0.0</v>
      </c>
      <c r="P220" s="2">
        <v>2.025121405E9</v>
      </c>
      <c r="Q220" s="2">
        <v>60057.0</v>
      </c>
      <c r="S220" s="2" t="s">
        <v>1070</v>
      </c>
      <c r="T220" s="2">
        <v>28632.0</v>
      </c>
      <c r="U220" s="2">
        <v>4.01772795E8</v>
      </c>
      <c r="V220" s="2">
        <v>6948.0</v>
      </c>
      <c r="W220" s="2">
        <v>7.0</v>
      </c>
      <c r="X220" s="2">
        <v>13.0</v>
      </c>
      <c r="Y220" s="2">
        <v>-142.0</v>
      </c>
      <c r="Z220" s="2">
        <v>120.0</v>
      </c>
      <c r="AA220" s="2">
        <v>-2.5</v>
      </c>
      <c r="AB220" s="2">
        <v>-110.0</v>
      </c>
      <c r="AC220" s="2">
        <v>-110.0</v>
      </c>
      <c r="AD220" s="2">
        <v>49.5</v>
      </c>
      <c r="AE220" s="2">
        <v>-105.0</v>
      </c>
      <c r="AF220" s="2">
        <v>-115.0</v>
      </c>
      <c r="AG220" s="2">
        <v>1.0</v>
      </c>
      <c r="AH220" s="2" t="s">
        <v>395</v>
      </c>
      <c r="AI220" s="2" t="s">
        <v>423</v>
      </c>
      <c r="AJ220" s="2">
        <v>32.0</v>
      </c>
      <c r="AK220" s="2">
        <v>6.0</v>
      </c>
      <c r="AL220" s="2" t="s">
        <v>541</v>
      </c>
      <c r="AM220" s="2" t="s">
        <v>463</v>
      </c>
      <c r="AN220" s="2" t="s">
        <v>187</v>
      </c>
      <c r="AO220" s="2" t="s">
        <v>230</v>
      </c>
      <c r="AP220" s="2" t="s">
        <v>543</v>
      </c>
      <c r="AQ220" s="2" t="s">
        <v>465</v>
      </c>
      <c r="AR220" s="2" t="s">
        <v>544</v>
      </c>
      <c r="AS220" s="2" t="s">
        <v>467</v>
      </c>
      <c r="AT220" s="2" t="s">
        <v>468</v>
      </c>
      <c r="AV220" s="2">
        <f t="array" ref="AV220">IF($A220="","",IF(INDEX($A220:$AT220,1,MAP!$B$3)=CurrentSeason,1,0))</f>
        <v>0</v>
      </c>
      <c r="AW220" s="2" t="str">
        <f t="shared" si="1"/>
        <v/>
      </c>
    </row>
    <row r="221" ht="15.0" customHeight="1">
      <c r="A221" s="2" t="s">
        <v>1071</v>
      </c>
      <c r="B221" s="2">
        <v>2025.0</v>
      </c>
      <c r="C221" s="2" t="s">
        <v>390</v>
      </c>
      <c r="D221" s="2">
        <v>15.0</v>
      </c>
      <c r="E221" s="2" t="s">
        <v>1057</v>
      </c>
      <c r="F221" s="2" t="s">
        <v>419</v>
      </c>
      <c r="G221" s="2" t="s">
        <v>420</v>
      </c>
      <c r="H221" s="2" t="s">
        <v>253</v>
      </c>
      <c r="I221" s="2">
        <v>29.0</v>
      </c>
      <c r="J221" s="2" t="s">
        <v>235</v>
      </c>
      <c r="K221" s="2">
        <v>21.0</v>
      </c>
      <c r="L221" s="2" t="s">
        <v>77</v>
      </c>
      <c r="M221" s="2">
        <v>-8.0</v>
      </c>
      <c r="N221" s="2">
        <v>50.0</v>
      </c>
      <c r="O221" s="2">
        <v>0.0</v>
      </c>
      <c r="P221" s="2">
        <v>2.025121406E9</v>
      </c>
      <c r="Q221" s="2">
        <v>60058.0</v>
      </c>
      <c r="S221" s="2" t="s">
        <v>1072</v>
      </c>
      <c r="T221" s="2">
        <v>28633.0</v>
      </c>
      <c r="U221" s="2">
        <v>4.01772905E8</v>
      </c>
      <c r="V221" s="2">
        <v>6949.0</v>
      </c>
      <c r="W221" s="2">
        <v>7.0</v>
      </c>
      <c r="X221" s="2">
        <v>13.0</v>
      </c>
      <c r="Y221" s="2">
        <v>124.0</v>
      </c>
      <c r="Z221" s="2">
        <v>-148.0</v>
      </c>
      <c r="AA221" s="2">
        <v>2.5</v>
      </c>
      <c r="AB221" s="2">
        <v>-105.0</v>
      </c>
      <c r="AC221" s="2">
        <v>-115.0</v>
      </c>
      <c r="AD221" s="2">
        <v>46.5</v>
      </c>
      <c r="AE221" s="2">
        <v>-115.0</v>
      </c>
      <c r="AF221" s="2">
        <v>-105.0</v>
      </c>
      <c r="AG221" s="2">
        <v>1.0</v>
      </c>
      <c r="AH221" s="2" t="s">
        <v>395</v>
      </c>
      <c r="AI221" s="2" t="s">
        <v>423</v>
      </c>
      <c r="AJ221" s="2">
        <v>27.0</v>
      </c>
      <c r="AK221" s="2">
        <v>13.0</v>
      </c>
      <c r="AL221" s="2" t="s">
        <v>657</v>
      </c>
      <c r="AM221" s="2" t="s">
        <v>693</v>
      </c>
      <c r="AN221" s="2" t="s">
        <v>658</v>
      </c>
      <c r="AO221" s="2" t="s">
        <v>236</v>
      </c>
      <c r="AP221" s="2" t="s">
        <v>496</v>
      </c>
      <c r="AQ221" s="2" t="s">
        <v>495</v>
      </c>
      <c r="AR221" s="2" t="s">
        <v>487</v>
      </c>
      <c r="AS221" s="2" t="s">
        <v>488</v>
      </c>
      <c r="AT221" s="2" t="s">
        <v>489</v>
      </c>
      <c r="AV221" s="2">
        <f t="array" ref="AV221">IF($A221="","",IF(INDEX($A221:$AT221,1,MAP!$B$3)=CurrentSeason,1,0))</f>
        <v>0</v>
      </c>
      <c r="AW221" s="2" t="str">
        <f t="shared" si="1"/>
        <v/>
      </c>
    </row>
    <row r="222" ht="15.0" customHeight="1">
      <c r="A222" s="2" t="s">
        <v>1073</v>
      </c>
      <c r="B222" s="2">
        <v>2025.0</v>
      </c>
      <c r="C222" s="2" t="s">
        <v>390</v>
      </c>
      <c r="D222" s="2">
        <v>15.0</v>
      </c>
      <c r="E222" s="2" t="s">
        <v>1057</v>
      </c>
      <c r="F222" s="2" t="s">
        <v>419</v>
      </c>
      <c r="G222" s="2" t="s">
        <v>420</v>
      </c>
      <c r="H222" s="2" t="s">
        <v>222</v>
      </c>
      <c r="I222" s="2">
        <v>0.0</v>
      </c>
      <c r="J222" s="2" t="s">
        <v>147</v>
      </c>
      <c r="K222" s="2">
        <v>31.0</v>
      </c>
      <c r="L222" s="2" t="s">
        <v>77</v>
      </c>
      <c r="M222" s="2">
        <v>31.0</v>
      </c>
      <c r="N222" s="2">
        <v>31.0</v>
      </c>
      <c r="O222" s="2">
        <v>0.0</v>
      </c>
      <c r="P222" s="2">
        <v>2.025121407E9</v>
      </c>
      <c r="Q222" s="2">
        <v>60059.0</v>
      </c>
      <c r="S222" s="2" t="s">
        <v>1074</v>
      </c>
      <c r="T222" s="2">
        <v>28634.0</v>
      </c>
      <c r="U222" s="2">
        <v>4.01772906E8</v>
      </c>
      <c r="V222" s="2">
        <v>6950.0</v>
      </c>
      <c r="W222" s="2">
        <v>7.0</v>
      </c>
      <c r="X222" s="2">
        <v>6.0</v>
      </c>
      <c r="Y222" s="2">
        <v>650.0</v>
      </c>
      <c r="Z222" s="2">
        <v>-1000.0</v>
      </c>
      <c r="AA222" s="2">
        <v>12.5</v>
      </c>
      <c r="AB222" s="2">
        <v>-108.0</v>
      </c>
      <c r="AC222" s="2">
        <v>-112.0</v>
      </c>
      <c r="AD222" s="2">
        <v>37.5</v>
      </c>
      <c r="AE222" s="2">
        <v>-118.0</v>
      </c>
      <c r="AF222" s="2">
        <v>-102.0</v>
      </c>
      <c r="AG222" s="2">
        <v>0.0</v>
      </c>
      <c r="AH222" s="2" t="s">
        <v>395</v>
      </c>
      <c r="AI222" s="2" t="s">
        <v>396</v>
      </c>
      <c r="AJ222" s="2">
        <v>30.0</v>
      </c>
      <c r="AK222" s="2">
        <v>20.0</v>
      </c>
      <c r="AL222" s="2" t="s">
        <v>1075</v>
      </c>
      <c r="AM222" s="2" t="s">
        <v>398</v>
      </c>
      <c r="AN222" s="2" t="s">
        <v>1076</v>
      </c>
      <c r="AO222" s="2" t="s">
        <v>241</v>
      </c>
      <c r="AP222" s="2" t="s">
        <v>464</v>
      </c>
      <c r="AQ222" s="2" t="s">
        <v>400</v>
      </c>
      <c r="AR222" s="2" t="s">
        <v>497</v>
      </c>
      <c r="AS222" s="2" t="s">
        <v>402</v>
      </c>
      <c r="AT222" s="2" t="s">
        <v>403</v>
      </c>
      <c r="AV222" s="2">
        <f t="array" ref="AV222">IF($A222="","",IF(INDEX($A222:$AT222,1,MAP!$B$3)=CurrentSeason,1,0))</f>
        <v>0</v>
      </c>
      <c r="AW222" s="2" t="str">
        <f t="shared" si="1"/>
        <v/>
      </c>
    </row>
    <row r="223" ht="15.0" customHeight="1">
      <c r="A223" s="2" t="s">
        <v>1077</v>
      </c>
      <c r="B223" s="2">
        <v>2025.0</v>
      </c>
      <c r="C223" s="2" t="s">
        <v>390</v>
      </c>
      <c r="D223" s="2">
        <v>15.0</v>
      </c>
      <c r="E223" s="2" t="s">
        <v>1057</v>
      </c>
      <c r="F223" s="2" t="s">
        <v>419</v>
      </c>
      <c r="G223" s="2" t="s">
        <v>520</v>
      </c>
      <c r="H223" s="2" t="s">
        <v>205</v>
      </c>
      <c r="I223" s="2">
        <v>26.0</v>
      </c>
      <c r="J223" s="2" t="s">
        <v>139</v>
      </c>
      <c r="K223" s="2">
        <v>34.0</v>
      </c>
      <c r="L223" s="2" t="s">
        <v>77</v>
      </c>
      <c r="M223" s="2">
        <v>8.0</v>
      </c>
      <c r="N223" s="2">
        <v>60.0</v>
      </c>
      <c r="O223" s="2">
        <v>0.0</v>
      </c>
      <c r="P223" s="2">
        <v>2.025121408E9</v>
      </c>
      <c r="Q223" s="2">
        <v>60060.0</v>
      </c>
      <c r="S223" s="2" t="s">
        <v>1078</v>
      </c>
      <c r="T223" s="2">
        <v>28635.0</v>
      </c>
      <c r="U223" s="2">
        <v>4.017728E8</v>
      </c>
      <c r="V223" s="2">
        <v>6951.0</v>
      </c>
      <c r="W223" s="2">
        <v>7.0</v>
      </c>
      <c r="X223" s="2">
        <v>7.0</v>
      </c>
      <c r="Y223" s="2">
        <v>-122.0</v>
      </c>
      <c r="Z223" s="2">
        <v>102.0</v>
      </c>
      <c r="AA223" s="2">
        <v>-1.5</v>
      </c>
      <c r="AB223" s="2">
        <v>-108.0</v>
      </c>
      <c r="AC223" s="2">
        <v>-112.0</v>
      </c>
      <c r="AD223" s="2">
        <v>42.5</v>
      </c>
      <c r="AE223" s="2">
        <v>-115.0</v>
      </c>
      <c r="AF223" s="2">
        <v>-105.0</v>
      </c>
      <c r="AG223" s="2">
        <v>0.0</v>
      </c>
      <c r="AH223" s="2" t="s">
        <v>395</v>
      </c>
      <c r="AI223" s="2" t="s">
        <v>396</v>
      </c>
      <c r="AJ223" s="2">
        <v>65.0</v>
      </c>
      <c r="AK223" s="2">
        <v>3.0</v>
      </c>
      <c r="AL223" s="2" t="s">
        <v>523</v>
      </c>
      <c r="AM223" s="2" t="s">
        <v>504</v>
      </c>
      <c r="AN223" s="2" t="s">
        <v>206</v>
      </c>
      <c r="AO223" s="2" t="s">
        <v>201</v>
      </c>
      <c r="AP223" s="2" t="s">
        <v>525</v>
      </c>
      <c r="AQ223" s="2" t="s">
        <v>506</v>
      </c>
      <c r="AR223" s="2" t="s">
        <v>563</v>
      </c>
      <c r="AS223" s="2" t="s">
        <v>508</v>
      </c>
      <c r="AT223" s="2" t="s">
        <v>509</v>
      </c>
      <c r="AV223" s="2">
        <f t="array" ref="AV223">IF($A223="","",IF(INDEX($A223:$AT223,1,MAP!$B$3)=CurrentSeason,1,0))</f>
        <v>0</v>
      </c>
      <c r="AW223" s="2" t="str">
        <f t="shared" si="1"/>
        <v/>
      </c>
    </row>
    <row r="224" ht="15.0" customHeight="1">
      <c r="A224" s="2" t="s">
        <v>1079</v>
      </c>
      <c r="B224" s="2">
        <v>2025.0</v>
      </c>
      <c r="C224" s="2" t="s">
        <v>390</v>
      </c>
      <c r="D224" s="2">
        <v>15.0</v>
      </c>
      <c r="E224" s="2" t="s">
        <v>1057</v>
      </c>
      <c r="F224" s="2" t="s">
        <v>419</v>
      </c>
      <c r="G224" s="2" t="s">
        <v>520</v>
      </c>
      <c r="H224" s="2" t="s">
        <v>202</v>
      </c>
      <c r="I224" s="2">
        <v>34.0</v>
      </c>
      <c r="J224" s="2" t="s">
        <v>142</v>
      </c>
      <c r="K224" s="2">
        <v>41.0</v>
      </c>
      <c r="L224" s="2" t="s">
        <v>77</v>
      </c>
      <c r="M224" s="2">
        <v>7.0</v>
      </c>
      <c r="N224" s="2">
        <v>75.0</v>
      </c>
      <c r="O224" s="2">
        <v>0.0</v>
      </c>
      <c r="P224" s="2">
        <v>2.025121409E9</v>
      </c>
      <c r="Q224" s="2">
        <v>60061.0</v>
      </c>
      <c r="S224" s="2" t="s">
        <v>1080</v>
      </c>
      <c r="T224" s="2">
        <v>28638.0</v>
      </c>
      <c r="U224" s="2">
        <v>4.01772909E8</v>
      </c>
      <c r="V224" s="2">
        <v>6952.0</v>
      </c>
      <c r="W224" s="2">
        <v>10.0</v>
      </c>
      <c r="X224" s="2">
        <v>7.0</v>
      </c>
      <c r="Y224" s="2">
        <v>200.0</v>
      </c>
      <c r="Z224" s="2">
        <v>-245.0</v>
      </c>
      <c r="AA224" s="2">
        <v>5.5</v>
      </c>
      <c r="AB224" s="2">
        <v>-105.0</v>
      </c>
      <c r="AC224" s="2">
        <v>-115.0</v>
      </c>
      <c r="AD224" s="2">
        <v>54.5</v>
      </c>
      <c r="AE224" s="2">
        <v>-105.0</v>
      </c>
      <c r="AF224" s="2">
        <v>-115.0</v>
      </c>
      <c r="AG224" s="2">
        <v>0.0</v>
      </c>
      <c r="AH224" s="2" t="s">
        <v>409</v>
      </c>
      <c r="AI224" s="2" t="s">
        <v>531</v>
      </c>
      <c r="AL224" s="2" t="s">
        <v>522</v>
      </c>
      <c r="AM224" s="2" t="s">
        <v>533</v>
      </c>
      <c r="AN224" s="2" t="s">
        <v>203</v>
      </c>
      <c r="AO224" s="2" t="s">
        <v>218</v>
      </c>
      <c r="AP224" s="2" t="s">
        <v>524</v>
      </c>
      <c r="AQ224" s="2" t="s">
        <v>535</v>
      </c>
      <c r="AR224" s="2" t="s">
        <v>557</v>
      </c>
      <c r="AS224" s="2" t="s">
        <v>415</v>
      </c>
      <c r="AT224" s="2" t="s">
        <v>416</v>
      </c>
      <c r="AV224" s="2">
        <f t="array" ref="AV224">IF($A224="","",IF(INDEX($A224:$AT224,1,MAP!$B$3)=CurrentSeason,1,0))</f>
        <v>0</v>
      </c>
      <c r="AW224" s="2" t="str">
        <f t="shared" si="1"/>
        <v/>
      </c>
    </row>
    <row r="225" ht="15.0" customHeight="1">
      <c r="A225" s="2" t="s">
        <v>1081</v>
      </c>
      <c r="B225" s="2">
        <v>2025.0</v>
      </c>
      <c r="C225" s="2" t="s">
        <v>390</v>
      </c>
      <c r="D225" s="2">
        <v>15.0</v>
      </c>
      <c r="E225" s="2" t="s">
        <v>1057</v>
      </c>
      <c r="F225" s="2" t="s">
        <v>419</v>
      </c>
      <c r="G225" s="2" t="s">
        <v>520</v>
      </c>
      <c r="H225" s="2" t="s">
        <v>189</v>
      </c>
      <c r="I225" s="2">
        <v>17.0</v>
      </c>
      <c r="J225" s="2" t="s">
        <v>232</v>
      </c>
      <c r="K225" s="2">
        <v>20.0</v>
      </c>
      <c r="L225" s="2" t="s">
        <v>77</v>
      </c>
      <c r="M225" s="2">
        <v>3.0</v>
      </c>
      <c r="N225" s="2">
        <v>37.0</v>
      </c>
      <c r="O225" s="2">
        <v>0.0</v>
      </c>
      <c r="P225" s="2">
        <v>2.02512141E9</v>
      </c>
      <c r="Q225" s="2">
        <v>60062.0</v>
      </c>
      <c r="S225" s="2" t="s">
        <v>1082</v>
      </c>
      <c r="T225" s="2">
        <v>28636.0</v>
      </c>
      <c r="U225" s="2">
        <v>4.01772908E8</v>
      </c>
      <c r="V225" s="2">
        <v>6953.0</v>
      </c>
      <c r="W225" s="2">
        <v>14.0</v>
      </c>
      <c r="X225" s="2">
        <v>7.0</v>
      </c>
      <c r="Y225" s="2">
        <v>-148.0</v>
      </c>
      <c r="Z225" s="2">
        <v>124.0</v>
      </c>
      <c r="AA225" s="2">
        <v>-2.5</v>
      </c>
      <c r="AB225" s="2">
        <v>-118.0</v>
      </c>
      <c r="AC225" s="2">
        <v>-102.0</v>
      </c>
      <c r="AD225" s="2">
        <v>41.5</v>
      </c>
      <c r="AE225" s="2">
        <v>-108.0</v>
      </c>
      <c r="AF225" s="2">
        <v>-112.0</v>
      </c>
      <c r="AG225" s="2">
        <v>1.0</v>
      </c>
      <c r="AH225" s="2" t="s">
        <v>409</v>
      </c>
      <c r="AI225" s="2" t="s">
        <v>471</v>
      </c>
      <c r="AL225" s="2" t="s">
        <v>453</v>
      </c>
      <c r="AM225" s="2" t="s">
        <v>869</v>
      </c>
      <c r="AN225" s="2" t="s">
        <v>190</v>
      </c>
      <c r="AO225" s="2" t="s">
        <v>233</v>
      </c>
      <c r="AP225" s="2" t="s">
        <v>455</v>
      </c>
      <c r="AQ225" s="2" t="s">
        <v>476</v>
      </c>
      <c r="AR225" s="2" t="s">
        <v>457</v>
      </c>
      <c r="AS225" s="2" t="s">
        <v>478</v>
      </c>
      <c r="AT225" s="2" t="s">
        <v>479</v>
      </c>
      <c r="AV225" s="2">
        <f t="array" ref="AV225">IF($A225="","",IF(INDEX($A225:$AT225,1,MAP!$B$3)=CurrentSeason,1,0))</f>
        <v>0</v>
      </c>
      <c r="AW225" s="2" t="str">
        <f t="shared" si="1"/>
        <v/>
      </c>
    </row>
    <row r="226" ht="15.0" customHeight="1">
      <c r="A226" s="2" t="s">
        <v>1083</v>
      </c>
      <c r="B226" s="2">
        <v>2025.0</v>
      </c>
      <c r="C226" s="2" t="s">
        <v>390</v>
      </c>
      <c r="D226" s="2">
        <v>15.0</v>
      </c>
      <c r="E226" s="2" t="s">
        <v>1057</v>
      </c>
      <c r="F226" s="2" t="s">
        <v>419</v>
      </c>
      <c r="G226" s="2" t="s">
        <v>520</v>
      </c>
      <c r="H226" s="2" t="s">
        <v>210</v>
      </c>
      <c r="I226" s="2">
        <v>16.0</v>
      </c>
      <c r="J226" s="2" t="s">
        <v>149</v>
      </c>
      <c r="K226" s="2">
        <v>18.0</v>
      </c>
      <c r="L226" s="2" t="s">
        <v>77</v>
      </c>
      <c r="M226" s="2">
        <v>2.0</v>
      </c>
      <c r="N226" s="2">
        <v>34.0</v>
      </c>
      <c r="O226" s="2">
        <v>0.0</v>
      </c>
      <c r="P226" s="2">
        <v>2.025121411E9</v>
      </c>
      <c r="Q226" s="2">
        <v>60063.0</v>
      </c>
      <c r="S226" s="2" t="s">
        <v>1084</v>
      </c>
      <c r="T226" s="2">
        <v>28637.0</v>
      </c>
      <c r="U226" s="2">
        <v>4.01772799E8</v>
      </c>
      <c r="V226" s="2">
        <v>6954.0</v>
      </c>
      <c r="W226" s="2">
        <v>7.0</v>
      </c>
      <c r="X226" s="2">
        <v>7.0</v>
      </c>
      <c r="Y226" s="2">
        <v>650.0</v>
      </c>
      <c r="Z226" s="2">
        <v>-1000.0</v>
      </c>
      <c r="AA226" s="2">
        <v>13.5</v>
      </c>
      <c r="AB226" s="2">
        <v>-105.0</v>
      </c>
      <c r="AC226" s="2">
        <v>-115.0</v>
      </c>
      <c r="AD226" s="2">
        <v>41.5</v>
      </c>
      <c r="AE226" s="2">
        <v>-108.0</v>
      </c>
      <c r="AF226" s="2">
        <v>-112.0</v>
      </c>
      <c r="AG226" s="2">
        <v>0.0</v>
      </c>
      <c r="AH226" s="2" t="s">
        <v>395</v>
      </c>
      <c r="AI226" s="2" t="s">
        <v>423</v>
      </c>
      <c r="AJ226" s="2">
        <v>51.0</v>
      </c>
      <c r="AK226" s="2">
        <v>9.0</v>
      </c>
      <c r="AL226" s="2" t="s">
        <v>1085</v>
      </c>
      <c r="AM226" s="2" t="s">
        <v>513</v>
      </c>
      <c r="AN226" s="2" t="s">
        <v>1086</v>
      </c>
      <c r="AO226" s="2" t="s">
        <v>245</v>
      </c>
      <c r="AP226" s="2" t="s">
        <v>447</v>
      </c>
      <c r="AQ226" s="2" t="s">
        <v>515</v>
      </c>
      <c r="AR226" s="2" t="s">
        <v>439</v>
      </c>
      <c r="AS226" s="2" t="s">
        <v>517</v>
      </c>
      <c r="AT226" s="2" t="s">
        <v>518</v>
      </c>
      <c r="AV226" s="2">
        <f t="array" ref="AV226">IF($A226="","",IF(INDEX($A226:$AT226,1,MAP!$B$3)=CurrentSeason,1,0))</f>
        <v>0</v>
      </c>
      <c r="AW226" s="2" t="str">
        <f t="shared" si="1"/>
        <v/>
      </c>
    </row>
    <row r="227" ht="15.0" customHeight="1">
      <c r="A227" s="2" t="s">
        <v>1087</v>
      </c>
      <c r="B227" s="2">
        <v>2025.0</v>
      </c>
      <c r="C227" s="2" t="s">
        <v>390</v>
      </c>
      <c r="D227" s="2">
        <v>15.0</v>
      </c>
      <c r="E227" s="2" t="s">
        <v>1057</v>
      </c>
      <c r="F227" s="2" t="s">
        <v>419</v>
      </c>
      <c r="G227" s="2" t="s">
        <v>520</v>
      </c>
      <c r="H227" s="2" t="s">
        <v>250</v>
      </c>
      <c r="I227" s="2">
        <v>24.0</v>
      </c>
      <c r="J227" s="2" t="s">
        <v>246</v>
      </c>
      <c r="K227" s="2">
        <v>37.0</v>
      </c>
      <c r="L227" s="2" t="s">
        <v>77</v>
      </c>
      <c r="M227" s="2">
        <v>13.0</v>
      </c>
      <c r="N227" s="2">
        <v>61.0</v>
      </c>
      <c r="O227" s="2">
        <v>0.0</v>
      </c>
      <c r="P227" s="2">
        <v>2.025121412E9</v>
      </c>
      <c r="Q227" s="2">
        <v>60064.0</v>
      </c>
      <c r="S227" s="2" t="s">
        <v>1088</v>
      </c>
      <c r="T227" s="2">
        <v>28639.0</v>
      </c>
      <c r="U227" s="2">
        <v>4.01772907E8</v>
      </c>
      <c r="V227" s="2">
        <v>6955.0</v>
      </c>
      <c r="W227" s="2">
        <v>7.0</v>
      </c>
      <c r="X227" s="2">
        <v>14.0</v>
      </c>
      <c r="Y227" s="2">
        <v>600.0</v>
      </c>
      <c r="Z227" s="2">
        <v>-900.0</v>
      </c>
      <c r="AA227" s="2">
        <v>12.5</v>
      </c>
      <c r="AB227" s="2">
        <v>-108.0</v>
      </c>
      <c r="AC227" s="2">
        <v>-112.0</v>
      </c>
      <c r="AD227" s="2">
        <v>44.5</v>
      </c>
      <c r="AE227" s="2">
        <v>-112.0</v>
      </c>
      <c r="AF227" s="2">
        <v>-108.0</v>
      </c>
      <c r="AG227" s="2">
        <v>0.0</v>
      </c>
      <c r="AH227" s="2" t="s">
        <v>395</v>
      </c>
      <c r="AI227" s="2" t="s">
        <v>396</v>
      </c>
      <c r="AJ227" s="2">
        <v>54.0</v>
      </c>
      <c r="AK227" s="2">
        <v>4.0</v>
      </c>
      <c r="AL227" s="2" t="s">
        <v>503</v>
      </c>
      <c r="AM227" s="2" t="s">
        <v>512</v>
      </c>
      <c r="AN227" s="2" t="s">
        <v>251</v>
      </c>
      <c r="AO227" s="2" t="s">
        <v>247</v>
      </c>
      <c r="AP227" s="2" t="s">
        <v>505</v>
      </c>
      <c r="AQ227" s="2" t="s">
        <v>514</v>
      </c>
      <c r="AR227" s="2" t="s">
        <v>536</v>
      </c>
      <c r="AS227" s="2" t="s">
        <v>667</v>
      </c>
      <c r="AT227" s="2" t="s">
        <v>668</v>
      </c>
      <c r="AV227" s="2">
        <f t="array" ref="AV227">IF($A227="","",IF(INDEX($A227:$AT227,1,MAP!$B$3)=CurrentSeason,1,0))</f>
        <v>0</v>
      </c>
      <c r="AW227" s="2" t="str">
        <f t="shared" si="1"/>
        <v/>
      </c>
    </row>
    <row r="228" ht="15.0" customHeight="1">
      <c r="A228" s="2" t="s">
        <v>1089</v>
      </c>
      <c r="B228" s="2">
        <v>2025.0</v>
      </c>
      <c r="C228" s="2" t="s">
        <v>390</v>
      </c>
      <c r="D228" s="2">
        <v>15.0</v>
      </c>
      <c r="E228" s="2" t="s">
        <v>1057</v>
      </c>
      <c r="F228" s="2" t="s">
        <v>419</v>
      </c>
      <c r="G228" s="2" t="s">
        <v>393</v>
      </c>
      <c r="H228" s="2" t="s">
        <v>144</v>
      </c>
      <c r="I228" s="2">
        <v>34.0</v>
      </c>
      <c r="J228" s="2" t="s">
        <v>146</v>
      </c>
      <c r="K228" s="2">
        <v>26.0</v>
      </c>
      <c r="L228" s="2" t="s">
        <v>77</v>
      </c>
      <c r="M228" s="2">
        <v>-8.0</v>
      </c>
      <c r="N228" s="2">
        <v>60.0</v>
      </c>
      <c r="O228" s="2">
        <v>0.0</v>
      </c>
      <c r="P228" s="2">
        <v>2.025121413E9</v>
      </c>
      <c r="Q228" s="2">
        <v>60065.0</v>
      </c>
      <c r="S228" s="2" t="s">
        <v>1090</v>
      </c>
      <c r="T228" s="2">
        <v>28640.0</v>
      </c>
      <c r="U228" s="2">
        <v>4.01772933E8</v>
      </c>
      <c r="V228" s="2">
        <v>6956.0</v>
      </c>
      <c r="W228" s="2">
        <v>7.0</v>
      </c>
      <c r="X228" s="2">
        <v>10.0</v>
      </c>
      <c r="Y228" s="2">
        <v>215.0</v>
      </c>
      <c r="Z228" s="2">
        <v>-265.0</v>
      </c>
      <c r="AA228" s="2">
        <v>5.5</v>
      </c>
      <c r="AB228" s="2">
        <v>-110.0</v>
      </c>
      <c r="AC228" s="2">
        <v>-110.0</v>
      </c>
      <c r="AD228" s="2">
        <v>47.5</v>
      </c>
      <c r="AE228" s="2">
        <v>-102.0</v>
      </c>
      <c r="AF228" s="2">
        <v>-118.0</v>
      </c>
      <c r="AG228" s="2">
        <v>0.0</v>
      </c>
      <c r="AH228" s="2" t="s">
        <v>422</v>
      </c>
      <c r="AI228" s="2" t="s">
        <v>531</v>
      </c>
      <c r="AL228" s="2" t="s">
        <v>552</v>
      </c>
      <c r="AM228" s="2" t="s">
        <v>397</v>
      </c>
      <c r="AN228" s="2" t="s">
        <v>554</v>
      </c>
      <c r="AO228" s="2" t="s">
        <v>199</v>
      </c>
      <c r="AP228" s="2" t="s">
        <v>555</v>
      </c>
      <c r="AQ228" s="2" t="s">
        <v>399</v>
      </c>
      <c r="AR228" s="2" t="s">
        <v>477</v>
      </c>
      <c r="AS228" s="2" t="s">
        <v>575</v>
      </c>
      <c r="AT228" s="2" t="s">
        <v>576</v>
      </c>
      <c r="AV228" s="2">
        <f t="array" ref="AV228">IF($A228="","",IF(INDEX($A228:$AT228,1,MAP!$B$3)=CurrentSeason,1,0))</f>
        <v>0</v>
      </c>
      <c r="AW228" s="2" t="str">
        <f t="shared" si="1"/>
        <v/>
      </c>
    </row>
    <row r="229" ht="15.0" customHeight="1">
      <c r="A229" s="2" t="s">
        <v>1091</v>
      </c>
      <c r="B229" s="2">
        <v>2025.0</v>
      </c>
      <c r="C229" s="2" t="s">
        <v>390</v>
      </c>
      <c r="D229" s="2">
        <v>15.0</v>
      </c>
      <c r="E229" s="2" t="s">
        <v>1092</v>
      </c>
      <c r="F229" s="2" t="s">
        <v>549</v>
      </c>
      <c r="G229" s="2" t="s">
        <v>550</v>
      </c>
      <c r="H229" s="2" t="s">
        <v>225</v>
      </c>
      <c r="I229" s="2">
        <v>15.0</v>
      </c>
      <c r="J229" s="2" t="s">
        <v>242</v>
      </c>
      <c r="K229" s="2">
        <v>28.0</v>
      </c>
      <c r="L229" s="2" t="s">
        <v>77</v>
      </c>
      <c r="M229" s="2">
        <v>13.0</v>
      </c>
      <c r="N229" s="2">
        <v>43.0</v>
      </c>
      <c r="O229" s="2">
        <v>0.0</v>
      </c>
      <c r="P229" s="2">
        <v>2.0251215E9</v>
      </c>
      <c r="Q229" s="2">
        <v>60066.0</v>
      </c>
      <c r="S229" s="2" t="s">
        <v>1093</v>
      </c>
      <c r="T229" s="2">
        <v>28641.0</v>
      </c>
      <c r="U229" s="2">
        <v>4.01772823E8</v>
      </c>
      <c r="V229" s="2">
        <v>6957.0</v>
      </c>
      <c r="W229" s="2">
        <v>8.0</v>
      </c>
      <c r="X229" s="2">
        <v>8.0</v>
      </c>
      <c r="Y229" s="2">
        <v>145.0</v>
      </c>
      <c r="Z229" s="2">
        <v>-175.0</v>
      </c>
      <c r="AA229" s="2">
        <v>3.0</v>
      </c>
      <c r="AB229" s="2">
        <v>-102.0</v>
      </c>
      <c r="AC229" s="2">
        <v>-118.0</v>
      </c>
      <c r="AD229" s="2">
        <v>42.5</v>
      </c>
      <c r="AE229" s="2">
        <v>-105.0</v>
      </c>
      <c r="AF229" s="2">
        <v>-115.0</v>
      </c>
      <c r="AG229" s="2">
        <v>0.0</v>
      </c>
      <c r="AH229" s="2" t="s">
        <v>395</v>
      </c>
      <c r="AI229" s="2" t="s">
        <v>396</v>
      </c>
      <c r="AJ229" s="2">
        <v>17.0</v>
      </c>
      <c r="AK229" s="2">
        <v>7.0</v>
      </c>
      <c r="AL229" s="2" t="s">
        <v>444</v>
      </c>
      <c r="AM229" s="2" t="s">
        <v>482</v>
      </c>
      <c r="AN229" s="2" t="s">
        <v>182</v>
      </c>
      <c r="AO229" s="2" t="s">
        <v>243</v>
      </c>
      <c r="AP229" s="2" t="s">
        <v>446</v>
      </c>
      <c r="AQ229" s="2" t="s">
        <v>485</v>
      </c>
      <c r="AR229" s="2" t="s">
        <v>429</v>
      </c>
      <c r="AS229" s="2" t="s">
        <v>593</v>
      </c>
      <c r="AT229" s="2" t="s">
        <v>594</v>
      </c>
      <c r="AV229" s="2">
        <f t="array" ref="AV229">IF($A229="","",IF(INDEX($A229:$AT229,1,MAP!$B$3)=CurrentSeason,1,0))</f>
        <v>0</v>
      </c>
      <c r="AW229" s="2" t="str">
        <f t="shared" si="1"/>
        <v/>
      </c>
    </row>
    <row r="230" ht="15.0" customHeight="1">
      <c r="A230" s="2" t="s">
        <v>1094</v>
      </c>
      <c r="B230" s="2">
        <v>2025.0</v>
      </c>
      <c r="C230" s="2" t="s">
        <v>390</v>
      </c>
      <c r="D230" s="2">
        <v>16.0</v>
      </c>
      <c r="E230" s="2" t="s">
        <v>1095</v>
      </c>
      <c r="F230" s="2" t="s">
        <v>392</v>
      </c>
      <c r="G230" s="2" t="s">
        <v>550</v>
      </c>
      <c r="H230" s="2" t="s">
        <v>142</v>
      </c>
      <c r="I230" s="2">
        <v>37.0</v>
      </c>
      <c r="J230" s="2" t="s">
        <v>149</v>
      </c>
      <c r="K230" s="2">
        <v>38.0</v>
      </c>
      <c r="L230" s="2" t="s">
        <v>77</v>
      </c>
      <c r="M230" s="2">
        <v>1.0</v>
      </c>
      <c r="N230" s="2">
        <v>75.0</v>
      </c>
      <c r="O230" s="2">
        <v>1.0</v>
      </c>
      <c r="P230" s="2">
        <v>2.0251218E9</v>
      </c>
      <c r="Q230" s="2">
        <v>60067.0</v>
      </c>
      <c r="S230" s="2" t="s">
        <v>1096</v>
      </c>
      <c r="T230" s="2">
        <v>28642.0</v>
      </c>
      <c r="U230" s="2">
        <v>4.01772949E8</v>
      </c>
      <c r="V230" s="2">
        <v>6958.0</v>
      </c>
      <c r="W230" s="2">
        <v>4.0</v>
      </c>
      <c r="X230" s="2">
        <v>4.0</v>
      </c>
      <c r="Y230" s="2">
        <v>102.0</v>
      </c>
      <c r="Z230" s="2">
        <v>-122.0</v>
      </c>
      <c r="AA230" s="2">
        <v>1.5</v>
      </c>
      <c r="AB230" s="2">
        <v>-110.0</v>
      </c>
      <c r="AC230" s="2">
        <v>-110.0</v>
      </c>
      <c r="AD230" s="2">
        <v>42.5</v>
      </c>
      <c r="AE230" s="2">
        <v>-105.0</v>
      </c>
      <c r="AF230" s="2">
        <v>-115.0</v>
      </c>
      <c r="AG230" s="2">
        <v>1.0</v>
      </c>
      <c r="AH230" s="2" t="s">
        <v>395</v>
      </c>
      <c r="AI230" s="2" t="s">
        <v>423</v>
      </c>
      <c r="AJ230" s="2">
        <v>51.0</v>
      </c>
      <c r="AK230" s="2">
        <v>17.0</v>
      </c>
      <c r="AL230" s="2" t="s">
        <v>533</v>
      </c>
      <c r="AM230" s="2" t="s">
        <v>513</v>
      </c>
      <c r="AN230" s="2" t="s">
        <v>218</v>
      </c>
      <c r="AO230" s="2" t="s">
        <v>245</v>
      </c>
      <c r="AP230" s="2" t="s">
        <v>535</v>
      </c>
      <c r="AQ230" s="2" t="s">
        <v>515</v>
      </c>
      <c r="AR230" s="2" t="s">
        <v>448</v>
      </c>
      <c r="AS230" s="2" t="s">
        <v>517</v>
      </c>
      <c r="AT230" s="2" t="s">
        <v>518</v>
      </c>
      <c r="AV230" s="2">
        <f t="array" ref="AV230">IF($A230="","",IF(INDEX($A230:$AT230,1,MAP!$B$3)=CurrentSeason,1,0))</f>
        <v>0</v>
      </c>
      <c r="AW230" s="2" t="str">
        <f t="shared" si="1"/>
        <v/>
      </c>
    </row>
    <row r="231" ht="15.0" customHeight="1">
      <c r="A231" s="2" t="s">
        <v>1097</v>
      </c>
      <c r="B231" s="2">
        <v>2025.0</v>
      </c>
      <c r="C231" s="2" t="s">
        <v>390</v>
      </c>
      <c r="D231" s="2">
        <v>16.0</v>
      </c>
      <c r="E231" s="2" t="s">
        <v>1098</v>
      </c>
      <c r="F231" s="2" t="s">
        <v>1099</v>
      </c>
      <c r="G231" s="2" t="s">
        <v>393</v>
      </c>
      <c r="H231" s="2" t="s">
        <v>205</v>
      </c>
      <c r="I231" s="2">
        <v>16.0</v>
      </c>
      <c r="J231" s="2" t="s">
        <v>137</v>
      </c>
      <c r="K231" s="2">
        <v>22.0</v>
      </c>
      <c r="L231" s="2" t="s">
        <v>77</v>
      </c>
      <c r="M231" s="2">
        <v>6.0</v>
      </c>
      <c r="N231" s="2">
        <v>38.0</v>
      </c>
      <c r="O231" s="2">
        <v>1.0</v>
      </c>
      <c r="P231" s="2">
        <v>2.025122E9</v>
      </c>
      <c r="Q231" s="2">
        <v>60068.0</v>
      </c>
      <c r="S231" s="2" t="s">
        <v>1100</v>
      </c>
      <c r="T231" s="2">
        <v>28643.0</v>
      </c>
      <c r="U231" s="2">
        <v>4.01772613E8</v>
      </c>
      <c r="V231" s="2">
        <v>6959.0</v>
      </c>
      <c r="W231" s="2">
        <v>6.0</v>
      </c>
      <c r="X231" s="2">
        <v>6.0</v>
      </c>
      <c r="Y231" s="2">
        <v>-102.0</v>
      </c>
      <c r="Z231" s="2">
        <v>-118.0</v>
      </c>
      <c r="AA231" s="2">
        <v>1.5</v>
      </c>
      <c r="AB231" s="2">
        <v>-115.0</v>
      </c>
      <c r="AC231" s="2">
        <v>-105.0</v>
      </c>
      <c r="AD231" s="2">
        <v>45.5</v>
      </c>
      <c r="AE231" s="2">
        <v>-115.0</v>
      </c>
      <c r="AF231" s="2">
        <v>-105.0</v>
      </c>
      <c r="AG231" s="2">
        <v>1.0</v>
      </c>
      <c r="AH231" s="2" t="s">
        <v>395</v>
      </c>
      <c r="AI231" s="2" t="s">
        <v>396</v>
      </c>
      <c r="AJ231" s="2">
        <v>37.0</v>
      </c>
      <c r="AK231" s="2">
        <v>6.0</v>
      </c>
      <c r="AL231" s="2" t="s">
        <v>523</v>
      </c>
      <c r="AM231" s="2" t="s">
        <v>553</v>
      </c>
      <c r="AN231" s="2" t="s">
        <v>206</v>
      </c>
      <c r="AO231" s="2" t="s">
        <v>192</v>
      </c>
      <c r="AP231" s="2" t="s">
        <v>525</v>
      </c>
      <c r="AQ231" s="2" t="s">
        <v>556</v>
      </c>
      <c r="AR231" s="2" t="s">
        <v>507</v>
      </c>
      <c r="AS231" s="2" t="s">
        <v>558</v>
      </c>
      <c r="AT231" s="2" t="s">
        <v>559</v>
      </c>
      <c r="AV231" s="2">
        <f t="array" ref="AV231">IF($A231="","",IF(INDEX($A231:$AT231,1,MAP!$B$3)=CurrentSeason,1,0))</f>
        <v>0</v>
      </c>
      <c r="AW231" s="2" t="str">
        <f t="shared" si="1"/>
        <v/>
      </c>
    </row>
    <row r="232" ht="15.0" customHeight="1">
      <c r="A232" s="2" t="s">
        <v>1101</v>
      </c>
      <c r="B232" s="2">
        <v>2025.0</v>
      </c>
      <c r="C232" s="2" t="s">
        <v>390</v>
      </c>
      <c r="D232" s="2">
        <v>16.0</v>
      </c>
      <c r="E232" s="2" t="s">
        <v>1098</v>
      </c>
      <c r="F232" s="2" t="s">
        <v>1099</v>
      </c>
      <c r="G232" s="2" t="s">
        <v>1102</v>
      </c>
      <c r="H232" s="2" t="s">
        <v>147</v>
      </c>
      <c r="I232" s="2">
        <v>29.0</v>
      </c>
      <c r="J232" s="2" t="s">
        <v>253</v>
      </c>
      <c r="K232" s="2">
        <v>18.0</v>
      </c>
      <c r="L232" s="2" t="s">
        <v>77</v>
      </c>
      <c r="M232" s="2">
        <v>-11.0</v>
      </c>
      <c r="N232" s="2">
        <v>47.0</v>
      </c>
      <c r="O232" s="2">
        <v>0.0</v>
      </c>
      <c r="P232" s="2">
        <v>2.025122001E9</v>
      </c>
      <c r="Q232" s="2">
        <v>60069.0</v>
      </c>
      <c r="S232" s="2" t="s">
        <v>1103</v>
      </c>
      <c r="T232" s="2">
        <v>28644.0</v>
      </c>
      <c r="U232" s="2">
        <v>4.01772612E8</v>
      </c>
      <c r="V232" s="2">
        <v>6960.0</v>
      </c>
      <c r="W232" s="2">
        <v>6.0</v>
      </c>
      <c r="X232" s="2">
        <v>6.0</v>
      </c>
      <c r="Y232" s="2">
        <v>-380.0</v>
      </c>
      <c r="Z232" s="2">
        <v>300.0</v>
      </c>
      <c r="AA232" s="2">
        <v>-7.0</v>
      </c>
      <c r="AB232" s="2">
        <v>-120.0</v>
      </c>
      <c r="AC232" s="2">
        <v>100.0</v>
      </c>
      <c r="AD232" s="2">
        <v>43.5</v>
      </c>
      <c r="AE232" s="2">
        <v>-110.0</v>
      </c>
      <c r="AF232" s="2">
        <v>-110.0</v>
      </c>
      <c r="AG232" s="2">
        <v>1.0</v>
      </c>
      <c r="AH232" s="2" t="s">
        <v>395</v>
      </c>
      <c r="AI232" s="2" t="s">
        <v>396</v>
      </c>
      <c r="AJ232" s="2">
        <v>42.0</v>
      </c>
      <c r="AK232" s="2">
        <v>7.0</v>
      </c>
      <c r="AL232" s="2" t="s">
        <v>398</v>
      </c>
      <c r="AM232" s="2" t="s">
        <v>657</v>
      </c>
      <c r="AN232" s="2" t="s">
        <v>241</v>
      </c>
      <c r="AO232" s="2" t="s">
        <v>658</v>
      </c>
      <c r="AP232" s="2" t="s">
        <v>400</v>
      </c>
      <c r="AQ232" s="2" t="s">
        <v>496</v>
      </c>
      <c r="AR232" s="2" t="s">
        <v>536</v>
      </c>
      <c r="AS232" s="2" t="s">
        <v>498</v>
      </c>
      <c r="AT232" s="2" t="s">
        <v>499</v>
      </c>
      <c r="AV232" s="2">
        <f t="array" ref="AV232">IF($A232="","",IF(INDEX($A232:$AT232,1,MAP!$B$3)=CurrentSeason,1,0))</f>
        <v>0</v>
      </c>
      <c r="AW232" s="2" t="str">
        <f t="shared" si="1"/>
        <v/>
      </c>
    </row>
    <row r="233" ht="15.0" customHeight="1">
      <c r="A233" s="2" t="s">
        <v>1104</v>
      </c>
      <c r="B233" s="2">
        <v>2025.0</v>
      </c>
      <c r="C233" s="2" t="s">
        <v>390</v>
      </c>
      <c r="D233" s="2">
        <v>16.0</v>
      </c>
      <c r="E233" s="2" t="s">
        <v>1105</v>
      </c>
      <c r="F233" s="2" t="s">
        <v>419</v>
      </c>
      <c r="G233" s="2" t="s">
        <v>393</v>
      </c>
      <c r="H233" s="2" t="s">
        <v>145</v>
      </c>
      <c r="I233" s="2">
        <v>28.0</v>
      </c>
      <c r="J233" s="2" t="s">
        <v>148</v>
      </c>
      <c r="K233" s="2">
        <v>24.0</v>
      </c>
      <c r="L233" s="2" t="s">
        <v>77</v>
      </c>
      <c r="M233" s="2">
        <v>-4.0</v>
      </c>
      <c r="N233" s="2">
        <v>52.0</v>
      </c>
      <c r="O233" s="2">
        <v>0.0</v>
      </c>
      <c r="P233" s="2">
        <v>2.025122102E9</v>
      </c>
      <c r="Q233" s="2">
        <v>60070.0</v>
      </c>
      <c r="S233" s="2" t="s">
        <v>1106</v>
      </c>
      <c r="T233" s="2">
        <v>28645.0</v>
      </c>
      <c r="U233" s="2">
        <v>4.01772804E8</v>
      </c>
      <c r="V233" s="2">
        <v>6961.0</v>
      </c>
      <c r="W233" s="2">
        <v>7.0</v>
      </c>
      <c r="X233" s="2">
        <v>7.0</v>
      </c>
      <c r="Y233" s="2">
        <v>154.0</v>
      </c>
      <c r="Z233" s="2">
        <v>-185.0</v>
      </c>
      <c r="AA233" s="2">
        <v>3.5</v>
      </c>
      <c r="AB233" s="2">
        <v>-115.0</v>
      </c>
      <c r="AC233" s="2">
        <v>-105.0</v>
      </c>
      <c r="AD233" s="2">
        <v>48.5</v>
      </c>
      <c r="AE233" s="2">
        <v>-112.0</v>
      </c>
      <c r="AF233" s="2">
        <v>-108.0</v>
      </c>
      <c r="AG233" s="2">
        <v>0.0</v>
      </c>
      <c r="AH233" s="2" t="s">
        <v>395</v>
      </c>
      <c r="AI233" s="2" t="s">
        <v>396</v>
      </c>
      <c r="AJ233" s="2">
        <v>40.0</v>
      </c>
      <c r="AK233" s="2">
        <v>2.0</v>
      </c>
      <c r="AL233" s="2" t="s">
        <v>463</v>
      </c>
      <c r="AM233" s="2" t="s">
        <v>540</v>
      </c>
      <c r="AN233" s="2" t="s">
        <v>230</v>
      </c>
      <c r="AO233" s="2" t="s">
        <v>184</v>
      </c>
      <c r="AP233" s="2" t="s">
        <v>465</v>
      </c>
      <c r="AQ233" s="2" t="s">
        <v>542</v>
      </c>
      <c r="AR233" s="2" t="s">
        <v>563</v>
      </c>
      <c r="AS233" s="2" t="s">
        <v>567</v>
      </c>
      <c r="AT233" s="2" t="s">
        <v>568</v>
      </c>
      <c r="AV233" s="2">
        <f t="array" ref="AV233">IF($A233="","",IF(INDEX($A233:$AT233,1,MAP!$B$3)=CurrentSeason,1,0))</f>
        <v>0</v>
      </c>
      <c r="AW233" s="2" t="str">
        <f t="shared" si="1"/>
        <v/>
      </c>
    </row>
    <row r="234" ht="15.0" customHeight="1">
      <c r="A234" s="2" t="s">
        <v>1107</v>
      </c>
      <c r="B234" s="2">
        <v>2025.0</v>
      </c>
      <c r="C234" s="2" t="s">
        <v>390</v>
      </c>
      <c r="D234" s="2">
        <v>16.0</v>
      </c>
      <c r="E234" s="2" t="s">
        <v>1105</v>
      </c>
      <c r="F234" s="2" t="s">
        <v>419</v>
      </c>
      <c r="G234" s="2" t="s">
        <v>420</v>
      </c>
      <c r="H234" s="2" t="s">
        <v>150</v>
      </c>
      <c r="I234" s="2">
        <v>20.0</v>
      </c>
      <c r="J234" s="2" t="s">
        <v>189</v>
      </c>
      <c r="K234" s="2">
        <v>23.0</v>
      </c>
      <c r="L234" s="2" t="s">
        <v>77</v>
      </c>
      <c r="M234" s="2">
        <v>3.0</v>
      </c>
      <c r="N234" s="2">
        <v>43.0</v>
      </c>
      <c r="O234" s="2">
        <v>0.0</v>
      </c>
      <c r="P234" s="2">
        <v>2.025122103E9</v>
      </c>
      <c r="Q234" s="2">
        <v>60071.0</v>
      </c>
      <c r="S234" s="2" t="s">
        <v>1108</v>
      </c>
      <c r="T234" s="2">
        <v>28646.0</v>
      </c>
      <c r="U234" s="2">
        <v>4.01772912E8</v>
      </c>
      <c r="V234" s="2">
        <v>6962.0</v>
      </c>
      <c r="W234" s="2">
        <v>10.0</v>
      </c>
      <c r="X234" s="2">
        <v>7.0</v>
      </c>
      <c r="Y234" s="2">
        <v>-155.0</v>
      </c>
      <c r="Z234" s="2">
        <v>130.0</v>
      </c>
      <c r="AA234" s="2">
        <v>-3.0</v>
      </c>
      <c r="AB234" s="2">
        <v>100.0</v>
      </c>
      <c r="AC234" s="2">
        <v>-120.0</v>
      </c>
      <c r="AD234" s="2">
        <v>44.5</v>
      </c>
      <c r="AE234" s="2">
        <v>-108.0</v>
      </c>
      <c r="AF234" s="2">
        <v>-112.0</v>
      </c>
      <c r="AG234" s="2">
        <v>1.0</v>
      </c>
      <c r="AH234" s="2" t="s">
        <v>395</v>
      </c>
      <c r="AI234" s="2" t="s">
        <v>396</v>
      </c>
      <c r="AJ234" s="2">
        <v>61.0</v>
      </c>
      <c r="AK234" s="2">
        <v>8.0</v>
      </c>
      <c r="AL234" s="2" t="s">
        <v>424</v>
      </c>
      <c r="AM234" s="2" t="s">
        <v>453</v>
      </c>
      <c r="AN234" s="2" t="s">
        <v>248</v>
      </c>
      <c r="AO234" s="2" t="s">
        <v>190</v>
      </c>
      <c r="AP234" s="2" t="s">
        <v>427</v>
      </c>
      <c r="AQ234" s="2" t="s">
        <v>455</v>
      </c>
      <c r="AR234" s="2" t="s">
        <v>401</v>
      </c>
      <c r="AS234" s="2" t="s">
        <v>631</v>
      </c>
      <c r="AT234" s="2" t="s">
        <v>632</v>
      </c>
      <c r="AV234" s="2">
        <f t="array" ref="AV234">IF($A234="","",IF(INDEX($A234:$AT234,1,MAP!$B$3)=CurrentSeason,1,0))</f>
        <v>0</v>
      </c>
      <c r="AW234" s="2" t="str">
        <f t="shared" si="1"/>
        <v/>
      </c>
    </row>
    <row r="235" ht="15.0" customHeight="1">
      <c r="A235" s="2" t="s">
        <v>1109</v>
      </c>
      <c r="B235" s="2">
        <v>2025.0</v>
      </c>
      <c r="C235" s="2" t="s">
        <v>390</v>
      </c>
      <c r="D235" s="2">
        <v>16.0</v>
      </c>
      <c r="E235" s="2" t="s">
        <v>1105</v>
      </c>
      <c r="F235" s="2" t="s">
        <v>419</v>
      </c>
      <c r="G235" s="2" t="s">
        <v>420</v>
      </c>
      <c r="H235" s="2" t="s">
        <v>136</v>
      </c>
      <c r="I235" s="2">
        <v>23.0</v>
      </c>
      <c r="J235" s="2" t="s">
        <v>196</v>
      </c>
      <c r="K235" s="2">
        <v>20.0</v>
      </c>
      <c r="L235" s="2" t="s">
        <v>77</v>
      </c>
      <c r="M235" s="2">
        <v>-3.0</v>
      </c>
      <c r="N235" s="2">
        <v>43.0</v>
      </c>
      <c r="O235" s="2">
        <v>0.0</v>
      </c>
      <c r="P235" s="2">
        <v>2.025122104E9</v>
      </c>
      <c r="Q235" s="2">
        <v>60072.0</v>
      </c>
      <c r="S235" s="2" t="s">
        <v>1110</v>
      </c>
      <c r="T235" s="2">
        <v>28647.0</v>
      </c>
      <c r="U235" s="2">
        <v>4.01772802E8</v>
      </c>
      <c r="V235" s="2">
        <v>6963.0</v>
      </c>
      <c r="W235" s="2">
        <v>7.0</v>
      </c>
      <c r="X235" s="2">
        <v>7.0</v>
      </c>
      <c r="Y235" s="2">
        <v>-575.0</v>
      </c>
      <c r="Z235" s="2">
        <v>425.0</v>
      </c>
      <c r="AA235" s="2">
        <v>-10.5</v>
      </c>
      <c r="AB235" s="2">
        <v>-110.0</v>
      </c>
      <c r="AC235" s="2">
        <v>-110.0</v>
      </c>
      <c r="AD235" s="2">
        <v>41.5</v>
      </c>
      <c r="AE235" s="2">
        <v>-118.0</v>
      </c>
      <c r="AF235" s="2">
        <v>-102.0</v>
      </c>
      <c r="AG235" s="2">
        <v>0.0</v>
      </c>
      <c r="AH235" s="2" t="s">
        <v>395</v>
      </c>
      <c r="AI235" s="2" t="s">
        <v>396</v>
      </c>
      <c r="AJ235" s="2">
        <v>25.0</v>
      </c>
      <c r="AK235" s="2">
        <v>16.0</v>
      </c>
      <c r="AL235" s="2" t="s">
        <v>541</v>
      </c>
      <c r="AM235" s="2" t="s">
        <v>971</v>
      </c>
      <c r="AN235" s="2" t="s">
        <v>187</v>
      </c>
      <c r="AO235" s="2" t="s">
        <v>972</v>
      </c>
      <c r="AP235" s="2" t="s">
        <v>543</v>
      </c>
      <c r="AQ235" s="2" t="s">
        <v>438</v>
      </c>
      <c r="AR235" s="2" t="s">
        <v>487</v>
      </c>
      <c r="AS235" s="2" t="s">
        <v>440</v>
      </c>
      <c r="AT235" s="2" t="s">
        <v>441</v>
      </c>
      <c r="AV235" s="2">
        <f t="array" ref="AV235">IF($A235="","",IF(INDEX($A235:$AT235,1,MAP!$B$3)=CurrentSeason,1,0))</f>
        <v>0</v>
      </c>
      <c r="AW235" s="2" t="str">
        <f t="shared" si="1"/>
        <v/>
      </c>
    </row>
    <row r="236" ht="15.0" customHeight="1">
      <c r="A236" s="2" t="s">
        <v>1111</v>
      </c>
      <c r="B236" s="2">
        <v>2025.0</v>
      </c>
      <c r="C236" s="2" t="s">
        <v>390</v>
      </c>
      <c r="D236" s="2">
        <v>16.0</v>
      </c>
      <c r="E236" s="2" t="s">
        <v>1105</v>
      </c>
      <c r="F236" s="2" t="s">
        <v>419</v>
      </c>
      <c r="G236" s="2" t="s">
        <v>420</v>
      </c>
      <c r="H236" s="2" t="s">
        <v>220</v>
      </c>
      <c r="I236" s="2">
        <v>34.0</v>
      </c>
      <c r="J236" s="2" t="s">
        <v>146</v>
      </c>
      <c r="K236" s="2">
        <v>17.0</v>
      </c>
      <c r="L236" s="2" t="s">
        <v>77</v>
      </c>
      <c r="M236" s="2">
        <v>-17.0</v>
      </c>
      <c r="N236" s="2">
        <v>51.0</v>
      </c>
      <c r="O236" s="2">
        <v>0.0</v>
      </c>
      <c r="P236" s="2">
        <v>2.025122105E9</v>
      </c>
      <c r="Q236" s="2">
        <v>60073.0</v>
      </c>
      <c r="S236" s="2" t="s">
        <v>1112</v>
      </c>
      <c r="T236" s="2">
        <v>28648.0</v>
      </c>
      <c r="U236" s="2">
        <v>4.0177291E8</v>
      </c>
      <c r="V236" s="2">
        <v>6964.0</v>
      </c>
      <c r="W236" s="2">
        <v>7.0</v>
      </c>
      <c r="X236" s="2">
        <v>7.0</v>
      </c>
      <c r="Y236" s="2">
        <v>102.0</v>
      </c>
      <c r="Z236" s="2">
        <v>-122.0</v>
      </c>
      <c r="AA236" s="2">
        <v>1.5</v>
      </c>
      <c r="AB236" s="2">
        <v>-115.0</v>
      </c>
      <c r="AC236" s="2">
        <v>-105.0</v>
      </c>
      <c r="AD236" s="2">
        <v>50.5</v>
      </c>
      <c r="AE236" s="2">
        <v>-102.0</v>
      </c>
      <c r="AF236" s="2">
        <v>-118.0</v>
      </c>
      <c r="AG236" s="2">
        <v>0.0</v>
      </c>
      <c r="AH236" s="2" t="s">
        <v>422</v>
      </c>
      <c r="AI236" s="2" t="s">
        <v>531</v>
      </c>
      <c r="AL236" s="2" t="s">
        <v>411</v>
      </c>
      <c r="AM236" s="2" t="s">
        <v>397</v>
      </c>
      <c r="AN236" s="2" t="s">
        <v>221</v>
      </c>
      <c r="AO236" s="2" t="s">
        <v>199</v>
      </c>
      <c r="AP236" s="2" t="s">
        <v>413</v>
      </c>
      <c r="AQ236" s="2" t="s">
        <v>399</v>
      </c>
      <c r="AR236" s="2" t="s">
        <v>557</v>
      </c>
      <c r="AS236" s="2" t="s">
        <v>575</v>
      </c>
      <c r="AT236" s="2" t="s">
        <v>576</v>
      </c>
      <c r="AV236" s="2">
        <f t="array" ref="AV236">IF($A236="","",IF(INDEX($A236:$AT236,1,MAP!$B$3)=CurrentSeason,1,0))</f>
        <v>0</v>
      </c>
      <c r="AW236" s="2" t="str">
        <f t="shared" si="1"/>
        <v/>
      </c>
    </row>
    <row r="237" ht="15.0" customHeight="1">
      <c r="A237" s="2" t="s">
        <v>1113</v>
      </c>
      <c r="B237" s="2">
        <v>2025.0</v>
      </c>
      <c r="C237" s="2" t="s">
        <v>390</v>
      </c>
      <c r="D237" s="2">
        <v>16.0</v>
      </c>
      <c r="E237" s="2" t="s">
        <v>1105</v>
      </c>
      <c r="F237" s="2" t="s">
        <v>419</v>
      </c>
      <c r="G237" s="2" t="s">
        <v>420</v>
      </c>
      <c r="H237" s="2" t="s">
        <v>238</v>
      </c>
      <c r="I237" s="2">
        <v>6.0</v>
      </c>
      <c r="J237" s="2" t="s">
        <v>232</v>
      </c>
      <c r="K237" s="2">
        <v>29.0</v>
      </c>
      <c r="L237" s="2" t="s">
        <v>77</v>
      </c>
      <c r="M237" s="2">
        <v>23.0</v>
      </c>
      <c r="N237" s="2">
        <v>35.0</v>
      </c>
      <c r="O237" s="2">
        <v>0.0</v>
      </c>
      <c r="P237" s="2">
        <v>2.025122106E9</v>
      </c>
      <c r="Q237" s="2">
        <v>60074.0</v>
      </c>
      <c r="S237" s="2" t="s">
        <v>1114</v>
      </c>
      <c r="T237" s="2">
        <v>28649.0</v>
      </c>
      <c r="U237" s="2">
        <v>4.01772801E8</v>
      </c>
      <c r="V237" s="2">
        <v>6965.0</v>
      </c>
      <c r="W237" s="2">
        <v>7.0</v>
      </c>
      <c r="X237" s="2">
        <v>7.0</v>
      </c>
      <c r="Y237" s="2">
        <v>240.0</v>
      </c>
      <c r="Z237" s="2">
        <v>-298.0</v>
      </c>
      <c r="AA237" s="2">
        <v>6.5</v>
      </c>
      <c r="AB237" s="2">
        <v>-105.0</v>
      </c>
      <c r="AC237" s="2">
        <v>-115.0</v>
      </c>
      <c r="AD237" s="2">
        <v>39.5</v>
      </c>
      <c r="AE237" s="2">
        <v>-105.0</v>
      </c>
      <c r="AF237" s="2">
        <v>-115.0</v>
      </c>
      <c r="AG237" s="2">
        <v>0.0</v>
      </c>
      <c r="AH237" s="2" t="s">
        <v>409</v>
      </c>
      <c r="AI237" s="2" t="s">
        <v>471</v>
      </c>
      <c r="AL237" s="2" t="s">
        <v>649</v>
      </c>
      <c r="AM237" s="2" t="s">
        <v>869</v>
      </c>
      <c r="AN237" s="2" t="s">
        <v>650</v>
      </c>
      <c r="AO237" s="2" t="s">
        <v>233</v>
      </c>
      <c r="AP237" s="2" t="s">
        <v>486</v>
      </c>
      <c r="AQ237" s="2" t="s">
        <v>476</v>
      </c>
      <c r="AR237" s="2" t="s">
        <v>497</v>
      </c>
      <c r="AS237" s="2" t="s">
        <v>478</v>
      </c>
      <c r="AT237" s="2" t="s">
        <v>479</v>
      </c>
      <c r="AV237" s="2">
        <f t="array" ref="AV237">IF($A237="","",IF(INDEX($A237:$AT237,1,MAP!$B$3)=CurrentSeason,1,0))</f>
        <v>0</v>
      </c>
      <c r="AW237" s="2" t="str">
        <f t="shared" si="1"/>
        <v/>
      </c>
    </row>
    <row r="238" ht="15.0" customHeight="1">
      <c r="A238" s="2" t="s">
        <v>1115</v>
      </c>
      <c r="B238" s="2">
        <v>2025.0</v>
      </c>
      <c r="C238" s="2" t="s">
        <v>390</v>
      </c>
      <c r="D238" s="2">
        <v>16.0</v>
      </c>
      <c r="E238" s="2" t="s">
        <v>1105</v>
      </c>
      <c r="F238" s="2" t="s">
        <v>419</v>
      </c>
      <c r="G238" s="2" t="s">
        <v>420</v>
      </c>
      <c r="H238" s="2" t="s">
        <v>144</v>
      </c>
      <c r="I238" s="2">
        <v>16.0</v>
      </c>
      <c r="J238" s="2" t="s">
        <v>235</v>
      </c>
      <c r="K238" s="2">
        <v>13.0</v>
      </c>
      <c r="L238" s="2" t="s">
        <v>77</v>
      </c>
      <c r="M238" s="2">
        <v>-3.0</v>
      </c>
      <c r="N238" s="2">
        <v>29.0</v>
      </c>
      <c r="O238" s="2">
        <v>0.0</v>
      </c>
      <c r="P238" s="2">
        <v>2.025122107E9</v>
      </c>
      <c r="Q238" s="2">
        <v>60075.0</v>
      </c>
      <c r="S238" s="2" t="s">
        <v>1116</v>
      </c>
      <c r="T238" s="2">
        <v>28650.0</v>
      </c>
      <c r="U238" s="2">
        <v>4.01772911E8</v>
      </c>
      <c r="V238" s="2">
        <v>6966.0</v>
      </c>
      <c r="W238" s="2">
        <v>7.0</v>
      </c>
      <c r="X238" s="2">
        <v>7.0</v>
      </c>
      <c r="Y238" s="2">
        <v>-148.0</v>
      </c>
      <c r="Z238" s="2">
        <v>124.0</v>
      </c>
      <c r="AA238" s="2">
        <v>-2.5</v>
      </c>
      <c r="AB238" s="2">
        <v>-118.0</v>
      </c>
      <c r="AC238" s="2">
        <v>-102.0</v>
      </c>
      <c r="AD238" s="2">
        <v>41.5</v>
      </c>
      <c r="AE238" s="2">
        <v>-115.0</v>
      </c>
      <c r="AF238" s="2">
        <v>-105.0</v>
      </c>
      <c r="AG238" s="2">
        <v>0.0</v>
      </c>
      <c r="AH238" s="2" t="s">
        <v>395</v>
      </c>
      <c r="AI238" s="2" t="s">
        <v>423</v>
      </c>
      <c r="AJ238" s="2">
        <v>46.0</v>
      </c>
      <c r="AK238" s="2">
        <v>20.0</v>
      </c>
      <c r="AL238" s="2" t="s">
        <v>552</v>
      </c>
      <c r="AM238" s="2" t="s">
        <v>693</v>
      </c>
      <c r="AN238" s="2" t="s">
        <v>554</v>
      </c>
      <c r="AO238" s="2" t="s">
        <v>236</v>
      </c>
      <c r="AP238" s="2" t="s">
        <v>555</v>
      </c>
      <c r="AQ238" s="2" t="s">
        <v>495</v>
      </c>
      <c r="AR238" s="2" t="s">
        <v>457</v>
      </c>
      <c r="AS238" s="2" t="s">
        <v>488</v>
      </c>
      <c r="AT238" s="2" t="s">
        <v>489</v>
      </c>
      <c r="AV238" s="2">
        <f t="array" ref="AV238">IF($A238="","",IF(INDEX($A238:$AT238,1,MAP!$B$3)=CurrentSeason,1,0))</f>
        <v>0</v>
      </c>
      <c r="AW238" s="2" t="str">
        <f t="shared" si="1"/>
        <v/>
      </c>
    </row>
    <row r="239" ht="15.0" customHeight="1">
      <c r="A239" s="2" t="s">
        <v>1117</v>
      </c>
      <c r="B239" s="2">
        <v>2025.0</v>
      </c>
      <c r="C239" s="2" t="s">
        <v>390</v>
      </c>
      <c r="D239" s="2">
        <v>16.0</v>
      </c>
      <c r="E239" s="2" t="s">
        <v>1105</v>
      </c>
      <c r="F239" s="2" t="s">
        <v>419</v>
      </c>
      <c r="G239" s="2" t="s">
        <v>420</v>
      </c>
      <c r="H239" s="2" t="s">
        <v>143</v>
      </c>
      <c r="I239" s="2">
        <v>9.0</v>
      </c>
      <c r="J239" s="2" t="s">
        <v>250</v>
      </c>
      <c r="K239" s="2">
        <v>26.0</v>
      </c>
      <c r="L239" s="2" t="s">
        <v>77</v>
      </c>
      <c r="M239" s="2">
        <v>17.0</v>
      </c>
      <c r="N239" s="2">
        <v>35.0</v>
      </c>
      <c r="O239" s="2">
        <v>0.0</v>
      </c>
      <c r="P239" s="2">
        <v>2.025122108E9</v>
      </c>
      <c r="Q239" s="2">
        <v>60076.0</v>
      </c>
      <c r="S239" s="2" t="s">
        <v>1118</v>
      </c>
      <c r="T239" s="2">
        <v>28651.0</v>
      </c>
      <c r="U239" s="2">
        <v>4.01772803E8</v>
      </c>
      <c r="V239" s="2">
        <v>6967.0</v>
      </c>
      <c r="W239" s="2">
        <v>7.0</v>
      </c>
      <c r="X239" s="2">
        <v>7.0</v>
      </c>
      <c r="Y239" s="2">
        <v>-185.0</v>
      </c>
      <c r="Z239" s="2">
        <v>154.0</v>
      </c>
      <c r="AA239" s="2">
        <v>-3.5</v>
      </c>
      <c r="AB239" s="2">
        <v>100.0</v>
      </c>
      <c r="AC239" s="2">
        <v>-120.0</v>
      </c>
      <c r="AD239" s="2">
        <v>37.5</v>
      </c>
      <c r="AE239" s="2">
        <v>-110.0</v>
      </c>
      <c r="AF239" s="2">
        <v>-110.0</v>
      </c>
      <c r="AG239" s="2">
        <v>0.0</v>
      </c>
      <c r="AH239" s="2" t="s">
        <v>395</v>
      </c>
      <c r="AI239" s="2" t="s">
        <v>396</v>
      </c>
      <c r="AJ239" s="2">
        <v>51.0</v>
      </c>
      <c r="AK239" s="2">
        <v>8.0</v>
      </c>
      <c r="AL239" s="2" t="s">
        <v>1119</v>
      </c>
      <c r="AM239" s="2" t="s">
        <v>503</v>
      </c>
      <c r="AN239" s="2" t="s">
        <v>1120</v>
      </c>
      <c r="AO239" s="2" t="s">
        <v>251</v>
      </c>
      <c r="AP239" s="2" t="s">
        <v>412</v>
      </c>
      <c r="AQ239" s="2" t="s">
        <v>505</v>
      </c>
      <c r="AR239" s="2" t="s">
        <v>526</v>
      </c>
      <c r="AS239" s="2" t="s">
        <v>597</v>
      </c>
      <c r="AT239" s="2" t="s">
        <v>598</v>
      </c>
      <c r="AV239" s="2">
        <f t="array" ref="AV239">IF($A239="","",IF(INDEX($A239:$AT239,1,MAP!$B$3)=CurrentSeason,1,0))</f>
        <v>0</v>
      </c>
      <c r="AW239" s="2" t="str">
        <f t="shared" si="1"/>
        <v/>
      </c>
    </row>
    <row r="240" ht="15.0" customHeight="1">
      <c r="A240" s="2" t="s">
        <v>1121</v>
      </c>
      <c r="B240" s="2">
        <v>2025.0</v>
      </c>
      <c r="C240" s="2" t="s">
        <v>390</v>
      </c>
      <c r="D240" s="2">
        <v>16.0</v>
      </c>
      <c r="E240" s="2" t="s">
        <v>1105</v>
      </c>
      <c r="F240" s="2" t="s">
        <v>419</v>
      </c>
      <c r="G240" s="2" t="s">
        <v>501</v>
      </c>
      <c r="H240" s="2" t="s">
        <v>132</v>
      </c>
      <c r="I240" s="2">
        <v>26.0</v>
      </c>
      <c r="J240" s="2" t="s">
        <v>178</v>
      </c>
      <c r="K240" s="2">
        <v>19.0</v>
      </c>
      <c r="L240" s="2" t="s">
        <v>77</v>
      </c>
      <c r="M240" s="2">
        <v>-7.0</v>
      </c>
      <c r="N240" s="2">
        <v>45.0</v>
      </c>
      <c r="O240" s="2">
        <v>0.0</v>
      </c>
      <c r="P240" s="2">
        <v>2.025122109E9</v>
      </c>
      <c r="Q240" s="2">
        <v>60077.0</v>
      </c>
      <c r="S240" s="2" t="s">
        <v>1122</v>
      </c>
      <c r="T240" s="2">
        <v>28652.0</v>
      </c>
      <c r="U240" s="2">
        <v>4.01772914E8</v>
      </c>
      <c r="V240" s="2">
        <v>6968.0</v>
      </c>
      <c r="W240" s="2">
        <v>10.0</v>
      </c>
      <c r="X240" s="2">
        <v>7.0</v>
      </c>
      <c r="Y240" s="2">
        <v>-148.0</v>
      </c>
      <c r="Z240" s="2">
        <v>124.0</v>
      </c>
      <c r="AA240" s="2">
        <v>-2.5</v>
      </c>
      <c r="AB240" s="2">
        <v>-115.0</v>
      </c>
      <c r="AC240" s="2">
        <v>-105.0</v>
      </c>
      <c r="AD240" s="2">
        <v>48.5</v>
      </c>
      <c r="AE240" s="2">
        <v>-105.0</v>
      </c>
      <c r="AF240" s="2">
        <v>-115.0</v>
      </c>
      <c r="AG240" s="2">
        <v>0.0</v>
      </c>
      <c r="AH240" s="2" t="s">
        <v>422</v>
      </c>
      <c r="AI240" s="2" t="s">
        <v>396</v>
      </c>
      <c r="AL240" s="2" t="s">
        <v>820</v>
      </c>
      <c r="AM240" s="2" t="s">
        <v>759</v>
      </c>
      <c r="AN240" s="2" t="s">
        <v>821</v>
      </c>
      <c r="AO240" s="2" t="s">
        <v>179</v>
      </c>
      <c r="AP240" s="2" t="s">
        <v>428</v>
      </c>
      <c r="AQ240" s="2" t="s">
        <v>475</v>
      </c>
      <c r="AR240" s="2" t="s">
        <v>429</v>
      </c>
      <c r="AS240" s="2" t="s">
        <v>601</v>
      </c>
      <c r="AT240" s="2" t="s">
        <v>602</v>
      </c>
      <c r="AV240" s="2">
        <f t="array" ref="AV240">IF($A240="","",IF(INDEX($A240:$AT240,1,MAP!$B$3)=CurrentSeason,1,0))</f>
        <v>0</v>
      </c>
      <c r="AW240" s="2" t="str">
        <f t="shared" si="1"/>
        <v/>
      </c>
    </row>
    <row r="241" ht="15.0" customHeight="1">
      <c r="A241" s="2" t="s">
        <v>1123</v>
      </c>
      <c r="B241" s="2">
        <v>2025.0</v>
      </c>
      <c r="C241" s="2" t="s">
        <v>390</v>
      </c>
      <c r="D241" s="2">
        <v>16.0</v>
      </c>
      <c r="E241" s="2" t="s">
        <v>1105</v>
      </c>
      <c r="F241" s="2" t="s">
        <v>419</v>
      </c>
      <c r="G241" s="2" t="s">
        <v>501</v>
      </c>
      <c r="H241" s="2" t="s">
        <v>141</v>
      </c>
      <c r="I241" s="2">
        <v>34.0</v>
      </c>
      <c r="J241" s="2" t="s">
        <v>139</v>
      </c>
      <c r="K241" s="2">
        <v>20.0</v>
      </c>
      <c r="L241" s="2" t="s">
        <v>77</v>
      </c>
      <c r="M241" s="2">
        <v>-14.0</v>
      </c>
      <c r="N241" s="2">
        <v>54.0</v>
      </c>
      <c r="O241" s="2">
        <v>0.0</v>
      </c>
      <c r="P241" s="2">
        <v>2.02512211E9</v>
      </c>
      <c r="Q241" s="2">
        <v>60078.0</v>
      </c>
      <c r="S241" s="2" t="s">
        <v>1124</v>
      </c>
      <c r="T241" s="2">
        <v>28653.0</v>
      </c>
      <c r="U241" s="2">
        <v>4.01772913E8</v>
      </c>
      <c r="V241" s="2">
        <v>6969.0</v>
      </c>
      <c r="W241" s="2">
        <v>7.0</v>
      </c>
      <c r="X241" s="2">
        <v>7.0</v>
      </c>
      <c r="Y241" s="2">
        <v>145.0</v>
      </c>
      <c r="Z241" s="2">
        <v>-175.0</v>
      </c>
      <c r="AA241" s="2">
        <v>3.5</v>
      </c>
      <c r="AB241" s="2">
        <v>-120.0</v>
      </c>
      <c r="AC241" s="2">
        <v>100.0</v>
      </c>
      <c r="AD241" s="2">
        <v>46.5</v>
      </c>
      <c r="AE241" s="2">
        <v>-108.0</v>
      </c>
      <c r="AF241" s="2">
        <v>-112.0</v>
      </c>
      <c r="AG241" s="2">
        <v>0.0</v>
      </c>
      <c r="AH241" s="2" t="s">
        <v>395</v>
      </c>
      <c r="AI241" s="2" t="s">
        <v>396</v>
      </c>
      <c r="AJ241" s="2">
        <v>62.0</v>
      </c>
      <c r="AK241" s="2">
        <v>3.0</v>
      </c>
      <c r="AL241" s="2" t="s">
        <v>454</v>
      </c>
      <c r="AM241" s="2" t="s">
        <v>504</v>
      </c>
      <c r="AN241" s="2" t="s">
        <v>214</v>
      </c>
      <c r="AO241" s="2" t="s">
        <v>201</v>
      </c>
      <c r="AP241" s="2" t="s">
        <v>456</v>
      </c>
      <c r="AQ241" s="2" t="s">
        <v>506</v>
      </c>
      <c r="AR241" s="2" t="s">
        <v>516</v>
      </c>
      <c r="AS241" s="2" t="s">
        <v>508</v>
      </c>
      <c r="AT241" s="2" t="s">
        <v>509</v>
      </c>
      <c r="AV241" s="2">
        <f t="array" ref="AV241">IF($A241="","",IF(INDEX($A241:$AT241,1,MAP!$B$3)=CurrentSeason,1,0))</f>
        <v>0</v>
      </c>
      <c r="AW241" s="2" t="str">
        <f t="shared" si="1"/>
        <v/>
      </c>
    </row>
    <row r="242" ht="15.0" customHeight="1">
      <c r="A242" s="2" t="s">
        <v>1125</v>
      </c>
      <c r="B242" s="2">
        <v>2025.0</v>
      </c>
      <c r="C242" s="2" t="s">
        <v>390</v>
      </c>
      <c r="D242" s="2">
        <v>16.0</v>
      </c>
      <c r="E242" s="2" t="s">
        <v>1105</v>
      </c>
      <c r="F242" s="2" t="s">
        <v>419</v>
      </c>
      <c r="G242" s="2" t="s">
        <v>520</v>
      </c>
      <c r="H242" s="2" t="s">
        <v>242</v>
      </c>
      <c r="I242" s="2">
        <v>29.0</v>
      </c>
      <c r="J242" s="2" t="s">
        <v>202</v>
      </c>
      <c r="K242" s="2">
        <v>24.0</v>
      </c>
      <c r="L242" s="2" t="s">
        <v>77</v>
      </c>
      <c r="M242" s="2">
        <v>-5.0</v>
      </c>
      <c r="N242" s="2">
        <v>53.0</v>
      </c>
      <c r="O242" s="2">
        <v>0.0</v>
      </c>
      <c r="P242" s="2">
        <v>2.025122111E9</v>
      </c>
      <c r="Q242" s="2">
        <v>60079.0</v>
      </c>
      <c r="S242" s="2" t="s">
        <v>1126</v>
      </c>
      <c r="T242" s="2">
        <v>28654.0</v>
      </c>
      <c r="U242" s="2">
        <v>4.01772806E8</v>
      </c>
      <c r="V242" s="2">
        <v>6970.0</v>
      </c>
      <c r="W242" s="2">
        <v>6.0</v>
      </c>
      <c r="X242" s="2">
        <v>7.0</v>
      </c>
      <c r="Y242" s="2">
        <v>330.0</v>
      </c>
      <c r="Z242" s="2">
        <v>-425.0</v>
      </c>
      <c r="AA242" s="2">
        <v>7.5</v>
      </c>
      <c r="AB242" s="2">
        <v>-105.0</v>
      </c>
      <c r="AC242" s="2">
        <v>-115.0</v>
      </c>
      <c r="AD242" s="2">
        <v>52.5</v>
      </c>
      <c r="AE242" s="2">
        <v>-115.0</v>
      </c>
      <c r="AF242" s="2">
        <v>-105.0</v>
      </c>
      <c r="AG242" s="2">
        <v>0.0</v>
      </c>
      <c r="AH242" s="2" t="s">
        <v>409</v>
      </c>
      <c r="AI242" s="2" t="s">
        <v>423</v>
      </c>
      <c r="AL242" s="2" t="s">
        <v>482</v>
      </c>
      <c r="AM242" s="2" t="s">
        <v>522</v>
      </c>
      <c r="AN242" s="2" t="s">
        <v>243</v>
      </c>
      <c r="AO242" s="2" t="s">
        <v>203</v>
      </c>
      <c r="AP242" s="2" t="s">
        <v>485</v>
      </c>
      <c r="AQ242" s="2" t="s">
        <v>524</v>
      </c>
      <c r="AR242" s="2" t="s">
        <v>414</v>
      </c>
      <c r="AS242" s="2" t="s">
        <v>579</v>
      </c>
      <c r="AT242" s="2" t="s">
        <v>580</v>
      </c>
      <c r="AV242" s="2">
        <f t="array" ref="AV242">IF($A242="","",IF(INDEX($A242:$AT242,1,MAP!$B$3)=CurrentSeason,1,0))</f>
        <v>0</v>
      </c>
      <c r="AW242" s="2" t="str">
        <f t="shared" si="1"/>
        <v/>
      </c>
    </row>
    <row r="243" ht="15.0" customHeight="1">
      <c r="A243" s="2" t="s">
        <v>1127</v>
      </c>
      <c r="B243" s="2">
        <v>2025.0</v>
      </c>
      <c r="C243" s="2" t="s">
        <v>390</v>
      </c>
      <c r="D243" s="2">
        <v>16.0</v>
      </c>
      <c r="E243" s="2" t="s">
        <v>1105</v>
      </c>
      <c r="F243" s="2" t="s">
        <v>419</v>
      </c>
      <c r="G243" s="2" t="s">
        <v>520</v>
      </c>
      <c r="H243" s="2" t="s">
        <v>222</v>
      </c>
      <c r="I243" s="2">
        <v>21.0</v>
      </c>
      <c r="J243" s="2" t="s">
        <v>140</v>
      </c>
      <c r="K243" s="2">
        <v>23.0</v>
      </c>
      <c r="L243" s="2" t="s">
        <v>77</v>
      </c>
      <c r="M243" s="2">
        <v>2.0</v>
      </c>
      <c r="N243" s="2">
        <v>44.0</v>
      </c>
      <c r="O243" s="2">
        <v>0.0</v>
      </c>
      <c r="P243" s="2">
        <v>2.025122112E9</v>
      </c>
      <c r="Q243" s="2">
        <v>60080.0</v>
      </c>
      <c r="S243" s="2" t="s">
        <v>1128</v>
      </c>
      <c r="T243" s="2">
        <v>28655.0</v>
      </c>
      <c r="U243" s="2">
        <v>4.01772805E8</v>
      </c>
      <c r="V243" s="2">
        <v>6971.0</v>
      </c>
      <c r="W243" s="2">
        <v>7.0</v>
      </c>
      <c r="X243" s="2">
        <v>7.0</v>
      </c>
      <c r="Y243" s="2">
        <v>900.0</v>
      </c>
      <c r="Z243" s="2">
        <v>-1600.0</v>
      </c>
      <c r="AA243" s="2">
        <v>14.5</v>
      </c>
      <c r="AB243" s="2">
        <v>-115.0</v>
      </c>
      <c r="AC243" s="2">
        <v>-105.0</v>
      </c>
      <c r="AD243" s="2">
        <v>39.5</v>
      </c>
      <c r="AE243" s="2">
        <v>-110.0</v>
      </c>
      <c r="AF243" s="2">
        <v>-110.0</v>
      </c>
      <c r="AG243" s="2">
        <v>0.0</v>
      </c>
      <c r="AH243" s="2" t="s">
        <v>422</v>
      </c>
      <c r="AI243" s="2" t="s">
        <v>617</v>
      </c>
      <c r="AL243" s="2" t="s">
        <v>462</v>
      </c>
      <c r="AM243" s="2" t="s">
        <v>532</v>
      </c>
      <c r="AN243" s="2" t="s">
        <v>239</v>
      </c>
      <c r="AO243" s="2" t="s">
        <v>208</v>
      </c>
      <c r="AP243" s="2" t="s">
        <v>464</v>
      </c>
      <c r="AQ243" s="2" t="s">
        <v>534</v>
      </c>
      <c r="AR243" s="2" t="s">
        <v>477</v>
      </c>
      <c r="AS243" s="2" t="s">
        <v>618</v>
      </c>
      <c r="AT243" s="2" t="s">
        <v>619</v>
      </c>
      <c r="AV243" s="2">
        <f t="array" ref="AV243">IF($A243="","",IF(INDEX($A243:$AT243,1,MAP!$B$3)=CurrentSeason,1,0))</f>
        <v>0</v>
      </c>
      <c r="AW243" s="2" t="str">
        <f t="shared" si="1"/>
        <v/>
      </c>
    </row>
    <row r="244" ht="15.0" customHeight="1">
      <c r="A244" s="2" t="s">
        <v>1129</v>
      </c>
      <c r="B244" s="2">
        <v>2025.0</v>
      </c>
      <c r="C244" s="2" t="s">
        <v>390</v>
      </c>
      <c r="D244" s="2">
        <v>16.0</v>
      </c>
      <c r="E244" s="2" t="s">
        <v>1105</v>
      </c>
      <c r="F244" s="2" t="s">
        <v>419</v>
      </c>
      <c r="G244" s="2" t="s">
        <v>420</v>
      </c>
      <c r="H244" s="2" t="s">
        <v>138</v>
      </c>
      <c r="I244" s="2">
        <v>45.0</v>
      </c>
      <c r="J244" s="2" t="s">
        <v>225</v>
      </c>
      <c r="K244" s="2">
        <v>21.0</v>
      </c>
      <c r="L244" s="2" t="s">
        <v>77</v>
      </c>
      <c r="M244" s="2">
        <v>-24.0</v>
      </c>
      <c r="N244" s="2">
        <v>66.0</v>
      </c>
      <c r="O244" s="2">
        <v>0.0</v>
      </c>
      <c r="P244" s="2">
        <v>2.025122113E9</v>
      </c>
      <c r="Q244" s="2">
        <v>60081.0</v>
      </c>
      <c r="S244" s="2" t="s">
        <v>1130</v>
      </c>
      <c r="T244" s="2">
        <v>28656.0</v>
      </c>
      <c r="U244" s="2">
        <v>4.01772934E8</v>
      </c>
      <c r="V244" s="2">
        <v>6972.0</v>
      </c>
      <c r="W244" s="2">
        <v>7.0</v>
      </c>
      <c r="X244" s="2">
        <v>6.0</v>
      </c>
      <c r="Y244" s="2">
        <v>-205.0</v>
      </c>
      <c r="Z244" s="2">
        <v>170.0</v>
      </c>
      <c r="AA244" s="2">
        <v>-3.5</v>
      </c>
      <c r="AB244" s="2">
        <v>-120.0</v>
      </c>
      <c r="AC244" s="2">
        <v>100.0</v>
      </c>
      <c r="AD244" s="2">
        <v>48.5</v>
      </c>
      <c r="AE244" s="2">
        <v>-112.0</v>
      </c>
      <c r="AF244" s="2">
        <v>-108.0</v>
      </c>
      <c r="AG244" s="2">
        <v>0.0</v>
      </c>
      <c r="AH244" s="2" t="s">
        <v>395</v>
      </c>
      <c r="AI244" s="2" t="s">
        <v>396</v>
      </c>
      <c r="AJ244" s="2">
        <v>81.0</v>
      </c>
      <c r="AK244" s="2">
        <v>7.0</v>
      </c>
      <c r="AL244" s="2" t="s">
        <v>434</v>
      </c>
      <c r="AM244" s="2" t="s">
        <v>1131</v>
      </c>
      <c r="AN244" s="2" t="s">
        <v>194</v>
      </c>
      <c r="AO244" s="2" t="s">
        <v>1132</v>
      </c>
      <c r="AP244" s="2" t="s">
        <v>437</v>
      </c>
      <c r="AQ244" s="2" t="s">
        <v>446</v>
      </c>
      <c r="AR244" s="2" t="s">
        <v>544</v>
      </c>
      <c r="AS244" s="2" t="s">
        <v>583</v>
      </c>
      <c r="AT244" s="2" t="s">
        <v>584</v>
      </c>
      <c r="AV244" s="2">
        <f t="array" ref="AV244">IF($A244="","",IF(INDEX($A244:$AT244,1,MAP!$B$3)=CurrentSeason,1,0))</f>
        <v>0</v>
      </c>
      <c r="AW244" s="2" t="str">
        <f t="shared" si="1"/>
        <v/>
      </c>
    </row>
    <row r="245" ht="15.0" customHeight="1">
      <c r="A245" s="2" t="s">
        <v>1133</v>
      </c>
      <c r="B245" s="2">
        <v>2025.0</v>
      </c>
      <c r="C245" s="2" t="s">
        <v>390</v>
      </c>
      <c r="D245" s="2">
        <v>16.0</v>
      </c>
      <c r="E245" s="2" t="s">
        <v>1134</v>
      </c>
      <c r="F245" s="2" t="s">
        <v>549</v>
      </c>
      <c r="G245" s="2" t="s">
        <v>550</v>
      </c>
      <c r="H245" s="2" t="s">
        <v>246</v>
      </c>
      <c r="I245" s="2">
        <v>48.0</v>
      </c>
      <c r="J245" s="2" t="s">
        <v>210</v>
      </c>
      <c r="K245" s="2">
        <v>27.0</v>
      </c>
      <c r="L245" s="2" t="s">
        <v>77</v>
      </c>
      <c r="M245" s="2">
        <v>-21.0</v>
      </c>
      <c r="N245" s="2">
        <v>75.0</v>
      </c>
      <c r="O245" s="2">
        <v>0.0</v>
      </c>
      <c r="P245" s="2">
        <v>2.0251222E9</v>
      </c>
      <c r="Q245" s="2">
        <v>60082.0</v>
      </c>
      <c r="S245" s="2" t="s">
        <v>1135</v>
      </c>
      <c r="T245" s="2">
        <v>28657.0</v>
      </c>
      <c r="U245" s="2">
        <v>4.01772824E8</v>
      </c>
      <c r="V245" s="2">
        <v>6973.0</v>
      </c>
      <c r="W245" s="2">
        <v>8.0</v>
      </c>
      <c r="X245" s="2">
        <v>8.0</v>
      </c>
      <c r="Y245" s="2">
        <v>-225.0</v>
      </c>
      <c r="Z245" s="2">
        <v>185.0</v>
      </c>
      <c r="AA245" s="2">
        <v>-4.5</v>
      </c>
      <c r="AB245" s="2">
        <v>-105.0</v>
      </c>
      <c r="AC245" s="2">
        <v>-115.0</v>
      </c>
      <c r="AD245" s="2">
        <v>46.5</v>
      </c>
      <c r="AE245" s="2">
        <v>-118.0</v>
      </c>
      <c r="AF245" s="2">
        <v>-102.0</v>
      </c>
      <c r="AG245" s="2">
        <v>0.0</v>
      </c>
      <c r="AH245" s="2" t="s">
        <v>422</v>
      </c>
      <c r="AI245" s="2" t="s">
        <v>423</v>
      </c>
      <c r="AL245" s="2" t="s">
        <v>512</v>
      </c>
      <c r="AM245" s="2" t="s">
        <v>1085</v>
      </c>
      <c r="AN245" s="2" t="s">
        <v>247</v>
      </c>
      <c r="AO245" s="2" t="s">
        <v>1086</v>
      </c>
      <c r="AP245" s="2" t="s">
        <v>514</v>
      </c>
      <c r="AQ245" s="2" t="s">
        <v>447</v>
      </c>
      <c r="AR245" s="2" t="s">
        <v>466</v>
      </c>
      <c r="AS245" s="2" t="s">
        <v>449</v>
      </c>
      <c r="AT245" s="2" t="s">
        <v>450</v>
      </c>
      <c r="AV245" s="2">
        <f t="array" ref="AV245">IF($A245="","",IF(INDEX($A245:$AT245,1,MAP!$B$3)=CurrentSeason,1,0))</f>
        <v>0</v>
      </c>
      <c r="AW245" s="2" t="str">
        <f t="shared" si="1"/>
        <v/>
      </c>
    </row>
    <row r="246" ht="15.0" customHeight="1">
      <c r="A246" s="2" t="s">
        <v>1136</v>
      </c>
      <c r="B246" s="2">
        <v>2025.0</v>
      </c>
      <c r="C246" s="2" t="s">
        <v>390</v>
      </c>
      <c r="D246" s="2">
        <v>17.0</v>
      </c>
      <c r="E246" s="2" t="s">
        <v>1137</v>
      </c>
      <c r="F246" s="2" t="s">
        <v>392</v>
      </c>
      <c r="G246" s="2" t="s">
        <v>420</v>
      </c>
      <c r="H246" s="2" t="s">
        <v>146</v>
      </c>
      <c r="I246" s="2">
        <v>30.0</v>
      </c>
      <c r="J246" s="2" t="s">
        <v>253</v>
      </c>
      <c r="K246" s="2">
        <v>23.0</v>
      </c>
      <c r="L246" s="2" t="s">
        <v>77</v>
      </c>
      <c r="M246" s="2">
        <v>-7.0</v>
      </c>
      <c r="N246" s="2">
        <v>53.0</v>
      </c>
      <c r="O246" s="2">
        <v>0.0</v>
      </c>
      <c r="P246" s="2">
        <v>2.0251225E9</v>
      </c>
      <c r="Q246" s="2">
        <v>60083.0</v>
      </c>
      <c r="S246" s="2" t="s">
        <v>1138</v>
      </c>
      <c r="T246" s="2">
        <v>28658.0</v>
      </c>
      <c r="U246" s="2">
        <v>4.0177271E8</v>
      </c>
      <c r="V246" s="2">
        <v>6974.0</v>
      </c>
      <c r="W246" s="2">
        <v>4.0</v>
      </c>
      <c r="X246" s="2">
        <v>5.0</v>
      </c>
      <c r="Y246" s="2">
        <v>-500.0</v>
      </c>
      <c r="Z246" s="2">
        <v>380.0</v>
      </c>
      <c r="AA246" s="2">
        <v>-8.5</v>
      </c>
      <c r="AB246" s="2">
        <v>-120.0</v>
      </c>
      <c r="AC246" s="2">
        <v>100.0</v>
      </c>
      <c r="AD246" s="2">
        <v>50.5</v>
      </c>
      <c r="AE246" s="2">
        <v>-108.0</v>
      </c>
      <c r="AF246" s="2">
        <v>-112.0</v>
      </c>
      <c r="AG246" s="2">
        <v>1.0</v>
      </c>
      <c r="AH246" s="2" t="s">
        <v>395</v>
      </c>
      <c r="AI246" s="2" t="s">
        <v>396</v>
      </c>
      <c r="AJ246" s="2">
        <v>50.0</v>
      </c>
      <c r="AK246" s="2">
        <v>7.0</v>
      </c>
      <c r="AL246" s="2" t="s">
        <v>397</v>
      </c>
      <c r="AM246" s="2" t="s">
        <v>1139</v>
      </c>
      <c r="AN246" s="2" t="s">
        <v>199</v>
      </c>
      <c r="AO246" s="2" t="s">
        <v>1140</v>
      </c>
      <c r="AP246" s="2" t="s">
        <v>399</v>
      </c>
      <c r="AQ246" s="2" t="s">
        <v>496</v>
      </c>
      <c r="AR246" s="2" t="s">
        <v>563</v>
      </c>
      <c r="AS246" s="2" t="s">
        <v>498</v>
      </c>
      <c r="AT246" s="2" t="s">
        <v>499</v>
      </c>
      <c r="AV246" s="2">
        <f t="array" ref="AV246">IF($A246="","",IF(INDEX($A246:$AT246,1,MAP!$B$3)=CurrentSeason,1,0))</f>
        <v>0</v>
      </c>
      <c r="AW246" s="2" t="str">
        <f t="shared" si="1"/>
        <v/>
      </c>
    </row>
    <row r="247" ht="15.0" customHeight="1">
      <c r="A247" s="2" t="s">
        <v>1141</v>
      </c>
      <c r="B247" s="2">
        <v>2025.0</v>
      </c>
      <c r="C247" s="2" t="s">
        <v>390</v>
      </c>
      <c r="D247" s="2">
        <v>17.0</v>
      </c>
      <c r="E247" s="2" t="s">
        <v>1137</v>
      </c>
      <c r="F247" s="2" t="s">
        <v>392</v>
      </c>
      <c r="G247" s="2" t="s">
        <v>986</v>
      </c>
      <c r="H247" s="2" t="s">
        <v>202</v>
      </c>
      <c r="I247" s="2">
        <v>10.0</v>
      </c>
      <c r="J247" s="2" t="s">
        <v>144</v>
      </c>
      <c r="K247" s="2">
        <v>23.0</v>
      </c>
      <c r="L247" s="2" t="s">
        <v>77</v>
      </c>
      <c r="M247" s="2">
        <v>13.0</v>
      </c>
      <c r="N247" s="2">
        <v>33.0</v>
      </c>
      <c r="O247" s="2">
        <v>0.0</v>
      </c>
      <c r="P247" s="2">
        <v>2.025122501E9</v>
      </c>
      <c r="Q247" s="2">
        <v>60084.0</v>
      </c>
      <c r="S247" s="2" t="s">
        <v>1142</v>
      </c>
      <c r="T247" s="2">
        <v>28659.0</v>
      </c>
      <c r="U247" s="2">
        <v>4.01772711E8</v>
      </c>
      <c r="V247" s="2">
        <v>6975.0</v>
      </c>
      <c r="W247" s="2">
        <v>4.0</v>
      </c>
      <c r="X247" s="2">
        <v>4.0</v>
      </c>
      <c r="Y247" s="2">
        <v>-360.0</v>
      </c>
      <c r="Z247" s="2">
        <v>285.0</v>
      </c>
      <c r="AA247" s="2">
        <v>-7.0</v>
      </c>
      <c r="AB247" s="2">
        <v>-120.0</v>
      </c>
      <c r="AC247" s="2">
        <v>100.0</v>
      </c>
      <c r="AD247" s="2">
        <v>45.5</v>
      </c>
      <c r="AE247" s="2">
        <v>-115.0</v>
      </c>
      <c r="AF247" s="2">
        <v>-105.0</v>
      </c>
      <c r="AG247" s="2">
        <v>1.0</v>
      </c>
      <c r="AH247" s="2" t="s">
        <v>409</v>
      </c>
      <c r="AI247" s="2" t="s">
        <v>471</v>
      </c>
      <c r="AL247" s="2" t="s">
        <v>522</v>
      </c>
      <c r="AM247" s="2" t="s">
        <v>1011</v>
      </c>
      <c r="AN247" s="2" t="s">
        <v>203</v>
      </c>
      <c r="AO247" s="2" t="s">
        <v>1012</v>
      </c>
      <c r="AP247" s="2" t="s">
        <v>524</v>
      </c>
      <c r="AQ247" s="2" t="s">
        <v>555</v>
      </c>
      <c r="AR247" s="2" t="s">
        <v>401</v>
      </c>
      <c r="AS247" s="2" t="s">
        <v>611</v>
      </c>
      <c r="AT247" s="2" t="s">
        <v>612</v>
      </c>
      <c r="AV247" s="2">
        <f t="array" ref="AV247">IF($A247="","",IF(INDEX($A247:$AT247,1,MAP!$B$3)=CurrentSeason,1,0))</f>
        <v>0</v>
      </c>
      <c r="AW247" s="2" t="str">
        <f t="shared" si="1"/>
        <v/>
      </c>
    </row>
    <row r="248" ht="15.0" customHeight="1">
      <c r="A248" s="2" t="s">
        <v>1143</v>
      </c>
      <c r="B248" s="2">
        <v>2025.0</v>
      </c>
      <c r="C248" s="2" t="s">
        <v>390</v>
      </c>
      <c r="D248" s="2">
        <v>17.0</v>
      </c>
      <c r="E248" s="2" t="s">
        <v>1137</v>
      </c>
      <c r="F248" s="2" t="s">
        <v>392</v>
      </c>
      <c r="G248" s="2" t="s">
        <v>550</v>
      </c>
      <c r="H248" s="2" t="s">
        <v>139</v>
      </c>
      <c r="I248" s="2">
        <v>20.0</v>
      </c>
      <c r="J248" s="2" t="s">
        <v>143</v>
      </c>
      <c r="K248" s="2">
        <v>13.0</v>
      </c>
      <c r="L248" s="2" t="s">
        <v>77</v>
      </c>
      <c r="M248" s="2">
        <v>-7.0</v>
      </c>
      <c r="N248" s="2">
        <v>33.0</v>
      </c>
      <c r="O248" s="2">
        <v>0.0</v>
      </c>
      <c r="P248" s="2">
        <v>2.025122502E9</v>
      </c>
      <c r="Q248" s="2">
        <v>60085.0</v>
      </c>
      <c r="S248" s="2" t="s">
        <v>1144</v>
      </c>
      <c r="T248" s="2">
        <v>28660.0</v>
      </c>
      <c r="U248" s="2">
        <v>4.01772622E8</v>
      </c>
      <c r="V248" s="2">
        <v>6976.0</v>
      </c>
      <c r="W248" s="2">
        <v>4.0</v>
      </c>
      <c r="X248" s="2">
        <v>4.0</v>
      </c>
      <c r="Y248" s="2">
        <v>-1100.0</v>
      </c>
      <c r="Z248" s="2">
        <v>700.0</v>
      </c>
      <c r="AA248" s="2">
        <v>-13.5</v>
      </c>
      <c r="AB248" s="2">
        <v>-105.0</v>
      </c>
      <c r="AC248" s="2">
        <v>-115.0</v>
      </c>
      <c r="AD248" s="2">
        <v>37.5</v>
      </c>
      <c r="AE248" s="2">
        <v>100.0</v>
      </c>
      <c r="AF248" s="2">
        <v>-120.0</v>
      </c>
      <c r="AG248" s="2">
        <v>1.0</v>
      </c>
      <c r="AH248" s="2" t="s">
        <v>395</v>
      </c>
      <c r="AI248" s="2" t="s">
        <v>396</v>
      </c>
      <c r="AL248" s="2" t="s">
        <v>504</v>
      </c>
      <c r="AM248" s="2" t="s">
        <v>1145</v>
      </c>
      <c r="AN248" s="2" t="s">
        <v>201</v>
      </c>
      <c r="AO248" s="2" t="s">
        <v>1146</v>
      </c>
      <c r="AP248" s="2" t="s">
        <v>506</v>
      </c>
      <c r="AQ248" s="2" t="s">
        <v>412</v>
      </c>
      <c r="AR248" s="2" t="s">
        <v>487</v>
      </c>
      <c r="AS248" s="2" t="s">
        <v>607</v>
      </c>
      <c r="AT248" s="2" t="s">
        <v>608</v>
      </c>
      <c r="AV248" s="2">
        <f t="array" ref="AV248">IF($A248="","",IF(INDEX($A248:$AT248,1,MAP!$B$3)=CurrentSeason,1,0))</f>
        <v>0</v>
      </c>
      <c r="AW248" s="2" t="str">
        <f t="shared" si="1"/>
        <v/>
      </c>
    </row>
    <row r="249" ht="15.0" customHeight="1">
      <c r="A249" s="2" t="s">
        <v>1147</v>
      </c>
      <c r="B249" s="2">
        <v>2025.0</v>
      </c>
      <c r="C249" s="2" t="s">
        <v>390</v>
      </c>
      <c r="D249" s="2">
        <v>17.0</v>
      </c>
      <c r="E249" s="2" t="s">
        <v>1148</v>
      </c>
      <c r="F249" s="2" t="s">
        <v>419</v>
      </c>
      <c r="G249" s="2" t="s">
        <v>420</v>
      </c>
      <c r="H249" s="2" t="s">
        <v>149</v>
      </c>
      <c r="I249" s="2">
        <v>27.0</v>
      </c>
      <c r="J249" s="2" t="s">
        <v>189</v>
      </c>
      <c r="K249" s="2">
        <v>10.0</v>
      </c>
      <c r="L249" s="2" t="s">
        <v>77</v>
      </c>
      <c r="M249" s="2">
        <v>-17.0</v>
      </c>
      <c r="N249" s="2">
        <v>37.0</v>
      </c>
      <c r="O249" s="2">
        <v>0.0</v>
      </c>
      <c r="P249" s="2">
        <v>2.0251228E9</v>
      </c>
      <c r="Q249" s="2">
        <v>60086.0</v>
      </c>
      <c r="S249" s="2" t="s">
        <v>1149</v>
      </c>
      <c r="T249" s="2">
        <v>28661.0</v>
      </c>
      <c r="U249" s="2">
        <v>4.01772952E8</v>
      </c>
      <c r="V249" s="2">
        <v>6977.0</v>
      </c>
      <c r="W249" s="2">
        <v>10.0</v>
      </c>
      <c r="X249" s="2">
        <v>7.0</v>
      </c>
      <c r="Y249" s="2">
        <v>-305.0</v>
      </c>
      <c r="Z249" s="2">
        <v>245.0</v>
      </c>
      <c r="AA249" s="2">
        <v>-6.5</v>
      </c>
      <c r="AB249" s="2">
        <v>-118.0</v>
      </c>
      <c r="AC249" s="2">
        <v>-102.0</v>
      </c>
      <c r="AD249" s="2">
        <v>42.5</v>
      </c>
      <c r="AE249" s="2">
        <v>-110.0</v>
      </c>
      <c r="AF249" s="2">
        <v>-110.0</v>
      </c>
      <c r="AG249" s="2">
        <v>0.0</v>
      </c>
      <c r="AH249" s="2" t="s">
        <v>395</v>
      </c>
      <c r="AI249" s="2" t="s">
        <v>396</v>
      </c>
      <c r="AJ249" s="2">
        <v>43.0</v>
      </c>
      <c r="AK249" s="2">
        <v>2.0</v>
      </c>
      <c r="AL249" s="2" t="s">
        <v>513</v>
      </c>
      <c r="AM249" s="2" t="s">
        <v>453</v>
      </c>
      <c r="AN249" s="2" t="s">
        <v>245</v>
      </c>
      <c r="AO249" s="2" t="s">
        <v>190</v>
      </c>
      <c r="AP249" s="2" t="s">
        <v>515</v>
      </c>
      <c r="AQ249" s="2" t="s">
        <v>455</v>
      </c>
      <c r="AR249" s="2" t="s">
        <v>414</v>
      </c>
      <c r="AS249" s="2" t="s">
        <v>631</v>
      </c>
      <c r="AT249" s="2" t="s">
        <v>632</v>
      </c>
      <c r="AV249" s="2">
        <f t="array" ref="AV249">IF($A249="","",IF(INDEX($A249:$AT249,1,MAP!$B$3)=CurrentSeason,1,0))</f>
        <v>0</v>
      </c>
      <c r="AW249" s="2" t="str">
        <f t="shared" si="1"/>
        <v/>
      </c>
    </row>
    <row r="250" ht="15.0" customHeight="1">
      <c r="A250" s="2" t="s">
        <v>1150</v>
      </c>
      <c r="B250" s="2">
        <v>2025.0</v>
      </c>
      <c r="C250" s="2" t="s">
        <v>390</v>
      </c>
      <c r="D250" s="2">
        <v>17.0</v>
      </c>
      <c r="E250" s="2" t="s">
        <v>1148</v>
      </c>
      <c r="F250" s="2" t="s">
        <v>419</v>
      </c>
      <c r="G250" s="2" t="s">
        <v>420</v>
      </c>
      <c r="H250" s="2" t="s">
        <v>178</v>
      </c>
      <c r="I250" s="2">
        <v>14.0</v>
      </c>
      <c r="J250" s="2" t="s">
        <v>138</v>
      </c>
      <c r="K250" s="2">
        <v>37.0</v>
      </c>
      <c r="L250" s="2" t="s">
        <v>77</v>
      </c>
      <c r="M250" s="2">
        <v>23.0</v>
      </c>
      <c r="N250" s="2">
        <v>51.0</v>
      </c>
      <c r="O250" s="2">
        <v>0.0</v>
      </c>
      <c r="P250" s="2">
        <v>2.025122801E9</v>
      </c>
      <c r="Q250" s="2">
        <v>60087.0</v>
      </c>
      <c r="S250" s="2" t="s">
        <v>1151</v>
      </c>
      <c r="T250" s="2">
        <v>28662.0</v>
      </c>
      <c r="U250" s="2">
        <v>4.01772954E8</v>
      </c>
      <c r="V250" s="2">
        <v>6978.0</v>
      </c>
      <c r="W250" s="2">
        <v>7.0</v>
      </c>
      <c r="X250" s="2">
        <v>7.0</v>
      </c>
      <c r="Y250" s="2">
        <v>275.0</v>
      </c>
      <c r="Z250" s="2">
        <v>-345.0</v>
      </c>
      <c r="AA250" s="2">
        <v>7.0</v>
      </c>
      <c r="AB250" s="2">
        <v>-110.0</v>
      </c>
      <c r="AC250" s="2">
        <v>-110.0</v>
      </c>
      <c r="AD250" s="2">
        <v>52.5</v>
      </c>
      <c r="AE250" s="2">
        <v>-105.0</v>
      </c>
      <c r="AF250" s="2">
        <v>-115.0</v>
      </c>
      <c r="AG250" s="2">
        <v>0.0</v>
      </c>
      <c r="AH250" s="2" t="s">
        <v>395</v>
      </c>
      <c r="AI250" s="2" t="s">
        <v>423</v>
      </c>
      <c r="AJ250" s="2">
        <v>65.0</v>
      </c>
      <c r="AK250" s="2">
        <v>9.0</v>
      </c>
      <c r="AL250" s="2" t="s">
        <v>759</v>
      </c>
      <c r="AM250" s="2" t="s">
        <v>434</v>
      </c>
      <c r="AN250" s="2" t="s">
        <v>179</v>
      </c>
      <c r="AO250" s="2" t="s">
        <v>194</v>
      </c>
      <c r="AP250" s="2" t="s">
        <v>475</v>
      </c>
      <c r="AQ250" s="2" t="s">
        <v>437</v>
      </c>
      <c r="AR250" s="2" t="s">
        <v>497</v>
      </c>
      <c r="AS250" s="2" t="s">
        <v>571</v>
      </c>
      <c r="AT250" s="2" t="s">
        <v>572</v>
      </c>
      <c r="AV250" s="2">
        <f t="array" ref="AV250">IF($A250="","",IF(INDEX($A250:$AT250,1,MAP!$B$3)=CurrentSeason,1,0))</f>
        <v>0</v>
      </c>
      <c r="AW250" s="2" t="str">
        <f t="shared" si="1"/>
        <v/>
      </c>
    </row>
    <row r="251" ht="15.0" customHeight="1">
      <c r="A251" s="2" t="s">
        <v>1152</v>
      </c>
      <c r="B251" s="2">
        <v>2025.0</v>
      </c>
      <c r="C251" s="2" t="s">
        <v>390</v>
      </c>
      <c r="D251" s="2">
        <v>17.0</v>
      </c>
      <c r="E251" s="2" t="s">
        <v>1148</v>
      </c>
      <c r="F251" s="2" t="s">
        <v>419</v>
      </c>
      <c r="G251" s="2" t="s">
        <v>420</v>
      </c>
      <c r="H251" s="2" t="s">
        <v>242</v>
      </c>
      <c r="I251" s="2">
        <v>6.0</v>
      </c>
      <c r="J251" s="2" t="s">
        <v>196</v>
      </c>
      <c r="K251" s="2">
        <v>13.0</v>
      </c>
      <c r="L251" s="2" t="s">
        <v>77</v>
      </c>
      <c r="M251" s="2">
        <v>7.0</v>
      </c>
      <c r="N251" s="2">
        <v>19.0</v>
      </c>
      <c r="O251" s="2">
        <v>0.0</v>
      </c>
      <c r="P251" s="2">
        <v>2.025122805E9</v>
      </c>
      <c r="Q251" s="2">
        <v>60091.0</v>
      </c>
      <c r="S251" s="2" t="s">
        <v>1153</v>
      </c>
      <c r="T251" s="2">
        <v>28666.0</v>
      </c>
      <c r="U251" s="2">
        <v>4.01772807E8</v>
      </c>
      <c r="V251" s="2">
        <v>6979.0</v>
      </c>
      <c r="W251" s="2">
        <v>7.0</v>
      </c>
      <c r="X251" s="2">
        <v>7.0</v>
      </c>
      <c r="Y251" s="2">
        <v>-205.0</v>
      </c>
      <c r="Z251" s="2">
        <v>170.0</v>
      </c>
      <c r="AA251" s="2">
        <v>-4.5</v>
      </c>
      <c r="AB251" s="2">
        <v>-108.0</v>
      </c>
      <c r="AC251" s="2">
        <v>-112.0</v>
      </c>
      <c r="AD251" s="2">
        <v>35.5</v>
      </c>
      <c r="AE251" s="2">
        <v>-112.0</v>
      </c>
      <c r="AF251" s="2">
        <v>-108.0</v>
      </c>
      <c r="AG251" s="2">
        <v>1.0</v>
      </c>
      <c r="AH251" s="2" t="s">
        <v>395</v>
      </c>
      <c r="AI251" s="2" t="s">
        <v>396</v>
      </c>
      <c r="AJ251" s="2">
        <v>45.0</v>
      </c>
      <c r="AK251" s="2">
        <v>14.0</v>
      </c>
      <c r="AL251" s="2" t="s">
        <v>482</v>
      </c>
      <c r="AM251" s="2" t="s">
        <v>971</v>
      </c>
      <c r="AN251" s="2" t="s">
        <v>243</v>
      </c>
      <c r="AO251" s="2" t="s">
        <v>972</v>
      </c>
      <c r="AP251" s="2" t="s">
        <v>485</v>
      </c>
      <c r="AQ251" s="2" t="s">
        <v>438</v>
      </c>
      <c r="AR251" s="2" t="s">
        <v>544</v>
      </c>
      <c r="AS251" s="2" t="s">
        <v>440</v>
      </c>
      <c r="AT251" s="2" t="s">
        <v>441</v>
      </c>
      <c r="AV251" s="2">
        <f t="array" ref="AV251">IF($A251="","",IF(INDEX($A251:$AT251,1,MAP!$B$3)=CurrentSeason,1,0))</f>
        <v>0</v>
      </c>
      <c r="AW251" s="2" t="str">
        <f t="shared" si="1"/>
        <v/>
      </c>
    </row>
    <row r="252" ht="15.0" customHeight="1">
      <c r="A252" s="2" t="s">
        <v>1154</v>
      </c>
      <c r="B252" s="2">
        <v>2025.0</v>
      </c>
      <c r="C252" s="2" t="s">
        <v>390</v>
      </c>
      <c r="D252" s="2">
        <v>17.0</v>
      </c>
      <c r="E252" s="2" t="s">
        <v>1155</v>
      </c>
      <c r="F252" s="2" t="s">
        <v>1099</v>
      </c>
      <c r="G252" s="2" t="s">
        <v>407</v>
      </c>
      <c r="H252" s="2" t="s">
        <v>148</v>
      </c>
      <c r="I252" s="2">
        <v>41.0</v>
      </c>
      <c r="J252" s="2" t="s">
        <v>205</v>
      </c>
      <c r="K252" s="2">
        <v>24.0</v>
      </c>
      <c r="L252" s="2" t="s">
        <v>77</v>
      </c>
      <c r="M252" s="2">
        <v>-17.0</v>
      </c>
      <c r="N252" s="2">
        <v>65.0</v>
      </c>
      <c r="O252" s="2">
        <v>0.0</v>
      </c>
      <c r="P252" s="2">
        <v>2.025122701E9</v>
      </c>
      <c r="Q252" s="2">
        <v>60088.0</v>
      </c>
      <c r="S252" s="2" t="s">
        <v>1156</v>
      </c>
      <c r="T252" s="2">
        <v>28663.0</v>
      </c>
      <c r="U252" s="2">
        <v>4.01772953E8</v>
      </c>
      <c r="V252" s="2">
        <v>6980.0</v>
      </c>
      <c r="W252" s="2">
        <v>6.0</v>
      </c>
      <c r="X252" s="2">
        <v>7.0</v>
      </c>
      <c r="Y252" s="2">
        <v>120.0</v>
      </c>
      <c r="Z252" s="2">
        <v>-142.0</v>
      </c>
      <c r="AA252" s="2">
        <v>2.5</v>
      </c>
      <c r="AB252" s="2">
        <v>-108.0</v>
      </c>
      <c r="AC252" s="2">
        <v>-112.0</v>
      </c>
      <c r="AD252" s="2">
        <v>38.5</v>
      </c>
      <c r="AE252" s="2">
        <v>-115.0</v>
      </c>
      <c r="AF252" s="2">
        <v>-105.0</v>
      </c>
      <c r="AG252" s="2">
        <v>0.0</v>
      </c>
      <c r="AH252" s="2" t="s">
        <v>395</v>
      </c>
      <c r="AI252" s="2" t="s">
        <v>396</v>
      </c>
      <c r="AJ252" s="2">
        <v>36.0</v>
      </c>
      <c r="AK252" s="2">
        <v>10.0</v>
      </c>
      <c r="AL252" s="2" t="s">
        <v>824</v>
      </c>
      <c r="AM252" s="2" t="s">
        <v>1157</v>
      </c>
      <c r="AN252" s="2" t="s">
        <v>825</v>
      </c>
      <c r="AO252" s="2" t="s">
        <v>226</v>
      </c>
      <c r="AP252" s="2" t="s">
        <v>542</v>
      </c>
      <c r="AQ252" s="2" t="s">
        <v>525</v>
      </c>
      <c r="AR252" s="2" t="s">
        <v>557</v>
      </c>
      <c r="AS252" s="2" t="s">
        <v>527</v>
      </c>
      <c r="AT252" s="2" t="s">
        <v>528</v>
      </c>
      <c r="AV252" s="2">
        <f t="array" ref="AV252">IF($A252="","",IF(INDEX($A252:$AT252,1,MAP!$B$3)=CurrentSeason,1,0))</f>
        <v>0</v>
      </c>
      <c r="AW252" s="2" t="str">
        <f t="shared" si="1"/>
        <v/>
      </c>
    </row>
    <row r="253" ht="15.0" customHeight="1">
      <c r="A253" s="2" t="s">
        <v>1158</v>
      </c>
      <c r="B253" s="2">
        <v>2025.0</v>
      </c>
      <c r="C253" s="2" t="s">
        <v>390</v>
      </c>
      <c r="D253" s="2">
        <v>17.0</v>
      </c>
      <c r="E253" s="2" t="s">
        <v>1148</v>
      </c>
      <c r="F253" s="2" t="s">
        <v>419</v>
      </c>
      <c r="G253" s="2" t="s">
        <v>420</v>
      </c>
      <c r="H253" s="2" t="s">
        <v>141</v>
      </c>
      <c r="I253" s="2">
        <v>23.0</v>
      </c>
      <c r="J253" s="2" t="s">
        <v>210</v>
      </c>
      <c r="K253" s="2">
        <v>17.0</v>
      </c>
      <c r="L253" s="2" t="s">
        <v>77</v>
      </c>
      <c r="M253" s="2">
        <v>-6.0</v>
      </c>
      <c r="N253" s="2">
        <v>40.0</v>
      </c>
      <c r="O253" s="2">
        <v>0.0</v>
      </c>
      <c r="P253" s="2">
        <v>2.025122806E9</v>
      </c>
      <c r="Q253" s="2">
        <v>60092.0</v>
      </c>
      <c r="S253" s="2" t="s">
        <v>1159</v>
      </c>
      <c r="T253" s="2">
        <v>28667.0</v>
      </c>
      <c r="U253" s="2">
        <v>4.01772915E8</v>
      </c>
      <c r="V253" s="2">
        <v>6981.0</v>
      </c>
      <c r="W253" s="2">
        <v>7.0</v>
      </c>
      <c r="X253" s="2">
        <v>6.0</v>
      </c>
      <c r="Y253" s="2">
        <v>-225.0</v>
      </c>
      <c r="Z253" s="2">
        <v>185.0</v>
      </c>
      <c r="AA253" s="2">
        <v>-3.5</v>
      </c>
      <c r="AB253" s="2">
        <v>-115.0</v>
      </c>
      <c r="AC253" s="2">
        <v>-105.0</v>
      </c>
      <c r="AD253" s="2">
        <v>48.5</v>
      </c>
      <c r="AE253" s="2">
        <v>-108.0</v>
      </c>
      <c r="AF253" s="2">
        <v>-112.0</v>
      </c>
      <c r="AG253" s="2">
        <v>1.0</v>
      </c>
      <c r="AH253" s="2" t="s">
        <v>422</v>
      </c>
      <c r="AI253" s="2" t="s">
        <v>423</v>
      </c>
      <c r="AL253" s="2" t="s">
        <v>454</v>
      </c>
      <c r="AM253" s="2" t="s">
        <v>1085</v>
      </c>
      <c r="AN253" s="2" t="s">
        <v>214</v>
      </c>
      <c r="AO253" s="2" t="s">
        <v>1086</v>
      </c>
      <c r="AP253" s="2" t="s">
        <v>456</v>
      </c>
      <c r="AQ253" s="2" t="s">
        <v>447</v>
      </c>
      <c r="AR253" s="2" t="s">
        <v>448</v>
      </c>
      <c r="AS253" s="2" t="s">
        <v>449</v>
      </c>
      <c r="AT253" s="2" t="s">
        <v>450</v>
      </c>
      <c r="AV253" s="2">
        <f t="array" ref="AV253">IF($A253="","",IF(INDEX($A253:$AT253,1,MAP!$B$3)=CurrentSeason,1,0))</f>
        <v>0</v>
      </c>
      <c r="AW253" s="2" t="str">
        <f t="shared" si="1"/>
        <v/>
      </c>
    </row>
    <row r="254" ht="15.0" customHeight="1">
      <c r="A254" s="2" t="s">
        <v>1160</v>
      </c>
      <c r="B254" s="2">
        <v>2025.0</v>
      </c>
      <c r="C254" s="2" t="s">
        <v>390</v>
      </c>
      <c r="D254" s="2">
        <v>17.0</v>
      </c>
      <c r="E254" s="2" t="s">
        <v>1155</v>
      </c>
      <c r="F254" s="2" t="s">
        <v>1099</v>
      </c>
      <c r="G254" s="2" t="s">
        <v>986</v>
      </c>
      <c r="H254" s="2" t="s">
        <v>140</v>
      </c>
      <c r="I254" s="2">
        <v>20.0</v>
      </c>
      <c r="J254" s="2" t="s">
        <v>220</v>
      </c>
      <c r="K254" s="2">
        <v>16.0</v>
      </c>
      <c r="L254" s="2" t="s">
        <v>77</v>
      </c>
      <c r="M254" s="2">
        <v>-4.0</v>
      </c>
      <c r="N254" s="2">
        <v>36.0</v>
      </c>
      <c r="O254" s="2">
        <v>0.0</v>
      </c>
      <c r="P254" s="2">
        <v>2.0251227E9</v>
      </c>
      <c r="Q254" s="2">
        <v>60089.0</v>
      </c>
      <c r="S254" s="2" t="s">
        <v>1161</v>
      </c>
      <c r="T254" s="2">
        <v>28664.0</v>
      </c>
      <c r="U254" s="2">
        <v>4.01772951E8</v>
      </c>
      <c r="V254" s="2">
        <v>6982.0</v>
      </c>
      <c r="W254" s="2">
        <v>6.0</v>
      </c>
      <c r="X254" s="2">
        <v>6.0</v>
      </c>
      <c r="Y254" s="2">
        <v>-102.0</v>
      </c>
      <c r="Z254" s="2">
        <v>-118.0</v>
      </c>
      <c r="AA254" s="2">
        <v>1.5</v>
      </c>
      <c r="AB254" s="2">
        <v>-115.0</v>
      </c>
      <c r="AC254" s="2">
        <v>-105.0</v>
      </c>
      <c r="AD254" s="2">
        <v>40.5</v>
      </c>
      <c r="AE254" s="2">
        <v>-105.0</v>
      </c>
      <c r="AF254" s="2">
        <v>-115.0</v>
      </c>
      <c r="AG254" s="2">
        <v>0.0</v>
      </c>
      <c r="AH254" s="2" t="s">
        <v>409</v>
      </c>
      <c r="AI254" s="2" t="s">
        <v>531</v>
      </c>
      <c r="AL254" s="2" t="s">
        <v>532</v>
      </c>
      <c r="AM254" s="2" t="s">
        <v>411</v>
      </c>
      <c r="AN254" s="2" t="s">
        <v>208</v>
      </c>
      <c r="AO254" s="2" t="s">
        <v>221</v>
      </c>
      <c r="AP254" s="2" t="s">
        <v>534</v>
      </c>
      <c r="AQ254" s="2" t="s">
        <v>413</v>
      </c>
      <c r="AR254" s="2" t="s">
        <v>536</v>
      </c>
      <c r="AS254" s="2" t="s">
        <v>415</v>
      </c>
      <c r="AT254" s="2" t="s">
        <v>416</v>
      </c>
      <c r="AV254" s="2">
        <f t="array" ref="AV254">IF($A254="","",IF(INDEX($A254:$AT254,1,MAP!$B$3)=CurrentSeason,1,0))</f>
        <v>0</v>
      </c>
      <c r="AW254" s="2" t="str">
        <f t="shared" si="1"/>
        <v/>
      </c>
    </row>
    <row r="255" ht="15.0" customHeight="1">
      <c r="A255" s="2" t="s">
        <v>1162</v>
      </c>
      <c r="B255" s="2">
        <v>2025.0</v>
      </c>
      <c r="C255" s="2" t="s">
        <v>390</v>
      </c>
      <c r="D255" s="2">
        <v>17.0</v>
      </c>
      <c r="E255" s="2" t="s">
        <v>1148</v>
      </c>
      <c r="F255" s="2" t="s">
        <v>419</v>
      </c>
      <c r="G255" s="2" t="s">
        <v>501</v>
      </c>
      <c r="H255" s="2" t="s">
        <v>235</v>
      </c>
      <c r="I255" s="2">
        <v>34.0</v>
      </c>
      <c r="J255" s="2" t="s">
        <v>222</v>
      </c>
      <c r="K255" s="2">
        <v>10.0</v>
      </c>
      <c r="L255" s="2" t="s">
        <v>77</v>
      </c>
      <c r="M255" s="2">
        <v>-24.0</v>
      </c>
      <c r="N255" s="2">
        <v>44.0</v>
      </c>
      <c r="O255" s="2">
        <v>0.0</v>
      </c>
      <c r="P255" s="2">
        <v>2.025122804E9</v>
      </c>
      <c r="Q255" s="2">
        <v>60090.0</v>
      </c>
      <c r="S255" s="2" t="s">
        <v>1163</v>
      </c>
      <c r="T255" s="2">
        <v>28665.0</v>
      </c>
      <c r="U255" s="2">
        <v>4.0177295E8</v>
      </c>
      <c r="V255" s="2">
        <v>6983.0</v>
      </c>
      <c r="W255" s="2">
        <v>7.0</v>
      </c>
      <c r="X255" s="2">
        <v>7.0</v>
      </c>
      <c r="Y255" s="2">
        <v>-162.0</v>
      </c>
      <c r="Z255" s="2">
        <v>136.0</v>
      </c>
      <c r="AA255" s="2">
        <v>-3.0</v>
      </c>
      <c r="AB255" s="2">
        <v>-102.0</v>
      </c>
      <c r="AC255" s="2">
        <v>-118.0</v>
      </c>
      <c r="AD255" s="2">
        <v>40.5</v>
      </c>
      <c r="AE255" s="2">
        <v>-112.0</v>
      </c>
      <c r="AF255" s="2">
        <v>-108.0</v>
      </c>
      <c r="AG255" s="2">
        <v>0.0</v>
      </c>
      <c r="AH255" s="2" t="s">
        <v>409</v>
      </c>
      <c r="AI255" s="2" t="s">
        <v>396</v>
      </c>
      <c r="AL255" s="2" t="s">
        <v>693</v>
      </c>
      <c r="AM255" s="2" t="s">
        <v>462</v>
      </c>
      <c r="AN255" s="2" t="s">
        <v>236</v>
      </c>
      <c r="AO255" s="2" t="s">
        <v>239</v>
      </c>
      <c r="AP255" s="2" t="s">
        <v>495</v>
      </c>
      <c r="AQ255" s="2" t="s">
        <v>464</v>
      </c>
      <c r="AR255" s="2" t="s">
        <v>429</v>
      </c>
      <c r="AS255" s="2" t="s">
        <v>623</v>
      </c>
      <c r="AT255" s="2" t="s">
        <v>624</v>
      </c>
      <c r="AV255" s="2">
        <f t="array" ref="AV255">IF($A255="","",IF(INDEX($A255:$AT255,1,MAP!$B$3)=CurrentSeason,1,0))</f>
        <v>0</v>
      </c>
      <c r="AW255" s="2" t="str">
        <f t="shared" si="1"/>
        <v/>
      </c>
    </row>
    <row r="256" ht="15.0" customHeight="1">
      <c r="A256" s="2" t="s">
        <v>1164</v>
      </c>
      <c r="B256" s="2">
        <v>2025.0</v>
      </c>
      <c r="C256" s="2" t="s">
        <v>390</v>
      </c>
      <c r="D256" s="2">
        <v>17.0</v>
      </c>
      <c r="E256" s="2" t="s">
        <v>1148</v>
      </c>
      <c r="F256" s="2" t="s">
        <v>419</v>
      </c>
      <c r="G256" s="2" t="s">
        <v>420</v>
      </c>
      <c r="H256" s="2" t="s">
        <v>150</v>
      </c>
      <c r="I256" s="2">
        <v>17.0</v>
      </c>
      <c r="J256" s="2" t="s">
        <v>225</v>
      </c>
      <c r="K256" s="2">
        <v>20.0</v>
      </c>
      <c r="L256" s="2" t="s">
        <v>77</v>
      </c>
      <c r="M256" s="2">
        <v>3.0</v>
      </c>
      <c r="N256" s="2">
        <v>37.0</v>
      </c>
      <c r="O256" s="2">
        <v>0.0</v>
      </c>
      <c r="P256" s="2">
        <v>2.025122807E9</v>
      </c>
      <c r="Q256" s="2">
        <v>60093.0</v>
      </c>
      <c r="S256" s="2" t="s">
        <v>1165</v>
      </c>
      <c r="T256" s="2">
        <v>28668.0</v>
      </c>
      <c r="U256" s="2">
        <v>4.01772916E8</v>
      </c>
      <c r="V256" s="2">
        <v>6984.0</v>
      </c>
      <c r="W256" s="2">
        <v>7.0</v>
      </c>
      <c r="X256" s="2">
        <v>7.0</v>
      </c>
      <c r="Y256" s="2">
        <v>-250.0</v>
      </c>
      <c r="Z256" s="2">
        <v>205.0</v>
      </c>
      <c r="AA256" s="2">
        <v>-5.5</v>
      </c>
      <c r="AB256" s="2">
        <v>-108.0</v>
      </c>
      <c r="AC256" s="2">
        <v>-112.0</v>
      </c>
      <c r="AD256" s="2">
        <v>44.5</v>
      </c>
      <c r="AE256" s="2">
        <v>-118.0</v>
      </c>
      <c r="AF256" s="2">
        <v>-102.0</v>
      </c>
      <c r="AG256" s="2">
        <v>0.0</v>
      </c>
      <c r="AH256" s="2" t="s">
        <v>395</v>
      </c>
      <c r="AI256" s="2" t="s">
        <v>396</v>
      </c>
      <c r="AJ256" s="2">
        <v>80.0</v>
      </c>
      <c r="AK256" s="2">
        <v>3.0</v>
      </c>
      <c r="AL256" s="2" t="s">
        <v>424</v>
      </c>
      <c r="AM256" s="2" t="s">
        <v>1131</v>
      </c>
      <c r="AN256" s="2" t="s">
        <v>248</v>
      </c>
      <c r="AO256" s="2" t="s">
        <v>1132</v>
      </c>
      <c r="AP256" s="2" t="s">
        <v>427</v>
      </c>
      <c r="AQ256" s="2" t="s">
        <v>446</v>
      </c>
      <c r="AR256" s="2" t="s">
        <v>477</v>
      </c>
      <c r="AS256" s="2" t="s">
        <v>583</v>
      </c>
      <c r="AT256" s="2" t="s">
        <v>584</v>
      </c>
      <c r="AV256" s="2">
        <f t="array" ref="AV256">IF($A256="","",IF(INDEX($A256:$AT256,1,MAP!$B$3)=CurrentSeason,1,0))</f>
        <v>0</v>
      </c>
      <c r="AW256" s="2" t="str">
        <f t="shared" si="1"/>
        <v/>
      </c>
    </row>
    <row r="257" ht="15.0" customHeight="1">
      <c r="A257" s="2" t="s">
        <v>1166</v>
      </c>
      <c r="B257" s="2">
        <v>2025.0</v>
      </c>
      <c r="C257" s="2" t="s">
        <v>390</v>
      </c>
      <c r="D257" s="2">
        <v>17.0</v>
      </c>
      <c r="E257" s="2" t="s">
        <v>1148</v>
      </c>
      <c r="F257" s="2" t="s">
        <v>419</v>
      </c>
      <c r="G257" s="2" t="s">
        <v>420</v>
      </c>
      <c r="H257" s="2" t="s">
        <v>145</v>
      </c>
      <c r="I257" s="2">
        <v>42.0</v>
      </c>
      <c r="J257" s="2" t="s">
        <v>238</v>
      </c>
      <c r="K257" s="2">
        <v>10.0</v>
      </c>
      <c r="L257" s="2" t="s">
        <v>77</v>
      </c>
      <c r="M257" s="2">
        <v>-32.0</v>
      </c>
      <c r="N257" s="2">
        <v>52.0</v>
      </c>
      <c r="O257" s="2">
        <v>0.0</v>
      </c>
      <c r="P257" s="2">
        <v>2.025122808E9</v>
      </c>
      <c r="Q257" s="2">
        <v>60094.0</v>
      </c>
      <c r="S257" s="2" t="s">
        <v>1167</v>
      </c>
      <c r="T257" s="2">
        <v>28669.0</v>
      </c>
      <c r="U257" s="2">
        <v>4.01772808E8</v>
      </c>
      <c r="V257" s="2">
        <v>6985.0</v>
      </c>
      <c r="W257" s="2">
        <v>7.0</v>
      </c>
      <c r="X257" s="2">
        <v>7.0</v>
      </c>
      <c r="Y257" s="2">
        <v>-950.0</v>
      </c>
      <c r="Z257" s="2">
        <v>625.0</v>
      </c>
      <c r="AA257" s="2">
        <v>-12.5</v>
      </c>
      <c r="AB257" s="2">
        <v>-120.0</v>
      </c>
      <c r="AC257" s="2">
        <v>100.0</v>
      </c>
      <c r="AD257" s="2">
        <v>42.5</v>
      </c>
      <c r="AE257" s="2">
        <v>-112.0</v>
      </c>
      <c r="AF257" s="2">
        <v>-108.0</v>
      </c>
      <c r="AG257" s="2">
        <v>1.0</v>
      </c>
      <c r="AH257" s="2" t="s">
        <v>395</v>
      </c>
      <c r="AI257" s="2" t="s">
        <v>423</v>
      </c>
      <c r="AJ257" s="2">
        <v>29.0</v>
      </c>
      <c r="AK257" s="2">
        <v>4.0</v>
      </c>
      <c r="AL257" s="2" t="s">
        <v>463</v>
      </c>
      <c r="AM257" s="2" t="s">
        <v>649</v>
      </c>
      <c r="AN257" s="2" t="s">
        <v>230</v>
      </c>
      <c r="AO257" s="2" t="s">
        <v>650</v>
      </c>
      <c r="AP257" s="2" t="s">
        <v>465</v>
      </c>
      <c r="AQ257" s="2" t="s">
        <v>486</v>
      </c>
      <c r="AR257" s="2" t="s">
        <v>507</v>
      </c>
      <c r="AS257" s="2" t="s">
        <v>488</v>
      </c>
      <c r="AT257" s="2" t="s">
        <v>489</v>
      </c>
      <c r="AV257" s="2">
        <f t="array" ref="AV257">IF($A257="","",IF(INDEX($A257:$AT257,1,MAP!$B$3)=CurrentSeason,1,0))</f>
        <v>0</v>
      </c>
      <c r="AW257" s="2" t="str">
        <f t="shared" si="1"/>
        <v/>
      </c>
    </row>
    <row r="258" ht="15.0" customHeight="1">
      <c r="A258" s="2" t="s">
        <v>1168</v>
      </c>
      <c r="B258" s="2">
        <v>2025.0</v>
      </c>
      <c r="C258" s="2" t="s">
        <v>390</v>
      </c>
      <c r="D258" s="2">
        <v>17.0</v>
      </c>
      <c r="E258" s="2" t="s">
        <v>1148</v>
      </c>
      <c r="F258" s="2" t="s">
        <v>419</v>
      </c>
      <c r="G258" s="2" t="s">
        <v>420</v>
      </c>
      <c r="H258" s="2" t="s">
        <v>232</v>
      </c>
      <c r="I258" s="2">
        <v>34.0</v>
      </c>
      <c r="J258" s="2" t="s">
        <v>250</v>
      </c>
      <c r="K258" s="2">
        <v>26.0</v>
      </c>
      <c r="L258" s="2" t="s">
        <v>77</v>
      </c>
      <c r="M258" s="2">
        <v>-8.0</v>
      </c>
      <c r="N258" s="2">
        <v>60.0</v>
      </c>
      <c r="O258" s="2">
        <v>0.0</v>
      </c>
      <c r="P258" s="2">
        <v>2.025122809E9</v>
      </c>
      <c r="Q258" s="2">
        <v>60095.0</v>
      </c>
      <c r="S258" s="2" t="s">
        <v>1169</v>
      </c>
      <c r="T258" s="2">
        <v>28670.0</v>
      </c>
      <c r="U258" s="2">
        <v>4.01772809E8</v>
      </c>
      <c r="V258" s="2">
        <v>6986.0</v>
      </c>
      <c r="W258" s="2">
        <v>7.0</v>
      </c>
      <c r="X258" s="2">
        <v>7.0</v>
      </c>
      <c r="Y258" s="2">
        <v>-120.0</v>
      </c>
      <c r="Z258" s="2">
        <v>100.0</v>
      </c>
      <c r="AA258" s="2">
        <v>-1.5</v>
      </c>
      <c r="AB258" s="2">
        <v>-110.0</v>
      </c>
      <c r="AC258" s="2">
        <v>-110.0</v>
      </c>
      <c r="AD258" s="2">
        <v>39.5</v>
      </c>
      <c r="AE258" s="2">
        <v>-118.0</v>
      </c>
      <c r="AF258" s="2">
        <v>-102.0</v>
      </c>
      <c r="AG258" s="2">
        <v>0.0</v>
      </c>
      <c r="AH258" s="2" t="s">
        <v>395</v>
      </c>
      <c r="AI258" s="2" t="s">
        <v>396</v>
      </c>
      <c r="AJ258" s="2">
        <v>71.0</v>
      </c>
      <c r="AK258" s="2">
        <v>14.0</v>
      </c>
      <c r="AL258" s="2" t="s">
        <v>869</v>
      </c>
      <c r="AM258" s="2" t="s">
        <v>503</v>
      </c>
      <c r="AN258" s="2" t="s">
        <v>233</v>
      </c>
      <c r="AO258" s="2" t="s">
        <v>251</v>
      </c>
      <c r="AP258" s="2" t="s">
        <v>476</v>
      </c>
      <c r="AQ258" s="2" t="s">
        <v>505</v>
      </c>
      <c r="AR258" s="2" t="s">
        <v>439</v>
      </c>
      <c r="AS258" s="2" t="s">
        <v>597</v>
      </c>
      <c r="AT258" s="2" t="s">
        <v>598</v>
      </c>
      <c r="AV258" s="2">
        <f t="array" ref="AV258">IF($A258="","",IF(INDEX($A258:$AT258,1,MAP!$B$3)=CurrentSeason,1,0))</f>
        <v>0</v>
      </c>
      <c r="AW258" s="2" t="str">
        <f t="shared" si="1"/>
        <v/>
      </c>
    </row>
    <row r="259" ht="15.0" customHeight="1">
      <c r="A259" s="2" t="s">
        <v>1170</v>
      </c>
      <c r="B259" s="2">
        <v>2025.0</v>
      </c>
      <c r="C259" s="2" t="s">
        <v>390</v>
      </c>
      <c r="D259" s="2">
        <v>17.0</v>
      </c>
      <c r="E259" s="2" t="s">
        <v>1148</v>
      </c>
      <c r="F259" s="2" t="s">
        <v>419</v>
      </c>
      <c r="G259" s="2" t="s">
        <v>520</v>
      </c>
      <c r="H259" s="2" t="s">
        <v>147</v>
      </c>
      <c r="I259" s="2">
        <v>13.0</v>
      </c>
      <c r="J259" s="2" t="s">
        <v>136</v>
      </c>
      <c r="K259" s="2">
        <v>12.0</v>
      </c>
      <c r="L259" s="2" t="s">
        <v>77</v>
      </c>
      <c r="M259" s="2">
        <v>-1.0</v>
      </c>
      <c r="N259" s="2">
        <v>25.0</v>
      </c>
      <c r="O259" s="2">
        <v>0.0</v>
      </c>
      <c r="P259" s="2">
        <v>2.02512281E9</v>
      </c>
      <c r="Q259" s="2">
        <v>60096.0</v>
      </c>
      <c r="S259" s="2" t="s">
        <v>1171</v>
      </c>
      <c r="T259" s="2">
        <v>28671.0</v>
      </c>
      <c r="U259" s="2">
        <v>4.01772917E8</v>
      </c>
      <c r="V259" s="2">
        <v>6987.0</v>
      </c>
      <c r="W259" s="2">
        <v>8.0</v>
      </c>
      <c r="X259" s="2">
        <v>7.0</v>
      </c>
      <c r="Y259" s="2">
        <v>142.0</v>
      </c>
      <c r="Z259" s="2">
        <v>-170.0</v>
      </c>
      <c r="AA259" s="2">
        <v>3.0</v>
      </c>
      <c r="AB259" s="2">
        <v>-108.0</v>
      </c>
      <c r="AC259" s="2">
        <v>-112.0</v>
      </c>
      <c r="AD259" s="2">
        <v>45.5</v>
      </c>
      <c r="AE259" s="2">
        <v>-115.0</v>
      </c>
      <c r="AF259" s="2">
        <v>-105.0</v>
      </c>
      <c r="AG259" s="2">
        <v>0.0</v>
      </c>
      <c r="AH259" s="2" t="s">
        <v>395</v>
      </c>
      <c r="AI259" s="2" t="s">
        <v>539</v>
      </c>
      <c r="AJ259" s="2">
        <v>38.0</v>
      </c>
      <c r="AK259" s="2">
        <v>6.0</v>
      </c>
      <c r="AL259" s="2" t="s">
        <v>398</v>
      </c>
      <c r="AM259" s="2" t="s">
        <v>541</v>
      </c>
      <c r="AN259" s="2" t="s">
        <v>241</v>
      </c>
      <c r="AO259" s="2" t="s">
        <v>187</v>
      </c>
      <c r="AP259" s="2" t="s">
        <v>400</v>
      </c>
      <c r="AQ259" s="2" t="s">
        <v>543</v>
      </c>
      <c r="AR259" s="2" t="s">
        <v>466</v>
      </c>
      <c r="AS259" s="2" t="s">
        <v>545</v>
      </c>
      <c r="AT259" s="2" t="s">
        <v>546</v>
      </c>
      <c r="AV259" s="2">
        <f t="array" ref="AV259">IF($A259="","",IF(INDEX($A259:$AT259,1,MAP!$B$3)=CurrentSeason,1,0))</f>
        <v>0</v>
      </c>
      <c r="AW259" s="2" t="str">
        <f t="shared" si="1"/>
        <v/>
      </c>
    </row>
    <row r="260" ht="15.0" customHeight="1">
      <c r="A260" s="2" t="s">
        <v>1172</v>
      </c>
      <c r="B260" s="2">
        <v>2025.0</v>
      </c>
      <c r="C260" s="2" t="s">
        <v>390</v>
      </c>
      <c r="D260" s="2">
        <v>17.0</v>
      </c>
      <c r="E260" s="2" t="s">
        <v>1148</v>
      </c>
      <c r="F260" s="2" t="s">
        <v>419</v>
      </c>
      <c r="G260" s="2" t="s">
        <v>393</v>
      </c>
      <c r="H260" s="2" t="s">
        <v>137</v>
      </c>
      <c r="I260" s="2">
        <v>38.0</v>
      </c>
      <c r="J260" s="2" t="s">
        <v>246</v>
      </c>
      <c r="K260" s="2">
        <v>42.0</v>
      </c>
      <c r="L260" s="2" t="s">
        <v>77</v>
      </c>
      <c r="M260" s="2">
        <v>4.0</v>
      </c>
      <c r="N260" s="2">
        <v>80.0</v>
      </c>
      <c r="O260" s="2">
        <v>0.0</v>
      </c>
      <c r="P260" s="2">
        <v>2.025122811E9</v>
      </c>
      <c r="Q260" s="2">
        <v>60097.0</v>
      </c>
      <c r="S260" s="2" t="s">
        <v>1173</v>
      </c>
      <c r="T260" s="2">
        <v>28672.0</v>
      </c>
      <c r="U260" s="2">
        <v>4.01772935E8</v>
      </c>
      <c r="V260" s="2">
        <v>6988.0</v>
      </c>
      <c r="W260" s="2">
        <v>8.0</v>
      </c>
      <c r="X260" s="2">
        <v>6.0</v>
      </c>
      <c r="Y260" s="2">
        <v>170.0</v>
      </c>
      <c r="Z260" s="2">
        <v>-205.0</v>
      </c>
      <c r="AA260" s="2">
        <v>3.5</v>
      </c>
      <c r="AB260" s="2">
        <v>-105.0</v>
      </c>
      <c r="AC260" s="2">
        <v>-115.0</v>
      </c>
      <c r="AD260" s="2">
        <v>51.5</v>
      </c>
      <c r="AE260" s="2">
        <v>-112.0</v>
      </c>
      <c r="AF260" s="2">
        <v>-108.0</v>
      </c>
      <c r="AG260" s="2">
        <v>0.0</v>
      </c>
      <c r="AH260" s="2" t="s">
        <v>395</v>
      </c>
      <c r="AI260" s="2" t="s">
        <v>396</v>
      </c>
      <c r="AJ260" s="2">
        <v>53.0</v>
      </c>
      <c r="AK260" s="2">
        <v>5.0</v>
      </c>
      <c r="AL260" s="2" t="s">
        <v>553</v>
      </c>
      <c r="AM260" s="2" t="s">
        <v>512</v>
      </c>
      <c r="AN260" s="2" t="s">
        <v>192</v>
      </c>
      <c r="AO260" s="2" t="s">
        <v>247</v>
      </c>
      <c r="AP260" s="2" t="s">
        <v>556</v>
      </c>
      <c r="AQ260" s="2" t="s">
        <v>514</v>
      </c>
      <c r="AR260" s="2" t="s">
        <v>457</v>
      </c>
      <c r="AS260" s="2" t="s">
        <v>667</v>
      </c>
      <c r="AT260" s="2" t="s">
        <v>668</v>
      </c>
      <c r="AV260" s="2">
        <f t="array" ref="AV260">IF($A260="","",IF(INDEX($A260:$AT260,1,MAP!$B$3)=CurrentSeason,1,0))</f>
        <v>0</v>
      </c>
      <c r="AW260" s="2" t="str">
        <f t="shared" si="1"/>
        <v/>
      </c>
    </row>
    <row r="261" ht="15.0" customHeight="1">
      <c r="A261" s="2" t="s">
        <v>1174</v>
      </c>
      <c r="B261" s="2">
        <v>2025.0</v>
      </c>
      <c r="C261" s="2" t="s">
        <v>390</v>
      </c>
      <c r="D261" s="2">
        <v>17.0</v>
      </c>
      <c r="E261" s="2" t="s">
        <v>1175</v>
      </c>
      <c r="F261" s="2" t="s">
        <v>549</v>
      </c>
      <c r="G261" s="2" t="s">
        <v>550</v>
      </c>
      <c r="H261" s="2" t="s">
        <v>142</v>
      </c>
      <c r="I261" s="2">
        <v>24.0</v>
      </c>
      <c r="J261" s="2" t="s">
        <v>132</v>
      </c>
      <c r="K261" s="2">
        <v>27.0</v>
      </c>
      <c r="L261" s="2" t="s">
        <v>77</v>
      </c>
      <c r="M261" s="2">
        <v>3.0</v>
      </c>
      <c r="N261" s="2">
        <v>51.0</v>
      </c>
      <c r="O261" s="2">
        <v>0.0</v>
      </c>
      <c r="P261" s="2">
        <v>2.0251229E9</v>
      </c>
      <c r="Q261" s="2">
        <v>60098.0</v>
      </c>
      <c r="S261" s="2" t="s">
        <v>1176</v>
      </c>
      <c r="T261" s="2">
        <v>28673.0</v>
      </c>
      <c r="U261" s="2">
        <v>4.01772825E8</v>
      </c>
      <c r="V261" s="2">
        <v>6989.0</v>
      </c>
      <c r="W261" s="2">
        <v>11.0</v>
      </c>
      <c r="X261" s="2">
        <v>8.0</v>
      </c>
      <c r="Y261" s="2">
        <v>-380.0</v>
      </c>
      <c r="Z261" s="2">
        <v>300.0</v>
      </c>
      <c r="AA261" s="2">
        <v>-7.5</v>
      </c>
      <c r="AB261" s="2">
        <v>-102.0</v>
      </c>
      <c r="AC261" s="2">
        <v>-118.0</v>
      </c>
      <c r="AD261" s="2">
        <v>48.5</v>
      </c>
      <c r="AE261" s="2">
        <v>-105.0</v>
      </c>
      <c r="AF261" s="2">
        <v>-115.0</v>
      </c>
      <c r="AG261" s="2">
        <v>0.0</v>
      </c>
      <c r="AH261" s="2" t="s">
        <v>422</v>
      </c>
      <c r="AI261" s="2" t="s">
        <v>423</v>
      </c>
      <c r="AL261" s="2" t="s">
        <v>533</v>
      </c>
      <c r="AM261" s="2" t="s">
        <v>820</v>
      </c>
      <c r="AN261" s="2" t="s">
        <v>218</v>
      </c>
      <c r="AO261" s="2" t="s">
        <v>821</v>
      </c>
      <c r="AP261" s="2" t="s">
        <v>535</v>
      </c>
      <c r="AQ261" s="2" t="s">
        <v>428</v>
      </c>
      <c r="AR261" s="2" t="s">
        <v>526</v>
      </c>
      <c r="AS261" s="2" t="s">
        <v>430</v>
      </c>
      <c r="AT261" s="2" t="s">
        <v>431</v>
      </c>
      <c r="AV261" s="2">
        <f t="array" ref="AV261">IF($A261="","",IF(INDEX($A261:$AT261,1,MAP!$B$3)=CurrentSeason,1,0))</f>
        <v>0</v>
      </c>
      <c r="AW261" s="2" t="str">
        <f t="shared" si="1"/>
        <v/>
      </c>
    </row>
    <row r="262" ht="15.0" customHeight="1">
      <c r="A262" s="2" t="s">
        <v>1177</v>
      </c>
      <c r="B262" s="2">
        <v>2025.0</v>
      </c>
      <c r="C262" s="2" t="s">
        <v>390</v>
      </c>
      <c r="D262" s="2">
        <v>18.0</v>
      </c>
      <c r="E262" s="2" t="s">
        <v>1178</v>
      </c>
      <c r="F262" s="2" t="s">
        <v>419</v>
      </c>
      <c r="G262" s="2" t="s">
        <v>420</v>
      </c>
      <c r="H262" s="2" t="s">
        <v>232</v>
      </c>
      <c r="I262" s="2">
        <v>17.0</v>
      </c>
      <c r="J262" s="2" t="s">
        <v>132</v>
      </c>
      <c r="K262" s="2">
        <v>19.0</v>
      </c>
      <c r="L262" s="2" t="s">
        <v>77</v>
      </c>
      <c r="M262" s="2">
        <v>2.0</v>
      </c>
      <c r="N262" s="2">
        <v>36.0</v>
      </c>
      <c r="O262" s="2">
        <v>0.0</v>
      </c>
      <c r="P262" s="2">
        <v>2.0260104E9</v>
      </c>
      <c r="Q262" s="2">
        <v>60099.0</v>
      </c>
      <c r="S262" s="2" t="s">
        <v>1179</v>
      </c>
      <c r="T262" s="2">
        <v>28689.0</v>
      </c>
      <c r="U262" s="2">
        <v>4.01772966E8</v>
      </c>
      <c r="V262" s="2">
        <v>6990.0</v>
      </c>
      <c r="W262" s="2">
        <v>7.0</v>
      </c>
      <c r="X262" s="2">
        <v>6.0</v>
      </c>
      <c r="Y262" s="2">
        <v>170.0</v>
      </c>
      <c r="Z262" s="2">
        <v>-205.0</v>
      </c>
      <c r="AA262" s="2">
        <v>4.5</v>
      </c>
      <c r="AB262" s="2">
        <v>-115.0</v>
      </c>
      <c r="AC262" s="2">
        <v>-105.0</v>
      </c>
      <c r="AD262" s="2">
        <v>43.5</v>
      </c>
      <c r="AE262" s="2">
        <v>-112.0</v>
      </c>
      <c r="AF262" s="2">
        <v>-108.0</v>
      </c>
      <c r="AG262" s="2">
        <v>1.0</v>
      </c>
      <c r="AH262" s="2" t="s">
        <v>422</v>
      </c>
      <c r="AI262" s="2" t="s">
        <v>423</v>
      </c>
      <c r="AL262" s="2" t="s">
        <v>869</v>
      </c>
      <c r="AM262" s="2" t="s">
        <v>820</v>
      </c>
      <c r="AN262" s="2" t="s">
        <v>233</v>
      </c>
      <c r="AO262" s="2" t="s">
        <v>821</v>
      </c>
      <c r="AP262" s="2" t="s">
        <v>476</v>
      </c>
      <c r="AQ262" s="2" t="s">
        <v>428</v>
      </c>
      <c r="AR262" s="2" t="s">
        <v>466</v>
      </c>
      <c r="AS262" s="2" t="s">
        <v>430</v>
      </c>
      <c r="AT262" s="2" t="s">
        <v>431</v>
      </c>
      <c r="AV262" s="2">
        <f t="array" ref="AV262">IF($A262="","",IF(INDEX($A262:$AT262,1,MAP!$B$3)=CurrentSeason,1,0))</f>
        <v>0</v>
      </c>
      <c r="AW262" s="2" t="str">
        <f t="shared" si="1"/>
        <v/>
      </c>
    </row>
    <row r="263" ht="15.0" customHeight="1">
      <c r="A263" s="2" t="s">
        <v>1180</v>
      </c>
      <c r="B263" s="2">
        <v>2025.0</v>
      </c>
      <c r="C263" s="2" t="s">
        <v>390</v>
      </c>
      <c r="D263" s="2">
        <v>18.0</v>
      </c>
      <c r="E263" s="2" t="s">
        <v>1178</v>
      </c>
      <c r="F263" s="2" t="s">
        <v>419</v>
      </c>
      <c r="G263" s="2" t="s">
        <v>520</v>
      </c>
      <c r="H263" s="2" t="s">
        <v>238</v>
      </c>
      <c r="I263" s="2">
        <v>8.0</v>
      </c>
      <c r="J263" s="2" t="s">
        <v>136</v>
      </c>
      <c r="K263" s="2">
        <v>35.0</v>
      </c>
      <c r="L263" s="2" t="s">
        <v>77</v>
      </c>
      <c r="M263" s="2">
        <v>27.0</v>
      </c>
      <c r="N263" s="2">
        <v>43.0</v>
      </c>
      <c r="O263" s="2">
        <v>0.0</v>
      </c>
      <c r="P263" s="2">
        <v>2.026010401E9</v>
      </c>
      <c r="Q263" s="2">
        <v>60100.0</v>
      </c>
      <c r="S263" s="2" t="s">
        <v>1181</v>
      </c>
      <c r="T263" s="2">
        <v>28674.0</v>
      </c>
      <c r="U263" s="2">
        <v>4.01772967E8</v>
      </c>
      <c r="V263" s="2">
        <v>6991.0</v>
      </c>
      <c r="W263" s="2">
        <v>7.0</v>
      </c>
      <c r="X263" s="2">
        <v>7.0</v>
      </c>
      <c r="Y263" s="2">
        <v>550.0</v>
      </c>
      <c r="Z263" s="2">
        <v>-800.0</v>
      </c>
      <c r="AA263" s="2">
        <v>12.5</v>
      </c>
      <c r="AB263" s="2">
        <v>-112.0</v>
      </c>
      <c r="AC263" s="2">
        <v>-108.0</v>
      </c>
      <c r="AD263" s="2">
        <v>39.5</v>
      </c>
      <c r="AE263" s="2">
        <v>-115.0</v>
      </c>
      <c r="AF263" s="2">
        <v>-105.0</v>
      </c>
      <c r="AG263" s="2">
        <v>1.0</v>
      </c>
      <c r="AH263" s="2" t="s">
        <v>395</v>
      </c>
      <c r="AI263" s="2" t="s">
        <v>539</v>
      </c>
      <c r="AJ263" s="2">
        <v>27.0</v>
      </c>
      <c r="AK263" s="2">
        <v>13.0</v>
      </c>
      <c r="AL263" s="2" t="s">
        <v>1065</v>
      </c>
      <c r="AM263" s="2" t="s">
        <v>1182</v>
      </c>
      <c r="AN263" s="2" t="s">
        <v>1066</v>
      </c>
      <c r="AO263" s="2" t="s">
        <v>1183</v>
      </c>
      <c r="AP263" s="2" t="s">
        <v>486</v>
      </c>
      <c r="AQ263" s="2" t="s">
        <v>543</v>
      </c>
      <c r="AR263" s="2" t="s">
        <v>557</v>
      </c>
      <c r="AS263" s="2" t="s">
        <v>545</v>
      </c>
      <c r="AT263" s="2" t="s">
        <v>546</v>
      </c>
      <c r="AV263" s="2">
        <f t="array" ref="AV263">IF($A263="","",IF(INDEX($A263:$AT263,1,MAP!$B$3)=CurrentSeason,1,0))</f>
        <v>0</v>
      </c>
      <c r="AW263" s="2" t="str">
        <f t="shared" si="1"/>
        <v/>
      </c>
    </row>
    <row r="264" ht="15.0" customHeight="1">
      <c r="A264" s="2" t="s">
        <v>1184</v>
      </c>
      <c r="B264" s="2">
        <v>2025.0</v>
      </c>
      <c r="C264" s="2" t="s">
        <v>390</v>
      </c>
      <c r="D264" s="2">
        <v>18.0</v>
      </c>
      <c r="E264" s="2" t="s">
        <v>1178</v>
      </c>
      <c r="F264" s="2" t="s">
        <v>419</v>
      </c>
      <c r="G264" s="2" t="s">
        <v>520</v>
      </c>
      <c r="H264" s="2" t="s">
        <v>202</v>
      </c>
      <c r="I264" s="2">
        <v>19.0</v>
      </c>
      <c r="J264" s="2" t="s">
        <v>137</v>
      </c>
      <c r="K264" s="2">
        <v>16.0</v>
      </c>
      <c r="L264" s="2" t="s">
        <v>77</v>
      </c>
      <c r="M264" s="2">
        <v>-3.0</v>
      </c>
      <c r="N264" s="2">
        <v>35.0</v>
      </c>
      <c r="O264" s="2">
        <v>0.0</v>
      </c>
      <c r="P264" s="2">
        <v>2.026010402E9</v>
      </c>
      <c r="Q264" s="2">
        <v>60101.0</v>
      </c>
      <c r="S264" s="2" t="s">
        <v>1185</v>
      </c>
      <c r="T264" s="2">
        <v>28675.0</v>
      </c>
      <c r="U264" s="2">
        <v>4.01772965E8</v>
      </c>
      <c r="V264" s="2">
        <v>6992.0</v>
      </c>
      <c r="W264" s="2">
        <v>10.0</v>
      </c>
      <c r="X264" s="2">
        <v>7.0</v>
      </c>
      <c r="Y264" s="2">
        <v>150.0</v>
      </c>
      <c r="Z264" s="2">
        <v>-180.0</v>
      </c>
      <c r="AA264" s="2">
        <v>3.5</v>
      </c>
      <c r="AB264" s="2">
        <v>-110.0</v>
      </c>
      <c r="AC264" s="2">
        <v>-110.0</v>
      </c>
      <c r="AD264" s="2">
        <v>51.5</v>
      </c>
      <c r="AE264" s="2">
        <v>-115.0</v>
      </c>
      <c r="AF264" s="2">
        <v>-105.0</v>
      </c>
      <c r="AG264" s="2">
        <v>1.0</v>
      </c>
      <c r="AH264" s="2" t="s">
        <v>395</v>
      </c>
      <c r="AI264" s="2" t="s">
        <v>396</v>
      </c>
      <c r="AJ264" s="2">
        <v>33.0</v>
      </c>
      <c r="AK264" s="2">
        <v>4.0</v>
      </c>
      <c r="AL264" s="2" t="s">
        <v>522</v>
      </c>
      <c r="AM264" s="2" t="s">
        <v>553</v>
      </c>
      <c r="AN264" s="2" t="s">
        <v>203</v>
      </c>
      <c r="AO264" s="2" t="s">
        <v>192</v>
      </c>
      <c r="AP264" s="2" t="s">
        <v>524</v>
      </c>
      <c r="AQ264" s="2" t="s">
        <v>556</v>
      </c>
      <c r="AR264" s="2" t="s">
        <v>563</v>
      </c>
      <c r="AS264" s="2" t="s">
        <v>558</v>
      </c>
      <c r="AT264" s="2" t="s">
        <v>559</v>
      </c>
      <c r="AV264" s="2">
        <f t="array" ref="AV264">IF($A264="","",IF(INDEX($A264:$AT264,1,MAP!$B$3)=CurrentSeason,1,0))</f>
        <v>0</v>
      </c>
      <c r="AW264" s="2" t="str">
        <f t="shared" si="1"/>
        <v/>
      </c>
    </row>
    <row r="265" ht="15.0" customHeight="1">
      <c r="A265" s="2" t="s">
        <v>1186</v>
      </c>
      <c r="B265" s="2">
        <v>2025.0</v>
      </c>
      <c r="C265" s="2" t="s">
        <v>390</v>
      </c>
      <c r="D265" s="2">
        <v>18.0</v>
      </c>
      <c r="E265" s="2" t="s">
        <v>1178</v>
      </c>
      <c r="F265" s="2" t="s">
        <v>419</v>
      </c>
      <c r="G265" s="2" t="s">
        <v>420</v>
      </c>
      <c r="H265" s="2" t="s">
        <v>196</v>
      </c>
      <c r="I265" s="2">
        <v>20.0</v>
      </c>
      <c r="J265" s="2" t="s">
        <v>138</v>
      </c>
      <c r="K265" s="2">
        <v>18.0</v>
      </c>
      <c r="L265" s="2" t="s">
        <v>77</v>
      </c>
      <c r="M265" s="2">
        <v>-2.0</v>
      </c>
      <c r="N265" s="2">
        <v>38.0</v>
      </c>
      <c r="O265" s="2">
        <v>0.0</v>
      </c>
      <c r="P265" s="2">
        <v>2.026010403E9</v>
      </c>
      <c r="Q265" s="2">
        <v>60102.0</v>
      </c>
      <c r="S265" s="2" t="s">
        <v>1187</v>
      </c>
      <c r="T265" s="2">
        <v>28676.0</v>
      </c>
      <c r="U265" s="2">
        <v>4.01772964E8</v>
      </c>
      <c r="V265" s="2">
        <v>6993.0</v>
      </c>
      <c r="W265" s="2">
        <v>7.0</v>
      </c>
      <c r="X265" s="2">
        <v>7.0</v>
      </c>
      <c r="Y265" s="2">
        <v>350.0</v>
      </c>
      <c r="Z265" s="2">
        <v>-455.0</v>
      </c>
      <c r="AA265" s="2">
        <v>9.5</v>
      </c>
      <c r="AB265" s="2">
        <v>-112.0</v>
      </c>
      <c r="AC265" s="2">
        <v>-108.0</v>
      </c>
      <c r="AD265" s="2">
        <v>47.5</v>
      </c>
      <c r="AE265" s="2">
        <v>-118.0</v>
      </c>
      <c r="AF265" s="2">
        <v>-102.0</v>
      </c>
      <c r="AG265" s="2">
        <v>1.0</v>
      </c>
      <c r="AH265" s="2" t="s">
        <v>395</v>
      </c>
      <c r="AI265" s="2" t="s">
        <v>423</v>
      </c>
      <c r="AJ265" s="2">
        <v>37.0</v>
      </c>
      <c r="AK265" s="2">
        <v>0.0</v>
      </c>
      <c r="AL265" s="2" t="s">
        <v>971</v>
      </c>
      <c r="AM265" s="2" t="s">
        <v>434</v>
      </c>
      <c r="AN265" s="2" t="s">
        <v>972</v>
      </c>
      <c r="AO265" s="2" t="s">
        <v>194</v>
      </c>
      <c r="AP265" s="2" t="s">
        <v>438</v>
      </c>
      <c r="AQ265" s="2" t="s">
        <v>437</v>
      </c>
      <c r="AR265" s="2" t="s">
        <v>507</v>
      </c>
      <c r="AS265" s="2" t="s">
        <v>571</v>
      </c>
      <c r="AT265" s="2" t="s">
        <v>572</v>
      </c>
      <c r="AV265" s="2">
        <f t="array" ref="AV265">IF($A265="","",IF(INDEX($A265:$AT265,1,MAP!$B$3)=CurrentSeason,1,0))</f>
        <v>0</v>
      </c>
      <c r="AW265" s="2" t="str">
        <f t="shared" si="1"/>
        <v/>
      </c>
    </row>
    <row r="266" ht="15.0" customHeight="1">
      <c r="A266" s="2" t="s">
        <v>1188</v>
      </c>
      <c r="B266" s="2">
        <v>2025.0</v>
      </c>
      <c r="C266" s="2" t="s">
        <v>390</v>
      </c>
      <c r="D266" s="2">
        <v>18.0</v>
      </c>
      <c r="E266" s="2" t="s">
        <v>1178</v>
      </c>
      <c r="F266" s="2" t="s">
        <v>419</v>
      </c>
      <c r="G266" s="2" t="s">
        <v>520</v>
      </c>
      <c r="H266" s="2" t="s">
        <v>220</v>
      </c>
      <c r="I266" s="2">
        <v>3.0</v>
      </c>
      <c r="J266" s="2" t="s">
        <v>139</v>
      </c>
      <c r="K266" s="2">
        <v>19.0</v>
      </c>
      <c r="L266" s="2" t="s">
        <v>77</v>
      </c>
      <c r="M266" s="2">
        <v>16.0</v>
      </c>
      <c r="N266" s="2">
        <v>22.0</v>
      </c>
      <c r="O266" s="2">
        <v>0.0</v>
      </c>
      <c r="P266" s="2">
        <v>2.026010404E9</v>
      </c>
      <c r="Q266" s="2">
        <v>60103.0</v>
      </c>
      <c r="S266" s="2" t="s">
        <v>1189</v>
      </c>
      <c r="T266" s="2">
        <v>28677.0</v>
      </c>
      <c r="U266" s="2">
        <v>4.01772956E8</v>
      </c>
      <c r="V266" s="2">
        <v>6994.0</v>
      </c>
      <c r="W266" s="2">
        <v>8.0</v>
      </c>
      <c r="X266" s="2">
        <v>10.0</v>
      </c>
      <c r="Y266" s="2">
        <v>900.0</v>
      </c>
      <c r="Z266" s="2">
        <v>-1600.0</v>
      </c>
      <c r="AA266" s="2">
        <v>14.5</v>
      </c>
      <c r="AB266" s="2">
        <v>-108.0</v>
      </c>
      <c r="AC266" s="2">
        <v>-112.0</v>
      </c>
      <c r="AD266" s="2">
        <v>37.5</v>
      </c>
      <c r="AE266" s="2">
        <v>-105.0</v>
      </c>
      <c r="AF266" s="2">
        <v>-115.0</v>
      </c>
      <c r="AG266" s="2">
        <v>1.0</v>
      </c>
      <c r="AH266" s="2" t="s">
        <v>395</v>
      </c>
      <c r="AI266" s="2" t="s">
        <v>396</v>
      </c>
      <c r="AJ266" s="2">
        <v>66.0</v>
      </c>
      <c r="AK266" s="2">
        <v>8.0</v>
      </c>
      <c r="AL266" s="2" t="s">
        <v>1190</v>
      </c>
      <c r="AM266" s="2" t="s">
        <v>504</v>
      </c>
      <c r="AN266" s="2" t="s">
        <v>1191</v>
      </c>
      <c r="AO266" s="2" t="s">
        <v>201</v>
      </c>
      <c r="AP266" s="2" t="s">
        <v>413</v>
      </c>
      <c r="AQ266" s="2" t="s">
        <v>506</v>
      </c>
      <c r="AR266" s="2" t="s">
        <v>526</v>
      </c>
      <c r="AS266" s="2" t="s">
        <v>508</v>
      </c>
      <c r="AT266" s="2" t="s">
        <v>509</v>
      </c>
      <c r="AV266" s="2">
        <f t="array" ref="AV266">IF($A266="","",IF(INDEX($A266:$AT266,1,MAP!$B$3)=CurrentSeason,1,0))</f>
        <v>0</v>
      </c>
      <c r="AW266" s="2" t="str">
        <f t="shared" si="1"/>
        <v/>
      </c>
    </row>
    <row r="267" ht="15.0" customHeight="1">
      <c r="A267" s="2" t="s">
        <v>1192</v>
      </c>
      <c r="B267" s="2">
        <v>2025.0</v>
      </c>
      <c r="C267" s="2" t="s">
        <v>390</v>
      </c>
      <c r="D267" s="2">
        <v>18.0</v>
      </c>
      <c r="E267" s="2" t="s">
        <v>1178</v>
      </c>
      <c r="F267" s="2" t="s">
        <v>419</v>
      </c>
      <c r="G267" s="2" t="s">
        <v>420</v>
      </c>
      <c r="H267" s="2" t="s">
        <v>210</v>
      </c>
      <c r="I267" s="2">
        <v>30.0</v>
      </c>
      <c r="J267" s="2" t="s">
        <v>140</v>
      </c>
      <c r="K267" s="2">
        <v>38.0</v>
      </c>
      <c r="L267" s="2" t="s">
        <v>77</v>
      </c>
      <c r="M267" s="2">
        <v>8.0</v>
      </c>
      <c r="N267" s="2">
        <v>68.0</v>
      </c>
      <c r="O267" s="2">
        <v>0.0</v>
      </c>
      <c r="P267" s="2">
        <v>2.026010405E9</v>
      </c>
      <c r="Q267" s="2">
        <v>60104.0</v>
      </c>
      <c r="S267" s="2" t="s">
        <v>1193</v>
      </c>
      <c r="T267" s="2">
        <v>28678.0</v>
      </c>
      <c r="U267" s="2">
        <v>4.01772962E8</v>
      </c>
      <c r="V267" s="2">
        <v>6995.0</v>
      </c>
      <c r="W267" s="2">
        <v>7.0</v>
      </c>
      <c r="X267" s="2">
        <v>8.0</v>
      </c>
      <c r="Y267" s="2">
        <v>400.0</v>
      </c>
      <c r="Z267" s="2">
        <v>-535.0</v>
      </c>
      <c r="AA267" s="2">
        <v>9.5</v>
      </c>
      <c r="AB267" s="2">
        <v>-110.0</v>
      </c>
      <c r="AC267" s="2">
        <v>-110.0</v>
      </c>
      <c r="AD267" s="2">
        <v>37.5</v>
      </c>
      <c r="AE267" s="2">
        <v>-108.0</v>
      </c>
      <c r="AF267" s="2">
        <v>-112.0</v>
      </c>
      <c r="AG267" s="2">
        <v>1.0</v>
      </c>
      <c r="AH267" s="2" t="s">
        <v>422</v>
      </c>
      <c r="AI267" s="2" t="s">
        <v>617</v>
      </c>
      <c r="AL267" s="2" t="s">
        <v>1194</v>
      </c>
      <c r="AM267" s="2" t="s">
        <v>532</v>
      </c>
      <c r="AN267" s="2" t="s">
        <v>1195</v>
      </c>
      <c r="AO267" s="2" t="s">
        <v>208</v>
      </c>
      <c r="AP267" s="2" t="s">
        <v>447</v>
      </c>
      <c r="AQ267" s="2" t="s">
        <v>534</v>
      </c>
      <c r="AR267" s="2" t="s">
        <v>429</v>
      </c>
      <c r="AS267" s="2" t="s">
        <v>618</v>
      </c>
      <c r="AT267" s="2" t="s">
        <v>619</v>
      </c>
      <c r="AV267" s="2">
        <f t="array" ref="AV267">IF($A267="","",IF(INDEX($A267:$AT267,1,MAP!$B$3)=CurrentSeason,1,0))</f>
        <v>0</v>
      </c>
      <c r="AW267" s="2" t="str">
        <f t="shared" si="1"/>
        <v/>
      </c>
    </row>
    <row r="268" ht="15.0" customHeight="1">
      <c r="A268" s="2" t="s">
        <v>1196</v>
      </c>
      <c r="B268" s="2">
        <v>2025.0</v>
      </c>
      <c r="C268" s="2" t="s">
        <v>390</v>
      </c>
      <c r="D268" s="2">
        <v>18.0</v>
      </c>
      <c r="E268" s="2" t="s">
        <v>1178</v>
      </c>
      <c r="F268" s="2" t="s">
        <v>419</v>
      </c>
      <c r="G268" s="2" t="s">
        <v>420</v>
      </c>
      <c r="H268" s="2" t="s">
        <v>250</v>
      </c>
      <c r="I268" s="2">
        <v>7.0</v>
      </c>
      <c r="J268" s="2" t="s">
        <v>141</v>
      </c>
      <c r="K268" s="2">
        <v>41.0</v>
      </c>
      <c r="L268" s="2" t="s">
        <v>77</v>
      </c>
      <c r="M268" s="2">
        <v>34.0</v>
      </c>
      <c r="N268" s="2">
        <v>48.0</v>
      </c>
      <c r="O268" s="2">
        <v>0.0</v>
      </c>
      <c r="P268" s="2">
        <v>2.026010406E9</v>
      </c>
      <c r="Q268" s="2">
        <v>60105.0</v>
      </c>
      <c r="S268" s="2" t="s">
        <v>1197</v>
      </c>
      <c r="T268" s="2">
        <v>28679.0</v>
      </c>
      <c r="U268" s="2">
        <v>4.0177297E8</v>
      </c>
      <c r="V268" s="2">
        <v>6996.0</v>
      </c>
      <c r="W268" s="2">
        <v>7.0</v>
      </c>
      <c r="X268" s="2">
        <v>7.0</v>
      </c>
      <c r="Y268" s="2">
        <v>525.0</v>
      </c>
      <c r="Z268" s="2">
        <v>-750.0</v>
      </c>
      <c r="AA268" s="2">
        <v>12.5</v>
      </c>
      <c r="AB268" s="2">
        <v>-110.0</v>
      </c>
      <c r="AC268" s="2">
        <v>-110.0</v>
      </c>
      <c r="AD268" s="2">
        <v>46.5</v>
      </c>
      <c r="AE268" s="2">
        <v>-112.0</v>
      </c>
      <c r="AF268" s="2">
        <v>-108.0</v>
      </c>
      <c r="AG268" s="2">
        <v>1.0</v>
      </c>
      <c r="AH268" s="2" t="s">
        <v>395</v>
      </c>
      <c r="AI268" s="2" t="s">
        <v>396</v>
      </c>
      <c r="AJ268" s="2">
        <v>55.0</v>
      </c>
      <c r="AK268" s="2">
        <v>8.0</v>
      </c>
      <c r="AL268" s="2" t="s">
        <v>503</v>
      </c>
      <c r="AM268" s="2" t="s">
        <v>454</v>
      </c>
      <c r="AN268" s="2" t="s">
        <v>251</v>
      </c>
      <c r="AO268" s="2" t="s">
        <v>214</v>
      </c>
      <c r="AP268" s="2" t="s">
        <v>505</v>
      </c>
      <c r="AQ268" s="2" t="s">
        <v>456</v>
      </c>
      <c r="AR268" s="2" t="s">
        <v>477</v>
      </c>
      <c r="AS268" s="2" t="s">
        <v>458</v>
      </c>
      <c r="AT268" s="2" t="s">
        <v>459</v>
      </c>
      <c r="AV268" s="2">
        <f t="array" ref="AV268">IF($A268="","",IF(INDEX($A268:$AT268,1,MAP!$B$3)=CurrentSeason,1,0))</f>
        <v>0</v>
      </c>
      <c r="AW268" s="2" t="str">
        <f t="shared" si="1"/>
        <v/>
      </c>
    </row>
    <row r="269" ht="15.0" customHeight="1">
      <c r="A269" s="2" t="s">
        <v>1198</v>
      </c>
      <c r="B269" s="2">
        <v>2025.0</v>
      </c>
      <c r="C269" s="2" t="s">
        <v>390</v>
      </c>
      <c r="D269" s="2">
        <v>18.0</v>
      </c>
      <c r="E269" s="2" t="s">
        <v>1178</v>
      </c>
      <c r="F269" s="2" t="s">
        <v>419</v>
      </c>
      <c r="G269" s="2" t="s">
        <v>520</v>
      </c>
      <c r="H269" s="2" t="s">
        <v>178</v>
      </c>
      <c r="I269" s="2">
        <v>20.0</v>
      </c>
      <c r="J269" s="2" t="s">
        <v>142</v>
      </c>
      <c r="K269" s="2">
        <v>37.0</v>
      </c>
      <c r="L269" s="2" t="s">
        <v>77</v>
      </c>
      <c r="M269" s="2">
        <v>17.0</v>
      </c>
      <c r="N269" s="2">
        <v>57.0</v>
      </c>
      <c r="O269" s="2">
        <v>0.0</v>
      </c>
      <c r="P269" s="2">
        <v>2.026010407E9</v>
      </c>
      <c r="Q269" s="2">
        <v>60106.0</v>
      </c>
      <c r="S269" s="2" t="s">
        <v>1199</v>
      </c>
      <c r="T269" s="2">
        <v>28681.0</v>
      </c>
      <c r="U269" s="2">
        <v>4.01772955E8</v>
      </c>
      <c r="V269" s="2">
        <v>6997.0</v>
      </c>
      <c r="W269" s="2">
        <v>7.0</v>
      </c>
      <c r="X269" s="2">
        <v>6.0</v>
      </c>
      <c r="Y269" s="2">
        <v>800.0</v>
      </c>
      <c r="Z269" s="2">
        <v>-1350.0</v>
      </c>
      <c r="AA269" s="2">
        <v>14.5</v>
      </c>
      <c r="AB269" s="2">
        <v>-115.0</v>
      </c>
      <c r="AC269" s="2">
        <v>-105.0</v>
      </c>
      <c r="AD269" s="2">
        <v>49.5</v>
      </c>
      <c r="AE269" s="2">
        <v>-108.0</v>
      </c>
      <c r="AF269" s="2">
        <v>-112.0</v>
      </c>
      <c r="AG269" s="2">
        <v>1.0</v>
      </c>
      <c r="AH269" s="2" t="s">
        <v>409</v>
      </c>
      <c r="AI269" s="2" t="s">
        <v>531</v>
      </c>
      <c r="AL269" s="2" t="s">
        <v>759</v>
      </c>
      <c r="AM269" s="2" t="s">
        <v>533</v>
      </c>
      <c r="AN269" s="2" t="s">
        <v>179</v>
      </c>
      <c r="AO269" s="2" t="s">
        <v>218</v>
      </c>
      <c r="AP269" s="2" t="s">
        <v>475</v>
      </c>
      <c r="AQ269" s="2" t="s">
        <v>535</v>
      </c>
      <c r="AR269" s="2" t="s">
        <v>414</v>
      </c>
      <c r="AS269" s="2" t="s">
        <v>415</v>
      </c>
      <c r="AT269" s="2" t="s">
        <v>416</v>
      </c>
      <c r="AV269" s="2">
        <f t="array" ref="AV269">IF($A269="","",IF(INDEX($A269:$AT269,1,MAP!$B$3)=CurrentSeason,1,0))</f>
        <v>0</v>
      </c>
      <c r="AW269" s="2" t="str">
        <f t="shared" si="1"/>
        <v/>
      </c>
    </row>
    <row r="270" ht="15.0" customHeight="1">
      <c r="A270" s="2" t="s">
        <v>1200</v>
      </c>
      <c r="B270" s="2">
        <v>2025.0</v>
      </c>
      <c r="C270" s="2" t="s">
        <v>390</v>
      </c>
      <c r="D270" s="2">
        <v>18.0</v>
      </c>
      <c r="E270" s="2" t="s">
        <v>1178</v>
      </c>
      <c r="F270" s="2" t="s">
        <v>419</v>
      </c>
      <c r="G270" s="2" t="s">
        <v>520</v>
      </c>
      <c r="H270" s="2" t="s">
        <v>143</v>
      </c>
      <c r="I270" s="2">
        <v>12.0</v>
      </c>
      <c r="J270" s="2" t="s">
        <v>222</v>
      </c>
      <c r="K270" s="2">
        <v>14.0</v>
      </c>
      <c r="L270" s="2" t="s">
        <v>77</v>
      </c>
      <c r="M270" s="2">
        <v>2.0</v>
      </c>
      <c r="N270" s="2">
        <v>26.0</v>
      </c>
      <c r="O270" s="2">
        <v>0.0</v>
      </c>
      <c r="P270" s="2">
        <v>2.026010408E9</v>
      </c>
      <c r="Q270" s="2">
        <v>60107.0</v>
      </c>
      <c r="S270" s="2" t="s">
        <v>1201</v>
      </c>
      <c r="T270" s="2">
        <v>28680.0</v>
      </c>
      <c r="U270" s="2">
        <v>4.01772957E8</v>
      </c>
      <c r="V270" s="2">
        <v>6998.0</v>
      </c>
      <c r="W270" s="2">
        <v>10.0</v>
      </c>
      <c r="X270" s="2">
        <v>7.0</v>
      </c>
      <c r="Y270" s="2">
        <v>-225.0</v>
      </c>
      <c r="Z270" s="2">
        <v>185.0</v>
      </c>
      <c r="AA270" s="2">
        <v>-3.5</v>
      </c>
      <c r="AB270" s="2">
        <v>-112.0</v>
      </c>
      <c r="AC270" s="2">
        <v>-108.0</v>
      </c>
      <c r="AD270" s="2">
        <v>36.5</v>
      </c>
      <c r="AE270" s="2">
        <v>-118.0</v>
      </c>
      <c r="AF270" s="2">
        <v>-102.0</v>
      </c>
      <c r="AG270" s="2">
        <v>1.0</v>
      </c>
      <c r="AH270" s="2" t="s">
        <v>409</v>
      </c>
      <c r="AI270" s="2" t="s">
        <v>396</v>
      </c>
      <c r="AL270" s="2" t="s">
        <v>1145</v>
      </c>
      <c r="AM270" s="2" t="s">
        <v>1075</v>
      </c>
      <c r="AN270" s="2" t="s">
        <v>1146</v>
      </c>
      <c r="AO270" s="2" t="s">
        <v>1076</v>
      </c>
      <c r="AP270" s="2" t="s">
        <v>412</v>
      </c>
      <c r="AQ270" s="2" t="s">
        <v>464</v>
      </c>
      <c r="AR270" s="2" t="s">
        <v>536</v>
      </c>
      <c r="AS270" s="2" t="s">
        <v>623</v>
      </c>
      <c r="AT270" s="2" t="s">
        <v>624</v>
      </c>
      <c r="AV270" s="2">
        <f t="array" ref="AV270">IF($A270="","",IF(INDEX($A270:$AT270,1,MAP!$B$3)=CurrentSeason,1,0))</f>
        <v>0</v>
      </c>
      <c r="AW270" s="2" t="str">
        <f t="shared" si="1"/>
        <v/>
      </c>
    </row>
    <row r="271" ht="15.0" customHeight="1">
      <c r="A271" s="2" t="s">
        <v>1202</v>
      </c>
      <c r="B271" s="2">
        <v>2025.0</v>
      </c>
      <c r="C271" s="2" t="s">
        <v>390</v>
      </c>
      <c r="D271" s="2">
        <v>18.0</v>
      </c>
      <c r="E271" s="2" t="s">
        <v>1178</v>
      </c>
      <c r="F271" s="2" t="s">
        <v>419</v>
      </c>
      <c r="G271" s="2" t="s">
        <v>420</v>
      </c>
      <c r="H271" s="2" t="s">
        <v>205</v>
      </c>
      <c r="I271" s="2">
        <v>3.0</v>
      </c>
      <c r="J271" s="2" t="s">
        <v>144</v>
      </c>
      <c r="K271" s="2">
        <v>16.0</v>
      </c>
      <c r="L271" s="2" t="s">
        <v>77</v>
      </c>
      <c r="M271" s="2">
        <v>13.0</v>
      </c>
      <c r="N271" s="2">
        <v>19.0</v>
      </c>
      <c r="O271" s="2">
        <v>0.0</v>
      </c>
      <c r="P271" s="2">
        <v>2.026010409E9</v>
      </c>
      <c r="Q271" s="2">
        <v>60108.0</v>
      </c>
      <c r="S271" s="2" t="s">
        <v>1203</v>
      </c>
      <c r="T271" s="2">
        <v>28682.0</v>
      </c>
      <c r="U271" s="2">
        <v>4.01772968E8</v>
      </c>
      <c r="V271" s="2">
        <v>6999.0</v>
      </c>
      <c r="W271" s="2">
        <v>8.0</v>
      </c>
      <c r="X271" s="2">
        <v>10.0</v>
      </c>
      <c r="Y271" s="2">
        <v>470.0</v>
      </c>
      <c r="Z271" s="2">
        <v>-650.0</v>
      </c>
      <c r="AA271" s="2">
        <v>12.5</v>
      </c>
      <c r="AB271" s="2">
        <v>-108.0</v>
      </c>
      <c r="AC271" s="2">
        <v>-112.0</v>
      </c>
      <c r="AD271" s="2">
        <v>37.5</v>
      </c>
      <c r="AE271" s="2">
        <v>-118.0</v>
      </c>
      <c r="AF271" s="2">
        <v>-102.0</v>
      </c>
      <c r="AG271" s="2">
        <v>1.0</v>
      </c>
      <c r="AH271" s="2" t="s">
        <v>409</v>
      </c>
      <c r="AI271" s="2" t="s">
        <v>471</v>
      </c>
      <c r="AL271" s="2" t="s">
        <v>1204</v>
      </c>
      <c r="AM271" s="2" t="s">
        <v>552</v>
      </c>
      <c r="AN271" s="2" t="s">
        <v>1205</v>
      </c>
      <c r="AO271" s="2" t="s">
        <v>554</v>
      </c>
      <c r="AP271" s="2" t="s">
        <v>525</v>
      </c>
      <c r="AQ271" s="2" t="s">
        <v>555</v>
      </c>
      <c r="AR271" s="2" t="s">
        <v>544</v>
      </c>
      <c r="AS271" s="2" t="s">
        <v>611</v>
      </c>
      <c r="AT271" s="2" t="s">
        <v>612</v>
      </c>
      <c r="AV271" s="2">
        <f t="array" ref="AV271">IF($A271="","",IF(INDEX($A271:$AT271,1,MAP!$B$3)=CurrentSeason,1,0))</f>
        <v>0</v>
      </c>
      <c r="AW271" s="2" t="str">
        <f t="shared" si="1"/>
        <v/>
      </c>
    </row>
    <row r="272" ht="15.0" customHeight="1">
      <c r="A272" s="2" t="s">
        <v>1206</v>
      </c>
      <c r="B272" s="2">
        <v>2025.0</v>
      </c>
      <c r="C272" s="2" t="s">
        <v>390</v>
      </c>
      <c r="D272" s="2">
        <v>18.0</v>
      </c>
      <c r="E272" s="2" t="s">
        <v>1178</v>
      </c>
      <c r="F272" s="2" t="s">
        <v>419</v>
      </c>
      <c r="G272" s="2" t="s">
        <v>520</v>
      </c>
      <c r="H272" s="2" t="s">
        <v>225</v>
      </c>
      <c r="I272" s="2">
        <v>10.0</v>
      </c>
      <c r="J272" s="2" t="s">
        <v>145</v>
      </c>
      <c r="K272" s="2">
        <v>38.0</v>
      </c>
      <c r="L272" s="2" t="s">
        <v>77</v>
      </c>
      <c r="M272" s="2">
        <v>28.0</v>
      </c>
      <c r="N272" s="2">
        <v>48.0</v>
      </c>
      <c r="O272" s="2">
        <v>0.0</v>
      </c>
      <c r="P272" s="2">
        <v>2.02601041E9</v>
      </c>
      <c r="Q272" s="2">
        <v>60109.0</v>
      </c>
      <c r="S272" s="2" t="s">
        <v>1207</v>
      </c>
      <c r="T272" s="2">
        <v>28683.0</v>
      </c>
      <c r="U272" s="2">
        <v>4.01772958E8</v>
      </c>
      <c r="V272" s="2">
        <v>7000.0</v>
      </c>
      <c r="W272" s="2">
        <v>7.0</v>
      </c>
      <c r="X272" s="2">
        <v>7.0</v>
      </c>
      <c r="Y272" s="2">
        <v>650.0</v>
      </c>
      <c r="Z272" s="2">
        <v>-1000.0</v>
      </c>
      <c r="AA272" s="2">
        <v>14.0</v>
      </c>
      <c r="AB272" s="2">
        <v>-112.0</v>
      </c>
      <c r="AC272" s="2">
        <v>-108.0</v>
      </c>
      <c r="AD272" s="2">
        <v>44.5</v>
      </c>
      <c r="AE272" s="2">
        <v>-112.0</v>
      </c>
      <c r="AF272" s="2">
        <v>-108.0</v>
      </c>
      <c r="AG272" s="2">
        <v>1.0</v>
      </c>
      <c r="AH272" s="2" t="s">
        <v>395</v>
      </c>
      <c r="AI272" s="2" t="s">
        <v>423</v>
      </c>
      <c r="AJ272" s="2">
        <v>29.0</v>
      </c>
      <c r="AK272" s="2">
        <v>6.0</v>
      </c>
      <c r="AL272" s="2" t="s">
        <v>1131</v>
      </c>
      <c r="AM272" s="2" t="s">
        <v>463</v>
      </c>
      <c r="AN272" s="2" t="s">
        <v>1132</v>
      </c>
      <c r="AO272" s="2" t="s">
        <v>230</v>
      </c>
      <c r="AP272" s="2" t="s">
        <v>446</v>
      </c>
      <c r="AQ272" s="2" t="s">
        <v>465</v>
      </c>
      <c r="AR272" s="2" t="s">
        <v>497</v>
      </c>
      <c r="AS272" s="2" t="s">
        <v>467</v>
      </c>
      <c r="AT272" s="2" t="s">
        <v>468</v>
      </c>
      <c r="AV272" s="2">
        <f t="array" ref="AV272">IF($A272="","",IF(INDEX($A272:$AT272,1,MAP!$B$3)=CurrentSeason,1,0))</f>
        <v>0</v>
      </c>
      <c r="AW272" s="2" t="str">
        <f t="shared" si="1"/>
        <v/>
      </c>
    </row>
    <row r="273" ht="15.0" customHeight="1">
      <c r="A273" s="2" t="s">
        <v>1208</v>
      </c>
      <c r="B273" s="2">
        <v>2025.0</v>
      </c>
      <c r="C273" s="2" t="s">
        <v>390</v>
      </c>
      <c r="D273" s="2">
        <v>18.0</v>
      </c>
      <c r="E273" s="2" t="s">
        <v>1178</v>
      </c>
      <c r="F273" s="2" t="s">
        <v>419</v>
      </c>
      <c r="G273" s="2" t="s">
        <v>420</v>
      </c>
      <c r="H273" s="2" t="s">
        <v>146</v>
      </c>
      <c r="I273" s="2">
        <v>17.0</v>
      </c>
      <c r="J273" s="2" t="s">
        <v>235</v>
      </c>
      <c r="K273" s="2">
        <v>34.0</v>
      </c>
      <c r="L273" s="2" t="s">
        <v>77</v>
      </c>
      <c r="M273" s="2">
        <v>17.0</v>
      </c>
      <c r="N273" s="2">
        <v>51.0</v>
      </c>
      <c r="O273" s="2">
        <v>0.0</v>
      </c>
      <c r="P273" s="2">
        <v>2.026010411E9</v>
      </c>
      <c r="Q273" s="2">
        <v>60110.0</v>
      </c>
      <c r="S273" s="2" t="s">
        <v>1209</v>
      </c>
      <c r="T273" s="2">
        <v>28684.0</v>
      </c>
      <c r="U273" s="2">
        <v>4.01772963E8</v>
      </c>
      <c r="V273" s="2">
        <v>7001.0</v>
      </c>
      <c r="W273" s="2">
        <v>10.0</v>
      </c>
      <c r="X273" s="2">
        <v>7.0</v>
      </c>
      <c r="Y273" s="2">
        <v>-166.0</v>
      </c>
      <c r="Z273" s="2">
        <v>140.0</v>
      </c>
      <c r="AA273" s="2">
        <v>-3.0</v>
      </c>
      <c r="AB273" s="2">
        <v>-115.0</v>
      </c>
      <c r="AC273" s="2">
        <v>-105.0</v>
      </c>
      <c r="AD273" s="2">
        <v>50.5</v>
      </c>
      <c r="AE273" s="2">
        <v>-115.0</v>
      </c>
      <c r="AF273" s="2">
        <v>-105.0</v>
      </c>
      <c r="AG273" s="2">
        <v>1.0</v>
      </c>
      <c r="AH273" s="2" t="s">
        <v>395</v>
      </c>
      <c r="AI273" s="2" t="s">
        <v>423</v>
      </c>
      <c r="AJ273" s="2">
        <v>33.0</v>
      </c>
      <c r="AK273" s="2">
        <v>7.0</v>
      </c>
      <c r="AL273" s="2" t="s">
        <v>397</v>
      </c>
      <c r="AM273" s="2" t="s">
        <v>693</v>
      </c>
      <c r="AN273" s="2" t="s">
        <v>199</v>
      </c>
      <c r="AO273" s="2" t="s">
        <v>236</v>
      </c>
      <c r="AP273" s="2" t="s">
        <v>399</v>
      </c>
      <c r="AQ273" s="2" t="s">
        <v>495</v>
      </c>
      <c r="AR273" s="2" t="s">
        <v>439</v>
      </c>
      <c r="AS273" s="2" t="s">
        <v>488</v>
      </c>
      <c r="AT273" s="2" t="s">
        <v>489</v>
      </c>
      <c r="AV273" s="2">
        <f t="array" ref="AV273">IF($A273="","",IF(INDEX($A273:$AT273,1,MAP!$B$3)=CurrentSeason,1,0))</f>
        <v>0</v>
      </c>
      <c r="AW273" s="2" t="str">
        <f t="shared" si="1"/>
        <v/>
      </c>
    </row>
    <row r="274" ht="15.0" customHeight="1">
      <c r="A274" s="2" t="s">
        <v>1210</v>
      </c>
      <c r="B274" s="2">
        <v>2025.0</v>
      </c>
      <c r="C274" s="2" t="s">
        <v>390</v>
      </c>
      <c r="D274" s="2">
        <v>18.0</v>
      </c>
      <c r="E274" s="2" t="s">
        <v>1178</v>
      </c>
      <c r="F274" s="2" t="s">
        <v>419</v>
      </c>
      <c r="G274" s="2" t="s">
        <v>520</v>
      </c>
      <c r="H274" s="2" t="s">
        <v>253</v>
      </c>
      <c r="I274" s="2">
        <v>24.0</v>
      </c>
      <c r="J274" s="2" t="s">
        <v>147</v>
      </c>
      <c r="K274" s="2">
        <v>17.0</v>
      </c>
      <c r="L274" s="2" t="s">
        <v>77</v>
      </c>
      <c r="M274" s="2">
        <v>-7.0</v>
      </c>
      <c r="N274" s="2">
        <v>41.0</v>
      </c>
      <c r="O274" s="2">
        <v>0.0</v>
      </c>
      <c r="P274" s="2">
        <v>2.026010412E9</v>
      </c>
      <c r="Q274" s="2">
        <v>60111.0</v>
      </c>
      <c r="S274" s="2" t="s">
        <v>1211</v>
      </c>
      <c r="T274" s="2">
        <v>28685.0</v>
      </c>
      <c r="U274" s="2">
        <v>4.01772959E8</v>
      </c>
      <c r="V274" s="2">
        <v>7002.0</v>
      </c>
      <c r="W274" s="2">
        <v>10.0</v>
      </c>
      <c r="X274" s="2">
        <v>7.0</v>
      </c>
      <c r="Y274" s="2">
        <v>150.0</v>
      </c>
      <c r="Z274" s="2">
        <v>-180.0</v>
      </c>
      <c r="AA274" s="2">
        <v>3.0</v>
      </c>
      <c r="AB274" s="2">
        <v>-105.0</v>
      </c>
      <c r="AC274" s="2">
        <v>-115.0</v>
      </c>
      <c r="AD274" s="2">
        <v>38.5</v>
      </c>
      <c r="AE274" s="2">
        <v>-108.0</v>
      </c>
      <c r="AF274" s="2">
        <v>-112.0</v>
      </c>
      <c r="AG274" s="2">
        <v>1.0</v>
      </c>
      <c r="AH274" s="2" t="s">
        <v>395</v>
      </c>
      <c r="AI274" s="2" t="s">
        <v>396</v>
      </c>
      <c r="AJ274" s="2">
        <v>35.0</v>
      </c>
      <c r="AK274" s="2">
        <v>9.0</v>
      </c>
      <c r="AL274" s="2" t="s">
        <v>1139</v>
      </c>
      <c r="AM274" s="2" t="s">
        <v>1212</v>
      </c>
      <c r="AN274" s="2" t="s">
        <v>1140</v>
      </c>
      <c r="AO274" s="2" t="s">
        <v>1213</v>
      </c>
      <c r="AP274" s="2" t="s">
        <v>496</v>
      </c>
      <c r="AQ274" s="2" t="s">
        <v>400</v>
      </c>
      <c r="AR274" s="2" t="s">
        <v>516</v>
      </c>
      <c r="AS274" s="2" t="s">
        <v>402</v>
      </c>
      <c r="AT274" s="2" t="s">
        <v>403</v>
      </c>
      <c r="AV274" s="2">
        <f t="array" ref="AV274">IF($A274="","",IF(INDEX($A274:$AT274,1,MAP!$B$3)=CurrentSeason,1,0))</f>
        <v>0</v>
      </c>
      <c r="AW274" s="2" t="str">
        <f t="shared" si="1"/>
        <v/>
      </c>
    </row>
    <row r="275" ht="15.0" customHeight="1">
      <c r="A275" s="2" t="s">
        <v>1214</v>
      </c>
      <c r="B275" s="2">
        <v>2025.0</v>
      </c>
      <c r="C275" s="2" t="s">
        <v>390</v>
      </c>
      <c r="D275" s="2">
        <v>18.0</v>
      </c>
      <c r="E275" s="2" t="s">
        <v>1178</v>
      </c>
      <c r="F275" s="2" t="s">
        <v>419</v>
      </c>
      <c r="G275" s="2" t="s">
        <v>393</v>
      </c>
      <c r="H275" s="2" t="s">
        <v>148</v>
      </c>
      <c r="I275" s="2">
        <v>24.0</v>
      </c>
      <c r="J275" s="2" t="s">
        <v>242</v>
      </c>
      <c r="K275" s="2">
        <v>26.0</v>
      </c>
      <c r="L275" s="2" t="s">
        <v>77</v>
      </c>
      <c r="M275" s="2">
        <v>2.0</v>
      </c>
      <c r="N275" s="2">
        <v>50.0</v>
      </c>
      <c r="O275" s="2">
        <v>0.0</v>
      </c>
      <c r="P275" s="2">
        <v>2.026010413E9</v>
      </c>
      <c r="Q275" s="2">
        <v>60112.0</v>
      </c>
      <c r="S275" s="2" t="s">
        <v>1215</v>
      </c>
      <c r="T275" s="2">
        <v>28686.0</v>
      </c>
      <c r="U275" s="2">
        <v>4.0177296E8</v>
      </c>
      <c r="V275" s="2">
        <v>7003.0</v>
      </c>
      <c r="W275" s="2">
        <v>8.0</v>
      </c>
      <c r="X275" s="2">
        <v>7.0</v>
      </c>
      <c r="Y275" s="2">
        <v>-225.0</v>
      </c>
      <c r="Z275" s="2">
        <v>185.0</v>
      </c>
      <c r="AA275" s="2">
        <v>-4.5</v>
      </c>
      <c r="AB275" s="2">
        <v>-105.0</v>
      </c>
      <c r="AC275" s="2">
        <v>-115.0</v>
      </c>
      <c r="AD275" s="2">
        <v>41.5</v>
      </c>
      <c r="AE275" s="2">
        <v>-110.0</v>
      </c>
      <c r="AF275" s="2">
        <v>-110.0</v>
      </c>
      <c r="AG275" s="2">
        <v>1.0</v>
      </c>
      <c r="AH275" s="2" t="s">
        <v>395</v>
      </c>
      <c r="AI275" s="2" t="s">
        <v>396</v>
      </c>
      <c r="AJ275" s="2">
        <v>25.0</v>
      </c>
      <c r="AK275" s="2">
        <v>3.0</v>
      </c>
      <c r="AL275" s="2" t="s">
        <v>540</v>
      </c>
      <c r="AM275" s="2" t="s">
        <v>482</v>
      </c>
      <c r="AN275" s="2" t="s">
        <v>184</v>
      </c>
      <c r="AO275" s="2" t="s">
        <v>243</v>
      </c>
      <c r="AP275" s="2" t="s">
        <v>542</v>
      </c>
      <c r="AQ275" s="2" t="s">
        <v>485</v>
      </c>
      <c r="AR275" s="2" t="s">
        <v>401</v>
      </c>
      <c r="AS275" s="2" t="s">
        <v>593</v>
      </c>
      <c r="AT275" s="2" t="s">
        <v>594</v>
      </c>
      <c r="AV275" s="2">
        <f t="array" ref="AV275">IF($A275="","",IF(INDEX($A275:$AT275,1,MAP!$B$3)=CurrentSeason,1,0))</f>
        <v>0</v>
      </c>
      <c r="AW275" s="2" t="str">
        <f t="shared" si="1"/>
        <v/>
      </c>
    </row>
    <row r="276" ht="15.0" customHeight="1">
      <c r="A276" s="2" t="s">
        <v>1216</v>
      </c>
      <c r="B276" s="2">
        <v>2025.0</v>
      </c>
      <c r="C276" s="2" t="s">
        <v>390</v>
      </c>
      <c r="D276" s="2">
        <v>18.0</v>
      </c>
      <c r="E276" s="2" t="s">
        <v>1217</v>
      </c>
      <c r="F276" s="2" t="s">
        <v>1099</v>
      </c>
      <c r="G276" s="2" t="s">
        <v>407</v>
      </c>
      <c r="H276" s="2" t="s">
        <v>149</v>
      </c>
      <c r="I276" s="2">
        <v>13.0</v>
      </c>
      <c r="J276" s="2" t="s">
        <v>246</v>
      </c>
      <c r="K276" s="2">
        <v>3.0</v>
      </c>
      <c r="L276" s="2" t="s">
        <v>77</v>
      </c>
      <c r="M276" s="2">
        <v>-10.0</v>
      </c>
      <c r="N276" s="2">
        <v>16.0</v>
      </c>
      <c r="O276" s="2">
        <v>0.0</v>
      </c>
      <c r="P276" s="2">
        <v>2.026010301E9</v>
      </c>
      <c r="Q276" s="2">
        <v>60113.0</v>
      </c>
      <c r="S276" s="2" t="s">
        <v>1218</v>
      </c>
      <c r="T276" s="2">
        <v>28687.0</v>
      </c>
      <c r="U276" s="2">
        <v>4.01772961E8</v>
      </c>
      <c r="V276" s="2">
        <v>7004.0</v>
      </c>
      <c r="W276" s="2">
        <v>6.0</v>
      </c>
      <c r="X276" s="2">
        <v>6.0</v>
      </c>
      <c r="Y276" s="2">
        <v>-148.0</v>
      </c>
      <c r="Z276" s="2">
        <v>124.0</v>
      </c>
      <c r="AA276" s="2">
        <v>-2.5</v>
      </c>
      <c r="AB276" s="2">
        <v>-120.0</v>
      </c>
      <c r="AC276" s="2">
        <v>100.0</v>
      </c>
      <c r="AD276" s="2">
        <v>47.5</v>
      </c>
      <c r="AE276" s="2">
        <v>-105.0</v>
      </c>
      <c r="AF276" s="2">
        <v>-115.0</v>
      </c>
      <c r="AG276" s="2">
        <v>1.0</v>
      </c>
      <c r="AH276" s="2" t="s">
        <v>395</v>
      </c>
      <c r="AI276" s="2" t="s">
        <v>396</v>
      </c>
      <c r="AJ276" s="2">
        <v>57.0</v>
      </c>
      <c r="AK276" s="2">
        <v>8.0</v>
      </c>
      <c r="AL276" s="2" t="s">
        <v>513</v>
      </c>
      <c r="AM276" s="2" t="s">
        <v>512</v>
      </c>
      <c r="AN276" s="2" t="s">
        <v>245</v>
      </c>
      <c r="AO276" s="2" t="s">
        <v>247</v>
      </c>
      <c r="AP276" s="2" t="s">
        <v>515</v>
      </c>
      <c r="AQ276" s="2" t="s">
        <v>514</v>
      </c>
      <c r="AR276" s="2" t="s">
        <v>487</v>
      </c>
      <c r="AS276" s="2" t="s">
        <v>667</v>
      </c>
      <c r="AT276" s="2" t="s">
        <v>668</v>
      </c>
      <c r="AV276" s="2">
        <f t="array" ref="AV276">IF($A276="","",IF(INDEX($A276:$AT276,1,MAP!$B$3)=CurrentSeason,1,0))</f>
        <v>0</v>
      </c>
      <c r="AW276" s="2" t="str">
        <f t="shared" si="1"/>
        <v/>
      </c>
    </row>
    <row r="277" ht="15.0" customHeight="1">
      <c r="A277" s="2" t="s">
        <v>1219</v>
      </c>
      <c r="B277" s="2">
        <v>2025.0</v>
      </c>
      <c r="C277" s="2" t="s">
        <v>390</v>
      </c>
      <c r="D277" s="2">
        <v>18.0</v>
      </c>
      <c r="E277" s="2" t="s">
        <v>1217</v>
      </c>
      <c r="F277" s="2" t="s">
        <v>1099</v>
      </c>
      <c r="G277" s="2" t="s">
        <v>986</v>
      </c>
      <c r="H277" s="2" t="s">
        <v>189</v>
      </c>
      <c r="I277" s="2">
        <v>14.0</v>
      </c>
      <c r="J277" s="2" t="s">
        <v>150</v>
      </c>
      <c r="K277" s="2">
        <v>16.0</v>
      </c>
      <c r="L277" s="2" t="s">
        <v>77</v>
      </c>
      <c r="M277" s="2">
        <v>2.0</v>
      </c>
      <c r="N277" s="2">
        <v>30.0</v>
      </c>
      <c r="O277" s="2">
        <v>0.0</v>
      </c>
      <c r="P277" s="2">
        <v>2.0260103E9</v>
      </c>
      <c r="Q277" s="2">
        <v>60114.0</v>
      </c>
      <c r="S277" s="2" t="s">
        <v>1220</v>
      </c>
      <c r="T277" s="2">
        <v>28688.0</v>
      </c>
      <c r="U277" s="2">
        <v>4.01772969E8</v>
      </c>
      <c r="V277" s="2">
        <v>7005.0</v>
      </c>
      <c r="W277" s="2">
        <v>6.0</v>
      </c>
      <c r="X277" s="2">
        <v>6.0</v>
      </c>
      <c r="Y277" s="2">
        <v>130.0</v>
      </c>
      <c r="Z277" s="2">
        <v>-155.0</v>
      </c>
      <c r="AA277" s="2">
        <v>3.0</v>
      </c>
      <c r="AB277" s="2">
        <v>-115.0</v>
      </c>
      <c r="AC277" s="2">
        <v>-105.0</v>
      </c>
      <c r="AD277" s="2">
        <v>43.5</v>
      </c>
      <c r="AE277" s="2">
        <v>-118.0</v>
      </c>
      <c r="AF277" s="2">
        <v>-102.0</v>
      </c>
      <c r="AG277" s="2">
        <v>1.0</v>
      </c>
      <c r="AH277" s="2" t="s">
        <v>395</v>
      </c>
      <c r="AI277" s="2" t="s">
        <v>396</v>
      </c>
      <c r="AJ277" s="2">
        <v>69.0</v>
      </c>
      <c r="AK277" s="2">
        <v>11.0</v>
      </c>
      <c r="AL277" s="2" t="s">
        <v>453</v>
      </c>
      <c r="AM277" s="2" t="s">
        <v>424</v>
      </c>
      <c r="AN277" s="2" t="s">
        <v>190</v>
      </c>
      <c r="AO277" s="2" t="s">
        <v>248</v>
      </c>
      <c r="AP277" s="2" t="s">
        <v>455</v>
      </c>
      <c r="AQ277" s="2" t="s">
        <v>427</v>
      </c>
      <c r="AR277" s="2" t="s">
        <v>448</v>
      </c>
      <c r="AS277" s="2" t="s">
        <v>651</v>
      </c>
      <c r="AT277" s="2" t="s">
        <v>652</v>
      </c>
      <c r="AV277" s="2">
        <f t="array" ref="AV277">IF($A277="","",IF(INDEX($A277:$AT277,1,MAP!$B$3)=CurrentSeason,1,0))</f>
        <v>0</v>
      </c>
      <c r="AW277" s="2" t="str">
        <f t="shared" si="1"/>
        <v/>
      </c>
    </row>
    <row r="278" ht="15.0" customHeight="1">
      <c r="A278" s="2" t="s">
        <v>1221</v>
      </c>
      <c r="B278" s="2">
        <v>2025.0</v>
      </c>
      <c r="C278" s="2" t="s">
        <v>1222</v>
      </c>
      <c r="D278" s="2">
        <v>19.0</v>
      </c>
      <c r="E278" s="2" t="s">
        <v>1223</v>
      </c>
      <c r="F278" s="2" t="s">
        <v>1099</v>
      </c>
      <c r="G278" s="2" t="s">
        <v>407</v>
      </c>
      <c r="H278" s="2" t="s">
        <v>205</v>
      </c>
      <c r="I278" s="2">
        <v>27.0</v>
      </c>
      <c r="J278" s="2" t="s">
        <v>137</v>
      </c>
      <c r="K278" s="2">
        <v>31.0</v>
      </c>
      <c r="L278" s="2" t="s">
        <v>77</v>
      </c>
      <c r="M278" s="2">
        <v>4.0</v>
      </c>
      <c r="N278" s="2">
        <v>58.0</v>
      </c>
      <c r="O278" s="2">
        <v>0.0</v>
      </c>
      <c r="P278" s="2">
        <v>2.026011001E9</v>
      </c>
      <c r="Q278" s="2">
        <v>60165.0</v>
      </c>
      <c r="S278" s="2" t="s">
        <v>1224</v>
      </c>
      <c r="U278" s="2">
        <v>4.01772981E8</v>
      </c>
      <c r="V278" s="2">
        <v>7007.0</v>
      </c>
      <c r="W278" s="2">
        <v>6.0</v>
      </c>
      <c r="X278" s="2">
        <v>6.0</v>
      </c>
      <c r="Y278" s="2">
        <v>-135.0</v>
      </c>
      <c r="Z278" s="2">
        <v>114.0</v>
      </c>
      <c r="AA278" s="2">
        <v>-2.5</v>
      </c>
      <c r="AB278" s="2">
        <v>-108.0</v>
      </c>
      <c r="AC278" s="2">
        <v>-112.0</v>
      </c>
      <c r="AD278" s="2">
        <v>45.5</v>
      </c>
      <c r="AE278" s="2">
        <v>-115.0</v>
      </c>
      <c r="AF278" s="2">
        <v>-105.0</v>
      </c>
      <c r="AG278" s="2">
        <v>1.0</v>
      </c>
      <c r="AH278" s="2" t="s">
        <v>395</v>
      </c>
      <c r="AI278" s="2" t="s">
        <v>396</v>
      </c>
      <c r="AJ278" s="2">
        <v>32.0</v>
      </c>
      <c r="AK278" s="2">
        <v>6.0</v>
      </c>
      <c r="AL278" s="2" t="s">
        <v>523</v>
      </c>
      <c r="AM278" s="2" t="s">
        <v>553</v>
      </c>
      <c r="AN278" s="2" t="s">
        <v>206</v>
      </c>
      <c r="AO278" s="2" t="s">
        <v>192</v>
      </c>
      <c r="AP278" s="2" t="s">
        <v>525</v>
      </c>
      <c r="AQ278" s="2" t="s">
        <v>556</v>
      </c>
      <c r="AR278" s="2" t="s">
        <v>439</v>
      </c>
      <c r="AS278" s="2" t="s">
        <v>558</v>
      </c>
      <c r="AT278" s="2" t="s">
        <v>559</v>
      </c>
      <c r="AV278" s="2">
        <f t="array" ref="AV278">IF($A278="","",IF(INDEX($A278:$AT278,1,MAP!$B$3)=CurrentSeason,1,0))</f>
        <v>0</v>
      </c>
      <c r="AW278" s="2" t="str">
        <f t="shared" si="1"/>
        <v/>
      </c>
    </row>
    <row r="279" ht="15.0" customHeight="1">
      <c r="A279" s="2" t="s">
        <v>1225</v>
      </c>
      <c r="B279" s="2">
        <v>2025.0</v>
      </c>
      <c r="C279" s="2" t="s">
        <v>1222</v>
      </c>
      <c r="D279" s="2">
        <v>19.0</v>
      </c>
      <c r="E279" s="2" t="s">
        <v>1226</v>
      </c>
      <c r="F279" s="2" t="s">
        <v>419</v>
      </c>
      <c r="G279" s="2" t="s">
        <v>420</v>
      </c>
      <c r="H279" s="2" t="s">
        <v>136</v>
      </c>
      <c r="I279" s="2">
        <v>27.0</v>
      </c>
      <c r="J279" s="2" t="s">
        <v>141</v>
      </c>
      <c r="K279" s="2">
        <v>24.0</v>
      </c>
      <c r="L279" s="2" t="s">
        <v>77</v>
      </c>
      <c r="M279" s="2">
        <v>-3.0</v>
      </c>
      <c r="N279" s="2">
        <v>51.0</v>
      </c>
      <c r="O279" s="2">
        <v>0.0</v>
      </c>
      <c r="P279" s="2">
        <v>2.0260111E9</v>
      </c>
      <c r="Q279" s="2">
        <v>60166.0</v>
      </c>
      <c r="S279" s="2" t="s">
        <v>1227</v>
      </c>
      <c r="U279" s="2">
        <v>4.01772977E8</v>
      </c>
      <c r="V279" s="2">
        <v>7008.0</v>
      </c>
      <c r="W279" s="2">
        <v>7.0</v>
      </c>
      <c r="X279" s="2">
        <v>7.0</v>
      </c>
      <c r="Y279" s="2">
        <v>102.0</v>
      </c>
      <c r="Z279" s="2">
        <v>-122.0</v>
      </c>
      <c r="AA279" s="2">
        <v>1.5</v>
      </c>
      <c r="AB279" s="2">
        <v>-110.0</v>
      </c>
      <c r="AC279" s="2">
        <v>-110.0</v>
      </c>
      <c r="AD279" s="2">
        <v>51.5</v>
      </c>
      <c r="AE279" s="2">
        <v>-112.0</v>
      </c>
      <c r="AF279" s="2">
        <v>-108.0</v>
      </c>
      <c r="AG279" s="2">
        <v>0.0</v>
      </c>
      <c r="AH279" s="2" t="s">
        <v>395</v>
      </c>
      <c r="AI279" s="2" t="s">
        <v>396</v>
      </c>
      <c r="AJ279" s="2">
        <v>62.0</v>
      </c>
      <c r="AK279" s="2">
        <v>6.0</v>
      </c>
      <c r="AL279" s="2" t="s">
        <v>541</v>
      </c>
      <c r="AM279" s="2" t="s">
        <v>454</v>
      </c>
      <c r="AN279" s="2" t="s">
        <v>187</v>
      </c>
      <c r="AO279" s="2" t="s">
        <v>214</v>
      </c>
      <c r="AP279" s="2" t="s">
        <v>543</v>
      </c>
      <c r="AQ279" s="2" t="s">
        <v>456</v>
      </c>
      <c r="AR279" s="2" t="s">
        <v>448</v>
      </c>
      <c r="AS279" s="2" t="s">
        <v>458</v>
      </c>
      <c r="AT279" s="2" t="s">
        <v>459</v>
      </c>
      <c r="AV279" s="2">
        <f t="array" ref="AV279">IF($A279="","",IF(INDEX($A279:$AT279,1,MAP!$B$3)=CurrentSeason,1,0))</f>
        <v>0</v>
      </c>
      <c r="AW279" s="2" t="str">
        <f t="shared" si="1"/>
        <v/>
      </c>
    </row>
    <row r="280" ht="15.0" customHeight="1">
      <c r="A280" s="2" t="s">
        <v>1228</v>
      </c>
      <c r="B280" s="2">
        <v>2025.0</v>
      </c>
      <c r="C280" s="2" t="s">
        <v>1222</v>
      </c>
      <c r="D280" s="2">
        <v>19.0</v>
      </c>
      <c r="E280" s="2" t="s">
        <v>1226</v>
      </c>
      <c r="F280" s="2" t="s">
        <v>419</v>
      </c>
      <c r="G280" s="2" t="s">
        <v>986</v>
      </c>
      <c r="H280" s="2" t="s">
        <v>246</v>
      </c>
      <c r="I280" s="2">
        <v>23.0</v>
      </c>
      <c r="J280" s="2" t="s">
        <v>147</v>
      </c>
      <c r="K280" s="2">
        <v>19.0</v>
      </c>
      <c r="L280" s="2" t="s">
        <v>77</v>
      </c>
      <c r="M280" s="2">
        <v>-4.0</v>
      </c>
      <c r="N280" s="2">
        <v>42.0</v>
      </c>
      <c r="O280" s="2">
        <v>0.0</v>
      </c>
      <c r="P280" s="2">
        <v>2.026011101E9</v>
      </c>
      <c r="Q280" s="2">
        <v>60167.0</v>
      </c>
      <c r="S280" s="2" t="s">
        <v>1229</v>
      </c>
      <c r="U280" s="2">
        <v>4.0177298E8</v>
      </c>
      <c r="V280" s="2">
        <v>7009.0</v>
      </c>
      <c r="W280" s="2">
        <v>8.0</v>
      </c>
      <c r="X280" s="2">
        <v>7.0</v>
      </c>
      <c r="Y280" s="2">
        <v>215.0</v>
      </c>
      <c r="Z280" s="2">
        <v>-265.0</v>
      </c>
      <c r="AA280" s="2">
        <v>6.0</v>
      </c>
      <c r="AB280" s="2">
        <v>-115.0</v>
      </c>
      <c r="AC280" s="2">
        <v>-105.0</v>
      </c>
      <c r="AD280" s="2">
        <v>44.5</v>
      </c>
      <c r="AE280" s="2">
        <v>-115.0</v>
      </c>
      <c r="AF280" s="2">
        <v>-105.0</v>
      </c>
      <c r="AG280" s="2">
        <v>0.0</v>
      </c>
      <c r="AH280" s="2" t="s">
        <v>395</v>
      </c>
      <c r="AI280" s="2" t="s">
        <v>396</v>
      </c>
      <c r="AJ280" s="2">
        <v>46.0</v>
      </c>
      <c r="AK280" s="2">
        <v>22.0</v>
      </c>
      <c r="AL280" s="2" t="s">
        <v>512</v>
      </c>
      <c r="AM280" s="2" t="s">
        <v>398</v>
      </c>
      <c r="AN280" s="2" t="s">
        <v>247</v>
      </c>
      <c r="AO280" s="2" t="s">
        <v>241</v>
      </c>
      <c r="AP280" s="2" t="s">
        <v>514</v>
      </c>
      <c r="AQ280" s="2" t="s">
        <v>400</v>
      </c>
      <c r="AR280" s="2" t="s">
        <v>557</v>
      </c>
      <c r="AS280" s="2" t="s">
        <v>402</v>
      </c>
      <c r="AT280" s="2" t="s">
        <v>403</v>
      </c>
      <c r="AV280" s="2">
        <f t="array" ref="AV280">IF($A280="","",IF(INDEX($A280:$AT280,1,MAP!$B$3)=CurrentSeason,1,0))</f>
        <v>0</v>
      </c>
      <c r="AW280" s="2" t="str">
        <f t="shared" si="1"/>
        <v/>
      </c>
    </row>
    <row r="281" ht="15.0" customHeight="1">
      <c r="A281" s="2" t="s">
        <v>1230</v>
      </c>
      <c r="B281" s="2">
        <v>2025.0</v>
      </c>
      <c r="C281" s="2" t="s">
        <v>1222</v>
      </c>
      <c r="D281" s="2">
        <v>19.0</v>
      </c>
      <c r="E281" s="2" t="s">
        <v>1226</v>
      </c>
      <c r="F281" s="2" t="s">
        <v>419</v>
      </c>
      <c r="G281" s="2" t="s">
        <v>407</v>
      </c>
      <c r="H281" s="2" t="s">
        <v>220</v>
      </c>
      <c r="I281" s="2">
        <v>3.0</v>
      </c>
      <c r="J281" s="2" t="s">
        <v>145</v>
      </c>
      <c r="K281" s="2">
        <v>16.0</v>
      </c>
      <c r="L281" s="2" t="s">
        <v>77</v>
      </c>
      <c r="M281" s="2">
        <v>13.0</v>
      </c>
      <c r="N281" s="2">
        <v>19.0</v>
      </c>
      <c r="O281" s="2">
        <v>0.0</v>
      </c>
      <c r="P281" s="2">
        <v>2.026011102E9</v>
      </c>
      <c r="Q281" s="2">
        <v>60168.0</v>
      </c>
      <c r="S281" s="2" t="s">
        <v>1231</v>
      </c>
      <c r="U281" s="2">
        <v>4.01772978E8</v>
      </c>
      <c r="V281" s="2">
        <v>7010.0</v>
      </c>
      <c r="W281" s="2">
        <v>7.0</v>
      </c>
      <c r="X281" s="2">
        <v>7.0</v>
      </c>
      <c r="Y281" s="2">
        <v>164.0</v>
      </c>
      <c r="Z281" s="2">
        <v>-198.0</v>
      </c>
      <c r="AA281" s="2">
        <v>3.5</v>
      </c>
      <c r="AB281" s="2">
        <v>-105.0</v>
      </c>
      <c r="AC281" s="2">
        <v>-115.0</v>
      </c>
      <c r="AD281" s="2">
        <v>45.5</v>
      </c>
      <c r="AE281" s="2">
        <v>-108.0</v>
      </c>
      <c r="AF281" s="2">
        <v>-112.0</v>
      </c>
      <c r="AG281" s="2">
        <v>0.0</v>
      </c>
      <c r="AH281" s="2" t="s">
        <v>395</v>
      </c>
      <c r="AI281" s="2" t="s">
        <v>423</v>
      </c>
      <c r="AJ281" s="2">
        <v>35.0</v>
      </c>
      <c r="AK281" s="2">
        <v>10.0</v>
      </c>
      <c r="AL281" s="2" t="s">
        <v>411</v>
      </c>
      <c r="AM281" s="2" t="s">
        <v>463</v>
      </c>
      <c r="AN281" s="2" t="s">
        <v>221</v>
      </c>
      <c r="AO281" s="2" t="s">
        <v>230</v>
      </c>
      <c r="AP281" s="2" t="s">
        <v>413</v>
      </c>
      <c r="AQ281" s="2" t="s">
        <v>465</v>
      </c>
      <c r="AR281" s="2" t="s">
        <v>466</v>
      </c>
      <c r="AS281" s="2" t="s">
        <v>467</v>
      </c>
      <c r="AT281" s="2" t="s">
        <v>468</v>
      </c>
      <c r="AV281" s="2">
        <f t="array" ref="AV281">IF($A281="","",IF(INDEX($A281:$AT281,1,MAP!$B$3)=CurrentSeason,1,0))</f>
        <v>0</v>
      </c>
      <c r="AW281" s="2" t="str">
        <f t="shared" si="1"/>
        <v/>
      </c>
    </row>
    <row r="282" ht="15.0" customHeight="1">
      <c r="A282" s="2" t="s">
        <v>1232</v>
      </c>
      <c r="B282" s="2">
        <v>2025.0</v>
      </c>
      <c r="C282" s="2" t="s">
        <v>1222</v>
      </c>
      <c r="D282" s="2">
        <v>19.0</v>
      </c>
      <c r="E282" s="2" t="s">
        <v>1233</v>
      </c>
      <c r="F282" s="2" t="s">
        <v>549</v>
      </c>
      <c r="G282" s="2" t="s">
        <v>407</v>
      </c>
      <c r="H282" s="2" t="s">
        <v>140</v>
      </c>
      <c r="I282" s="2">
        <v>30.0</v>
      </c>
      <c r="J282" s="2" t="s">
        <v>242</v>
      </c>
      <c r="K282" s="2">
        <v>6.0</v>
      </c>
      <c r="L282" s="2" t="s">
        <v>77</v>
      </c>
      <c r="M282" s="2">
        <v>-24.0</v>
      </c>
      <c r="N282" s="2">
        <v>36.0</v>
      </c>
      <c r="O282" s="2">
        <v>0.0</v>
      </c>
      <c r="P282" s="2">
        <v>2.0260112E9</v>
      </c>
      <c r="Q282" s="2">
        <v>60169.0</v>
      </c>
      <c r="S282" s="2" t="s">
        <v>1234</v>
      </c>
      <c r="U282" s="2">
        <v>4.01772976E8</v>
      </c>
      <c r="V282" s="2">
        <v>7011.0</v>
      </c>
      <c r="W282" s="2">
        <v>8.0</v>
      </c>
      <c r="X282" s="2">
        <v>8.0</v>
      </c>
      <c r="Y282" s="2">
        <v>-155.0</v>
      </c>
      <c r="Z282" s="2">
        <v>130.0</v>
      </c>
      <c r="AA282" s="2">
        <v>-3.0</v>
      </c>
      <c r="AB282" s="2">
        <v>-105.0</v>
      </c>
      <c r="AC282" s="2">
        <v>-115.0</v>
      </c>
      <c r="AD282" s="2">
        <v>38.5</v>
      </c>
      <c r="AE282" s="2">
        <v>-115.0</v>
      </c>
      <c r="AF282" s="2">
        <v>-105.0</v>
      </c>
      <c r="AG282" s="2">
        <v>0.0</v>
      </c>
      <c r="AH282" s="2" t="s">
        <v>395</v>
      </c>
      <c r="AI282" s="2" t="s">
        <v>396</v>
      </c>
      <c r="AJ282" s="2">
        <v>32.0</v>
      </c>
      <c r="AK282" s="2">
        <v>9.0</v>
      </c>
      <c r="AL282" s="2" t="s">
        <v>532</v>
      </c>
      <c r="AM282" s="2" t="s">
        <v>482</v>
      </c>
      <c r="AN282" s="2" t="s">
        <v>208</v>
      </c>
      <c r="AO282" s="2" t="s">
        <v>243</v>
      </c>
      <c r="AP282" s="2" t="s">
        <v>534</v>
      </c>
      <c r="AQ282" s="2" t="s">
        <v>485</v>
      </c>
      <c r="AR282" s="2" t="s">
        <v>536</v>
      </c>
      <c r="AS282" s="2" t="s">
        <v>593</v>
      </c>
      <c r="AT282" s="2" t="s">
        <v>594</v>
      </c>
      <c r="AV282" s="2">
        <f t="array" ref="AV282">IF($A282="","",IF(INDEX($A282:$AT282,1,MAP!$B$3)=CurrentSeason,1,0))</f>
        <v>0</v>
      </c>
      <c r="AW282" s="2" t="str">
        <f t="shared" si="1"/>
        <v/>
      </c>
    </row>
    <row r="283" ht="15.0" customHeight="1">
      <c r="A283" s="2" t="s">
        <v>1235</v>
      </c>
      <c r="B283" s="2">
        <v>2025.0</v>
      </c>
      <c r="C283" s="2" t="s">
        <v>1222</v>
      </c>
      <c r="D283" s="2">
        <v>19.0</v>
      </c>
      <c r="E283" s="2" t="s">
        <v>1223</v>
      </c>
      <c r="F283" s="2" t="s">
        <v>1099</v>
      </c>
      <c r="G283" s="2" t="s">
        <v>986</v>
      </c>
      <c r="H283" s="2" t="s">
        <v>142</v>
      </c>
      <c r="I283" s="2">
        <v>34.0</v>
      </c>
      <c r="J283" s="2" t="s">
        <v>189</v>
      </c>
      <c r="K283" s="2">
        <v>31.0</v>
      </c>
      <c r="L283" s="2" t="s">
        <v>77</v>
      </c>
      <c r="M283" s="2">
        <v>-3.0</v>
      </c>
      <c r="N283" s="2">
        <v>65.0</v>
      </c>
      <c r="O283" s="2">
        <v>0.0</v>
      </c>
      <c r="P283" s="2">
        <v>2.026011E9</v>
      </c>
      <c r="Q283" s="2">
        <v>60164.0</v>
      </c>
      <c r="S283" s="2" t="s">
        <v>1236</v>
      </c>
      <c r="U283" s="2">
        <v>4.01772979E8</v>
      </c>
      <c r="V283" s="2">
        <v>7006.0</v>
      </c>
      <c r="W283" s="2">
        <v>6.0</v>
      </c>
      <c r="X283" s="2">
        <v>7.0</v>
      </c>
      <c r="Y283" s="2">
        <v>-550.0</v>
      </c>
      <c r="Z283" s="2">
        <v>410.0</v>
      </c>
      <c r="AA283" s="2">
        <v>-10.0</v>
      </c>
      <c r="AB283" s="2">
        <v>-108.0</v>
      </c>
      <c r="AC283" s="2">
        <v>-112.0</v>
      </c>
      <c r="AD283" s="2">
        <v>44.5</v>
      </c>
      <c r="AE283" s="2">
        <v>-108.0</v>
      </c>
      <c r="AF283" s="2">
        <v>-112.0</v>
      </c>
      <c r="AG283" s="2">
        <v>0.0</v>
      </c>
      <c r="AH283" s="2" t="s">
        <v>395</v>
      </c>
      <c r="AI283" s="2" t="s">
        <v>396</v>
      </c>
      <c r="AJ283" s="2">
        <v>72.0</v>
      </c>
      <c r="AK283" s="2">
        <v>16.0</v>
      </c>
      <c r="AL283" s="2" t="s">
        <v>533</v>
      </c>
      <c r="AM283" s="2" t="s">
        <v>453</v>
      </c>
      <c r="AN283" s="2" t="s">
        <v>218</v>
      </c>
      <c r="AO283" s="2" t="s">
        <v>190</v>
      </c>
      <c r="AP283" s="2" t="s">
        <v>535</v>
      </c>
      <c r="AQ283" s="2" t="s">
        <v>455</v>
      </c>
      <c r="AR283" s="2" t="s">
        <v>526</v>
      </c>
      <c r="AS283" s="2" t="s">
        <v>631</v>
      </c>
      <c r="AT283" s="2" t="s">
        <v>632</v>
      </c>
      <c r="AV283" s="2">
        <f t="array" ref="AV283">IF($A283="","",IF(INDEX($A283:$AT283,1,MAP!$B$3)=CurrentSeason,1,0))</f>
        <v>0</v>
      </c>
      <c r="AW283" s="2" t="str">
        <f t="shared" si="1"/>
        <v/>
      </c>
    </row>
    <row r="284" ht="15.0" customHeight="1">
      <c r="A284" s="2" t="s">
        <v>1237</v>
      </c>
      <c r="B284" s="2">
        <v>2025.0</v>
      </c>
      <c r="C284" s="2" t="s">
        <v>1238</v>
      </c>
      <c r="D284" s="2">
        <v>20.0</v>
      </c>
      <c r="E284" s="2" t="s">
        <v>1239</v>
      </c>
      <c r="F284" s="2" t="s">
        <v>1099</v>
      </c>
      <c r="G284" s="2" t="s">
        <v>986</v>
      </c>
      <c r="H284" s="2" t="s">
        <v>136</v>
      </c>
      <c r="I284" s="2">
        <v>30.0</v>
      </c>
      <c r="J284" s="2" t="s">
        <v>139</v>
      </c>
      <c r="K284" s="2">
        <v>33.0</v>
      </c>
      <c r="L284" s="2" t="s">
        <v>77</v>
      </c>
      <c r="M284" s="2">
        <v>3.0</v>
      </c>
      <c r="N284" s="2">
        <v>63.0</v>
      </c>
      <c r="O284" s="2">
        <v>1.0</v>
      </c>
      <c r="P284" s="2">
        <v>2.0260117E9</v>
      </c>
      <c r="Q284" s="2">
        <v>60170.0</v>
      </c>
      <c r="S284" s="2" t="s">
        <v>1240</v>
      </c>
      <c r="U284" s="2">
        <v>4.01772982E8</v>
      </c>
      <c r="W284" s="2">
        <v>6.0</v>
      </c>
      <c r="X284" s="2">
        <v>13.0</v>
      </c>
      <c r="Y284" s="2">
        <v>100.0</v>
      </c>
      <c r="Z284" s="2">
        <v>-120.0</v>
      </c>
      <c r="AA284" s="2">
        <v>1.5</v>
      </c>
      <c r="AB284" s="2">
        <v>-112.0</v>
      </c>
      <c r="AC284" s="2">
        <v>-108.0</v>
      </c>
      <c r="AD284" s="2">
        <v>45.5</v>
      </c>
      <c r="AE284" s="2">
        <v>-112.0</v>
      </c>
      <c r="AF284" s="2">
        <v>-108.0</v>
      </c>
      <c r="AG284" s="2">
        <v>0.0</v>
      </c>
      <c r="AH284" s="2" t="s">
        <v>395</v>
      </c>
      <c r="AI284" s="2" t="s">
        <v>396</v>
      </c>
      <c r="AJ284" s="2">
        <v>36.0</v>
      </c>
      <c r="AK284" s="2">
        <v>5.0</v>
      </c>
      <c r="AL284" s="2" t="s">
        <v>541</v>
      </c>
      <c r="AM284" s="2" t="s">
        <v>504</v>
      </c>
      <c r="AN284" s="2" t="s">
        <v>187</v>
      </c>
      <c r="AO284" s="2" t="s">
        <v>201</v>
      </c>
      <c r="AP284" s="2" t="s">
        <v>543</v>
      </c>
      <c r="AQ284" s="2" t="s">
        <v>506</v>
      </c>
      <c r="AR284" s="2" t="s">
        <v>414</v>
      </c>
      <c r="AS284" s="2" t="s">
        <v>508</v>
      </c>
      <c r="AT284" s="2" t="s">
        <v>509</v>
      </c>
      <c r="AV284" s="2">
        <f t="array" ref="AV284">IF($A284="","",IF(INDEX($A284:$AT284,1,MAP!$B$3)=CurrentSeason,1,0))</f>
        <v>0</v>
      </c>
      <c r="AW284" s="2" t="str">
        <f t="shared" si="1"/>
        <v/>
      </c>
    </row>
    <row r="285" ht="15.0" customHeight="1">
      <c r="A285" s="2" t="s">
        <v>1241</v>
      </c>
      <c r="B285" s="2">
        <v>2025.0</v>
      </c>
      <c r="C285" s="2" t="s">
        <v>1238</v>
      </c>
      <c r="D285" s="2">
        <v>20.0</v>
      </c>
      <c r="E285" s="2" t="s">
        <v>1239</v>
      </c>
      <c r="F285" s="2" t="s">
        <v>1099</v>
      </c>
      <c r="G285" s="2" t="s">
        <v>407</v>
      </c>
      <c r="H285" s="2" t="s">
        <v>246</v>
      </c>
      <c r="I285" s="2">
        <v>6.0</v>
      </c>
      <c r="J285" s="2" t="s">
        <v>149</v>
      </c>
      <c r="K285" s="2">
        <v>41.0</v>
      </c>
      <c r="L285" s="2" t="s">
        <v>77</v>
      </c>
      <c r="M285" s="2">
        <v>35.0</v>
      </c>
      <c r="N285" s="2">
        <v>47.0</v>
      </c>
      <c r="O285" s="2">
        <v>0.0</v>
      </c>
      <c r="P285" s="2">
        <v>2.026011701E9</v>
      </c>
      <c r="Q285" s="2">
        <v>60171.0</v>
      </c>
      <c r="S285" s="2" t="s">
        <v>1242</v>
      </c>
      <c r="U285" s="2">
        <v>4.01772984E8</v>
      </c>
      <c r="W285" s="2">
        <v>6.0</v>
      </c>
      <c r="X285" s="2">
        <v>14.0</v>
      </c>
      <c r="Y285" s="2">
        <v>245.0</v>
      </c>
      <c r="Z285" s="2">
        <v>-305.0</v>
      </c>
      <c r="AA285" s="2">
        <v>6.5</v>
      </c>
      <c r="AB285" s="2">
        <v>-102.0</v>
      </c>
      <c r="AC285" s="2">
        <v>-118.0</v>
      </c>
      <c r="AD285" s="2">
        <v>44.5</v>
      </c>
      <c r="AE285" s="2">
        <v>-118.0</v>
      </c>
      <c r="AF285" s="2">
        <v>-102.0</v>
      </c>
      <c r="AG285" s="2">
        <v>1.0</v>
      </c>
      <c r="AH285" s="2" t="s">
        <v>395</v>
      </c>
      <c r="AI285" s="2" t="s">
        <v>423</v>
      </c>
      <c r="AJ285" s="2">
        <v>46.0</v>
      </c>
      <c r="AK285" s="2">
        <v>5.0</v>
      </c>
      <c r="AL285" s="2" t="s">
        <v>512</v>
      </c>
      <c r="AM285" s="2" t="s">
        <v>513</v>
      </c>
      <c r="AN285" s="2" t="s">
        <v>247</v>
      </c>
      <c r="AO285" s="2" t="s">
        <v>245</v>
      </c>
      <c r="AP285" s="2" t="s">
        <v>514</v>
      </c>
      <c r="AQ285" s="2" t="s">
        <v>515</v>
      </c>
      <c r="AR285" s="2" t="s">
        <v>544</v>
      </c>
      <c r="AS285" s="2" t="s">
        <v>517</v>
      </c>
      <c r="AT285" s="2" t="s">
        <v>518</v>
      </c>
      <c r="AV285" s="2">
        <f t="array" ref="AV285">IF($A285="","",IF(INDEX($A285:$AT285,1,MAP!$B$3)=CurrentSeason,1,0))</f>
        <v>0</v>
      </c>
      <c r="AW285" s="2" t="str">
        <f t="shared" si="1"/>
        <v/>
      </c>
    </row>
    <row r="286" ht="15.0" customHeight="1">
      <c r="A286" s="2" t="s">
        <v>1243</v>
      </c>
      <c r="B286" s="2">
        <v>2025.0</v>
      </c>
      <c r="C286" s="2" t="s">
        <v>1238</v>
      </c>
      <c r="D286" s="2">
        <v>20.0</v>
      </c>
      <c r="E286" s="2" t="s">
        <v>1244</v>
      </c>
      <c r="F286" s="2" t="s">
        <v>419</v>
      </c>
      <c r="G286" s="2" t="s">
        <v>1245</v>
      </c>
      <c r="H286" s="2" t="s">
        <v>142</v>
      </c>
      <c r="I286" s="2">
        <v>20.0</v>
      </c>
      <c r="J286" s="2" t="s">
        <v>137</v>
      </c>
      <c r="K286" s="2">
        <v>17.0</v>
      </c>
      <c r="L286" s="2" t="s">
        <v>77</v>
      </c>
      <c r="M286" s="2">
        <v>-3.0</v>
      </c>
      <c r="N286" s="2">
        <v>37.0</v>
      </c>
      <c r="O286" s="2">
        <v>1.0</v>
      </c>
      <c r="P286" s="2">
        <v>2.0260118E9</v>
      </c>
      <c r="Q286" s="2">
        <v>60172.0</v>
      </c>
      <c r="S286" s="2" t="s">
        <v>1246</v>
      </c>
      <c r="U286" s="2">
        <v>4.01772985E8</v>
      </c>
      <c r="W286" s="2">
        <v>8.0</v>
      </c>
      <c r="X286" s="2">
        <v>8.0</v>
      </c>
      <c r="Y286" s="2">
        <v>-205.0</v>
      </c>
      <c r="Z286" s="2">
        <v>170.0</v>
      </c>
      <c r="AA286" s="2">
        <v>-3.5</v>
      </c>
      <c r="AB286" s="2">
        <v>-118.0</v>
      </c>
      <c r="AC286" s="2">
        <v>-102.0</v>
      </c>
      <c r="AD286" s="2">
        <v>49.5</v>
      </c>
      <c r="AE286" s="2">
        <v>-110.0</v>
      </c>
      <c r="AF286" s="2">
        <v>-110.0</v>
      </c>
      <c r="AG286" s="2">
        <v>0.0</v>
      </c>
      <c r="AH286" s="2" t="s">
        <v>395</v>
      </c>
      <c r="AI286" s="2" t="s">
        <v>396</v>
      </c>
      <c r="AJ286" s="2">
        <v>19.0</v>
      </c>
      <c r="AK286" s="2">
        <v>6.0</v>
      </c>
      <c r="AL286" s="2" t="s">
        <v>533</v>
      </c>
      <c r="AM286" s="2" t="s">
        <v>553</v>
      </c>
      <c r="AN286" s="2" t="s">
        <v>218</v>
      </c>
      <c r="AO286" s="2" t="s">
        <v>192</v>
      </c>
      <c r="AP286" s="2" t="s">
        <v>535</v>
      </c>
      <c r="AQ286" s="2" t="s">
        <v>556</v>
      </c>
      <c r="AR286" s="2" t="s">
        <v>516</v>
      </c>
      <c r="AS286" s="2" t="s">
        <v>558</v>
      </c>
      <c r="AT286" s="2" t="s">
        <v>559</v>
      </c>
      <c r="AV286" s="2">
        <f t="array" ref="AV286">IF($A286="","",IF(INDEX($A286:$AT286,1,MAP!$B$3)=CurrentSeason,1,0))</f>
        <v>0</v>
      </c>
      <c r="AW286" s="2" t="str">
        <f t="shared" si="1"/>
        <v/>
      </c>
    </row>
    <row r="287" ht="15.0" customHeight="1">
      <c r="A287" s="2" t="s">
        <v>1247</v>
      </c>
      <c r="B287" s="2">
        <v>2025.0</v>
      </c>
      <c r="C287" s="2" t="s">
        <v>1238</v>
      </c>
      <c r="D287" s="2">
        <v>20.0</v>
      </c>
      <c r="E287" s="2" t="s">
        <v>1244</v>
      </c>
      <c r="F287" s="2" t="s">
        <v>419</v>
      </c>
      <c r="G287" s="2" t="s">
        <v>992</v>
      </c>
      <c r="H287" s="2" t="s">
        <v>140</v>
      </c>
      <c r="I287" s="2">
        <v>16.0</v>
      </c>
      <c r="J287" s="2" t="s">
        <v>145</v>
      </c>
      <c r="K287" s="2">
        <v>28.0</v>
      </c>
      <c r="L287" s="2" t="s">
        <v>77</v>
      </c>
      <c r="M287" s="2">
        <v>12.0</v>
      </c>
      <c r="N287" s="2">
        <v>44.0</v>
      </c>
      <c r="O287" s="2">
        <v>0.0</v>
      </c>
      <c r="P287" s="2">
        <v>2.026011801E9</v>
      </c>
      <c r="Q287" s="2">
        <v>60173.0</v>
      </c>
      <c r="S287" s="2" t="s">
        <v>1248</v>
      </c>
      <c r="U287" s="2">
        <v>4.01772983E8</v>
      </c>
      <c r="W287" s="2">
        <v>6.0</v>
      </c>
      <c r="X287" s="2">
        <v>7.0</v>
      </c>
      <c r="Y287" s="2">
        <v>150.0</v>
      </c>
      <c r="Z287" s="2">
        <v>-180.0</v>
      </c>
      <c r="AA287" s="2">
        <v>3.0</v>
      </c>
      <c r="AB287" s="2">
        <v>102.0</v>
      </c>
      <c r="AC287" s="2">
        <v>-122.0</v>
      </c>
      <c r="AD287" s="2">
        <v>40.5</v>
      </c>
      <c r="AE287" s="2">
        <v>-105.0</v>
      </c>
      <c r="AF287" s="2">
        <v>-115.0</v>
      </c>
      <c r="AG287" s="2">
        <v>0.0</v>
      </c>
      <c r="AH287" s="2" t="s">
        <v>395</v>
      </c>
      <c r="AI287" s="2" t="s">
        <v>423</v>
      </c>
      <c r="AJ287" s="2">
        <v>35.0</v>
      </c>
      <c r="AK287" s="2">
        <v>2.0</v>
      </c>
      <c r="AL287" s="2" t="s">
        <v>532</v>
      </c>
      <c r="AM287" s="2" t="s">
        <v>463</v>
      </c>
      <c r="AN287" s="2" t="s">
        <v>208</v>
      </c>
      <c r="AO287" s="2" t="s">
        <v>230</v>
      </c>
      <c r="AP287" s="2" t="s">
        <v>534</v>
      </c>
      <c r="AQ287" s="2" t="s">
        <v>465</v>
      </c>
      <c r="AR287" s="2" t="s">
        <v>401</v>
      </c>
      <c r="AS287" s="2" t="s">
        <v>467</v>
      </c>
      <c r="AT287" s="2" t="s">
        <v>468</v>
      </c>
      <c r="AV287" s="2">
        <f t="array" ref="AV287">IF($A287="","",IF(INDEX($A287:$AT287,1,MAP!$B$3)=CurrentSeason,1,0))</f>
        <v>0</v>
      </c>
      <c r="AW287" s="2" t="str">
        <f t="shared" si="1"/>
        <v/>
      </c>
    </row>
    <row r="288" ht="15.0" customHeight="1">
      <c r="A288" s="2" t="s">
        <v>1249</v>
      </c>
      <c r="B288" s="2">
        <v>2025.0</v>
      </c>
      <c r="C288" s="2" t="s">
        <v>1250</v>
      </c>
      <c r="D288" s="2">
        <v>21.0</v>
      </c>
      <c r="E288" s="2" t="s">
        <v>1251</v>
      </c>
      <c r="F288" s="2" t="s">
        <v>419</v>
      </c>
      <c r="G288" s="2" t="s">
        <v>992</v>
      </c>
      <c r="H288" s="2" t="s">
        <v>145</v>
      </c>
      <c r="I288" s="2">
        <v>10.0</v>
      </c>
      <c r="J288" s="2" t="s">
        <v>139</v>
      </c>
      <c r="K288" s="2">
        <v>7.0</v>
      </c>
      <c r="L288" s="2" t="s">
        <v>77</v>
      </c>
      <c r="M288" s="2">
        <v>-3.0</v>
      </c>
      <c r="N288" s="2">
        <v>17.0</v>
      </c>
      <c r="O288" s="2">
        <v>0.0</v>
      </c>
      <c r="P288" s="2">
        <v>2.0260125E9</v>
      </c>
      <c r="Q288" s="2">
        <v>60174.0</v>
      </c>
      <c r="S288" s="2" t="s">
        <v>1252</v>
      </c>
      <c r="U288" s="2">
        <v>4.01772986E8</v>
      </c>
      <c r="W288" s="2">
        <v>7.0</v>
      </c>
      <c r="X288" s="2">
        <v>8.0</v>
      </c>
      <c r="Y288" s="2">
        <v>-205.0</v>
      </c>
      <c r="Z288" s="2">
        <v>170.0</v>
      </c>
      <c r="AA288" s="2">
        <v>-3.5</v>
      </c>
      <c r="AB288" s="2">
        <v>-115.0</v>
      </c>
      <c r="AC288" s="2">
        <v>-105.0</v>
      </c>
      <c r="AD288" s="2">
        <v>43.5</v>
      </c>
      <c r="AE288" s="2">
        <v>-118.0</v>
      </c>
      <c r="AF288" s="2">
        <v>-102.0</v>
      </c>
      <c r="AG288" s="2">
        <v>0.0</v>
      </c>
      <c r="AH288" s="2" t="s">
        <v>395</v>
      </c>
      <c r="AI288" s="2" t="s">
        <v>396</v>
      </c>
      <c r="AJ288" s="2">
        <v>26.0</v>
      </c>
      <c r="AK288" s="2">
        <v>10.0</v>
      </c>
      <c r="AL288" s="2" t="s">
        <v>463</v>
      </c>
      <c r="AM288" s="2" t="s">
        <v>1253</v>
      </c>
      <c r="AN288" s="2" t="s">
        <v>230</v>
      </c>
      <c r="AO288" s="2" t="s">
        <v>1254</v>
      </c>
      <c r="AP288" s="2" t="s">
        <v>465</v>
      </c>
      <c r="AQ288" s="2" t="s">
        <v>506</v>
      </c>
      <c r="AR288" s="2" t="s">
        <v>507</v>
      </c>
      <c r="AS288" s="2" t="s">
        <v>508</v>
      </c>
      <c r="AT288" s="2" t="s">
        <v>509</v>
      </c>
      <c r="AV288" s="2">
        <f t="array" ref="AV288">IF($A288="","",IF(INDEX($A288:$AT288,1,MAP!$B$3)=CurrentSeason,1,0))</f>
        <v>0</v>
      </c>
      <c r="AW288" s="2" t="str">
        <f t="shared" si="1"/>
        <v/>
      </c>
    </row>
    <row r="289" ht="15.0" customHeight="1">
      <c r="A289" s="2" t="s">
        <v>1255</v>
      </c>
      <c r="B289" s="2">
        <v>2025.0</v>
      </c>
      <c r="C289" s="2" t="s">
        <v>1250</v>
      </c>
      <c r="D289" s="2">
        <v>21.0</v>
      </c>
      <c r="E289" s="2" t="s">
        <v>1251</v>
      </c>
      <c r="F289" s="2" t="s">
        <v>419</v>
      </c>
      <c r="G289" s="2" t="s">
        <v>1245</v>
      </c>
      <c r="H289" s="2" t="s">
        <v>142</v>
      </c>
      <c r="I289" s="2">
        <v>27.0</v>
      </c>
      <c r="J289" s="2" t="s">
        <v>149</v>
      </c>
      <c r="K289" s="2">
        <v>31.0</v>
      </c>
      <c r="L289" s="2" t="s">
        <v>77</v>
      </c>
      <c r="M289" s="2">
        <v>4.0</v>
      </c>
      <c r="N289" s="2">
        <v>58.0</v>
      </c>
      <c r="O289" s="2">
        <v>0.0</v>
      </c>
      <c r="P289" s="2">
        <v>2.026012501E9</v>
      </c>
      <c r="Q289" s="2">
        <v>60175.0</v>
      </c>
      <c r="S289" s="2" t="s">
        <v>1256</v>
      </c>
      <c r="U289" s="2">
        <v>4.01772987E8</v>
      </c>
      <c r="W289" s="2">
        <v>7.0</v>
      </c>
      <c r="X289" s="2">
        <v>8.0</v>
      </c>
      <c r="Y289" s="2">
        <v>120.0</v>
      </c>
      <c r="Z289" s="2">
        <v>-142.0</v>
      </c>
      <c r="AA289" s="2">
        <v>2.5</v>
      </c>
      <c r="AB289" s="2">
        <v>-115.0</v>
      </c>
      <c r="AC289" s="2">
        <v>-105.0</v>
      </c>
      <c r="AD289" s="2">
        <v>45.5</v>
      </c>
      <c r="AE289" s="2">
        <v>-105.0</v>
      </c>
      <c r="AF289" s="2">
        <v>-115.0</v>
      </c>
      <c r="AG289" s="2">
        <v>1.0</v>
      </c>
      <c r="AH289" s="2" t="s">
        <v>395</v>
      </c>
      <c r="AI289" s="2" t="s">
        <v>423</v>
      </c>
      <c r="AJ289" s="2">
        <v>41.0</v>
      </c>
      <c r="AK289" s="2">
        <v>2.0</v>
      </c>
      <c r="AL289" s="2" t="s">
        <v>533</v>
      </c>
      <c r="AM289" s="2" t="s">
        <v>513</v>
      </c>
      <c r="AN289" s="2" t="s">
        <v>218</v>
      </c>
      <c r="AO289" s="2" t="s">
        <v>245</v>
      </c>
      <c r="AP289" s="2" t="s">
        <v>535</v>
      </c>
      <c r="AQ289" s="2" t="s">
        <v>515</v>
      </c>
      <c r="AR289" s="2" t="s">
        <v>497</v>
      </c>
      <c r="AS289" s="2" t="s">
        <v>517</v>
      </c>
      <c r="AT289" s="2" t="s">
        <v>518</v>
      </c>
      <c r="AV289" s="2">
        <f t="array" ref="AV289">IF($A289="","",IF(INDEX($A289:$AT289,1,MAP!$B$3)=CurrentSeason,1,0))</f>
        <v>0</v>
      </c>
      <c r="AW289" s="2" t="str">
        <f t="shared" si="1"/>
        <v/>
      </c>
    </row>
    <row r="290" ht="15.0" customHeight="1">
      <c r="A290" s="2" t="s">
        <v>1257</v>
      </c>
      <c r="B290" s="2">
        <v>2025.0</v>
      </c>
      <c r="C290" s="2" t="s">
        <v>1258</v>
      </c>
      <c r="D290" s="2">
        <v>22.0</v>
      </c>
      <c r="E290" s="2" t="s">
        <v>1259</v>
      </c>
      <c r="F290" s="2" t="s">
        <v>419</v>
      </c>
      <c r="G290" s="2" t="s">
        <v>1245</v>
      </c>
      <c r="H290" s="2" t="s">
        <v>149</v>
      </c>
      <c r="I290" s="2">
        <v>29.0</v>
      </c>
      <c r="J290" s="2" t="s">
        <v>145</v>
      </c>
      <c r="K290" s="2">
        <v>13.0</v>
      </c>
      <c r="L290" s="2" t="s">
        <v>78</v>
      </c>
      <c r="M290" s="2">
        <v>-16.0</v>
      </c>
      <c r="N290" s="2">
        <v>42.0</v>
      </c>
      <c r="O290" s="2">
        <v>0.0</v>
      </c>
      <c r="P290" s="2">
        <v>2.0260208E9</v>
      </c>
      <c r="Q290" s="2">
        <v>60176.0</v>
      </c>
      <c r="S290" s="2" t="s">
        <v>1260</v>
      </c>
      <c r="U290" s="2">
        <v>4.01772988E8</v>
      </c>
      <c r="W290" s="2">
        <v>14.0</v>
      </c>
      <c r="X290" s="2">
        <v>14.0</v>
      </c>
      <c r="Y290" s="2">
        <v>-238.0</v>
      </c>
      <c r="Z290" s="2">
        <v>195.0</v>
      </c>
      <c r="AA290" s="2">
        <v>-4.5</v>
      </c>
      <c r="AB290" s="2">
        <v>-115.0</v>
      </c>
      <c r="AC290" s="2">
        <v>-105.0</v>
      </c>
      <c r="AD290" s="2">
        <v>45.5</v>
      </c>
      <c r="AE290" s="2">
        <v>-115.0</v>
      </c>
      <c r="AF290" s="2">
        <v>-105.0</v>
      </c>
      <c r="AG290" s="2">
        <v>0.0</v>
      </c>
      <c r="AH290" s="2" t="s">
        <v>395</v>
      </c>
      <c r="AI290" s="2" t="s">
        <v>396</v>
      </c>
      <c r="AJ290" s="2">
        <v>67.0</v>
      </c>
      <c r="AK290" s="2">
        <v>7.0</v>
      </c>
      <c r="AL290" s="2" t="s">
        <v>513</v>
      </c>
      <c r="AM290" s="2" t="s">
        <v>463</v>
      </c>
      <c r="AN290" s="2" t="s">
        <v>245</v>
      </c>
      <c r="AO290" s="2" t="s">
        <v>230</v>
      </c>
      <c r="AP290" s="2" t="s">
        <v>515</v>
      </c>
      <c r="AQ290" s="2" t="s">
        <v>465</v>
      </c>
      <c r="AR290" s="2" t="s">
        <v>401</v>
      </c>
      <c r="AS290" s="2" t="s">
        <v>667</v>
      </c>
      <c r="AT290" s="2" t="s">
        <v>668</v>
      </c>
      <c r="AV290" s="2">
        <f t="array" ref="AV290">IF($A290="","",IF(INDEX($A290:$AT290,1,MAP!$B$3)=CurrentSeason,1,0))</f>
        <v>0</v>
      </c>
      <c r="AW290" s="2" t="str">
        <f t="shared" si="1"/>
        <v/>
      </c>
    </row>
    <row r="291" ht="15.0" customHeight="1">
      <c r="A291" s="26" t="s">
        <v>1261</v>
      </c>
      <c r="B291" s="26">
        <v>2026.0</v>
      </c>
      <c r="C291" s="26" t="s">
        <v>390</v>
      </c>
      <c r="D291" s="26">
        <v>1.0</v>
      </c>
      <c r="E291" s="26">
        <v>46274.0</v>
      </c>
      <c r="F291" s="26" t="s">
        <v>1262</v>
      </c>
      <c r="G291" s="26">
        <v>0.8472222222226264</v>
      </c>
      <c r="H291" s="26" t="s">
        <v>145</v>
      </c>
      <c r="J291" s="26" t="s">
        <v>149</v>
      </c>
      <c r="L291" s="26" t="s">
        <v>77</v>
      </c>
      <c r="P291" s="26">
        <v>2.0260909E9</v>
      </c>
      <c r="S291" s="26" t="s">
        <v>1263</v>
      </c>
      <c r="W291" s="26">
        <v>7.0</v>
      </c>
      <c r="X291" s="26">
        <v>7.0</v>
      </c>
      <c r="Y291" s="26">
        <v>160.0</v>
      </c>
      <c r="Z291" s="26">
        <v>-192.0</v>
      </c>
      <c r="AA291" s="26">
        <v>3.5</v>
      </c>
      <c r="AB291" s="26">
        <v>-110.0</v>
      </c>
      <c r="AC291" s="26">
        <v>-110.0</v>
      </c>
      <c r="AD291" s="26">
        <v>44.5</v>
      </c>
      <c r="AE291" s="26">
        <v>-110.0</v>
      </c>
      <c r="AF291" s="26">
        <v>-110.0</v>
      </c>
      <c r="AG291" s="26">
        <v>0.0</v>
      </c>
      <c r="AH291" s="26" t="s">
        <v>395</v>
      </c>
      <c r="AI291" s="26" t="s">
        <v>423</v>
      </c>
      <c r="AP291" s="26" t="s">
        <v>465</v>
      </c>
      <c r="AQ291" s="26" t="s">
        <v>515</v>
      </c>
      <c r="AS291" s="26" t="s">
        <v>517</v>
      </c>
      <c r="AT291" s="26" t="s">
        <v>518</v>
      </c>
      <c r="AV291" s="2">
        <f t="array" ref="AV291">IF($A291="","",IF(INDEX($A291:$AT291,1,MAP!$B$3)=CurrentSeason,1,0))</f>
        <v>1</v>
      </c>
      <c r="AW291" s="2">
        <f t="shared" si="1"/>
        <v>1</v>
      </c>
    </row>
    <row r="292" ht="15.0" customHeight="1">
      <c r="A292" s="26" t="s">
        <v>1264</v>
      </c>
      <c r="B292" s="26">
        <v>2026.0</v>
      </c>
      <c r="C292" s="26" t="s">
        <v>390</v>
      </c>
      <c r="D292" s="26">
        <v>1.0</v>
      </c>
      <c r="E292" s="26">
        <v>46275.0</v>
      </c>
      <c r="F292" s="26" t="s">
        <v>392</v>
      </c>
      <c r="G292" s="26">
        <v>0.8576388888905058</v>
      </c>
      <c r="H292" s="26" t="s">
        <v>246</v>
      </c>
      <c r="J292" s="26" t="s">
        <v>142</v>
      </c>
      <c r="L292" s="26" t="s">
        <v>78</v>
      </c>
      <c r="P292" s="26">
        <v>2.026091E9</v>
      </c>
      <c r="S292" s="26" t="s">
        <v>1265</v>
      </c>
      <c r="W292" s="26">
        <v>7.0</v>
      </c>
      <c r="X292" s="26">
        <v>7.0</v>
      </c>
      <c r="Y292" s="26">
        <v>142.0</v>
      </c>
      <c r="Z292" s="26">
        <v>-170.0</v>
      </c>
      <c r="AA292" s="26">
        <v>3.0</v>
      </c>
      <c r="AB292" s="26">
        <v>100.0</v>
      </c>
      <c r="AC292" s="26">
        <v>-120.0</v>
      </c>
      <c r="AD292" s="26">
        <v>48.5</v>
      </c>
      <c r="AE292" s="26">
        <v>-110.0</v>
      </c>
      <c r="AF292" s="26">
        <v>-110.0</v>
      </c>
      <c r="AG292" s="26">
        <v>1.0</v>
      </c>
      <c r="AH292" s="26" t="s">
        <v>409</v>
      </c>
      <c r="AI292" s="26" t="s">
        <v>531</v>
      </c>
      <c r="AP292" s="26" t="s">
        <v>514</v>
      </c>
      <c r="AQ292" s="26" t="s">
        <v>535</v>
      </c>
      <c r="AS292" s="26" t="s">
        <v>415</v>
      </c>
      <c r="AT292" s="26" t="s">
        <v>1266</v>
      </c>
      <c r="AV292" s="2">
        <f t="array" ref="AV292">IF($A292="","",IF(INDEX($A292:$AT292,1,MAP!$B$3)=CurrentSeason,1,0))</f>
        <v>1</v>
      </c>
      <c r="AW292" s="2">
        <f t="shared" si="1"/>
        <v>2</v>
      </c>
    </row>
    <row r="293" ht="15.0" customHeight="1">
      <c r="A293" s="26" t="s">
        <v>1267</v>
      </c>
      <c r="B293" s="26">
        <v>2026.0</v>
      </c>
      <c r="C293" s="26" t="s">
        <v>390</v>
      </c>
      <c r="D293" s="26">
        <v>1.0</v>
      </c>
      <c r="E293" s="26">
        <v>46278.0</v>
      </c>
      <c r="F293" s="26" t="s">
        <v>419</v>
      </c>
      <c r="G293" s="26">
        <v>0.5416666666678793</v>
      </c>
      <c r="H293" s="26" t="s">
        <v>137</v>
      </c>
      <c r="J293" s="26" t="s">
        <v>189</v>
      </c>
      <c r="L293" s="26" t="s">
        <v>77</v>
      </c>
      <c r="P293" s="26">
        <v>2.0260913E9</v>
      </c>
      <c r="S293" s="26" t="s">
        <v>1268</v>
      </c>
      <c r="W293" s="26">
        <v>7.0</v>
      </c>
      <c r="X293" s="26">
        <v>7.0</v>
      </c>
      <c r="Y293" s="26">
        <v>-135.0</v>
      </c>
      <c r="Z293" s="26">
        <v>114.0</v>
      </c>
      <c r="AA293" s="26">
        <v>-2.5</v>
      </c>
      <c r="AB293" s="26">
        <v>-110.0</v>
      </c>
      <c r="AC293" s="26">
        <v>-110.0</v>
      </c>
      <c r="AD293" s="26">
        <v>44.5</v>
      </c>
      <c r="AE293" s="26">
        <v>-110.0</v>
      </c>
      <c r="AF293" s="26">
        <v>-110.0</v>
      </c>
      <c r="AG293" s="26">
        <v>0.0</v>
      </c>
      <c r="AH293" s="26" t="s">
        <v>395</v>
      </c>
      <c r="AI293" s="26" t="s">
        <v>396</v>
      </c>
      <c r="AP293" s="26" t="s">
        <v>556</v>
      </c>
      <c r="AQ293" s="26" t="s">
        <v>455</v>
      </c>
      <c r="AS293" s="26" t="s">
        <v>631</v>
      </c>
      <c r="AT293" s="26" t="s">
        <v>632</v>
      </c>
      <c r="AV293" s="2">
        <f t="array" ref="AV293">IF($A293="","",IF(INDEX($A293:$AT293,1,MAP!$B$3)=CurrentSeason,1,0))</f>
        <v>1</v>
      </c>
      <c r="AW293" s="2">
        <f t="shared" si="1"/>
        <v>3</v>
      </c>
    </row>
    <row r="294" ht="15.0" customHeight="1">
      <c r="A294" s="26" t="s">
        <v>1269</v>
      </c>
      <c r="B294" s="26">
        <v>2026.0</v>
      </c>
      <c r="C294" s="26" t="s">
        <v>390</v>
      </c>
      <c r="D294" s="26">
        <v>1.0</v>
      </c>
      <c r="E294" s="26">
        <v>46278.0</v>
      </c>
      <c r="F294" s="26" t="s">
        <v>419</v>
      </c>
      <c r="G294" s="26">
        <v>0.5416666666678793</v>
      </c>
      <c r="H294" s="26" t="s">
        <v>150</v>
      </c>
      <c r="J294" s="26" t="s">
        <v>138</v>
      </c>
      <c r="L294" s="26" t="s">
        <v>77</v>
      </c>
      <c r="P294" s="26">
        <v>2.026091301E9</v>
      </c>
      <c r="S294" s="26" t="s">
        <v>1270</v>
      </c>
      <c r="W294" s="26">
        <v>7.0</v>
      </c>
      <c r="X294" s="26">
        <v>7.0</v>
      </c>
      <c r="Y294" s="26">
        <v>164.0</v>
      </c>
      <c r="Z294" s="26">
        <v>-198.0</v>
      </c>
      <c r="AA294" s="26">
        <v>3.5</v>
      </c>
      <c r="AB294" s="26">
        <v>-110.0</v>
      </c>
      <c r="AC294" s="26">
        <v>-110.0</v>
      </c>
      <c r="AD294" s="26">
        <v>50.5</v>
      </c>
      <c r="AE294" s="26">
        <v>-105.0</v>
      </c>
      <c r="AF294" s="26">
        <v>-115.0</v>
      </c>
      <c r="AG294" s="26">
        <v>0.0</v>
      </c>
      <c r="AH294" s="26" t="s">
        <v>395</v>
      </c>
      <c r="AI294" s="26" t="s">
        <v>423</v>
      </c>
      <c r="AP294" s="26" t="s">
        <v>427</v>
      </c>
      <c r="AQ294" s="26" t="s">
        <v>437</v>
      </c>
      <c r="AS294" s="26" t="s">
        <v>571</v>
      </c>
      <c r="AT294" s="26" t="s">
        <v>572</v>
      </c>
      <c r="AV294" s="2">
        <f t="array" ref="AV294">IF($A294="","",IF(INDEX($A294:$AT294,1,MAP!$B$3)=CurrentSeason,1,0))</f>
        <v>1</v>
      </c>
      <c r="AW294" s="2">
        <f t="shared" si="1"/>
        <v>4</v>
      </c>
    </row>
    <row r="295" ht="15.0" customHeight="1">
      <c r="A295" s="26" t="s">
        <v>1271</v>
      </c>
      <c r="B295" s="26">
        <v>2026.0</v>
      </c>
      <c r="C295" s="26" t="s">
        <v>390</v>
      </c>
      <c r="D295" s="26">
        <v>1.0</v>
      </c>
      <c r="E295" s="26">
        <v>46278.0</v>
      </c>
      <c r="F295" s="26" t="s">
        <v>419</v>
      </c>
      <c r="G295" s="26">
        <v>0.5416666666678793</v>
      </c>
      <c r="H295" s="26" t="s">
        <v>232</v>
      </c>
      <c r="J295" s="26" t="s">
        <v>202</v>
      </c>
      <c r="L295" s="26" t="s">
        <v>77</v>
      </c>
      <c r="P295" s="26">
        <v>2.026091302E9</v>
      </c>
      <c r="S295" s="26" t="s">
        <v>1272</v>
      </c>
      <c r="W295" s="26">
        <v>7.0</v>
      </c>
      <c r="X295" s="26">
        <v>7.0</v>
      </c>
      <c r="Y295" s="26">
        <v>260.0</v>
      </c>
      <c r="Z295" s="26">
        <v>-325.0</v>
      </c>
      <c r="AA295" s="26">
        <v>7.0</v>
      </c>
      <c r="AB295" s="26">
        <v>-110.0</v>
      </c>
      <c r="AC295" s="26">
        <v>-110.0</v>
      </c>
      <c r="AD295" s="26">
        <v>48.5</v>
      </c>
      <c r="AE295" s="26">
        <v>-105.0</v>
      </c>
      <c r="AF295" s="26">
        <v>-115.0</v>
      </c>
      <c r="AG295" s="26">
        <v>0.0</v>
      </c>
      <c r="AH295" s="26" t="s">
        <v>409</v>
      </c>
      <c r="AI295" s="26" t="s">
        <v>423</v>
      </c>
      <c r="AP295" s="26" t="s">
        <v>476</v>
      </c>
      <c r="AQ295" s="26" t="s">
        <v>524</v>
      </c>
      <c r="AS295" s="26" t="s">
        <v>579</v>
      </c>
      <c r="AT295" s="26" t="s">
        <v>580</v>
      </c>
      <c r="AV295" s="2">
        <f t="array" ref="AV295">IF($A295="","",IF(INDEX($A295:$AT295,1,MAP!$B$3)=CurrentSeason,1,0))</f>
        <v>1</v>
      </c>
      <c r="AW295" s="2">
        <f t="shared" si="1"/>
        <v>5</v>
      </c>
    </row>
    <row r="296" ht="15.0" customHeight="1">
      <c r="A296" s="26" t="s">
        <v>1273</v>
      </c>
      <c r="B296" s="26">
        <v>2026.0</v>
      </c>
      <c r="C296" s="26" t="s">
        <v>390</v>
      </c>
      <c r="D296" s="26">
        <v>1.0</v>
      </c>
      <c r="E296" s="26">
        <v>46278.0</v>
      </c>
      <c r="F296" s="26" t="s">
        <v>419</v>
      </c>
      <c r="G296" s="26">
        <v>0.5416666666678793</v>
      </c>
      <c r="H296" s="26" t="s">
        <v>136</v>
      </c>
      <c r="J296" s="26" t="s">
        <v>140</v>
      </c>
      <c r="L296" s="26" t="s">
        <v>77</v>
      </c>
      <c r="P296" s="26">
        <v>2.026091303E9</v>
      </c>
      <c r="S296" s="26" t="s">
        <v>1274</v>
      </c>
      <c r="W296" s="26">
        <v>7.0</v>
      </c>
      <c r="X296" s="26">
        <v>7.0</v>
      </c>
      <c r="Y296" s="26">
        <v>-115.0</v>
      </c>
      <c r="Z296" s="26">
        <v>-105.0</v>
      </c>
      <c r="AA296" s="26">
        <v>-1.5</v>
      </c>
      <c r="AB296" s="26">
        <v>100.0</v>
      </c>
      <c r="AC296" s="26">
        <v>-120.0</v>
      </c>
      <c r="AD296" s="26">
        <v>45.5</v>
      </c>
      <c r="AE296" s="26">
        <v>-115.0</v>
      </c>
      <c r="AF296" s="26">
        <v>-105.0</v>
      </c>
      <c r="AG296" s="26">
        <v>0.0</v>
      </c>
      <c r="AI296" s="26" t="s">
        <v>617</v>
      </c>
      <c r="AP296" s="26" t="s">
        <v>543</v>
      </c>
      <c r="AQ296" s="26" t="s">
        <v>534</v>
      </c>
      <c r="AS296" s="26" t="s">
        <v>618</v>
      </c>
      <c r="AT296" s="26" t="s">
        <v>1275</v>
      </c>
      <c r="AV296" s="2">
        <f t="array" ref="AV296">IF($A296="","",IF(INDEX($A296:$AT296,1,MAP!$B$3)=CurrentSeason,1,0))</f>
        <v>1</v>
      </c>
      <c r="AW296" s="2">
        <f t="shared" si="1"/>
        <v>6</v>
      </c>
    </row>
    <row r="297" ht="15.0" customHeight="1">
      <c r="A297" s="26" t="s">
        <v>1276</v>
      </c>
      <c r="B297" s="26">
        <v>2026.0</v>
      </c>
      <c r="C297" s="26" t="s">
        <v>390</v>
      </c>
      <c r="D297" s="26">
        <v>1.0</v>
      </c>
      <c r="E297" s="26">
        <v>46278.0</v>
      </c>
      <c r="F297" s="26" t="s">
        <v>419</v>
      </c>
      <c r="G297" s="26">
        <v>0.5416666666678793</v>
      </c>
      <c r="H297" s="26" t="s">
        <v>148</v>
      </c>
      <c r="J297" s="26" t="s">
        <v>210</v>
      </c>
      <c r="L297" s="26" t="s">
        <v>77</v>
      </c>
      <c r="P297" s="26">
        <v>2.026091304E9</v>
      </c>
      <c r="S297" s="26" t="s">
        <v>1277</v>
      </c>
      <c r="W297" s="26">
        <v>7.0</v>
      </c>
      <c r="X297" s="26">
        <v>7.0</v>
      </c>
      <c r="Y297" s="26">
        <v>-192.0</v>
      </c>
      <c r="Z297" s="26">
        <v>160.0</v>
      </c>
      <c r="AA297" s="26">
        <v>-3.5</v>
      </c>
      <c r="AB297" s="26">
        <v>-110.0</v>
      </c>
      <c r="AC297" s="26">
        <v>-110.0</v>
      </c>
      <c r="AD297" s="26">
        <v>49.5</v>
      </c>
      <c r="AE297" s="26">
        <v>-110.0</v>
      </c>
      <c r="AF297" s="26">
        <v>-110.0</v>
      </c>
      <c r="AG297" s="26">
        <v>0.0</v>
      </c>
      <c r="AI297" s="26" t="s">
        <v>423</v>
      </c>
      <c r="AP297" s="26" t="s">
        <v>1278</v>
      </c>
      <c r="AQ297" s="26" t="s">
        <v>447</v>
      </c>
      <c r="AS297" s="26" t="s">
        <v>449</v>
      </c>
      <c r="AT297" s="26" t="s">
        <v>450</v>
      </c>
      <c r="AV297" s="2">
        <f t="array" ref="AV297">IF($A297="","",IF(INDEX($A297:$AT297,1,MAP!$B$3)=CurrentSeason,1,0))</f>
        <v>1</v>
      </c>
      <c r="AW297" s="2">
        <f t="shared" si="1"/>
        <v>7</v>
      </c>
    </row>
    <row r="298" ht="15.0" customHeight="1">
      <c r="A298" s="26" t="s">
        <v>1279</v>
      </c>
      <c r="B298" s="26">
        <v>2026.0</v>
      </c>
      <c r="C298" s="26" t="s">
        <v>390</v>
      </c>
      <c r="D298" s="26">
        <v>1.0</v>
      </c>
      <c r="E298" s="26">
        <v>46278.0</v>
      </c>
      <c r="F298" s="26" t="s">
        <v>419</v>
      </c>
      <c r="G298" s="26">
        <v>0.5416666666678793</v>
      </c>
      <c r="H298" s="26" t="s">
        <v>196</v>
      </c>
      <c r="J298" s="26" t="s">
        <v>141</v>
      </c>
      <c r="L298" s="26" t="s">
        <v>77</v>
      </c>
      <c r="P298" s="26">
        <v>2.026091305E9</v>
      </c>
      <c r="S298" s="26" t="s">
        <v>1280</v>
      </c>
      <c r="W298" s="26">
        <v>7.0</v>
      </c>
      <c r="X298" s="26">
        <v>7.0</v>
      </c>
      <c r="Y298" s="26">
        <v>270.0</v>
      </c>
      <c r="Z298" s="26">
        <v>-340.0</v>
      </c>
      <c r="AA298" s="26">
        <v>7.5</v>
      </c>
      <c r="AB298" s="26">
        <v>-110.0</v>
      </c>
      <c r="AC298" s="26">
        <v>-110.0</v>
      </c>
      <c r="AD298" s="26">
        <v>40.5</v>
      </c>
      <c r="AE298" s="26">
        <v>-105.0</v>
      </c>
      <c r="AF298" s="26">
        <v>-115.0</v>
      </c>
      <c r="AG298" s="26">
        <v>0.0</v>
      </c>
      <c r="AH298" s="26" t="s">
        <v>395</v>
      </c>
      <c r="AI298" s="26" t="s">
        <v>396</v>
      </c>
      <c r="AP298" s="26" t="s">
        <v>1281</v>
      </c>
      <c r="AQ298" s="26" t="s">
        <v>456</v>
      </c>
      <c r="AS298" s="26" t="s">
        <v>458</v>
      </c>
      <c r="AT298" s="26" t="s">
        <v>1282</v>
      </c>
      <c r="AV298" s="2">
        <f t="array" ref="AV298">IF($A298="","",IF(INDEX($A298:$AT298,1,MAP!$B$3)=CurrentSeason,1,0))</f>
        <v>1</v>
      </c>
      <c r="AW298" s="2">
        <f t="shared" si="1"/>
        <v>8</v>
      </c>
    </row>
    <row r="299" ht="15.0" customHeight="1">
      <c r="A299" s="26" t="s">
        <v>1283</v>
      </c>
      <c r="B299" s="26">
        <v>2026.0</v>
      </c>
      <c r="C299" s="26" t="s">
        <v>390</v>
      </c>
      <c r="D299" s="26">
        <v>1.0</v>
      </c>
      <c r="E299" s="26">
        <v>46278.0</v>
      </c>
      <c r="F299" s="26" t="s">
        <v>419</v>
      </c>
      <c r="G299" s="26">
        <v>0.5416666666678793</v>
      </c>
      <c r="H299" s="26" t="s">
        <v>132</v>
      </c>
      <c r="J299" s="26" t="s">
        <v>242</v>
      </c>
      <c r="L299" s="26" t="s">
        <v>77</v>
      </c>
      <c r="P299" s="26">
        <v>2.026091306E9</v>
      </c>
      <c r="S299" s="26" t="s">
        <v>1284</v>
      </c>
      <c r="W299" s="26">
        <v>7.0</v>
      </c>
      <c r="X299" s="26">
        <v>7.0</v>
      </c>
      <c r="Y299" s="26">
        <v>142.0</v>
      </c>
      <c r="Z299" s="26">
        <v>-170.0</v>
      </c>
      <c r="AA299" s="26">
        <v>3.0</v>
      </c>
      <c r="AB299" s="26">
        <v>100.0</v>
      </c>
      <c r="AC299" s="26">
        <v>-120.0</v>
      </c>
      <c r="AD299" s="26">
        <v>42.5</v>
      </c>
      <c r="AE299" s="26">
        <v>-110.0</v>
      </c>
      <c r="AF299" s="26">
        <v>-110.0</v>
      </c>
      <c r="AG299" s="26">
        <v>0.0</v>
      </c>
      <c r="AH299" s="26" t="s">
        <v>395</v>
      </c>
      <c r="AI299" s="26" t="s">
        <v>396</v>
      </c>
      <c r="AP299" s="26" t="s">
        <v>428</v>
      </c>
      <c r="AQ299" s="26" t="s">
        <v>1285</v>
      </c>
      <c r="AS299" s="26" t="s">
        <v>593</v>
      </c>
      <c r="AT299" s="26" t="s">
        <v>594</v>
      </c>
      <c r="AV299" s="2">
        <f t="array" ref="AV299">IF($A299="","",IF(INDEX($A299:$AT299,1,MAP!$B$3)=CurrentSeason,1,0))</f>
        <v>1</v>
      </c>
      <c r="AW299" s="2">
        <f t="shared" si="1"/>
        <v>9</v>
      </c>
    </row>
    <row r="300" ht="15.0" customHeight="1">
      <c r="A300" s="26" t="s">
        <v>1286</v>
      </c>
      <c r="B300" s="26">
        <v>2026.0</v>
      </c>
      <c r="C300" s="26" t="s">
        <v>390</v>
      </c>
      <c r="D300" s="26">
        <v>1.0</v>
      </c>
      <c r="E300" s="26">
        <v>46278.0</v>
      </c>
      <c r="F300" s="26" t="s">
        <v>419</v>
      </c>
      <c r="G300" s="26">
        <v>0.5416666666678793</v>
      </c>
      <c r="H300" s="26" t="s">
        <v>238</v>
      </c>
      <c r="J300" s="26" t="s">
        <v>250</v>
      </c>
      <c r="L300" s="26" t="s">
        <v>77</v>
      </c>
      <c r="P300" s="26">
        <v>2.026091307E9</v>
      </c>
      <c r="S300" s="26" t="s">
        <v>1287</v>
      </c>
      <c r="W300" s="26">
        <v>7.0</v>
      </c>
      <c r="X300" s="26">
        <v>7.0</v>
      </c>
      <c r="Y300" s="26">
        <v>136.0</v>
      </c>
      <c r="Z300" s="26">
        <v>-162.0</v>
      </c>
      <c r="AA300" s="26">
        <v>3.0</v>
      </c>
      <c r="AB300" s="26">
        <v>-110.0</v>
      </c>
      <c r="AC300" s="26">
        <v>-110.0</v>
      </c>
      <c r="AD300" s="26">
        <v>39.5</v>
      </c>
      <c r="AE300" s="26">
        <v>-110.0</v>
      </c>
      <c r="AF300" s="26">
        <v>-110.0</v>
      </c>
      <c r="AG300" s="26">
        <v>0.0</v>
      </c>
      <c r="AH300" s="26" t="s">
        <v>395</v>
      </c>
      <c r="AI300" s="26" t="s">
        <v>396</v>
      </c>
      <c r="AP300" s="26" t="s">
        <v>486</v>
      </c>
      <c r="AQ300" s="26" t="s">
        <v>1288</v>
      </c>
      <c r="AS300" s="26" t="s">
        <v>597</v>
      </c>
      <c r="AT300" s="26" t="s">
        <v>598</v>
      </c>
      <c r="AV300" s="2">
        <f t="array" ref="AV300">IF($A300="","",IF(INDEX($A300:$AT300,1,MAP!$B$3)=CurrentSeason,1,0))</f>
        <v>1</v>
      </c>
      <c r="AW300" s="2">
        <f t="shared" si="1"/>
        <v>10</v>
      </c>
    </row>
    <row r="301" ht="15.0" customHeight="1">
      <c r="A301" s="26" t="s">
        <v>1289</v>
      </c>
      <c r="B301" s="26">
        <v>2026.0</v>
      </c>
      <c r="C301" s="26" t="s">
        <v>390</v>
      </c>
      <c r="D301" s="26">
        <v>1.0</v>
      </c>
      <c r="E301" s="26">
        <v>46278.0</v>
      </c>
      <c r="F301" s="26" t="s">
        <v>419</v>
      </c>
      <c r="G301" s="26">
        <v>0.6840277777773736</v>
      </c>
      <c r="H301" s="26" t="s">
        <v>178</v>
      </c>
      <c r="J301" s="26" t="s">
        <v>220</v>
      </c>
      <c r="L301" s="26" t="s">
        <v>77</v>
      </c>
      <c r="P301" s="26">
        <v>2.026091308E9</v>
      </c>
      <c r="S301" s="26" t="s">
        <v>1290</v>
      </c>
      <c r="W301" s="26">
        <v>7.0</v>
      </c>
      <c r="X301" s="26">
        <v>7.0</v>
      </c>
      <c r="Y301" s="26">
        <v>440.0</v>
      </c>
      <c r="Z301" s="26">
        <v>-600.0</v>
      </c>
      <c r="AA301" s="26">
        <v>11.5</v>
      </c>
      <c r="AB301" s="26">
        <v>-110.0</v>
      </c>
      <c r="AC301" s="26">
        <v>-110.0</v>
      </c>
      <c r="AD301" s="26">
        <v>45.5</v>
      </c>
      <c r="AE301" s="26">
        <v>-110.0</v>
      </c>
      <c r="AF301" s="26">
        <v>-110.0</v>
      </c>
      <c r="AG301" s="26">
        <v>0.0</v>
      </c>
      <c r="AH301" s="26" t="s">
        <v>409</v>
      </c>
      <c r="AI301" s="26" t="s">
        <v>531</v>
      </c>
      <c r="AP301" s="26" t="s">
        <v>475</v>
      </c>
      <c r="AQ301" s="26" t="s">
        <v>413</v>
      </c>
      <c r="AS301" s="26" t="s">
        <v>415</v>
      </c>
      <c r="AT301" s="26" t="s">
        <v>416</v>
      </c>
      <c r="AV301" s="2">
        <f t="array" ref="AV301">IF($A301="","",IF(INDEX($A301:$AT301,1,MAP!$B$3)=CurrentSeason,1,0))</f>
        <v>1</v>
      </c>
      <c r="AW301" s="2">
        <f t="shared" si="1"/>
        <v>11</v>
      </c>
    </row>
    <row r="302" ht="15.0" customHeight="1">
      <c r="A302" s="26" t="s">
        <v>1291</v>
      </c>
      <c r="B302" s="26">
        <v>2026.0</v>
      </c>
      <c r="C302" s="26" t="s">
        <v>390</v>
      </c>
      <c r="D302" s="26">
        <v>1.0</v>
      </c>
      <c r="E302" s="26">
        <v>46278.0</v>
      </c>
      <c r="F302" s="26" t="s">
        <v>419</v>
      </c>
      <c r="G302" s="26">
        <v>0.6840277777773736</v>
      </c>
      <c r="H302" s="26" t="s">
        <v>225</v>
      </c>
      <c r="J302" s="26" t="s">
        <v>222</v>
      </c>
      <c r="L302" s="26" t="s">
        <v>77</v>
      </c>
      <c r="P302" s="26">
        <v>2.026091309E9</v>
      </c>
      <c r="S302" s="26" t="s">
        <v>1292</v>
      </c>
      <c r="W302" s="26">
        <v>7.0</v>
      </c>
      <c r="X302" s="26">
        <v>7.0</v>
      </c>
      <c r="Y302" s="26">
        <v>145.0</v>
      </c>
      <c r="Z302" s="26">
        <v>-175.0</v>
      </c>
      <c r="AA302" s="26">
        <v>3.0</v>
      </c>
      <c r="AB302" s="26">
        <v>100.0</v>
      </c>
      <c r="AC302" s="26">
        <v>-120.0</v>
      </c>
      <c r="AD302" s="26">
        <v>41.5</v>
      </c>
      <c r="AE302" s="26">
        <v>-110.0</v>
      </c>
      <c r="AF302" s="26">
        <v>-110.0</v>
      </c>
      <c r="AG302" s="26">
        <v>0.0</v>
      </c>
      <c r="AH302" s="26" t="s">
        <v>409</v>
      </c>
      <c r="AI302" s="26" t="s">
        <v>396</v>
      </c>
      <c r="AP302" s="26" t="s">
        <v>1293</v>
      </c>
      <c r="AQ302" s="26" t="s">
        <v>1294</v>
      </c>
      <c r="AS302" s="26" t="s">
        <v>623</v>
      </c>
      <c r="AT302" s="26" t="s">
        <v>624</v>
      </c>
      <c r="AV302" s="2">
        <f t="array" ref="AV302">IF($A302="","",IF(INDEX($A302:$AT302,1,MAP!$B$3)=CurrentSeason,1,0))</f>
        <v>1</v>
      </c>
      <c r="AW302" s="2">
        <f t="shared" si="1"/>
        <v>12</v>
      </c>
    </row>
    <row r="303" ht="15.0" customHeight="1">
      <c r="A303" s="26" t="s">
        <v>1295</v>
      </c>
      <c r="B303" s="26">
        <v>2026.0</v>
      </c>
      <c r="C303" s="26" t="s">
        <v>390</v>
      </c>
      <c r="D303" s="26">
        <v>1.0</v>
      </c>
      <c r="E303" s="26">
        <v>46278.0</v>
      </c>
      <c r="F303" s="26" t="s">
        <v>419</v>
      </c>
      <c r="G303" s="26">
        <v>0.6840277777773736</v>
      </c>
      <c r="H303" s="26" t="s">
        <v>205</v>
      </c>
      <c r="J303" s="26" t="s">
        <v>144</v>
      </c>
      <c r="L303" s="26" t="s">
        <v>77</v>
      </c>
      <c r="P303" s="26">
        <v>2.02609131E9</v>
      </c>
      <c r="S303" s="26" t="s">
        <v>1296</v>
      </c>
      <c r="W303" s="26">
        <v>7.0</v>
      </c>
      <c r="X303" s="26">
        <v>7.0</v>
      </c>
      <c r="Y303" s="26">
        <v>-112.0</v>
      </c>
      <c r="Z303" s="26">
        <v>-108.0</v>
      </c>
      <c r="AA303" s="26">
        <v>-1.5</v>
      </c>
      <c r="AB303" s="26">
        <v>105.0</v>
      </c>
      <c r="AC303" s="26">
        <v>-125.0</v>
      </c>
      <c r="AD303" s="26">
        <v>44.5</v>
      </c>
      <c r="AE303" s="26">
        <v>-105.0</v>
      </c>
      <c r="AF303" s="26">
        <v>-115.0</v>
      </c>
      <c r="AG303" s="26">
        <v>1.0</v>
      </c>
      <c r="AH303" s="26" t="s">
        <v>409</v>
      </c>
      <c r="AI303" s="26" t="s">
        <v>471</v>
      </c>
      <c r="AP303" s="26" t="s">
        <v>525</v>
      </c>
      <c r="AQ303" s="26" t="s">
        <v>555</v>
      </c>
      <c r="AS303" s="26" t="s">
        <v>611</v>
      </c>
      <c r="AT303" s="26" t="s">
        <v>612</v>
      </c>
      <c r="AV303" s="2">
        <f t="array" ref="AV303">IF($A303="","",IF(INDEX($A303:$AT303,1,MAP!$B$3)=CurrentSeason,1,0))</f>
        <v>1</v>
      </c>
      <c r="AW303" s="2">
        <f t="shared" si="1"/>
        <v>13</v>
      </c>
    </row>
    <row r="304" ht="15.0" customHeight="1">
      <c r="A304" s="26" t="s">
        <v>1297</v>
      </c>
      <c r="B304" s="26">
        <v>2026.0</v>
      </c>
      <c r="C304" s="26" t="s">
        <v>390</v>
      </c>
      <c r="D304" s="26">
        <v>1.0</v>
      </c>
      <c r="E304" s="26">
        <v>46278.0</v>
      </c>
      <c r="F304" s="26" t="s">
        <v>419</v>
      </c>
      <c r="G304" s="26">
        <v>0.6840277777773736</v>
      </c>
      <c r="H304" s="26" t="s">
        <v>253</v>
      </c>
      <c r="J304" s="26" t="s">
        <v>147</v>
      </c>
      <c r="L304" s="26" t="s">
        <v>77</v>
      </c>
      <c r="P304" s="26">
        <v>2.026091311E9</v>
      </c>
      <c r="S304" s="26" t="s">
        <v>1298</v>
      </c>
      <c r="W304" s="26">
        <v>7.0</v>
      </c>
      <c r="X304" s="26">
        <v>7.0</v>
      </c>
      <c r="Y304" s="26">
        <v>195.0</v>
      </c>
      <c r="Z304" s="26">
        <v>-238.0</v>
      </c>
      <c r="AA304" s="26">
        <v>5.5</v>
      </c>
      <c r="AB304" s="26">
        <v>-110.0</v>
      </c>
      <c r="AC304" s="26">
        <v>-110.0</v>
      </c>
      <c r="AD304" s="26">
        <v>46.5</v>
      </c>
      <c r="AE304" s="26">
        <v>-110.0</v>
      </c>
      <c r="AF304" s="26">
        <v>-110.0</v>
      </c>
      <c r="AG304" s="26">
        <v>1.0</v>
      </c>
      <c r="AH304" s="26" t="s">
        <v>395</v>
      </c>
      <c r="AI304" s="26" t="s">
        <v>396</v>
      </c>
      <c r="AP304" s="26" t="s">
        <v>496</v>
      </c>
      <c r="AQ304" s="26" t="s">
        <v>400</v>
      </c>
      <c r="AS304" s="26" t="s">
        <v>402</v>
      </c>
      <c r="AT304" s="26" t="s">
        <v>403</v>
      </c>
      <c r="AV304" s="2">
        <f t="array" ref="AV304">IF($A304="","",IF(INDEX($A304:$AT304,1,MAP!$B$3)=CurrentSeason,1,0))</f>
        <v>1</v>
      </c>
      <c r="AW304" s="2">
        <f t="shared" si="1"/>
        <v>14</v>
      </c>
    </row>
    <row r="305" ht="15.0" customHeight="1">
      <c r="A305" s="26" t="s">
        <v>1299</v>
      </c>
      <c r="B305" s="26">
        <v>2026.0</v>
      </c>
      <c r="C305" s="26" t="s">
        <v>390</v>
      </c>
      <c r="D305" s="26">
        <v>1.0</v>
      </c>
      <c r="E305" s="26">
        <v>46278.0</v>
      </c>
      <c r="F305" s="26" t="s">
        <v>419</v>
      </c>
      <c r="G305" s="26">
        <v>0.8472222222226264</v>
      </c>
      <c r="H305" s="26" t="s">
        <v>146</v>
      </c>
      <c r="J305" s="26" t="s">
        <v>235</v>
      </c>
      <c r="L305" s="26" t="s">
        <v>77</v>
      </c>
      <c r="P305" s="26">
        <v>2.026091312E9</v>
      </c>
      <c r="S305" s="26" t="s">
        <v>1300</v>
      </c>
      <c r="W305" s="26">
        <v>7.0</v>
      </c>
      <c r="X305" s="26">
        <v>7.0</v>
      </c>
      <c r="Y305" s="26">
        <v>-135.0</v>
      </c>
      <c r="Z305" s="26">
        <v>114.0</v>
      </c>
      <c r="AA305" s="26">
        <v>-2.5</v>
      </c>
      <c r="AB305" s="26">
        <v>-110.0</v>
      </c>
      <c r="AC305" s="26">
        <v>-110.0</v>
      </c>
      <c r="AD305" s="26">
        <v>48.5</v>
      </c>
      <c r="AE305" s="26">
        <v>-110.0</v>
      </c>
      <c r="AF305" s="26">
        <v>-110.0</v>
      </c>
      <c r="AG305" s="26">
        <v>1.0</v>
      </c>
      <c r="AH305" s="26" t="s">
        <v>395</v>
      </c>
      <c r="AI305" s="26" t="s">
        <v>423</v>
      </c>
      <c r="AP305" s="26" t="s">
        <v>399</v>
      </c>
      <c r="AQ305" s="26" t="s">
        <v>542</v>
      </c>
      <c r="AS305" s="26" t="s">
        <v>488</v>
      </c>
      <c r="AT305" s="26" t="s">
        <v>489</v>
      </c>
      <c r="AV305" s="2">
        <f t="array" ref="AV305">IF($A305="","",IF(INDEX($A305:$AT305,1,MAP!$B$3)=CurrentSeason,1,0))</f>
        <v>1</v>
      </c>
      <c r="AW305" s="2">
        <f t="shared" si="1"/>
        <v>15</v>
      </c>
    </row>
    <row r="306" ht="15.0" customHeight="1">
      <c r="A306" s="26" t="s">
        <v>1301</v>
      </c>
      <c r="B306" s="26">
        <v>2026.0</v>
      </c>
      <c r="C306" s="26" t="s">
        <v>390</v>
      </c>
      <c r="D306" s="26">
        <v>1.0</v>
      </c>
      <c r="E306" s="26">
        <v>46279.0</v>
      </c>
      <c r="F306" s="26" t="s">
        <v>549</v>
      </c>
      <c r="G306" s="26">
        <v>0.84375</v>
      </c>
      <c r="H306" s="26" t="s">
        <v>139</v>
      </c>
      <c r="J306" s="26" t="s">
        <v>143</v>
      </c>
      <c r="L306" s="26" t="s">
        <v>77</v>
      </c>
      <c r="P306" s="26">
        <v>2.0260914E9</v>
      </c>
      <c r="S306" s="26" t="s">
        <v>1302</v>
      </c>
      <c r="W306" s="26">
        <v>7.0</v>
      </c>
      <c r="X306" s="26">
        <v>7.0</v>
      </c>
      <c r="Y306" s="26">
        <v>120.0</v>
      </c>
      <c r="Z306" s="26">
        <v>-142.0</v>
      </c>
      <c r="AA306" s="26">
        <v>2.5</v>
      </c>
      <c r="AB306" s="26">
        <v>-105.0</v>
      </c>
      <c r="AC306" s="26">
        <v>-115.0</v>
      </c>
      <c r="AD306" s="26">
        <v>42.5</v>
      </c>
      <c r="AE306" s="26">
        <v>-110.0</v>
      </c>
      <c r="AF306" s="26">
        <v>-110.0</v>
      </c>
      <c r="AG306" s="26">
        <v>1.0</v>
      </c>
      <c r="AH306" s="26" t="s">
        <v>395</v>
      </c>
      <c r="AI306" s="26" t="s">
        <v>396</v>
      </c>
      <c r="AP306" s="26" t="s">
        <v>506</v>
      </c>
      <c r="AQ306" s="26" t="s">
        <v>412</v>
      </c>
      <c r="AS306" s="26" t="s">
        <v>607</v>
      </c>
      <c r="AT306" s="26" t="s">
        <v>608</v>
      </c>
      <c r="AV306" s="2">
        <f t="array" ref="AV306">IF($A306="","",IF(INDEX($A306:$AT306,1,MAP!$B$3)=CurrentSeason,1,0))</f>
        <v>1</v>
      </c>
      <c r="AW306" s="2">
        <f t="shared" si="1"/>
        <v>16</v>
      </c>
    </row>
    <row r="307" ht="15.0" customHeight="1">
      <c r="A307" s="26" t="s">
        <v>1303</v>
      </c>
      <c r="B307" s="26">
        <v>2026.0</v>
      </c>
      <c r="C307" s="26" t="s">
        <v>390</v>
      </c>
      <c r="D307" s="26">
        <v>2.0</v>
      </c>
      <c r="E307" s="26">
        <v>46282.0</v>
      </c>
      <c r="F307" s="26" t="s">
        <v>392</v>
      </c>
      <c r="G307" s="26">
        <v>0.84375</v>
      </c>
      <c r="H307" s="26" t="s">
        <v>202</v>
      </c>
      <c r="J307" s="26" t="s">
        <v>136</v>
      </c>
      <c r="L307" s="26" t="s">
        <v>77</v>
      </c>
      <c r="P307" s="26">
        <v>2.0260917E9</v>
      </c>
      <c r="S307" s="26" t="s">
        <v>1304</v>
      </c>
      <c r="W307" s="26">
        <v>4.0</v>
      </c>
      <c r="X307" s="26">
        <v>4.0</v>
      </c>
      <c r="Y307" s="26">
        <v>130.0</v>
      </c>
      <c r="Z307" s="26">
        <v>-155.0</v>
      </c>
      <c r="AA307" s="26">
        <v>3.0</v>
      </c>
      <c r="AB307" s="26">
        <v>-110.0</v>
      </c>
      <c r="AC307" s="26">
        <v>-110.0</v>
      </c>
      <c r="AD307" s="26">
        <v>52.5</v>
      </c>
      <c r="AE307" s="26">
        <v>-110.0</v>
      </c>
      <c r="AF307" s="26">
        <v>-110.0</v>
      </c>
      <c r="AG307" s="26">
        <v>0.0</v>
      </c>
      <c r="AH307" s="26" t="s">
        <v>395</v>
      </c>
      <c r="AI307" s="26" t="s">
        <v>539</v>
      </c>
      <c r="AP307" s="26" t="s">
        <v>524</v>
      </c>
      <c r="AQ307" s="26" t="s">
        <v>543</v>
      </c>
      <c r="AS307" s="26" t="s">
        <v>545</v>
      </c>
      <c r="AT307" s="26" t="s">
        <v>1305</v>
      </c>
      <c r="AV307" s="2">
        <f t="array" ref="AV307">IF($A307="","",IF(INDEX($A307:$AT307,1,MAP!$B$3)=CurrentSeason,1,0))</f>
        <v>1</v>
      </c>
      <c r="AW307" s="2">
        <f t="shared" si="1"/>
        <v>17</v>
      </c>
    </row>
    <row r="308" ht="15.0" customHeight="1">
      <c r="A308" s="26" t="s">
        <v>1306</v>
      </c>
      <c r="B308" s="26">
        <v>2026.0</v>
      </c>
      <c r="C308" s="26" t="s">
        <v>390</v>
      </c>
      <c r="D308" s="26">
        <v>2.0</v>
      </c>
      <c r="E308" s="26">
        <v>46285.0</v>
      </c>
      <c r="F308" s="26" t="s">
        <v>419</v>
      </c>
      <c r="G308" s="26">
        <v>0.5416666666678793</v>
      </c>
      <c r="H308" s="26" t="s">
        <v>189</v>
      </c>
      <c r="J308" s="26" t="s">
        <v>132</v>
      </c>
      <c r="L308" s="26" t="s">
        <v>77</v>
      </c>
      <c r="P308" s="26">
        <v>2.026092E9</v>
      </c>
      <c r="S308" s="26" t="s">
        <v>1307</v>
      </c>
      <c r="W308" s="26">
        <v>7.0</v>
      </c>
      <c r="X308" s="26">
        <v>7.0</v>
      </c>
      <c r="AG308" s="26">
        <v>1.0</v>
      </c>
      <c r="AI308" s="26" t="s">
        <v>423</v>
      </c>
      <c r="AP308" s="26" t="s">
        <v>455</v>
      </c>
      <c r="AQ308" s="26" t="s">
        <v>428</v>
      </c>
      <c r="AS308" s="26" t="s">
        <v>430</v>
      </c>
      <c r="AT308" s="26" t="s">
        <v>431</v>
      </c>
      <c r="AV308" s="2">
        <f t="array" ref="AV308">IF($A308="","",IF(INDEX($A308:$AT308,1,MAP!$B$3)=CurrentSeason,1,0))</f>
        <v>1</v>
      </c>
      <c r="AW308" s="2">
        <f t="shared" si="1"/>
        <v>18</v>
      </c>
    </row>
    <row r="309" ht="15.0" customHeight="1">
      <c r="A309" s="26" t="s">
        <v>1308</v>
      </c>
      <c r="B309" s="26">
        <v>2026.0</v>
      </c>
      <c r="C309" s="26" t="s">
        <v>390</v>
      </c>
      <c r="D309" s="26">
        <v>2.0</v>
      </c>
      <c r="E309" s="26">
        <v>46285.0</v>
      </c>
      <c r="F309" s="26" t="s">
        <v>419</v>
      </c>
      <c r="G309" s="26">
        <v>0.5416666666678793</v>
      </c>
      <c r="H309" s="26" t="s">
        <v>232</v>
      </c>
      <c r="J309" s="26" t="s">
        <v>148</v>
      </c>
      <c r="L309" s="26" t="s">
        <v>77</v>
      </c>
      <c r="P309" s="26">
        <v>2.026092001E9</v>
      </c>
      <c r="S309" s="26" t="s">
        <v>1309</v>
      </c>
      <c r="W309" s="26">
        <v>7.0</v>
      </c>
      <c r="X309" s="26">
        <v>7.0</v>
      </c>
      <c r="Y309" s="26">
        <v>310.0</v>
      </c>
      <c r="Z309" s="26">
        <v>-395.0</v>
      </c>
      <c r="AA309" s="26">
        <v>7.5</v>
      </c>
      <c r="AB309" s="26">
        <v>-108.0</v>
      </c>
      <c r="AC309" s="26">
        <v>-112.0</v>
      </c>
      <c r="AD309" s="26">
        <v>46.5</v>
      </c>
      <c r="AE309" s="26">
        <v>-110.0</v>
      </c>
      <c r="AF309" s="26">
        <v>-110.0</v>
      </c>
      <c r="AG309" s="26">
        <v>0.0</v>
      </c>
      <c r="AH309" s="26" t="s">
        <v>395</v>
      </c>
      <c r="AI309" s="26" t="s">
        <v>396</v>
      </c>
      <c r="AP309" s="26" t="s">
        <v>476</v>
      </c>
      <c r="AQ309" s="26" t="s">
        <v>1278</v>
      </c>
      <c r="AS309" s="26" t="s">
        <v>567</v>
      </c>
      <c r="AT309" s="26" t="s">
        <v>568</v>
      </c>
      <c r="AV309" s="2">
        <f t="array" ref="AV309">IF($A309="","",IF(INDEX($A309:$AT309,1,MAP!$B$3)=CurrentSeason,1,0))</f>
        <v>1</v>
      </c>
      <c r="AW309" s="2">
        <f t="shared" si="1"/>
        <v>19</v>
      </c>
    </row>
    <row r="310" ht="15.0" customHeight="1">
      <c r="A310" s="26" t="s">
        <v>1310</v>
      </c>
      <c r="B310" s="26">
        <v>2026.0</v>
      </c>
      <c r="C310" s="26" t="s">
        <v>390</v>
      </c>
      <c r="D310" s="26">
        <v>2.0</v>
      </c>
      <c r="E310" s="26">
        <v>46285.0</v>
      </c>
      <c r="F310" s="26" t="s">
        <v>419</v>
      </c>
      <c r="G310" s="26">
        <v>0.5416666666678793</v>
      </c>
      <c r="H310" s="26" t="s">
        <v>144</v>
      </c>
      <c r="J310" s="26" t="s">
        <v>137</v>
      </c>
      <c r="L310" s="26" t="s">
        <v>77</v>
      </c>
      <c r="P310" s="26">
        <v>2.026092002E9</v>
      </c>
      <c r="S310" s="26" t="s">
        <v>1311</v>
      </c>
      <c r="W310" s="26">
        <v>7.0</v>
      </c>
      <c r="X310" s="26">
        <v>7.0</v>
      </c>
      <c r="Y310" s="26">
        <v>150.0</v>
      </c>
      <c r="Z310" s="26">
        <v>-180.0</v>
      </c>
      <c r="AA310" s="26">
        <v>3.5</v>
      </c>
      <c r="AB310" s="26">
        <v>-115.0</v>
      </c>
      <c r="AC310" s="26">
        <v>-105.0</v>
      </c>
      <c r="AD310" s="26">
        <v>45.5</v>
      </c>
      <c r="AE310" s="26">
        <v>-110.0</v>
      </c>
      <c r="AF310" s="26">
        <v>-110.0</v>
      </c>
      <c r="AG310" s="26">
        <v>1.0</v>
      </c>
      <c r="AH310" s="26" t="s">
        <v>395</v>
      </c>
      <c r="AI310" s="26" t="s">
        <v>396</v>
      </c>
      <c r="AP310" s="26" t="s">
        <v>555</v>
      </c>
      <c r="AQ310" s="26" t="s">
        <v>556</v>
      </c>
      <c r="AS310" s="26" t="s">
        <v>558</v>
      </c>
      <c r="AT310" s="26" t="s">
        <v>559</v>
      </c>
      <c r="AV310" s="2">
        <f t="array" ref="AV310">IF($A310="","",IF(INDEX($A310:$AT310,1,MAP!$B$3)=CurrentSeason,1,0))</f>
        <v>1</v>
      </c>
      <c r="AW310" s="2">
        <f t="shared" si="1"/>
        <v>20</v>
      </c>
    </row>
    <row r="311" ht="15.0" customHeight="1">
      <c r="A311" s="26" t="s">
        <v>1312</v>
      </c>
      <c r="B311" s="26">
        <v>2026.0</v>
      </c>
      <c r="C311" s="26" t="s">
        <v>390</v>
      </c>
      <c r="D311" s="26">
        <v>2.0</v>
      </c>
      <c r="E311" s="26">
        <v>46285.0</v>
      </c>
      <c r="F311" s="26" t="s">
        <v>419</v>
      </c>
      <c r="G311" s="26">
        <v>0.5416666666678793</v>
      </c>
      <c r="H311" s="26" t="s">
        <v>138</v>
      </c>
      <c r="J311" s="26" t="s">
        <v>140</v>
      </c>
      <c r="L311" s="26" t="s">
        <v>77</v>
      </c>
      <c r="P311" s="26">
        <v>2.026092003E9</v>
      </c>
      <c r="S311" s="26" t="s">
        <v>1313</v>
      </c>
      <c r="W311" s="26">
        <v>7.0</v>
      </c>
      <c r="X311" s="26">
        <v>7.0</v>
      </c>
      <c r="Y311" s="26">
        <v>114.0</v>
      </c>
      <c r="Z311" s="26">
        <v>-135.0</v>
      </c>
      <c r="AA311" s="26">
        <v>2.5</v>
      </c>
      <c r="AB311" s="26">
        <v>-110.0</v>
      </c>
      <c r="AC311" s="26">
        <v>-110.0</v>
      </c>
      <c r="AD311" s="26">
        <v>46.5</v>
      </c>
      <c r="AE311" s="26">
        <v>-110.0</v>
      </c>
      <c r="AF311" s="26">
        <v>-110.0</v>
      </c>
      <c r="AG311" s="26">
        <v>0.0</v>
      </c>
      <c r="AI311" s="26" t="s">
        <v>617</v>
      </c>
      <c r="AP311" s="26" t="s">
        <v>437</v>
      </c>
      <c r="AQ311" s="26" t="s">
        <v>534</v>
      </c>
      <c r="AS311" s="26" t="s">
        <v>618</v>
      </c>
      <c r="AT311" s="26" t="s">
        <v>1275</v>
      </c>
      <c r="AV311" s="2">
        <f t="array" ref="AV311">IF($A311="","",IF(INDEX($A311:$AT311,1,MAP!$B$3)=CurrentSeason,1,0))</f>
        <v>1</v>
      </c>
      <c r="AW311" s="2">
        <f t="shared" si="1"/>
        <v>21</v>
      </c>
    </row>
    <row r="312" ht="15.0" customHeight="1">
      <c r="A312" s="26" t="s">
        <v>1314</v>
      </c>
      <c r="B312" s="26">
        <v>2026.0</v>
      </c>
      <c r="C312" s="26" t="s">
        <v>390</v>
      </c>
      <c r="D312" s="26">
        <v>2.0</v>
      </c>
      <c r="E312" s="26">
        <v>46285.0</v>
      </c>
      <c r="F312" s="26" t="s">
        <v>419</v>
      </c>
      <c r="G312" s="26">
        <v>0.5416666666678793</v>
      </c>
      <c r="H312" s="26" t="s">
        <v>242</v>
      </c>
      <c r="J312" s="26" t="s">
        <v>145</v>
      </c>
      <c r="L312" s="26" t="s">
        <v>77</v>
      </c>
      <c r="P312" s="26">
        <v>2.026092004E9</v>
      </c>
      <c r="S312" s="26" t="s">
        <v>1315</v>
      </c>
      <c r="W312" s="26">
        <v>7.0</v>
      </c>
      <c r="X312" s="26">
        <v>11.0</v>
      </c>
      <c r="Y312" s="26">
        <v>185.0</v>
      </c>
      <c r="Z312" s="26">
        <v>-225.0</v>
      </c>
      <c r="AA312" s="26">
        <v>4.5</v>
      </c>
      <c r="AB312" s="26">
        <v>-112.0</v>
      </c>
      <c r="AC312" s="26">
        <v>-108.0</v>
      </c>
      <c r="AD312" s="26">
        <v>43.5</v>
      </c>
      <c r="AE312" s="26">
        <v>-110.0</v>
      </c>
      <c r="AF312" s="26">
        <v>-110.0</v>
      </c>
      <c r="AG312" s="26">
        <v>0.0</v>
      </c>
      <c r="AH312" s="26" t="s">
        <v>395</v>
      </c>
      <c r="AI312" s="26" t="s">
        <v>423</v>
      </c>
      <c r="AP312" s="26" t="s">
        <v>1285</v>
      </c>
      <c r="AQ312" s="26" t="s">
        <v>465</v>
      </c>
      <c r="AS312" s="26" t="s">
        <v>467</v>
      </c>
      <c r="AT312" s="26" t="s">
        <v>468</v>
      </c>
      <c r="AV312" s="2">
        <f t="array" ref="AV312">IF($A312="","",IF(INDEX($A312:$AT312,1,MAP!$B$3)=CurrentSeason,1,0))</f>
        <v>1</v>
      </c>
      <c r="AW312" s="2">
        <f t="shared" si="1"/>
        <v>22</v>
      </c>
    </row>
    <row r="313" ht="15.0" customHeight="1">
      <c r="A313" s="26" t="s">
        <v>1316</v>
      </c>
      <c r="B313" s="26">
        <v>2026.0</v>
      </c>
      <c r="C313" s="26" t="s">
        <v>390</v>
      </c>
      <c r="D313" s="26">
        <v>2.0</v>
      </c>
      <c r="E313" s="26">
        <v>46285.0</v>
      </c>
      <c r="F313" s="26" t="s">
        <v>419</v>
      </c>
      <c r="G313" s="26">
        <v>0.5416666666678793</v>
      </c>
      <c r="H313" s="26" t="s">
        <v>205</v>
      </c>
      <c r="J313" s="26" t="s">
        <v>238</v>
      </c>
      <c r="L313" s="26" t="s">
        <v>77</v>
      </c>
      <c r="P313" s="26">
        <v>2.026092005E9</v>
      </c>
      <c r="S313" s="26" t="s">
        <v>1317</v>
      </c>
      <c r="W313" s="26">
        <v>7.0</v>
      </c>
      <c r="X313" s="26">
        <v>7.0</v>
      </c>
      <c r="Y313" s="26">
        <v>-270.0</v>
      </c>
      <c r="Z313" s="26">
        <v>220.0</v>
      </c>
      <c r="AA313" s="26">
        <v>-6.0</v>
      </c>
      <c r="AB313" s="26">
        <v>-110.0</v>
      </c>
      <c r="AC313" s="26">
        <v>-110.0</v>
      </c>
      <c r="AD313" s="26">
        <v>42.5</v>
      </c>
      <c r="AE313" s="26">
        <v>-110.0</v>
      </c>
      <c r="AF313" s="26">
        <v>-110.0</v>
      </c>
      <c r="AG313" s="26">
        <v>0.0</v>
      </c>
      <c r="AH313" s="26" t="s">
        <v>395</v>
      </c>
      <c r="AI313" s="26" t="s">
        <v>423</v>
      </c>
      <c r="AP313" s="26" t="s">
        <v>525</v>
      </c>
      <c r="AQ313" s="26" t="s">
        <v>486</v>
      </c>
      <c r="AS313" s="26" t="s">
        <v>488</v>
      </c>
      <c r="AT313" s="26" t="s">
        <v>489</v>
      </c>
      <c r="AV313" s="2">
        <f t="array" ref="AV313">IF($A313="","",IF(INDEX($A313:$AT313,1,MAP!$B$3)=CurrentSeason,1,0))</f>
        <v>1</v>
      </c>
      <c r="AW313" s="2">
        <f t="shared" si="1"/>
        <v>23</v>
      </c>
    </row>
    <row r="314" ht="15.0" customHeight="1">
      <c r="A314" s="26" t="s">
        <v>1318</v>
      </c>
      <c r="B314" s="26">
        <v>2026.0</v>
      </c>
      <c r="C314" s="26" t="s">
        <v>390</v>
      </c>
      <c r="D314" s="26">
        <v>2.0</v>
      </c>
      <c r="E314" s="26">
        <v>46285.0</v>
      </c>
      <c r="F314" s="26" t="s">
        <v>419</v>
      </c>
      <c r="G314" s="26">
        <v>0.5416666666678793</v>
      </c>
      <c r="H314" s="26" t="s">
        <v>196</v>
      </c>
      <c r="J314" s="26" t="s">
        <v>150</v>
      </c>
      <c r="L314" s="26" t="s">
        <v>77</v>
      </c>
      <c r="P314" s="26">
        <v>2.026092006E9</v>
      </c>
      <c r="S314" s="26" t="s">
        <v>1319</v>
      </c>
      <c r="W314" s="26">
        <v>7.0</v>
      </c>
      <c r="X314" s="26">
        <v>7.0</v>
      </c>
      <c r="Y314" s="26">
        <v>230.0</v>
      </c>
      <c r="Z314" s="26">
        <v>-285.0</v>
      </c>
      <c r="AA314" s="26">
        <v>6.5</v>
      </c>
      <c r="AB314" s="26">
        <v>-110.0</v>
      </c>
      <c r="AC314" s="26">
        <v>-110.0</v>
      </c>
      <c r="AD314" s="26">
        <v>42.5</v>
      </c>
      <c r="AE314" s="26">
        <v>-110.0</v>
      </c>
      <c r="AF314" s="26">
        <v>-110.0</v>
      </c>
      <c r="AG314" s="26">
        <v>0.0</v>
      </c>
      <c r="AH314" s="26" t="s">
        <v>395</v>
      </c>
      <c r="AI314" s="26" t="s">
        <v>396</v>
      </c>
      <c r="AP314" s="26" t="s">
        <v>1281</v>
      </c>
      <c r="AQ314" s="26" t="s">
        <v>427</v>
      </c>
      <c r="AS314" s="26" t="s">
        <v>651</v>
      </c>
      <c r="AT314" s="26" t="s">
        <v>652</v>
      </c>
      <c r="AV314" s="2">
        <f t="array" ref="AV314">IF($A314="","",IF(INDEX($A314:$AT314,1,MAP!$B$3)=CurrentSeason,1,0))</f>
        <v>1</v>
      </c>
      <c r="AW314" s="2">
        <f t="shared" si="1"/>
        <v>24</v>
      </c>
    </row>
    <row r="315" ht="15.0" customHeight="1">
      <c r="A315" s="26" t="s">
        <v>1320</v>
      </c>
      <c r="B315" s="26">
        <v>2026.0</v>
      </c>
      <c r="C315" s="26" t="s">
        <v>390</v>
      </c>
      <c r="D315" s="26">
        <v>2.0</v>
      </c>
      <c r="E315" s="26">
        <v>46285.0</v>
      </c>
      <c r="F315" s="26" t="s">
        <v>419</v>
      </c>
      <c r="G315" s="26">
        <v>0.5416666666678793</v>
      </c>
      <c r="H315" s="26" t="s">
        <v>147</v>
      </c>
      <c r="J315" s="26" t="s">
        <v>250</v>
      </c>
      <c r="L315" s="26" t="s">
        <v>77</v>
      </c>
      <c r="P315" s="26">
        <v>2.026092007E9</v>
      </c>
      <c r="S315" s="26" t="s">
        <v>1321</v>
      </c>
      <c r="W315" s="26">
        <v>7.0</v>
      </c>
      <c r="X315" s="26">
        <v>7.0</v>
      </c>
      <c r="Y315" s="26">
        <v>-218.0</v>
      </c>
      <c r="Z315" s="26">
        <v>180.0</v>
      </c>
      <c r="AA315" s="26">
        <v>-4.5</v>
      </c>
      <c r="AB315" s="26">
        <v>-110.0</v>
      </c>
      <c r="AC315" s="26">
        <v>-110.0</v>
      </c>
      <c r="AD315" s="26">
        <v>42.5</v>
      </c>
      <c r="AE315" s="26">
        <v>-110.0</v>
      </c>
      <c r="AF315" s="26">
        <v>-110.0</v>
      </c>
      <c r="AG315" s="26">
        <v>0.0</v>
      </c>
      <c r="AH315" s="26" t="s">
        <v>395</v>
      </c>
      <c r="AI315" s="26" t="s">
        <v>396</v>
      </c>
      <c r="AP315" s="26" t="s">
        <v>400</v>
      </c>
      <c r="AQ315" s="26" t="s">
        <v>1288</v>
      </c>
      <c r="AS315" s="26" t="s">
        <v>597</v>
      </c>
      <c r="AT315" s="26" t="s">
        <v>598</v>
      </c>
      <c r="AV315" s="2">
        <f t="array" ref="AV315">IF($A315="","",IF(INDEX($A315:$AT315,1,MAP!$B$3)=CurrentSeason,1,0))</f>
        <v>1</v>
      </c>
      <c r="AW315" s="2">
        <f t="shared" si="1"/>
        <v>25</v>
      </c>
    </row>
    <row r="316" ht="15.0" customHeight="1">
      <c r="A316" s="26" t="s">
        <v>1322</v>
      </c>
      <c r="B316" s="26">
        <v>2026.0</v>
      </c>
      <c r="C316" s="26" t="s">
        <v>390</v>
      </c>
      <c r="D316" s="26">
        <v>2.0</v>
      </c>
      <c r="E316" s="26">
        <v>46285.0</v>
      </c>
      <c r="F316" s="26" t="s">
        <v>419</v>
      </c>
      <c r="G316" s="26">
        <v>0.6701388888905058</v>
      </c>
      <c r="H316" s="26" t="s">
        <v>141</v>
      </c>
      <c r="J316" s="26" t="s">
        <v>139</v>
      </c>
      <c r="L316" s="26" t="s">
        <v>77</v>
      </c>
      <c r="P316" s="26">
        <v>2.026092008E9</v>
      </c>
      <c r="S316" s="26" t="s">
        <v>1323</v>
      </c>
      <c r="W316" s="26">
        <v>7.0</v>
      </c>
      <c r="X316" s="26">
        <v>6.0</v>
      </c>
      <c r="AG316" s="26">
        <v>0.0</v>
      </c>
      <c r="AH316" s="26" t="s">
        <v>395</v>
      </c>
      <c r="AI316" s="26" t="s">
        <v>396</v>
      </c>
      <c r="AP316" s="26" t="s">
        <v>456</v>
      </c>
      <c r="AQ316" s="26" t="s">
        <v>506</v>
      </c>
      <c r="AS316" s="26" t="s">
        <v>508</v>
      </c>
      <c r="AT316" s="26" t="s">
        <v>509</v>
      </c>
      <c r="AV316" s="2">
        <f t="array" ref="AV316">IF($A316="","",IF(INDEX($A316:$AT316,1,MAP!$B$3)=CurrentSeason,1,0))</f>
        <v>1</v>
      </c>
      <c r="AW316" s="2">
        <f t="shared" si="1"/>
        <v>26</v>
      </c>
    </row>
    <row r="317" ht="15.0" customHeight="1">
      <c r="A317" s="26" t="s">
        <v>1324</v>
      </c>
      <c r="B317" s="26">
        <v>2026.0</v>
      </c>
      <c r="C317" s="26" t="s">
        <v>390</v>
      </c>
      <c r="D317" s="26">
        <v>2.0</v>
      </c>
      <c r="E317" s="26">
        <v>46285.0</v>
      </c>
      <c r="F317" s="26" t="s">
        <v>419</v>
      </c>
      <c r="G317" s="26">
        <v>0.6701388888905058</v>
      </c>
      <c r="H317" s="26" t="s">
        <v>222</v>
      </c>
      <c r="J317" s="26" t="s">
        <v>220</v>
      </c>
      <c r="L317" s="26" t="s">
        <v>77</v>
      </c>
      <c r="P317" s="26">
        <v>2.026092009E9</v>
      </c>
      <c r="S317" s="26" t="s">
        <v>1325</v>
      </c>
      <c r="W317" s="26">
        <v>7.0</v>
      </c>
      <c r="X317" s="26">
        <v>7.0</v>
      </c>
      <c r="Y317" s="26">
        <v>330.0</v>
      </c>
      <c r="Z317" s="26">
        <v>-425.0</v>
      </c>
      <c r="AA317" s="26">
        <v>8.5</v>
      </c>
      <c r="AB317" s="26">
        <v>-110.0</v>
      </c>
      <c r="AC317" s="26">
        <v>-110.0</v>
      </c>
      <c r="AD317" s="26">
        <v>42.5</v>
      </c>
      <c r="AE317" s="26">
        <v>-110.0</v>
      </c>
      <c r="AF317" s="26">
        <v>-110.0</v>
      </c>
      <c r="AG317" s="26">
        <v>1.0</v>
      </c>
      <c r="AH317" s="26" t="s">
        <v>409</v>
      </c>
      <c r="AI317" s="26" t="s">
        <v>531</v>
      </c>
      <c r="AP317" s="26" t="s">
        <v>1294</v>
      </c>
      <c r="AQ317" s="26" t="s">
        <v>413</v>
      </c>
      <c r="AS317" s="26" t="s">
        <v>415</v>
      </c>
      <c r="AT317" s="26" t="s">
        <v>416</v>
      </c>
      <c r="AV317" s="2">
        <f t="array" ref="AV317">IF($A317="","",IF(INDEX($A317:$AT317,1,MAP!$B$3)=CurrentSeason,1,0))</f>
        <v>1</v>
      </c>
      <c r="AW317" s="2">
        <f t="shared" si="1"/>
        <v>27</v>
      </c>
    </row>
    <row r="318" ht="15.0" customHeight="1">
      <c r="A318" s="26" t="s">
        <v>1326</v>
      </c>
      <c r="B318" s="26">
        <v>2026.0</v>
      </c>
      <c r="C318" s="26" t="s">
        <v>390</v>
      </c>
      <c r="D318" s="26">
        <v>2.0</v>
      </c>
      <c r="E318" s="26">
        <v>46285.0</v>
      </c>
      <c r="F318" s="26" t="s">
        <v>419</v>
      </c>
      <c r="G318" s="26">
        <v>0.6840277777773736</v>
      </c>
      <c r="H318" s="26" t="s">
        <v>149</v>
      </c>
      <c r="J318" s="26" t="s">
        <v>178</v>
      </c>
      <c r="L318" s="26" t="s">
        <v>77</v>
      </c>
      <c r="P318" s="26">
        <v>2.02609201E9</v>
      </c>
      <c r="S318" s="26" t="s">
        <v>1327</v>
      </c>
      <c r="W318" s="26">
        <v>11.0</v>
      </c>
      <c r="X318" s="26">
        <v>7.0</v>
      </c>
      <c r="Y318" s="26">
        <v>-485.0</v>
      </c>
      <c r="Z318" s="26">
        <v>370.0</v>
      </c>
      <c r="AA318" s="26">
        <v>-10.0</v>
      </c>
      <c r="AB318" s="26">
        <v>-110.0</v>
      </c>
      <c r="AC318" s="26">
        <v>-110.0</v>
      </c>
      <c r="AD318" s="26">
        <v>44.5</v>
      </c>
      <c r="AE318" s="26">
        <v>-110.0</v>
      </c>
      <c r="AF318" s="26">
        <v>-110.0</v>
      </c>
      <c r="AG318" s="26">
        <v>1.0</v>
      </c>
      <c r="AI318" s="26" t="s">
        <v>396</v>
      </c>
      <c r="AP318" s="26" t="s">
        <v>515</v>
      </c>
      <c r="AQ318" s="26" t="s">
        <v>475</v>
      </c>
      <c r="AS318" s="26" t="s">
        <v>601</v>
      </c>
      <c r="AT318" s="26" t="s">
        <v>602</v>
      </c>
      <c r="AV318" s="2">
        <f t="array" ref="AV318">IF($A318="","",IF(INDEX($A318:$AT318,1,MAP!$B$3)=CurrentSeason,1,0))</f>
        <v>1</v>
      </c>
      <c r="AW318" s="2">
        <f t="shared" si="1"/>
        <v>28</v>
      </c>
    </row>
    <row r="319" ht="15.0" customHeight="1">
      <c r="A319" s="26" t="s">
        <v>1328</v>
      </c>
      <c r="B319" s="26">
        <v>2026.0</v>
      </c>
      <c r="C319" s="26" t="s">
        <v>390</v>
      </c>
      <c r="D319" s="26">
        <v>2.0</v>
      </c>
      <c r="E319" s="26">
        <v>46285.0</v>
      </c>
      <c r="F319" s="26" t="s">
        <v>419</v>
      </c>
      <c r="G319" s="26">
        <v>0.6840277777773736</v>
      </c>
      <c r="H319" s="26" t="s">
        <v>253</v>
      </c>
      <c r="J319" s="26" t="s">
        <v>146</v>
      </c>
      <c r="L319" s="26" t="s">
        <v>77</v>
      </c>
      <c r="P319" s="26">
        <v>2.026092011E9</v>
      </c>
      <c r="S319" s="26" t="s">
        <v>1329</v>
      </c>
      <c r="W319" s="26">
        <v>7.0</v>
      </c>
      <c r="X319" s="26">
        <v>7.0</v>
      </c>
      <c r="Y319" s="26">
        <v>170.0</v>
      </c>
      <c r="Z319" s="26">
        <v>-205.0</v>
      </c>
      <c r="AA319" s="26">
        <v>4.5</v>
      </c>
      <c r="AB319" s="26">
        <v>-115.0</v>
      </c>
      <c r="AC319" s="26">
        <v>-105.0</v>
      </c>
      <c r="AD319" s="26">
        <v>51.5</v>
      </c>
      <c r="AE319" s="26">
        <v>-110.0</v>
      </c>
      <c r="AF319" s="26">
        <v>-110.0</v>
      </c>
      <c r="AG319" s="26">
        <v>1.0</v>
      </c>
      <c r="AI319" s="26" t="s">
        <v>531</v>
      </c>
      <c r="AP319" s="26" t="s">
        <v>496</v>
      </c>
      <c r="AQ319" s="26" t="s">
        <v>399</v>
      </c>
      <c r="AS319" s="26" t="s">
        <v>575</v>
      </c>
      <c r="AT319" s="26" t="s">
        <v>576</v>
      </c>
      <c r="AV319" s="2">
        <f t="array" ref="AV319">IF($A319="","",IF(INDEX($A319:$AT319,1,MAP!$B$3)=CurrentSeason,1,0))</f>
        <v>1</v>
      </c>
      <c r="AW319" s="2">
        <f t="shared" si="1"/>
        <v>29</v>
      </c>
    </row>
    <row r="320" ht="15.0" customHeight="1">
      <c r="A320" s="26" t="s">
        <v>1330</v>
      </c>
      <c r="B320" s="26">
        <v>2026.0</v>
      </c>
      <c r="C320" s="26" t="s">
        <v>390</v>
      </c>
      <c r="D320" s="26">
        <v>2.0</v>
      </c>
      <c r="E320" s="26">
        <v>46285.0</v>
      </c>
      <c r="F320" s="26" t="s">
        <v>419</v>
      </c>
      <c r="G320" s="26">
        <v>0.6840277777773736</v>
      </c>
      <c r="H320" s="26" t="s">
        <v>225</v>
      </c>
      <c r="J320" s="26" t="s">
        <v>246</v>
      </c>
      <c r="L320" s="26" t="s">
        <v>77</v>
      </c>
      <c r="P320" s="26">
        <v>2.026092012E9</v>
      </c>
      <c r="S320" s="26" t="s">
        <v>1331</v>
      </c>
      <c r="W320" s="26">
        <v>7.0</v>
      </c>
      <c r="X320" s="26">
        <v>10.0</v>
      </c>
      <c r="Y320" s="26">
        <v>400.0</v>
      </c>
      <c r="Z320" s="26">
        <v>-535.0</v>
      </c>
      <c r="AA320" s="26">
        <v>10.5</v>
      </c>
      <c r="AB320" s="26">
        <v>-110.0</v>
      </c>
      <c r="AC320" s="26">
        <v>-110.0</v>
      </c>
      <c r="AD320" s="26">
        <v>46.5</v>
      </c>
      <c r="AE320" s="26">
        <v>-110.0</v>
      </c>
      <c r="AF320" s="26">
        <v>-110.0</v>
      </c>
      <c r="AG320" s="26">
        <v>0.0</v>
      </c>
      <c r="AH320" s="26" t="s">
        <v>395</v>
      </c>
      <c r="AI320" s="26" t="s">
        <v>396</v>
      </c>
      <c r="AP320" s="26" t="s">
        <v>1293</v>
      </c>
      <c r="AQ320" s="26" t="s">
        <v>514</v>
      </c>
      <c r="AS320" s="26" t="s">
        <v>667</v>
      </c>
      <c r="AT320" s="26" t="s">
        <v>668</v>
      </c>
      <c r="AV320" s="2">
        <f t="array" ref="AV320">IF($A320="","",IF(INDEX($A320:$AT320,1,MAP!$B$3)=CurrentSeason,1,0))</f>
        <v>1</v>
      </c>
      <c r="AW320" s="2">
        <f t="shared" si="1"/>
        <v>30</v>
      </c>
    </row>
    <row r="321" ht="15.0" customHeight="1">
      <c r="A321" s="26" t="s">
        <v>1332</v>
      </c>
      <c r="B321" s="26">
        <v>2026.0</v>
      </c>
      <c r="C321" s="26" t="s">
        <v>390</v>
      </c>
      <c r="D321" s="26">
        <v>2.0</v>
      </c>
      <c r="E321" s="26">
        <v>46285.0</v>
      </c>
      <c r="F321" s="26" t="s">
        <v>419</v>
      </c>
      <c r="G321" s="26">
        <v>0.8472222222226264</v>
      </c>
      <c r="H321" s="26" t="s">
        <v>210</v>
      </c>
      <c r="J321" s="26" t="s">
        <v>143</v>
      </c>
      <c r="L321" s="26" t="s">
        <v>77</v>
      </c>
      <c r="P321" s="26">
        <v>2.026092013E9</v>
      </c>
      <c r="S321" s="26" t="s">
        <v>1333</v>
      </c>
      <c r="W321" s="26">
        <v>7.0</v>
      </c>
      <c r="X321" s="26">
        <v>6.0</v>
      </c>
      <c r="Y321" s="26">
        <v>215.0</v>
      </c>
      <c r="Z321" s="26">
        <v>-265.0</v>
      </c>
      <c r="AA321" s="26">
        <v>6.0</v>
      </c>
      <c r="AB321" s="26">
        <v>-110.0</v>
      </c>
      <c r="AC321" s="26">
        <v>-110.0</v>
      </c>
      <c r="AD321" s="26">
        <v>47.5</v>
      </c>
      <c r="AE321" s="26">
        <v>-110.0</v>
      </c>
      <c r="AF321" s="26">
        <v>-110.0</v>
      </c>
      <c r="AG321" s="26">
        <v>0.0</v>
      </c>
      <c r="AH321" s="26" t="s">
        <v>395</v>
      </c>
      <c r="AI321" s="26" t="s">
        <v>396</v>
      </c>
      <c r="AP321" s="26" t="s">
        <v>447</v>
      </c>
      <c r="AQ321" s="26" t="s">
        <v>412</v>
      </c>
      <c r="AS321" s="26" t="s">
        <v>607</v>
      </c>
      <c r="AT321" s="26" t="s">
        <v>608</v>
      </c>
      <c r="AV321" s="2">
        <f t="array" ref="AV321">IF($A321="","",IF(INDEX($A321:$AT321,1,MAP!$B$3)=CurrentSeason,1,0))</f>
        <v>1</v>
      </c>
      <c r="AW321" s="2">
        <f t="shared" si="1"/>
        <v>31</v>
      </c>
    </row>
    <row r="322" ht="15.0" customHeight="1">
      <c r="A322" s="26" t="s">
        <v>1334</v>
      </c>
      <c r="B322" s="26">
        <v>2026.0</v>
      </c>
      <c r="C322" s="26" t="s">
        <v>390</v>
      </c>
      <c r="D322" s="26">
        <v>2.0</v>
      </c>
      <c r="E322" s="26">
        <v>46286.0</v>
      </c>
      <c r="F322" s="26" t="s">
        <v>549</v>
      </c>
      <c r="G322" s="26">
        <v>0.84375</v>
      </c>
      <c r="H322" s="26" t="s">
        <v>235</v>
      </c>
      <c r="J322" s="26" t="s">
        <v>142</v>
      </c>
      <c r="L322" s="26" t="s">
        <v>77</v>
      </c>
      <c r="P322" s="26">
        <v>2.0260921E9</v>
      </c>
      <c r="S322" s="26" t="s">
        <v>1335</v>
      </c>
      <c r="W322" s="26">
        <v>8.0</v>
      </c>
      <c r="X322" s="26">
        <v>11.0</v>
      </c>
      <c r="Y322" s="26">
        <v>320.0</v>
      </c>
      <c r="Z322" s="26">
        <v>-410.0</v>
      </c>
      <c r="AA322" s="26">
        <v>9.5</v>
      </c>
      <c r="AB322" s="26">
        <v>-112.0</v>
      </c>
      <c r="AC322" s="26">
        <v>-108.0</v>
      </c>
      <c r="AD322" s="26">
        <v>47.5</v>
      </c>
      <c r="AE322" s="26">
        <v>-110.0</v>
      </c>
      <c r="AF322" s="26">
        <v>-110.0</v>
      </c>
      <c r="AG322" s="26">
        <v>0.0</v>
      </c>
      <c r="AH322" s="26" t="s">
        <v>409</v>
      </c>
      <c r="AI322" s="26" t="s">
        <v>531</v>
      </c>
      <c r="AP322" s="26" t="s">
        <v>542</v>
      </c>
      <c r="AQ322" s="26" t="s">
        <v>535</v>
      </c>
      <c r="AS322" s="26" t="s">
        <v>415</v>
      </c>
      <c r="AT322" s="26" t="s">
        <v>416</v>
      </c>
      <c r="AV322" s="2">
        <f t="array" ref="AV322">IF($A322="","",IF(INDEX($A322:$AT322,1,MAP!$B$3)=CurrentSeason,1,0))</f>
        <v>1</v>
      </c>
      <c r="AW322" s="2">
        <f t="shared" si="1"/>
        <v>32</v>
      </c>
    </row>
    <row r="323" ht="15.0" customHeight="1">
      <c r="A323" s="26" t="s">
        <v>1336</v>
      </c>
      <c r="B323" s="26">
        <v>2026.0</v>
      </c>
      <c r="C323" s="26" t="s">
        <v>390</v>
      </c>
      <c r="D323" s="26">
        <v>3.0</v>
      </c>
      <c r="E323" s="26">
        <v>46289.0</v>
      </c>
      <c r="F323" s="26" t="s">
        <v>392</v>
      </c>
      <c r="G323" s="26">
        <v>0.84375</v>
      </c>
      <c r="H323" s="26" t="s">
        <v>132</v>
      </c>
      <c r="J323" s="26" t="s">
        <v>205</v>
      </c>
      <c r="L323" s="26" t="s">
        <v>77</v>
      </c>
      <c r="P323" s="26">
        <v>2.0260924E9</v>
      </c>
      <c r="S323" s="26" t="s">
        <v>1337</v>
      </c>
      <c r="W323" s="26">
        <v>4.0</v>
      </c>
      <c r="X323" s="26">
        <v>4.0</v>
      </c>
      <c r="Y323" s="26">
        <v>275.0</v>
      </c>
      <c r="Z323" s="26">
        <v>-345.0</v>
      </c>
      <c r="AA323" s="26">
        <v>7.5</v>
      </c>
      <c r="AB323" s="26">
        <v>-115.0</v>
      </c>
      <c r="AC323" s="26">
        <v>-105.0</v>
      </c>
      <c r="AD323" s="26">
        <v>46.5</v>
      </c>
      <c r="AE323" s="26">
        <v>-110.0</v>
      </c>
      <c r="AF323" s="26">
        <v>-110.0</v>
      </c>
      <c r="AG323" s="26">
        <v>0.0</v>
      </c>
      <c r="AH323" s="26" t="s">
        <v>395</v>
      </c>
      <c r="AI323" s="26" t="s">
        <v>396</v>
      </c>
      <c r="AP323" s="26" t="s">
        <v>428</v>
      </c>
      <c r="AQ323" s="26" t="s">
        <v>525</v>
      </c>
      <c r="AS323" s="26" t="s">
        <v>527</v>
      </c>
      <c r="AT323" s="26" t="s">
        <v>528</v>
      </c>
      <c r="AV323" s="2">
        <f t="array" ref="AV323">IF($A323="","",IF(INDEX($A323:$AT323,1,MAP!$B$3)=CurrentSeason,1,0))</f>
        <v>1</v>
      </c>
      <c r="AW323" s="2">
        <f t="shared" si="1"/>
        <v>33</v>
      </c>
    </row>
    <row r="324" ht="15.0" customHeight="1">
      <c r="A324" s="26" t="s">
        <v>1338</v>
      </c>
      <c r="B324" s="26">
        <v>2026.0</v>
      </c>
      <c r="C324" s="26" t="s">
        <v>390</v>
      </c>
      <c r="D324" s="26">
        <v>3.0</v>
      </c>
      <c r="E324" s="26">
        <v>46292.0</v>
      </c>
      <c r="F324" s="26" t="s">
        <v>419</v>
      </c>
      <c r="G324" s="26">
        <v>0.5416666666678793</v>
      </c>
      <c r="H324" s="26" t="s">
        <v>220</v>
      </c>
      <c r="J324" s="26" t="s">
        <v>136</v>
      </c>
      <c r="L324" s="26" t="s">
        <v>77</v>
      </c>
      <c r="P324" s="26">
        <v>2.0260927E9</v>
      </c>
      <c r="S324" s="26" t="s">
        <v>1339</v>
      </c>
      <c r="W324" s="26">
        <v>7.0</v>
      </c>
      <c r="X324" s="26">
        <v>10.0</v>
      </c>
      <c r="Y324" s="26">
        <v>120.0</v>
      </c>
      <c r="Z324" s="26">
        <v>-142.0</v>
      </c>
      <c r="AA324" s="26">
        <v>2.5</v>
      </c>
      <c r="AB324" s="26">
        <v>-110.0</v>
      </c>
      <c r="AC324" s="26">
        <v>-110.0</v>
      </c>
      <c r="AD324" s="26">
        <v>48.5</v>
      </c>
      <c r="AE324" s="26">
        <v>-110.0</v>
      </c>
      <c r="AF324" s="26">
        <v>-110.0</v>
      </c>
      <c r="AG324" s="26">
        <v>0.0</v>
      </c>
      <c r="AH324" s="26" t="s">
        <v>395</v>
      </c>
      <c r="AI324" s="26" t="s">
        <v>539</v>
      </c>
      <c r="AP324" s="26" t="s">
        <v>413</v>
      </c>
      <c r="AQ324" s="26" t="s">
        <v>543</v>
      </c>
      <c r="AS324" s="26" t="s">
        <v>545</v>
      </c>
      <c r="AT324" s="26" t="s">
        <v>1305</v>
      </c>
      <c r="AV324" s="2">
        <f t="array" ref="AV324">IF($A324="","",IF(INDEX($A324:$AT324,1,MAP!$B$3)=CurrentSeason,1,0))</f>
        <v>1</v>
      </c>
      <c r="AW324" s="2">
        <f t="shared" si="1"/>
        <v>34</v>
      </c>
    </row>
    <row r="325" ht="15.0" customHeight="1">
      <c r="A325" s="26" t="s">
        <v>1340</v>
      </c>
      <c r="B325" s="26">
        <v>2026.0</v>
      </c>
      <c r="C325" s="26" t="s">
        <v>390</v>
      </c>
      <c r="D325" s="26">
        <v>3.0</v>
      </c>
      <c r="E325" s="26">
        <v>46292.0</v>
      </c>
      <c r="F325" s="26" t="s">
        <v>419</v>
      </c>
      <c r="G325" s="26">
        <v>0.5416666666678793</v>
      </c>
      <c r="H325" s="26" t="s">
        <v>189</v>
      </c>
      <c r="J325" s="26" t="s">
        <v>196</v>
      </c>
      <c r="L325" s="26" t="s">
        <v>77</v>
      </c>
      <c r="P325" s="26">
        <v>2.026092701E9</v>
      </c>
      <c r="S325" s="26" t="s">
        <v>1341</v>
      </c>
      <c r="W325" s="26">
        <v>7.0</v>
      </c>
      <c r="X325" s="26">
        <v>7.0</v>
      </c>
      <c r="Y325" s="26">
        <v>-135.0</v>
      </c>
      <c r="Z325" s="26">
        <v>114.0</v>
      </c>
      <c r="AA325" s="26">
        <v>-2.5</v>
      </c>
      <c r="AB325" s="26">
        <v>-108.0</v>
      </c>
      <c r="AC325" s="26">
        <v>-112.0</v>
      </c>
      <c r="AD325" s="26">
        <v>40.5</v>
      </c>
      <c r="AE325" s="26">
        <v>-110.0</v>
      </c>
      <c r="AF325" s="26">
        <v>-110.0</v>
      </c>
      <c r="AG325" s="26">
        <v>0.0</v>
      </c>
      <c r="AH325" s="26" t="s">
        <v>395</v>
      </c>
      <c r="AI325" s="26" t="s">
        <v>396</v>
      </c>
      <c r="AP325" s="26" t="s">
        <v>455</v>
      </c>
      <c r="AQ325" s="26" t="s">
        <v>1281</v>
      </c>
      <c r="AS325" s="26" t="s">
        <v>440</v>
      </c>
      <c r="AT325" s="26" t="s">
        <v>1342</v>
      </c>
      <c r="AV325" s="2">
        <f t="array" ref="AV325">IF($A325="","",IF(INDEX($A325:$AT325,1,MAP!$B$3)=CurrentSeason,1,0))</f>
        <v>1</v>
      </c>
      <c r="AW325" s="2">
        <f t="shared" si="1"/>
        <v>35</v>
      </c>
    </row>
    <row r="326" ht="15.0" customHeight="1">
      <c r="A326" s="26" t="s">
        <v>1343</v>
      </c>
      <c r="B326" s="26">
        <v>2026.0</v>
      </c>
      <c r="C326" s="26" t="s">
        <v>390</v>
      </c>
      <c r="D326" s="26">
        <v>3.0</v>
      </c>
      <c r="E326" s="26">
        <v>46292.0</v>
      </c>
      <c r="F326" s="26" t="s">
        <v>419</v>
      </c>
      <c r="G326" s="26">
        <v>0.5416666666678793</v>
      </c>
      <c r="H326" s="26" t="s">
        <v>238</v>
      </c>
      <c r="J326" s="26" t="s">
        <v>202</v>
      </c>
      <c r="L326" s="26" t="s">
        <v>77</v>
      </c>
      <c r="P326" s="26">
        <v>2.026092702E9</v>
      </c>
      <c r="S326" s="26" t="s">
        <v>1344</v>
      </c>
      <c r="W326" s="26">
        <v>7.0</v>
      </c>
      <c r="X326" s="26">
        <v>10.0</v>
      </c>
      <c r="Y326" s="26">
        <v>340.0</v>
      </c>
      <c r="Z326" s="26">
        <v>-440.0</v>
      </c>
      <c r="AA326" s="26">
        <v>9.5</v>
      </c>
      <c r="AB326" s="26">
        <v>-110.0</v>
      </c>
      <c r="AC326" s="26">
        <v>-110.0</v>
      </c>
      <c r="AD326" s="26">
        <v>45.5</v>
      </c>
      <c r="AE326" s="26">
        <v>-110.0</v>
      </c>
      <c r="AF326" s="26">
        <v>-110.0</v>
      </c>
      <c r="AG326" s="26">
        <v>0.0</v>
      </c>
      <c r="AH326" s="26" t="s">
        <v>409</v>
      </c>
      <c r="AI326" s="26" t="s">
        <v>423</v>
      </c>
      <c r="AP326" s="26" t="s">
        <v>486</v>
      </c>
      <c r="AQ326" s="26" t="s">
        <v>524</v>
      </c>
      <c r="AS326" s="26" t="s">
        <v>579</v>
      </c>
      <c r="AT326" s="26" t="s">
        <v>580</v>
      </c>
      <c r="AV326" s="2">
        <f t="array" ref="AV326">IF($A326="","",IF(INDEX($A326:$AT326,1,MAP!$B$3)=CurrentSeason,1,0))</f>
        <v>1</v>
      </c>
      <c r="AW326" s="2">
        <f t="shared" si="1"/>
        <v>36</v>
      </c>
    </row>
    <row r="327" ht="15.0" customHeight="1">
      <c r="A327" s="26" t="s">
        <v>1345</v>
      </c>
      <c r="B327" s="26">
        <v>2026.0</v>
      </c>
      <c r="C327" s="26" t="s">
        <v>390</v>
      </c>
      <c r="D327" s="26">
        <v>3.0</v>
      </c>
      <c r="E327" s="26">
        <v>46292.0</v>
      </c>
      <c r="F327" s="26" t="s">
        <v>419</v>
      </c>
      <c r="G327" s="26">
        <v>0.5416666666678793</v>
      </c>
      <c r="H327" s="26" t="s">
        <v>140</v>
      </c>
      <c r="J327" s="26" t="s">
        <v>210</v>
      </c>
      <c r="L327" s="26" t="s">
        <v>77</v>
      </c>
      <c r="P327" s="26">
        <v>2.026092703E9</v>
      </c>
      <c r="S327" s="26" t="s">
        <v>1346</v>
      </c>
      <c r="W327" s="26">
        <v>7.0</v>
      </c>
      <c r="X327" s="26">
        <v>7.0</v>
      </c>
      <c r="Y327" s="26">
        <v>-130.0</v>
      </c>
      <c r="Z327" s="26">
        <v>110.0</v>
      </c>
      <c r="AA327" s="26">
        <v>-2.5</v>
      </c>
      <c r="AB327" s="26">
        <v>-105.0</v>
      </c>
      <c r="AC327" s="26">
        <v>-115.0</v>
      </c>
      <c r="AD327" s="26">
        <v>45.5</v>
      </c>
      <c r="AE327" s="26">
        <v>-110.0</v>
      </c>
      <c r="AF327" s="26">
        <v>-110.0</v>
      </c>
      <c r="AG327" s="26">
        <v>1.0</v>
      </c>
      <c r="AI327" s="26" t="s">
        <v>423</v>
      </c>
      <c r="AP327" s="26" t="s">
        <v>534</v>
      </c>
      <c r="AQ327" s="26" t="s">
        <v>447</v>
      </c>
      <c r="AS327" s="26" t="s">
        <v>449</v>
      </c>
      <c r="AT327" s="26" t="s">
        <v>450</v>
      </c>
      <c r="AV327" s="2">
        <f t="array" ref="AV327">IF($A327="","",IF(INDEX($A327:$AT327,1,MAP!$B$3)=CurrentSeason,1,0))</f>
        <v>1</v>
      </c>
      <c r="AW327" s="2">
        <f t="shared" si="1"/>
        <v>37</v>
      </c>
    </row>
    <row r="328" ht="15.0" customHeight="1">
      <c r="A328" s="26" t="s">
        <v>1347</v>
      </c>
      <c r="B328" s="26">
        <v>2026.0</v>
      </c>
      <c r="C328" s="26" t="s">
        <v>390</v>
      </c>
      <c r="D328" s="26">
        <v>3.0</v>
      </c>
      <c r="E328" s="26">
        <v>46292.0</v>
      </c>
      <c r="F328" s="26" t="s">
        <v>419</v>
      </c>
      <c r="G328" s="26">
        <v>0.5416666666678793</v>
      </c>
      <c r="H328" s="26" t="s">
        <v>145</v>
      </c>
      <c r="J328" s="26" t="s">
        <v>141</v>
      </c>
      <c r="L328" s="26" t="s">
        <v>77</v>
      </c>
      <c r="P328" s="26">
        <v>2.026092704E9</v>
      </c>
      <c r="S328" s="26" t="s">
        <v>1348</v>
      </c>
      <c r="W328" s="26">
        <v>7.0</v>
      </c>
      <c r="X328" s="26">
        <v>7.0</v>
      </c>
      <c r="AG328" s="26">
        <v>0.0</v>
      </c>
      <c r="AH328" s="26" t="s">
        <v>395</v>
      </c>
      <c r="AI328" s="26" t="s">
        <v>396</v>
      </c>
      <c r="AP328" s="26" t="s">
        <v>465</v>
      </c>
      <c r="AQ328" s="26" t="s">
        <v>456</v>
      </c>
      <c r="AS328" s="26" t="s">
        <v>458</v>
      </c>
      <c r="AT328" s="26" t="s">
        <v>1282</v>
      </c>
      <c r="AV328" s="2">
        <f t="array" ref="AV328">IF($A328="","",IF(INDEX($A328:$AT328,1,MAP!$B$3)=CurrentSeason,1,0))</f>
        <v>1</v>
      </c>
      <c r="AW328" s="2">
        <f t="shared" si="1"/>
        <v>38</v>
      </c>
    </row>
    <row r="329" ht="15.0" customHeight="1">
      <c r="A329" s="26" t="s">
        <v>1349</v>
      </c>
      <c r="B329" s="26">
        <v>2026.0</v>
      </c>
      <c r="C329" s="26" t="s">
        <v>390</v>
      </c>
      <c r="D329" s="26">
        <v>3.0</v>
      </c>
      <c r="E329" s="26">
        <v>46292.0</v>
      </c>
      <c r="F329" s="26" t="s">
        <v>419</v>
      </c>
      <c r="G329" s="26">
        <v>0.5416666666678793</v>
      </c>
      <c r="H329" s="26" t="s">
        <v>143</v>
      </c>
      <c r="J329" s="26" t="s">
        <v>225</v>
      </c>
      <c r="L329" s="26" t="s">
        <v>77</v>
      </c>
      <c r="P329" s="26">
        <v>2.026092705E9</v>
      </c>
      <c r="S329" s="26" t="s">
        <v>1350</v>
      </c>
      <c r="W329" s="26">
        <v>7.0</v>
      </c>
      <c r="X329" s="26">
        <v>7.0</v>
      </c>
      <c r="Y329" s="26">
        <v>-340.0</v>
      </c>
      <c r="Z329" s="26">
        <v>270.0</v>
      </c>
      <c r="AA329" s="26">
        <v>-7.0</v>
      </c>
      <c r="AB329" s="26">
        <v>-115.0</v>
      </c>
      <c r="AC329" s="26">
        <v>-105.0</v>
      </c>
      <c r="AD329" s="26">
        <v>44.5</v>
      </c>
      <c r="AE329" s="26">
        <v>-110.0</v>
      </c>
      <c r="AF329" s="26">
        <v>-110.0</v>
      </c>
      <c r="AG329" s="26">
        <v>0.0</v>
      </c>
      <c r="AH329" s="26" t="s">
        <v>395</v>
      </c>
      <c r="AI329" s="26" t="s">
        <v>396</v>
      </c>
      <c r="AP329" s="26" t="s">
        <v>412</v>
      </c>
      <c r="AQ329" s="26" t="s">
        <v>1293</v>
      </c>
      <c r="AS329" s="26" t="s">
        <v>583</v>
      </c>
      <c r="AT329" s="26" t="s">
        <v>584</v>
      </c>
      <c r="AV329" s="2">
        <f t="array" ref="AV329">IF($A329="","",IF(INDEX($A329:$AT329,1,MAP!$B$3)=CurrentSeason,1,0))</f>
        <v>1</v>
      </c>
      <c r="AW329" s="2">
        <f t="shared" si="1"/>
        <v>39</v>
      </c>
    </row>
    <row r="330" ht="15.0" customHeight="1">
      <c r="A330" s="26" t="s">
        <v>1351</v>
      </c>
      <c r="B330" s="26">
        <v>2026.0</v>
      </c>
      <c r="C330" s="26" t="s">
        <v>390</v>
      </c>
      <c r="D330" s="26">
        <v>3.0</v>
      </c>
      <c r="E330" s="26">
        <v>46292.0</v>
      </c>
      <c r="F330" s="26" t="s">
        <v>419</v>
      </c>
      <c r="G330" s="26">
        <v>0.5416666666678793</v>
      </c>
      <c r="H330" s="26" t="s">
        <v>250</v>
      </c>
      <c r="J330" s="26" t="s">
        <v>235</v>
      </c>
      <c r="L330" s="26" t="s">
        <v>77</v>
      </c>
      <c r="P330" s="26">
        <v>2.026092706E9</v>
      </c>
      <c r="S330" s="26" t="s">
        <v>1352</v>
      </c>
      <c r="W330" s="26">
        <v>7.0</v>
      </c>
      <c r="X330" s="26">
        <v>6.0</v>
      </c>
      <c r="Y330" s="26">
        <v>145.0</v>
      </c>
      <c r="Z330" s="26">
        <v>-175.0</v>
      </c>
      <c r="AA330" s="26">
        <v>3.0</v>
      </c>
      <c r="AB330" s="26">
        <v>100.0</v>
      </c>
      <c r="AC330" s="26">
        <v>-120.0</v>
      </c>
      <c r="AD330" s="26">
        <v>45.5</v>
      </c>
      <c r="AE330" s="26">
        <v>-110.0</v>
      </c>
      <c r="AF330" s="26">
        <v>-110.0</v>
      </c>
      <c r="AG330" s="26">
        <v>0.0</v>
      </c>
      <c r="AH330" s="26" t="s">
        <v>395</v>
      </c>
      <c r="AI330" s="26" t="s">
        <v>423</v>
      </c>
      <c r="AP330" s="26" t="s">
        <v>1288</v>
      </c>
      <c r="AQ330" s="26" t="s">
        <v>542</v>
      </c>
      <c r="AS330" s="26" t="s">
        <v>488</v>
      </c>
      <c r="AT330" s="26" t="s">
        <v>489</v>
      </c>
      <c r="AV330" s="2">
        <f t="array" ref="AV330">IF($A330="","",IF(INDEX($A330:$AT330,1,MAP!$B$3)=CurrentSeason,1,0))</f>
        <v>1</v>
      </c>
      <c r="AW330" s="2">
        <f t="shared" si="1"/>
        <v>40</v>
      </c>
    </row>
    <row r="331" ht="15.0" customHeight="1">
      <c r="A331" s="26" t="s">
        <v>1353</v>
      </c>
      <c r="B331" s="26">
        <v>2026.0</v>
      </c>
      <c r="C331" s="26" t="s">
        <v>390</v>
      </c>
      <c r="D331" s="26">
        <v>3.0</v>
      </c>
      <c r="E331" s="26">
        <v>46292.0</v>
      </c>
      <c r="F331" s="26" t="s">
        <v>419</v>
      </c>
      <c r="G331" s="26">
        <v>0.5416666666678793</v>
      </c>
      <c r="H331" s="26" t="s">
        <v>138</v>
      </c>
      <c r="J331" s="26" t="s">
        <v>242</v>
      </c>
      <c r="L331" s="26" t="s">
        <v>77</v>
      </c>
      <c r="P331" s="26">
        <v>2.026092707E9</v>
      </c>
      <c r="S331" s="26" t="s">
        <v>1354</v>
      </c>
      <c r="W331" s="26">
        <v>7.0</v>
      </c>
      <c r="X331" s="26">
        <v>7.0</v>
      </c>
      <c r="Y331" s="26">
        <v>-115.0</v>
      </c>
      <c r="Z331" s="26">
        <v>-105.0</v>
      </c>
      <c r="AA331" s="26">
        <v>-1.5</v>
      </c>
      <c r="AB331" s="26">
        <v>100.0</v>
      </c>
      <c r="AC331" s="26">
        <v>-120.0</v>
      </c>
      <c r="AD331" s="26">
        <v>47.5</v>
      </c>
      <c r="AE331" s="26">
        <v>-110.0</v>
      </c>
      <c r="AF331" s="26">
        <v>-110.0</v>
      </c>
      <c r="AG331" s="26">
        <v>1.0</v>
      </c>
      <c r="AH331" s="26" t="s">
        <v>395</v>
      </c>
      <c r="AI331" s="26" t="s">
        <v>396</v>
      </c>
      <c r="AP331" s="26" t="s">
        <v>437</v>
      </c>
      <c r="AQ331" s="26" t="s">
        <v>1285</v>
      </c>
      <c r="AS331" s="26" t="s">
        <v>593</v>
      </c>
      <c r="AT331" s="26" t="s">
        <v>594</v>
      </c>
      <c r="AV331" s="2">
        <f t="array" ref="AV331">IF($A331="","",IF(INDEX($A331:$AT331,1,MAP!$B$3)=CurrentSeason,1,0))</f>
        <v>1</v>
      </c>
      <c r="AW331" s="2">
        <f t="shared" si="1"/>
        <v>41</v>
      </c>
    </row>
    <row r="332" ht="15.0" customHeight="1">
      <c r="A332" s="26" t="s">
        <v>1355</v>
      </c>
      <c r="B332" s="26">
        <v>2026.0</v>
      </c>
      <c r="C332" s="26" t="s">
        <v>390</v>
      </c>
      <c r="D332" s="26">
        <v>3.0</v>
      </c>
      <c r="E332" s="26">
        <v>46292.0</v>
      </c>
      <c r="F332" s="26" t="s">
        <v>419</v>
      </c>
      <c r="G332" s="26">
        <v>0.5416666666678793</v>
      </c>
      <c r="H332" s="26" t="s">
        <v>149</v>
      </c>
      <c r="J332" s="26" t="s">
        <v>253</v>
      </c>
      <c r="L332" s="26" t="s">
        <v>77</v>
      </c>
      <c r="P332" s="26">
        <v>2.026092708E9</v>
      </c>
      <c r="S332" s="26" t="s">
        <v>1356</v>
      </c>
      <c r="W332" s="26">
        <v>7.0</v>
      </c>
      <c r="X332" s="26">
        <v>7.0</v>
      </c>
      <c r="Y332" s="26">
        <v>-198.0</v>
      </c>
      <c r="Z332" s="26">
        <v>164.0</v>
      </c>
      <c r="AA332" s="26">
        <v>-3.5</v>
      </c>
      <c r="AB332" s="26">
        <v>-110.0</v>
      </c>
      <c r="AC332" s="26">
        <v>-110.0</v>
      </c>
      <c r="AD332" s="26">
        <v>46.5</v>
      </c>
      <c r="AE332" s="26">
        <v>-110.0</v>
      </c>
      <c r="AF332" s="26">
        <v>-110.0</v>
      </c>
      <c r="AG332" s="26">
        <v>0.0</v>
      </c>
      <c r="AH332" s="26" t="s">
        <v>395</v>
      </c>
      <c r="AI332" s="26" t="s">
        <v>396</v>
      </c>
      <c r="AP332" s="26" t="s">
        <v>515</v>
      </c>
      <c r="AQ332" s="26" t="s">
        <v>496</v>
      </c>
      <c r="AS332" s="26" t="s">
        <v>498</v>
      </c>
      <c r="AT332" s="26" t="s">
        <v>1357</v>
      </c>
      <c r="AV332" s="2">
        <f t="array" ref="AV332">IF($A332="","",IF(INDEX($A332:$AT332,1,MAP!$B$3)=CurrentSeason,1,0))</f>
        <v>1</v>
      </c>
      <c r="AW332" s="2">
        <f t="shared" si="1"/>
        <v>42</v>
      </c>
    </row>
    <row r="333" ht="15.0" customHeight="1">
      <c r="A333" s="26" t="s">
        <v>1358</v>
      </c>
      <c r="B333" s="26">
        <v>2026.0</v>
      </c>
      <c r="C333" s="26" t="s">
        <v>390</v>
      </c>
      <c r="D333" s="26">
        <v>3.0</v>
      </c>
      <c r="E333" s="26">
        <v>46292.0</v>
      </c>
      <c r="F333" s="26" t="s">
        <v>419</v>
      </c>
      <c r="G333" s="26">
        <v>0.6701388888905058</v>
      </c>
      <c r="H333" s="26" t="s">
        <v>178</v>
      </c>
      <c r="J333" s="26" t="s">
        <v>246</v>
      </c>
      <c r="L333" s="26" t="s">
        <v>77</v>
      </c>
      <c r="P333" s="26">
        <v>2.026092709E9</v>
      </c>
      <c r="S333" s="26" t="s">
        <v>1359</v>
      </c>
      <c r="W333" s="26">
        <v>7.0</v>
      </c>
      <c r="X333" s="26">
        <v>7.0</v>
      </c>
      <c r="Y333" s="26">
        <v>425.0</v>
      </c>
      <c r="Z333" s="26">
        <v>-575.0</v>
      </c>
      <c r="AA333" s="26">
        <v>11.5</v>
      </c>
      <c r="AB333" s="26">
        <v>-110.0</v>
      </c>
      <c r="AC333" s="26">
        <v>-110.0</v>
      </c>
      <c r="AD333" s="26">
        <v>46.5</v>
      </c>
      <c r="AE333" s="26">
        <v>-110.0</v>
      </c>
      <c r="AF333" s="26">
        <v>-110.0</v>
      </c>
      <c r="AG333" s="26">
        <v>1.0</v>
      </c>
      <c r="AH333" s="26" t="s">
        <v>395</v>
      </c>
      <c r="AI333" s="26" t="s">
        <v>396</v>
      </c>
      <c r="AP333" s="26" t="s">
        <v>475</v>
      </c>
      <c r="AQ333" s="26" t="s">
        <v>514</v>
      </c>
      <c r="AS333" s="26" t="s">
        <v>667</v>
      </c>
      <c r="AT333" s="26" t="s">
        <v>668</v>
      </c>
      <c r="AV333" s="2">
        <f t="array" ref="AV333">IF($A333="","",IF(INDEX($A333:$AT333,1,MAP!$B$3)=CurrentSeason,1,0))</f>
        <v>1</v>
      </c>
      <c r="AW333" s="2">
        <f t="shared" si="1"/>
        <v>43</v>
      </c>
    </row>
    <row r="334" ht="15.0" customHeight="1">
      <c r="A334" s="26" t="s">
        <v>1360</v>
      </c>
      <c r="B334" s="26">
        <v>2026.0</v>
      </c>
      <c r="C334" s="26" t="s">
        <v>390</v>
      </c>
      <c r="D334" s="26">
        <v>3.0</v>
      </c>
      <c r="E334" s="26">
        <v>46292.0</v>
      </c>
      <c r="F334" s="26" t="s">
        <v>419</v>
      </c>
      <c r="G334" s="26">
        <v>0.6701388888905058</v>
      </c>
      <c r="H334" s="26" t="s">
        <v>144</v>
      </c>
      <c r="J334" s="26" t="s">
        <v>150</v>
      </c>
      <c r="L334" s="26" t="s">
        <v>77</v>
      </c>
      <c r="P334" s="26">
        <v>2.02609271E9</v>
      </c>
      <c r="S334" s="26" t="s">
        <v>1361</v>
      </c>
      <c r="W334" s="26">
        <v>7.0</v>
      </c>
      <c r="X334" s="26">
        <v>7.0</v>
      </c>
      <c r="Y334" s="26">
        <v>105.0</v>
      </c>
      <c r="Z334" s="26">
        <v>-125.0</v>
      </c>
      <c r="AA334" s="26">
        <v>1.5</v>
      </c>
      <c r="AB334" s="26">
        <v>-110.0</v>
      </c>
      <c r="AC334" s="26">
        <v>-110.0</v>
      </c>
      <c r="AD334" s="26">
        <v>44.5</v>
      </c>
      <c r="AE334" s="26">
        <v>-110.0</v>
      </c>
      <c r="AF334" s="26">
        <v>-110.0</v>
      </c>
      <c r="AG334" s="26">
        <v>0.0</v>
      </c>
      <c r="AH334" s="26" t="s">
        <v>395</v>
      </c>
      <c r="AI334" s="26" t="s">
        <v>396</v>
      </c>
      <c r="AP334" s="26" t="s">
        <v>555</v>
      </c>
      <c r="AQ334" s="26" t="s">
        <v>427</v>
      </c>
      <c r="AS334" s="26" t="s">
        <v>651</v>
      </c>
      <c r="AT334" s="26" t="s">
        <v>652</v>
      </c>
      <c r="AV334" s="2">
        <f t="array" ref="AV334">IF($A334="","",IF(INDEX($A334:$AT334,1,MAP!$B$3)=CurrentSeason,1,0))</f>
        <v>1</v>
      </c>
      <c r="AW334" s="2">
        <f t="shared" si="1"/>
        <v>44</v>
      </c>
    </row>
    <row r="335" ht="15.0" customHeight="1">
      <c r="A335" s="26" t="s">
        <v>1362</v>
      </c>
      <c r="B335" s="26">
        <v>2026.0</v>
      </c>
      <c r="C335" s="26" t="s">
        <v>390</v>
      </c>
      <c r="D335" s="26">
        <v>3.0</v>
      </c>
      <c r="E335" s="26">
        <v>46292.0</v>
      </c>
      <c r="F335" s="26" t="s">
        <v>419</v>
      </c>
      <c r="G335" s="26">
        <v>0.6840277777773736</v>
      </c>
      <c r="H335" s="26" t="s">
        <v>148</v>
      </c>
      <c r="J335" s="26" t="s">
        <v>146</v>
      </c>
      <c r="L335" s="26" t="s">
        <v>78</v>
      </c>
      <c r="P335" s="26">
        <v>2.026092711E9</v>
      </c>
      <c r="S335" s="26" t="s">
        <v>1363</v>
      </c>
      <c r="W335" s="26">
        <v>7.0</v>
      </c>
      <c r="X335" s="26">
        <v>7.0</v>
      </c>
      <c r="Y335" s="26">
        <v>-135.0</v>
      </c>
      <c r="Z335" s="26">
        <v>114.0</v>
      </c>
      <c r="AA335" s="26">
        <v>-2.5</v>
      </c>
      <c r="AB335" s="26">
        <v>-110.0</v>
      </c>
      <c r="AC335" s="26">
        <v>-110.0</v>
      </c>
      <c r="AD335" s="26">
        <v>51.5</v>
      </c>
      <c r="AE335" s="26">
        <v>-110.0</v>
      </c>
      <c r="AF335" s="26">
        <v>-110.0</v>
      </c>
      <c r="AG335" s="26">
        <v>0.0</v>
      </c>
      <c r="AI335" s="26" t="s">
        <v>531</v>
      </c>
      <c r="AP335" s="26" t="s">
        <v>1278</v>
      </c>
      <c r="AQ335" s="26" t="s">
        <v>399</v>
      </c>
      <c r="AS335" s="26" t="s">
        <v>575</v>
      </c>
      <c r="AT335" s="26" t="s">
        <v>1364</v>
      </c>
      <c r="AV335" s="2">
        <f t="array" ref="AV335">IF($A335="","",IF(INDEX($A335:$AT335,1,MAP!$B$3)=CurrentSeason,1,0))</f>
        <v>1</v>
      </c>
      <c r="AW335" s="2">
        <f t="shared" si="1"/>
        <v>45</v>
      </c>
    </row>
    <row r="336" ht="15.0" customHeight="1">
      <c r="A336" s="26" t="s">
        <v>1365</v>
      </c>
      <c r="B336" s="26">
        <v>2026.0</v>
      </c>
      <c r="C336" s="26" t="s">
        <v>390</v>
      </c>
      <c r="D336" s="26">
        <v>3.0</v>
      </c>
      <c r="E336" s="26">
        <v>46292.0</v>
      </c>
      <c r="F336" s="26" t="s">
        <v>419</v>
      </c>
      <c r="G336" s="26">
        <v>0.6840277777773736</v>
      </c>
      <c r="H336" s="26" t="s">
        <v>222</v>
      </c>
      <c r="J336" s="26" t="s">
        <v>232</v>
      </c>
      <c r="L336" s="26" t="s">
        <v>77</v>
      </c>
      <c r="P336" s="26">
        <v>2.026092712E9</v>
      </c>
      <c r="S336" s="26" t="s">
        <v>1366</v>
      </c>
      <c r="W336" s="26">
        <v>7.0</v>
      </c>
      <c r="X336" s="26">
        <v>7.0</v>
      </c>
      <c r="Y336" s="26">
        <v>136.0</v>
      </c>
      <c r="Z336" s="26">
        <v>-162.0</v>
      </c>
      <c r="AA336" s="26">
        <v>3.0</v>
      </c>
      <c r="AB336" s="26">
        <v>-110.0</v>
      </c>
      <c r="AC336" s="26">
        <v>-110.0</v>
      </c>
      <c r="AD336" s="26">
        <v>42.5</v>
      </c>
      <c r="AE336" s="26">
        <v>-110.0</v>
      </c>
      <c r="AF336" s="26">
        <v>-110.0</v>
      </c>
      <c r="AG336" s="26">
        <v>0.0</v>
      </c>
      <c r="AH336" s="26" t="s">
        <v>409</v>
      </c>
      <c r="AI336" s="26" t="s">
        <v>471</v>
      </c>
      <c r="AP336" s="26" t="s">
        <v>1294</v>
      </c>
      <c r="AQ336" s="26" t="s">
        <v>476</v>
      </c>
      <c r="AS336" s="26" t="s">
        <v>478</v>
      </c>
      <c r="AT336" s="26" t="s">
        <v>1367</v>
      </c>
      <c r="AV336" s="2">
        <f t="array" ref="AV336">IF($A336="","",IF(INDEX($A336:$AT336,1,MAP!$B$3)=CurrentSeason,1,0))</f>
        <v>1</v>
      </c>
      <c r="AW336" s="2">
        <f t="shared" si="1"/>
        <v>46</v>
      </c>
    </row>
    <row r="337" ht="15.0" customHeight="1">
      <c r="A337" s="26" t="s">
        <v>1368</v>
      </c>
      <c r="B337" s="26">
        <v>2026.0</v>
      </c>
      <c r="C337" s="26" t="s">
        <v>390</v>
      </c>
      <c r="D337" s="26">
        <v>3.0</v>
      </c>
      <c r="E337" s="26">
        <v>46292.0</v>
      </c>
      <c r="F337" s="26" t="s">
        <v>419</v>
      </c>
      <c r="G337" s="26">
        <v>0.8472222222226264</v>
      </c>
      <c r="H337" s="26" t="s">
        <v>142</v>
      </c>
      <c r="J337" s="26" t="s">
        <v>139</v>
      </c>
      <c r="L337" s="26" t="s">
        <v>77</v>
      </c>
      <c r="P337" s="26">
        <v>2.026092713E9</v>
      </c>
      <c r="S337" s="26" t="s">
        <v>1369</v>
      </c>
      <c r="W337" s="26">
        <v>6.0</v>
      </c>
      <c r="X337" s="26">
        <v>7.0</v>
      </c>
      <c r="Y337" s="26">
        <v>-155.0</v>
      </c>
      <c r="Z337" s="26">
        <v>130.0</v>
      </c>
      <c r="AA337" s="26">
        <v>-3.0</v>
      </c>
      <c r="AB337" s="26">
        <v>-110.0</v>
      </c>
      <c r="AC337" s="26">
        <v>-110.0</v>
      </c>
      <c r="AD337" s="26">
        <v>45.5</v>
      </c>
      <c r="AE337" s="26">
        <v>-110.0</v>
      </c>
      <c r="AF337" s="26">
        <v>-110.0</v>
      </c>
      <c r="AG337" s="26">
        <v>0.0</v>
      </c>
      <c r="AH337" s="26" t="s">
        <v>395</v>
      </c>
      <c r="AI337" s="26" t="s">
        <v>396</v>
      </c>
      <c r="AP337" s="26" t="s">
        <v>535</v>
      </c>
      <c r="AQ337" s="26" t="s">
        <v>506</v>
      </c>
      <c r="AS337" s="26" t="s">
        <v>508</v>
      </c>
      <c r="AT337" s="26" t="s">
        <v>509</v>
      </c>
      <c r="AV337" s="2">
        <f t="array" ref="AV337">IF($A337="","",IF(INDEX($A337:$AT337,1,MAP!$B$3)=CurrentSeason,1,0))</f>
        <v>1</v>
      </c>
      <c r="AW337" s="2">
        <f t="shared" si="1"/>
        <v>47</v>
      </c>
    </row>
    <row r="338" ht="15.0" customHeight="1">
      <c r="A338" s="26" t="s">
        <v>1370</v>
      </c>
      <c r="B338" s="26">
        <v>2026.0</v>
      </c>
      <c r="C338" s="26" t="s">
        <v>390</v>
      </c>
      <c r="D338" s="26">
        <v>3.0</v>
      </c>
      <c r="E338" s="26">
        <v>46293.0</v>
      </c>
      <c r="F338" s="26" t="s">
        <v>549</v>
      </c>
      <c r="G338" s="26">
        <v>0.84375</v>
      </c>
      <c r="H338" s="26" t="s">
        <v>147</v>
      </c>
      <c r="J338" s="26" t="s">
        <v>137</v>
      </c>
      <c r="L338" s="26" t="s">
        <v>77</v>
      </c>
      <c r="P338" s="26">
        <v>2.0260928E9</v>
      </c>
      <c r="S338" s="26" t="s">
        <v>1371</v>
      </c>
      <c r="W338" s="26">
        <v>8.0</v>
      </c>
      <c r="X338" s="26">
        <v>8.0</v>
      </c>
      <c r="AG338" s="26">
        <v>0.0</v>
      </c>
      <c r="AH338" s="26" t="s">
        <v>395</v>
      </c>
      <c r="AI338" s="26" t="s">
        <v>396</v>
      </c>
      <c r="AP338" s="26" t="s">
        <v>400</v>
      </c>
      <c r="AQ338" s="26" t="s">
        <v>556</v>
      </c>
      <c r="AS338" s="26" t="s">
        <v>558</v>
      </c>
      <c r="AT338" s="26" t="s">
        <v>559</v>
      </c>
      <c r="AV338" s="2">
        <f t="array" ref="AV338">IF($A338="","",IF(INDEX($A338:$AT338,1,MAP!$B$3)=CurrentSeason,1,0))</f>
        <v>1</v>
      </c>
      <c r="AW338" s="2">
        <f t="shared" si="1"/>
        <v>48</v>
      </c>
    </row>
    <row r="339" ht="15.0" customHeight="1">
      <c r="A339" s="26" t="s">
        <v>1372</v>
      </c>
      <c r="B339" s="26">
        <v>2026.0</v>
      </c>
      <c r="C339" s="26" t="s">
        <v>390</v>
      </c>
      <c r="D339" s="26">
        <v>4.0</v>
      </c>
      <c r="E339" s="26">
        <v>46296.0</v>
      </c>
      <c r="F339" s="26" t="s">
        <v>392</v>
      </c>
      <c r="G339" s="26">
        <v>0.84375</v>
      </c>
      <c r="H339" s="26" t="s">
        <v>242</v>
      </c>
      <c r="J339" s="26" t="s">
        <v>196</v>
      </c>
      <c r="L339" s="26" t="s">
        <v>77</v>
      </c>
      <c r="P339" s="26">
        <v>2.0261001E9</v>
      </c>
      <c r="S339" s="26" t="s">
        <v>1373</v>
      </c>
      <c r="W339" s="26">
        <v>4.0</v>
      </c>
      <c r="X339" s="26">
        <v>4.0</v>
      </c>
      <c r="Y339" s="26">
        <v>-162.0</v>
      </c>
      <c r="Z339" s="26">
        <v>136.0</v>
      </c>
      <c r="AA339" s="26">
        <v>-3.0</v>
      </c>
      <c r="AB339" s="26">
        <v>-110.0</v>
      </c>
      <c r="AC339" s="26">
        <v>-110.0</v>
      </c>
      <c r="AD339" s="26">
        <v>41.5</v>
      </c>
      <c r="AE339" s="26">
        <v>-110.0</v>
      </c>
      <c r="AF339" s="26">
        <v>-110.0</v>
      </c>
      <c r="AG339" s="26">
        <v>1.0</v>
      </c>
      <c r="AH339" s="26" t="s">
        <v>395</v>
      </c>
      <c r="AI339" s="26" t="s">
        <v>396</v>
      </c>
      <c r="AP339" s="26" t="s">
        <v>1285</v>
      </c>
      <c r="AQ339" s="26" t="s">
        <v>1281</v>
      </c>
      <c r="AS339" s="26" t="s">
        <v>440</v>
      </c>
      <c r="AT339" s="26" t="s">
        <v>1342</v>
      </c>
      <c r="AV339" s="2">
        <f t="array" ref="AV339">IF($A339="","",IF(INDEX($A339:$AT339,1,MAP!$B$3)=CurrentSeason,1,0))</f>
        <v>1</v>
      </c>
      <c r="AW339" s="2">
        <f t="shared" si="1"/>
        <v>49</v>
      </c>
    </row>
    <row r="340" ht="15.0" customHeight="1">
      <c r="A340" s="26" t="s">
        <v>1374</v>
      </c>
      <c r="B340" s="26">
        <v>2026.0</v>
      </c>
      <c r="C340" s="26" t="s">
        <v>390</v>
      </c>
      <c r="D340" s="26">
        <v>4.0</v>
      </c>
      <c r="E340" s="26">
        <v>46299.0</v>
      </c>
      <c r="F340" s="26" t="s">
        <v>419</v>
      </c>
      <c r="G340" s="26">
        <v>0.3958333333321207</v>
      </c>
      <c r="H340" s="26" t="s">
        <v>210</v>
      </c>
      <c r="J340" s="26" t="s">
        <v>253</v>
      </c>
      <c r="L340" s="26" t="s">
        <v>78</v>
      </c>
      <c r="P340" s="26">
        <v>2.0261004E9</v>
      </c>
      <c r="S340" s="26" t="s">
        <v>1375</v>
      </c>
      <c r="W340" s="26">
        <v>7.0</v>
      </c>
      <c r="X340" s="26">
        <v>7.0</v>
      </c>
      <c r="Y340" s="26">
        <v>-108.0</v>
      </c>
      <c r="Z340" s="26">
        <v>-112.0</v>
      </c>
      <c r="AA340" s="26">
        <v>1.5</v>
      </c>
      <c r="AB340" s="26">
        <v>-122.0</v>
      </c>
      <c r="AC340" s="26">
        <v>102.0</v>
      </c>
      <c r="AD340" s="26">
        <v>48.5</v>
      </c>
      <c r="AE340" s="26">
        <v>-110.0</v>
      </c>
      <c r="AF340" s="26">
        <v>-110.0</v>
      </c>
      <c r="AG340" s="26">
        <v>0.0</v>
      </c>
      <c r="AH340" s="26" t="s">
        <v>395</v>
      </c>
      <c r="AI340" s="26" t="s">
        <v>396</v>
      </c>
      <c r="AP340" s="26" t="s">
        <v>447</v>
      </c>
      <c r="AQ340" s="26" t="s">
        <v>496</v>
      </c>
      <c r="AS340" s="26" t="s">
        <v>498</v>
      </c>
      <c r="AT340" s="26" t="s">
        <v>1376</v>
      </c>
      <c r="AV340" s="2">
        <f t="array" ref="AV340">IF($A340="","",IF(INDEX($A340:$AT340,1,MAP!$B$3)=CurrentSeason,1,0))</f>
        <v>1</v>
      </c>
      <c r="AW340" s="2">
        <f t="shared" si="1"/>
        <v>50</v>
      </c>
    </row>
    <row r="341" ht="15.0" customHeight="1">
      <c r="A341" s="26" t="s">
        <v>1377</v>
      </c>
      <c r="B341" s="26">
        <v>2026.0</v>
      </c>
      <c r="C341" s="26" t="s">
        <v>390</v>
      </c>
      <c r="D341" s="26">
        <v>4.0</v>
      </c>
      <c r="E341" s="26">
        <v>46299.0</v>
      </c>
      <c r="F341" s="26" t="s">
        <v>419</v>
      </c>
      <c r="G341" s="26">
        <v>0.5416666666678793</v>
      </c>
      <c r="H341" s="26" t="s">
        <v>250</v>
      </c>
      <c r="J341" s="26" t="s">
        <v>148</v>
      </c>
      <c r="L341" s="26" t="s">
        <v>77</v>
      </c>
      <c r="P341" s="26">
        <v>2.026100401E9</v>
      </c>
      <c r="S341" s="26" t="s">
        <v>1378</v>
      </c>
      <c r="W341" s="26">
        <v>7.0</v>
      </c>
      <c r="X341" s="26">
        <v>7.0</v>
      </c>
      <c r="Y341" s="26">
        <v>310.0</v>
      </c>
      <c r="Z341" s="26">
        <v>-395.0</v>
      </c>
      <c r="AA341" s="26">
        <v>8.5</v>
      </c>
      <c r="AB341" s="26">
        <v>-110.0</v>
      </c>
      <c r="AC341" s="26">
        <v>-110.0</v>
      </c>
      <c r="AD341" s="26">
        <v>47.5</v>
      </c>
      <c r="AE341" s="26">
        <v>-110.0</v>
      </c>
      <c r="AF341" s="26">
        <v>-110.0</v>
      </c>
      <c r="AG341" s="26">
        <v>0.0</v>
      </c>
      <c r="AH341" s="26" t="s">
        <v>395</v>
      </c>
      <c r="AI341" s="26" t="s">
        <v>396</v>
      </c>
      <c r="AP341" s="26" t="s">
        <v>1288</v>
      </c>
      <c r="AQ341" s="26" t="s">
        <v>1278</v>
      </c>
      <c r="AS341" s="26" t="s">
        <v>567</v>
      </c>
      <c r="AT341" s="26" t="s">
        <v>568</v>
      </c>
      <c r="AV341" s="2">
        <f t="array" ref="AV341">IF($A341="","",IF(INDEX($A341:$AT341,1,MAP!$B$3)=CurrentSeason,1,0))</f>
        <v>1</v>
      </c>
      <c r="AW341" s="2">
        <f t="shared" si="1"/>
        <v>51</v>
      </c>
    </row>
    <row r="342" ht="15.0" customHeight="1">
      <c r="A342" s="26" t="s">
        <v>1379</v>
      </c>
      <c r="B342" s="26">
        <v>2026.0</v>
      </c>
      <c r="C342" s="26" t="s">
        <v>390</v>
      </c>
      <c r="D342" s="26">
        <v>4.0</v>
      </c>
      <c r="E342" s="26">
        <v>46299.0</v>
      </c>
      <c r="F342" s="26" t="s">
        <v>419</v>
      </c>
      <c r="G342" s="26">
        <v>0.5416666666678793</v>
      </c>
      <c r="H342" s="26" t="s">
        <v>145</v>
      </c>
      <c r="J342" s="26" t="s">
        <v>136</v>
      </c>
      <c r="L342" s="26" t="s">
        <v>77</v>
      </c>
      <c r="P342" s="26">
        <v>2.026100402E9</v>
      </c>
      <c r="S342" s="26" t="s">
        <v>1380</v>
      </c>
      <c r="W342" s="26">
        <v>7.0</v>
      </c>
      <c r="X342" s="26">
        <v>7.0</v>
      </c>
      <c r="Y342" s="26">
        <v>136.0</v>
      </c>
      <c r="Z342" s="26">
        <v>-162.0</v>
      </c>
      <c r="AA342" s="26">
        <v>3.0</v>
      </c>
      <c r="AB342" s="26">
        <v>-110.0</v>
      </c>
      <c r="AC342" s="26">
        <v>-110.0</v>
      </c>
      <c r="AD342" s="26">
        <v>49.5</v>
      </c>
      <c r="AE342" s="26">
        <v>-110.0</v>
      </c>
      <c r="AF342" s="26">
        <v>-110.0</v>
      </c>
      <c r="AG342" s="26">
        <v>1.0</v>
      </c>
      <c r="AH342" s="26" t="s">
        <v>395</v>
      </c>
      <c r="AI342" s="26" t="s">
        <v>539</v>
      </c>
      <c r="AP342" s="26" t="s">
        <v>465</v>
      </c>
      <c r="AQ342" s="26" t="s">
        <v>543</v>
      </c>
      <c r="AS342" s="26" t="s">
        <v>545</v>
      </c>
      <c r="AT342" s="26" t="s">
        <v>1305</v>
      </c>
      <c r="AV342" s="2">
        <f t="array" ref="AV342">IF($A342="","",IF(INDEX($A342:$AT342,1,MAP!$B$3)=CurrentSeason,1,0))</f>
        <v>1</v>
      </c>
      <c r="AW342" s="2">
        <f t="shared" si="1"/>
        <v>52</v>
      </c>
    </row>
    <row r="343" ht="15.0" customHeight="1">
      <c r="A343" s="26" t="s">
        <v>1381</v>
      </c>
      <c r="B343" s="26">
        <v>2026.0</v>
      </c>
      <c r="C343" s="26" t="s">
        <v>390</v>
      </c>
      <c r="D343" s="26">
        <v>4.0</v>
      </c>
      <c r="E343" s="26">
        <v>46299.0</v>
      </c>
      <c r="F343" s="26" t="s">
        <v>419</v>
      </c>
      <c r="G343" s="26">
        <v>0.5416666666678793</v>
      </c>
      <c r="H343" s="26" t="s">
        <v>238</v>
      </c>
      <c r="J343" s="26" t="s">
        <v>137</v>
      </c>
      <c r="L343" s="26" t="s">
        <v>77</v>
      </c>
      <c r="P343" s="26">
        <v>2.026100403E9</v>
      </c>
      <c r="S343" s="26" t="s">
        <v>1382</v>
      </c>
      <c r="W343" s="26">
        <v>7.0</v>
      </c>
      <c r="X343" s="26">
        <v>6.0</v>
      </c>
      <c r="Y343" s="26">
        <v>310.0</v>
      </c>
      <c r="Z343" s="26">
        <v>-395.0</v>
      </c>
      <c r="AA343" s="26">
        <v>8.5</v>
      </c>
      <c r="AB343" s="26">
        <v>-110.0</v>
      </c>
      <c r="AC343" s="26">
        <v>-110.0</v>
      </c>
      <c r="AD343" s="26">
        <v>45.5</v>
      </c>
      <c r="AE343" s="26">
        <v>-110.0</v>
      </c>
      <c r="AF343" s="26">
        <v>-110.0</v>
      </c>
      <c r="AG343" s="26">
        <v>0.0</v>
      </c>
      <c r="AH343" s="26" t="s">
        <v>395</v>
      </c>
      <c r="AI343" s="26" t="s">
        <v>396</v>
      </c>
      <c r="AP343" s="26" t="s">
        <v>486</v>
      </c>
      <c r="AQ343" s="26" t="s">
        <v>556</v>
      </c>
      <c r="AS343" s="26" t="s">
        <v>558</v>
      </c>
      <c r="AT343" s="26" t="s">
        <v>559</v>
      </c>
      <c r="AV343" s="2">
        <f t="array" ref="AV343">IF($A343="","",IF(INDEX($A343:$AT343,1,MAP!$B$3)=CurrentSeason,1,0))</f>
        <v>1</v>
      </c>
      <c r="AW343" s="2">
        <f t="shared" si="1"/>
        <v>53</v>
      </c>
    </row>
    <row r="344" ht="15.0" customHeight="1">
      <c r="A344" s="26" t="s">
        <v>1383</v>
      </c>
      <c r="B344" s="26">
        <v>2026.0</v>
      </c>
      <c r="C344" s="26" t="s">
        <v>390</v>
      </c>
      <c r="D344" s="26">
        <v>4.0</v>
      </c>
      <c r="E344" s="26">
        <v>46299.0</v>
      </c>
      <c r="F344" s="26" t="s">
        <v>419</v>
      </c>
      <c r="G344" s="26">
        <v>0.5416666666678793</v>
      </c>
      <c r="H344" s="26" t="s">
        <v>141</v>
      </c>
      <c r="J344" s="26" t="s">
        <v>138</v>
      </c>
      <c r="L344" s="26" t="s">
        <v>77</v>
      </c>
      <c r="P344" s="26">
        <v>2.026100404E9</v>
      </c>
      <c r="S344" s="26" t="s">
        <v>1384</v>
      </c>
      <c r="W344" s="26">
        <v>7.0</v>
      </c>
      <c r="X344" s="26">
        <v>7.0</v>
      </c>
      <c r="Y344" s="26">
        <v>114.0</v>
      </c>
      <c r="Z344" s="26">
        <v>-135.0</v>
      </c>
      <c r="AA344" s="26">
        <v>2.5</v>
      </c>
      <c r="AB344" s="26">
        <v>-110.0</v>
      </c>
      <c r="AC344" s="26">
        <v>-110.0</v>
      </c>
      <c r="AD344" s="26">
        <v>51.5</v>
      </c>
      <c r="AE344" s="26">
        <v>-110.0</v>
      </c>
      <c r="AF344" s="26">
        <v>-110.0</v>
      </c>
      <c r="AG344" s="26">
        <v>0.0</v>
      </c>
      <c r="AH344" s="26" t="s">
        <v>395</v>
      </c>
      <c r="AI344" s="26" t="s">
        <v>423</v>
      </c>
      <c r="AP344" s="26" t="s">
        <v>456</v>
      </c>
      <c r="AQ344" s="26" t="s">
        <v>437</v>
      </c>
      <c r="AS344" s="26" t="s">
        <v>571</v>
      </c>
      <c r="AT344" s="26" t="s">
        <v>572</v>
      </c>
      <c r="AV344" s="2">
        <f t="array" ref="AV344">IF($A344="","",IF(INDEX($A344:$AT344,1,MAP!$B$3)=CurrentSeason,1,0))</f>
        <v>1</v>
      </c>
      <c r="AW344" s="2">
        <f t="shared" si="1"/>
        <v>54</v>
      </c>
    </row>
    <row r="345" ht="15.0" customHeight="1">
      <c r="A345" s="26" t="s">
        <v>1385</v>
      </c>
      <c r="B345" s="26">
        <v>2026.0</v>
      </c>
      <c r="C345" s="26" t="s">
        <v>390</v>
      </c>
      <c r="D345" s="26">
        <v>4.0</v>
      </c>
      <c r="E345" s="26">
        <v>46299.0</v>
      </c>
      <c r="F345" s="26" t="s">
        <v>419</v>
      </c>
      <c r="G345" s="26">
        <v>0.5416666666678793</v>
      </c>
      <c r="H345" s="26" t="s">
        <v>146</v>
      </c>
      <c r="J345" s="26" t="s">
        <v>140</v>
      </c>
      <c r="L345" s="26" t="s">
        <v>77</v>
      </c>
      <c r="P345" s="26">
        <v>2.026100405E9</v>
      </c>
      <c r="S345" s="26" t="s">
        <v>1386</v>
      </c>
      <c r="W345" s="26">
        <v>7.0</v>
      </c>
      <c r="X345" s="26">
        <v>7.0</v>
      </c>
      <c r="Y345" s="26">
        <v>114.0</v>
      </c>
      <c r="Z345" s="26">
        <v>-135.0</v>
      </c>
      <c r="AA345" s="26">
        <v>2.5</v>
      </c>
      <c r="AB345" s="26">
        <v>-110.0</v>
      </c>
      <c r="AC345" s="26">
        <v>-110.0</v>
      </c>
      <c r="AD345" s="26">
        <v>47.5</v>
      </c>
      <c r="AE345" s="26">
        <v>-110.0</v>
      </c>
      <c r="AF345" s="26">
        <v>-110.0</v>
      </c>
      <c r="AG345" s="26">
        <v>0.0</v>
      </c>
      <c r="AI345" s="26" t="s">
        <v>617</v>
      </c>
      <c r="AP345" s="26" t="s">
        <v>399</v>
      </c>
      <c r="AQ345" s="26" t="s">
        <v>534</v>
      </c>
      <c r="AS345" s="26" t="s">
        <v>618</v>
      </c>
      <c r="AT345" s="26" t="s">
        <v>1275</v>
      </c>
      <c r="AV345" s="2">
        <f t="array" ref="AV345">IF($A345="","",IF(INDEX($A345:$AT345,1,MAP!$B$3)=CurrentSeason,1,0))</f>
        <v>1</v>
      </c>
      <c r="AW345" s="2">
        <f t="shared" si="1"/>
        <v>55</v>
      </c>
    </row>
    <row r="346" ht="15.0" customHeight="1">
      <c r="A346" s="26" t="s">
        <v>1387</v>
      </c>
      <c r="B346" s="26">
        <v>2026.0</v>
      </c>
      <c r="C346" s="26" t="s">
        <v>390</v>
      </c>
      <c r="D346" s="26">
        <v>4.0</v>
      </c>
      <c r="E346" s="26">
        <v>46299.0</v>
      </c>
      <c r="F346" s="26" t="s">
        <v>419</v>
      </c>
      <c r="G346" s="26">
        <v>0.5416666666678793</v>
      </c>
      <c r="H346" s="26" t="s">
        <v>178</v>
      </c>
      <c r="J346" s="26" t="s">
        <v>235</v>
      </c>
      <c r="L346" s="26" t="s">
        <v>77</v>
      </c>
      <c r="P346" s="26">
        <v>2.026100406E9</v>
      </c>
      <c r="S346" s="26" t="s">
        <v>1388</v>
      </c>
      <c r="W346" s="26">
        <v>7.0</v>
      </c>
      <c r="X346" s="26">
        <v>7.0</v>
      </c>
      <c r="Y346" s="26">
        <v>250.0</v>
      </c>
      <c r="Z346" s="26">
        <v>-310.0</v>
      </c>
      <c r="AA346" s="26">
        <v>7.0</v>
      </c>
      <c r="AB346" s="26">
        <v>-110.0</v>
      </c>
      <c r="AC346" s="26">
        <v>-110.0</v>
      </c>
      <c r="AD346" s="26">
        <v>45.5</v>
      </c>
      <c r="AE346" s="26">
        <v>-110.0</v>
      </c>
      <c r="AF346" s="26">
        <v>-110.0</v>
      </c>
      <c r="AG346" s="26">
        <v>0.0</v>
      </c>
      <c r="AH346" s="26" t="s">
        <v>395</v>
      </c>
      <c r="AI346" s="26" t="s">
        <v>423</v>
      </c>
      <c r="AP346" s="26" t="s">
        <v>475</v>
      </c>
      <c r="AQ346" s="26" t="s">
        <v>542</v>
      </c>
      <c r="AS346" s="26" t="s">
        <v>488</v>
      </c>
      <c r="AT346" s="26" t="s">
        <v>489</v>
      </c>
      <c r="AV346" s="2">
        <f t="array" ref="AV346">IF($A346="","",IF(INDEX($A346:$AT346,1,MAP!$B$3)=CurrentSeason,1,0))</f>
        <v>1</v>
      </c>
      <c r="AW346" s="2">
        <f t="shared" si="1"/>
        <v>56</v>
      </c>
    </row>
    <row r="347" ht="15.0" customHeight="1">
      <c r="A347" s="26" t="s">
        <v>1389</v>
      </c>
      <c r="B347" s="26">
        <v>2026.0</v>
      </c>
      <c r="C347" s="26" t="s">
        <v>390</v>
      </c>
      <c r="D347" s="26">
        <v>4.0</v>
      </c>
      <c r="E347" s="26">
        <v>46299.0</v>
      </c>
      <c r="F347" s="26" t="s">
        <v>419</v>
      </c>
      <c r="G347" s="26">
        <v>0.5416666666678793</v>
      </c>
      <c r="H347" s="26" t="s">
        <v>142</v>
      </c>
      <c r="J347" s="26" t="s">
        <v>147</v>
      </c>
      <c r="L347" s="26" t="s">
        <v>77</v>
      </c>
      <c r="P347" s="26">
        <v>2.026100407E9</v>
      </c>
      <c r="S347" s="26" t="s">
        <v>1390</v>
      </c>
      <c r="W347" s="26">
        <v>7.0</v>
      </c>
      <c r="X347" s="26">
        <v>6.0</v>
      </c>
      <c r="Y347" s="26">
        <v>-142.0</v>
      </c>
      <c r="Z347" s="26">
        <v>120.0</v>
      </c>
      <c r="AA347" s="26">
        <v>-2.5</v>
      </c>
      <c r="AB347" s="26">
        <v>-115.0</v>
      </c>
      <c r="AC347" s="26">
        <v>-105.0</v>
      </c>
      <c r="AD347" s="26">
        <v>47.5</v>
      </c>
      <c r="AE347" s="26">
        <v>-110.0</v>
      </c>
      <c r="AF347" s="26">
        <v>-110.0</v>
      </c>
      <c r="AG347" s="26">
        <v>0.0</v>
      </c>
      <c r="AH347" s="26" t="s">
        <v>395</v>
      </c>
      <c r="AI347" s="26" t="s">
        <v>396</v>
      </c>
      <c r="AP347" s="26" t="s">
        <v>535</v>
      </c>
      <c r="AQ347" s="26" t="s">
        <v>400</v>
      </c>
      <c r="AS347" s="26" t="s">
        <v>402</v>
      </c>
      <c r="AT347" s="26" t="s">
        <v>403</v>
      </c>
      <c r="AV347" s="2">
        <f t="array" ref="AV347">IF($A347="","",IF(INDEX($A347:$AT347,1,MAP!$B$3)=CurrentSeason,1,0))</f>
        <v>1</v>
      </c>
      <c r="AW347" s="2">
        <f t="shared" si="1"/>
        <v>57</v>
      </c>
    </row>
    <row r="348" ht="15.0" customHeight="1">
      <c r="A348" s="26" t="s">
        <v>1391</v>
      </c>
      <c r="B348" s="26">
        <v>2026.0</v>
      </c>
      <c r="C348" s="26" t="s">
        <v>390</v>
      </c>
      <c r="D348" s="26">
        <v>4.0</v>
      </c>
      <c r="E348" s="26">
        <v>46299.0</v>
      </c>
      <c r="F348" s="26" t="s">
        <v>419</v>
      </c>
      <c r="G348" s="26">
        <v>0.5416666666678793</v>
      </c>
      <c r="H348" s="26" t="s">
        <v>205</v>
      </c>
      <c r="J348" s="26" t="s">
        <v>150</v>
      </c>
      <c r="L348" s="26" t="s">
        <v>77</v>
      </c>
      <c r="P348" s="26">
        <v>2.026100408E9</v>
      </c>
      <c r="S348" s="26" t="s">
        <v>1392</v>
      </c>
      <c r="W348" s="26">
        <v>10.0</v>
      </c>
      <c r="X348" s="26">
        <v>7.0</v>
      </c>
      <c r="AG348" s="26">
        <v>0.0</v>
      </c>
      <c r="AH348" s="26" t="s">
        <v>395</v>
      </c>
      <c r="AI348" s="26" t="s">
        <v>396</v>
      </c>
      <c r="AP348" s="26" t="s">
        <v>525</v>
      </c>
      <c r="AQ348" s="26" t="s">
        <v>427</v>
      </c>
      <c r="AS348" s="26" t="s">
        <v>651</v>
      </c>
      <c r="AT348" s="26" t="s">
        <v>652</v>
      </c>
      <c r="AV348" s="2">
        <f t="array" ref="AV348">IF($A348="","",IF(INDEX($A348:$AT348,1,MAP!$B$3)=CurrentSeason,1,0))</f>
        <v>1</v>
      </c>
      <c r="AW348" s="2">
        <f t="shared" si="1"/>
        <v>58</v>
      </c>
    </row>
    <row r="349" ht="15.0" customHeight="1">
      <c r="A349" s="26" t="s">
        <v>1393</v>
      </c>
      <c r="B349" s="26">
        <v>2026.0</v>
      </c>
      <c r="C349" s="26" t="s">
        <v>390</v>
      </c>
      <c r="D349" s="26">
        <v>4.0</v>
      </c>
      <c r="E349" s="26">
        <v>46299.0</v>
      </c>
      <c r="F349" s="26" t="s">
        <v>419</v>
      </c>
      <c r="G349" s="26">
        <v>0.6701388888905058</v>
      </c>
      <c r="H349" s="26" t="s">
        <v>225</v>
      </c>
      <c r="J349" s="26" t="s">
        <v>144</v>
      </c>
      <c r="L349" s="26" t="s">
        <v>77</v>
      </c>
      <c r="P349" s="26">
        <v>2.026100409E9</v>
      </c>
      <c r="S349" s="26" t="s">
        <v>1394</v>
      </c>
      <c r="W349" s="26">
        <v>7.0</v>
      </c>
      <c r="X349" s="26">
        <v>7.0</v>
      </c>
      <c r="Y349" s="26">
        <v>300.0</v>
      </c>
      <c r="Z349" s="26">
        <v>-380.0</v>
      </c>
      <c r="AA349" s="26">
        <v>7.5</v>
      </c>
      <c r="AB349" s="26">
        <v>-110.0</v>
      </c>
      <c r="AC349" s="26">
        <v>-110.0</v>
      </c>
      <c r="AD349" s="26">
        <v>43.5</v>
      </c>
      <c r="AE349" s="26">
        <v>-110.0</v>
      </c>
      <c r="AF349" s="26">
        <v>-110.0</v>
      </c>
      <c r="AG349" s="26">
        <v>0.0</v>
      </c>
      <c r="AH349" s="26" t="s">
        <v>409</v>
      </c>
      <c r="AI349" s="26" t="s">
        <v>471</v>
      </c>
      <c r="AP349" s="26" t="s">
        <v>1293</v>
      </c>
      <c r="AQ349" s="26" t="s">
        <v>555</v>
      </c>
      <c r="AS349" s="26" t="s">
        <v>611</v>
      </c>
      <c r="AT349" s="26" t="s">
        <v>612</v>
      </c>
      <c r="AV349" s="2">
        <f t="array" ref="AV349">IF($A349="","",IF(INDEX($A349:$AT349,1,MAP!$B$3)=CurrentSeason,1,0))</f>
        <v>1</v>
      </c>
      <c r="AW349" s="2">
        <f t="shared" si="1"/>
        <v>59</v>
      </c>
    </row>
    <row r="350" ht="15.0" customHeight="1">
      <c r="A350" s="26" t="s">
        <v>1395</v>
      </c>
      <c r="B350" s="26">
        <v>2026.0</v>
      </c>
      <c r="C350" s="26" t="s">
        <v>390</v>
      </c>
      <c r="D350" s="26">
        <v>4.0</v>
      </c>
      <c r="E350" s="26">
        <v>46299.0</v>
      </c>
      <c r="F350" s="26" t="s">
        <v>419</v>
      </c>
      <c r="G350" s="26">
        <v>0.6840277777773736</v>
      </c>
      <c r="H350" s="26" t="s">
        <v>143</v>
      </c>
      <c r="J350" s="26" t="s">
        <v>222</v>
      </c>
      <c r="L350" s="26" t="s">
        <v>77</v>
      </c>
      <c r="P350" s="26">
        <v>2.02610041E9</v>
      </c>
      <c r="S350" s="26" t="s">
        <v>1396</v>
      </c>
      <c r="W350" s="26">
        <v>7.0</v>
      </c>
      <c r="X350" s="26">
        <v>7.0</v>
      </c>
      <c r="Y350" s="26">
        <v>-245.0</v>
      </c>
      <c r="Z350" s="26">
        <v>200.0</v>
      </c>
      <c r="AA350" s="26">
        <v>-5.5</v>
      </c>
      <c r="AB350" s="26">
        <v>-110.0</v>
      </c>
      <c r="AC350" s="26">
        <v>-110.0</v>
      </c>
      <c r="AD350" s="26">
        <v>43.5</v>
      </c>
      <c r="AE350" s="26">
        <v>-110.0</v>
      </c>
      <c r="AF350" s="26">
        <v>-110.0</v>
      </c>
      <c r="AG350" s="26">
        <v>1.0</v>
      </c>
      <c r="AH350" s="26" t="s">
        <v>409</v>
      </c>
      <c r="AI350" s="26" t="s">
        <v>396</v>
      </c>
      <c r="AP350" s="26" t="s">
        <v>412</v>
      </c>
      <c r="AQ350" s="26" t="s">
        <v>1294</v>
      </c>
      <c r="AS350" s="26" t="s">
        <v>623</v>
      </c>
      <c r="AT350" s="26" t="s">
        <v>624</v>
      </c>
      <c r="AV350" s="2">
        <f t="array" ref="AV350">IF($A350="","",IF(INDEX($A350:$AT350,1,MAP!$B$3)=CurrentSeason,1,0))</f>
        <v>1</v>
      </c>
      <c r="AW350" s="2">
        <f t="shared" si="1"/>
        <v>60</v>
      </c>
    </row>
    <row r="351" ht="15.0" customHeight="1">
      <c r="A351" s="26" t="s">
        <v>1397</v>
      </c>
      <c r="B351" s="26">
        <v>2026.0</v>
      </c>
      <c r="C351" s="26" t="s">
        <v>390</v>
      </c>
      <c r="D351" s="26">
        <v>4.0</v>
      </c>
      <c r="E351" s="26">
        <v>46299.0</v>
      </c>
      <c r="F351" s="26" t="s">
        <v>419</v>
      </c>
      <c r="G351" s="26">
        <v>0.6840277777773736</v>
      </c>
      <c r="H351" s="26" t="s">
        <v>220</v>
      </c>
      <c r="J351" s="26" t="s">
        <v>149</v>
      </c>
      <c r="L351" s="26" t="s">
        <v>77</v>
      </c>
      <c r="P351" s="26">
        <v>2.026100411E9</v>
      </c>
      <c r="S351" s="26" t="s">
        <v>1398</v>
      </c>
      <c r="W351" s="26">
        <v>7.0</v>
      </c>
      <c r="X351" s="26">
        <v>7.0</v>
      </c>
      <c r="Y351" s="26">
        <v>136.0</v>
      </c>
      <c r="Z351" s="26">
        <v>-162.0</v>
      </c>
      <c r="AA351" s="26">
        <v>3.0</v>
      </c>
      <c r="AB351" s="26">
        <v>-110.0</v>
      </c>
      <c r="AC351" s="26">
        <v>-110.0</v>
      </c>
      <c r="AD351" s="26">
        <v>45.5</v>
      </c>
      <c r="AE351" s="26">
        <v>-110.0</v>
      </c>
      <c r="AF351" s="26">
        <v>-110.0</v>
      </c>
      <c r="AG351" s="26">
        <v>0.0</v>
      </c>
      <c r="AH351" s="26" t="s">
        <v>395</v>
      </c>
      <c r="AI351" s="26" t="s">
        <v>423</v>
      </c>
      <c r="AP351" s="26" t="s">
        <v>413</v>
      </c>
      <c r="AQ351" s="26" t="s">
        <v>515</v>
      </c>
      <c r="AS351" s="26" t="s">
        <v>517</v>
      </c>
      <c r="AT351" s="26" t="s">
        <v>518</v>
      </c>
      <c r="AV351" s="2">
        <f t="array" ref="AV351">IF($A351="","",IF(INDEX($A351:$AT351,1,MAP!$B$3)=CurrentSeason,1,0))</f>
        <v>1</v>
      </c>
      <c r="AW351" s="2">
        <f t="shared" si="1"/>
        <v>61</v>
      </c>
    </row>
    <row r="352" ht="15.0" customHeight="1">
      <c r="A352" s="26" t="s">
        <v>1399</v>
      </c>
      <c r="B352" s="26">
        <v>2026.0</v>
      </c>
      <c r="C352" s="26" t="s">
        <v>390</v>
      </c>
      <c r="D352" s="26">
        <v>4.0</v>
      </c>
      <c r="E352" s="26">
        <v>46299.0</v>
      </c>
      <c r="F352" s="26" t="s">
        <v>419</v>
      </c>
      <c r="G352" s="26">
        <v>0.6840277777773736</v>
      </c>
      <c r="H352" s="26" t="s">
        <v>139</v>
      </c>
      <c r="J352" s="26" t="s">
        <v>246</v>
      </c>
      <c r="L352" s="26" t="s">
        <v>77</v>
      </c>
      <c r="P352" s="26">
        <v>2.026100412E9</v>
      </c>
      <c r="S352" s="26" t="s">
        <v>1400</v>
      </c>
      <c r="W352" s="26">
        <v>7.0</v>
      </c>
      <c r="X352" s="26">
        <v>7.0</v>
      </c>
      <c r="Y352" s="26">
        <v>124.0</v>
      </c>
      <c r="Z352" s="26">
        <v>-148.0</v>
      </c>
      <c r="AA352" s="26">
        <v>2.5</v>
      </c>
      <c r="AB352" s="26">
        <v>-102.0</v>
      </c>
      <c r="AC352" s="26">
        <v>-118.0</v>
      </c>
      <c r="AD352" s="26">
        <v>46.5</v>
      </c>
      <c r="AE352" s="26">
        <v>-110.0</v>
      </c>
      <c r="AF352" s="26">
        <v>-110.0</v>
      </c>
      <c r="AG352" s="26">
        <v>0.0</v>
      </c>
      <c r="AH352" s="26" t="s">
        <v>395</v>
      </c>
      <c r="AI352" s="26" t="s">
        <v>396</v>
      </c>
      <c r="AP352" s="26" t="s">
        <v>506</v>
      </c>
      <c r="AQ352" s="26" t="s">
        <v>514</v>
      </c>
      <c r="AS352" s="26" t="s">
        <v>667</v>
      </c>
      <c r="AT352" s="26" t="s">
        <v>668</v>
      </c>
      <c r="AV352" s="2">
        <f t="array" ref="AV352">IF($A352="","",IF(INDEX($A352:$AT352,1,MAP!$B$3)=CurrentSeason,1,0))</f>
        <v>1</v>
      </c>
      <c r="AW352" s="2">
        <f t="shared" si="1"/>
        <v>62</v>
      </c>
    </row>
    <row r="353" ht="15.0" customHeight="1">
      <c r="A353" s="26" t="s">
        <v>1401</v>
      </c>
      <c r="B353" s="26">
        <v>2026.0</v>
      </c>
      <c r="C353" s="26" t="s">
        <v>390</v>
      </c>
      <c r="D353" s="26">
        <v>4.0</v>
      </c>
      <c r="E353" s="26">
        <v>46299.0</v>
      </c>
      <c r="F353" s="26" t="s">
        <v>419</v>
      </c>
      <c r="G353" s="26">
        <v>0.8472222222226264</v>
      </c>
      <c r="H353" s="26" t="s">
        <v>202</v>
      </c>
      <c r="J353" s="26" t="s">
        <v>189</v>
      </c>
      <c r="L353" s="26" t="s">
        <v>77</v>
      </c>
      <c r="P353" s="26">
        <v>2.026100413E9</v>
      </c>
      <c r="S353" s="26" t="s">
        <v>1402</v>
      </c>
      <c r="W353" s="26">
        <v>7.0</v>
      </c>
      <c r="X353" s="26">
        <v>7.0</v>
      </c>
      <c r="Y353" s="26">
        <v>-155.0</v>
      </c>
      <c r="Z353" s="26">
        <v>130.0</v>
      </c>
      <c r="AA353" s="26">
        <v>-3.0</v>
      </c>
      <c r="AB353" s="26">
        <v>-110.0</v>
      </c>
      <c r="AC353" s="26">
        <v>-110.0</v>
      </c>
      <c r="AD353" s="26">
        <v>47.5</v>
      </c>
      <c r="AE353" s="26">
        <v>-110.0</v>
      </c>
      <c r="AF353" s="26">
        <v>-110.0</v>
      </c>
      <c r="AG353" s="26">
        <v>0.0</v>
      </c>
      <c r="AH353" s="26" t="s">
        <v>395</v>
      </c>
      <c r="AI353" s="26" t="s">
        <v>396</v>
      </c>
      <c r="AP353" s="26" t="s">
        <v>524</v>
      </c>
      <c r="AQ353" s="26" t="s">
        <v>455</v>
      </c>
      <c r="AS353" s="26" t="s">
        <v>631</v>
      </c>
      <c r="AT353" s="26" t="s">
        <v>632</v>
      </c>
      <c r="AV353" s="2">
        <f t="array" ref="AV353">IF($A353="","",IF(INDEX($A353:$AT353,1,MAP!$B$3)=CurrentSeason,1,0))</f>
        <v>1</v>
      </c>
      <c r="AW353" s="2">
        <f t="shared" si="1"/>
        <v>63</v>
      </c>
    </row>
    <row r="354" ht="15.0" customHeight="1">
      <c r="A354" s="26" t="s">
        <v>1403</v>
      </c>
      <c r="B354" s="26">
        <v>2026.0</v>
      </c>
      <c r="C354" s="26" t="s">
        <v>390</v>
      </c>
      <c r="D354" s="26">
        <v>4.0</v>
      </c>
      <c r="E354" s="26">
        <v>46300.0</v>
      </c>
      <c r="F354" s="26" t="s">
        <v>549</v>
      </c>
      <c r="G354" s="26">
        <v>0.84375</v>
      </c>
      <c r="H354" s="26" t="s">
        <v>132</v>
      </c>
      <c r="J354" s="26" t="s">
        <v>232</v>
      </c>
      <c r="L354" s="26" t="s">
        <v>77</v>
      </c>
      <c r="P354" s="26">
        <v>2.0261005E9</v>
      </c>
      <c r="S354" s="26" t="s">
        <v>1404</v>
      </c>
      <c r="W354" s="26">
        <v>11.0</v>
      </c>
      <c r="X354" s="26">
        <v>8.0</v>
      </c>
      <c r="Y354" s="26">
        <v>114.0</v>
      </c>
      <c r="Z354" s="26">
        <v>-135.0</v>
      </c>
      <c r="AA354" s="26">
        <v>2.5</v>
      </c>
      <c r="AB354" s="26">
        <v>-110.0</v>
      </c>
      <c r="AC354" s="26">
        <v>-110.0</v>
      </c>
      <c r="AD354" s="26">
        <v>45.5</v>
      </c>
      <c r="AE354" s="26">
        <v>-110.0</v>
      </c>
      <c r="AF354" s="26">
        <v>-110.0</v>
      </c>
      <c r="AG354" s="26">
        <v>1.0</v>
      </c>
      <c r="AH354" s="26" t="s">
        <v>409</v>
      </c>
      <c r="AI354" s="26" t="s">
        <v>471</v>
      </c>
      <c r="AP354" s="26" t="s">
        <v>428</v>
      </c>
      <c r="AQ354" s="26" t="s">
        <v>476</v>
      </c>
      <c r="AS354" s="26" t="s">
        <v>478</v>
      </c>
      <c r="AT354" s="26" t="s">
        <v>1367</v>
      </c>
      <c r="AV354" s="2">
        <f t="array" ref="AV354">IF($A354="","",IF(INDEX($A354:$AT354,1,MAP!$B$3)=CurrentSeason,1,0))</f>
        <v>1</v>
      </c>
      <c r="AW354" s="2">
        <f t="shared" si="1"/>
        <v>64</v>
      </c>
    </row>
    <row r="355" ht="15.0" customHeight="1">
      <c r="A355" s="26" t="s">
        <v>1405</v>
      </c>
      <c r="B355" s="26">
        <v>2026.0</v>
      </c>
      <c r="C355" s="26" t="s">
        <v>390</v>
      </c>
      <c r="D355" s="26">
        <v>5.0</v>
      </c>
      <c r="E355" s="26">
        <v>46303.0</v>
      </c>
      <c r="F355" s="26" t="s">
        <v>392</v>
      </c>
      <c r="G355" s="26">
        <v>0.84375</v>
      </c>
      <c r="H355" s="26" t="s">
        <v>150</v>
      </c>
      <c r="J355" s="26" t="s">
        <v>146</v>
      </c>
      <c r="L355" s="26" t="s">
        <v>77</v>
      </c>
      <c r="P355" s="26">
        <v>2.0261008E9</v>
      </c>
      <c r="S355" s="26" t="s">
        <v>1406</v>
      </c>
      <c r="W355" s="26">
        <v>4.0</v>
      </c>
      <c r="X355" s="26">
        <v>4.0</v>
      </c>
      <c r="Y355" s="26">
        <v>170.0</v>
      </c>
      <c r="Z355" s="26">
        <v>-205.0</v>
      </c>
      <c r="AA355" s="26">
        <v>3.5</v>
      </c>
      <c r="AB355" s="26">
        <v>-110.0</v>
      </c>
      <c r="AC355" s="26">
        <v>-110.0</v>
      </c>
      <c r="AD355" s="26">
        <v>52.5</v>
      </c>
      <c r="AE355" s="26">
        <v>-110.0</v>
      </c>
      <c r="AF355" s="26">
        <v>-110.0</v>
      </c>
      <c r="AG355" s="26">
        <v>0.0</v>
      </c>
      <c r="AI355" s="26" t="s">
        <v>531</v>
      </c>
      <c r="AP355" s="26" t="s">
        <v>427</v>
      </c>
      <c r="AQ355" s="26" t="s">
        <v>399</v>
      </c>
      <c r="AS355" s="26" t="s">
        <v>575</v>
      </c>
      <c r="AT355" s="26" t="s">
        <v>576</v>
      </c>
      <c r="AV355" s="2">
        <f t="array" ref="AV355">IF($A355="","",IF(INDEX($A355:$AT355,1,MAP!$B$3)=CurrentSeason,1,0))</f>
        <v>1</v>
      </c>
      <c r="AW355" s="2">
        <f t="shared" si="1"/>
        <v>65</v>
      </c>
    </row>
    <row r="356" ht="15.0" customHeight="1">
      <c r="A356" s="26" t="s">
        <v>1407</v>
      </c>
      <c r="B356" s="26">
        <v>2026.0</v>
      </c>
      <c r="C356" s="26" t="s">
        <v>390</v>
      </c>
      <c r="D356" s="26">
        <v>5.0</v>
      </c>
      <c r="E356" s="26">
        <v>46306.0</v>
      </c>
      <c r="F356" s="26" t="s">
        <v>419</v>
      </c>
      <c r="G356" s="26">
        <v>0.3958333333321207</v>
      </c>
      <c r="H356" s="26" t="s">
        <v>147</v>
      </c>
      <c r="J356" s="26" t="s">
        <v>141</v>
      </c>
      <c r="L356" s="26" t="s">
        <v>77</v>
      </c>
      <c r="P356" s="26">
        <v>2.0261011E9</v>
      </c>
      <c r="S356" s="26" t="s">
        <v>1408</v>
      </c>
      <c r="W356" s="26">
        <v>7.0</v>
      </c>
      <c r="X356" s="26">
        <v>7.0</v>
      </c>
      <c r="Y356" s="26">
        <v>-130.0</v>
      </c>
      <c r="Z356" s="26">
        <v>110.0</v>
      </c>
      <c r="AA356" s="26">
        <v>-1.5</v>
      </c>
      <c r="AB356" s="26">
        <v>-115.0</v>
      </c>
      <c r="AC356" s="26">
        <v>-105.0</v>
      </c>
      <c r="AD356" s="26">
        <v>43.5</v>
      </c>
      <c r="AE356" s="26">
        <v>-102.0</v>
      </c>
      <c r="AF356" s="26">
        <v>-118.0</v>
      </c>
      <c r="AG356" s="26">
        <v>0.0</v>
      </c>
      <c r="AH356" s="26" t="s">
        <v>395</v>
      </c>
      <c r="AI356" s="26" t="s">
        <v>396</v>
      </c>
      <c r="AP356" s="26" t="s">
        <v>400</v>
      </c>
      <c r="AQ356" s="26" t="s">
        <v>456</v>
      </c>
      <c r="AS356" s="26" t="s">
        <v>458</v>
      </c>
      <c r="AT356" s="26" t="s">
        <v>1376</v>
      </c>
      <c r="AV356" s="2">
        <f t="array" ref="AV356">IF($A356="","",IF(INDEX($A356:$AT356,1,MAP!$B$3)=CurrentSeason,1,0))</f>
        <v>1</v>
      </c>
      <c r="AW356" s="2">
        <f t="shared" si="1"/>
        <v>66</v>
      </c>
    </row>
    <row r="357" ht="15.0" customHeight="1">
      <c r="A357" s="26" t="s">
        <v>1409</v>
      </c>
      <c r="B357" s="26">
        <v>2026.0</v>
      </c>
      <c r="C357" s="26" t="s">
        <v>390</v>
      </c>
      <c r="D357" s="26">
        <v>5.0</v>
      </c>
      <c r="E357" s="26">
        <v>46306.0</v>
      </c>
      <c r="F357" s="26" t="s">
        <v>419</v>
      </c>
      <c r="G357" s="26">
        <v>0.5416666666678793</v>
      </c>
      <c r="H357" s="26" t="s">
        <v>138</v>
      </c>
      <c r="J357" s="26" t="s">
        <v>225</v>
      </c>
      <c r="L357" s="26" t="s">
        <v>77</v>
      </c>
      <c r="P357" s="26">
        <v>2.026101101E9</v>
      </c>
      <c r="S357" s="26" t="s">
        <v>1410</v>
      </c>
      <c r="W357" s="26">
        <v>7.0</v>
      </c>
      <c r="X357" s="26">
        <v>7.0</v>
      </c>
      <c r="Y357" s="26">
        <v>-250.0</v>
      </c>
      <c r="Z357" s="26">
        <v>205.0</v>
      </c>
      <c r="AA357" s="26">
        <v>-5.5</v>
      </c>
      <c r="AB357" s="26">
        <v>-110.0</v>
      </c>
      <c r="AC357" s="26">
        <v>-110.0</v>
      </c>
      <c r="AD357" s="26">
        <v>49.5</v>
      </c>
      <c r="AE357" s="26">
        <v>-110.0</v>
      </c>
      <c r="AF357" s="26">
        <v>-110.0</v>
      </c>
      <c r="AG357" s="26">
        <v>0.0</v>
      </c>
      <c r="AH357" s="26" t="s">
        <v>395</v>
      </c>
      <c r="AI357" s="26" t="s">
        <v>396</v>
      </c>
      <c r="AP357" s="26" t="s">
        <v>437</v>
      </c>
      <c r="AQ357" s="26" t="s">
        <v>1293</v>
      </c>
      <c r="AS357" s="26" t="s">
        <v>583</v>
      </c>
      <c r="AT357" s="26" t="s">
        <v>584</v>
      </c>
      <c r="AV357" s="2">
        <f t="array" ref="AV357">IF($A357="","",IF(INDEX($A357:$AT357,1,MAP!$B$3)=CurrentSeason,1,0))</f>
        <v>1</v>
      </c>
      <c r="AW357" s="2">
        <f t="shared" si="1"/>
        <v>67</v>
      </c>
    </row>
    <row r="358" ht="15.0" customHeight="1">
      <c r="A358" s="26" t="s">
        <v>1411</v>
      </c>
      <c r="B358" s="26">
        <v>2026.0</v>
      </c>
      <c r="C358" s="26" t="s">
        <v>390</v>
      </c>
      <c r="D358" s="26">
        <v>5.0</v>
      </c>
      <c r="E358" s="26">
        <v>46306.0</v>
      </c>
      <c r="F358" s="26" t="s">
        <v>419</v>
      </c>
      <c r="G358" s="26">
        <v>0.5416666666678793</v>
      </c>
      <c r="H358" s="26" t="s">
        <v>222</v>
      </c>
      <c r="J358" s="26" t="s">
        <v>145</v>
      </c>
      <c r="L358" s="26" t="s">
        <v>77</v>
      </c>
      <c r="P358" s="26">
        <v>2.026101102E9</v>
      </c>
      <c r="S358" s="26" t="s">
        <v>1412</v>
      </c>
      <c r="W358" s="26">
        <v>7.0</v>
      </c>
      <c r="X358" s="26">
        <v>7.0</v>
      </c>
      <c r="Y358" s="26">
        <v>320.0</v>
      </c>
      <c r="Z358" s="26">
        <v>-410.0</v>
      </c>
      <c r="AA358" s="26">
        <v>8.5</v>
      </c>
      <c r="AB358" s="26">
        <v>-110.0</v>
      </c>
      <c r="AC358" s="26">
        <v>-110.0</v>
      </c>
      <c r="AD358" s="26">
        <v>44.5</v>
      </c>
      <c r="AE358" s="26">
        <v>-110.0</v>
      </c>
      <c r="AF358" s="26">
        <v>-110.0</v>
      </c>
      <c r="AG358" s="26">
        <v>0.0</v>
      </c>
      <c r="AH358" s="26" t="s">
        <v>395</v>
      </c>
      <c r="AI358" s="26" t="s">
        <v>423</v>
      </c>
      <c r="AP358" s="26" t="s">
        <v>1294</v>
      </c>
      <c r="AQ358" s="26" t="s">
        <v>465</v>
      </c>
      <c r="AS358" s="26" t="s">
        <v>467</v>
      </c>
      <c r="AT358" s="26" t="s">
        <v>468</v>
      </c>
      <c r="AV358" s="2">
        <f t="array" ref="AV358">IF($A358="","",IF(INDEX($A358:$AT358,1,MAP!$B$3)=CurrentSeason,1,0))</f>
        <v>1</v>
      </c>
      <c r="AW358" s="2">
        <f t="shared" si="1"/>
        <v>68</v>
      </c>
    </row>
    <row r="359" ht="15.0" customHeight="1">
      <c r="A359" s="26" t="s">
        <v>1413</v>
      </c>
      <c r="B359" s="26">
        <v>2026.0</v>
      </c>
      <c r="C359" s="26" t="s">
        <v>390</v>
      </c>
      <c r="D359" s="26">
        <v>5.0</v>
      </c>
      <c r="E359" s="26">
        <v>46306.0</v>
      </c>
      <c r="F359" s="26" t="s">
        <v>419</v>
      </c>
      <c r="G359" s="26">
        <v>0.5416666666678793</v>
      </c>
      <c r="H359" s="26" t="s">
        <v>144</v>
      </c>
      <c r="J359" s="26" t="s">
        <v>232</v>
      </c>
      <c r="L359" s="26" t="s">
        <v>77</v>
      </c>
      <c r="P359" s="26">
        <v>2.026101103E9</v>
      </c>
      <c r="S359" s="26" t="s">
        <v>1414</v>
      </c>
      <c r="W359" s="26">
        <v>7.0</v>
      </c>
      <c r="X359" s="26">
        <v>6.0</v>
      </c>
      <c r="Y359" s="26">
        <v>-120.0</v>
      </c>
      <c r="Z359" s="26">
        <v>100.0</v>
      </c>
      <c r="AA359" s="26">
        <v>-1.5</v>
      </c>
      <c r="AB359" s="26">
        <v>-105.0</v>
      </c>
      <c r="AC359" s="26">
        <v>-115.0</v>
      </c>
      <c r="AD359" s="26">
        <v>44.5</v>
      </c>
      <c r="AE359" s="26">
        <v>-110.0</v>
      </c>
      <c r="AF359" s="26">
        <v>-110.0</v>
      </c>
      <c r="AG359" s="26">
        <v>0.0</v>
      </c>
      <c r="AH359" s="26" t="s">
        <v>409</v>
      </c>
      <c r="AI359" s="26" t="s">
        <v>471</v>
      </c>
      <c r="AP359" s="26" t="s">
        <v>555</v>
      </c>
      <c r="AQ359" s="26" t="s">
        <v>476</v>
      </c>
      <c r="AS359" s="26" t="s">
        <v>478</v>
      </c>
      <c r="AT359" s="26" t="s">
        <v>1367</v>
      </c>
      <c r="AV359" s="2">
        <f t="array" ref="AV359">IF($A359="","",IF(INDEX($A359:$AT359,1,MAP!$B$3)=CurrentSeason,1,0))</f>
        <v>1</v>
      </c>
      <c r="AW359" s="2">
        <f t="shared" si="1"/>
        <v>69</v>
      </c>
    </row>
    <row r="360" ht="15.0" customHeight="1">
      <c r="A360" s="26" t="s">
        <v>1415</v>
      </c>
      <c r="B360" s="26">
        <v>2026.0</v>
      </c>
      <c r="C360" s="26" t="s">
        <v>390</v>
      </c>
      <c r="D360" s="26">
        <v>5.0</v>
      </c>
      <c r="E360" s="26">
        <v>46306.0</v>
      </c>
      <c r="F360" s="26" t="s">
        <v>419</v>
      </c>
      <c r="G360" s="26">
        <v>0.5416666666678793</v>
      </c>
      <c r="H360" s="26" t="s">
        <v>196</v>
      </c>
      <c r="J360" s="26" t="s">
        <v>238</v>
      </c>
      <c r="L360" s="26" t="s">
        <v>77</v>
      </c>
      <c r="P360" s="26">
        <v>2.026101104E9</v>
      </c>
      <c r="S360" s="26" t="s">
        <v>1416</v>
      </c>
      <c r="W360" s="26">
        <v>10.0</v>
      </c>
      <c r="X360" s="26">
        <v>7.0</v>
      </c>
      <c r="Y360" s="26">
        <v>120.0</v>
      </c>
      <c r="Z360" s="26">
        <v>-142.0</v>
      </c>
      <c r="AA360" s="26">
        <v>2.5</v>
      </c>
      <c r="AB360" s="26">
        <v>-110.0</v>
      </c>
      <c r="AC360" s="26">
        <v>-110.0</v>
      </c>
      <c r="AD360" s="26">
        <v>40.5</v>
      </c>
      <c r="AE360" s="26">
        <v>-110.0</v>
      </c>
      <c r="AF360" s="26">
        <v>-110.0</v>
      </c>
      <c r="AG360" s="26">
        <v>0.0</v>
      </c>
      <c r="AH360" s="26" t="s">
        <v>395</v>
      </c>
      <c r="AI360" s="26" t="s">
        <v>423</v>
      </c>
      <c r="AP360" s="26" t="s">
        <v>1281</v>
      </c>
      <c r="AQ360" s="26" t="s">
        <v>486</v>
      </c>
      <c r="AS360" s="26" t="s">
        <v>488</v>
      </c>
      <c r="AT360" s="26" t="s">
        <v>489</v>
      </c>
      <c r="AV360" s="2">
        <f t="array" ref="AV360">IF($A360="","",IF(INDEX($A360:$AT360,1,MAP!$B$3)=CurrentSeason,1,0))</f>
        <v>1</v>
      </c>
      <c r="AW360" s="2">
        <f t="shared" si="1"/>
        <v>70</v>
      </c>
    </row>
    <row r="361" ht="15.0" customHeight="1">
      <c r="A361" s="26" t="s">
        <v>1417</v>
      </c>
      <c r="B361" s="26">
        <v>2026.0</v>
      </c>
      <c r="C361" s="26" t="s">
        <v>390</v>
      </c>
      <c r="D361" s="26">
        <v>5.0</v>
      </c>
      <c r="E361" s="26">
        <v>46306.0</v>
      </c>
      <c r="F361" s="26" t="s">
        <v>419</v>
      </c>
      <c r="G361" s="26">
        <v>0.5416666666678793</v>
      </c>
      <c r="H361" s="26" t="s">
        <v>210</v>
      </c>
      <c r="J361" s="26" t="s">
        <v>242</v>
      </c>
      <c r="L361" s="26" t="s">
        <v>77</v>
      </c>
      <c r="P361" s="26">
        <v>2.026101105E9</v>
      </c>
      <c r="S361" s="26" t="s">
        <v>1418</v>
      </c>
      <c r="W361" s="26">
        <v>7.0</v>
      </c>
      <c r="X361" s="26">
        <v>10.0</v>
      </c>
      <c r="Y361" s="26">
        <v>120.0</v>
      </c>
      <c r="Z361" s="26">
        <v>-142.0</v>
      </c>
      <c r="AA361" s="26">
        <v>2.5</v>
      </c>
      <c r="AB361" s="26">
        <v>-110.0</v>
      </c>
      <c r="AC361" s="26">
        <v>-110.0</v>
      </c>
      <c r="AD361" s="26">
        <v>47.5</v>
      </c>
      <c r="AE361" s="26">
        <v>-110.0</v>
      </c>
      <c r="AF361" s="26">
        <v>-110.0</v>
      </c>
      <c r="AG361" s="26">
        <v>0.0</v>
      </c>
      <c r="AH361" s="26" t="s">
        <v>395</v>
      </c>
      <c r="AI361" s="26" t="s">
        <v>396</v>
      </c>
      <c r="AP361" s="26" t="s">
        <v>447</v>
      </c>
      <c r="AQ361" s="26" t="s">
        <v>1285</v>
      </c>
      <c r="AS361" s="26" t="s">
        <v>593</v>
      </c>
      <c r="AT361" s="26" t="s">
        <v>594</v>
      </c>
      <c r="AV361" s="2">
        <f t="array" ref="AV361">IF($A361="","",IF(INDEX($A361:$AT361,1,MAP!$B$3)=CurrentSeason,1,0))</f>
        <v>1</v>
      </c>
      <c r="AW361" s="2">
        <f t="shared" si="1"/>
        <v>71</v>
      </c>
    </row>
    <row r="362" ht="15.0" customHeight="1">
      <c r="A362" s="26" t="s">
        <v>1419</v>
      </c>
      <c r="B362" s="26">
        <v>2026.0</v>
      </c>
      <c r="C362" s="26" t="s">
        <v>390</v>
      </c>
      <c r="D362" s="26">
        <v>5.0</v>
      </c>
      <c r="E362" s="26">
        <v>46306.0</v>
      </c>
      <c r="F362" s="26" t="s">
        <v>419</v>
      </c>
      <c r="G362" s="26">
        <v>0.5416666666678793</v>
      </c>
      <c r="H362" s="26" t="s">
        <v>140</v>
      </c>
      <c r="J362" s="26" t="s">
        <v>250</v>
      </c>
      <c r="L362" s="26" t="s">
        <v>77</v>
      </c>
      <c r="P362" s="26">
        <v>2.026101106E9</v>
      </c>
      <c r="S362" s="26" t="s">
        <v>1420</v>
      </c>
      <c r="W362" s="26">
        <v>7.0</v>
      </c>
      <c r="X362" s="26">
        <v>7.0</v>
      </c>
      <c r="Y362" s="26">
        <v>-192.0</v>
      </c>
      <c r="Z362" s="26">
        <v>160.0</v>
      </c>
      <c r="AA362" s="26">
        <v>-3.5</v>
      </c>
      <c r="AB362" s="26">
        <v>-110.0</v>
      </c>
      <c r="AC362" s="26">
        <v>-110.0</v>
      </c>
      <c r="AD362" s="26">
        <v>43.5</v>
      </c>
      <c r="AE362" s="26">
        <v>-110.0</v>
      </c>
      <c r="AF362" s="26">
        <v>-110.0</v>
      </c>
      <c r="AG362" s="26">
        <v>1.0</v>
      </c>
      <c r="AH362" s="26" t="s">
        <v>395</v>
      </c>
      <c r="AI362" s="26" t="s">
        <v>396</v>
      </c>
      <c r="AP362" s="26" t="s">
        <v>534</v>
      </c>
      <c r="AQ362" s="26" t="s">
        <v>1288</v>
      </c>
      <c r="AS362" s="26" t="s">
        <v>597</v>
      </c>
      <c r="AT362" s="26" t="s">
        <v>598</v>
      </c>
      <c r="AV362" s="2">
        <f t="array" ref="AV362">IF($A362="","",IF(INDEX($A362:$AT362,1,MAP!$B$3)=CurrentSeason,1,0))</f>
        <v>1</v>
      </c>
      <c r="AW362" s="2">
        <f t="shared" si="1"/>
        <v>72</v>
      </c>
    </row>
    <row r="363" ht="15.0" customHeight="1">
      <c r="A363" s="26" t="s">
        <v>1421</v>
      </c>
      <c r="B363" s="26">
        <v>2026.0</v>
      </c>
      <c r="C363" s="26" t="s">
        <v>390</v>
      </c>
      <c r="D363" s="26">
        <v>5.0</v>
      </c>
      <c r="E363" s="26">
        <v>46306.0</v>
      </c>
      <c r="F363" s="26" t="s">
        <v>419</v>
      </c>
      <c r="G363" s="26">
        <v>0.5416666666678793</v>
      </c>
      <c r="H363" s="26" t="s">
        <v>235</v>
      </c>
      <c r="J363" s="26" t="s">
        <v>253</v>
      </c>
      <c r="L363" s="26" t="s">
        <v>77</v>
      </c>
      <c r="P363" s="26">
        <v>2.026101107E9</v>
      </c>
      <c r="S363" s="26" t="s">
        <v>1422</v>
      </c>
      <c r="W363" s="26">
        <v>7.0</v>
      </c>
      <c r="X363" s="26">
        <v>7.0</v>
      </c>
      <c r="Y363" s="26">
        <v>114.0</v>
      </c>
      <c r="Z363" s="26">
        <v>-135.0</v>
      </c>
      <c r="AA363" s="26">
        <v>2.5</v>
      </c>
      <c r="AB363" s="26">
        <v>-110.0</v>
      </c>
      <c r="AC363" s="26">
        <v>-110.0</v>
      </c>
      <c r="AD363" s="26">
        <v>48.5</v>
      </c>
      <c r="AE363" s="26">
        <v>-110.0</v>
      </c>
      <c r="AF363" s="26">
        <v>-110.0</v>
      </c>
      <c r="AG363" s="26">
        <v>1.0</v>
      </c>
      <c r="AH363" s="26" t="s">
        <v>395</v>
      </c>
      <c r="AI363" s="26" t="s">
        <v>396</v>
      </c>
      <c r="AP363" s="26" t="s">
        <v>542</v>
      </c>
      <c r="AQ363" s="26" t="s">
        <v>496</v>
      </c>
      <c r="AS363" s="26" t="s">
        <v>498</v>
      </c>
      <c r="AT363" s="26" t="s">
        <v>1357</v>
      </c>
      <c r="AV363" s="2">
        <f t="array" ref="AV363">IF($A363="","",IF(INDEX($A363:$AT363,1,MAP!$B$3)=CurrentSeason,1,0))</f>
        <v>1</v>
      </c>
      <c r="AW363" s="2">
        <f t="shared" si="1"/>
        <v>73</v>
      </c>
    </row>
    <row r="364" ht="15.0" customHeight="1">
      <c r="A364" s="26" t="s">
        <v>1423</v>
      </c>
      <c r="B364" s="26">
        <v>2026.0</v>
      </c>
      <c r="C364" s="26" t="s">
        <v>390</v>
      </c>
      <c r="D364" s="26">
        <v>5.0</v>
      </c>
      <c r="E364" s="26">
        <v>46306.0</v>
      </c>
      <c r="F364" s="26" t="s">
        <v>419</v>
      </c>
      <c r="G364" s="26">
        <v>0.6701388888905058</v>
      </c>
      <c r="H364" s="26" t="s">
        <v>139</v>
      </c>
      <c r="J364" s="26" t="s">
        <v>220</v>
      </c>
      <c r="L364" s="26" t="s">
        <v>77</v>
      </c>
      <c r="P364" s="26">
        <v>2.026101108E9</v>
      </c>
      <c r="S364" s="26" t="s">
        <v>1424</v>
      </c>
      <c r="W364" s="26">
        <v>7.0</v>
      </c>
      <c r="X364" s="26">
        <v>7.0</v>
      </c>
      <c r="Y364" s="26">
        <v>120.0</v>
      </c>
      <c r="Z364" s="26">
        <v>-142.0</v>
      </c>
      <c r="AA364" s="26">
        <v>2.5</v>
      </c>
      <c r="AB364" s="26">
        <v>-105.0</v>
      </c>
      <c r="AC364" s="26">
        <v>-115.0</v>
      </c>
      <c r="AD364" s="26">
        <v>44.5</v>
      </c>
      <c r="AE364" s="26">
        <v>-110.0</v>
      </c>
      <c r="AF364" s="26">
        <v>-110.0</v>
      </c>
      <c r="AG364" s="26">
        <v>1.0</v>
      </c>
      <c r="AH364" s="26" t="s">
        <v>409</v>
      </c>
      <c r="AI364" s="26" t="s">
        <v>531</v>
      </c>
      <c r="AP364" s="26" t="s">
        <v>506</v>
      </c>
      <c r="AQ364" s="26" t="s">
        <v>413</v>
      </c>
      <c r="AS364" s="26" t="s">
        <v>415</v>
      </c>
      <c r="AT364" s="26" t="s">
        <v>416</v>
      </c>
      <c r="AV364" s="2">
        <f t="array" ref="AV364">IF($A364="","",IF(INDEX($A364:$AT364,1,MAP!$B$3)=CurrentSeason,1,0))</f>
        <v>1</v>
      </c>
      <c r="AW364" s="2">
        <f t="shared" si="1"/>
        <v>74</v>
      </c>
    </row>
    <row r="365" ht="15.0" customHeight="1">
      <c r="A365" s="26" t="s">
        <v>1425</v>
      </c>
      <c r="B365" s="26">
        <v>2026.0</v>
      </c>
      <c r="C365" s="26" t="s">
        <v>390</v>
      </c>
      <c r="D365" s="26">
        <v>5.0</v>
      </c>
      <c r="E365" s="26">
        <v>46306.0</v>
      </c>
      <c r="F365" s="26" t="s">
        <v>419</v>
      </c>
      <c r="G365" s="26">
        <v>0.6840277777773736</v>
      </c>
      <c r="H365" s="26" t="s">
        <v>202</v>
      </c>
      <c r="J365" s="26" t="s">
        <v>178</v>
      </c>
      <c r="L365" s="26" t="s">
        <v>77</v>
      </c>
      <c r="P365" s="26">
        <v>2.026101109E9</v>
      </c>
      <c r="S365" s="26" t="s">
        <v>1426</v>
      </c>
      <c r="W365" s="26">
        <v>7.0</v>
      </c>
      <c r="X365" s="26">
        <v>7.0</v>
      </c>
      <c r="Y365" s="26">
        <v>-380.0</v>
      </c>
      <c r="Z365" s="26">
        <v>300.0</v>
      </c>
      <c r="AA365" s="26">
        <v>-8.5</v>
      </c>
      <c r="AB365" s="26">
        <v>-110.0</v>
      </c>
      <c r="AC365" s="26">
        <v>-110.0</v>
      </c>
      <c r="AD365" s="26">
        <v>49.5</v>
      </c>
      <c r="AE365" s="26">
        <v>-110.0</v>
      </c>
      <c r="AF365" s="26">
        <v>-110.0</v>
      </c>
      <c r="AG365" s="26">
        <v>0.0</v>
      </c>
      <c r="AI365" s="26" t="s">
        <v>396</v>
      </c>
      <c r="AP365" s="26" t="s">
        <v>524</v>
      </c>
      <c r="AQ365" s="26" t="s">
        <v>475</v>
      </c>
      <c r="AS365" s="26" t="s">
        <v>601</v>
      </c>
      <c r="AT365" s="26" t="s">
        <v>602</v>
      </c>
      <c r="AV365" s="2">
        <f t="array" ref="AV365">IF($A365="","",IF(INDEX($A365:$AT365,1,MAP!$B$3)=CurrentSeason,1,0))</f>
        <v>1</v>
      </c>
      <c r="AW365" s="2">
        <f t="shared" si="1"/>
        <v>75</v>
      </c>
    </row>
    <row r="366" ht="15.0" customHeight="1">
      <c r="A366" s="26" t="s">
        <v>1427</v>
      </c>
      <c r="B366" s="26">
        <v>2026.0</v>
      </c>
      <c r="C366" s="26" t="s">
        <v>390</v>
      </c>
      <c r="D366" s="26">
        <v>5.0</v>
      </c>
      <c r="E366" s="26">
        <v>46306.0</v>
      </c>
      <c r="F366" s="26" t="s">
        <v>419</v>
      </c>
      <c r="G366" s="26">
        <v>0.6840277777773736</v>
      </c>
      <c r="H366" s="26" t="s">
        <v>137</v>
      </c>
      <c r="J366" s="26" t="s">
        <v>205</v>
      </c>
      <c r="L366" s="26" t="s">
        <v>77</v>
      </c>
      <c r="P366" s="26">
        <v>2.02610111E9</v>
      </c>
      <c r="S366" s="26" t="s">
        <v>1428</v>
      </c>
      <c r="W366" s="26">
        <v>7.0</v>
      </c>
      <c r="X366" s="26">
        <v>7.0</v>
      </c>
      <c r="AG366" s="26">
        <v>1.0</v>
      </c>
      <c r="AH366" s="26" t="s">
        <v>395</v>
      </c>
      <c r="AI366" s="26" t="s">
        <v>396</v>
      </c>
      <c r="AP366" s="26" t="s">
        <v>556</v>
      </c>
      <c r="AQ366" s="26" t="s">
        <v>525</v>
      </c>
      <c r="AS366" s="26" t="s">
        <v>527</v>
      </c>
      <c r="AT366" s="26" t="s">
        <v>528</v>
      </c>
      <c r="AV366" s="2">
        <f t="array" ref="AV366">IF($A366="","",IF(INDEX($A366:$AT366,1,MAP!$B$3)=CurrentSeason,1,0))</f>
        <v>1</v>
      </c>
      <c r="AW366" s="2">
        <f t="shared" si="1"/>
        <v>76</v>
      </c>
    </row>
    <row r="367" ht="15.0" customHeight="1">
      <c r="A367" s="26" t="s">
        <v>1429</v>
      </c>
      <c r="B367" s="26">
        <v>2026.0</v>
      </c>
      <c r="C367" s="26" t="s">
        <v>390</v>
      </c>
      <c r="D367" s="26">
        <v>5.0</v>
      </c>
      <c r="E367" s="26">
        <v>46306.0</v>
      </c>
      <c r="F367" s="26" t="s">
        <v>419</v>
      </c>
      <c r="G367" s="26">
        <v>0.6840277777773736</v>
      </c>
      <c r="H367" s="26" t="s">
        <v>246</v>
      </c>
      <c r="J367" s="26" t="s">
        <v>149</v>
      </c>
      <c r="L367" s="26" t="s">
        <v>77</v>
      </c>
      <c r="P367" s="26">
        <v>2.026101111E9</v>
      </c>
      <c r="S367" s="26" t="s">
        <v>1430</v>
      </c>
      <c r="W367" s="26">
        <v>7.0</v>
      </c>
      <c r="X367" s="26">
        <v>7.0</v>
      </c>
      <c r="Y367" s="26">
        <v>170.0</v>
      </c>
      <c r="Z367" s="26">
        <v>-205.0</v>
      </c>
      <c r="AA367" s="26">
        <v>3.5</v>
      </c>
      <c r="AB367" s="26">
        <v>-110.0</v>
      </c>
      <c r="AC367" s="26">
        <v>-110.0</v>
      </c>
      <c r="AD367" s="26">
        <v>48.5</v>
      </c>
      <c r="AE367" s="26">
        <v>-110.0</v>
      </c>
      <c r="AF367" s="26">
        <v>-110.0</v>
      </c>
      <c r="AG367" s="26">
        <v>1.0</v>
      </c>
      <c r="AH367" s="26" t="s">
        <v>395</v>
      </c>
      <c r="AI367" s="26" t="s">
        <v>423</v>
      </c>
      <c r="AP367" s="26" t="s">
        <v>514</v>
      </c>
      <c r="AQ367" s="26" t="s">
        <v>515</v>
      </c>
      <c r="AS367" s="26" t="s">
        <v>517</v>
      </c>
      <c r="AT367" s="26" t="s">
        <v>518</v>
      </c>
      <c r="AV367" s="2">
        <f t="array" ref="AV367">IF($A367="","",IF(INDEX($A367:$AT367,1,MAP!$B$3)=CurrentSeason,1,0))</f>
        <v>1</v>
      </c>
      <c r="AW367" s="2">
        <f t="shared" si="1"/>
        <v>77</v>
      </c>
    </row>
    <row r="368" ht="15.0" customHeight="1">
      <c r="A368" s="26" t="s">
        <v>1431</v>
      </c>
      <c r="B368" s="26">
        <v>2026.0</v>
      </c>
      <c r="C368" s="26" t="s">
        <v>390</v>
      </c>
      <c r="D368" s="26">
        <v>5.0</v>
      </c>
      <c r="E368" s="26">
        <v>46306.0</v>
      </c>
      <c r="F368" s="26" t="s">
        <v>419</v>
      </c>
      <c r="G368" s="26">
        <v>0.8472222222226264</v>
      </c>
      <c r="H368" s="26" t="s">
        <v>148</v>
      </c>
      <c r="J368" s="26" t="s">
        <v>132</v>
      </c>
      <c r="L368" s="26" t="s">
        <v>77</v>
      </c>
      <c r="P368" s="26">
        <v>2.026101112E9</v>
      </c>
      <c r="S368" s="26" t="s">
        <v>1432</v>
      </c>
      <c r="W368" s="26">
        <v>7.0</v>
      </c>
      <c r="X368" s="26">
        <v>6.0</v>
      </c>
      <c r="Y368" s="26">
        <v>-225.0</v>
      </c>
      <c r="Z368" s="26">
        <v>185.0</v>
      </c>
      <c r="AA368" s="26">
        <v>-4.5</v>
      </c>
      <c r="AB368" s="26">
        <v>-110.0</v>
      </c>
      <c r="AC368" s="26">
        <v>-110.0</v>
      </c>
      <c r="AD368" s="26">
        <v>48.5</v>
      </c>
      <c r="AE368" s="26">
        <v>-110.0</v>
      </c>
      <c r="AF368" s="26">
        <v>-110.0</v>
      </c>
      <c r="AG368" s="26">
        <v>0.0</v>
      </c>
      <c r="AI368" s="26" t="s">
        <v>423</v>
      </c>
      <c r="AP368" s="26" t="s">
        <v>1278</v>
      </c>
      <c r="AQ368" s="26" t="s">
        <v>428</v>
      </c>
      <c r="AS368" s="26" t="s">
        <v>430</v>
      </c>
      <c r="AT368" s="26" t="s">
        <v>431</v>
      </c>
      <c r="AV368" s="2">
        <f t="array" ref="AV368">IF($A368="","",IF(INDEX($A368:$AT368,1,MAP!$B$3)=CurrentSeason,1,0))</f>
        <v>1</v>
      </c>
      <c r="AW368" s="2">
        <f t="shared" si="1"/>
        <v>78</v>
      </c>
    </row>
    <row r="369" ht="15.0" customHeight="1">
      <c r="A369" s="26" t="s">
        <v>1433</v>
      </c>
      <c r="B369" s="26">
        <v>2026.0</v>
      </c>
      <c r="C369" s="26" t="s">
        <v>390</v>
      </c>
      <c r="D369" s="26">
        <v>5.0</v>
      </c>
      <c r="E369" s="26">
        <v>46307.0</v>
      </c>
      <c r="F369" s="26" t="s">
        <v>549</v>
      </c>
      <c r="G369" s="26">
        <v>0.84375</v>
      </c>
      <c r="H369" s="26" t="s">
        <v>136</v>
      </c>
      <c r="J369" s="26" t="s">
        <v>142</v>
      </c>
      <c r="L369" s="26" t="s">
        <v>77</v>
      </c>
      <c r="P369" s="26">
        <v>2.0261012E9</v>
      </c>
      <c r="S369" s="26" t="s">
        <v>1434</v>
      </c>
      <c r="W369" s="26">
        <v>8.0</v>
      </c>
      <c r="X369" s="26">
        <v>8.0</v>
      </c>
      <c r="Y369" s="26">
        <v>154.0</v>
      </c>
      <c r="Z369" s="26">
        <v>-185.0</v>
      </c>
      <c r="AA369" s="26">
        <v>3.5</v>
      </c>
      <c r="AB369" s="26">
        <v>-110.0</v>
      </c>
      <c r="AC369" s="26">
        <v>-110.0</v>
      </c>
      <c r="AD369" s="26">
        <v>53.5</v>
      </c>
      <c r="AE369" s="26">
        <v>-110.0</v>
      </c>
      <c r="AF369" s="26">
        <v>-110.0</v>
      </c>
      <c r="AG369" s="26">
        <v>0.0</v>
      </c>
      <c r="AH369" s="26" t="s">
        <v>409</v>
      </c>
      <c r="AI369" s="26" t="s">
        <v>531</v>
      </c>
      <c r="AP369" s="26" t="s">
        <v>543</v>
      </c>
      <c r="AQ369" s="26" t="s">
        <v>535</v>
      </c>
      <c r="AS369" s="26" t="s">
        <v>415</v>
      </c>
      <c r="AT369" s="26" t="s">
        <v>416</v>
      </c>
      <c r="AV369" s="2">
        <f t="array" ref="AV369">IF($A369="","",IF(INDEX($A369:$AT369,1,MAP!$B$3)=CurrentSeason,1,0))</f>
        <v>1</v>
      </c>
      <c r="AW369" s="2">
        <f t="shared" si="1"/>
        <v>79</v>
      </c>
    </row>
    <row r="370" ht="15.0" customHeight="1">
      <c r="A370" s="26" t="s">
        <v>1435</v>
      </c>
      <c r="B370" s="26">
        <v>2026.0</v>
      </c>
      <c r="C370" s="26" t="s">
        <v>390</v>
      </c>
      <c r="D370" s="26">
        <v>6.0</v>
      </c>
      <c r="E370" s="26">
        <v>46310.0</v>
      </c>
      <c r="F370" s="26" t="s">
        <v>392</v>
      </c>
      <c r="G370" s="26">
        <v>0.84375</v>
      </c>
      <c r="H370" s="26" t="s">
        <v>149</v>
      </c>
      <c r="J370" s="26" t="s">
        <v>139</v>
      </c>
      <c r="L370" s="26" t="s">
        <v>77</v>
      </c>
      <c r="P370" s="26">
        <v>2.0261015E9</v>
      </c>
      <c r="S370" s="26" t="s">
        <v>1436</v>
      </c>
      <c r="W370" s="26">
        <v>4.0</v>
      </c>
      <c r="X370" s="26">
        <v>4.0</v>
      </c>
      <c r="Y370" s="26">
        <v>-130.0</v>
      </c>
      <c r="Z370" s="26">
        <v>110.0</v>
      </c>
      <c r="AA370" s="26">
        <v>-1.5</v>
      </c>
      <c r="AB370" s="26">
        <v>-115.0</v>
      </c>
      <c r="AC370" s="26">
        <v>-105.0</v>
      </c>
      <c r="AD370" s="26">
        <v>43.5</v>
      </c>
      <c r="AE370" s="26">
        <v>-110.0</v>
      </c>
      <c r="AF370" s="26">
        <v>-110.0</v>
      </c>
      <c r="AG370" s="26">
        <v>0.0</v>
      </c>
      <c r="AH370" s="26" t="s">
        <v>395</v>
      </c>
      <c r="AI370" s="26" t="s">
        <v>396</v>
      </c>
      <c r="AP370" s="26" t="s">
        <v>515</v>
      </c>
      <c r="AQ370" s="26" t="s">
        <v>506</v>
      </c>
      <c r="AS370" s="26" t="s">
        <v>508</v>
      </c>
      <c r="AT370" s="26" t="s">
        <v>509</v>
      </c>
      <c r="AV370" s="2">
        <f t="array" ref="AV370">IF($A370="","",IF(INDEX($A370:$AT370,1,MAP!$B$3)=CurrentSeason,1,0))</f>
        <v>1</v>
      </c>
      <c r="AW370" s="2">
        <f t="shared" si="1"/>
        <v>80</v>
      </c>
    </row>
    <row r="371" ht="15.0" customHeight="1">
      <c r="A371" s="26" t="s">
        <v>1437</v>
      </c>
      <c r="B371" s="26">
        <v>2026.0</v>
      </c>
      <c r="C371" s="26" t="s">
        <v>390</v>
      </c>
      <c r="D371" s="26">
        <v>6.0</v>
      </c>
      <c r="E371" s="26">
        <v>46313.0</v>
      </c>
      <c r="F371" s="26" t="s">
        <v>419</v>
      </c>
      <c r="G371" s="26">
        <v>0.3958333333321207</v>
      </c>
      <c r="H371" s="26" t="s">
        <v>140</v>
      </c>
      <c r="J371" s="26" t="s">
        <v>141</v>
      </c>
      <c r="L371" s="26" t="s">
        <v>78</v>
      </c>
      <c r="P371" s="26">
        <v>2.0261018E9</v>
      </c>
      <c r="S371" s="26" t="s">
        <v>1438</v>
      </c>
      <c r="W371" s="26">
        <v>7.0</v>
      </c>
      <c r="X371" s="26">
        <v>7.0</v>
      </c>
      <c r="Y371" s="26">
        <v>-115.0</v>
      </c>
      <c r="Z371" s="26">
        <v>-105.0</v>
      </c>
      <c r="AA371" s="26">
        <v>-1.5</v>
      </c>
      <c r="AB371" s="26">
        <v>-102.0</v>
      </c>
      <c r="AC371" s="26">
        <v>-118.0</v>
      </c>
      <c r="AD371" s="26">
        <v>41.5</v>
      </c>
      <c r="AE371" s="26">
        <v>-110.0</v>
      </c>
      <c r="AF371" s="26">
        <v>-110.0</v>
      </c>
      <c r="AG371" s="26">
        <v>1.0</v>
      </c>
      <c r="AH371" s="26" t="s">
        <v>395</v>
      </c>
      <c r="AI371" s="26" t="s">
        <v>396</v>
      </c>
      <c r="AP371" s="26" t="s">
        <v>534</v>
      </c>
      <c r="AQ371" s="26" t="s">
        <v>456</v>
      </c>
      <c r="AS371" s="26" t="s">
        <v>458</v>
      </c>
      <c r="AT371" s="26" t="s">
        <v>1439</v>
      </c>
      <c r="AV371" s="2">
        <f t="array" ref="AV371">IF($A371="","",IF(INDEX($A371:$AT371,1,MAP!$B$3)=CurrentSeason,1,0))</f>
        <v>1</v>
      </c>
      <c r="AW371" s="2">
        <f t="shared" si="1"/>
        <v>81</v>
      </c>
    </row>
    <row r="372" ht="15.0" customHeight="1">
      <c r="A372" s="26" t="s">
        <v>1440</v>
      </c>
      <c r="B372" s="26">
        <v>2026.0</v>
      </c>
      <c r="C372" s="26" t="s">
        <v>390</v>
      </c>
      <c r="D372" s="26">
        <v>6.0</v>
      </c>
      <c r="E372" s="26">
        <v>46313.0</v>
      </c>
      <c r="F372" s="26" t="s">
        <v>419</v>
      </c>
      <c r="G372" s="26">
        <v>0.5416666666678793</v>
      </c>
      <c r="H372" s="26" t="s">
        <v>137</v>
      </c>
      <c r="J372" s="26" t="s">
        <v>132</v>
      </c>
      <c r="L372" s="26" t="s">
        <v>77</v>
      </c>
      <c r="P372" s="26">
        <v>2.026101801E9</v>
      </c>
      <c r="S372" s="26" t="s">
        <v>1441</v>
      </c>
      <c r="W372" s="26">
        <v>7.0</v>
      </c>
      <c r="X372" s="26">
        <v>7.0</v>
      </c>
      <c r="AG372" s="26">
        <v>0.0</v>
      </c>
      <c r="AI372" s="26" t="s">
        <v>423</v>
      </c>
      <c r="AP372" s="26" t="s">
        <v>556</v>
      </c>
      <c r="AQ372" s="26" t="s">
        <v>428</v>
      </c>
      <c r="AS372" s="26" t="s">
        <v>430</v>
      </c>
      <c r="AT372" s="26" t="s">
        <v>431</v>
      </c>
      <c r="AV372" s="2">
        <f t="array" ref="AV372">IF($A372="","",IF(INDEX($A372:$AT372,1,MAP!$B$3)=CurrentSeason,1,0))</f>
        <v>1</v>
      </c>
      <c r="AW372" s="2">
        <f t="shared" si="1"/>
        <v>82</v>
      </c>
    </row>
    <row r="373" ht="15.0" customHeight="1">
      <c r="A373" s="26" t="s">
        <v>1442</v>
      </c>
      <c r="B373" s="26">
        <v>2026.0</v>
      </c>
      <c r="C373" s="26" t="s">
        <v>390</v>
      </c>
      <c r="D373" s="26">
        <v>6.0</v>
      </c>
      <c r="E373" s="26">
        <v>46313.0</v>
      </c>
      <c r="F373" s="26" t="s">
        <v>419</v>
      </c>
      <c r="G373" s="26">
        <v>0.5416666666678793</v>
      </c>
      <c r="H373" s="26" t="s">
        <v>148</v>
      </c>
      <c r="J373" s="26" t="s">
        <v>196</v>
      </c>
      <c r="L373" s="26" t="s">
        <v>77</v>
      </c>
      <c r="P373" s="26">
        <v>2.026101802E9</v>
      </c>
      <c r="S373" s="26" t="s">
        <v>1443</v>
      </c>
      <c r="W373" s="26">
        <v>7.0</v>
      </c>
      <c r="X373" s="26">
        <v>7.0</v>
      </c>
      <c r="AG373" s="26">
        <v>1.0</v>
      </c>
      <c r="AH373" s="26" t="s">
        <v>395</v>
      </c>
      <c r="AI373" s="26" t="s">
        <v>396</v>
      </c>
      <c r="AP373" s="26" t="s">
        <v>1278</v>
      </c>
      <c r="AQ373" s="26" t="s">
        <v>1281</v>
      </c>
      <c r="AS373" s="26" t="s">
        <v>440</v>
      </c>
      <c r="AT373" s="26" t="s">
        <v>1342</v>
      </c>
      <c r="AV373" s="2">
        <f t="array" ref="AV373">IF($A373="","",IF(INDEX($A373:$AT373,1,MAP!$B$3)=CurrentSeason,1,0))</f>
        <v>1</v>
      </c>
      <c r="AW373" s="2">
        <f t="shared" si="1"/>
        <v>83</v>
      </c>
    </row>
    <row r="374" ht="15.0" customHeight="1">
      <c r="A374" s="26" t="s">
        <v>1444</v>
      </c>
      <c r="B374" s="26">
        <v>2026.0</v>
      </c>
      <c r="C374" s="26" t="s">
        <v>390</v>
      </c>
      <c r="D374" s="26">
        <v>6.0</v>
      </c>
      <c r="E374" s="26">
        <v>46313.0</v>
      </c>
      <c r="F374" s="26" t="s">
        <v>419</v>
      </c>
      <c r="G374" s="26">
        <v>0.5416666666678793</v>
      </c>
      <c r="H374" s="26" t="s">
        <v>250</v>
      </c>
      <c r="J374" s="26" t="s">
        <v>210</v>
      </c>
      <c r="L374" s="26" t="s">
        <v>77</v>
      </c>
      <c r="P374" s="26">
        <v>2.026101803E9</v>
      </c>
      <c r="S374" s="26" t="s">
        <v>1445</v>
      </c>
      <c r="W374" s="26">
        <v>7.0</v>
      </c>
      <c r="X374" s="26">
        <v>7.0</v>
      </c>
      <c r="AG374" s="26">
        <v>1.0</v>
      </c>
      <c r="AI374" s="26" t="s">
        <v>423</v>
      </c>
      <c r="AP374" s="26" t="s">
        <v>1288</v>
      </c>
      <c r="AQ374" s="26" t="s">
        <v>447</v>
      </c>
      <c r="AS374" s="26" t="s">
        <v>449</v>
      </c>
      <c r="AT374" s="26" t="s">
        <v>450</v>
      </c>
      <c r="AV374" s="2">
        <f t="array" ref="AV374">IF($A374="","",IF(INDEX($A374:$AT374,1,MAP!$B$3)=CurrentSeason,1,0))</f>
        <v>1</v>
      </c>
      <c r="AW374" s="2">
        <f t="shared" si="1"/>
        <v>84</v>
      </c>
    </row>
    <row r="375" ht="15.0" customHeight="1">
      <c r="A375" s="26" t="s">
        <v>1446</v>
      </c>
      <c r="B375" s="26">
        <v>2026.0</v>
      </c>
      <c r="C375" s="26" t="s">
        <v>390</v>
      </c>
      <c r="D375" s="26">
        <v>6.0</v>
      </c>
      <c r="E375" s="26">
        <v>46313.0</v>
      </c>
      <c r="F375" s="26" t="s">
        <v>419</v>
      </c>
      <c r="G375" s="26">
        <v>0.5416666666678793</v>
      </c>
      <c r="H375" s="26" t="s">
        <v>238</v>
      </c>
      <c r="J375" s="26" t="s">
        <v>145</v>
      </c>
      <c r="L375" s="26" t="s">
        <v>77</v>
      </c>
      <c r="P375" s="26">
        <v>2.026101804E9</v>
      </c>
      <c r="S375" s="26" t="s">
        <v>1447</v>
      </c>
      <c r="W375" s="26">
        <v>7.0</v>
      </c>
      <c r="X375" s="26">
        <v>7.0</v>
      </c>
      <c r="Y375" s="26">
        <v>340.0</v>
      </c>
      <c r="Z375" s="26">
        <v>-440.0</v>
      </c>
      <c r="AA375" s="26">
        <v>9.5</v>
      </c>
      <c r="AB375" s="26">
        <v>-110.0</v>
      </c>
      <c r="AC375" s="26">
        <v>-110.0</v>
      </c>
      <c r="AD375" s="26">
        <v>42.5</v>
      </c>
      <c r="AE375" s="26">
        <v>-110.0</v>
      </c>
      <c r="AF375" s="26">
        <v>-110.0</v>
      </c>
      <c r="AG375" s="26">
        <v>1.0</v>
      </c>
      <c r="AH375" s="26" t="s">
        <v>395</v>
      </c>
      <c r="AI375" s="26" t="s">
        <v>423</v>
      </c>
      <c r="AP375" s="26" t="s">
        <v>486</v>
      </c>
      <c r="AQ375" s="26" t="s">
        <v>465</v>
      </c>
      <c r="AS375" s="26" t="s">
        <v>467</v>
      </c>
      <c r="AT375" s="26" t="s">
        <v>468</v>
      </c>
      <c r="AV375" s="2">
        <f t="array" ref="AV375">IF($A375="","",IF(INDEX($A375:$AT375,1,MAP!$B$3)=CurrentSeason,1,0))</f>
        <v>1</v>
      </c>
      <c r="AW375" s="2">
        <f t="shared" si="1"/>
        <v>85</v>
      </c>
    </row>
    <row r="376" ht="15.0" customHeight="1">
      <c r="A376" s="26" t="s">
        <v>1448</v>
      </c>
      <c r="B376" s="26">
        <v>2026.0</v>
      </c>
      <c r="C376" s="26" t="s">
        <v>390</v>
      </c>
      <c r="D376" s="26">
        <v>6.0</v>
      </c>
      <c r="E376" s="26">
        <v>46313.0</v>
      </c>
      <c r="F376" s="26" t="s">
        <v>419</v>
      </c>
      <c r="G376" s="26">
        <v>0.5416666666678793</v>
      </c>
      <c r="H376" s="26" t="s">
        <v>232</v>
      </c>
      <c r="J376" s="26" t="s">
        <v>235</v>
      </c>
      <c r="L376" s="26" t="s">
        <v>77</v>
      </c>
      <c r="P376" s="26">
        <v>2.026101805E9</v>
      </c>
      <c r="S376" s="26" t="s">
        <v>1449</v>
      </c>
      <c r="W376" s="26">
        <v>7.0</v>
      </c>
      <c r="X376" s="26">
        <v>7.0</v>
      </c>
      <c r="Y376" s="26">
        <v>124.0</v>
      </c>
      <c r="Z376" s="26">
        <v>-148.0</v>
      </c>
      <c r="AA376" s="26">
        <v>2.5</v>
      </c>
      <c r="AB376" s="26">
        <v>-105.0</v>
      </c>
      <c r="AC376" s="26">
        <v>-115.0</v>
      </c>
      <c r="AD376" s="26">
        <v>45.5</v>
      </c>
      <c r="AE376" s="26">
        <v>-110.0</v>
      </c>
      <c r="AF376" s="26">
        <v>-110.0</v>
      </c>
      <c r="AG376" s="26">
        <v>0.0</v>
      </c>
      <c r="AH376" s="26" t="s">
        <v>395</v>
      </c>
      <c r="AI376" s="26" t="s">
        <v>423</v>
      </c>
      <c r="AP376" s="26" t="s">
        <v>476</v>
      </c>
      <c r="AQ376" s="26" t="s">
        <v>542</v>
      </c>
      <c r="AS376" s="26" t="s">
        <v>488</v>
      </c>
      <c r="AT376" s="26" t="s">
        <v>489</v>
      </c>
      <c r="AV376" s="2">
        <f t="array" ref="AV376">IF($A376="","",IF(INDEX($A376:$AT376,1,MAP!$B$3)=CurrentSeason,1,0))</f>
        <v>1</v>
      </c>
      <c r="AW376" s="2">
        <f t="shared" si="1"/>
        <v>86</v>
      </c>
    </row>
    <row r="377" ht="15.0" customHeight="1">
      <c r="A377" s="26" t="s">
        <v>1450</v>
      </c>
      <c r="B377" s="26">
        <v>2026.0</v>
      </c>
      <c r="C377" s="26" t="s">
        <v>390</v>
      </c>
      <c r="D377" s="26">
        <v>6.0</v>
      </c>
      <c r="E377" s="26">
        <v>46313.0</v>
      </c>
      <c r="F377" s="26" t="s">
        <v>419</v>
      </c>
      <c r="G377" s="26">
        <v>0.5416666666678793</v>
      </c>
      <c r="H377" s="26" t="s">
        <v>189</v>
      </c>
      <c r="J377" s="26" t="s">
        <v>147</v>
      </c>
      <c r="L377" s="26" t="s">
        <v>77</v>
      </c>
      <c r="P377" s="26">
        <v>2.026101806E9</v>
      </c>
      <c r="S377" s="26" t="s">
        <v>1451</v>
      </c>
      <c r="W377" s="26">
        <v>14.0</v>
      </c>
      <c r="X377" s="26">
        <v>7.0</v>
      </c>
      <c r="AG377" s="26">
        <v>0.0</v>
      </c>
      <c r="AH377" s="26" t="s">
        <v>395</v>
      </c>
      <c r="AI377" s="26" t="s">
        <v>396</v>
      </c>
      <c r="AP377" s="26" t="s">
        <v>455</v>
      </c>
      <c r="AQ377" s="26" t="s">
        <v>400</v>
      </c>
      <c r="AS377" s="26" t="s">
        <v>402</v>
      </c>
      <c r="AT377" s="26" t="s">
        <v>403</v>
      </c>
      <c r="AV377" s="2">
        <f t="array" ref="AV377">IF($A377="","",IF(INDEX($A377:$AT377,1,MAP!$B$3)=CurrentSeason,1,0))</f>
        <v>1</v>
      </c>
      <c r="AW377" s="2">
        <f t="shared" si="1"/>
        <v>87</v>
      </c>
    </row>
    <row r="378" ht="15.0" customHeight="1">
      <c r="A378" s="26" t="s">
        <v>1452</v>
      </c>
      <c r="B378" s="26">
        <v>2026.0</v>
      </c>
      <c r="C378" s="26" t="s">
        <v>390</v>
      </c>
      <c r="D378" s="26">
        <v>6.0</v>
      </c>
      <c r="E378" s="26">
        <v>46313.0</v>
      </c>
      <c r="F378" s="26" t="s">
        <v>419</v>
      </c>
      <c r="G378" s="26">
        <v>0.5416666666678793</v>
      </c>
      <c r="H378" s="26" t="s">
        <v>242</v>
      </c>
      <c r="J378" s="26" t="s">
        <v>150</v>
      </c>
      <c r="L378" s="26" t="s">
        <v>77</v>
      </c>
      <c r="P378" s="26">
        <v>2.026101807E9</v>
      </c>
      <c r="S378" s="26" t="s">
        <v>1453</v>
      </c>
      <c r="W378" s="26">
        <v>7.0</v>
      </c>
      <c r="X378" s="26">
        <v>10.0</v>
      </c>
      <c r="AG378" s="26">
        <v>0.0</v>
      </c>
      <c r="AH378" s="26" t="s">
        <v>395</v>
      </c>
      <c r="AI378" s="26" t="s">
        <v>396</v>
      </c>
      <c r="AP378" s="26" t="s">
        <v>1285</v>
      </c>
      <c r="AQ378" s="26" t="s">
        <v>427</v>
      </c>
      <c r="AS378" s="26" t="s">
        <v>651</v>
      </c>
      <c r="AT378" s="26" t="s">
        <v>652</v>
      </c>
      <c r="AV378" s="2">
        <f t="array" ref="AV378">IF($A378="","",IF(INDEX($A378:$AT378,1,MAP!$B$3)=CurrentSeason,1,0))</f>
        <v>1</v>
      </c>
      <c r="AW378" s="2">
        <f t="shared" si="1"/>
        <v>88</v>
      </c>
    </row>
    <row r="379" ht="15.0" customHeight="1">
      <c r="A379" s="26" t="s">
        <v>1454</v>
      </c>
      <c r="B379" s="26">
        <v>2026.0</v>
      </c>
      <c r="C379" s="26" t="s">
        <v>390</v>
      </c>
      <c r="D379" s="26">
        <v>6.0</v>
      </c>
      <c r="E379" s="26">
        <v>46313.0</v>
      </c>
      <c r="F379" s="26" t="s">
        <v>419</v>
      </c>
      <c r="G379" s="26">
        <v>0.6701388888905058</v>
      </c>
      <c r="H379" s="26" t="s">
        <v>178</v>
      </c>
      <c r="J379" s="26" t="s">
        <v>142</v>
      </c>
      <c r="L379" s="26" t="s">
        <v>77</v>
      </c>
      <c r="P379" s="26">
        <v>2.026101808E9</v>
      </c>
      <c r="S379" s="26" t="s">
        <v>1455</v>
      </c>
      <c r="W379" s="26">
        <v>7.0</v>
      </c>
      <c r="X379" s="26">
        <v>6.0</v>
      </c>
      <c r="AG379" s="26">
        <v>1.0</v>
      </c>
      <c r="AH379" s="26" t="s">
        <v>409</v>
      </c>
      <c r="AI379" s="26" t="s">
        <v>531</v>
      </c>
      <c r="AP379" s="26" t="s">
        <v>475</v>
      </c>
      <c r="AQ379" s="26" t="s">
        <v>535</v>
      </c>
      <c r="AS379" s="26" t="s">
        <v>415</v>
      </c>
      <c r="AT379" s="26" t="s">
        <v>416</v>
      </c>
      <c r="AV379" s="2">
        <f t="array" ref="AV379">IF($A379="","",IF(INDEX($A379:$AT379,1,MAP!$B$3)=CurrentSeason,1,0))</f>
        <v>1</v>
      </c>
      <c r="AW379" s="2">
        <f t="shared" si="1"/>
        <v>89</v>
      </c>
    </row>
    <row r="380" ht="15.0" customHeight="1">
      <c r="A380" s="26" t="s">
        <v>1456</v>
      </c>
      <c r="B380" s="26">
        <v>2026.0</v>
      </c>
      <c r="C380" s="26" t="s">
        <v>390</v>
      </c>
      <c r="D380" s="26">
        <v>6.0</v>
      </c>
      <c r="E380" s="26">
        <v>46313.0</v>
      </c>
      <c r="F380" s="26" t="s">
        <v>419</v>
      </c>
      <c r="G380" s="26">
        <v>0.6840277777773736</v>
      </c>
      <c r="H380" s="26" t="s">
        <v>220</v>
      </c>
      <c r="J380" s="26" t="s">
        <v>143</v>
      </c>
      <c r="L380" s="26" t="s">
        <v>77</v>
      </c>
      <c r="P380" s="26">
        <v>2.026101809E9</v>
      </c>
      <c r="S380" s="26" t="s">
        <v>1457</v>
      </c>
      <c r="W380" s="26">
        <v>7.0</v>
      </c>
      <c r="X380" s="26">
        <v>14.0</v>
      </c>
      <c r="AG380" s="26">
        <v>1.0</v>
      </c>
      <c r="AH380" s="26" t="s">
        <v>395</v>
      </c>
      <c r="AI380" s="26" t="s">
        <v>396</v>
      </c>
      <c r="AP380" s="26" t="s">
        <v>413</v>
      </c>
      <c r="AQ380" s="26" t="s">
        <v>412</v>
      </c>
      <c r="AS380" s="26" t="s">
        <v>607</v>
      </c>
      <c r="AT380" s="26" t="s">
        <v>608</v>
      </c>
      <c r="AV380" s="2">
        <f t="array" ref="AV380">IF($A380="","",IF(INDEX($A380:$AT380,1,MAP!$B$3)=CurrentSeason,1,0))</f>
        <v>1</v>
      </c>
      <c r="AW380" s="2">
        <f t="shared" si="1"/>
        <v>90</v>
      </c>
    </row>
    <row r="381" ht="15.0" customHeight="1">
      <c r="A381" s="26" t="s">
        <v>1458</v>
      </c>
      <c r="B381" s="26">
        <v>2026.0</v>
      </c>
      <c r="C381" s="26" t="s">
        <v>390</v>
      </c>
      <c r="D381" s="26">
        <v>6.0</v>
      </c>
      <c r="E381" s="26">
        <v>46313.0</v>
      </c>
      <c r="F381" s="26" t="s">
        <v>419</v>
      </c>
      <c r="G381" s="26">
        <v>0.6840277777773736</v>
      </c>
      <c r="H381" s="26" t="s">
        <v>136</v>
      </c>
      <c r="J381" s="26" t="s">
        <v>222</v>
      </c>
      <c r="L381" s="26" t="s">
        <v>77</v>
      </c>
      <c r="P381" s="26">
        <v>2.02610181E9</v>
      </c>
      <c r="S381" s="26" t="s">
        <v>1459</v>
      </c>
      <c r="W381" s="26">
        <v>6.0</v>
      </c>
      <c r="X381" s="26">
        <v>7.0</v>
      </c>
      <c r="AG381" s="26">
        <v>0.0</v>
      </c>
      <c r="AH381" s="26" t="s">
        <v>409</v>
      </c>
      <c r="AI381" s="26" t="s">
        <v>396</v>
      </c>
      <c r="AP381" s="26" t="s">
        <v>543</v>
      </c>
      <c r="AQ381" s="26" t="s">
        <v>1294</v>
      </c>
      <c r="AS381" s="26" t="s">
        <v>623</v>
      </c>
      <c r="AT381" s="26" t="s">
        <v>624</v>
      </c>
      <c r="AV381" s="2">
        <f t="array" ref="AV381">IF($A381="","",IF(INDEX($A381:$AT381,1,MAP!$B$3)=CurrentSeason,1,0))</f>
        <v>1</v>
      </c>
      <c r="AW381" s="2">
        <f t="shared" si="1"/>
        <v>91</v>
      </c>
    </row>
    <row r="382" ht="15.0" customHeight="1">
      <c r="A382" s="26" t="s">
        <v>1460</v>
      </c>
      <c r="B382" s="26">
        <v>2026.0</v>
      </c>
      <c r="C382" s="26" t="s">
        <v>390</v>
      </c>
      <c r="D382" s="26">
        <v>6.0</v>
      </c>
      <c r="E382" s="26">
        <v>46313.0</v>
      </c>
      <c r="F382" s="26" t="s">
        <v>419</v>
      </c>
      <c r="G382" s="26">
        <v>0.8472222222226264</v>
      </c>
      <c r="H382" s="26" t="s">
        <v>146</v>
      </c>
      <c r="J382" s="26" t="s">
        <v>205</v>
      </c>
      <c r="L382" s="26" t="s">
        <v>77</v>
      </c>
      <c r="P382" s="26">
        <v>2.026101811E9</v>
      </c>
      <c r="S382" s="26" t="s">
        <v>1461</v>
      </c>
      <c r="W382" s="26">
        <v>10.0</v>
      </c>
      <c r="X382" s="26">
        <v>7.0</v>
      </c>
      <c r="AG382" s="26">
        <v>0.0</v>
      </c>
      <c r="AH382" s="26" t="s">
        <v>395</v>
      </c>
      <c r="AI382" s="26" t="s">
        <v>396</v>
      </c>
      <c r="AP382" s="26" t="s">
        <v>399</v>
      </c>
      <c r="AQ382" s="26" t="s">
        <v>525</v>
      </c>
      <c r="AS382" s="26" t="s">
        <v>527</v>
      </c>
      <c r="AT382" s="26" t="s">
        <v>528</v>
      </c>
      <c r="AV382" s="2">
        <f t="array" ref="AV382">IF($A382="","",IF(INDEX($A382:$AT382,1,MAP!$B$3)=CurrentSeason,1,0))</f>
        <v>1</v>
      </c>
      <c r="AW382" s="2">
        <f t="shared" si="1"/>
        <v>92</v>
      </c>
    </row>
    <row r="383" ht="15.0" customHeight="1">
      <c r="A383" s="26" t="s">
        <v>1462</v>
      </c>
      <c r="B383" s="26">
        <v>2026.0</v>
      </c>
      <c r="C383" s="26" t="s">
        <v>390</v>
      </c>
      <c r="D383" s="26">
        <v>6.0</v>
      </c>
      <c r="E383" s="26">
        <v>46314.0</v>
      </c>
      <c r="F383" s="26" t="s">
        <v>549</v>
      </c>
      <c r="G383" s="26">
        <v>0.84375</v>
      </c>
      <c r="H383" s="26" t="s">
        <v>253</v>
      </c>
      <c r="J383" s="26" t="s">
        <v>246</v>
      </c>
      <c r="L383" s="26" t="s">
        <v>77</v>
      </c>
      <c r="P383" s="26">
        <v>2.0261019E9</v>
      </c>
      <c r="S383" s="26" t="s">
        <v>1463</v>
      </c>
      <c r="W383" s="26">
        <v>8.0</v>
      </c>
      <c r="X383" s="26">
        <v>8.0</v>
      </c>
      <c r="AG383" s="26">
        <v>0.0</v>
      </c>
      <c r="AH383" s="26" t="s">
        <v>395</v>
      </c>
      <c r="AI383" s="26" t="s">
        <v>396</v>
      </c>
      <c r="AP383" s="26" t="s">
        <v>496</v>
      </c>
      <c r="AQ383" s="26" t="s">
        <v>514</v>
      </c>
      <c r="AS383" s="26" t="s">
        <v>667</v>
      </c>
      <c r="AT383" s="26" t="s">
        <v>668</v>
      </c>
      <c r="AV383" s="2">
        <f t="array" ref="AV383">IF($A383="","",IF(INDEX($A383:$AT383,1,MAP!$B$3)=CurrentSeason,1,0))</f>
        <v>1</v>
      </c>
      <c r="AW383" s="2">
        <f t="shared" si="1"/>
        <v>93</v>
      </c>
    </row>
    <row r="384" ht="15.0" customHeight="1">
      <c r="A384" s="26" t="s">
        <v>1464</v>
      </c>
      <c r="B384" s="26">
        <v>2026.0</v>
      </c>
      <c r="C384" s="26" t="s">
        <v>390</v>
      </c>
      <c r="D384" s="26">
        <v>7.0</v>
      </c>
      <c r="E384" s="26">
        <v>46317.0</v>
      </c>
      <c r="F384" s="26" t="s">
        <v>392</v>
      </c>
      <c r="G384" s="26">
        <v>0.84375</v>
      </c>
      <c r="H384" s="26" t="s">
        <v>145</v>
      </c>
      <c r="J384" s="26" t="s">
        <v>137</v>
      </c>
      <c r="L384" s="26" t="s">
        <v>77</v>
      </c>
      <c r="P384" s="26">
        <v>2.0261022E9</v>
      </c>
      <c r="S384" s="26" t="s">
        <v>1465</v>
      </c>
      <c r="W384" s="26">
        <v>4.0</v>
      </c>
      <c r="X384" s="26">
        <v>4.0</v>
      </c>
      <c r="AG384" s="26">
        <v>0.0</v>
      </c>
      <c r="AH384" s="26" t="s">
        <v>395</v>
      </c>
      <c r="AI384" s="26" t="s">
        <v>396</v>
      </c>
      <c r="AP384" s="26" t="s">
        <v>465</v>
      </c>
      <c r="AQ384" s="26" t="s">
        <v>556</v>
      </c>
      <c r="AS384" s="26" t="s">
        <v>558</v>
      </c>
      <c r="AT384" s="26" t="s">
        <v>559</v>
      </c>
      <c r="AV384" s="2">
        <f t="array" ref="AV384">IF($A384="","",IF(INDEX($A384:$AT384,1,MAP!$B$3)=CurrentSeason,1,0))</f>
        <v>1</v>
      </c>
      <c r="AW384" s="2">
        <f t="shared" si="1"/>
        <v>94</v>
      </c>
    </row>
    <row r="385" ht="15.0" customHeight="1">
      <c r="A385" s="26" t="s">
        <v>1466</v>
      </c>
      <c r="B385" s="26">
        <v>2026.0</v>
      </c>
      <c r="C385" s="26" t="s">
        <v>390</v>
      </c>
      <c r="D385" s="26">
        <v>7.0</v>
      </c>
      <c r="E385" s="26">
        <v>46320.0</v>
      </c>
      <c r="F385" s="26" t="s">
        <v>419</v>
      </c>
      <c r="G385" s="26">
        <v>0.3958333333321207</v>
      </c>
      <c r="H385" s="26" t="s">
        <v>242</v>
      </c>
      <c r="J385" s="26" t="s">
        <v>232</v>
      </c>
      <c r="L385" s="26" t="s">
        <v>78</v>
      </c>
      <c r="P385" s="26">
        <v>2.0261025E9</v>
      </c>
      <c r="S385" s="26" t="s">
        <v>1467</v>
      </c>
      <c r="W385" s="26">
        <v>7.0</v>
      </c>
      <c r="X385" s="26">
        <v>7.0</v>
      </c>
      <c r="AG385" s="26">
        <v>0.0</v>
      </c>
      <c r="AH385" s="26" t="s">
        <v>409</v>
      </c>
      <c r="AI385" s="26" t="s">
        <v>471</v>
      </c>
      <c r="AP385" s="26" t="s">
        <v>1285</v>
      </c>
      <c r="AQ385" s="26" t="s">
        <v>476</v>
      </c>
      <c r="AS385" s="26" t="s">
        <v>478</v>
      </c>
      <c r="AT385" s="26" t="s">
        <v>1468</v>
      </c>
      <c r="AV385" s="2">
        <f t="array" ref="AV385">IF($A385="","",IF(INDEX($A385:$AT385,1,MAP!$B$3)=CurrentSeason,1,0))</f>
        <v>1</v>
      </c>
      <c r="AW385" s="2">
        <f t="shared" si="1"/>
        <v>95</v>
      </c>
    </row>
    <row r="386" ht="15.0" customHeight="1">
      <c r="A386" s="26" t="s">
        <v>1469</v>
      </c>
      <c r="B386" s="26">
        <v>2026.0</v>
      </c>
      <c r="C386" s="26" t="s">
        <v>390</v>
      </c>
      <c r="D386" s="26">
        <v>7.0</v>
      </c>
      <c r="E386" s="26">
        <v>46320.0</v>
      </c>
      <c r="F386" s="26" t="s">
        <v>419</v>
      </c>
      <c r="G386" s="26">
        <v>0.5416666666678793</v>
      </c>
      <c r="H386" s="26" t="s">
        <v>246</v>
      </c>
      <c r="J386" s="26" t="s">
        <v>132</v>
      </c>
      <c r="L386" s="26" t="s">
        <v>77</v>
      </c>
      <c r="P386" s="26">
        <v>2.026102501E9</v>
      </c>
      <c r="S386" s="26" t="s">
        <v>1470</v>
      </c>
      <c r="W386" s="26">
        <v>6.0</v>
      </c>
      <c r="X386" s="26">
        <v>7.0</v>
      </c>
      <c r="AG386" s="26">
        <v>0.0</v>
      </c>
      <c r="AI386" s="26" t="s">
        <v>423</v>
      </c>
      <c r="AP386" s="26" t="s">
        <v>514</v>
      </c>
      <c r="AQ386" s="26" t="s">
        <v>428</v>
      </c>
      <c r="AS386" s="26" t="s">
        <v>430</v>
      </c>
      <c r="AT386" s="26" t="s">
        <v>431</v>
      </c>
      <c r="AV386" s="2">
        <f t="array" ref="AV386">IF($A386="","",IF(INDEX($A386:$AT386,1,MAP!$B$3)=CurrentSeason,1,0))</f>
        <v>1</v>
      </c>
      <c r="AW386" s="2">
        <f t="shared" si="1"/>
        <v>96</v>
      </c>
    </row>
    <row r="387" ht="15.0" customHeight="1">
      <c r="A387" s="26" t="s">
        <v>1471</v>
      </c>
      <c r="B387" s="26">
        <v>2026.0</v>
      </c>
      <c r="C387" s="26" t="s">
        <v>390</v>
      </c>
      <c r="D387" s="26">
        <v>7.0</v>
      </c>
      <c r="E387" s="26">
        <v>46320.0</v>
      </c>
      <c r="F387" s="26" t="s">
        <v>419</v>
      </c>
      <c r="G387" s="26">
        <v>0.5416666666678793</v>
      </c>
      <c r="H387" s="26" t="s">
        <v>138</v>
      </c>
      <c r="J387" s="26" t="s">
        <v>148</v>
      </c>
      <c r="L387" s="26" t="s">
        <v>77</v>
      </c>
      <c r="P387" s="26">
        <v>2.026102502E9</v>
      </c>
      <c r="S387" s="26" t="s">
        <v>1472</v>
      </c>
      <c r="W387" s="26">
        <v>14.0</v>
      </c>
      <c r="X387" s="26">
        <v>7.0</v>
      </c>
      <c r="AG387" s="26">
        <v>1.0</v>
      </c>
      <c r="AH387" s="26" t="s">
        <v>395</v>
      </c>
      <c r="AI387" s="26" t="s">
        <v>396</v>
      </c>
      <c r="AP387" s="26" t="s">
        <v>437</v>
      </c>
      <c r="AQ387" s="26" t="s">
        <v>1278</v>
      </c>
      <c r="AS387" s="26" t="s">
        <v>567</v>
      </c>
      <c r="AT387" s="26" t="s">
        <v>568</v>
      </c>
      <c r="AV387" s="2">
        <f t="array" ref="AV387">IF($A387="","",IF(INDEX($A387:$AT387,1,MAP!$B$3)=CurrentSeason,1,0))</f>
        <v>1</v>
      </c>
      <c r="AW387" s="2">
        <f t="shared" si="1"/>
        <v>97</v>
      </c>
    </row>
    <row r="388" ht="15.0" customHeight="1">
      <c r="A388" s="26" t="s">
        <v>1473</v>
      </c>
      <c r="B388" s="26">
        <v>2026.0</v>
      </c>
      <c r="C388" s="26" t="s">
        <v>390</v>
      </c>
      <c r="D388" s="26">
        <v>7.0</v>
      </c>
      <c r="E388" s="26">
        <v>46320.0</v>
      </c>
      <c r="F388" s="26" t="s">
        <v>419</v>
      </c>
      <c r="G388" s="26">
        <v>0.5416666666678793</v>
      </c>
      <c r="H388" s="26" t="s">
        <v>150</v>
      </c>
      <c r="J388" s="26" t="s">
        <v>189</v>
      </c>
      <c r="L388" s="26" t="s">
        <v>77</v>
      </c>
      <c r="P388" s="26">
        <v>2.026102503E9</v>
      </c>
      <c r="S388" s="26" t="s">
        <v>1474</v>
      </c>
      <c r="W388" s="26">
        <v>7.0</v>
      </c>
      <c r="X388" s="26">
        <v>7.0</v>
      </c>
      <c r="AG388" s="26">
        <v>1.0</v>
      </c>
      <c r="AH388" s="26" t="s">
        <v>395</v>
      </c>
      <c r="AI388" s="26" t="s">
        <v>396</v>
      </c>
      <c r="AP388" s="26" t="s">
        <v>427</v>
      </c>
      <c r="AQ388" s="26" t="s">
        <v>455</v>
      </c>
      <c r="AS388" s="26" t="s">
        <v>631</v>
      </c>
      <c r="AT388" s="26" t="s">
        <v>632</v>
      </c>
      <c r="AV388" s="2">
        <f t="array" ref="AV388">IF($A388="","",IF(INDEX($A388:$AT388,1,MAP!$B$3)=CurrentSeason,1,0))</f>
        <v>1</v>
      </c>
      <c r="AW388" s="2">
        <f t="shared" si="1"/>
        <v>98</v>
      </c>
    </row>
    <row r="389" ht="15.0" customHeight="1">
      <c r="A389" s="26" t="s">
        <v>1475</v>
      </c>
      <c r="B389" s="26">
        <v>2026.0</v>
      </c>
      <c r="C389" s="26" t="s">
        <v>390</v>
      </c>
      <c r="D389" s="26">
        <v>7.0</v>
      </c>
      <c r="E389" s="26">
        <v>46320.0</v>
      </c>
      <c r="F389" s="26" t="s">
        <v>419</v>
      </c>
      <c r="G389" s="26">
        <v>0.5416666666678793</v>
      </c>
      <c r="H389" s="26" t="s">
        <v>235</v>
      </c>
      <c r="J389" s="26" t="s">
        <v>140</v>
      </c>
      <c r="L389" s="26" t="s">
        <v>77</v>
      </c>
      <c r="P389" s="26">
        <v>2.026102504E9</v>
      </c>
      <c r="S389" s="26" t="s">
        <v>1476</v>
      </c>
      <c r="W389" s="26">
        <v>7.0</v>
      </c>
      <c r="X389" s="26">
        <v>7.0</v>
      </c>
      <c r="AG389" s="26">
        <v>0.0</v>
      </c>
      <c r="AI389" s="26" t="s">
        <v>617</v>
      </c>
      <c r="AP389" s="26" t="s">
        <v>542</v>
      </c>
      <c r="AQ389" s="26" t="s">
        <v>534</v>
      </c>
      <c r="AS389" s="26" t="s">
        <v>618</v>
      </c>
      <c r="AT389" s="26" t="s">
        <v>1275</v>
      </c>
      <c r="AV389" s="2">
        <f t="array" ref="AV389">IF($A389="","",IF(INDEX($A389:$AT389,1,MAP!$B$3)=CurrentSeason,1,0))</f>
        <v>1</v>
      </c>
      <c r="AW389" s="2">
        <f t="shared" si="1"/>
        <v>99</v>
      </c>
    </row>
    <row r="390" ht="15.0" customHeight="1">
      <c r="A390" s="26" t="s">
        <v>1477</v>
      </c>
      <c r="B390" s="26">
        <v>2026.0</v>
      </c>
      <c r="C390" s="26" t="s">
        <v>390</v>
      </c>
      <c r="D390" s="26">
        <v>7.0</v>
      </c>
      <c r="E390" s="26">
        <v>46320.0</v>
      </c>
      <c r="F390" s="26" t="s">
        <v>419</v>
      </c>
      <c r="G390" s="26">
        <v>0.5416666666678793</v>
      </c>
      <c r="H390" s="26" t="s">
        <v>210</v>
      </c>
      <c r="J390" s="26" t="s">
        <v>144</v>
      </c>
      <c r="L390" s="26" t="s">
        <v>77</v>
      </c>
      <c r="P390" s="26">
        <v>2.026102505E9</v>
      </c>
      <c r="S390" s="26" t="s">
        <v>1478</v>
      </c>
      <c r="W390" s="26">
        <v>7.0</v>
      </c>
      <c r="X390" s="26">
        <v>14.0</v>
      </c>
      <c r="AG390" s="26">
        <v>0.0</v>
      </c>
      <c r="AH390" s="26" t="s">
        <v>409</v>
      </c>
      <c r="AI390" s="26" t="s">
        <v>471</v>
      </c>
      <c r="AP390" s="26" t="s">
        <v>447</v>
      </c>
      <c r="AQ390" s="26" t="s">
        <v>555</v>
      </c>
      <c r="AS390" s="26" t="s">
        <v>611</v>
      </c>
      <c r="AT390" s="26" t="s">
        <v>612</v>
      </c>
      <c r="AV390" s="2">
        <f t="array" ref="AV390">IF($A390="","",IF(INDEX($A390:$AT390,1,MAP!$B$3)=CurrentSeason,1,0))</f>
        <v>1</v>
      </c>
      <c r="AW390" s="2">
        <f t="shared" si="1"/>
        <v>100</v>
      </c>
    </row>
    <row r="391" ht="15.0" customHeight="1">
      <c r="A391" s="26" t="s">
        <v>1479</v>
      </c>
      <c r="B391" s="26">
        <v>2026.0</v>
      </c>
      <c r="C391" s="26" t="s">
        <v>390</v>
      </c>
      <c r="D391" s="26">
        <v>7.0</v>
      </c>
      <c r="E391" s="26">
        <v>46320.0</v>
      </c>
      <c r="F391" s="26" t="s">
        <v>419</v>
      </c>
      <c r="G391" s="26">
        <v>0.5416666666678793</v>
      </c>
      <c r="H391" s="26" t="s">
        <v>225</v>
      </c>
      <c r="J391" s="26" t="s">
        <v>238</v>
      </c>
      <c r="L391" s="26" t="s">
        <v>77</v>
      </c>
      <c r="P391" s="26">
        <v>2.026102506E9</v>
      </c>
      <c r="S391" s="26" t="s">
        <v>1480</v>
      </c>
      <c r="W391" s="26">
        <v>14.0</v>
      </c>
      <c r="X391" s="26">
        <v>7.0</v>
      </c>
      <c r="AG391" s="26">
        <v>1.0</v>
      </c>
      <c r="AH391" s="26" t="s">
        <v>395</v>
      </c>
      <c r="AI391" s="26" t="s">
        <v>423</v>
      </c>
      <c r="AP391" s="26" t="s">
        <v>1293</v>
      </c>
      <c r="AQ391" s="26" t="s">
        <v>486</v>
      </c>
      <c r="AS391" s="26" t="s">
        <v>488</v>
      </c>
      <c r="AT391" s="26" t="s">
        <v>489</v>
      </c>
      <c r="AV391" s="2">
        <f t="array" ref="AV391">IF($A391="","",IF(INDEX($A391:$AT391,1,MAP!$B$3)=CurrentSeason,1,0))</f>
        <v>1</v>
      </c>
      <c r="AW391" s="2">
        <f t="shared" si="1"/>
        <v>101</v>
      </c>
    </row>
    <row r="392" ht="15.0" customHeight="1">
      <c r="A392" s="26" t="s">
        <v>1481</v>
      </c>
      <c r="B392" s="26">
        <v>2026.0</v>
      </c>
      <c r="C392" s="26" t="s">
        <v>390</v>
      </c>
      <c r="D392" s="26">
        <v>7.0</v>
      </c>
      <c r="E392" s="26">
        <v>46320.0</v>
      </c>
      <c r="F392" s="26" t="s">
        <v>419</v>
      </c>
      <c r="G392" s="26">
        <v>0.5416666666678793</v>
      </c>
      <c r="H392" s="26" t="s">
        <v>196</v>
      </c>
      <c r="J392" s="26" t="s">
        <v>250</v>
      </c>
      <c r="L392" s="26" t="s">
        <v>77</v>
      </c>
      <c r="P392" s="26">
        <v>2.026102507E9</v>
      </c>
      <c r="S392" s="26" t="s">
        <v>1482</v>
      </c>
      <c r="W392" s="26">
        <v>7.0</v>
      </c>
      <c r="X392" s="26">
        <v>7.0</v>
      </c>
      <c r="AG392" s="26">
        <v>0.0</v>
      </c>
      <c r="AH392" s="26" t="s">
        <v>395</v>
      </c>
      <c r="AI392" s="26" t="s">
        <v>396</v>
      </c>
      <c r="AP392" s="26" t="s">
        <v>1281</v>
      </c>
      <c r="AQ392" s="26" t="s">
        <v>1288</v>
      </c>
      <c r="AS392" s="26" t="s">
        <v>597</v>
      </c>
      <c r="AT392" s="26" t="s">
        <v>598</v>
      </c>
      <c r="AV392" s="2">
        <f t="array" ref="AV392">IF($A392="","",IF(INDEX($A392:$AT392,1,MAP!$B$3)=CurrentSeason,1,0))</f>
        <v>1</v>
      </c>
      <c r="AW392" s="2">
        <f t="shared" si="1"/>
        <v>102</v>
      </c>
    </row>
    <row r="393" ht="15.0" customHeight="1">
      <c r="A393" s="26" t="s">
        <v>1483</v>
      </c>
      <c r="B393" s="26">
        <v>2026.0</v>
      </c>
      <c r="C393" s="26" t="s">
        <v>390</v>
      </c>
      <c r="D393" s="26">
        <v>7.0</v>
      </c>
      <c r="E393" s="26">
        <v>46320.0</v>
      </c>
      <c r="F393" s="26" t="s">
        <v>419</v>
      </c>
      <c r="G393" s="26">
        <v>0.6701388888905058</v>
      </c>
      <c r="H393" s="26" t="s">
        <v>139</v>
      </c>
      <c r="J393" s="26" t="s">
        <v>178</v>
      </c>
      <c r="L393" s="26" t="s">
        <v>77</v>
      </c>
      <c r="P393" s="26">
        <v>2.026102508E9</v>
      </c>
      <c r="S393" s="26" t="s">
        <v>1484</v>
      </c>
      <c r="W393" s="26">
        <v>10.0</v>
      </c>
      <c r="X393" s="26">
        <v>7.0</v>
      </c>
      <c r="AG393" s="26">
        <v>0.0</v>
      </c>
      <c r="AI393" s="26" t="s">
        <v>396</v>
      </c>
      <c r="AP393" s="26" t="s">
        <v>506</v>
      </c>
      <c r="AQ393" s="26" t="s">
        <v>475</v>
      </c>
      <c r="AS393" s="26" t="s">
        <v>601</v>
      </c>
      <c r="AT393" s="26" t="s">
        <v>602</v>
      </c>
      <c r="AV393" s="2">
        <f t="array" ref="AV393">IF($A393="","",IF(INDEX($A393:$AT393,1,MAP!$B$3)=CurrentSeason,1,0))</f>
        <v>1</v>
      </c>
      <c r="AW393" s="2">
        <f t="shared" si="1"/>
        <v>103</v>
      </c>
    </row>
    <row r="394" ht="15.0" customHeight="1">
      <c r="A394" s="26" t="s">
        <v>1485</v>
      </c>
      <c r="B394" s="26">
        <v>2026.0</v>
      </c>
      <c r="C394" s="26" t="s">
        <v>390</v>
      </c>
      <c r="D394" s="26">
        <v>7.0</v>
      </c>
      <c r="E394" s="26">
        <v>46320.0</v>
      </c>
      <c r="F394" s="26" t="s">
        <v>419</v>
      </c>
      <c r="G394" s="26">
        <v>0.6840277777773736</v>
      </c>
      <c r="H394" s="26" t="s">
        <v>205</v>
      </c>
      <c r="J394" s="26" t="s">
        <v>202</v>
      </c>
      <c r="L394" s="26" t="s">
        <v>77</v>
      </c>
      <c r="P394" s="26">
        <v>2.026102509E9</v>
      </c>
      <c r="S394" s="26" t="s">
        <v>1486</v>
      </c>
      <c r="W394" s="26">
        <v>7.0</v>
      </c>
      <c r="X394" s="26">
        <v>14.0</v>
      </c>
      <c r="AG394" s="26">
        <v>1.0</v>
      </c>
      <c r="AH394" s="26" t="s">
        <v>409</v>
      </c>
      <c r="AI394" s="26" t="s">
        <v>423</v>
      </c>
      <c r="AP394" s="26" t="s">
        <v>525</v>
      </c>
      <c r="AQ394" s="26" t="s">
        <v>524</v>
      </c>
      <c r="AS394" s="26" t="s">
        <v>579</v>
      </c>
      <c r="AT394" s="26" t="s">
        <v>580</v>
      </c>
      <c r="AV394" s="2">
        <f t="array" ref="AV394">IF($A394="","",IF(INDEX($A394:$AT394,1,MAP!$B$3)=CurrentSeason,1,0))</f>
        <v>1</v>
      </c>
      <c r="AW394" s="2">
        <f t="shared" si="1"/>
        <v>104</v>
      </c>
    </row>
    <row r="395" ht="15.0" customHeight="1">
      <c r="A395" s="26" t="s">
        <v>1487</v>
      </c>
      <c r="B395" s="26">
        <v>2026.0</v>
      </c>
      <c r="C395" s="26" t="s">
        <v>390</v>
      </c>
      <c r="D395" s="26">
        <v>7.0</v>
      </c>
      <c r="E395" s="26">
        <v>46320.0</v>
      </c>
      <c r="F395" s="26" t="s">
        <v>419</v>
      </c>
      <c r="G395" s="26">
        <v>0.6840277777773736</v>
      </c>
      <c r="H395" s="26" t="s">
        <v>142</v>
      </c>
      <c r="J395" s="26" t="s">
        <v>222</v>
      </c>
      <c r="L395" s="26" t="s">
        <v>77</v>
      </c>
      <c r="P395" s="26">
        <v>2.02610251E9</v>
      </c>
      <c r="S395" s="26" t="s">
        <v>1488</v>
      </c>
      <c r="W395" s="26">
        <v>7.0</v>
      </c>
      <c r="X395" s="26">
        <v>7.0</v>
      </c>
      <c r="AG395" s="26">
        <v>0.0</v>
      </c>
      <c r="AH395" s="26" t="s">
        <v>409</v>
      </c>
      <c r="AI395" s="26" t="s">
        <v>396</v>
      </c>
      <c r="AP395" s="26" t="s">
        <v>535</v>
      </c>
      <c r="AQ395" s="26" t="s">
        <v>1294</v>
      </c>
      <c r="AS395" s="26" t="s">
        <v>623</v>
      </c>
      <c r="AT395" s="26" t="s">
        <v>624</v>
      </c>
      <c r="AV395" s="2">
        <f t="array" ref="AV395">IF($A395="","",IF(INDEX($A395:$AT395,1,MAP!$B$3)=CurrentSeason,1,0))</f>
        <v>1</v>
      </c>
      <c r="AW395" s="2">
        <f t="shared" si="1"/>
        <v>105</v>
      </c>
    </row>
    <row r="396" ht="15.0" customHeight="1">
      <c r="A396" s="26" t="s">
        <v>1489</v>
      </c>
      <c r="B396" s="26">
        <v>2026.0</v>
      </c>
      <c r="C396" s="26" t="s">
        <v>390</v>
      </c>
      <c r="D396" s="26">
        <v>7.0</v>
      </c>
      <c r="E396" s="26">
        <v>46320.0</v>
      </c>
      <c r="F396" s="26" t="s">
        <v>419</v>
      </c>
      <c r="G396" s="26">
        <v>0.8472222222226264</v>
      </c>
      <c r="H396" s="26" t="s">
        <v>143</v>
      </c>
      <c r="J396" s="26" t="s">
        <v>149</v>
      </c>
      <c r="L396" s="26" t="s">
        <v>77</v>
      </c>
      <c r="P396" s="26">
        <v>2.026102511E9</v>
      </c>
      <c r="S396" s="26" t="s">
        <v>1490</v>
      </c>
      <c r="W396" s="26">
        <v>7.0</v>
      </c>
      <c r="X396" s="26">
        <v>10.0</v>
      </c>
      <c r="AG396" s="26">
        <v>0.0</v>
      </c>
      <c r="AH396" s="26" t="s">
        <v>395</v>
      </c>
      <c r="AI396" s="26" t="s">
        <v>423</v>
      </c>
      <c r="AP396" s="26" t="s">
        <v>412</v>
      </c>
      <c r="AQ396" s="26" t="s">
        <v>515</v>
      </c>
      <c r="AS396" s="26" t="s">
        <v>517</v>
      </c>
      <c r="AT396" s="26" t="s">
        <v>518</v>
      </c>
      <c r="AV396" s="2">
        <f t="array" ref="AV396">IF($A396="","",IF(INDEX($A396:$AT396,1,MAP!$B$3)=CurrentSeason,1,0))</f>
        <v>1</v>
      </c>
      <c r="AW396" s="2">
        <f t="shared" si="1"/>
        <v>106</v>
      </c>
    </row>
    <row r="397" ht="15.0" customHeight="1">
      <c r="A397" s="26" t="s">
        <v>1491</v>
      </c>
      <c r="B397" s="26">
        <v>2026.0</v>
      </c>
      <c r="C397" s="26" t="s">
        <v>390</v>
      </c>
      <c r="D397" s="26">
        <v>7.0</v>
      </c>
      <c r="E397" s="26">
        <v>46321.0</v>
      </c>
      <c r="F397" s="26" t="s">
        <v>549</v>
      </c>
      <c r="G397" s="26">
        <v>0.84375</v>
      </c>
      <c r="H397" s="26" t="s">
        <v>146</v>
      </c>
      <c r="J397" s="26" t="s">
        <v>147</v>
      </c>
      <c r="L397" s="26" t="s">
        <v>77</v>
      </c>
      <c r="P397" s="26">
        <v>2.0261026E9</v>
      </c>
      <c r="S397" s="26" t="s">
        <v>1492</v>
      </c>
      <c r="W397" s="26">
        <v>8.0</v>
      </c>
      <c r="X397" s="26">
        <v>8.0</v>
      </c>
      <c r="AG397" s="26">
        <v>1.0</v>
      </c>
      <c r="AH397" s="26" t="s">
        <v>395</v>
      </c>
      <c r="AI397" s="26" t="s">
        <v>396</v>
      </c>
      <c r="AP397" s="26" t="s">
        <v>399</v>
      </c>
      <c r="AQ397" s="26" t="s">
        <v>400</v>
      </c>
      <c r="AS397" s="26" t="s">
        <v>402</v>
      </c>
      <c r="AT397" s="26" t="s">
        <v>403</v>
      </c>
      <c r="AV397" s="2">
        <f t="array" ref="AV397">IF($A397="","",IF(INDEX($A397:$AT397,1,MAP!$B$3)=CurrentSeason,1,0))</f>
        <v>1</v>
      </c>
      <c r="AW397" s="2">
        <f t="shared" si="1"/>
        <v>107</v>
      </c>
    </row>
    <row r="398" ht="15.0" customHeight="1">
      <c r="A398" s="26" t="s">
        <v>1493</v>
      </c>
      <c r="B398" s="26">
        <v>2026.0</v>
      </c>
      <c r="C398" s="26" t="s">
        <v>390</v>
      </c>
      <c r="D398" s="26">
        <v>8.0</v>
      </c>
      <c r="E398" s="26">
        <v>46324.0</v>
      </c>
      <c r="F398" s="26" t="s">
        <v>392</v>
      </c>
      <c r="G398" s="26">
        <v>0.84375</v>
      </c>
      <c r="H398" s="26" t="s">
        <v>189</v>
      </c>
      <c r="J398" s="26" t="s">
        <v>205</v>
      </c>
      <c r="L398" s="26" t="s">
        <v>77</v>
      </c>
      <c r="P398" s="26">
        <v>2.0261029E9</v>
      </c>
      <c r="S398" s="26" t="s">
        <v>1494</v>
      </c>
      <c r="W398" s="26">
        <v>4.0</v>
      </c>
      <c r="X398" s="26">
        <v>4.0</v>
      </c>
      <c r="AG398" s="26">
        <v>0.0</v>
      </c>
      <c r="AH398" s="26" t="s">
        <v>395</v>
      </c>
      <c r="AI398" s="26" t="s">
        <v>396</v>
      </c>
      <c r="AP398" s="26" t="s">
        <v>455</v>
      </c>
      <c r="AQ398" s="26" t="s">
        <v>525</v>
      </c>
      <c r="AS398" s="26" t="s">
        <v>527</v>
      </c>
      <c r="AT398" s="26" t="s">
        <v>528</v>
      </c>
      <c r="AV398" s="2">
        <f t="array" ref="AV398">IF($A398="","",IF(INDEX($A398:$AT398,1,MAP!$B$3)=CurrentSeason,1,0))</f>
        <v>1</v>
      </c>
      <c r="AW398" s="2">
        <f t="shared" si="1"/>
        <v>108</v>
      </c>
    </row>
    <row r="399" ht="15.0" customHeight="1">
      <c r="A399" s="26" t="s">
        <v>1495</v>
      </c>
      <c r="B399" s="26">
        <v>2026.0</v>
      </c>
      <c r="C399" s="26" t="s">
        <v>390</v>
      </c>
      <c r="D399" s="26">
        <v>8.0</v>
      </c>
      <c r="E399" s="26">
        <v>46327.0</v>
      </c>
      <c r="F399" s="26" t="s">
        <v>419</v>
      </c>
      <c r="G399" s="26">
        <v>0.5416666666678793</v>
      </c>
      <c r="H399" s="26" t="s">
        <v>148</v>
      </c>
      <c r="J399" s="26" t="s">
        <v>136</v>
      </c>
      <c r="L399" s="26" t="s">
        <v>77</v>
      </c>
      <c r="P399" s="26">
        <v>2.0261101E9</v>
      </c>
      <c r="S399" s="26" t="s">
        <v>1496</v>
      </c>
      <c r="W399" s="26">
        <v>7.0</v>
      </c>
      <c r="X399" s="26">
        <v>14.0</v>
      </c>
      <c r="AG399" s="26">
        <v>0.0</v>
      </c>
      <c r="AH399" s="26" t="s">
        <v>395</v>
      </c>
      <c r="AI399" s="26" t="s">
        <v>539</v>
      </c>
      <c r="AP399" s="26" t="s">
        <v>1278</v>
      </c>
      <c r="AQ399" s="26" t="s">
        <v>543</v>
      </c>
      <c r="AS399" s="26" t="s">
        <v>545</v>
      </c>
      <c r="AT399" s="26" t="s">
        <v>1305</v>
      </c>
      <c r="AV399" s="2">
        <f t="array" ref="AV399">IF($A399="","",IF(INDEX($A399:$AT399,1,MAP!$B$3)=CurrentSeason,1,0))</f>
        <v>1</v>
      </c>
      <c r="AW399" s="2">
        <f t="shared" si="1"/>
        <v>109</v>
      </c>
    </row>
    <row r="400" ht="15.0" customHeight="1">
      <c r="A400" s="26" t="s">
        <v>1497</v>
      </c>
      <c r="B400" s="26">
        <v>2026.0</v>
      </c>
      <c r="C400" s="26" t="s">
        <v>390</v>
      </c>
      <c r="D400" s="26">
        <v>8.0</v>
      </c>
      <c r="E400" s="26">
        <v>46327.0</v>
      </c>
      <c r="F400" s="26" t="s">
        <v>419</v>
      </c>
      <c r="G400" s="26">
        <v>0.5416666666678793</v>
      </c>
      <c r="H400" s="26" t="s">
        <v>250</v>
      </c>
      <c r="J400" s="26" t="s">
        <v>138</v>
      </c>
      <c r="L400" s="26" t="s">
        <v>77</v>
      </c>
      <c r="P400" s="26">
        <v>2.026110101E9</v>
      </c>
      <c r="S400" s="26" t="s">
        <v>1498</v>
      </c>
      <c r="W400" s="26">
        <v>7.0</v>
      </c>
      <c r="X400" s="26">
        <v>7.0</v>
      </c>
      <c r="AG400" s="26">
        <v>0.0</v>
      </c>
      <c r="AH400" s="26" t="s">
        <v>395</v>
      </c>
      <c r="AI400" s="26" t="s">
        <v>423</v>
      </c>
      <c r="AP400" s="26" t="s">
        <v>1288</v>
      </c>
      <c r="AQ400" s="26" t="s">
        <v>437</v>
      </c>
      <c r="AS400" s="26" t="s">
        <v>571</v>
      </c>
      <c r="AT400" s="26" t="s">
        <v>572</v>
      </c>
      <c r="AV400" s="2">
        <f t="array" ref="AV400">IF($A400="","",IF(INDEX($A400:$AT400,1,MAP!$B$3)=CurrentSeason,1,0))</f>
        <v>1</v>
      </c>
      <c r="AW400" s="2">
        <f t="shared" si="1"/>
        <v>110</v>
      </c>
    </row>
    <row r="401" ht="15.0" customHeight="1">
      <c r="A401" s="26" t="s">
        <v>1499</v>
      </c>
      <c r="B401" s="26">
        <v>2026.0</v>
      </c>
      <c r="C401" s="26" t="s">
        <v>390</v>
      </c>
      <c r="D401" s="26">
        <v>8.0</v>
      </c>
      <c r="E401" s="26">
        <v>46327.0</v>
      </c>
      <c r="F401" s="26" t="s">
        <v>419</v>
      </c>
      <c r="G401" s="26">
        <v>0.5416666666678793</v>
      </c>
      <c r="H401" s="26" t="s">
        <v>178</v>
      </c>
      <c r="J401" s="26" t="s">
        <v>146</v>
      </c>
      <c r="L401" s="26" t="s">
        <v>77</v>
      </c>
      <c r="P401" s="26">
        <v>2.026110102E9</v>
      </c>
      <c r="S401" s="26" t="s">
        <v>1500</v>
      </c>
      <c r="W401" s="26">
        <v>7.0</v>
      </c>
      <c r="X401" s="26">
        <v>6.0</v>
      </c>
      <c r="AG401" s="26">
        <v>0.0</v>
      </c>
      <c r="AI401" s="26" t="s">
        <v>531</v>
      </c>
      <c r="AP401" s="26" t="s">
        <v>475</v>
      </c>
      <c r="AQ401" s="26" t="s">
        <v>399</v>
      </c>
      <c r="AS401" s="26" t="s">
        <v>575</v>
      </c>
      <c r="AT401" s="26" t="s">
        <v>576</v>
      </c>
      <c r="AV401" s="2">
        <f t="array" ref="AV401">IF($A401="","",IF(INDEX($A401:$AT401,1,MAP!$B$3)=CurrentSeason,1,0))</f>
        <v>1</v>
      </c>
      <c r="AW401" s="2">
        <f t="shared" si="1"/>
        <v>111</v>
      </c>
    </row>
    <row r="402" ht="15.0" customHeight="1">
      <c r="A402" s="26" t="s">
        <v>1501</v>
      </c>
      <c r="B402" s="26">
        <v>2026.0</v>
      </c>
      <c r="C402" s="26" t="s">
        <v>390</v>
      </c>
      <c r="D402" s="26">
        <v>8.0</v>
      </c>
      <c r="E402" s="26">
        <v>46327.0</v>
      </c>
      <c r="F402" s="26" t="s">
        <v>419</v>
      </c>
      <c r="G402" s="26">
        <v>0.5416666666678793</v>
      </c>
      <c r="H402" s="26" t="s">
        <v>144</v>
      </c>
      <c r="J402" s="26" t="s">
        <v>202</v>
      </c>
      <c r="L402" s="26" t="s">
        <v>77</v>
      </c>
      <c r="P402" s="26">
        <v>2.026110103E9</v>
      </c>
      <c r="S402" s="26" t="s">
        <v>1502</v>
      </c>
      <c r="W402" s="26">
        <v>7.0</v>
      </c>
      <c r="X402" s="26">
        <v>7.0</v>
      </c>
      <c r="AG402" s="26">
        <v>1.0</v>
      </c>
      <c r="AH402" s="26" t="s">
        <v>409</v>
      </c>
      <c r="AI402" s="26" t="s">
        <v>423</v>
      </c>
      <c r="AP402" s="26" t="s">
        <v>555</v>
      </c>
      <c r="AQ402" s="26" t="s">
        <v>524</v>
      </c>
      <c r="AS402" s="26" t="s">
        <v>579</v>
      </c>
      <c r="AT402" s="26" t="s">
        <v>580</v>
      </c>
      <c r="AV402" s="2">
        <f t="array" ref="AV402">IF($A402="","",IF(INDEX($A402:$AT402,1,MAP!$B$3)=CurrentSeason,1,0))</f>
        <v>1</v>
      </c>
      <c r="AW402" s="2">
        <f t="shared" si="1"/>
        <v>112</v>
      </c>
    </row>
    <row r="403" ht="15.0" customHeight="1">
      <c r="A403" s="26" t="s">
        <v>1503</v>
      </c>
      <c r="B403" s="26">
        <v>2026.0</v>
      </c>
      <c r="C403" s="26" t="s">
        <v>390</v>
      </c>
      <c r="D403" s="26">
        <v>8.0</v>
      </c>
      <c r="E403" s="26">
        <v>46327.0</v>
      </c>
      <c r="F403" s="26" t="s">
        <v>419</v>
      </c>
      <c r="G403" s="26">
        <v>0.5416666666678793</v>
      </c>
      <c r="H403" s="26" t="s">
        <v>210</v>
      </c>
      <c r="J403" s="26" t="s">
        <v>141</v>
      </c>
      <c r="L403" s="26" t="s">
        <v>77</v>
      </c>
      <c r="P403" s="26">
        <v>2.026110104E9</v>
      </c>
      <c r="S403" s="26" t="s">
        <v>1504</v>
      </c>
      <c r="W403" s="26">
        <v>7.0</v>
      </c>
      <c r="X403" s="26">
        <v>14.0</v>
      </c>
      <c r="AG403" s="26">
        <v>1.0</v>
      </c>
      <c r="AH403" s="26" t="s">
        <v>395</v>
      </c>
      <c r="AI403" s="26" t="s">
        <v>396</v>
      </c>
      <c r="AP403" s="26" t="s">
        <v>447</v>
      </c>
      <c r="AQ403" s="26" t="s">
        <v>456</v>
      </c>
      <c r="AS403" s="26" t="s">
        <v>458</v>
      </c>
      <c r="AT403" s="26" t="s">
        <v>1282</v>
      </c>
      <c r="AV403" s="2">
        <f t="array" ref="AV403">IF($A403="","",IF(INDEX($A403:$AT403,1,MAP!$B$3)=CurrentSeason,1,0))</f>
        <v>1</v>
      </c>
      <c r="AW403" s="2">
        <f t="shared" si="1"/>
        <v>113</v>
      </c>
    </row>
    <row r="404" ht="15.0" customHeight="1">
      <c r="A404" s="26" t="s">
        <v>1505</v>
      </c>
      <c r="B404" s="26">
        <v>2026.0</v>
      </c>
      <c r="C404" s="26" t="s">
        <v>390</v>
      </c>
      <c r="D404" s="26">
        <v>8.0</v>
      </c>
      <c r="E404" s="26">
        <v>46327.0</v>
      </c>
      <c r="F404" s="26" t="s">
        <v>419</v>
      </c>
      <c r="G404" s="26">
        <v>0.5416666666678793</v>
      </c>
      <c r="H404" s="26" t="s">
        <v>222</v>
      </c>
      <c r="J404" s="26" t="s">
        <v>238</v>
      </c>
      <c r="L404" s="26" t="s">
        <v>77</v>
      </c>
      <c r="P404" s="26">
        <v>2.026110105E9</v>
      </c>
      <c r="S404" s="26" t="s">
        <v>1506</v>
      </c>
      <c r="W404" s="26">
        <v>7.0</v>
      </c>
      <c r="X404" s="26">
        <v>7.0</v>
      </c>
      <c r="AG404" s="26">
        <v>0.0</v>
      </c>
      <c r="AH404" s="26" t="s">
        <v>395</v>
      </c>
      <c r="AI404" s="26" t="s">
        <v>423</v>
      </c>
      <c r="AP404" s="26" t="s">
        <v>1294</v>
      </c>
      <c r="AQ404" s="26" t="s">
        <v>486</v>
      </c>
      <c r="AS404" s="26" t="s">
        <v>488</v>
      </c>
      <c r="AT404" s="26" t="s">
        <v>489</v>
      </c>
      <c r="AV404" s="2">
        <f t="array" ref="AV404">IF($A404="","",IF(INDEX($A404:$AT404,1,MAP!$B$3)=CurrentSeason,1,0))</f>
        <v>1</v>
      </c>
      <c r="AW404" s="2">
        <f t="shared" si="1"/>
        <v>114</v>
      </c>
    </row>
    <row r="405" ht="15.0" customHeight="1">
      <c r="A405" s="26" t="s">
        <v>1507</v>
      </c>
      <c r="B405" s="26">
        <v>2026.0</v>
      </c>
      <c r="C405" s="26" t="s">
        <v>390</v>
      </c>
      <c r="D405" s="26">
        <v>8.0</v>
      </c>
      <c r="E405" s="26">
        <v>46327.0</v>
      </c>
      <c r="F405" s="26" t="s">
        <v>419</v>
      </c>
      <c r="G405" s="26">
        <v>0.5416666666678793</v>
      </c>
      <c r="H405" s="26" t="s">
        <v>196</v>
      </c>
      <c r="J405" s="26" t="s">
        <v>242</v>
      </c>
      <c r="L405" s="26" t="s">
        <v>77</v>
      </c>
      <c r="P405" s="26">
        <v>2.026110106E9</v>
      </c>
      <c r="S405" s="26" t="s">
        <v>1508</v>
      </c>
      <c r="W405" s="26">
        <v>7.0</v>
      </c>
      <c r="X405" s="26">
        <v>7.0</v>
      </c>
      <c r="AG405" s="26">
        <v>1.0</v>
      </c>
      <c r="AH405" s="26" t="s">
        <v>395</v>
      </c>
      <c r="AI405" s="26" t="s">
        <v>396</v>
      </c>
      <c r="AP405" s="26" t="s">
        <v>1281</v>
      </c>
      <c r="AQ405" s="26" t="s">
        <v>1285</v>
      </c>
      <c r="AS405" s="26" t="s">
        <v>593</v>
      </c>
      <c r="AT405" s="26" t="s">
        <v>594</v>
      </c>
      <c r="AV405" s="2">
        <f t="array" ref="AV405">IF($A405="","",IF(INDEX($A405:$AT405,1,MAP!$B$3)=CurrentSeason,1,0))</f>
        <v>1</v>
      </c>
      <c r="AW405" s="2">
        <f t="shared" si="1"/>
        <v>115</v>
      </c>
    </row>
    <row r="406" ht="15.75" customHeight="1">
      <c r="A406" s="26" t="s">
        <v>1509</v>
      </c>
      <c r="B406" s="26">
        <v>2026.0</v>
      </c>
      <c r="C406" s="26" t="s">
        <v>390</v>
      </c>
      <c r="D406" s="26">
        <v>8.0</v>
      </c>
      <c r="E406" s="26">
        <v>46327.0</v>
      </c>
      <c r="F406" s="26" t="s">
        <v>419</v>
      </c>
      <c r="G406" s="26">
        <v>0.5416666666678793</v>
      </c>
      <c r="H406" s="26" t="s">
        <v>132</v>
      </c>
      <c r="J406" s="26" t="s">
        <v>150</v>
      </c>
      <c r="L406" s="26" t="s">
        <v>77</v>
      </c>
      <c r="P406" s="26">
        <v>2.026110107E9</v>
      </c>
      <c r="S406" s="26" t="s">
        <v>1510</v>
      </c>
      <c r="W406" s="26">
        <v>7.0</v>
      </c>
      <c r="X406" s="26">
        <v>7.0</v>
      </c>
      <c r="AG406" s="26">
        <v>1.0</v>
      </c>
      <c r="AH406" s="26" t="s">
        <v>395</v>
      </c>
      <c r="AI406" s="26" t="s">
        <v>396</v>
      </c>
      <c r="AP406" s="26" t="s">
        <v>428</v>
      </c>
      <c r="AQ406" s="26" t="s">
        <v>427</v>
      </c>
      <c r="AS406" s="26" t="s">
        <v>651</v>
      </c>
      <c r="AT406" s="26" t="s">
        <v>652</v>
      </c>
      <c r="AV406" s="26">
        <f t="array" ref="AV406">IF($A406="","",IF(INDEX($A406:$AT406,1,MAP!$B$3)=CurrentSeason,1,0))</f>
        <v>1</v>
      </c>
      <c r="AW406" s="26">
        <f t="shared" si="1"/>
        <v>116</v>
      </c>
    </row>
    <row r="407" ht="15.75" customHeight="1">
      <c r="A407" s="26" t="s">
        <v>1511</v>
      </c>
      <c r="B407" s="26">
        <v>2026.0</v>
      </c>
      <c r="C407" s="26" t="s">
        <v>390</v>
      </c>
      <c r="D407" s="26">
        <v>8.0</v>
      </c>
      <c r="E407" s="26">
        <v>46327.0</v>
      </c>
      <c r="F407" s="26" t="s">
        <v>419</v>
      </c>
      <c r="G407" s="26">
        <v>0.6701388888905058</v>
      </c>
      <c r="H407" s="26" t="s">
        <v>220</v>
      </c>
      <c r="J407" s="26" t="s">
        <v>142</v>
      </c>
      <c r="L407" s="26" t="s">
        <v>77</v>
      </c>
      <c r="P407" s="26">
        <v>2.026110108E9</v>
      </c>
      <c r="S407" s="26" t="s">
        <v>1512</v>
      </c>
      <c r="W407" s="26">
        <v>14.0</v>
      </c>
      <c r="X407" s="26">
        <v>7.0</v>
      </c>
      <c r="AG407" s="26">
        <v>0.0</v>
      </c>
      <c r="AH407" s="26" t="s">
        <v>409</v>
      </c>
      <c r="AI407" s="26" t="s">
        <v>531</v>
      </c>
      <c r="AP407" s="26" t="s">
        <v>413</v>
      </c>
      <c r="AQ407" s="26" t="s">
        <v>535</v>
      </c>
      <c r="AS407" s="26" t="s">
        <v>415</v>
      </c>
      <c r="AT407" s="26" t="s">
        <v>416</v>
      </c>
      <c r="AV407" s="26">
        <f t="array" ref="AV407">IF($A407="","",IF(INDEX($A407:$AT407,1,MAP!$B$3)=CurrentSeason,1,0))</f>
        <v>1</v>
      </c>
      <c r="AW407" s="26">
        <f t="shared" si="1"/>
        <v>117</v>
      </c>
    </row>
    <row r="408" ht="15.75" customHeight="1">
      <c r="A408" s="26" t="s">
        <v>1513</v>
      </c>
      <c r="B408" s="26">
        <v>2026.0</v>
      </c>
      <c r="C408" s="26" t="s">
        <v>390</v>
      </c>
      <c r="D408" s="26">
        <v>8.0</v>
      </c>
      <c r="E408" s="26">
        <v>46327.0</v>
      </c>
      <c r="F408" s="26" t="s">
        <v>419</v>
      </c>
      <c r="G408" s="26">
        <v>0.6840277777773736</v>
      </c>
      <c r="H408" s="26" t="s">
        <v>143</v>
      </c>
      <c r="J408" s="26" t="s">
        <v>139</v>
      </c>
      <c r="L408" s="26" t="s">
        <v>77</v>
      </c>
      <c r="P408" s="26">
        <v>2.026110109E9</v>
      </c>
      <c r="S408" s="26" t="s">
        <v>1514</v>
      </c>
      <c r="W408" s="26">
        <v>7.0</v>
      </c>
      <c r="X408" s="26">
        <v>7.0</v>
      </c>
      <c r="AG408" s="26">
        <v>1.0</v>
      </c>
      <c r="AH408" s="26" t="s">
        <v>395</v>
      </c>
      <c r="AI408" s="26" t="s">
        <v>396</v>
      </c>
      <c r="AP408" s="26" t="s">
        <v>412</v>
      </c>
      <c r="AQ408" s="26" t="s">
        <v>506</v>
      </c>
      <c r="AS408" s="26" t="s">
        <v>508</v>
      </c>
      <c r="AT408" s="26" t="s">
        <v>509</v>
      </c>
      <c r="AV408" s="26">
        <f t="array" ref="AV408">IF($A408="","",IF(INDEX($A408:$AT408,1,MAP!$B$3)=CurrentSeason,1,0))</f>
        <v>1</v>
      </c>
      <c r="AW408" s="26">
        <f t="shared" si="1"/>
        <v>118</v>
      </c>
    </row>
    <row r="409" ht="15.75" customHeight="1">
      <c r="A409" s="26" t="s">
        <v>1515</v>
      </c>
      <c r="B409" s="26">
        <v>2026.0</v>
      </c>
      <c r="C409" s="26" t="s">
        <v>390</v>
      </c>
      <c r="D409" s="26">
        <v>8.0</v>
      </c>
      <c r="E409" s="26">
        <v>46327.0</v>
      </c>
      <c r="F409" s="26" t="s">
        <v>419</v>
      </c>
      <c r="G409" s="26">
        <v>0.6840277777773736</v>
      </c>
      <c r="H409" s="26" t="s">
        <v>145</v>
      </c>
      <c r="J409" s="26" t="s">
        <v>225</v>
      </c>
      <c r="L409" s="26" t="s">
        <v>77</v>
      </c>
      <c r="P409" s="26">
        <v>2.02611011E9</v>
      </c>
      <c r="S409" s="26" t="s">
        <v>1516</v>
      </c>
      <c r="W409" s="26">
        <v>10.0</v>
      </c>
      <c r="X409" s="26">
        <v>7.0</v>
      </c>
      <c r="AG409" s="26">
        <v>1.0</v>
      </c>
      <c r="AH409" s="26" t="s">
        <v>395</v>
      </c>
      <c r="AI409" s="26" t="s">
        <v>396</v>
      </c>
      <c r="AP409" s="26" t="s">
        <v>465</v>
      </c>
      <c r="AQ409" s="26" t="s">
        <v>1293</v>
      </c>
      <c r="AS409" s="26" t="s">
        <v>583</v>
      </c>
      <c r="AT409" s="26" t="s">
        <v>584</v>
      </c>
      <c r="AV409" s="26">
        <f t="array" ref="AV409">IF($A409="","",IF(INDEX($A409:$AT409,1,MAP!$B$3)=CurrentSeason,1,0))</f>
        <v>1</v>
      </c>
      <c r="AW409" s="26">
        <f t="shared" si="1"/>
        <v>119</v>
      </c>
    </row>
    <row r="410" ht="15.75" customHeight="1">
      <c r="A410" s="26" t="s">
        <v>1517</v>
      </c>
      <c r="B410" s="26">
        <v>2026.0</v>
      </c>
      <c r="C410" s="26" t="s">
        <v>390</v>
      </c>
      <c r="D410" s="26">
        <v>8.0</v>
      </c>
      <c r="E410" s="26">
        <v>46327.0</v>
      </c>
      <c r="F410" s="26" t="s">
        <v>419</v>
      </c>
      <c r="G410" s="26">
        <v>0.8472222222226264</v>
      </c>
      <c r="H410" s="26" t="s">
        <v>147</v>
      </c>
      <c r="J410" s="26" t="s">
        <v>253</v>
      </c>
      <c r="L410" s="26" t="s">
        <v>77</v>
      </c>
      <c r="P410" s="26">
        <v>2.026110111E9</v>
      </c>
      <c r="S410" s="26" t="s">
        <v>1518</v>
      </c>
      <c r="W410" s="26">
        <v>6.0</v>
      </c>
      <c r="X410" s="26">
        <v>13.0</v>
      </c>
      <c r="AG410" s="26">
        <v>1.0</v>
      </c>
      <c r="AH410" s="26" t="s">
        <v>395</v>
      </c>
      <c r="AI410" s="26" t="s">
        <v>396</v>
      </c>
      <c r="AP410" s="26" t="s">
        <v>400</v>
      </c>
      <c r="AQ410" s="26" t="s">
        <v>496</v>
      </c>
      <c r="AS410" s="26" t="s">
        <v>498</v>
      </c>
      <c r="AT410" s="26" t="s">
        <v>1357</v>
      </c>
      <c r="AV410" s="26">
        <f t="array" ref="AV410">IF($A410="","",IF(INDEX($A410:$AT410,1,MAP!$B$3)=CurrentSeason,1,0))</f>
        <v>1</v>
      </c>
      <c r="AW410" s="26">
        <f t="shared" si="1"/>
        <v>120</v>
      </c>
    </row>
    <row r="411" ht="15.75" customHeight="1">
      <c r="A411" s="26" t="s">
        <v>1519</v>
      </c>
      <c r="B411" s="26">
        <v>2026.0</v>
      </c>
      <c r="C411" s="26" t="s">
        <v>390</v>
      </c>
      <c r="D411" s="26">
        <v>8.0</v>
      </c>
      <c r="E411" s="26">
        <v>46328.0</v>
      </c>
      <c r="F411" s="26" t="s">
        <v>549</v>
      </c>
      <c r="G411" s="26">
        <v>0.84375</v>
      </c>
      <c r="H411" s="26" t="s">
        <v>137</v>
      </c>
      <c r="J411" s="26" t="s">
        <v>149</v>
      </c>
      <c r="L411" s="26" t="s">
        <v>77</v>
      </c>
      <c r="P411" s="26">
        <v>2.0261102E9</v>
      </c>
      <c r="S411" s="26" t="s">
        <v>1520</v>
      </c>
      <c r="W411" s="26">
        <v>11.0</v>
      </c>
      <c r="X411" s="26">
        <v>8.0</v>
      </c>
      <c r="AG411" s="26">
        <v>0.0</v>
      </c>
      <c r="AH411" s="26" t="s">
        <v>395</v>
      </c>
      <c r="AI411" s="26" t="s">
        <v>423</v>
      </c>
      <c r="AP411" s="26" t="s">
        <v>556</v>
      </c>
      <c r="AQ411" s="26" t="s">
        <v>515</v>
      </c>
      <c r="AS411" s="26" t="s">
        <v>517</v>
      </c>
      <c r="AT411" s="26" t="s">
        <v>518</v>
      </c>
      <c r="AV411" s="26">
        <f t="array" ref="AV411">IF($A411="","",IF(INDEX($A411:$AT411,1,MAP!$B$3)=CurrentSeason,1,0))</f>
        <v>1</v>
      </c>
      <c r="AW411" s="26">
        <f t="shared" si="1"/>
        <v>121</v>
      </c>
    </row>
    <row r="412" ht="15.75" customHeight="1">
      <c r="A412" s="26" t="s">
        <v>1521</v>
      </c>
      <c r="B412" s="26">
        <v>2026.0</v>
      </c>
      <c r="C412" s="26" t="s">
        <v>390</v>
      </c>
      <c r="D412" s="26">
        <v>9.0</v>
      </c>
      <c r="E412" s="26">
        <v>46331.0</v>
      </c>
      <c r="F412" s="26" t="s">
        <v>392</v>
      </c>
      <c r="G412" s="26">
        <v>0.84375</v>
      </c>
      <c r="H412" s="26" t="s">
        <v>141</v>
      </c>
      <c r="J412" s="26" t="s">
        <v>148</v>
      </c>
      <c r="L412" s="26" t="s">
        <v>77</v>
      </c>
      <c r="P412" s="26">
        <v>2.0261105E9</v>
      </c>
      <c r="S412" s="26" t="s">
        <v>1522</v>
      </c>
      <c r="W412" s="26">
        <v>4.0</v>
      </c>
      <c r="X412" s="26">
        <v>4.0</v>
      </c>
      <c r="AG412" s="26">
        <v>0.0</v>
      </c>
      <c r="AH412" s="26" t="s">
        <v>395</v>
      </c>
      <c r="AI412" s="26" t="s">
        <v>396</v>
      </c>
      <c r="AP412" s="26" t="s">
        <v>456</v>
      </c>
      <c r="AQ412" s="26" t="s">
        <v>1278</v>
      </c>
      <c r="AS412" s="26" t="s">
        <v>567</v>
      </c>
      <c r="AT412" s="26" t="s">
        <v>568</v>
      </c>
      <c r="AV412" s="26">
        <f t="array" ref="AV412">IF($A412="","",IF(INDEX($A412:$AT412,1,MAP!$B$3)=CurrentSeason,1,0))</f>
        <v>1</v>
      </c>
      <c r="AW412" s="26">
        <f t="shared" si="1"/>
        <v>122</v>
      </c>
    </row>
    <row r="413" ht="15.75" customHeight="1">
      <c r="A413" s="26" t="s">
        <v>1523</v>
      </c>
      <c r="B413" s="26">
        <v>2026.0</v>
      </c>
      <c r="C413" s="26" t="s">
        <v>390</v>
      </c>
      <c r="D413" s="26">
        <v>9.0</v>
      </c>
      <c r="E413" s="26">
        <v>46334.0</v>
      </c>
      <c r="F413" s="26" t="s">
        <v>419</v>
      </c>
      <c r="G413" s="26">
        <v>0.3958333333321207</v>
      </c>
      <c r="H413" s="26" t="s">
        <v>138</v>
      </c>
      <c r="J413" s="26" t="s">
        <v>132</v>
      </c>
      <c r="L413" s="26" t="s">
        <v>78</v>
      </c>
      <c r="P413" s="26">
        <v>2.0261108E9</v>
      </c>
      <c r="S413" s="26" t="s">
        <v>1524</v>
      </c>
      <c r="W413" s="26">
        <v>7.0</v>
      </c>
      <c r="X413" s="26">
        <v>7.0</v>
      </c>
      <c r="AG413" s="26">
        <v>0.0</v>
      </c>
      <c r="AI413" s="26" t="s">
        <v>423</v>
      </c>
      <c r="AP413" s="26" t="s">
        <v>437</v>
      </c>
      <c r="AQ413" s="26" t="s">
        <v>428</v>
      </c>
      <c r="AS413" s="26" t="s">
        <v>430</v>
      </c>
      <c r="AT413" s="26" t="s">
        <v>1525</v>
      </c>
      <c r="AV413" s="26">
        <f t="array" ref="AV413">IF($A413="","",IF(INDEX($A413:$AT413,1,MAP!$B$3)=CurrentSeason,1,0))</f>
        <v>1</v>
      </c>
      <c r="AW413" s="26">
        <f t="shared" si="1"/>
        <v>123</v>
      </c>
    </row>
    <row r="414" ht="15.75" customHeight="1">
      <c r="A414" s="26" t="s">
        <v>1526</v>
      </c>
      <c r="B414" s="26">
        <v>2026.0</v>
      </c>
      <c r="C414" s="26" t="s">
        <v>390</v>
      </c>
      <c r="D414" s="26">
        <v>9.0</v>
      </c>
      <c r="E414" s="26">
        <v>46334.0</v>
      </c>
      <c r="F414" s="26" t="s">
        <v>419</v>
      </c>
      <c r="G414" s="26">
        <v>0.5416666666678793</v>
      </c>
      <c r="H414" s="26" t="s">
        <v>139</v>
      </c>
      <c r="J414" s="26" t="s">
        <v>189</v>
      </c>
      <c r="L414" s="26" t="s">
        <v>77</v>
      </c>
      <c r="P414" s="26">
        <v>2.026110801E9</v>
      </c>
      <c r="S414" s="26" t="s">
        <v>1527</v>
      </c>
      <c r="W414" s="26">
        <v>7.0</v>
      </c>
      <c r="X414" s="26">
        <v>10.0</v>
      </c>
      <c r="AG414" s="26">
        <v>0.0</v>
      </c>
      <c r="AH414" s="26" t="s">
        <v>395</v>
      </c>
      <c r="AI414" s="26" t="s">
        <v>396</v>
      </c>
      <c r="AP414" s="26" t="s">
        <v>506</v>
      </c>
      <c r="AQ414" s="26" t="s">
        <v>455</v>
      </c>
      <c r="AS414" s="26" t="s">
        <v>631</v>
      </c>
      <c r="AT414" s="26" t="s">
        <v>632</v>
      </c>
      <c r="AV414" s="26">
        <f t="array" ref="AV414">IF($A414="","",IF(INDEX($A414:$AT414,1,MAP!$B$3)=CurrentSeason,1,0))</f>
        <v>1</v>
      </c>
      <c r="AW414" s="26">
        <f t="shared" si="1"/>
        <v>124</v>
      </c>
    </row>
    <row r="415" ht="15.75" customHeight="1">
      <c r="A415" s="26" t="s">
        <v>1528</v>
      </c>
      <c r="B415" s="26">
        <v>2026.0</v>
      </c>
      <c r="C415" s="26" t="s">
        <v>390</v>
      </c>
      <c r="D415" s="26">
        <v>9.0</v>
      </c>
      <c r="E415" s="26">
        <v>46334.0</v>
      </c>
      <c r="F415" s="26" t="s">
        <v>419</v>
      </c>
      <c r="G415" s="26">
        <v>0.5416666666678793</v>
      </c>
      <c r="H415" s="26" t="s">
        <v>146</v>
      </c>
      <c r="J415" s="26" t="s">
        <v>210</v>
      </c>
      <c r="L415" s="26" t="s">
        <v>77</v>
      </c>
      <c r="P415" s="26">
        <v>2.026110802E9</v>
      </c>
      <c r="S415" s="26" t="s">
        <v>1529</v>
      </c>
      <c r="W415" s="26">
        <v>7.0</v>
      </c>
      <c r="X415" s="26">
        <v>7.0</v>
      </c>
      <c r="AG415" s="26">
        <v>0.0</v>
      </c>
      <c r="AI415" s="26" t="s">
        <v>423</v>
      </c>
      <c r="AP415" s="26" t="s">
        <v>399</v>
      </c>
      <c r="AQ415" s="26" t="s">
        <v>447</v>
      </c>
      <c r="AS415" s="26" t="s">
        <v>449</v>
      </c>
      <c r="AT415" s="26" t="s">
        <v>450</v>
      </c>
      <c r="AV415" s="26">
        <f t="array" ref="AV415">IF($A415="","",IF(INDEX($A415:$AT415,1,MAP!$B$3)=CurrentSeason,1,0))</f>
        <v>1</v>
      </c>
      <c r="AW415" s="26">
        <f t="shared" si="1"/>
        <v>125</v>
      </c>
    </row>
    <row r="416" ht="15.75" customHeight="1">
      <c r="A416" s="26" t="s">
        <v>1530</v>
      </c>
      <c r="B416" s="26">
        <v>2026.0</v>
      </c>
      <c r="C416" s="26" t="s">
        <v>390</v>
      </c>
      <c r="D416" s="26">
        <v>9.0</v>
      </c>
      <c r="E416" s="26">
        <v>46334.0</v>
      </c>
      <c r="F416" s="26" t="s">
        <v>419</v>
      </c>
      <c r="G416" s="26">
        <v>0.5416666666678793</v>
      </c>
      <c r="H416" s="26" t="s">
        <v>238</v>
      </c>
      <c r="J416" s="26" t="s">
        <v>143</v>
      </c>
      <c r="L416" s="26" t="s">
        <v>77</v>
      </c>
      <c r="P416" s="26">
        <v>2.026110803E9</v>
      </c>
      <c r="S416" s="26" t="s">
        <v>1531</v>
      </c>
      <c r="W416" s="26">
        <v>7.0</v>
      </c>
      <c r="X416" s="26">
        <v>7.0</v>
      </c>
      <c r="AG416" s="26">
        <v>0.0</v>
      </c>
      <c r="AH416" s="26" t="s">
        <v>395</v>
      </c>
      <c r="AI416" s="26" t="s">
        <v>396</v>
      </c>
      <c r="AP416" s="26" t="s">
        <v>486</v>
      </c>
      <c r="AQ416" s="26" t="s">
        <v>412</v>
      </c>
      <c r="AS416" s="26" t="s">
        <v>607</v>
      </c>
      <c r="AT416" s="26" t="s">
        <v>608</v>
      </c>
      <c r="AV416" s="26">
        <f t="array" ref="AV416">IF($A416="","",IF(INDEX($A416:$AT416,1,MAP!$B$3)=CurrentSeason,1,0))</f>
        <v>1</v>
      </c>
      <c r="AW416" s="26">
        <f t="shared" si="1"/>
        <v>126</v>
      </c>
    </row>
    <row r="417" ht="15.75" customHeight="1">
      <c r="A417" s="26" t="s">
        <v>1532</v>
      </c>
      <c r="B417" s="26">
        <v>2026.0</v>
      </c>
      <c r="C417" s="26" t="s">
        <v>390</v>
      </c>
      <c r="D417" s="26">
        <v>9.0</v>
      </c>
      <c r="E417" s="26">
        <v>46334.0</v>
      </c>
      <c r="F417" s="26" t="s">
        <v>419</v>
      </c>
      <c r="G417" s="26">
        <v>0.5416666666678793</v>
      </c>
      <c r="H417" s="26" t="s">
        <v>202</v>
      </c>
      <c r="J417" s="26" t="s">
        <v>225</v>
      </c>
      <c r="L417" s="26" t="s">
        <v>77</v>
      </c>
      <c r="P417" s="26">
        <v>2.026110804E9</v>
      </c>
      <c r="S417" s="26" t="s">
        <v>1533</v>
      </c>
      <c r="W417" s="26">
        <v>7.0</v>
      </c>
      <c r="X417" s="26">
        <v>7.0</v>
      </c>
      <c r="AG417" s="26">
        <v>0.0</v>
      </c>
      <c r="AH417" s="26" t="s">
        <v>395</v>
      </c>
      <c r="AI417" s="26" t="s">
        <v>396</v>
      </c>
      <c r="AP417" s="26" t="s">
        <v>524</v>
      </c>
      <c r="AQ417" s="26" t="s">
        <v>1293</v>
      </c>
      <c r="AS417" s="26" t="s">
        <v>583</v>
      </c>
      <c r="AT417" s="26" t="s">
        <v>584</v>
      </c>
      <c r="AV417" s="26">
        <f t="array" ref="AV417">IF($A417="","",IF(INDEX($A417:$AT417,1,MAP!$B$3)=CurrentSeason,1,0))</f>
        <v>1</v>
      </c>
      <c r="AW417" s="26">
        <f t="shared" si="1"/>
        <v>127</v>
      </c>
    </row>
    <row r="418" ht="15.75" customHeight="1">
      <c r="A418" s="26" t="s">
        <v>1534</v>
      </c>
      <c r="B418" s="26">
        <v>2026.0</v>
      </c>
      <c r="C418" s="26" t="s">
        <v>390</v>
      </c>
      <c r="D418" s="26">
        <v>9.0</v>
      </c>
      <c r="E418" s="26">
        <v>46334.0</v>
      </c>
      <c r="F418" s="26" t="s">
        <v>419</v>
      </c>
      <c r="G418" s="26">
        <v>0.5416666666678793</v>
      </c>
      <c r="H418" s="26" t="s">
        <v>196</v>
      </c>
      <c r="J418" s="26" t="s">
        <v>232</v>
      </c>
      <c r="L418" s="26" t="s">
        <v>77</v>
      </c>
      <c r="P418" s="26">
        <v>2.026110805E9</v>
      </c>
      <c r="S418" s="26" t="s">
        <v>1535</v>
      </c>
      <c r="W418" s="26">
        <v>7.0</v>
      </c>
      <c r="X418" s="26">
        <v>14.0</v>
      </c>
      <c r="AG418" s="26">
        <v>0.0</v>
      </c>
      <c r="AH418" s="26" t="s">
        <v>409</v>
      </c>
      <c r="AI418" s="26" t="s">
        <v>471</v>
      </c>
      <c r="AP418" s="26" t="s">
        <v>1281</v>
      </c>
      <c r="AQ418" s="26" t="s">
        <v>476</v>
      </c>
      <c r="AS418" s="26" t="s">
        <v>478</v>
      </c>
      <c r="AT418" s="26" t="s">
        <v>1367</v>
      </c>
      <c r="AV418" s="26">
        <f t="array" ref="AV418">IF($A418="","",IF(INDEX($A418:$AT418,1,MAP!$B$3)=CurrentSeason,1,0))</f>
        <v>1</v>
      </c>
      <c r="AW418" s="26">
        <f t="shared" si="1"/>
        <v>128</v>
      </c>
    </row>
    <row r="419" ht="15.75" customHeight="1">
      <c r="A419" s="26" t="s">
        <v>1536</v>
      </c>
      <c r="B419" s="26">
        <v>2026.0</v>
      </c>
      <c r="C419" s="26" t="s">
        <v>390</v>
      </c>
      <c r="D419" s="26">
        <v>9.0</v>
      </c>
      <c r="E419" s="26">
        <v>46334.0</v>
      </c>
      <c r="F419" s="26" t="s">
        <v>419</v>
      </c>
      <c r="G419" s="26">
        <v>0.5416666666678793</v>
      </c>
      <c r="H419" s="26" t="s">
        <v>235</v>
      </c>
      <c r="J419" s="26" t="s">
        <v>147</v>
      </c>
      <c r="L419" s="26" t="s">
        <v>77</v>
      </c>
      <c r="P419" s="26">
        <v>2.026110806E9</v>
      </c>
      <c r="S419" s="26" t="s">
        <v>1537</v>
      </c>
      <c r="W419" s="26">
        <v>14.0</v>
      </c>
      <c r="X419" s="26">
        <v>7.0</v>
      </c>
      <c r="AG419" s="26">
        <v>1.0</v>
      </c>
      <c r="AH419" s="26" t="s">
        <v>395</v>
      </c>
      <c r="AI419" s="26" t="s">
        <v>396</v>
      </c>
      <c r="AP419" s="26" t="s">
        <v>542</v>
      </c>
      <c r="AQ419" s="26" t="s">
        <v>400</v>
      </c>
      <c r="AS419" s="26" t="s">
        <v>402</v>
      </c>
      <c r="AT419" s="26" t="s">
        <v>403</v>
      </c>
      <c r="AV419" s="26">
        <f t="array" ref="AV419">IF($A419="","",IF(INDEX($A419:$AT419,1,MAP!$B$3)=CurrentSeason,1,0))</f>
        <v>1</v>
      </c>
      <c r="AW419" s="26">
        <f t="shared" si="1"/>
        <v>129</v>
      </c>
    </row>
    <row r="420" ht="15.75" customHeight="1">
      <c r="A420" s="26" t="s">
        <v>1538</v>
      </c>
      <c r="B420" s="26">
        <v>2026.0</v>
      </c>
      <c r="C420" s="26" t="s">
        <v>390</v>
      </c>
      <c r="D420" s="26">
        <v>9.0</v>
      </c>
      <c r="E420" s="26">
        <v>46334.0</v>
      </c>
      <c r="F420" s="26" t="s">
        <v>419</v>
      </c>
      <c r="G420" s="26">
        <v>0.5416666666678793</v>
      </c>
      <c r="H420" s="26" t="s">
        <v>142</v>
      </c>
      <c r="J420" s="26" t="s">
        <v>253</v>
      </c>
      <c r="L420" s="26" t="s">
        <v>77</v>
      </c>
      <c r="P420" s="26">
        <v>2.026110807E9</v>
      </c>
      <c r="S420" s="26" t="s">
        <v>1539</v>
      </c>
      <c r="W420" s="26">
        <v>7.0</v>
      </c>
      <c r="X420" s="26">
        <v>7.0</v>
      </c>
      <c r="AG420" s="26">
        <v>0.0</v>
      </c>
      <c r="AH420" s="26" t="s">
        <v>395</v>
      </c>
      <c r="AI420" s="26" t="s">
        <v>396</v>
      </c>
      <c r="AP420" s="26" t="s">
        <v>535</v>
      </c>
      <c r="AQ420" s="26" t="s">
        <v>496</v>
      </c>
      <c r="AS420" s="26" t="s">
        <v>498</v>
      </c>
      <c r="AT420" s="26" t="s">
        <v>1357</v>
      </c>
      <c r="AV420" s="26">
        <f t="array" ref="AV420">IF($A420="","",IF(INDEX($A420:$AT420,1,MAP!$B$3)=CurrentSeason,1,0))</f>
        <v>1</v>
      </c>
      <c r="AW420" s="26">
        <f t="shared" si="1"/>
        <v>130</v>
      </c>
    </row>
    <row r="421" ht="15.75" customHeight="1">
      <c r="A421" s="26" t="s">
        <v>1540</v>
      </c>
      <c r="B421" s="26">
        <v>2026.0</v>
      </c>
      <c r="C421" s="26" t="s">
        <v>390</v>
      </c>
      <c r="D421" s="26">
        <v>9.0</v>
      </c>
      <c r="E421" s="26">
        <v>46334.0</v>
      </c>
      <c r="F421" s="26" t="s">
        <v>419</v>
      </c>
      <c r="G421" s="26">
        <v>0.6701388888905058</v>
      </c>
      <c r="H421" s="26" t="s">
        <v>140</v>
      </c>
      <c r="J421" s="26" t="s">
        <v>220</v>
      </c>
      <c r="L421" s="26" t="s">
        <v>77</v>
      </c>
      <c r="P421" s="26">
        <v>2.026110808E9</v>
      </c>
      <c r="S421" s="26" t="s">
        <v>1541</v>
      </c>
      <c r="W421" s="26">
        <v>14.0</v>
      </c>
      <c r="X421" s="26">
        <v>7.0</v>
      </c>
      <c r="AG421" s="26">
        <v>0.0</v>
      </c>
      <c r="AH421" s="26" t="s">
        <v>409</v>
      </c>
      <c r="AI421" s="26" t="s">
        <v>531</v>
      </c>
      <c r="AP421" s="26" t="s">
        <v>534</v>
      </c>
      <c r="AQ421" s="26" t="s">
        <v>413</v>
      </c>
      <c r="AS421" s="26" t="s">
        <v>415</v>
      </c>
      <c r="AT421" s="26" t="s">
        <v>416</v>
      </c>
      <c r="AV421" s="26">
        <f t="array" ref="AV421">IF($A421="","",IF(INDEX($A421:$AT421,1,MAP!$B$3)=CurrentSeason,1,0))</f>
        <v>1</v>
      </c>
      <c r="AW421" s="26">
        <f t="shared" si="1"/>
        <v>131</v>
      </c>
    </row>
    <row r="422" ht="15.75" customHeight="1">
      <c r="A422" s="26" t="s">
        <v>1542</v>
      </c>
      <c r="B422" s="26">
        <v>2026.0</v>
      </c>
      <c r="C422" s="26" t="s">
        <v>390</v>
      </c>
      <c r="D422" s="26">
        <v>9.0</v>
      </c>
      <c r="E422" s="26">
        <v>46334.0</v>
      </c>
      <c r="F422" s="26" t="s">
        <v>419</v>
      </c>
      <c r="G422" s="26">
        <v>0.6701388888905058</v>
      </c>
      <c r="H422" s="26" t="s">
        <v>222</v>
      </c>
      <c r="J422" s="26" t="s">
        <v>246</v>
      </c>
      <c r="L422" s="26" t="s">
        <v>77</v>
      </c>
      <c r="P422" s="26">
        <v>2.026110809E9</v>
      </c>
      <c r="S422" s="26" t="s">
        <v>1543</v>
      </c>
      <c r="W422" s="26">
        <v>7.0</v>
      </c>
      <c r="X422" s="26">
        <v>14.0</v>
      </c>
      <c r="AG422" s="26">
        <v>0.0</v>
      </c>
      <c r="AH422" s="26" t="s">
        <v>395</v>
      </c>
      <c r="AI422" s="26" t="s">
        <v>396</v>
      </c>
      <c r="AP422" s="26" t="s">
        <v>1294</v>
      </c>
      <c r="AQ422" s="26" t="s">
        <v>514</v>
      </c>
      <c r="AS422" s="26" t="s">
        <v>667</v>
      </c>
      <c r="AT422" s="26" t="s">
        <v>668</v>
      </c>
      <c r="AV422" s="26">
        <f t="array" ref="AV422">IF($A422="","",IF(INDEX($A422:$AT422,1,MAP!$B$3)=CurrentSeason,1,0))</f>
        <v>1</v>
      </c>
      <c r="AW422" s="26">
        <f t="shared" si="1"/>
        <v>132</v>
      </c>
    </row>
    <row r="423" ht="15.75" customHeight="1">
      <c r="A423" s="26" t="s">
        <v>1544</v>
      </c>
      <c r="B423" s="26">
        <v>2026.0</v>
      </c>
      <c r="C423" s="26" t="s">
        <v>390</v>
      </c>
      <c r="D423" s="26">
        <v>9.0</v>
      </c>
      <c r="E423" s="26">
        <v>46334.0</v>
      </c>
      <c r="F423" s="26" t="s">
        <v>419</v>
      </c>
      <c r="G423" s="26">
        <v>0.6840277777773736</v>
      </c>
      <c r="H423" s="26" t="s">
        <v>205</v>
      </c>
      <c r="J423" s="26" t="s">
        <v>145</v>
      </c>
      <c r="L423" s="26" t="s">
        <v>77</v>
      </c>
      <c r="P423" s="26">
        <v>2.02611081E9</v>
      </c>
      <c r="S423" s="26" t="s">
        <v>1545</v>
      </c>
      <c r="W423" s="26">
        <v>10.0</v>
      </c>
      <c r="X423" s="26">
        <v>7.0</v>
      </c>
      <c r="AG423" s="26">
        <v>0.0</v>
      </c>
      <c r="AH423" s="26" t="s">
        <v>395</v>
      </c>
      <c r="AI423" s="26" t="s">
        <v>423</v>
      </c>
      <c r="AP423" s="26" t="s">
        <v>525</v>
      </c>
      <c r="AQ423" s="26" t="s">
        <v>465</v>
      </c>
      <c r="AS423" s="26" t="s">
        <v>467</v>
      </c>
      <c r="AT423" s="26" t="s">
        <v>468</v>
      </c>
      <c r="AV423" s="26">
        <f t="array" ref="AV423">IF($A423="","",IF(INDEX($A423:$AT423,1,MAP!$B$3)=CurrentSeason,1,0))</f>
        <v>1</v>
      </c>
      <c r="AW423" s="26">
        <f t="shared" si="1"/>
        <v>133</v>
      </c>
    </row>
    <row r="424" ht="15.75" customHeight="1">
      <c r="A424" s="26" t="s">
        <v>1546</v>
      </c>
      <c r="B424" s="26">
        <v>2026.0</v>
      </c>
      <c r="C424" s="26" t="s">
        <v>390</v>
      </c>
      <c r="D424" s="26">
        <v>9.0</v>
      </c>
      <c r="E424" s="26">
        <v>46334.0</v>
      </c>
      <c r="F424" s="26" t="s">
        <v>419</v>
      </c>
      <c r="G424" s="26">
        <v>0.6840277777773736</v>
      </c>
      <c r="H424" s="26" t="s">
        <v>178</v>
      </c>
      <c r="J424" s="26" t="s">
        <v>149</v>
      </c>
      <c r="L424" s="26" t="s">
        <v>77</v>
      </c>
      <c r="P424" s="26">
        <v>2.026110811E9</v>
      </c>
      <c r="S424" s="26" t="s">
        <v>1547</v>
      </c>
      <c r="W424" s="26">
        <v>7.0</v>
      </c>
      <c r="X424" s="26">
        <v>6.0</v>
      </c>
      <c r="AG424" s="26">
        <v>1.0</v>
      </c>
      <c r="AH424" s="26" t="s">
        <v>395</v>
      </c>
      <c r="AI424" s="26" t="s">
        <v>423</v>
      </c>
      <c r="AP424" s="26" t="s">
        <v>475</v>
      </c>
      <c r="AQ424" s="26" t="s">
        <v>515</v>
      </c>
      <c r="AS424" s="26" t="s">
        <v>517</v>
      </c>
      <c r="AT424" s="26" t="s">
        <v>518</v>
      </c>
      <c r="AV424" s="26">
        <f t="array" ref="AV424">IF($A424="","",IF(INDEX($A424:$AT424,1,MAP!$B$3)=CurrentSeason,1,0))</f>
        <v>1</v>
      </c>
      <c r="AW424" s="26">
        <f t="shared" si="1"/>
        <v>134</v>
      </c>
    </row>
    <row r="425" ht="15.75" customHeight="1">
      <c r="A425" s="26" t="s">
        <v>1548</v>
      </c>
      <c r="B425" s="26">
        <v>2026.0</v>
      </c>
      <c r="C425" s="26" t="s">
        <v>390</v>
      </c>
      <c r="D425" s="26">
        <v>9.0</v>
      </c>
      <c r="E425" s="26">
        <v>46334.0</v>
      </c>
      <c r="F425" s="26" t="s">
        <v>419</v>
      </c>
      <c r="G425" s="26">
        <v>0.8472222222226264</v>
      </c>
      <c r="H425" s="26" t="s">
        <v>150</v>
      </c>
      <c r="J425" s="26" t="s">
        <v>137</v>
      </c>
      <c r="L425" s="26" t="s">
        <v>77</v>
      </c>
      <c r="P425" s="26">
        <v>2.026110812E9</v>
      </c>
      <c r="S425" s="26" t="s">
        <v>1549</v>
      </c>
      <c r="W425" s="26">
        <v>7.0</v>
      </c>
      <c r="X425" s="26">
        <v>6.0</v>
      </c>
      <c r="AG425" s="26">
        <v>0.0</v>
      </c>
      <c r="AH425" s="26" t="s">
        <v>395</v>
      </c>
      <c r="AI425" s="26" t="s">
        <v>396</v>
      </c>
      <c r="AP425" s="26" t="s">
        <v>427</v>
      </c>
      <c r="AQ425" s="26" t="s">
        <v>556</v>
      </c>
      <c r="AS425" s="26" t="s">
        <v>558</v>
      </c>
      <c r="AT425" s="26" t="s">
        <v>559</v>
      </c>
      <c r="AV425" s="26">
        <f t="array" ref="AV425">IF($A425="","",IF(INDEX($A425:$AT425,1,MAP!$B$3)=CurrentSeason,1,0))</f>
        <v>1</v>
      </c>
      <c r="AW425" s="26">
        <f t="shared" si="1"/>
        <v>135</v>
      </c>
    </row>
    <row r="426" ht="15.75" customHeight="1">
      <c r="A426" s="26" t="s">
        <v>1550</v>
      </c>
      <c r="B426" s="26">
        <v>2026.0</v>
      </c>
      <c r="C426" s="26" t="s">
        <v>390</v>
      </c>
      <c r="D426" s="26">
        <v>9.0</v>
      </c>
      <c r="E426" s="26">
        <v>46335.0</v>
      </c>
      <c r="F426" s="26" t="s">
        <v>549</v>
      </c>
      <c r="G426" s="26">
        <v>0.84375</v>
      </c>
      <c r="H426" s="26" t="s">
        <v>136</v>
      </c>
      <c r="J426" s="26" t="s">
        <v>144</v>
      </c>
      <c r="L426" s="26" t="s">
        <v>77</v>
      </c>
      <c r="P426" s="26">
        <v>2.0261109E9</v>
      </c>
      <c r="S426" s="26" t="s">
        <v>1551</v>
      </c>
      <c r="W426" s="26">
        <v>8.0</v>
      </c>
      <c r="X426" s="26">
        <v>8.0</v>
      </c>
      <c r="AG426" s="26">
        <v>0.0</v>
      </c>
      <c r="AH426" s="26" t="s">
        <v>409</v>
      </c>
      <c r="AI426" s="26" t="s">
        <v>471</v>
      </c>
      <c r="AP426" s="26" t="s">
        <v>543</v>
      </c>
      <c r="AQ426" s="26" t="s">
        <v>555</v>
      </c>
      <c r="AS426" s="26" t="s">
        <v>611</v>
      </c>
      <c r="AT426" s="26" t="s">
        <v>612</v>
      </c>
      <c r="AV426" s="26">
        <f t="array" ref="AV426">IF($A426="","",IF(INDEX($A426:$AT426,1,MAP!$B$3)=CurrentSeason,1,0))</f>
        <v>1</v>
      </c>
      <c r="AW426" s="26">
        <f t="shared" si="1"/>
        <v>136</v>
      </c>
    </row>
    <row r="427" ht="15.75" customHeight="1">
      <c r="A427" s="26" t="s">
        <v>1552</v>
      </c>
      <c r="B427" s="26">
        <v>2026.0</v>
      </c>
      <c r="C427" s="26" t="s">
        <v>390</v>
      </c>
      <c r="D427" s="26">
        <v>10.0</v>
      </c>
      <c r="E427" s="26">
        <v>46338.0</v>
      </c>
      <c r="F427" s="26" t="s">
        <v>392</v>
      </c>
      <c r="G427" s="26">
        <v>0.84375</v>
      </c>
      <c r="H427" s="26" t="s">
        <v>253</v>
      </c>
      <c r="J427" s="26" t="s">
        <v>235</v>
      </c>
      <c r="L427" s="26" t="s">
        <v>77</v>
      </c>
      <c r="P427" s="26">
        <v>2.0261112E9</v>
      </c>
      <c r="S427" s="26" t="s">
        <v>1553</v>
      </c>
      <c r="W427" s="26">
        <v>4.0</v>
      </c>
      <c r="X427" s="26">
        <v>4.0</v>
      </c>
      <c r="AG427" s="26">
        <v>1.0</v>
      </c>
      <c r="AH427" s="26" t="s">
        <v>395</v>
      </c>
      <c r="AI427" s="26" t="s">
        <v>423</v>
      </c>
      <c r="AP427" s="26" t="s">
        <v>496</v>
      </c>
      <c r="AQ427" s="26" t="s">
        <v>542</v>
      </c>
      <c r="AS427" s="26" t="s">
        <v>488</v>
      </c>
      <c r="AT427" s="26" t="s">
        <v>489</v>
      </c>
      <c r="AV427" s="26">
        <f t="array" ref="AV427">IF($A427="","",IF(INDEX($A427:$AT427,1,MAP!$B$3)=CurrentSeason,1,0))</f>
        <v>1</v>
      </c>
      <c r="AW427" s="26">
        <f t="shared" si="1"/>
        <v>137</v>
      </c>
    </row>
    <row r="428" ht="15.75" customHeight="1">
      <c r="A428" s="26" t="s">
        <v>1554</v>
      </c>
      <c r="B428" s="26">
        <v>2026.0</v>
      </c>
      <c r="C428" s="26" t="s">
        <v>390</v>
      </c>
      <c r="D428" s="26">
        <v>10.0</v>
      </c>
      <c r="E428" s="26">
        <v>46341.0</v>
      </c>
      <c r="F428" s="26" t="s">
        <v>419</v>
      </c>
      <c r="G428" s="26">
        <v>0.3958333333321207</v>
      </c>
      <c r="H428" s="26" t="s">
        <v>145</v>
      </c>
      <c r="J428" s="26" t="s">
        <v>202</v>
      </c>
      <c r="L428" s="26" t="s">
        <v>78</v>
      </c>
      <c r="P428" s="26">
        <v>2.0261115E9</v>
      </c>
      <c r="S428" s="26" t="s">
        <v>1555</v>
      </c>
      <c r="W428" s="26">
        <v>7.0</v>
      </c>
      <c r="X428" s="26">
        <v>7.0</v>
      </c>
      <c r="AG428" s="26">
        <v>0.0</v>
      </c>
      <c r="AH428" s="26" t="s">
        <v>409</v>
      </c>
      <c r="AI428" s="26" t="s">
        <v>423</v>
      </c>
      <c r="AP428" s="26" t="s">
        <v>465</v>
      </c>
      <c r="AQ428" s="26" t="s">
        <v>524</v>
      </c>
      <c r="AS428" s="26" t="s">
        <v>579</v>
      </c>
      <c r="AT428" s="26" t="s">
        <v>1556</v>
      </c>
      <c r="AV428" s="26">
        <f t="array" ref="AV428">IF($A428="","",IF(INDEX($A428:$AT428,1,MAP!$B$3)=CurrentSeason,1,0))</f>
        <v>1</v>
      </c>
      <c r="AW428" s="26">
        <f t="shared" si="1"/>
        <v>138</v>
      </c>
    </row>
    <row r="429" ht="15.75" customHeight="1">
      <c r="A429" s="26" t="s">
        <v>1557</v>
      </c>
      <c r="B429" s="26">
        <v>2026.0</v>
      </c>
      <c r="C429" s="26" t="s">
        <v>390</v>
      </c>
      <c r="D429" s="26">
        <v>10.0</v>
      </c>
      <c r="E429" s="26">
        <v>46341.0</v>
      </c>
      <c r="F429" s="26" t="s">
        <v>419</v>
      </c>
      <c r="G429" s="26">
        <v>0.5416666666678793</v>
      </c>
      <c r="H429" s="26" t="s">
        <v>143</v>
      </c>
      <c r="J429" s="26" t="s">
        <v>132</v>
      </c>
      <c r="L429" s="26" t="s">
        <v>77</v>
      </c>
      <c r="P429" s="26">
        <v>2.026111501E9</v>
      </c>
      <c r="S429" s="26" t="s">
        <v>1558</v>
      </c>
      <c r="W429" s="26">
        <v>7.0</v>
      </c>
      <c r="X429" s="26">
        <v>7.0</v>
      </c>
      <c r="AG429" s="26">
        <v>0.0</v>
      </c>
      <c r="AI429" s="26" t="s">
        <v>423</v>
      </c>
      <c r="AP429" s="26" t="s">
        <v>412</v>
      </c>
      <c r="AQ429" s="26" t="s">
        <v>428</v>
      </c>
      <c r="AS429" s="26" t="s">
        <v>430</v>
      </c>
      <c r="AT429" s="26" t="s">
        <v>431</v>
      </c>
      <c r="AV429" s="26">
        <f t="array" ref="AV429">IF($A429="","",IF(INDEX($A429:$AT429,1,MAP!$B$3)=CurrentSeason,1,0))</f>
        <v>1</v>
      </c>
      <c r="AW429" s="26">
        <f t="shared" si="1"/>
        <v>139</v>
      </c>
    </row>
    <row r="430" ht="15.75" customHeight="1">
      <c r="A430" s="26" t="s">
        <v>1559</v>
      </c>
      <c r="B430" s="26">
        <v>2026.0</v>
      </c>
      <c r="C430" s="26" t="s">
        <v>390</v>
      </c>
      <c r="D430" s="26">
        <v>10.0</v>
      </c>
      <c r="E430" s="26">
        <v>46341.0</v>
      </c>
      <c r="F430" s="26" t="s">
        <v>419</v>
      </c>
      <c r="G430" s="26">
        <v>0.5416666666678793</v>
      </c>
      <c r="H430" s="26" t="s">
        <v>140</v>
      </c>
      <c r="J430" s="26" t="s">
        <v>196</v>
      </c>
      <c r="L430" s="26" t="s">
        <v>77</v>
      </c>
      <c r="P430" s="26">
        <v>2.026111502E9</v>
      </c>
      <c r="S430" s="26" t="s">
        <v>1560</v>
      </c>
      <c r="W430" s="26">
        <v>7.0</v>
      </c>
      <c r="X430" s="26">
        <v>7.0</v>
      </c>
      <c r="AG430" s="26">
        <v>0.0</v>
      </c>
      <c r="AH430" s="26" t="s">
        <v>395</v>
      </c>
      <c r="AI430" s="26" t="s">
        <v>396</v>
      </c>
      <c r="AP430" s="26" t="s">
        <v>534</v>
      </c>
      <c r="AQ430" s="26" t="s">
        <v>1281</v>
      </c>
      <c r="AS430" s="26" t="s">
        <v>440</v>
      </c>
      <c r="AT430" s="26" t="s">
        <v>1342</v>
      </c>
      <c r="AV430" s="26">
        <f t="array" ref="AV430">IF($A430="","",IF(INDEX($A430:$AT430,1,MAP!$B$3)=CurrentSeason,1,0))</f>
        <v>1</v>
      </c>
      <c r="AW430" s="26">
        <f t="shared" si="1"/>
        <v>140</v>
      </c>
    </row>
    <row r="431" ht="15.75" customHeight="1">
      <c r="A431" s="26" t="s">
        <v>1561</v>
      </c>
      <c r="B431" s="26">
        <v>2026.0</v>
      </c>
      <c r="C431" s="26" t="s">
        <v>390</v>
      </c>
      <c r="D431" s="26">
        <v>10.0</v>
      </c>
      <c r="E431" s="26">
        <v>46341.0</v>
      </c>
      <c r="F431" s="26" t="s">
        <v>419</v>
      </c>
      <c r="G431" s="26">
        <v>0.5416666666678793</v>
      </c>
      <c r="H431" s="26" t="s">
        <v>144</v>
      </c>
      <c r="J431" s="26" t="s">
        <v>205</v>
      </c>
      <c r="L431" s="26" t="s">
        <v>77</v>
      </c>
      <c r="P431" s="26">
        <v>2.026111503E9</v>
      </c>
      <c r="S431" s="26" t="s">
        <v>1562</v>
      </c>
      <c r="W431" s="26">
        <v>6.0</v>
      </c>
      <c r="X431" s="26">
        <v>7.0</v>
      </c>
      <c r="AG431" s="26">
        <v>1.0</v>
      </c>
      <c r="AH431" s="26" t="s">
        <v>395</v>
      </c>
      <c r="AI431" s="26" t="s">
        <v>396</v>
      </c>
      <c r="AP431" s="26" t="s">
        <v>555</v>
      </c>
      <c r="AQ431" s="26" t="s">
        <v>525</v>
      </c>
      <c r="AS431" s="26" t="s">
        <v>527</v>
      </c>
      <c r="AT431" s="26" t="s">
        <v>528</v>
      </c>
      <c r="AV431" s="26">
        <f t="array" ref="AV431">IF($A431="","",IF(INDEX($A431:$AT431,1,MAP!$B$3)=CurrentSeason,1,0))</f>
        <v>1</v>
      </c>
      <c r="AW431" s="26">
        <f t="shared" si="1"/>
        <v>141</v>
      </c>
    </row>
    <row r="432" ht="15.75" customHeight="1">
      <c r="A432" s="26" t="s">
        <v>1563</v>
      </c>
      <c r="B432" s="26">
        <v>2026.0</v>
      </c>
      <c r="C432" s="26" t="s">
        <v>390</v>
      </c>
      <c r="D432" s="26">
        <v>10.0</v>
      </c>
      <c r="E432" s="26">
        <v>46341.0</v>
      </c>
      <c r="F432" s="26" t="s">
        <v>419</v>
      </c>
      <c r="G432" s="26">
        <v>0.5416666666678793</v>
      </c>
      <c r="H432" s="26" t="s">
        <v>225</v>
      </c>
      <c r="J432" s="26" t="s">
        <v>210</v>
      </c>
      <c r="L432" s="26" t="s">
        <v>77</v>
      </c>
      <c r="P432" s="26">
        <v>2.026111504E9</v>
      </c>
      <c r="S432" s="26" t="s">
        <v>1564</v>
      </c>
      <c r="W432" s="26">
        <v>7.0</v>
      </c>
      <c r="X432" s="26">
        <v>7.0</v>
      </c>
      <c r="AG432" s="26">
        <v>0.0</v>
      </c>
      <c r="AI432" s="26" t="s">
        <v>423</v>
      </c>
      <c r="AP432" s="26" t="s">
        <v>1293</v>
      </c>
      <c r="AQ432" s="26" t="s">
        <v>447</v>
      </c>
      <c r="AS432" s="26" t="s">
        <v>449</v>
      </c>
      <c r="AT432" s="26" t="s">
        <v>450</v>
      </c>
      <c r="AV432" s="26">
        <f t="array" ref="AV432">IF($A432="","",IF(INDEX($A432:$AT432,1,MAP!$B$3)=CurrentSeason,1,0))</f>
        <v>1</v>
      </c>
      <c r="AW432" s="26">
        <f t="shared" si="1"/>
        <v>142</v>
      </c>
    </row>
    <row r="433" ht="15.75" customHeight="1">
      <c r="A433" s="26" t="s">
        <v>1565</v>
      </c>
      <c r="B433" s="26">
        <v>2026.0</v>
      </c>
      <c r="C433" s="26" t="s">
        <v>390</v>
      </c>
      <c r="D433" s="26">
        <v>10.0</v>
      </c>
      <c r="E433" s="26">
        <v>46341.0</v>
      </c>
      <c r="F433" s="26" t="s">
        <v>419</v>
      </c>
      <c r="G433" s="26">
        <v>0.5416666666678793</v>
      </c>
      <c r="H433" s="26" t="s">
        <v>189</v>
      </c>
      <c r="J433" s="26" t="s">
        <v>232</v>
      </c>
      <c r="L433" s="26" t="s">
        <v>77</v>
      </c>
      <c r="P433" s="26">
        <v>2.026111505E9</v>
      </c>
      <c r="S433" s="26" t="s">
        <v>1566</v>
      </c>
      <c r="W433" s="26">
        <v>7.0</v>
      </c>
      <c r="X433" s="26">
        <v>7.0</v>
      </c>
      <c r="AG433" s="26">
        <v>1.0</v>
      </c>
      <c r="AH433" s="26" t="s">
        <v>409</v>
      </c>
      <c r="AI433" s="26" t="s">
        <v>471</v>
      </c>
      <c r="AP433" s="26" t="s">
        <v>455</v>
      </c>
      <c r="AQ433" s="26" t="s">
        <v>476</v>
      </c>
      <c r="AS433" s="26" t="s">
        <v>478</v>
      </c>
      <c r="AT433" s="26" t="s">
        <v>1367</v>
      </c>
      <c r="AV433" s="26">
        <f t="array" ref="AV433">IF($A433="","",IF(INDEX($A433:$AT433,1,MAP!$B$3)=CurrentSeason,1,0))</f>
        <v>1</v>
      </c>
      <c r="AW433" s="26">
        <f t="shared" si="1"/>
        <v>143</v>
      </c>
    </row>
    <row r="434" ht="15.75" customHeight="1">
      <c r="A434" s="26" t="s">
        <v>1567</v>
      </c>
      <c r="B434" s="26">
        <v>2026.0</v>
      </c>
      <c r="C434" s="26" t="s">
        <v>390</v>
      </c>
      <c r="D434" s="26">
        <v>10.0</v>
      </c>
      <c r="E434" s="26">
        <v>46341.0</v>
      </c>
      <c r="F434" s="26" t="s">
        <v>419</v>
      </c>
      <c r="G434" s="26">
        <v>0.5416666666678793</v>
      </c>
      <c r="H434" s="26" t="s">
        <v>136</v>
      </c>
      <c r="J434" s="26" t="s">
        <v>238</v>
      </c>
      <c r="L434" s="26" t="s">
        <v>77</v>
      </c>
      <c r="P434" s="26">
        <v>2.026111506E9</v>
      </c>
      <c r="S434" s="26" t="s">
        <v>1568</v>
      </c>
      <c r="W434" s="26">
        <v>6.0</v>
      </c>
      <c r="X434" s="26">
        <v>7.0</v>
      </c>
      <c r="AG434" s="26">
        <v>1.0</v>
      </c>
      <c r="AH434" s="26" t="s">
        <v>395</v>
      </c>
      <c r="AI434" s="26" t="s">
        <v>423</v>
      </c>
      <c r="AP434" s="26" t="s">
        <v>543</v>
      </c>
      <c r="AQ434" s="26" t="s">
        <v>486</v>
      </c>
      <c r="AS434" s="26" t="s">
        <v>488</v>
      </c>
      <c r="AT434" s="26" t="s">
        <v>489</v>
      </c>
      <c r="AV434" s="26">
        <f t="array" ref="AV434">IF($A434="","",IF(INDEX($A434:$AT434,1,MAP!$B$3)=CurrentSeason,1,0))</f>
        <v>1</v>
      </c>
      <c r="AW434" s="26">
        <f t="shared" si="1"/>
        <v>144</v>
      </c>
    </row>
    <row r="435" ht="15.75" customHeight="1">
      <c r="A435" s="26" t="s">
        <v>1569</v>
      </c>
      <c r="B435" s="26">
        <v>2026.0</v>
      </c>
      <c r="C435" s="26" t="s">
        <v>390</v>
      </c>
      <c r="D435" s="26">
        <v>10.0</v>
      </c>
      <c r="E435" s="26">
        <v>46341.0</v>
      </c>
      <c r="F435" s="26" t="s">
        <v>419</v>
      </c>
      <c r="G435" s="26">
        <v>0.5416666666678793</v>
      </c>
      <c r="H435" s="26" t="s">
        <v>141</v>
      </c>
      <c r="J435" s="26" t="s">
        <v>250</v>
      </c>
      <c r="L435" s="26" t="s">
        <v>77</v>
      </c>
      <c r="P435" s="26">
        <v>2.026111507E9</v>
      </c>
      <c r="S435" s="26" t="s">
        <v>1570</v>
      </c>
      <c r="W435" s="26">
        <v>10.0</v>
      </c>
      <c r="X435" s="26">
        <v>14.0</v>
      </c>
      <c r="AG435" s="26">
        <v>1.0</v>
      </c>
      <c r="AH435" s="26" t="s">
        <v>395</v>
      </c>
      <c r="AI435" s="26" t="s">
        <v>396</v>
      </c>
      <c r="AP435" s="26" t="s">
        <v>456</v>
      </c>
      <c r="AQ435" s="26" t="s">
        <v>1288</v>
      </c>
      <c r="AS435" s="26" t="s">
        <v>597</v>
      </c>
      <c r="AT435" s="26" t="s">
        <v>598</v>
      </c>
      <c r="AV435" s="26">
        <f t="array" ref="AV435">IF($A435="","",IF(INDEX($A435:$AT435,1,MAP!$B$3)=CurrentSeason,1,0))</f>
        <v>1</v>
      </c>
      <c r="AW435" s="26">
        <f t="shared" si="1"/>
        <v>145</v>
      </c>
    </row>
    <row r="436" ht="15.75" customHeight="1">
      <c r="A436" s="26" t="s">
        <v>1571</v>
      </c>
      <c r="B436" s="26">
        <v>2026.0</v>
      </c>
      <c r="C436" s="26" t="s">
        <v>390</v>
      </c>
      <c r="D436" s="26">
        <v>10.0</v>
      </c>
      <c r="E436" s="26">
        <v>46341.0</v>
      </c>
      <c r="F436" s="26" t="s">
        <v>419</v>
      </c>
      <c r="G436" s="26">
        <v>0.6701388888905058</v>
      </c>
      <c r="H436" s="26" t="s">
        <v>142</v>
      </c>
      <c r="J436" s="26" t="s">
        <v>178</v>
      </c>
      <c r="L436" s="26" t="s">
        <v>77</v>
      </c>
      <c r="P436" s="26">
        <v>2.026111508E9</v>
      </c>
      <c r="S436" s="26" t="s">
        <v>1572</v>
      </c>
      <c r="W436" s="26">
        <v>7.0</v>
      </c>
      <c r="X436" s="26">
        <v>7.0</v>
      </c>
      <c r="AG436" s="26">
        <v>1.0</v>
      </c>
      <c r="AI436" s="26" t="s">
        <v>396</v>
      </c>
      <c r="AP436" s="26" t="s">
        <v>535</v>
      </c>
      <c r="AQ436" s="26" t="s">
        <v>475</v>
      </c>
      <c r="AS436" s="26" t="s">
        <v>601</v>
      </c>
      <c r="AT436" s="26" t="s">
        <v>602</v>
      </c>
      <c r="AV436" s="26">
        <f t="array" ref="AV436">IF($A436="","",IF(INDEX($A436:$AT436,1,MAP!$B$3)=CurrentSeason,1,0))</f>
        <v>1</v>
      </c>
      <c r="AW436" s="26">
        <f t="shared" si="1"/>
        <v>146</v>
      </c>
    </row>
    <row r="437" ht="15.75" customHeight="1">
      <c r="A437" s="26" t="s">
        <v>1573</v>
      </c>
      <c r="B437" s="26">
        <v>2026.0</v>
      </c>
      <c r="C437" s="26" t="s">
        <v>390</v>
      </c>
      <c r="D437" s="26">
        <v>10.0</v>
      </c>
      <c r="E437" s="26">
        <v>46341.0</v>
      </c>
      <c r="F437" s="26" t="s">
        <v>419</v>
      </c>
      <c r="G437" s="26">
        <v>0.6701388888905058</v>
      </c>
      <c r="H437" s="26" t="s">
        <v>149</v>
      </c>
      <c r="J437" s="26" t="s">
        <v>222</v>
      </c>
      <c r="L437" s="26" t="s">
        <v>77</v>
      </c>
      <c r="P437" s="26">
        <v>2.026111509E9</v>
      </c>
      <c r="S437" s="26" t="s">
        <v>1574</v>
      </c>
      <c r="W437" s="26">
        <v>7.0</v>
      </c>
      <c r="X437" s="26">
        <v>7.0</v>
      </c>
      <c r="AG437" s="26">
        <v>0.0</v>
      </c>
      <c r="AH437" s="26" t="s">
        <v>409</v>
      </c>
      <c r="AI437" s="26" t="s">
        <v>396</v>
      </c>
      <c r="AP437" s="26" t="s">
        <v>515</v>
      </c>
      <c r="AQ437" s="26" t="s">
        <v>1294</v>
      </c>
      <c r="AS437" s="26" t="s">
        <v>623</v>
      </c>
      <c r="AT437" s="26" t="s">
        <v>624</v>
      </c>
      <c r="AV437" s="26">
        <f t="array" ref="AV437">IF($A437="","",IF(INDEX($A437:$AT437,1,MAP!$B$3)=CurrentSeason,1,0))</f>
        <v>1</v>
      </c>
      <c r="AW437" s="26">
        <f t="shared" si="1"/>
        <v>147</v>
      </c>
    </row>
    <row r="438" ht="15.75" customHeight="1">
      <c r="A438" s="26" t="s">
        <v>1575</v>
      </c>
      <c r="B438" s="26">
        <v>2026.0</v>
      </c>
      <c r="C438" s="26" t="s">
        <v>390</v>
      </c>
      <c r="D438" s="26">
        <v>10.0</v>
      </c>
      <c r="E438" s="26">
        <v>46341.0</v>
      </c>
      <c r="F438" s="26" t="s">
        <v>419</v>
      </c>
      <c r="G438" s="26">
        <v>0.6840277777773736</v>
      </c>
      <c r="H438" s="26" t="s">
        <v>246</v>
      </c>
      <c r="J438" s="26" t="s">
        <v>146</v>
      </c>
      <c r="L438" s="26" t="s">
        <v>77</v>
      </c>
      <c r="P438" s="26">
        <v>2.02611151E9</v>
      </c>
      <c r="S438" s="26" t="s">
        <v>1576</v>
      </c>
      <c r="W438" s="26">
        <v>7.0</v>
      </c>
      <c r="X438" s="26">
        <v>7.0</v>
      </c>
      <c r="AG438" s="26">
        <v>0.0</v>
      </c>
      <c r="AI438" s="26" t="s">
        <v>531</v>
      </c>
      <c r="AP438" s="26" t="s">
        <v>514</v>
      </c>
      <c r="AQ438" s="26" t="s">
        <v>399</v>
      </c>
      <c r="AS438" s="26" t="s">
        <v>575</v>
      </c>
      <c r="AT438" s="26" t="s">
        <v>576</v>
      </c>
      <c r="AV438" s="26">
        <f t="array" ref="AV438">IF($A438="","",IF(INDEX($A438:$AT438,1,MAP!$B$3)=CurrentSeason,1,0))</f>
        <v>1</v>
      </c>
      <c r="AW438" s="26">
        <f t="shared" si="1"/>
        <v>148</v>
      </c>
    </row>
    <row r="439" ht="15.75" customHeight="1">
      <c r="A439" s="26" t="s">
        <v>1577</v>
      </c>
      <c r="B439" s="26">
        <v>2026.0</v>
      </c>
      <c r="C439" s="26" t="s">
        <v>390</v>
      </c>
      <c r="D439" s="26">
        <v>10.0</v>
      </c>
      <c r="E439" s="26">
        <v>46341.0</v>
      </c>
      <c r="F439" s="26" t="s">
        <v>419</v>
      </c>
      <c r="G439" s="26">
        <v>0.8472222222226264</v>
      </c>
      <c r="H439" s="26" t="s">
        <v>242</v>
      </c>
      <c r="J439" s="26" t="s">
        <v>138</v>
      </c>
      <c r="L439" s="26" t="s">
        <v>77</v>
      </c>
      <c r="P439" s="26">
        <v>2.026111511E9</v>
      </c>
      <c r="S439" s="26" t="s">
        <v>1578</v>
      </c>
      <c r="W439" s="26">
        <v>14.0</v>
      </c>
      <c r="X439" s="26">
        <v>7.0</v>
      </c>
      <c r="AG439" s="26">
        <v>1.0</v>
      </c>
      <c r="AH439" s="26" t="s">
        <v>395</v>
      </c>
      <c r="AI439" s="26" t="s">
        <v>423</v>
      </c>
      <c r="AP439" s="26" t="s">
        <v>1285</v>
      </c>
      <c r="AQ439" s="26" t="s">
        <v>437</v>
      </c>
      <c r="AS439" s="26" t="s">
        <v>571</v>
      </c>
      <c r="AT439" s="26" t="s">
        <v>572</v>
      </c>
      <c r="AV439" s="26">
        <f t="array" ref="AV439">IF($A439="","",IF(INDEX($A439:$AT439,1,MAP!$B$3)=CurrentSeason,1,0))</f>
        <v>1</v>
      </c>
      <c r="AW439" s="26">
        <f t="shared" si="1"/>
        <v>149</v>
      </c>
    </row>
    <row r="440" ht="15.75" customHeight="1">
      <c r="A440" s="26" t="s">
        <v>1579</v>
      </c>
      <c r="B440" s="26">
        <v>2026.0</v>
      </c>
      <c r="C440" s="26" t="s">
        <v>390</v>
      </c>
      <c r="D440" s="26">
        <v>10.0</v>
      </c>
      <c r="E440" s="26">
        <v>46342.0</v>
      </c>
      <c r="F440" s="26" t="s">
        <v>549</v>
      </c>
      <c r="G440" s="26">
        <v>0.84375</v>
      </c>
      <c r="H440" s="26" t="s">
        <v>220</v>
      </c>
      <c r="J440" s="26" t="s">
        <v>148</v>
      </c>
      <c r="L440" s="26" t="s">
        <v>77</v>
      </c>
      <c r="P440" s="26">
        <v>2.0261116E9</v>
      </c>
      <c r="S440" s="26" t="s">
        <v>1580</v>
      </c>
      <c r="W440" s="26">
        <v>8.0</v>
      </c>
      <c r="X440" s="26">
        <v>11.0</v>
      </c>
      <c r="AG440" s="26">
        <v>0.0</v>
      </c>
      <c r="AH440" s="26" t="s">
        <v>395</v>
      </c>
      <c r="AI440" s="26" t="s">
        <v>396</v>
      </c>
      <c r="AP440" s="26" t="s">
        <v>413</v>
      </c>
      <c r="AQ440" s="26" t="s">
        <v>1278</v>
      </c>
      <c r="AS440" s="26" t="s">
        <v>567</v>
      </c>
      <c r="AT440" s="26" t="s">
        <v>568</v>
      </c>
      <c r="AV440" s="26">
        <f t="array" ref="AV440">IF($A440="","",IF(INDEX($A440:$AT440,1,MAP!$B$3)=CurrentSeason,1,0))</f>
        <v>1</v>
      </c>
      <c r="AW440" s="26">
        <f t="shared" si="1"/>
        <v>150</v>
      </c>
    </row>
    <row r="441" ht="15.75" customHeight="1">
      <c r="A441" s="26" t="s">
        <v>1581</v>
      </c>
      <c r="B441" s="26">
        <v>2026.0</v>
      </c>
      <c r="C441" s="26" t="s">
        <v>390</v>
      </c>
      <c r="D441" s="26">
        <v>11.0</v>
      </c>
      <c r="E441" s="26">
        <v>46345.0</v>
      </c>
      <c r="F441" s="26" t="s">
        <v>392</v>
      </c>
      <c r="G441" s="26">
        <v>0.84375</v>
      </c>
      <c r="H441" s="26" t="s">
        <v>210</v>
      </c>
      <c r="J441" s="26" t="s">
        <v>140</v>
      </c>
      <c r="L441" s="26" t="s">
        <v>77</v>
      </c>
      <c r="P441" s="26">
        <v>2.0261119E9</v>
      </c>
      <c r="S441" s="26" t="s">
        <v>1582</v>
      </c>
      <c r="W441" s="26">
        <v>4.0</v>
      </c>
      <c r="X441" s="26">
        <v>4.0</v>
      </c>
      <c r="AG441" s="26">
        <v>1.0</v>
      </c>
      <c r="AI441" s="26" t="s">
        <v>617</v>
      </c>
      <c r="AP441" s="26" t="s">
        <v>447</v>
      </c>
      <c r="AQ441" s="26" t="s">
        <v>534</v>
      </c>
      <c r="AS441" s="26" t="s">
        <v>618</v>
      </c>
      <c r="AT441" s="26" t="s">
        <v>1275</v>
      </c>
      <c r="AV441" s="26">
        <f t="array" ref="AV441">IF($A441="","",IF(INDEX($A441:$AT441,1,MAP!$B$3)=CurrentSeason,1,0))</f>
        <v>1</v>
      </c>
      <c r="AW441" s="26">
        <f t="shared" si="1"/>
        <v>151</v>
      </c>
    </row>
    <row r="442" ht="15.75" customHeight="1">
      <c r="A442" s="26" t="s">
        <v>1583</v>
      </c>
      <c r="B442" s="26">
        <v>2026.0</v>
      </c>
      <c r="C442" s="26" t="s">
        <v>390</v>
      </c>
      <c r="D442" s="26">
        <v>11.0</v>
      </c>
      <c r="E442" s="26">
        <v>46348.0</v>
      </c>
      <c r="F442" s="26" t="s">
        <v>419</v>
      </c>
      <c r="G442" s="26">
        <v>0.5416666666678793</v>
      </c>
      <c r="H442" s="26" t="s">
        <v>225</v>
      </c>
      <c r="J442" s="26" t="s">
        <v>136</v>
      </c>
      <c r="L442" s="26" t="s">
        <v>77</v>
      </c>
      <c r="P442" s="26">
        <v>2.0261122E9</v>
      </c>
      <c r="S442" s="26" t="s">
        <v>1584</v>
      </c>
      <c r="W442" s="26">
        <v>7.0</v>
      </c>
      <c r="X442" s="26">
        <v>7.0</v>
      </c>
      <c r="AG442" s="26">
        <v>1.0</v>
      </c>
      <c r="AH442" s="26" t="s">
        <v>395</v>
      </c>
      <c r="AI442" s="26" t="s">
        <v>539</v>
      </c>
      <c r="AP442" s="26" t="s">
        <v>1293</v>
      </c>
      <c r="AQ442" s="26" t="s">
        <v>543</v>
      </c>
      <c r="AS442" s="26" t="s">
        <v>545</v>
      </c>
      <c r="AT442" s="26" t="s">
        <v>1305</v>
      </c>
      <c r="AV442" s="26">
        <f t="array" ref="AV442">IF($A442="","",IF(INDEX($A442:$AT442,1,MAP!$B$3)=CurrentSeason,1,0))</f>
        <v>1</v>
      </c>
      <c r="AW442" s="26">
        <f t="shared" si="1"/>
        <v>152</v>
      </c>
    </row>
    <row r="443" ht="15.75" customHeight="1">
      <c r="A443" s="26" t="s">
        <v>1585</v>
      </c>
      <c r="B443" s="26">
        <v>2026.0</v>
      </c>
      <c r="C443" s="26" t="s">
        <v>390</v>
      </c>
      <c r="D443" s="26">
        <v>11.0</v>
      </c>
      <c r="E443" s="26">
        <v>46348.0</v>
      </c>
      <c r="F443" s="26" t="s">
        <v>419</v>
      </c>
      <c r="G443" s="26">
        <v>0.5416666666678793</v>
      </c>
      <c r="H443" s="26" t="s">
        <v>148</v>
      </c>
      <c r="J443" s="26" t="s">
        <v>189</v>
      </c>
      <c r="L443" s="26" t="s">
        <v>77</v>
      </c>
      <c r="P443" s="26">
        <v>2.026112201E9</v>
      </c>
      <c r="S443" s="26" t="s">
        <v>1586</v>
      </c>
      <c r="W443" s="26">
        <v>6.0</v>
      </c>
      <c r="X443" s="26">
        <v>7.0</v>
      </c>
      <c r="AG443" s="26">
        <v>0.0</v>
      </c>
      <c r="AH443" s="26" t="s">
        <v>395</v>
      </c>
      <c r="AI443" s="26" t="s">
        <v>396</v>
      </c>
      <c r="AP443" s="26" t="s">
        <v>1278</v>
      </c>
      <c r="AQ443" s="26" t="s">
        <v>455</v>
      </c>
      <c r="AS443" s="26" t="s">
        <v>631</v>
      </c>
      <c r="AT443" s="26" t="s">
        <v>632</v>
      </c>
      <c r="AV443" s="26">
        <f t="array" ref="AV443">IF($A443="","",IF(INDEX($A443:$AT443,1,MAP!$B$3)=CurrentSeason,1,0))</f>
        <v>1</v>
      </c>
      <c r="AW443" s="26">
        <f t="shared" si="1"/>
        <v>153</v>
      </c>
    </row>
    <row r="444" ht="15.75" customHeight="1">
      <c r="A444" s="26" t="s">
        <v>1587</v>
      </c>
      <c r="B444" s="26">
        <v>2026.0</v>
      </c>
      <c r="C444" s="26" t="s">
        <v>390</v>
      </c>
      <c r="D444" s="26">
        <v>11.0</v>
      </c>
      <c r="E444" s="26">
        <v>46348.0</v>
      </c>
      <c r="F444" s="26" t="s">
        <v>419</v>
      </c>
      <c r="G444" s="26">
        <v>0.5416666666678793</v>
      </c>
      <c r="H444" s="26" t="s">
        <v>232</v>
      </c>
      <c r="J444" s="26" t="s">
        <v>137</v>
      </c>
      <c r="L444" s="26" t="s">
        <v>77</v>
      </c>
      <c r="P444" s="26">
        <v>2.026112202E9</v>
      </c>
      <c r="S444" s="26" t="s">
        <v>1588</v>
      </c>
      <c r="W444" s="26">
        <v>7.0</v>
      </c>
      <c r="X444" s="26">
        <v>14.0</v>
      </c>
      <c r="AG444" s="26">
        <v>0.0</v>
      </c>
      <c r="AH444" s="26" t="s">
        <v>395</v>
      </c>
      <c r="AI444" s="26" t="s">
        <v>396</v>
      </c>
      <c r="AP444" s="26" t="s">
        <v>476</v>
      </c>
      <c r="AQ444" s="26" t="s">
        <v>556</v>
      </c>
      <c r="AS444" s="26" t="s">
        <v>558</v>
      </c>
      <c r="AT444" s="26" t="s">
        <v>559</v>
      </c>
      <c r="AV444" s="26">
        <f t="array" ref="AV444">IF($A444="","",IF(INDEX($A444:$AT444,1,MAP!$B$3)=CurrentSeason,1,0))</f>
        <v>1</v>
      </c>
      <c r="AW444" s="26">
        <f t="shared" si="1"/>
        <v>154</v>
      </c>
    </row>
    <row r="445" ht="15.75" customHeight="1">
      <c r="A445" s="26" t="s">
        <v>1589</v>
      </c>
      <c r="B445" s="26">
        <v>2026.0</v>
      </c>
      <c r="C445" s="26" t="s">
        <v>390</v>
      </c>
      <c r="D445" s="26">
        <v>11.0</v>
      </c>
      <c r="E445" s="26">
        <v>46348.0</v>
      </c>
      <c r="F445" s="26" t="s">
        <v>419</v>
      </c>
      <c r="G445" s="26">
        <v>0.5416666666678793</v>
      </c>
      <c r="H445" s="26" t="s">
        <v>250</v>
      </c>
      <c r="J445" s="26" t="s">
        <v>146</v>
      </c>
      <c r="L445" s="26" t="s">
        <v>77</v>
      </c>
      <c r="P445" s="26">
        <v>2.026112203E9</v>
      </c>
      <c r="S445" s="26" t="s">
        <v>1590</v>
      </c>
      <c r="W445" s="26">
        <v>7.0</v>
      </c>
      <c r="X445" s="26">
        <v>7.0</v>
      </c>
      <c r="AG445" s="26">
        <v>0.0</v>
      </c>
      <c r="AI445" s="26" t="s">
        <v>531</v>
      </c>
      <c r="AP445" s="26" t="s">
        <v>1288</v>
      </c>
      <c r="AQ445" s="26" t="s">
        <v>399</v>
      </c>
      <c r="AS445" s="26" t="s">
        <v>575</v>
      </c>
      <c r="AT445" s="26" t="s">
        <v>576</v>
      </c>
      <c r="AV445" s="26">
        <f t="array" ref="AV445">IF($A445="","",IF(INDEX($A445:$AT445,1,MAP!$B$3)=CurrentSeason,1,0))</f>
        <v>1</v>
      </c>
      <c r="AW445" s="26">
        <f t="shared" si="1"/>
        <v>155</v>
      </c>
    </row>
    <row r="446" ht="15.75" customHeight="1">
      <c r="A446" s="26" t="s">
        <v>1591</v>
      </c>
      <c r="B446" s="26">
        <v>2026.0</v>
      </c>
      <c r="C446" s="26" t="s">
        <v>390</v>
      </c>
      <c r="D446" s="26">
        <v>11.0</v>
      </c>
      <c r="E446" s="26">
        <v>46348.0</v>
      </c>
      <c r="F446" s="26" t="s">
        <v>419</v>
      </c>
      <c r="G446" s="26">
        <v>0.5416666666678793</v>
      </c>
      <c r="H446" s="26" t="s">
        <v>150</v>
      </c>
      <c r="J446" s="26" t="s">
        <v>202</v>
      </c>
      <c r="L446" s="26" t="s">
        <v>77</v>
      </c>
      <c r="P446" s="26">
        <v>2.026112204E9</v>
      </c>
      <c r="S446" s="26" t="s">
        <v>1592</v>
      </c>
      <c r="W446" s="26">
        <v>14.0</v>
      </c>
      <c r="X446" s="26">
        <v>7.0</v>
      </c>
      <c r="AG446" s="26">
        <v>0.0</v>
      </c>
      <c r="AH446" s="26" t="s">
        <v>409</v>
      </c>
      <c r="AI446" s="26" t="s">
        <v>423</v>
      </c>
      <c r="AP446" s="26" t="s">
        <v>427</v>
      </c>
      <c r="AQ446" s="26" t="s">
        <v>524</v>
      </c>
      <c r="AS446" s="26" t="s">
        <v>579</v>
      </c>
      <c r="AT446" s="26" t="s">
        <v>580</v>
      </c>
      <c r="AV446" s="26">
        <f t="array" ref="AV446">IF($A446="","",IF(INDEX($A446:$AT446,1,MAP!$B$3)=CurrentSeason,1,0))</f>
        <v>1</v>
      </c>
      <c r="AW446" s="26">
        <f t="shared" si="1"/>
        <v>156</v>
      </c>
    </row>
    <row r="447" ht="15.75" customHeight="1">
      <c r="A447" s="26" t="s">
        <v>1593</v>
      </c>
      <c r="B447" s="26">
        <v>2026.0</v>
      </c>
      <c r="C447" s="26" t="s">
        <v>390</v>
      </c>
      <c r="D447" s="26">
        <v>11.0</v>
      </c>
      <c r="E447" s="26">
        <v>46348.0</v>
      </c>
      <c r="F447" s="26" t="s">
        <v>419</v>
      </c>
      <c r="G447" s="26">
        <v>0.5416666666678793</v>
      </c>
      <c r="H447" s="26" t="s">
        <v>178</v>
      </c>
      <c r="J447" s="26" t="s">
        <v>143</v>
      </c>
      <c r="L447" s="26" t="s">
        <v>77</v>
      </c>
      <c r="P447" s="26">
        <v>2.026112205E9</v>
      </c>
      <c r="S447" s="26" t="s">
        <v>1594</v>
      </c>
      <c r="W447" s="26">
        <v>7.0</v>
      </c>
      <c r="X447" s="26">
        <v>7.0</v>
      </c>
      <c r="AG447" s="26">
        <v>0.0</v>
      </c>
      <c r="AH447" s="26" t="s">
        <v>395</v>
      </c>
      <c r="AI447" s="26" t="s">
        <v>396</v>
      </c>
      <c r="AP447" s="26" t="s">
        <v>475</v>
      </c>
      <c r="AQ447" s="26" t="s">
        <v>412</v>
      </c>
      <c r="AS447" s="26" t="s">
        <v>607</v>
      </c>
      <c r="AT447" s="26" t="s">
        <v>608</v>
      </c>
      <c r="AV447" s="26">
        <f t="array" ref="AV447">IF($A447="","",IF(INDEX($A447:$AT447,1,MAP!$B$3)=CurrentSeason,1,0))</f>
        <v>1</v>
      </c>
      <c r="AW447" s="26">
        <f t="shared" si="1"/>
        <v>157</v>
      </c>
    </row>
    <row r="448" ht="15.75" customHeight="1">
      <c r="A448" s="26" t="s">
        <v>1595</v>
      </c>
      <c r="B448" s="26">
        <v>2026.0</v>
      </c>
      <c r="C448" s="26" t="s">
        <v>390</v>
      </c>
      <c r="D448" s="26">
        <v>11.0</v>
      </c>
      <c r="E448" s="26">
        <v>46348.0</v>
      </c>
      <c r="F448" s="26" t="s">
        <v>419</v>
      </c>
      <c r="G448" s="26">
        <v>0.5416666666678793</v>
      </c>
      <c r="H448" s="26" t="s">
        <v>141</v>
      </c>
      <c r="J448" s="26" t="s">
        <v>235</v>
      </c>
      <c r="L448" s="26" t="s">
        <v>77</v>
      </c>
      <c r="P448" s="26">
        <v>2.026112206E9</v>
      </c>
      <c r="S448" s="26" t="s">
        <v>1596</v>
      </c>
      <c r="W448" s="26">
        <v>7.0</v>
      </c>
      <c r="X448" s="26">
        <v>10.0</v>
      </c>
      <c r="AG448" s="26">
        <v>0.0</v>
      </c>
      <c r="AH448" s="26" t="s">
        <v>395</v>
      </c>
      <c r="AI448" s="26" t="s">
        <v>423</v>
      </c>
      <c r="AP448" s="26" t="s">
        <v>456</v>
      </c>
      <c r="AQ448" s="26" t="s">
        <v>542</v>
      </c>
      <c r="AS448" s="26" t="s">
        <v>488</v>
      </c>
      <c r="AT448" s="26" t="s">
        <v>489</v>
      </c>
      <c r="AV448" s="26">
        <f t="array" ref="AV448">IF($A448="","",IF(INDEX($A448:$AT448,1,MAP!$B$3)=CurrentSeason,1,0))</f>
        <v>1</v>
      </c>
      <c r="AW448" s="26">
        <f t="shared" si="1"/>
        <v>158</v>
      </c>
    </row>
    <row r="449" ht="15.75" customHeight="1">
      <c r="A449" s="26" t="s">
        <v>1597</v>
      </c>
      <c r="B449" s="26">
        <v>2026.0</v>
      </c>
      <c r="C449" s="26" t="s">
        <v>390</v>
      </c>
      <c r="D449" s="26">
        <v>11.0</v>
      </c>
      <c r="E449" s="26">
        <v>46348.0</v>
      </c>
      <c r="F449" s="26" t="s">
        <v>419</v>
      </c>
      <c r="G449" s="26">
        <v>0.6701388888905058</v>
      </c>
      <c r="H449" s="26" t="s">
        <v>238</v>
      </c>
      <c r="J449" s="26" t="s">
        <v>220</v>
      </c>
      <c r="L449" s="26" t="s">
        <v>77</v>
      </c>
      <c r="P449" s="26">
        <v>2.026112207E9</v>
      </c>
      <c r="S449" s="26" t="s">
        <v>1598</v>
      </c>
      <c r="W449" s="26">
        <v>7.0</v>
      </c>
      <c r="X449" s="26">
        <v>6.0</v>
      </c>
      <c r="AG449" s="26">
        <v>0.0</v>
      </c>
      <c r="AH449" s="26" t="s">
        <v>409</v>
      </c>
      <c r="AI449" s="26" t="s">
        <v>531</v>
      </c>
      <c r="AP449" s="26" t="s">
        <v>486</v>
      </c>
      <c r="AQ449" s="26" t="s">
        <v>413</v>
      </c>
      <c r="AS449" s="26" t="s">
        <v>415</v>
      </c>
      <c r="AT449" s="26" t="s">
        <v>416</v>
      </c>
      <c r="AV449" s="26">
        <f t="array" ref="AV449">IF($A449="","",IF(INDEX($A449:$AT449,1,MAP!$B$3)=CurrentSeason,1,0))</f>
        <v>1</v>
      </c>
      <c r="AW449" s="26">
        <f t="shared" si="1"/>
        <v>159</v>
      </c>
    </row>
    <row r="450" ht="15.75" customHeight="1">
      <c r="A450" s="26" t="s">
        <v>1599</v>
      </c>
      <c r="B450" s="26">
        <v>2026.0</v>
      </c>
      <c r="C450" s="26" t="s">
        <v>390</v>
      </c>
      <c r="D450" s="26">
        <v>11.0</v>
      </c>
      <c r="E450" s="26">
        <v>46348.0</v>
      </c>
      <c r="F450" s="26" t="s">
        <v>419</v>
      </c>
      <c r="G450" s="26">
        <v>0.6840277777773736</v>
      </c>
      <c r="H450" s="26" t="s">
        <v>222</v>
      </c>
      <c r="J450" s="26" t="s">
        <v>139</v>
      </c>
      <c r="L450" s="26" t="s">
        <v>77</v>
      </c>
      <c r="P450" s="26">
        <v>2.026112208E9</v>
      </c>
      <c r="S450" s="26" t="s">
        <v>1600</v>
      </c>
      <c r="W450" s="26">
        <v>7.0</v>
      </c>
      <c r="X450" s="26">
        <v>14.0</v>
      </c>
      <c r="AG450" s="26">
        <v>1.0</v>
      </c>
      <c r="AH450" s="26" t="s">
        <v>395</v>
      </c>
      <c r="AI450" s="26" t="s">
        <v>396</v>
      </c>
      <c r="AP450" s="26" t="s">
        <v>1294</v>
      </c>
      <c r="AQ450" s="26" t="s">
        <v>506</v>
      </c>
      <c r="AS450" s="26" t="s">
        <v>508</v>
      </c>
      <c r="AT450" s="26" t="s">
        <v>509</v>
      </c>
      <c r="AV450" s="26">
        <f t="array" ref="AV450">IF($A450="","",IF(INDEX($A450:$AT450,1,MAP!$B$3)=CurrentSeason,1,0))</f>
        <v>1</v>
      </c>
      <c r="AW450" s="26">
        <f t="shared" si="1"/>
        <v>160</v>
      </c>
    </row>
    <row r="451" ht="15.75" customHeight="1">
      <c r="A451" s="26" t="s">
        <v>1601</v>
      </c>
      <c r="B451" s="26">
        <v>2026.0</v>
      </c>
      <c r="C451" s="26" t="s">
        <v>390</v>
      </c>
      <c r="D451" s="26">
        <v>11.0</v>
      </c>
      <c r="E451" s="26">
        <v>46348.0</v>
      </c>
      <c r="F451" s="26" t="s">
        <v>419</v>
      </c>
      <c r="G451" s="26">
        <v>0.6840277777773736</v>
      </c>
      <c r="H451" s="26" t="s">
        <v>242</v>
      </c>
      <c r="J451" s="26" t="s">
        <v>147</v>
      </c>
      <c r="L451" s="26" t="s">
        <v>77</v>
      </c>
      <c r="P451" s="26">
        <v>2.026112209E9</v>
      </c>
      <c r="S451" s="26" t="s">
        <v>1602</v>
      </c>
      <c r="W451" s="26">
        <v>7.0</v>
      </c>
      <c r="X451" s="26">
        <v>14.0</v>
      </c>
      <c r="AG451" s="26">
        <v>0.0</v>
      </c>
      <c r="AH451" s="26" t="s">
        <v>395</v>
      </c>
      <c r="AI451" s="26" t="s">
        <v>396</v>
      </c>
      <c r="AP451" s="26" t="s">
        <v>1285</v>
      </c>
      <c r="AQ451" s="26" t="s">
        <v>400</v>
      </c>
      <c r="AS451" s="26" t="s">
        <v>402</v>
      </c>
      <c r="AT451" s="26" t="s">
        <v>403</v>
      </c>
      <c r="AV451" s="26">
        <f t="array" ref="AV451">IF($A451="","",IF(INDEX($A451:$AT451,1,MAP!$B$3)=CurrentSeason,1,0))</f>
        <v>1</v>
      </c>
      <c r="AW451" s="26">
        <f t="shared" si="1"/>
        <v>161</v>
      </c>
    </row>
    <row r="452" ht="15.75" customHeight="1">
      <c r="A452" s="26" t="s">
        <v>1603</v>
      </c>
      <c r="B452" s="26">
        <v>2026.0</v>
      </c>
      <c r="C452" s="26" t="s">
        <v>390</v>
      </c>
      <c r="D452" s="26">
        <v>11.0</v>
      </c>
      <c r="E452" s="26">
        <v>46348.0</v>
      </c>
      <c r="F452" s="26" t="s">
        <v>419</v>
      </c>
      <c r="G452" s="26">
        <v>0.8472222222226264</v>
      </c>
      <c r="H452" s="26" t="s">
        <v>144</v>
      </c>
      <c r="J452" s="26" t="s">
        <v>246</v>
      </c>
      <c r="L452" s="26" t="s">
        <v>78</v>
      </c>
      <c r="P452" s="26">
        <v>2.02611221E9</v>
      </c>
      <c r="S452" s="26" t="s">
        <v>1604</v>
      </c>
      <c r="W452" s="26">
        <v>7.0</v>
      </c>
      <c r="X452" s="26">
        <v>7.0</v>
      </c>
      <c r="AG452" s="26">
        <v>0.0</v>
      </c>
      <c r="AH452" s="26" t="s">
        <v>395</v>
      </c>
      <c r="AI452" s="26" t="s">
        <v>396</v>
      </c>
      <c r="AP452" s="26" t="s">
        <v>555</v>
      </c>
      <c r="AQ452" s="26" t="s">
        <v>514</v>
      </c>
      <c r="AS452" s="26" t="s">
        <v>667</v>
      </c>
      <c r="AT452" s="26" t="s">
        <v>1605</v>
      </c>
      <c r="AV452" s="26">
        <f t="array" ref="AV452">IF($A452="","",IF(INDEX($A452:$AT452,1,MAP!$B$3)=CurrentSeason,1,0))</f>
        <v>1</v>
      </c>
      <c r="AW452" s="26">
        <f t="shared" si="1"/>
        <v>162</v>
      </c>
    </row>
    <row r="453" ht="15.75" customHeight="1">
      <c r="A453" s="26" t="s">
        <v>1606</v>
      </c>
      <c r="B453" s="26">
        <v>2026.0</v>
      </c>
      <c r="C453" s="26" t="s">
        <v>390</v>
      </c>
      <c r="D453" s="26">
        <v>11.0</v>
      </c>
      <c r="E453" s="26">
        <v>46349.0</v>
      </c>
      <c r="F453" s="26" t="s">
        <v>549</v>
      </c>
      <c r="G453" s="26">
        <v>0.84375</v>
      </c>
      <c r="H453" s="26" t="s">
        <v>138</v>
      </c>
      <c r="J453" s="26" t="s">
        <v>253</v>
      </c>
      <c r="L453" s="26" t="s">
        <v>77</v>
      </c>
      <c r="P453" s="26">
        <v>2.0261123E9</v>
      </c>
      <c r="S453" s="26" t="s">
        <v>1607</v>
      </c>
      <c r="W453" s="26">
        <v>8.0</v>
      </c>
      <c r="X453" s="26">
        <v>11.0</v>
      </c>
      <c r="AG453" s="26">
        <v>0.0</v>
      </c>
      <c r="AH453" s="26" t="s">
        <v>395</v>
      </c>
      <c r="AI453" s="26" t="s">
        <v>396</v>
      </c>
      <c r="AP453" s="26" t="s">
        <v>437</v>
      </c>
      <c r="AQ453" s="26" t="s">
        <v>496</v>
      </c>
      <c r="AS453" s="26" t="s">
        <v>498</v>
      </c>
      <c r="AT453" s="26" t="s">
        <v>1357</v>
      </c>
      <c r="AV453" s="26">
        <f t="array" ref="AV453">IF($A453="","",IF(INDEX($A453:$AT453,1,MAP!$B$3)=CurrentSeason,1,0))</f>
        <v>1</v>
      </c>
      <c r="AW453" s="26">
        <f t="shared" si="1"/>
        <v>163</v>
      </c>
    </row>
    <row r="454" ht="15.75" customHeight="1">
      <c r="A454" s="26" t="s">
        <v>1608</v>
      </c>
      <c r="B454" s="26">
        <v>2026.0</v>
      </c>
      <c r="C454" s="26" t="s">
        <v>390</v>
      </c>
      <c r="D454" s="26">
        <v>12.0</v>
      </c>
      <c r="E454" s="26">
        <v>46351.0</v>
      </c>
      <c r="F454" s="26" t="s">
        <v>1262</v>
      </c>
      <c r="G454" s="26">
        <v>0.8333333333321207</v>
      </c>
      <c r="H454" s="26" t="s">
        <v>205</v>
      </c>
      <c r="J454" s="26" t="s">
        <v>142</v>
      </c>
      <c r="L454" s="26" t="s">
        <v>77</v>
      </c>
      <c r="P454" s="26">
        <v>2.0261125E9</v>
      </c>
      <c r="S454" s="26" t="s">
        <v>1609</v>
      </c>
      <c r="W454" s="26">
        <v>10.0</v>
      </c>
      <c r="X454" s="26">
        <v>10.0</v>
      </c>
      <c r="AG454" s="26">
        <v>0.0</v>
      </c>
      <c r="AH454" s="26" t="s">
        <v>409</v>
      </c>
      <c r="AI454" s="26" t="s">
        <v>531</v>
      </c>
      <c r="AP454" s="26" t="s">
        <v>525</v>
      </c>
      <c r="AQ454" s="26" t="s">
        <v>535</v>
      </c>
      <c r="AS454" s="26" t="s">
        <v>415</v>
      </c>
      <c r="AT454" s="26" t="s">
        <v>416</v>
      </c>
      <c r="AV454" s="26">
        <f t="array" ref="AV454">IF($A454="","",IF(INDEX($A454:$AT454,1,MAP!$B$3)=CurrentSeason,1,0))</f>
        <v>1</v>
      </c>
      <c r="AW454" s="26">
        <f t="shared" si="1"/>
        <v>164</v>
      </c>
    </row>
    <row r="455" ht="15.75" customHeight="1">
      <c r="A455" s="26" t="s">
        <v>1610</v>
      </c>
      <c r="B455" s="26">
        <v>2026.0</v>
      </c>
      <c r="C455" s="26" t="s">
        <v>390</v>
      </c>
      <c r="D455" s="26">
        <v>12.0</v>
      </c>
      <c r="E455" s="26">
        <v>46352.0</v>
      </c>
      <c r="F455" s="26" t="s">
        <v>392</v>
      </c>
      <c r="G455" s="26">
        <v>0.5416666666678793</v>
      </c>
      <c r="H455" s="26" t="s">
        <v>137</v>
      </c>
      <c r="J455" s="26" t="s">
        <v>202</v>
      </c>
      <c r="L455" s="26" t="s">
        <v>77</v>
      </c>
      <c r="P455" s="26">
        <v>2.0261126E9</v>
      </c>
      <c r="S455" s="26" t="s">
        <v>1611</v>
      </c>
      <c r="W455" s="26">
        <v>4.0</v>
      </c>
      <c r="X455" s="26">
        <v>4.0</v>
      </c>
      <c r="AG455" s="26">
        <v>1.0</v>
      </c>
      <c r="AH455" s="26" t="s">
        <v>409</v>
      </c>
      <c r="AI455" s="26" t="s">
        <v>423</v>
      </c>
      <c r="AP455" s="26" t="s">
        <v>556</v>
      </c>
      <c r="AQ455" s="26" t="s">
        <v>524</v>
      </c>
      <c r="AS455" s="26" t="s">
        <v>579</v>
      </c>
      <c r="AT455" s="26" t="s">
        <v>580</v>
      </c>
      <c r="AV455" s="26">
        <f t="array" ref="AV455">IF($A455="","",IF(INDEX($A455:$AT455,1,MAP!$B$3)=CurrentSeason,1,0))</f>
        <v>1</v>
      </c>
      <c r="AW455" s="26">
        <f t="shared" si="1"/>
        <v>165</v>
      </c>
    </row>
    <row r="456" ht="15.75" customHeight="1">
      <c r="A456" s="26" t="s">
        <v>1612</v>
      </c>
      <c r="B456" s="26">
        <v>2026.0</v>
      </c>
      <c r="C456" s="26" t="s">
        <v>390</v>
      </c>
      <c r="D456" s="26">
        <v>12.0</v>
      </c>
      <c r="E456" s="26">
        <v>46352.0</v>
      </c>
      <c r="F456" s="26" t="s">
        <v>392</v>
      </c>
      <c r="G456" s="26">
        <v>0.6875</v>
      </c>
      <c r="H456" s="26" t="s">
        <v>147</v>
      </c>
      <c r="J456" s="26" t="s">
        <v>146</v>
      </c>
      <c r="L456" s="26" t="s">
        <v>77</v>
      </c>
      <c r="P456" s="26">
        <v>2.026112601E9</v>
      </c>
      <c r="S456" s="26" t="s">
        <v>1613</v>
      </c>
      <c r="W456" s="26">
        <v>4.0</v>
      </c>
      <c r="X456" s="26">
        <v>4.0</v>
      </c>
      <c r="AG456" s="26">
        <v>1.0</v>
      </c>
      <c r="AI456" s="26" t="s">
        <v>531</v>
      </c>
      <c r="AP456" s="26" t="s">
        <v>400</v>
      </c>
      <c r="AQ456" s="26" t="s">
        <v>399</v>
      </c>
      <c r="AS456" s="26" t="s">
        <v>575</v>
      </c>
      <c r="AT456" s="26" t="s">
        <v>576</v>
      </c>
      <c r="AV456" s="26">
        <f t="array" ref="AV456">IF($A456="","",IF(INDEX($A456:$AT456,1,MAP!$B$3)=CurrentSeason,1,0))</f>
        <v>1</v>
      </c>
      <c r="AW456" s="26">
        <f t="shared" si="1"/>
        <v>166</v>
      </c>
    </row>
    <row r="457" ht="15.75" customHeight="1">
      <c r="A457" s="26" t="s">
        <v>1614</v>
      </c>
      <c r="B457" s="26">
        <v>2026.0</v>
      </c>
      <c r="C457" s="26" t="s">
        <v>390</v>
      </c>
      <c r="D457" s="26">
        <v>12.0</v>
      </c>
      <c r="E457" s="26">
        <v>46352.0</v>
      </c>
      <c r="F457" s="26" t="s">
        <v>392</v>
      </c>
      <c r="G457" s="26">
        <v>0.8472222222226264</v>
      </c>
      <c r="H457" s="26" t="s">
        <v>143</v>
      </c>
      <c r="J457" s="26" t="s">
        <v>136</v>
      </c>
      <c r="L457" s="26" t="s">
        <v>77</v>
      </c>
      <c r="P457" s="26">
        <v>2.026112602E9</v>
      </c>
      <c r="S457" s="26" t="s">
        <v>1615</v>
      </c>
      <c r="W457" s="26">
        <v>4.0</v>
      </c>
      <c r="X457" s="26">
        <v>4.0</v>
      </c>
      <c r="AG457" s="26">
        <v>0.0</v>
      </c>
      <c r="AH457" s="26" t="s">
        <v>395</v>
      </c>
      <c r="AI457" s="26" t="s">
        <v>539</v>
      </c>
      <c r="AP457" s="26" t="s">
        <v>412</v>
      </c>
      <c r="AQ457" s="26" t="s">
        <v>543</v>
      </c>
      <c r="AS457" s="26" t="s">
        <v>545</v>
      </c>
      <c r="AT457" s="26" t="s">
        <v>1305</v>
      </c>
      <c r="AV457" s="26">
        <f t="array" ref="AV457">IF($A457="","",IF(INDEX($A457:$AT457,1,MAP!$B$3)=CurrentSeason,1,0))</f>
        <v>1</v>
      </c>
      <c r="AW457" s="26">
        <f t="shared" si="1"/>
        <v>167</v>
      </c>
    </row>
    <row r="458" ht="15.75" customHeight="1">
      <c r="A458" s="26" t="s">
        <v>1616</v>
      </c>
      <c r="B458" s="26">
        <v>2026.0</v>
      </c>
      <c r="C458" s="26" t="s">
        <v>390</v>
      </c>
      <c r="D458" s="26">
        <v>12.0</v>
      </c>
      <c r="E458" s="26">
        <v>46353.0</v>
      </c>
      <c r="F458" s="26" t="s">
        <v>406</v>
      </c>
      <c r="G458" s="26">
        <v>0.625</v>
      </c>
      <c r="H458" s="26" t="s">
        <v>139</v>
      </c>
      <c r="J458" s="26" t="s">
        <v>242</v>
      </c>
      <c r="L458" s="26" t="s">
        <v>77</v>
      </c>
      <c r="P458" s="26">
        <v>2.0261127E9</v>
      </c>
      <c r="S458" s="26" t="s">
        <v>1617</v>
      </c>
      <c r="W458" s="26">
        <v>5.0</v>
      </c>
      <c r="X458" s="26">
        <v>5.0</v>
      </c>
      <c r="AG458" s="26">
        <v>0.0</v>
      </c>
      <c r="AH458" s="26" t="s">
        <v>395</v>
      </c>
      <c r="AI458" s="26" t="s">
        <v>396</v>
      </c>
      <c r="AP458" s="26" t="s">
        <v>506</v>
      </c>
      <c r="AQ458" s="26" t="s">
        <v>1285</v>
      </c>
      <c r="AS458" s="26" t="s">
        <v>593</v>
      </c>
      <c r="AT458" s="26" t="s">
        <v>594</v>
      </c>
      <c r="AV458" s="26">
        <f t="array" ref="AV458">IF($A458="","",IF(INDEX($A458:$AT458,1,MAP!$B$3)=CurrentSeason,1,0))</f>
        <v>1</v>
      </c>
      <c r="AW458" s="26">
        <f t="shared" si="1"/>
        <v>168</v>
      </c>
    </row>
    <row r="459" ht="15.75" customHeight="1">
      <c r="A459" s="26" t="s">
        <v>1618</v>
      </c>
      <c r="B459" s="26">
        <v>2026.0</v>
      </c>
      <c r="C459" s="26" t="s">
        <v>390</v>
      </c>
      <c r="D459" s="26">
        <v>12.0</v>
      </c>
      <c r="E459" s="26">
        <v>46355.0</v>
      </c>
      <c r="F459" s="26" t="s">
        <v>419</v>
      </c>
      <c r="G459" s="26">
        <v>0.5416666666678793</v>
      </c>
      <c r="H459" s="26" t="s">
        <v>232</v>
      </c>
      <c r="J459" s="26" t="s">
        <v>138</v>
      </c>
      <c r="L459" s="26" t="s">
        <v>77</v>
      </c>
      <c r="P459" s="26">
        <v>2.0261129E9</v>
      </c>
      <c r="S459" s="26" t="s">
        <v>1619</v>
      </c>
      <c r="W459" s="26">
        <v>7.0</v>
      </c>
      <c r="X459" s="26">
        <v>6.0</v>
      </c>
      <c r="AG459" s="26">
        <v>0.0</v>
      </c>
      <c r="AH459" s="26" t="s">
        <v>395</v>
      </c>
      <c r="AI459" s="26" t="s">
        <v>423</v>
      </c>
      <c r="AP459" s="26" t="s">
        <v>476</v>
      </c>
      <c r="AQ459" s="26" t="s">
        <v>437</v>
      </c>
      <c r="AS459" s="26" t="s">
        <v>571</v>
      </c>
      <c r="AT459" s="26" t="s">
        <v>572</v>
      </c>
      <c r="AV459" s="26">
        <f t="array" ref="AV459">IF($A459="","",IF(INDEX($A459:$AT459,1,MAP!$B$3)=CurrentSeason,1,0))</f>
        <v>1</v>
      </c>
      <c r="AW459" s="26">
        <f t="shared" si="1"/>
        <v>169</v>
      </c>
    </row>
    <row r="460" ht="15.75" customHeight="1">
      <c r="A460" s="26" t="s">
        <v>1620</v>
      </c>
      <c r="B460" s="26">
        <v>2026.0</v>
      </c>
      <c r="C460" s="26" t="s">
        <v>390</v>
      </c>
      <c r="D460" s="26">
        <v>12.0</v>
      </c>
      <c r="E460" s="26">
        <v>46355.0</v>
      </c>
      <c r="F460" s="26" t="s">
        <v>419</v>
      </c>
      <c r="G460" s="26">
        <v>0.5416666666678793</v>
      </c>
      <c r="H460" s="26" t="s">
        <v>222</v>
      </c>
      <c r="J460" s="26" t="s">
        <v>196</v>
      </c>
      <c r="L460" s="26" t="s">
        <v>77</v>
      </c>
      <c r="P460" s="26">
        <v>2.026112901E9</v>
      </c>
      <c r="S460" s="26" t="s">
        <v>1621</v>
      </c>
      <c r="W460" s="26">
        <v>7.0</v>
      </c>
      <c r="X460" s="26">
        <v>14.0</v>
      </c>
      <c r="AG460" s="26">
        <v>0.0</v>
      </c>
      <c r="AH460" s="26" t="s">
        <v>395</v>
      </c>
      <c r="AI460" s="26" t="s">
        <v>396</v>
      </c>
      <c r="AP460" s="26" t="s">
        <v>1294</v>
      </c>
      <c r="AQ460" s="26" t="s">
        <v>1281</v>
      </c>
      <c r="AS460" s="26" t="s">
        <v>440</v>
      </c>
      <c r="AT460" s="26" t="s">
        <v>1342</v>
      </c>
      <c r="AV460" s="26">
        <f t="array" ref="AV460">IF($A460="","",IF(INDEX($A460:$AT460,1,MAP!$B$3)=CurrentSeason,1,0))</f>
        <v>1</v>
      </c>
      <c r="AW460" s="26">
        <f t="shared" si="1"/>
        <v>170</v>
      </c>
    </row>
    <row r="461" ht="15.75" customHeight="1">
      <c r="A461" s="26" t="s">
        <v>1622</v>
      </c>
      <c r="B461" s="26">
        <v>2026.0</v>
      </c>
      <c r="C461" s="26" t="s">
        <v>390</v>
      </c>
      <c r="D461" s="26">
        <v>12.0</v>
      </c>
      <c r="E461" s="26">
        <v>46355.0</v>
      </c>
      <c r="F461" s="26" t="s">
        <v>419</v>
      </c>
      <c r="G461" s="26">
        <v>0.5416666666678793</v>
      </c>
      <c r="H461" s="26" t="s">
        <v>148</v>
      </c>
      <c r="J461" s="26" t="s">
        <v>140</v>
      </c>
      <c r="L461" s="26" t="s">
        <v>77</v>
      </c>
      <c r="P461" s="26">
        <v>2.026112902E9</v>
      </c>
      <c r="S461" s="26" t="s">
        <v>1623</v>
      </c>
      <c r="W461" s="26">
        <v>7.0</v>
      </c>
      <c r="X461" s="26">
        <v>10.0</v>
      </c>
      <c r="AG461" s="26">
        <v>0.0</v>
      </c>
      <c r="AI461" s="26" t="s">
        <v>617</v>
      </c>
      <c r="AP461" s="26" t="s">
        <v>1278</v>
      </c>
      <c r="AQ461" s="26" t="s">
        <v>534</v>
      </c>
      <c r="AS461" s="26" t="s">
        <v>618</v>
      </c>
      <c r="AT461" s="26" t="s">
        <v>1275</v>
      </c>
      <c r="AV461" s="26">
        <f t="array" ref="AV461">IF($A461="","",IF(INDEX($A461:$AT461,1,MAP!$B$3)=CurrentSeason,1,0))</f>
        <v>1</v>
      </c>
      <c r="AW461" s="26">
        <f t="shared" si="1"/>
        <v>171</v>
      </c>
    </row>
    <row r="462" ht="15.75" customHeight="1">
      <c r="A462" s="26" t="s">
        <v>1624</v>
      </c>
      <c r="B462" s="26">
        <v>2026.0</v>
      </c>
      <c r="C462" s="26" t="s">
        <v>390</v>
      </c>
      <c r="D462" s="26">
        <v>12.0</v>
      </c>
      <c r="E462" s="26">
        <v>46355.0</v>
      </c>
      <c r="F462" s="26" t="s">
        <v>419</v>
      </c>
      <c r="G462" s="26">
        <v>0.5416666666678793</v>
      </c>
      <c r="H462" s="26" t="s">
        <v>235</v>
      </c>
      <c r="J462" s="26" t="s">
        <v>210</v>
      </c>
      <c r="L462" s="26" t="s">
        <v>77</v>
      </c>
      <c r="P462" s="26">
        <v>2.026112903E9</v>
      </c>
      <c r="S462" s="26" t="s">
        <v>1625</v>
      </c>
      <c r="W462" s="26">
        <v>7.0</v>
      </c>
      <c r="X462" s="26">
        <v>10.0</v>
      </c>
      <c r="AG462" s="26">
        <v>0.0</v>
      </c>
      <c r="AI462" s="26" t="s">
        <v>423</v>
      </c>
      <c r="AP462" s="26" t="s">
        <v>542</v>
      </c>
      <c r="AQ462" s="26" t="s">
        <v>447</v>
      </c>
      <c r="AS462" s="26" t="s">
        <v>449</v>
      </c>
      <c r="AT462" s="26" t="s">
        <v>450</v>
      </c>
      <c r="AV462" s="26">
        <f t="array" ref="AV462">IF($A462="","",IF(INDEX($A462:$AT462,1,MAP!$B$3)=CurrentSeason,1,0))</f>
        <v>1</v>
      </c>
      <c r="AW462" s="26">
        <f t="shared" si="1"/>
        <v>172</v>
      </c>
    </row>
    <row r="463" ht="15.75" customHeight="1">
      <c r="A463" s="26" t="s">
        <v>1626</v>
      </c>
      <c r="B463" s="26">
        <v>2026.0</v>
      </c>
      <c r="C463" s="26" t="s">
        <v>390</v>
      </c>
      <c r="D463" s="26">
        <v>12.0</v>
      </c>
      <c r="E463" s="26">
        <v>46355.0</v>
      </c>
      <c r="F463" s="26" t="s">
        <v>419</v>
      </c>
      <c r="G463" s="26">
        <v>0.5416666666678793</v>
      </c>
      <c r="H463" s="26" t="s">
        <v>238</v>
      </c>
      <c r="J463" s="26" t="s">
        <v>225</v>
      </c>
      <c r="L463" s="26" t="s">
        <v>77</v>
      </c>
      <c r="P463" s="26">
        <v>2.026112904E9</v>
      </c>
      <c r="S463" s="26" t="s">
        <v>1627</v>
      </c>
      <c r="W463" s="26">
        <v>7.0</v>
      </c>
      <c r="X463" s="26">
        <v>7.0</v>
      </c>
      <c r="AG463" s="26">
        <v>1.0</v>
      </c>
      <c r="AH463" s="26" t="s">
        <v>395</v>
      </c>
      <c r="AI463" s="26" t="s">
        <v>396</v>
      </c>
      <c r="AP463" s="26" t="s">
        <v>486</v>
      </c>
      <c r="AQ463" s="26" t="s">
        <v>1293</v>
      </c>
      <c r="AS463" s="26" t="s">
        <v>583</v>
      </c>
      <c r="AT463" s="26" t="s">
        <v>584</v>
      </c>
      <c r="AV463" s="26">
        <f t="array" ref="AV463">IF($A463="","",IF(INDEX($A463:$AT463,1,MAP!$B$3)=CurrentSeason,1,0))</f>
        <v>1</v>
      </c>
      <c r="AW463" s="26">
        <f t="shared" si="1"/>
        <v>173</v>
      </c>
    </row>
    <row r="464" ht="15.75" customHeight="1">
      <c r="A464" s="26" t="s">
        <v>1628</v>
      </c>
      <c r="B464" s="26">
        <v>2026.0</v>
      </c>
      <c r="C464" s="26" t="s">
        <v>390</v>
      </c>
      <c r="D464" s="26">
        <v>12.0</v>
      </c>
      <c r="E464" s="26">
        <v>46355.0</v>
      </c>
      <c r="F464" s="26" t="s">
        <v>419</v>
      </c>
      <c r="G464" s="26">
        <v>0.5416666666678793</v>
      </c>
      <c r="H464" s="26" t="s">
        <v>132</v>
      </c>
      <c r="J464" s="26" t="s">
        <v>144</v>
      </c>
      <c r="L464" s="26" t="s">
        <v>77</v>
      </c>
      <c r="P464" s="26">
        <v>2.026112905E9</v>
      </c>
      <c r="S464" s="26" t="s">
        <v>1629</v>
      </c>
      <c r="W464" s="26">
        <v>14.0</v>
      </c>
      <c r="X464" s="26">
        <v>7.0</v>
      </c>
      <c r="AG464" s="26">
        <v>0.0</v>
      </c>
      <c r="AH464" s="26" t="s">
        <v>409</v>
      </c>
      <c r="AI464" s="26" t="s">
        <v>471</v>
      </c>
      <c r="AP464" s="26" t="s">
        <v>428</v>
      </c>
      <c r="AQ464" s="26" t="s">
        <v>555</v>
      </c>
      <c r="AS464" s="26" t="s">
        <v>611</v>
      </c>
      <c r="AT464" s="26" t="s">
        <v>612</v>
      </c>
      <c r="AV464" s="26">
        <f t="array" ref="AV464">IF($A464="","",IF(INDEX($A464:$AT464,1,MAP!$B$3)=CurrentSeason,1,0))</f>
        <v>1</v>
      </c>
      <c r="AW464" s="26">
        <f t="shared" si="1"/>
        <v>174</v>
      </c>
    </row>
    <row r="465" ht="15.75" customHeight="1">
      <c r="A465" s="26" t="s">
        <v>1630</v>
      </c>
      <c r="B465" s="26">
        <v>2026.0</v>
      </c>
      <c r="C465" s="26" t="s">
        <v>390</v>
      </c>
      <c r="D465" s="26">
        <v>12.0</v>
      </c>
      <c r="E465" s="26">
        <v>46355.0</v>
      </c>
      <c r="F465" s="26" t="s">
        <v>419</v>
      </c>
      <c r="G465" s="26">
        <v>0.6701388888905058</v>
      </c>
      <c r="H465" s="26" t="s">
        <v>250</v>
      </c>
      <c r="J465" s="26" t="s">
        <v>141</v>
      </c>
      <c r="L465" s="26" t="s">
        <v>77</v>
      </c>
      <c r="P465" s="26">
        <v>2.026112906E9</v>
      </c>
      <c r="S465" s="26" t="s">
        <v>1631</v>
      </c>
      <c r="W465" s="26">
        <v>7.0</v>
      </c>
      <c r="X465" s="26">
        <v>7.0</v>
      </c>
      <c r="AG465" s="26">
        <v>1.0</v>
      </c>
      <c r="AH465" s="26" t="s">
        <v>395</v>
      </c>
      <c r="AI465" s="26" t="s">
        <v>396</v>
      </c>
      <c r="AP465" s="26" t="s">
        <v>1288</v>
      </c>
      <c r="AQ465" s="26" t="s">
        <v>456</v>
      </c>
      <c r="AS465" s="26" t="s">
        <v>458</v>
      </c>
      <c r="AT465" s="26" t="s">
        <v>1282</v>
      </c>
      <c r="AV465" s="26">
        <f t="array" ref="AV465">IF($A465="","",IF(INDEX($A465:$AT465,1,MAP!$B$3)=CurrentSeason,1,0))</f>
        <v>1</v>
      </c>
      <c r="AW465" s="26">
        <f t="shared" si="1"/>
        <v>175</v>
      </c>
    </row>
    <row r="466" ht="15.75" customHeight="1">
      <c r="A466" s="26" t="s">
        <v>1632</v>
      </c>
      <c r="B466" s="26">
        <v>2026.0</v>
      </c>
      <c r="C466" s="26" t="s">
        <v>390</v>
      </c>
      <c r="D466" s="26">
        <v>12.0</v>
      </c>
      <c r="E466" s="26">
        <v>46355.0</v>
      </c>
      <c r="F466" s="26" t="s">
        <v>419</v>
      </c>
      <c r="G466" s="26">
        <v>0.6840277777773736</v>
      </c>
      <c r="H466" s="26" t="s">
        <v>253</v>
      </c>
      <c r="J466" s="26" t="s">
        <v>178</v>
      </c>
      <c r="L466" s="26" t="s">
        <v>77</v>
      </c>
      <c r="P466" s="26">
        <v>2.026112907E9</v>
      </c>
      <c r="S466" s="26" t="s">
        <v>1633</v>
      </c>
      <c r="W466" s="26">
        <v>6.0</v>
      </c>
      <c r="X466" s="26">
        <v>7.0</v>
      </c>
      <c r="AG466" s="26">
        <v>0.0</v>
      </c>
      <c r="AI466" s="26" t="s">
        <v>396</v>
      </c>
      <c r="AP466" s="26" t="s">
        <v>496</v>
      </c>
      <c r="AQ466" s="26" t="s">
        <v>475</v>
      </c>
      <c r="AS466" s="26" t="s">
        <v>601</v>
      </c>
      <c r="AT466" s="26" t="s">
        <v>602</v>
      </c>
      <c r="AV466" s="26">
        <f t="array" ref="AV466">IF($A466="","",IF(INDEX($A466:$AT466,1,MAP!$B$3)=CurrentSeason,1,0))</f>
        <v>1</v>
      </c>
      <c r="AW466" s="26">
        <f t="shared" si="1"/>
        <v>176</v>
      </c>
    </row>
    <row r="467" ht="15.75" customHeight="1">
      <c r="A467" s="26" t="s">
        <v>1634</v>
      </c>
      <c r="B467" s="26">
        <v>2026.0</v>
      </c>
      <c r="C467" s="26" t="s">
        <v>390</v>
      </c>
      <c r="D467" s="26">
        <v>12.0</v>
      </c>
      <c r="E467" s="26">
        <v>46355.0</v>
      </c>
      <c r="F467" s="26" t="s">
        <v>419</v>
      </c>
      <c r="G467" s="26">
        <v>0.6840277777773736</v>
      </c>
      <c r="H467" s="26" t="s">
        <v>149</v>
      </c>
      <c r="J467" s="26" t="s">
        <v>246</v>
      </c>
      <c r="L467" s="26" t="s">
        <v>77</v>
      </c>
      <c r="P467" s="26">
        <v>2.026112908E9</v>
      </c>
      <c r="S467" s="26" t="s">
        <v>1635</v>
      </c>
      <c r="W467" s="26">
        <v>14.0</v>
      </c>
      <c r="X467" s="26">
        <v>7.0</v>
      </c>
      <c r="AG467" s="26">
        <v>1.0</v>
      </c>
      <c r="AH467" s="26" t="s">
        <v>395</v>
      </c>
      <c r="AI467" s="26" t="s">
        <v>396</v>
      </c>
      <c r="AP467" s="26" t="s">
        <v>515</v>
      </c>
      <c r="AQ467" s="26" t="s">
        <v>514</v>
      </c>
      <c r="AS467" s="26" t="s">
        <v>667</v>
      </c>
      <c r="AT467" s="26" t="s">
        <v>668</v>
      </c>
      <c r="AV467" s="26">
        <f t="array" ref="AV467">IF($A467="","",IF(INDEX($A467:$AT467,1,MAP!$B$3)=CurrentSeason,1,0))</f>
        <v>1</v>
      </c>
      <c r="AW467" s="26">
        <f t="shared" si="1"/>
        <v>177</v>
      </c>
    </row>
    <row r="468" ht="15.75" customHeight="1">
      <c r="A468" s="26" t="s">
        <v>1636</v>
      </c>
      <c r="B468" s="26">
        <v>2026.0</v>
      </c>
      <c r="C468" s="26" t="s">
        <v>390</v>
      </c>
      <c r="D468" s="26">
        <v>12.0</v>
      </c>
      <c r="E468" s="26">
        <v>46355.0</v>
      </c>
      <c r="F468" s="26" t="s">
        <v>419</v>
      </c>
      <c r="G468" s="26">
        <v>0.8472222222226264</v>
      </c>
      <c r="H468" s="26" t="s">
        <v>145</v>
      </c>
      <c r="J468" s="26" t="s">
        <v>220</v>
      </c>
      <c r="L468" s="26" t="s">
        <v>77</v>
      </c>
      <c r="P468" s="26">
        <v>2.026112909E9</v>
      </c>
      <c r="S468" s="26" t="s">
        <v>1637</v>
      </c>
      <c r="W468" s="26">
        <v>14.0</v>
      </c>
      <c r="X468" s="26">
        <v>7.0</v>
      </c>
      <c r="AG468" s="26">
        <v>0.0</v>
      </c>
      <c r="AH468" s="26" t="s">
        <v>409</v>
      </c>
      <c r="AI468" s="26" t="s">
        <v>531</v>
      </c>
      <c r="AP468" s="26" t="s">
        <v>465</v>
      </c>
      <c r="AQ468" s="26" t="s">
        <v>413</v>
      </c>
      <c r="AS468" s="26" t="s">
        <v>415</v>
      </c>
      <c r="AT468" s="26" t="s">
        <v>416</v>
      </c>
      <c r="AV468" s="26">
        <f t="array" ref="AV468">IF($A468="","",IF(INDEX($A468:$AT468,1,MAP!$B$3)=CurrentSeason,1,0))</f>
        <v>1</v>
      </c>
      <c r="AW468" s="26">
        <f t="shared" si="1"/>
        <v>178</v>
      </c>
    </row>
    <row r="469" ht="15.75" customHeight="1">
      <c r="A469" s="26" t="s">
        <v>1638</v>
      </c>
      <c r="B469" s="26">
        <v>2026.0</v>
      </c>
      <c r="C469" s="26" t="s">
        <v>390</v>
      </c>
      <c r="D469" s="26">
        <v>12.0</v>
      </c>
      <c r="E469" s="26">
        <v>46356.0</v>
      </c>
      <c r="F469" s="26" t="s">
        <v>549</v>
      </c>
      <c r="G469" s="26">
        <v>0.84375</v>
      </c>
      <c r="H469" s="26" t="s">
        <v>189</v>
      </c>
      <c r="J469" s="26" t="s">
        <v>150</v>
      </c>
      <c r="L469" s="26" t="s">
        <v>77</v>
      </c>
      <c r="P469" s="26">
        <v>2.026113E9</v>
      </c>
      <c r="S469" s="26" t="s">
        <v>1639</v>
      </c>
      <c r="W469" s="26">
        <v>8.0</v>
      </c>
      <c r="X469" s="26">
        <v>8.0</v>
      </c>
      <c r="AG469" s="26">
        <v>1.0</v>
      </c>
      <c r="AH469" s="26" t="s">
        <v>395</v>
      </c>
      <c r="AI469" s="26" t="s">
        <v>396</v>
      </c>
      <c r="AP469" s="26" t="s">
        <v>455</v>
      </c>
      <c r="AQ469" s="26" t="s">
        <v>427</v>
      </c>
      <c r="AS469" s="26" t="s">
        <v>651</v>
      </c>
      <c r="AT469" s="26" t="s">
        <v>652</v>
      </c>
      <c r="AV469" s="26">
        <f t="array" ref="AV469">IF($A469="","",IF(INDEX($A469:$AT469,1,MAP!$B$3)=CurrentSeason,1,0))</f>
        <v>1</v>
      </c>
      <c r="AW469" s="26">
        <f t="shared" si="1"/>
        <v>179</v>
      </c>
    </row>
    <row r="470" ht="15.75" customHeight="1">
      <c r="A470" s="26" t="s">
        <v>1640</v>
      </c>
      <c r="B470" s="26">
        <v>2026.0</v>
      </c>
      <c r="C470" s="26" t="s">
        <v>390</v>
      </c>
      <c r="D470" s="26">
        <v>13.0</v>
      </c>
      <c r="E470" s="26">
        <v>46359.0</v>
      </c>
      <c r="F470" s="26" t="s">
        <v>392</v>
      </c>
      <c r="G470" s="26">
        <v>0.84375</v>
      </c>
      <c r="H470" s="26" t="s">
        <v>143</v>
      </c>
      <c r="J470" s="26" t="s">
        <v>142</v>
      </c>
      <c r="L470" s="26" t="s">
        <v>77</v>
      </c>
      <c r="P470" s="26">
        <v>2.0261203E9</v>
      </c>
      <c r="S470" s="26" t="s">
        <v>1641</v>
      </c>
      <c r="W470" s="26">
        <v>7.0</v>
      </c>
      <c r="X470" s="26">
        <v>8.0</v>
      </c>
      <c r="AG470" s="26">
        <v>0.0</v>
      </c>
      <c r="AH470" s="26" t="s">
        <v>409</v>
      </c>
      <c r="AI470" s="26" t="s">
        <v>531</v>
      </c>
      <c r="AP470" s="26" t="s">
        <v>412</v>
      </c>
      <c r="AQ470" s="26" t="s">
        <v>535</v>
      </c>
      <c r="AS470" s="26" t="s">
        <v>415</v>
      </c>
      <c r="AT470" s="26" t="s">
        <v>416</v>
      </c>
      <c r="AV470" s="26">
        <f t="array" ref="AV470">IF($A470="","",IF(INDEX($A470:$AT470,1,MAP!$B$3)=CurrentSeason,1,0))</f>
        <v>1</v>
      </c>
      <c r="AW470" s="26">
        <f t="shared" si="1"/>
        <v>180</v>
      </c>
    </row>
    <row r="471" ht="15.75" customHeight="1">
      <c r="A471" s="26" t="s">
        <v>1642</v>
      </c>
      <c r="B471" s="26">
        <v>2026.0</v>
      </c>
      <c r="C471" s="26" t="s">
        <v>390</v>
      </c>
      <c r="D471" s="26">
        <v>13.0</v>
      </c>
      <c r="E471" s="26">
        <v>46362.0</v>
      </c>
      <c r="F471" s="26" t="s">
        <v>419</v>
      </c>
      <c r="G471" s="26">
        <v>0.5416666666678793</v>
      </c>
      <c r="H471" s="26" t="s">
        <v>202</v>
      </c>
      <c r="J471" s="26" t="s">
        <v>132</v>
      </c>
      <c r="L471" s="26" t="s">
        <v>77</v>
      </c>
      <c r="P471" s="26">
        <v>2.0261206E9</v>
      </c>
      <c r="S471" s="26" t="s">
        <v>1643</v>
      </c>
      <c r="W471" s="26">
        <v>10.0</v>
      </c>
      <c r="X471" s="26">
        <v>7.0</v>
      </c>
      <c r="AG471" s="26">
        <v>0.0</v>
      </c>
      <c r="AI471" s="26" t="s">
        <v>423</v>
      </c>
      <c r="AP471" s="26" t="s">
        <v>524</v>
      </c>
      <c r="AQ471" s="26" t="s">
        <v>428</v>
      </c>
      <c r="AS471" s="26" t="s">
        <v>430</v>
      </c>
      <c r="AT471" s="26" t="s">
        <v>431</v>
      </c>
      <c r="AV471" s="26">
        <f t="array" ref="AV471">IF($A471="","",IF(INDEX($A471:$AT471,1,MAP!$B$3)=CurrentSeason,1,0))</f>
        <v>1</v>
      </c>
      <c r="AW471" s="26">
        <f t="shared" si="1"/>
        <v>181</v>
      </c>
    </row>
    <row r="472" ht="15.75" customHeight="1">
      <c r="A472" s="26" t="s">
        <v>1644</v>
      </c>
      <c r="B472" s="26">
        <v>2026.0</v>
      </c>
      <c r="C472" s="26" t="s">
        <v>390</v>
      </c>
      <c r="D472" s="26">
        <v>13.0</v>
      </c>
      <c r="E472" s="26">
        <v>46362.0</v>
      </c>
      <c r="F472" s="26" t="s">
        <v>419</v>
      </c>
      <c r="G472" s="26">
        <v>0.5416666666678793</v>
      </c>
      <c r="H472" s="26" t="s">
        <v>141</v>
      </c>
      <c r="J472" s="26" t="s">
        <v>137</v>
      </c>
      <c r="L472" s="26" t="s">
        <v>77</v>
      </c>
      <c r="P472" s="26">
        <v>2.026120601E9</v>
      </c>
      <c r="S472" s="26" t="s">
        <v>1645</v>
      </c>
      <c r="W472" s="26">
        <v>7.0</v>
      </c>
      <c r="X472" s="26">
        <v>10.0</v>
      </c>
      <c r="AG472" s="26">
        <v>0.0</v>
      </c>
      <c r="AH472" s="26" t="s">
        <v>395</v>
      </c>
      <c r="AI472" s="26" t="s">
        <v>396</v>
      </c>
      <c r="AP472" s="26" t="s">
        <v>456</v>
      </c>
      <c r="AQ472" s="26" t="s">
        <v>556</v>
      </c>
      <c r="AS472" s="26" t="s">
        <v>558</v>
      </c>
      <c r="AT472" s="26" t="s">
        <v>559</v>
      </c>
      <c r="AV472" s="26">
        <f t="array" ref="AV472">IF($A472="","",IF(INDEX($A472:$AT472,1,MAP!$B$3)=CurrentSeason,1,0))</f>
        <v>1</v>
      </c>
      <c r="AW472" s="26">
        <f t="shared" si="1"/>
        <v>182</v>
      </c>
    </row>
    <row r="473" ht="15.75" customHeight="1">
      <c r="A473" s="26" t="s">
        <v>1646</v>
      </c>
      <c r="B473" s="26">
        <v>2026.0</v>
      </c>
      <c r="C473" s="26" t="s">
        <v>390</v>
      </c>
      <c r="D473" s="26">
        <v>13.0</v>
      </c>
      <c r="E473" s="26">
        <v>46362.0</v>
      </c>
      <c r="F473" s="26" t="s">
        <v>419</v>
      </c>
      <c r="G473" s="26">
        <v>0.5416666666678793</v>
      </c>
      <c r="H473" s="26" t="s">
        <v>138</v>
      </c>
      <c r="J473" s="26" t="s">
        <v>196</v>
      </c>
      <c r="L473" s="26" t="s">
        <v>77</v>
      </c>
      <c r="P473" s="26">
        <v>2.026120602E9</v>
      </c>
      <c r="S473" s="26" t="s">
        <v>1647</v>
      </c>
      <c r="W473" s="26">
        <v>7.0</v>
      </c>
      <c r="X473" s="26">
        <v>7.0</v>
      </c>
      <c r="AG473" s="26">
        <v>1.0</v>
      </c>
      <c r="AH473" s="26" t="s">
        <v>395</v>
      </c>
      <c r="AI473" s="26" t="s">
        <v>396</v>
      </c>
      <c r="AP473" s="26" t="s">
        <v>437</v>
      </c>
      <c r="AQ473" s="26" t="s">
        <v>1281</v>
      </c>
      <c r="AS473" s="26" t="s">
        <v>440</v>
      </c>
      <c r="AT473" s="26" t="s">
        <v>1342</v>
      </c>
      <c r="AV473" s="26">
        <f t="array" ref="AV473">IF($A473="","",IF(INDEX($A473:$AT473,1,MAP!$B$3)=CurrentSeason,1,0))</f>
        <v>1</v>
      </c>
      <c r="AW473" s="26">
        <f t="shared" si="1"/>
        <v>183</v>
      </c>
    </row>
    <row r="474" ht="15.75" customHeight="1">
      <c r="A474" s="26" t="s">
        <v>1648</v>
      </c>
      <c r="B474" s="26">
        <v>2026.0</v>
      </c>
      <c r="C474" s="26" t="s">
        <v>390</v>
      </c>
      <c r="D474" s="26">
        <v>13.0</v>
      </c>
      <c r="E474" s="26">
        <v>46362.0</v>
      </c>
      <c r="F474" s="26" t="s">
        <v>419</v>
      </c>
      <c r="G474" s="26">
        <v>0.5416666666678793</v>
      </c>
      <c r="H474" s="26" t="s">
        <v>205</v>
      </c>
      <c r="J474" s="26" t="s">
        <v>232</v>
      </c>
      <c r="L474" s="26" t="s">
        <v>77</v>
      </c>
      <c r="P474" s="26">
        <v>2.026120603E9</v>
      </c>
      <c r="S474" s="26" t="s">
        <v>1649</v>
      </c>
      <c r="W474" s="26">
        <v>11.0</v>
      </c>
      <c r="X474" s="26">
        <v>7.0</v>
      </c>
      <c r="AG474" s="26">
        <v>0.0</v>
      </c>
      <c r="AH474" s="26" t="s">
        <v>409</v>
      </c>
      <c r="AI474" s="26" t="s">
        <v>471</v>
      </c>
      <c r="AP474" s="26" t="s">
        <v>525</v>
      </c>
      <c r="AQ474" s="26" t="s">
        <v>476</v>
      </c>
      <c r="AS474" s="26" t="s">
        <v>478</v>
      </c>
      <c r="AT474" s="26" t="s">
        <v>1367</v>
      </c>
      <c r="AV474" s="26">
        <f t="array" ref="AV474">IF($A474="","",IF(INDEX($A474:$AT474,1,MAP!$B$3)=CurrentSeason,1,0))</f>
        <v>1</v>
      </c>
      <c r="AW474" s="26">
        <f t="shared" si="1"/>
        <v>184</v>
      </c>
    </row>
    <row r="475" ht="15.75" customHeight="1">
      <c r="A475" s="26" t="s">
        <v>1650</v>
      </c>
      <c r="B475" s="26">
        <v>2026.0</v>
      </c>
      <c r="C475" s="26" t="s">
        <v>390</v>
      </c>
      <c r="D475" s="26">
        <v>13.0</v>
      </c>
      <c r="E475" s="26">
        <v>46362.0</v>
      </c>
      <c r="F475" s="26" t="s">
        <v>419</v>
      </c>
      <c r="G475" s="26">
        <v>0.5416666666678793</v>
      </c>
      <c r="H475" s="26" t="s">
        <v>246</v>
      </c>
      <c r="J475" s="26" t="s">
        <v>235</v>
      </c>
      <c r="L475" s="26" t="s">
        <v>77</v>
      </c>
      <c r="P475" s="26">
        <v>2.026120604E9</v>
      </c>
      <c r="S475" s="26" t="s">
        <v>1651</v>
      </c>
      <c r="W475" s="26">
        <v>7.0</v>
      </c>
      <c r="X475" s="26">
        <v>7.0</v>
      </c>
      <c r="AG475" s="26">
        <v>0.0</v>
      </c>
      <c r="AH475" s="26" t="s">
        <v>395</v>
      </c>
      <c r="AI475" s="26" t="s">
        <v>423</v>
      </c>
      <c r="AP475" s="26" t="s">
        <v>514</v>
      </c>
      <c r="AQ475" s="26" t="s">
        <v>542</v>
      </c>
      <c r="AS475" s="26" t="s">
        <v>488</v>
      </c>
      <c r="AT475" s="26" t="s">
        <v>489</v>
      </c>
      <c r="AV475" s="26">
        <f t="array" ref="AV475">IF($A475="","",IF(INDEX($A475:$AT475,1,MAP!$B$3)=CurrentSeason,1,0))</f>
        <v>1</v>
      </c>
      <c r="AW475" s="26">
        <f t="shared" si="1"/>
        <v>185</v>
      </c>
    </row>
    <row r="476" ht="15.75" customHeight="1">
      <c r="A476" s="26" t="s">
        <v>1652</v>
      </c>
      <c r="B476" s="26">
        <v>2026.0</v>
      </c>
      <c r="C476" s="26" t="s">
        <v>390</v>
      </c>
      <c r="D476" s="26">
        <v>13.0</v>
      </c>
      <c r="E476" s="26">
        <v>46362.0</v>
      </c>
      <c r="F476" s="26" t="s">
        <v>419</v>
      </c>
      <c r="G476" s="26">
        <v>0.5416666666678793</v>
      </c>
      <c r="H476" s="26" t="s">
        <v>220</v>
      </c>
      <c r="J476" s="26" t="s">
        <v>150</v>
      </c>
      <c r="L476" s="26" t="s">
        <v>77</v>
      </c>
      <c r="P476" s="26">
        <v>2.026120605E9</v>
      </c>
      <c r="S476" s="26" t="s">
        <v>1653</v>
      </c>
      <c r="W476" s="26">
        <v>7.0</v>
      </c>
      <c r="X476" s="26">
        <v>6.0</v>
      </c>
      <c r="AG476" s="26">
        <v>0.0</v>
      </c>
      <c r="AH476" s="26" t="s">
        <v>395</v>
      </c>
      <c r="AI476" s="26" t="s">
        <v>396</v>
      </c>
      <c r="AP476" s="26" t="s">
        <v>413</v>
      </c>
      <c r="AQ476" s="26" t="s">
        <v>427</v>
      </c>
      <c r="AS476" s="26" t="s">
        <v>651</v>
      </c>
      <c r="AT476" s="26" t="s">
        <v>652</v>
      </c>
      <c r="AV476" s="26">
        <f t="array" ref="AV476">IF($A476="","",IF(INDEX($A476:$AT476,1,MAP!$B$3)=CurrentSeason,1,0))</f>
        <v>1</v>
      </c>
      <c r="AW476" s="26">
        <f t="shared" si="1"/>
        <v>186</v>
      </c>
    </row>
    <row r="477" ht="15.75" customHeight="1">
      <c r="A477" s="26" t="s">
        <v>1654</v>
      </c>
      <c r="B477" s="26">
        <v>2026.0</v>
      </c>
      <c r="C477" s="26" t="s">
        <v>390</v>
      </c>
      <c r="D477" s="26">
        <v>13.0</v>
      </c>
      <c r="E477" s="26">
        <v>46362.0</v>
      </c>
      <c r="F477" s="26" t="s">
        <v>419</v>
      </c>
      <c r="G477" s="26">
        <v>0.5416666666678793</v>
      </c>
      <c r="H477" s="26" t="s">
        <v>253</v>
      </c>
      <c r="J477" s="26" t="s">
        <v>250</v>
      </c>
      <c r="L477" s="26" t="s">
        <v>77</v>
      </c>
      <c r="P477" s="26">
        <v>2.026120606E9</v>
      </c>
      <c r="S477" s="26" t="s">
        <v>1655</v>
      </c>
      <c r="W477" s="26">
        <v>7.0</v>
      </c>
      <c r="X477" s="26">
        <v>7.0</v>
      </c>
      <c r="AG477" s="26">
        <v>0.0</v>
      </c>
      <c r="AH477" s="26" t="s">
        <v>395</v>
      </c>
      <c r="AI477" s="26" t="s">
        <v>396</v>
      </c>
      <c r="AP477" s="26" t="s">
        <v>496</v>
      </c>
      <c r="AQ477" s="26" t="s">
        <v>1288</v>
      </c>
      <c r="AS477" s="26" t="s">
        <v>597</v>
      </c>
      <c r="AT477" s="26" t="s">
        <v>598</v>
      </c>
      <c r="AV477" s="26">
        <f t="array" ref="AV477">IF($A477="","",IF(INDEX($A477:$AT477,1,MAP!$B$3)=CurrentSeason,1,0))</f>
        <v>1</v>
      </c>
      <c r="AW477" s="26">
        <f t="shared" si="1"/>
        <v>187</v>
      </c>
    </row>
    <row r="478" ht="15.75" customHeight="1">
      <c r="A478" s="26" t="s">
        <v>1656</v>
      </c>
      <c r="B478" s="26">
        <v>2026.0</v>
      </c>
      <c r="C478" s="26" t="s">
        <v>390</v>
      </c>
      <c r="D478" s="26">
        <v>13.0</v>
      </c>
      <c r="E478" s="26">
        <v>46362.0</v>
      </c>
      <c r="F478" s="26" t="s">
        <v>419</v>
      </c>
      <c r="G478" s="26">
        <v>0.6701388888905058</v>
      </c>
      <c r="H478" s="26" t="s">
        <v>147</v>
      </c>
      <c r="J478" s="26" t="s">
        <v>178</v>
      </c>
      <c r="L478" s="26" t="s">
        <v>77</v>
      </c>
      <c r="P478" s="26">
        <v>2.026120607E9</v>
      </c>
      <c r="S478" s="26" t="s">
        <v>1657</v>
      </c>
      <c r="W478" s="26">
        <v>10.0</v>
      </c>
      <c r="X478" s="26">
        <v>7.0</v>
      </c>
      <c r="AG478" s="26">
        <v>0.0</v>
      </c>
      <c r="AI478" s="26" t="s">
        <v>396</v>
      </c>
      <c r="AP478" s="26" t="s">
        <v>400</v>
      </c>
      <c r="AQ478" s="26" t="s">
        <v>475</v>
      </c>
      <c r="AS478" s="26" t="s">
        <v>601</v>
      </c>
      <c r="AT478" s="26" t="s">
        <v>602</v>
      </c>
      <c r="AV478" s="26">
        <f t="array" ref="AV478">IF($A478="","",IF(INDEX($A478:$AT478,1,MAP!$B$3)=CurrentSeason,1,0))</f>
        <v>1</v>
      </c>
      <c r="AW478" s="26">
        <f t="shared" si="1"/>
        <v>188</v>
      </c>
    </row>
    <row r="479" ht="15.75" customHeight="1">
      <c r="A479" s="26" t="s">
        <v>1658</v>
      </c>
      <c r="B479" s="26">
        <v>2026.0</v>
      </c>
      <c r="C479" s="26" t="s">
        <v>390</v>
      </c>
      <c r="D479" s="26">
        <v>13.0</v>
      </c>
      <c r="E479" s="26">
        <v>46362.0</v>
      </c>
      <c r="F479" s="26" t="s">
        <v>419</v>
      </c>
      <c r="G479" s="26">
        <v>0.6701388888905058</v>
      </c>
      <c r="H479" s="26" t="s">
        <v>225</v>
      </c>
      <c r="J479" s="26" t="s">
        <v>139</v>
      </c>
      <c r="L479" s="26" t="s">
        <v>77</v>
      </c>
      <c r="P479" s="26">
        <v>2.026120608E9</v>
      </c>
      <c r="S479" s="26" t="s">
        <v>1659</v>
      </c>
      <c r="W479" s="26">
        <v>7.0</v>
      </c>
      <c r="X479" s="26">
        <v>9.0</v>
      </c>
      <c r="AG479" s="26">
        <v>0.0</v>
      </c>
      <c r="AH479" s="26" t="s">
        <v>395</v>
      </c>
      <c r="AI479" s="26" t="s">
        <v>396</v>
      </c>
      <c r="AP479" s="26" t="s">
        <v>1293</v>
      </c>
      <c r="AQ479" s="26" t="s">
        <v>506</v>
      </c>
      <c r="AS479" s="26" t="s">
        <v>508</v>
      </c>
      <c r="AT479" s="26" t="s">
        <v>509</v>
      </c>
      <c r="AV479" s="26">
        <f t="array" ref="AV479">IF($A479="","",IF(INDEX($A479:$AT479,1,MAP!$B$3)=CurrentSeason,1,0))</f>
        <v>1</v>
      </c>
      <c r="AW479" s="26">
        <f t="shared" si="1"/>
        <v>189</v>
      </c>
    </row>
    <row r="480" ht="15.75" customHeight="1">
      <c r="A480" s="26" t="s">
        <v>1660</v>
      </c>
      <c r="B480" s="26">
        <v>2026.0</v>
      </c>
      <c r="C480" s="26" t="s">
        <v>390</v>
      </c>
      <c r="D480" s="26">
        <v>13.0</v>
      </c>
      <c r="E480" s="26">
        <v>46362.0</v>
      </c>
      <c r="F480" s="26" t="s">
        <v>419</v>
      </c>
      <c r="G480" s="26">
        <v>0.6840277777773736</v>
      </c>
      <c r="H480" s="26" t="s">
        <v>189</v>
      </c>
      <c r="J480" s="26" t="s">
        <v>144</v>
      </c>
      <c r="L480" s="26" t="s">
        <v>77</v>
      </c>
      <c r="P480" s="26">
        <v>2.026120609E9</v>
      </c>
      <c r="S480" s="26" t="s">
        <v>1661</v>
      </c>
      <c r="W480" s="26">
        <v>6.0</v>
      </c>
      <c r="X480" s="26">
        <v>7.0</v>
      </c>
      <c r="AG480" s="26">
        <v>0.0</v>
      </c>
      <c r="AH480" s="26" t="s">
        <v>409</v>
      </c>
      <c r="AI480" s="26" t="s">
        <v>471</v>
      </c>
      <c r="AP480" s="26" t="s">
        <v>455</v>
      </c>
      <c r="AQ480" s="26" t="s">
        <v>555</v>
      </c>
      <c r="AS480" s="26" t="s">
        <v>611</v>
      </c>
      <c r="AT480" s="26" t="s">
        <v>612</v>
      </c>
      <c r="AV480" s="26">
        <f t="array" ref="AV480">IF($A480="","",IF(INDEX($A480:$AT480,1,MAP!$B$3)=CurrentSeason,1,0))</f>
        <v>1</v>
      </c>
      <c r="AW480" s="26">
        <f t="shared" si="1"/>
        <v>190</v>
      </c>
    </row>
    <row r="481" ht="15.75" customHeight="1">
      <c r="A481" s="26" t="s">
        <v>1662</v>
      </c>
      <c r="B481" s="26">
        <v>2026.0</v>
      </c>
      <c r="C481" s="26" t="s">
        <v>390</v>
      </c>
      <c r="D481" s="26">
        <v>13.0</v>
      </c>
      <c r="E481" s="26">
        <v>46362.0</v>
      </c>
      <c r="F481" s="26" t="s">
        <v>419</v>
      </c>
      <c r="G481" s="26">
        <v>0.6840277777773736</v>
      </c>
      <c r="H481" s="26" t="s">
        <v>136</v>
      </c>
      <c r="J481" s="26" t="s">
        <v>145</v>
      </c>
      <c r="L481" s="26" t="s">
        <v>77</v>
      </c>
      <c r="P481" s="26">
        <v>2.02612061E9</v>
      </c>
      <c r="S481" s="26" t="s">
        <v>1663</v>
      </c>
      <c r="W481" s="26">
        <v>10.0</v>
      </c>
      <c r="X481" s="26">
        <v>7.0</v>
      </c>
      <c r="AG481" s="26">
        <v>1.0</v>
      </c>
      <c r="AH481" s="26" t="s">
        <v>395</v>
      </c>
      <c r="AI481" s="26" t="s">
        <v>423</v>
      </c>
      <c r="AP481" s="26" t="s">
        <v>543</v>
      </c>
      <c r="AQ481" s="26" t="s">
        <v>465</v>
      </c>
      <c r="AS481" s="26" t="s">
        <v>467</v>
      </c>
      <c r="AT481" s="26" t="s">
        <v>468</v>
      </c>
      <c r="AV481" s="26">
        <f t="array" ref="AV481">IF($A481="","",IF(INDEX($A481:$AT481,1,MAP!$B$3)=CurrentSeason,1,0))</f>
        <v>1</v>
      </c>
      <c r="AW481" s="26">
        <f t="shared" si="1"/>
        <v>191</v>
      </c>
    </row>
    <row r="482" ht="15.75" customHeight="1">
      <c r="A482" s="26" t="s">
        <v>1664</v>
      </c>
      <c r="B482" s="26">
        <v>2026.0</v>
      </c>
      <c r="C482" s="26" t="s">
        <v>390</v>
      </c>
      <c r="D482" s="26">
        <v>13.0</v>
      </c>
      <c r="E482" s="26">
        <v>46362.0</v>
      </c>
      <c r="F482" s="26" t="s">
        <v>419</v>
      </c>
      <c r="G482" s="26">
        <v>0.8472222222226264</v>
      </c>
      <c r="H482" s="26" t="s">
        <v>140</v>
      </c>
      <c r="J482" s="26" t="s">
        <v>242</v>
      </c>
      <c r="L482" s="26" t="s">
        <v>77</v>
      </c>
      <c r="P482" s="26">
        <v>2.026120611E9</v>
      </c>
      <c r="S482" s="26" t="s">
        <v>1665</v>
      </c>
      <c r="W482" s="26">
        <v>7.0</v>
      </c>
      <c r="X482" s="26">
        <v>9.0</v>
      </c>
      <c r="AG482" s="26">
        <v>0.0</v>
      </c>
      <c r="AH482" s="26" t="s">
        <v>395</v>
      </c>
      <c r="AI482" s="26" t="s">
        <v>396</v>
      </c>
      <c r="AP482" s="26" t="s">
        <v>534</v>
      </c>
      <c r="AQ482" s="26" t="s">
        <v>1285</v>
      </c>
      <c r="AS482" s="26" t="s">
        <v>593</v>
      </c>
      <c r="AT482" s="26" t="s">
        <v>594</v>
      </c>
      <c r="AV482" s="26">
        <f t="array" ref="AV482">IF($A482="","",IF(INDEX($A482:$AT482,1,MAP!$B$3)=CurrentSeason,1,0))</f>
        <v>1</v>
      </c>
      <c r="AW482" s="26">
        <f t="shared" si="1"/>
        <v>192</v>
      </c>
    </row>
    <row r="483" ht="15.75" customHeight="1">
      <c r="A483" s="26" t="s">
        <v>1666</v>
      </c>
      <c r="B483" s="26">
        <v>2026.0</v>
      </c>
      <c r="C483" s="26" t="s">
        <v>390</v>
      </c>
      <c r="D483" s="26">
        <v>13.0</v>
      </c>
      <c r="E483" s="26">
        <v>46363.0</v>
      </c>
      <c r="F483" s="26" t="s">
        <v>549</v>
      </c>
      <c r="G483" s="26">
        <v>0.84375</v>
      </c>
      <c r="H483" s="26" t="s">
        <v>146</v>
      </c>
      <c r="J483" s="26" t="s">
        <v>149</v>
      </c>
      <c r="L483" s="26" t="s">
        <v>77</v>
      </c>
      <c r="P483" s="26">
        <v>2.0261207E9</v>
      </c>
      <c r="S483" s="26" t="s">
        <v>1667</v>
      </c>
      <c r="W483" s="26">
        <v>11.0</v>
      </c>
      <c r="X483" s="26">
        <v>8.0</v>
      </c>
      <c r="AG483" s="26">
        <v>0.0</v>
      </c>
      <c r="AH483" s="26" t="s">
        <v>395</v>
      </c>
      <c r="AI483" s="26" t="s">
        <v>423</v>
      </c>
      <c r="AP483" s="26" t="s">
        <v>399</v>
      </c>
      <c r="AQ483" s="26" t="s">
        <v>515</v>
      </c>
      <c r="AS483" s="26" t="s">
        <v>517</v>
      </c>
      <c r="AT483" s="26" t="s">
        <v>518</v>
      </c>
      <c r="AV483" s="26">
        <f t="array" ref="AV483">IF($A483="","",IF(INDEX($A483:$AT483,1,MAP!$B$3)=CurrentSeason,1,0))</f>
        <v>1</v>
      </c>
      <c r="AW483" s="26">
        <f t="shared" si="1"/>
        <v>193</v>
      </c>
    </row>
    <row r="484" ht="15.75" customHeight="1">
      <c r="A484" s="26" t="s">
        <v>1668</v>
      </c>
      <c r="B484" s="26">
        <v>2026.0</v>
      </c>
      <c r="C484" s="26" t="s">
        <v>390</v>
      </c>
      <c r="D484" s="26">
        <v>14.0</v>
      </c>
      <c r="E484" s="26">
        <v>46366.0</v>
      </c>
      <c r="F484" s="26" t="s">
        <v>392</v>
      </c>
      <c r="G484" s="26">
        <v>0.84375</v>
      </c>
      <c r="H484" s="26" t="s">
        <v>144</v>
      </c>
      <c r="J484" s="26" t="s">
        <v>145</v>
      </c>
      <c r="L484" s="26" t="s">
        <v>77</v>
      </c>
      <c r="P484" s="26">
        <v>2.026121E9</v>
      </c>
      <c r="S484" s="26" t="s">
        <v>1669</v>
      </c>
      <c r="W484" s="26">
        <v>4.0</v>
      </c>
      <c r="X484" s="26">
        <v>4.0</v>
      </c>
      <c r="AG484" s="26">
        <v>0.0</v>
      </c>
      <c r="AH484" s="26" t="s">
        <v>395</v>
      </c>
      <c r="AI484" s="26" t="s">
        <v>423</v>
      </c>
      <c r="AP484" s="26" t="s">
        <v>555</v>
      </c>
      <c r="AQ484" s="26" t="s">
        <v>465</v>
      </c>
      <c r="AS484" s="26" t="s">
        <v>467</v>
      </c>
      <c r="AT484" s="26" t="s">
        <v>468</v>
      </c>
      <c r="AV484" s="26">
        <f t="array" ref="AV484">IF($A484="","",IF(INDEX($A484:$AT484,1,MAP!$B$3)=CurrentSeason,1,0))</f>
        <v>1</v>
      </c>
      <c r="AW484" s="26">
        <f t="shared" si="1"/>
        <v>194</v>
      </c>
    </row>
    <row r="485" ht="15.75" customHeight="1">
      <c r="A485" s="26" t="s">
        <v>1670</v>
      </c>
      <c r="B485" s="26">
        <v>2026.0</v>
      </c>
      <c r="C485" s="26" t="s">
        <v>390</v>
      </c>
      <c r="D485" s="26">
        <v>14.0</v>
      </c>
      <c r="E485" s="26">
        <v>46369.0</v>
      </c>
      <c r="F485" s="26" t="s">
        <v>419</v>
      </c>
      <c r="G485" s="26">
        <v>0.5416666666678793</v>
      </c>
      <c r="H485" s="26" t="s">
        <v>150</v>
      </c>
      <c r="J485" s="26" t="s">
        <v>148</v>
      </c>
      <c r="L485" s="26" t="s">
        <v>77</v>
      </c>
      <c r="P485" s="26">
        <v>2.0261213E9</v>
      </c>
      <c r="S485" s="26" t="s">
        <v>1671</v>
      </c>
      <c r="W485" s="26">
        <v>7.0</v>
      </c>
      <c r="X485" s="26">
        <v>14.0</v>
      </c>
      <c r="AG485" s="26">
        <v>0.0</v>
      </c>
      <c r="AH485" s="26" t="s">
        <v>395</v>
      </c>
      <c r="AI485" s="26" t="s">
        <v>396</v>
      </c>
      <c r="AP485" s="26" t="s">
        <v>427</v>
      </c>
      <c r="AQ485" s="26" t="s">
        <v>1278</v>
      </c>
      <c r="AS485" s="26" t="s">
        <v>567</v>
      </c>
      <c r="AT485" s="26" t="s">
        <v>568</v>
      </c>
      <c r="AV485" s="26">
        <f t="array" ref="AV485">IF($A485="","",IF(INDEX($A485:$AT485,1,MAP!$B$3)=CurrentSeason,1,0))</f>
        <v>1</v>
      </c>
      <c r="AW485" s="26">
        <f t="shared" si="1"/>
        <v>195</v>
      </c>
    </row>
    <row r="486" ht="15.75" customHeight="1">
      <c r="A486" s="26" t="s">
        <v>1672</v>
      </c>
      <c r="B486" s="26">
        <v>2026.0</v>
      </c>
      <c r="C486" s="26" t="s">
        <v>390</v>
      </c>
      <c r="D486" s="26">
        <v>14.0</v>
      </c>
      <c r="E486" s="26">
        <v>46369.0</v>
      </c>
      <c r="F486" s="26" t="s">
        <v>419</v>
      </c>
      <c r="G486" s="26">
        <v>0.5416666666678793</v>
      </c>
      <c r="H486" s="26" t="s">
        <v>232</v>
      </c>
      <c r="J486" s="26" t="s">
        <v>189</v>
      </c>
      <c r="L486" s="26" t="s">
        <v>77</v>
      </c>
      <c r="P486" s="26">
        <v>2.026121301E9</v>
      </c>
      <c r="S486" s="26" t="s">
        <v>1673</v>
      </c>
      <c r="W486" s="26">
        <v>7.0</v>
      </c>
      <c r="X486" s="26">
        <v>7.0</v>
      </c>
      <c r="AG486" s="26">
        <v>1.0</v>
      </c>
      <c r="AH486" s="26" t="s">
        <v>395</v>
      </c>
      <c r="AI486" s="26" t="s">
        <v>396</v>
      </c>
      <c r="AP486" s="26" t="s">
        <v>476</v>
      </c>
      <c r="AQ486" s="26" t="s">
        <v>455</v>
      </c>
      <c r="AS486" s="26" t="s">
        <v>631</v>
      </c>
      <c r="AT486" s="26" t="s">
        <v>632</v>
      </c>
      <c r="AV486" s="26">
        <f t="array" ref="AV486">IF($A486="","",IF(INDEX($A486:$AT486,1,MAP!$B$3)=CurrentSeason,1,0))</f>
        <v>1</v>
      </c>
      <c r="AW486" s="26">
        <f t="shared" si="1"/>
        <v>196</v>
      </c>
    </row>
    <row r="487" ht="15.75" customHeight="1">
      <c r="A487" s="26" t="s">
        <v>1674</v>
      </c>
      <c r="B487" s="26">
        <v>2026.0</v>
      </c>
      <c r="C487" s="26" t="s">
        <v>390</v>
      </c>
      <c r="D487" s="26">
        <v>14.0</v>
      </c>
      <c r="E487" s="26">
        <v>46369.0</v>
      </c>
      <c r="F487" s="26" t="s">
        <v>419</v>
      </c>
      <c r="G487" s="26">
        <v>0.5416666666678793</v>
      </c>
      <c r="H487" s="26" t="s">
        <v>132</v>
      </c>
      <c r="J487" s="26" t="s">
        <v>196</v>
      </c>
      <c r="L487" s="26" t="s">
        <v>77</v>
      </c>
      <c r="P487" s="26">
        <v>2.026121302E9</v>
      </c>
      <c r="S487" s="26" t="s">
        <v>1675</v>
      </c>
      <c r="W487" s="26">
        <v>7.0</v>
      </c>
      <c r="X487" s="26">
        <v>7.0</v>
      </c>
      <c r="AG487" s="26">
        <v>0.0</v>
      </c>
      <c r="AH487" s="26" t="s">
        <v>395</v>
      </c>
      <c r="AI487" s="26" t="s">
        <v>396</v>
      </c>
      <c r="AP487" s="26" t="s">
        <v>428</v>
      </c>
      <c r="AQ487" s="26" t="s">
        <v>1281</v>
      </c>
      <c r="AS487" s="26" t="s">
        <v>440</v>
      </c>
      <c r="AT487" s="26" t="s">
        <v>1342</v>
      </c>
      <c r="AV487" s="26">
        <f t="array" ref="AV487">IF($A487="","",IF(INDEX($A487:$AT487,1,MAP!$B$3)=CurrentSeason,1,0))</f>
        <v>1</v>
      </c>
      <c r="AW487" s="26">
        <f t="shared" si="1"/>
        <v>197</v>
      </c>
    </row>
    <row r="488" ht="15.75" customHeight="1">
      <c r="A488" s="26" t="s">
        <v>1676</v>
      </c>
      <c r="B488" s="26">
        <v>2026.0</v>
      </c>
      <c r="C488" s="26" t="s">
        <v>390</v>
      </c>
      <c r="D488" s="26">
        <v>14.0</v>
      </c>
      <c r="E488" s="26">
        <v>46369.0</v>
      </c>
      <c r="F488" s="26" t="s">
        <v>419</v>
      </c>
      <c r="G488" s="26">
        <v>0.5416666666678793</v>
      </c>
      <c r="H488" s="26" t="s">
        <v>250</v>
      </c>
      <c r="J488" s="26" t="s">
        <v>202</v>
      </c>
      <c r="L488" s="26" t="s">
        <v>77</v>
      </c>
      <c r="P488" s="26">
        <v>2.026121303E9</v>
      </c>
      <c r="S488" s="26" t="s">
        <v>1677</v>
      </c>
      <c r="W488" s="26">
        <v>7.0</v>
      </c>
      <c r="X488" s="26">
        <v>7.0</v>
      </c>
      <c r="AG488" s="26">
        <v>0.0</v>
      </c>
      <c r="AH488" s="26" t="s">
        <v>409</v>
      </c>
      <c r="AI488" s="26" t="s">
        <v>423</v>
      </c>
      <c r="AP488" s="26" t="s">
        <v>1288</v>
      </c>
      <c r="AQ488" s="26" t="s">
        <v>524</v>
      </c>
      <c r="AS488" s="26" t="s">
        <v>579</v>
      </c>
      <c r="AT488" s="26" t="s">
        <v>580</v>
      </c>
      <c r="AV488" s="26">
        <f t="array" ref="AV488">IF($A488="","",IF(INDEX($A488:$AT488,1,MAP!$B$3)=CurrentSeason,1,0))</f>
        <v>1</v>
      </c>
      <c r="AW488" s="26">
        <f t="shared" si="1"/>
        <v>198</v>
      </c>
    </row>
    <row r="489" ht="15.75" customHeight="1">
      <c r="A489" s="26" t="s">
        <v>1678</v>
      </c>
      <c r="B489" s="26">
        <v>2026.0</v>
      </c>
      <c r="C489" s="26" t="s">
        <v>390</v>
      </c>
      <c r="D489" s="26">
        <v>14.0</v>
      </c>
      <c r="E489" s="26">
        <v>46369.0</v>
      </c>
      <c r="F489" s="26" t="s">
        <v>419</v>
      </c>
      <c r="G489" s="26">
        <v>0.5416666666678793</v>
      </c>
      <c r="H489" s="26" t="s">
        <v>137</v>
      </c>
      <c r="J489" s="26" t="s">
        <v>225</v>
      </c>
      <c r="L489" s="26" t="s">
        <v>77</v>
      </c>
      <c r="P489" s="26">
        <v>2.026121304E9</v>
      </c>
      <c r="S489" s="26" t="s">
        <v>1679</v>
      </c>
      <c r="W489" s="26">
        <v>7.0</v>
      </c>
      <c r="X489" s="26">
        <v>7.0</v>
      </c>
      <c r="AG489" s="26">
        <v>0.0</v>
      </c>
      <c r="AH489" s="26" t="s">
        <v>395</v>
      </c>
      <c r="AI489" s="26" t="s">
        <v>396</v>
      </c>
      <c r="AP489" s="26" t="s">
        <v>556</v>
      </c>
      <c r="AQ489" s="26" t="s">
        <v>1293</v>
      </c>
      <c r="AS489" s="26" t="s">
        <v>583</v>
      </c>
      <c r="AT489" s="26" t="s">
        <v>584</v>
      </c>
      <c r="AV489" s="26">
        <f t="array" ref="AV489">IF($A489="","",IF(INDEX($A489:$AT489,1,MAP!$B$3)=CurrentSeason,1,0))</f>
        <v>1</v>
      </c>
      <c r="AW489" s="26">
        <f t="shared" si="1"/>
        <v>199</v>
      </c>
    </row>
    <row r="490" ht="15.75" customHeight="1">
      <c r="A490" s="26" t="s">
        <v>1680</v>
      </c>
      <c r="B490" s="26">
        <v>2026.0</v>
      </c>
      <c r="C490" s="26" t="s">
        <v>390</v>
      </c>
      <c r="D490" s="26">
        <v>14.0</v>
      </c>
      <c r="E490" s="26">
        <v>46369.0</v>
      </c>
      <c r="F490" s="26" t="s">
        <v>419</v>
      </c>
      <c r="G490" s="26">
        <v>0.5416666666678793</v>
      </c>
      <c r="H490" s="26" t="s">
        <v>139</v>
      </c>
      <c r="J490" s="26" t="s">
        <v>238</v>
      </c>
      <c r="L490" s="26" t="s">
        <v>77</v>
      </c>
      <c r="P490" s="26">
        <v>2.026121305E9</v>
      </c>
      <c r="S490" s="26" t="s">
        <v>1681</v>
      </c>
      <c r="W490" s="26">
        <v>7.0</v>
      </c>
      <c r="X490" s="26">
        <v>14.0</v>
      </c>
      <c r="AG490" s="26">
        <v>0.0</v>
      </c>
      <c r="AH490" s="26" t="s">
        <v>395</v>
      </c>
      <c r="AI490" s="26" t="s">
        <v>423</v>
      </c>
      <c r="AP490" s="26" t="s">
        <v>506</v>
      </c>
      <c r="AQ490" s="26" t="s">
        <v>486</v>
      </c>
      <c r="AS490" s="26" t="s">
        <v>488</v>
      </c>
      <c r="AT490" s="26" t="s">
        <v>489</v>
      </c>
      <c r="AV490" s="26">
        <f t="array" ref="AV490">IF($A490="","",IF(INDEX($A490:$AT490,1,MAP!$B$3)=CurrentSeason,1,0))</f>
        <v>1</v>
      </c>
      <c r="AW490" s="26">
        <f t="shared" si="1"/>
        <v>200</v>
      </c>
    </row>
    <row r="491" ht="15.75" customHeight="1">
      <c r="A491" s="26" t="s">
        <v>1682</v>
      </c>
      <c r="B491" s="26">
        <v>2026.0</v>
      </c>
      <c r="C491" s="26" t="s">
        <v>390</v>
      </c>
      <c r="D491" s="26">
        <v>14.0</v>
      </c>
      <c r="E491" s="26">
        <v>46369.0</v>
      </c>
      <c r="F491" s="26" t="s">
        <v>419</v>
      </c>
      <c r="G491" s="26">
        <v>0.5416666666678793</v>
      </c>
      <c r="H491" s="26" t="s">
        <v>210</v>
      </c>
      <c r="J491" s="26" t="s">
        <v>147</v>
      </c>
      <c r="L491" s="26" t="s">
        <v>77</v>
      </c>
      <c r="P491" s="26">
        <v>2.026121306E9</v>
      </c>
      <c r="S491" s="26" t="s">
        <v>1683</v>
      </c>
      <c r="W491" s="26">
        <v>14.0</v>
      </c>
      <c r="X491" s="26">
        <v>7.0</v>
      </c>
      <c r="AG491" s="26">
        <v>0.0</v>
      </c>
      <c r="AH491" s="26" t="s">
        <v>395</v>
      </c>
      <c r="AI491" s="26" t="s">
        <v>396</v>
      </c>
      <c r="AP491" s="26" t="s">
        <v>447</v>
      </c>
      <c r="AQ491" s="26" t="s">
        <v>400</v>
      </c>
      <c r="AS491" s="26" t="s">
        <v>402</v>
      </c>
      <c r="AT491" s="26" t="s">
        <v>403</v>
      </c>
      <c r="AV491" s="26">
        <f t="array" ref="AV491">IF($A491="","",IF(INDEX($A491:$AT491,1,MAP!$B$3)=CurrentSeason,1,0))</f>
        <v>1</v>
      </c>
      <c r="AW491" s="26">
        <f t="shared" si="1"/>
        <v>201</v>
      </c>
    </row>
    <row r="492" ht="15.75" customHeight="1">
      <c r="A492" s="26" t="s">
        <v>1684</v>
      </c>
      <c r="B492" s="26">
        <v>2026.0</v>
      </c>
      <c r="C492" s="26" t="s">
        <v>390</v>
      </c>
      <c r="D492" s="26">
        <v>14.0</v>
      </c>
      <c r="E492" s="26">
        <v>46369.0</v>
      </c>
      <c r="F492" s="26" t="s">
        <v>419</v>
      </c>
      <c r="G492" s="26">
        <v>0.5416666666678793</v>
      </c>
      <c r="H492" s="26" t="s">
        <v>140</v>
      </c>
      <c r="J492" s="26" t="s">
        <v>253</v>
      </c>
      <c r="L492" s="26" t="s">
        <v>77</v>
      </c>
      <c r="P492" s="26">
        <v>2.026121307E9</v>
      </c>
      <c r="S492" s="26" t="s">
        <v>1685</v>
      </c>
      <c r="W492" s="26">
        <v>7.0</v>
      </c>
      <c r="X492" s="26">
        <v>7.0</v>
      </c>
      <c r="AG492" s="26">
        <v>0.0</v>
      </c>
      <c r="AH492" s="26" t="s">
        <v>395</v>
      </c>
      <c r="AI492" s="26" t="s">
        <v>396</v>
      </c>
      <c r="AP492" s="26" t="s">
        <v>534</v>
      </c>
      <c r="AQ492" s="26" t="s">
        <v>496</v>
      </c>
      <c r="AS492" s="26" t="s">
        <v>498</v>
      </c>
      <c r="AT492" s="26" t="s">
        <v>1357</v>
      </c>
      <c r="AV492" s="26">
        <f t="array" ref="AV492">IF($A492="","",IF(INDEX($A492:$AT492,1,MAP!$B$3)=CurrentSeason,1,0))</f>
        <v>1</v>
      </c>
      <c r="AW492" s="26">
        <f t="shared" si="1"/>
        <v>202</v>
      </c>
    </row>
    <row r="493" ht="15.75" customHeight="1">
      <c r="A493" s="26" t="s">
        <v>1686</v>
      </c>
      <c r="B493" s="26">
        <v>2026.0</v>
      </c>
      <c r="C493" s="26" t="s">
        <v>390</v>
      </c>
      <c r="D493" s="26">
        <v>14.0</v>
      </c>
      <c r="E493" s="26">
        <v>46369.0</v>
      </c>
      <c r="F493" s="26" t="s">
        <v>419</v>
      </c>
      <c r="G493" s="26">
        <v>0.6701388888905058</v>
      </c>
      <c r="H493" s="26" t="s">
        <v>220</v>
      </c>
      <c r="J493" s="26" t="s">
        <v>222</v>
      </c>
      <c r="L493" s="26" t="s">
        <v>77</v>
      </c>
      <c r="P493" s="26">
        <v>2.026121308E9</v>
      </c>
      <c r="S493" s="26" t="s">
        <v>1687</v>
      </c>
      <c r="W493" s="26">
        <v>7.0</v>
      </c>
      <c r="X493" s="26">
        <v>14.0</v>
      </c>
      <c r="AG493" s="26">
        <v>1.0</v>
      </c>
      <c r="AH493" s="26" t="s">
        <v>409</v>
      </c>
      <c r="AI493" s="26" t="s">
        <v>396</v>
      </c>
      <c r="AP493" s="26" t="s">
        <v>413</v>
      </c>
      <c r="AQ493" s="26" t="s">
        <v>1294</v>
      </c>
      <c r="AS493" s="26" t="s">
        <v>623</v>
      </c>
      <c r="AT493" s="26" t="s">
        <v>624</v>
      </c>
      <c r="AV493" s="26">
        <f t="array" ref="AV493">IF($A493="","",IF(INDEX($A493:$AT493,1,MAP!$B$3)=CurrentSeason,1,0))</f>
        <v>1</v>
      </c>
      <c r="AW493" s="26">
        <f t="shared" si="1"/>
        <v>203</v>
      </c>
    </row>
    <row r="494" ht="15.75" customHeight="1">
      <c r="A494" s="26" t="s">
        <v>1688</v>
      </c>
      <c r="B494" s="26">
        <v>2026.0</v>
      </c>
      <c r="C494" s="26" t="s">
        <v>390</v>
      </c>
      <c r="D494" s="26">
        <v>14.0</v>
      </c>
      <c r="E494" s="26">
        <v>46369.0</v>
      </c>
      <c r="F494" s="26" t="s">
        <v>419</v>
      </c>
      <c r="G494" s="26">
        <v>0.6840277777773736</v>
      </c>
      <c r="H494" s="26" t="s">
        <v>143</v>
      </c>
      <c r="J494" s="26" t="s">
        <v>138</v>
      </c>
      <c r="L494" s="26" t="s">
        <v>77</v>
      </c>
      <c r="P494" s="26">
        <v>2.026121309E9</v>
      </c>
      <c r="S494" s="26" t="s">
        <v>1689</v>
      </c>
      <c r="W494" s="26">
        <v>10.0</v>
      </c>
      <c r="X494" s="26">
        <v>7.0</v>
      </c>
      <c r="AG494" s="26">
        <v>0.0</v>
      </c>
      <c r="AH494" s="26" t="s">
        <v>395</v>
      </c>
      <c r="AI494" s="26" t="s">
        <v>423</v>
      </c>
      <c r="AP494" s="26" t="s">
        <v>412</v>
      </c>
      <c r="AQ494" s="26" t="s">
        <v>437</v>
      </c>
      <c r="AS494" s="26" t="s">
        <v>571</v>
      </c>
      <c r="AT494" s="26" t="s">
        <v>572</v>
      </c>
      <c r="AV494" s="26">
        <f t="array" ref="AV494">IF($A494="","",IF(INDEX($A494:$AT494,1,MAP!$B$3)=CurrentSeason,1,0))</f>
        <v>1</v>
      </c>
      <c r="AW494" s="26">
        <f t="shared" si="1"/>
        <v>204</v>
      </c>
    </row>
    <row r="495" ht="15.75" customHeight="1">
      <c r="A495" s="26" t="s">
        <v>1690</v>
      </c>
      <c r="B495" s="26">
        <v>2026.0</v>
      </c>
      <c r="C495" s="26" t="s">
        <v>390</v>
      </c>
      <c r="D495" s="26">
        <v>14.0</v>
      </c>
      <c r="E495" s="26">
        <v>46369.0</v>
      </c>
      <c r="F495" s="26" t="s">
        <v>419</v>
      </c>
      <c r="G495" s="26">
        <v>0.6840277777773736</v>
      </c>
      <c r="H495" s="26" t="s">
        <v>235</v>
      </c>
      <c r="J495" s="26" t="s">
        <v>149</v>
      </c>
      <c r="L495" s="26" t="s">
        <v>77</v>
      </c>
      <c r="P495" s="26">
        <v>2.02612131E9</v>
      </c>
      <c r="S495" s="26" t="s">
        <v>1691</v>
      </c>
      <c r="W495" s="26">
        <v>7.0</v>
      </c>
      <c r="X495" s="26">
        <v>6.0</v>
      </c>
      <c r="AG495" s="26">
        <v>0.0</v>
      </c>
      <c r="AH495" s="26" t="s">
        <v>395</v>
      </c>
      <c r="AI495" s="26" t="s">
        <v>423</v>
      </c>
      <c r="AP495" s="26" t="s">
        <v>542</v>
      </c>
      <c r="AQ495" s="26" t="s">
        <v>515</v>
      </c>
      <c r="AS495" s="26" t="s">
        <v>517</v>
      </c>
      <c r="AT495" s="26" t="s">
        <v>518</v>
      </c>
      <c r="AV495" s="26">
        <f t="array" ref="AV495">IF($A495="","",IF(INDEX($A495:$AT495,1,MAP!$B$3)=CurrentSeason,1,0))</f>
        <v>1</v>
      </c>
      <c r="AW495" s="26">
        <f t="shared" si="1"/>
        <v>205</v>
      </c>
    </row>
    <row r="496" ht="15.75" customHeight="1">
      <c r="A496" s="26" t="s">
        <v>1692</v>
      </c>
      <c r="B496" s="26">
        <v>2026.0</v>
      </c>
      <c r="C496" s="26" t="s">
        <v>390</v>
      </c>
      <c r="D496" s="26">
        <v>14.0</v>
      </c>
      <c r="E496" s="26">
        <v>46369.0</v>
      </c>
      <c r="F496" s="26" t="s">
        <v>419</v>
      </c>
      <c r="G496" s="26">
        <v>0.6840277777773736</v>
      </c>
      <c r="H496" s="26" t="s">
        <v>142</v>
      </c>
      <c r="J496" s="26" t="s">
        <v>246</v>
      </c>
      <c r="L496" s="26" t="s">
        <v>77</v>
      </c>
      <c r="P496" s="26">
        <v>2.026121311E9</v>
      </c>
      <c r="S496" s="26" t="s">
        <v>1693</v>
      </c>
      <c r="W496" s="26">
        <v>10.0</v>
      </c>
      <c r="X496" s="26">
        <v>7.0</v>
      </c>
      <c r="AG496" s="26">
        <v>1.0</v>
      </c>
      <c r="AH496" s="26" t="s">
        <v>395</v>
      </c>
      <c r="AI496" s="26" t="s">
        <v>396</v>
      </c>
      <c r="AP496" s="26" t="s">
        <v>535</v>
      </c>
      <c r="AQ496" s="26" t="s">
        <v>514</v>
      </c>
      <c r="AS496" s="26" t="s">
        <v>667</v>
      </c>
      <c r="AT496" s="26" t="s">
        <v>668</v>
      </c>
      <c r="AV496" s="26">
        <f t="array" ref="AV496">IF($A496="","",IF(INDEX($A496:$AT496,1,MAP!$B$3)=CurrentSeason,1,0))</f>
        <v>1</v>
      </c>
      <c r="AW496" s="26">
        <f t="shared" si="1"/>
        <v>206</v>
      </c>
    </row>
    <row r="497" ht="15.75" customHeight="1">
      <c r="A497" s="26" t="s">
        <v>1694</v>
      </c>
      <c r="B497" s="26">
        <v>2026.0</v>
      </c>
      <c r="C497" s="26" t="s">
        <v>390</v>
      </c>
      <c r="D497" s="26">
        <v>14.0</v>
      </c>
      <c r="E497" s="26">
        <v>46369.0</v>
      </c>
      <c r="F497" s="26" t="s">
        <v>419</v>
      </c>
      <c r="G497" s="26">
        <v>0.8472222222226264</v>
      </c>
      <c r="H497" s="26" t="s">
        <v>136</v>
      </c>
      <c r="J497" s="26" t="s">
        <v>205</v>
      </c>
      <c r="L497" s="26" t="s">
        <v>77</v>
      </c>
      <c r="P497" s="26">
        <v>2.026121312E9</v>
      </c>
      <c r="S497" s="26" t="s">
        <v>1695</v>
      </c>
      <c r="W497" s="26">
        <v>7.0</v>
      </c>
      <c r="X497" s="26">
        <v>7.0</v>
      </c>
      <c r="AG497" s="26">
        <v>0.0</v>
      </c>
      <c r="AH497" s="26" t="s">
        <v>395</v>
      </c>
      <c r="AI497" s="26" t="s">
        <v>396</v>
      </c>
      <c r="AP497" s="26" t="s">
        <v>543</v>
      </c>
      <c r="AQ497" s="26" t="s">
        <v>525</v>
      </c>
      <c r="AS497" s="26" t="s">
        <v>527</v>
      </c>
      <c r="AT497" s="26" t="s">
        <v>528</v>
      </c>
      <c r="AV497" s="26">
        <f t="array" ref="AV497">IF($A497="","",IF(INDEX($A497:$AT497,1,MAP!$B$3)=CurrentSeason,1,0))</f>
        <v>1</v>
      </c>
      <c r="AW497" s="26">
        <f t="shared" si="1"/>
        <v>207</v>
      </c>
    </row>
    <row r="498" ht="15.75" customHeight="1">
      <c r="A498" s="26" t="s">
        <v>1696</v>
      </c>
      <c r="B498" s="26">
        <v>2026.0</v>
      </c>
      <c r="C498" s="26" t="s">
        <v>390</v>
      </c>
      <c r="D498" s="26">
        <v>14.0</v>
      </c>
      <c r="E498" s="26">
        <v>46370.0</v>
      </c>
      <c r="F498" s="26" t="s">
        <v>549</v>
      </c>
      <c r="G498" s="26">
        <v>0.84375</v>
      </c>
      <c r="H498" s="26" t="s">
        <v>242</v>
      </c>
      <c r="J498" s="26" t="s">
        <v>141</v>
      </c>
      <c r="L498" s="26" t="s">
        <v>77</v>
      </c>
      <c r="P498" s="26">
        <v>2.0261214E9</v>
      </c>
      <c r="S498" s="26" t="s">
        <v>1697</v>
      </c>
      <c r="W498" s="26">
        <v>8.0</v>
      </c>
      <c r="X498" s="26">
        <v>8.0</v>
      </c>
      <c r="AG498" s="26">
        <v>0.0</v>
      </c>
      <c r="AH498" s="26" t="s">
        <v>395</v>
      </c>
      <c r="AI498" s="26" t="s">
        <v>396</v>
      </c>
      <c r="AP498" s="26" t="s">
        <v>1285</v>
      </c>
      <c r="AQ498" s="26" t="s">
        <v>456</v>
      </c>
      <c r="AS498" s="26" t="s">
        <v>458</v>
      </c>
      <c r="AT498" s="26" t="s">
        <v>1282</v>
      </c>
      <c r="AV498" s="26">
        <f t="array" ref="AV498">IF($A498="","",IF(INDEX($A498:$AT498,1,MAP!$B$3)=CurrentSeason,1,0))</f>
        <v>1</v>
      </c>
      <c r="AW498" s="26">
        <f t="shared" si="1"/>
        <v>208</v>
      </c>
    </row>
    <row r="499" ht="15.75" customHeight="1">
      <c r="A499" s="26" t="s">
        <v>1698</v>
      </c>
      <c r="B499" s="26">
        <v>2026.0</v>
      </c>
      <c r="C499" s="26" t="s">
        <v>390</v>
      </c>
      <c r="D499" s="26">
        <v>15.0</v>
      </c>
      <c r="E499" s="26">
        <v>46373.0</v>
      </c>
      <c r="F499" s="26" t="s">
        <v>392</v>
      </c>
      <c r="G499" s="26">
        <v>0.84375</v>
      </c>
      <c r="H499" s="26" t="s">
        <v>246</v>
      </c>
      <c r="J499" s="26" t="s">
        <v>220</v>
      </c>
      <c r="L499" s="26" t="s">
        <v>77</v>
      </c>
      <c r="P499" s="26">
        <v>2.0261217E9</v>
      </c>
      <c r="S499" s="26" t="s">
        <v>1699</v>
      </c>
      <c r="W499" s="26">
        <v>4.0</v>
      </c>
      <c r="X499" s="26">
        <v>4.0</v>
      </c>
      <c r="AG499" s="26">
        <v>0.0</v>
      </c>
      <c r="AH499" s="26" t="s">
        <v>409</v>
      </c>
      <c r="AI499" s="26" t="s">
        <v>531</v>
      </c>
      <c r="AP499" s="26" t="s">
        <v>514</v>
      </c>
      <c r="AQ499" s="26" t="s">
        <v>413</v>
      </c>
      <c r="AS499" s="26" t="s">
        <v>415</v>
      </c>
      <c r="AT499" s="26" t="s">
        <v>416</v>
      </c>
      <c r="AV499" s="26">
        <f t="array" ref="AV499">IF($A499="","",IF(INDEX($A499:$AT499,1,MAP!$B$3)=CurrentSeason,1,0))</f>
        <v>1</v>
      </c>
      <c r="AW499" s="26">
        <f t="shared" si="1"/>
        <v>209</v>
      </c>
    </row>
    <row r="500" ht="15.75" customHeight="1">
      <c r="A500" s="26" t="s">
        <v>1700</v>
      </c>
      <c r="B500" s="26">
        <v>2026.0</v>
      </c>
      <c r="C500" s="26" t="s">
        <v>390</v>
      </c>
      <c r="D500" s="26">
        <v>15.0</v>
      </c>
      <c r="E500" s="26">
        <v>46375.0</v>
      </c>
      <c r="F500" s="26" t="s">
        <v>1099</v>
      </c>
      <c r="G500" s="26">
        <v>0.7083333333321207</v>
      </c>
      <c r="H500" s="26" t="s">
        <v>149</v>
      </c>
      <c r="J500" s="26" t="s">
        <v>147</v>
      </c>
      <c r="L500" s="26" t="s">
        <v>77</v>
      </c>
      <c r="P500" s="26">
        <v>2.0261219E9</v>
      </c>
      <c r="S500" s="26" t="s">
        <v>1701</v>
      </c>
      <c r="W500" s="26">
        <v>6.0</v>
      </c>
      <c r="X500" s="26">
        <v>6.0</v>
      </c>
      <c r="AG500" s="26">
        <v>0.0</v>
      </c>
      <c r="AH500" s="26" t="s">
        <v>395</v>
      </c>
      <c r="AI500" s="26" t="s">
        <v>396</v>
      </c>
      <c r="AP500" s="26" t="s">
        <v>515</v>
      </c>
      <c r="AQ500" s="26" t="s">
        <v>400</v>
      </c>
      <c r="AS500" s="26" t="s">
        <v>402</v>
      </c>
      <c r="AT500" s="26" t="s">
        <v>403</v>
      </c>
      <c r="AV500" s="26">
        <f t="array" ref="AV500">IF($A500="","",IF(INDEX($A500:$AT500,1,MAP!$B$3)=CurrentSeason,1,0))</f>
        <v>1</v>
      </c>
      <c r="AW500" s="26">
        <f t="shared" si="1"/>
        <v>210</v>
      </c>
    </row>
    <row r="501" ht="15.75" customHeight="1">
      <c r="A501" s="26" t="s">
        <v>1702</v>
      </c>
      <c r="B501" s="26">
        <v>2026.0</v>
      </c>
      <c r="C501" s="26" t="s">
        <v>390</v>
      </c>
      <c r="D501" s="26">
        <v>15.0</v>
      </c>
      <c r="E501" s="26">
        <v>46375.0</v>
      </c>
      <c r="F501" s="26" t="s">
        <v>1099</v>
      </c>
      <c r="G501" s="26">
        <v>0.8472222222226264</v>
      </c>
      <c r="H501" s="26" t="s">
        <v>137</v>
      </c>
      <c r="J501" s="26" t="s">
        <v>136</v>
      </c>
      <c r="L501" s="26" t="s">
        <v>77</v>
      </c>
      <c r="P501" s="26">
        <v>2.026121901E9</v>
      </c>
      <c r="S501" s="26" t="s">
        <v>1703</v>
      </c>
      <c r="W501" s="26">
        <v>6.0</v>
      </c>
      <c r="X501" s="26">
        <v>6.0</v>
      </c>
      <c r="AG501" s="26">
        <v>0.0</v>
      </c>
      <c r="AH501" s="26" t="s">
        <v>395</v>
      </c>
      <c r="AI501" s="26" t="s">
        <v>539</v>
      </c>
      <c r="AP501" s="26" t="s">
        <v>556</v>
      </c>
      <c r="AQ501" s="26" t="s">
        <v>543</v>
      </c>
      <c r="AS501" s="26" t="s">
        <v>545</v>
      </c>
      <c r="AT501" s="26" t="s">
        <v>1305</v>
      </c>
      <c r="AV501" s="26">
        <f t="array" ref="AV501">IF($A501="","",IF(INDEX($A501:$AT501,1,MAP!$B$3)=CurrentSeason,1,0))</f>
        <v>1</v>
      </c>
      <c r="AW501" s="26">
        <f t="shared" si="1"/>
        <v>211</v>
      </c>
    </row>
    <row r="502" ht="15.75" customHeight="1">
      <c r="A502" s="26" t="s">
        <v>1704</v>
      </c>
      <c r="B502" s="26">
        <v>2026.0</v>
      </c>
      <c r="C502" s="26" t="s">
        <v>390</v>
      </c>
      <c r="D502" s="26">
        <v>15.0</v>
      </c>
      <c r="E502" s="26">
        <v>46376.0</v>
      </c>
      <c r="F502" s="26" t="s">
        <v>419</v>
      </c>
      <c r="G502" s="26">
        <v>0.5416666666678793</v>
      </c>
      <c r="H502" s="26" t="s">
        <v>138</v>
      </c>
      <c r="J502" s="26" t="s">
        <v>189</v>
      </c>
      <c r="L502" s="26" t="s">
        <v>77</v>
      </c>
      <c r="P502" s="26">
        <v>2.026122E9</v>
      </c>
      <c r="S502" s="26" t="s">
        <v>1705</v>
      </c>
      <c r="W502" s="26">
        <v>7.0</v>
      </c>
      <c r="X502" s="26">
        <v>7.0</v>
      </c>
      <c r="AG502" s="26">
        <v>0.0</v>
      </c>
      <c r="AH502" s="26" t="s">
        <v>395</v>
      </c>
      <c r="AI502" s="26" t="s">
        <v>396</v>
      </c>
      <c r="AP502" s="26" t="s">
        <v>437</v>
      </c>
      <c r="AQ502" s="26" t="s">
        <v>455</v>
      </c>
      <c r="AS502" s="26" t="s">
        <v>631</v>
      </c>
      <c r="AT502" s="26" t="s">
        <v>632</v>
      </c>
      <c r="AV502" s="26">
        <f t="array" ref="AV502">IF($A502="","",IF(INDEX($A502:$AT502,1,MAP!$B$3)=CurrentSeason,1,0))</f>
        <v>1</v>
      </c>
      <c r="AW502" s="26">
        <f t="shared" si="1"/>
        <v>212</v>
      </c>
    </row>
    <row r="503" ht="15.75" customHeight="1">
      <c r="A503" s="26" t="s">
        <v>1706</v>
      </c>
      <c r="B503" s="26">
        <v>2026.0</v>
      </c>
      <c r="C503" s="26" t="s">
        <v>390</v>
      </c>
      <c r="D503" s="26">
        <v>15.0</v>
      </c>
      <c r="E503" s="26">
        <v>46376.0</v>
      </c>
      <c r="F503" s="26" t="s">
        <v>419</v>
      </c>
      <c r="G503" s="26">
        <v>0.5416666666678793</v>
      </c>
      <c r="H503" s="26" t="s">
        <v>225</v>
      </c>
      <c r="J503" s="26" t="s">
        <v>205</v>
      </c>
      <c r="L503" s="26" t="s">
        <v>77</v>
      </c>
      <c r="P503" s="26">
        <v>2.026122001E9</v>
      </c>
      <c r="S503" s="26" t="s">
        <v>1707</v>
      </c>
      <c r="W503" s="26">
        <v>7.0</v>
      </c>
      <c r="X503" s="26">
        <v>7.0</v>
      </c>
      <c r="AG503" s="26">
        <v>0.0</v>
      </c>
      <c r="AH503" s="26" t="s">
        <v>395</v>
      </c>
      <c r="AI503" s="26" t="s">
        <v>396</v>
      </c>
      <c r="AP503" s="26" t="s">
        <v>1293</v>
      </c>
      <c r="AQ503" s="26" t="s">
        <v>525</v>
      </c>
      <c r="AS503" s="26" t="s">
        <v>527</v>
      </c>
      <c r="AT503" s="26" t="s">
        <v>528</v>
      </c>
      <c r="AV503" s="26">
        <f t="array" ref="AV503">IF($A503="","",IF(INDEX($A503:$AT503,1,MAP!$B$3)=CurrentSeason,1,0))</f>
        <v>1</v>
      </c>
      <c r="AW503" s="26">
        <f t="shared" si="1"/>
        <v>213</v>
      </c>
    </row>
    <row r="504" ht="15.75" customHeight="1">
      <c r="A504" s="26" t="s">
        <v>1708</v>
      </c>
      <c r="B504" s="26">
        <v>2026.0</v>
      </c>
      <c r="C504" s="26" t="s">
        <v>390</v>
      </c>
      <c r="D504" s="26">
        <v>15.0</v>
      </c>
      <c r="E504" s="26">
        <v>46376.0</v>
      </c>
      <c r="F504" s="26" t="s">
        <v>419</v>
      </c>
      <c r="G504" s="26">
        <v>0.5416666666678793</v>
      </c>
      <c r="H504" s="26" t="s">
        <v>141</v>
      </c>
      <c r="J504" s="26" t="s">
        <v>140</v>
      </c>
      <c r="L504" s="26" t="s">
        <v>77</v>
      </c>
      <c r="P504" s="26">
        <v>2.026122002E9</v>
      </c>
      <c r="S504" s="26" t="s">
        <v>1709</v>
      </c>
      <c r="W504" s="26">
        <v>6.0</v>
      </c>
      <c r="X504" s="26">
        <v>7.0</v>
      </c>
      <c r="AG504" s="26">
        <v>1.0</v>
      </c>
      <c r="AI504" s="26" t="s">
        <v>617</v>
      </c>
      <c r="AP504" s="26" t="s">
        <v>456</v>
      </c>
      <c r="AQ504" s="26" t="s">
        <v>534</v>
      </c>
      <c r="AS504" s="26" t="s">
        <v>618</v>
      </c>
      <c r="AT504" s="26" t="s">
        <v>1275</v>
      </c>
      <c r="AV504" s="26">
        <f t="array" ref="AV504">IF($A504="","",IF(INDEX($A504:$AT504,1,MAP!$B$3)=CurrentSeason,1,0))</f>
        <v>1</v>
      </c>
      <c r="AW504" s="26">
        <f t="shared" si="1"/>
        <v>214</v>
      </c>
    </row>
    <row r="505" ht="15.75" customHeight="1">
      <c r="A505" s="26" t="s">
        <v>1710</v>
      </c>
      <c r="B505" s="26">
        <v>2026.0</v>
      </c>
      <c r="C505" s="26" t="s">
        <v>390</v>
      </c>
      <c r="D505" s="26">
        <v>15.0</v>
      </c>
      <c r="E505" s="26">
        <v>46376.0</v>
      </c>
      <c r="F505" s="26" t="s">
        <v>419</v>
      </c>
      <c r="G505" s="26">
        <v>0.5416666666678793</v>
      </c>
      <c r="H505" s="26" t="s">
        <v>196</v>
      </c>
      <c r="J505" s="26" t="s">
        <v>235</v>
      </c>
      <c r="L505" s="26" t="s">
        <v>77</v>
      </c>
      <c r="P505" s="26">
        <v>2.026122003E9</v>
      </c>
      <c r="S505" s="26" t="s">
        <v>1711</v>
      </c>
      <c r="W505" s="26">
        <v>7.0</v>
      </c>
      <c r="X505" s="26">
        <v>7.0</v>
      </c>
      <c r="AG505" s="26">
        <v>0.0</v>
      </c>
      <c r="AH505" s="26" t="s">
        <v>395</v>
      </c>
      <c r="AI505" s="26" t="s">
        <v>423</v>
      </c>
      <c r="AP505" s="26" t="s">
        <v>1281</v>
      </c>
      <c r="AQ505" s="26" t="s">
        <v>542</v>
      </c>
      <c r="AS505" s="26" t="s">
        <v>488</v>
      </c>
      <c r="AT505" s="26" t="s">
        <v>489</v>
      </c>
      <c r="AV505" s="26">
        <f t="array" ref="AV505">IF($A505="","",IF(INDEX($A505:$AT505,1,MAP!$B$3)=CurrentSeason,1,0))</f>
        <v>1</v>
      </c>
      <c r="AW505" s="26">
        <f t="shared" si="1"/>
        <v>215</v>
      </c>
    </row>
    <row r="506" ht="15.75" customHeight="1">
      <c r="A506" s="26" t="s">
        <v>1712</v>
      </c>
      <c r="B506" s="26">
        <v>2026.0</v>
      </c>
      <c r="C506" s="26" t="s">
        <v>390</v>
      </c>
      <c r="D506" s="26">
        <v>15.0</v>
      </c>
      <c r="E506" s="26">
        <v>46376.0</v>
      </c>
      <c r="F506" s="26" t="s">
        <v>419</v>
      </c>
      <c r="G506" s="26">
        <v>0.5416666666678793</v>
      </c>
      <c r="H506" s="26" t="s">
        <v>148</v>
      </c>
      <c r="J506" s="26" t="s">
        <v>242</v>
      </c>
      <c r="L506" s="26" t="s">
        <v>77</v>
      </c>
      <c r="P506" s="26">
        <v>2.026122004E9</v>
      </c>
      <c r="S506" s="26" t="s">
        <v>1713</v>
      </c>
      <c r="W506" s="26">
        <v>7.0</v>
      </c>
      <c r="X506" s="26">
        <v>6.0</v>
      </c>
      <c r="AG506" s="26">
        <v>1.0</v>
      </c>
      <c r="AH506" s="26" t="s">
        <v>395</v>
      </c>
      <c r="AI506" s="26" t="s">
        <v>396</v>
      </c>
      <c r="AP506" s="26" t="s">
        <v>1278</v>
      </c>
      <c r="AQ506" s="26" t="s">
        <v>1285</v>
      </c>
      <c r="AS506" s="26" t="s">
        <v>593</v>
      </c>
      <c r="AT506" s="26" t="s">
        <v>594</v>
      </c>
      <c r="AV506" s="26">
        <f t="array" ref="AV506">IF($A506="","",IF(INDEX($A506:$AT506,1,MAP!$B$3)=CurrentSeason,1,0))</f>
        <v>1</v>
      </c>
      <c r="AW506" s="26">
        <f t="shared" si="1"/>
        <v>216</v>
      </c>
    </row>
    <row r="507" ht="15.75" customHeight="1">
      <c r="A507" s="26" t="s">
        <v>1714</v>
      </c>
      <c r="B507" s="26">
        <v>2026.0</v>
      </c>
      <c r="C507" s="26" t="s">
        <v>390</v>
      </c>
      <c r="D507" s="26">
        <v>15.0</v>
      </c>
      <c r="E507" s="26">
        <v>46376.0</v>
      </c>
      <c r="F507" s="26" t="s">
        <v>419</v>
      </c>
      <c r="G507" s="26">
        <v>0.5416666666678793</v>
      </c>
      <c r="H507" s="26" t="s">
        <v>232</v>
      </c>
      <c r="J507" s="26" t="s">
        <v>150</v>
      </c>
      <c r="L507" s="26" t="s">
        <v>77</v>
      </c>
      <c r="P507" s="26">
        <v>2.026122005E9</v>
      </c>
      <c r="S507" s="26" t="s">
        <v>1715</v>
      </c>
      <c r="W507" s="26">
        <v>7.0</v>
      </c>
      <c r="X507" s="26">
        <v>7.0</v>
      </c>
      <c r="AG507" s="26">
        <v>1.0</v>
      </c>
      <c r="AH507" s="26" t="s">
        <v>395</v>
      </c>
      <c r="AI507" s="26" t="s">
        <v>396</v>
      </c>
      <c r="AP507" s="26" t="s">
        <v>476</v>
      </c>
      <c r="AQ507" s="26" t="s">
        <v>427</v>
      </c>
      <c r="AS507" s="26" t="s">
        <v>651</v>
      </c>
      <c r="AT507" s="26" t="s">
        <v>652</v>
      </c>
      <c r="AV507" s="26">
        <f t="array" ref="AV507">IF($A507="","",IF(INDEX($A507:$AT507,1,MAP!$B$3)=CurrentSeason,1,0))</f>
        <v>1</v>
      </c>
      <c r="AW507" s="26">
        <f t="shared" si="1"/>
        <v>217</v>
      </c>
    </row>
    <row r="508" ht="15.75" customHeight="1">
      <c r="A508" s="26" t="s">
        <v>1716</v>
      </c>
      <c r="B508" s="26">
        <v>2026.0</v>
      </c>
      <c r="C508" s="26" t="s">
        <v>390</v>
      </c>
      <c r="D508" s="26">
        <v>15.0</v>
      </c>
      <c r="E508" s="26">
        <v>46376.0</v>
      </c>
      <c r="F508" s="26" t="s">
        <v>419</v>
      </c>
      <c r="G508" s="26">
        <v>0.5416666666678793</v>
      </c>
      <c r="H508" s="26" t="s">
        <v>210</v>
      </c>
      <c r="J508" s="26" t="s">
        <v>250</v>
      </c>
      <c r="L508" s="26" t="s">
        <v>77</v>
      </c>
      <c r="P508" s="26">
        <v>2.026122006E9</v>
      </c>
      <c r="S508" s="26" t="s">
        <v>1717</v>
      </c>
      <c r="W508" s="26">
        <v>7.0</v>
      </c>
      <c r="X508" s="26">
        <v>7.0</v>
      </c>
      <c r="AG508" s="26">
        <v>1.0</v>
      </c>
      <c r="AH508" s="26" t="s">
        <v>395</v>
      </c>
      <c r="AI508" s="26" t="s">
        <v>396</v>
      </c>
      <c r="AP508" s="26" t="s">
        <v>447</v>
      </c>
      <c r="AQ508" s="26" t="s">
        <v>1288</v>
      </c>
      <c r="AS508" s="26" t="s">
        <v>597</v>
      </c>
      <c r="AT508" s="26" t="s">
        <v>598</v>
      </c>
      <c r="AV508" s="26">
        <f t="array" ref="AV508">IF($A508="","",IF(INDEX($A508:$AT508,1,MAP!$B$3)=CurrentSeason,1,0))</f>
        <v>1</v>
      </c>
      <c r="AW508" s="26">
        <f t="shared" si="1"/>
        <v>218</v>
      </c>
    </row>
    <row r="509" ht="15.75" customHeight="1">
      <c r="A509" s="26" t="s">
        <v>1718</v>
      </c>
      <c r="B509" s="26">
        <v>2026.0</v>
      </c>
      <c r="C509" s="26" t="s">
        <v>390</v>
      </c>
      <c r="D509" s="26">
        <v>15.0</v>
      </c>
      <c r="E509" s="26">
        <v>46376.0</v>
      </c>
      <c r="F509" s="26" t="s">
        <v>419</v>
      </c>
      <c r="G509" s="26">
        <v>0.5416666666678793</v>
      </c>
      <c r="H509" s="26" t="s">
        <v>132</v>
      </c>
      <c r="J509" s="26" t="s">
        <v>253</v>
      </c>
      <c r="L509" s="26" t="s">
        <v>77</v>
      </c>
      <c r="P509" s="26">
        <v>2.026122007E9</v>
      </c>
      <c r="S509" s="26" t="s">
        <v>1719</v>
      </c>
      <c r="W509" s="26">
        <v>7.0</v>
      </c>
      <c r="X509" s="26">
        <v>7.0</v>
      </c>
      <c r="AG509" s="26">
        <v>0.0</v>
      </c>
      <c r="AH509" s="26" t="s">
        <v>395</v>
      </c>
      <c r="AI509" s="26" t="s">
        <v>396</v>
      </c>
      <c r="AP509" s="26" t="s">
        <v>428</v>
      </c>
      <c r="AQ509" s="26" t="s">
        <v>496</v>
      </c>
      <c r="AS509" s="26" t="s">
        <v>498</v>
      </c>
      <c r="AT509" s="26" t="s">
        <v>1357</v>
      </c>
      <c r="AV509" s="26">
        <f t="array" ref="AV509">IF($A509="","",IF(INDEX($A509:$AT509,1,MAP!$B$3)=CurrentSeason,1,0))</f>
        <v>1</v>
      </c>
      <c r="AW509" s="26">
        <f t="shared" si="1"/>
        <v>219</v>
      </c>
    </row>
    <row r="510" ht="15.75" customHeight="1">
      <c r="A510" s="26" t="s">
        <v>1720</v>
      </c>
      <c r="B510" s="26">
        <v>2026.0</v>
      </c>
      <c r="C510" s="26" t="s">
        <v>390</v>
      </c>
      <c r="D510" s="26">
        <v>15.0</v>
      </c>
      <c r="E510" s="26">
        <v>46376.0</v>
      </c>
      <c r="F510" s="26" t="s">
        <v>419</v>
      </c>
      <c r="G510" s="26">
        <v>0.6701388888905058</v>
      </c>
      <c r="H510" s="26" t="s">
        <v>238</v>
      </c>
      <c r="J510" s="26" t="s">
        <v>178</v>
      </c>
      <c r="L510" s="26" t="s">
        <v>77</v>
      </c>
      <c r="P510" s="26">
        <v>2.026122008E9</v>
      </c>
      <c r="S510" s="26" t="s">
        <v>1721</v>
      </c>
      <c r="W510" s="26">
        <v>7.0</v>
      </c>
      <c r="X510" s="26">
        <v>14.0</v>
      </c>
      <c r="AG510" s="26">
        <v>0.0</v>
      </c>
      <c r="AI510" s="26" t="s">
        <v>396</v>
      </c>
      <c r="AP510" s="26" t="s">
        <v>486</v>
      </c>
      <c r="AQ510" s="26" t="s">
        <v>475</v>
      </c>
      <c r="AS510" s="26" t="s">
        <v>601</v>
      </c>
      <c r="AT510" s="26" t="s">
        <v>602</v>
      </c>
      <c r="AV510" s="26">
        <f t="array" ref="AV510">IF($A510="","",IF(INDEX($A510:$AT510,1,MAP!$B$3)=CurrentSeason,1,0))</f>
        <v>1</v>
      </c>
      <c r="AW510" s="26">
        <f t="shared" si="1"/>
        <v>220</v>
      </c>
    </row>
    <row r="511" ht="15.75" customHeight="1">
      <c r="A511" s="26" t="s">
        <v>1722</v>
      </c>
      <c r="B511" s="26">
        <v>2026.0</v>
      </c>
      <c r="C511" s="26" t="s">
        <v>390</v>
      </c>
      <c r="D511" s="26">
        <v>15.0</v>
      </c>
      <c r="E511" s="26">
        <v>46376.0</v>
      </c>
      <c r="F511" s="26" t="s">
        <v>419</v>
      </c>
      <c r="G511" s="26">
        <v>0.6840277777773736</v>
      </c>
      <c r="H511" s="26" t="s">
        <v>146</v>
      </c>
      <c r="J511" s="26" t="s">
        <v>142</v>
      </c>
      <c r="L511" s="26" t="s">
        <v>77</v>
      </c>
      <c r="P511" s="26">
        <v>2.026122009E9</v>
      </c>
      <c r="S511" s="26" t="s">
        <v>1723</v>
      </c>
      <c r="W511" s="26">
        <v>13.0</v>
      </c>
      <c r="X511" s="26">
        <v>7.0</v>
      </c>
      <c r="AG511" s="26">
        <v>0.0</v>
      </c>
      <c r="AH511" s="26" t="s">
        <v>409</v>
      </c>
      <c r="AI511" s="26" t="s">
        <v>531</v>
      </c>
      <c r="AP511" s="26" t="s">
        <v>399</v>
      </c>
      <c r="AQ511" s="26" t="s">
        <v>535</v>
      </c>
      <c r="AS511" s="26" t="s">
        <v>415</v>
      </c>
      <c r="AT511" s="26" t="s">
        <v>416</v>
      </c>
      <c r="AV511" s="26">
        <f t="array" ref="AV511">IF($A511="","",IF(INDEX($A511:$AT511,1,MAP!$B$3)=CurrentSeason,1,0))</f>
        <v>1</v>
      </c>
      <c r="AW511" s="26">
        <f t="shared" si="1"/>
        <v>221</v>
      </c>
    </row>
    <row r="512" ht="15.75" customHeight="1">
      <c r="A512" s="26" t="s">
        <v>1724</v>
      </c>
      <c r="B512" s="26">
        <v>2026.0</v>
      </c>
      <c r="C512" s="26" t="s">
        <v>390</v>
      </c>
      <c r="D512" s="26">
        <v>15.0</v>
      </c>
      <c r="E512" s="26">
        <v>46376.0</v>
      </c>
      <c r="F512" s="26" t="s">
        <v>419</v>
      </c>
      <c r="G512" s="26">
        <v>0.6840277777773736</v>
      </c>
      <c r="H512" s="26" t="s">
        <v>139</v>
      </c>
      <c r="J512" s="26" t="s">
        <v>222</v>
      </c>
      <c r="L512" s="26" t="s">
        <v>77</v>
      </c>
      <c r="P512" s="26">
        <v>2.02612201E9</v>
      </c>
      <c r="S512" s="26" t="s">
        <v>1725</v>
      </c>
      <c r="W512" s="26">
        <v>7.0</v>
      </c>
      <c r="X512" s="26">
        <v>7.0</v>
      </c>
      <c r="AG512" s="26">
        <v>1.0</v>
      </c>
      <c r="AH512" s="26" t="s">
        <v>409</v>
      </c>
      <c r="AI512" s="26" t="s">
        <v>396</v>
      </c>
      <c r="AP512" s="26" t="s">
        <v>506</v>
      </c>
      <c r="AQ512" s="26" t="s">
        <v>1294</v>
      </c>
      <c r="AS512" s="26" t="s">
        <v>623</v>
      </c>
      <c r="AT512" s="26" t="s">
        <v>624</v>
      </c>
      <c r="AV512" s="26">
        <f t="array" ref="AV512">IF($A512="","",IF(INDEX($A512:$AT512,1,MAP!$B$3)=CurrentSeason,1,0))</f>
        <v>1</v>
      </c>
      <c r="AW512" s="26">
        <f t="shared" si="1"/>
        <v>222</v>
      </c>
    </row>
    <row r="513" ht="15.75" customHeight="1">
      <c r="A513" s="26" t="s">
        <v>1726</v>
      </c>
      <c r="B513" s="26">
        <v>2026.0</v>
      </c>
      <c r="C513" s="26" t="s">
        <v>390</v>
      </c>
      <c r="D513" s="26">
        <v>15.0</v>
      </c>
      <c r="E513" s="26">
        <v>46376.0</v>
      </c>
      <c r="F513" s="26" t="s">
        <v>419</v>
      </c>
      <c r="G513" s="26">
        <v>0.8472222222226264</v>
      </c>
      <c r="H513" s="26" t="s">
        <v>202</v>
      </c>
      <c r="J513" s="26" t="s">
        <v>144</v>
      </c>
      <c r="L513" s="26" t="s">
        <v>77</v>
      </c>
      <c r="P513" s="26">
        <v>2.026122011E9</v>
      </c>
      <c r="S513" s="26" t="s">
        <v>1727</v>
      </c>
      <c r="W513" s="26">
        <v>7.0</v>
      </c>
      <c r="X513" s="26">
        <v>10.0</v>
      </c>
      <c r="AG513" s="26">
        <v>1.0</v>
      </c>
      <c r="AH513" s="26" t="s">
        <v>409</v>
      </c>
      <c r="AI513" s="26" t="s">
        <v>471</v>
      </c>
      <c r="AP513" s="26" t="s">
        <v>524</v>
      </c>
      <c r="AQ513" s="26" t="s">
        <v>555</v>
      </c>
      <c r="AS513" s="26" t="s">
        <v>611</v>
      </c>
      <c r="AT513" s="26" t="s">
        <v>612</v>
      </c>
      <c r="AV513" s="26">
        <f t="array" ref="AV513">IF($A513="","",IF(INDEX($A513:$AT513,1,MAP!$B$3)=CurrentSeason,1,0))</f>
        <v>1</v>
      </c>
      <c r="AW513" s="26">
        <f t="shared" si="1"/>
        <v>223</v>
      </c>
    </row>
    <row r="514" ht="15.75" customHeight="1">
      <c r="A514" s="26" t="s">
        <v>1728</v>
      </c>
      <c r="B514" s="26">
        <v>2026.0</v>
      </c>
      <c r="C514" s="26" t="s">
        <v>390</v>
      </c>
      <c r="D514" s="26">
        <v>15.0</v>
      </c>
      <c r="E514" s="26">
        <v>46377.0</v>
      </c>
      <c r="F514" s="26" t="s">
        <v>549</v>
      </c>
      <c r="G514" s="26">
        <v>0.84375</v>
      </c>
      <c r="H514" s="26" t="s">
        <v>145</v>
      </c>
      <c r="J514" s="26" t="s">
        <v>143</v>
      </c>
      <c r="L514" s="26" t="s">
        <v>77</v>
      </c>
      <c r="P514" s="26">
        <v>2.0261221E9</v>
      </c>
      <c r="S514" s="26" t="s">
        <v>1729</v>
      </c>
      <c r="W514" s="26">
        <v>11.0</v>
      </c>
      <c r="X514" s="26">
        <v>8.0</v>
      </c>
      <c r="AG514" s="26">
        <v>0.0</v>
      </c>
      <c r="AH514" s="26" t="s">
        <v>395</v>
      </c>
      <c r="AI514" s="26" t="s">
        <v>396</v>
      </c>
      <c r="AP514" s="26" t="s">
        <v>465</v>
      </c>
      <c r="AQ514" s="26" t="s">
        <v>412</v>
      </c>
      <c r="AS514" s="26" t="s">
        <v>607</v>
      </c>
      <c r="AT514" s="26" t="s">
        <v>608</v>
      </c>
      <c r="AV514" s="26">
        <f t="array" ref="AV514">IF($A514="","",IF(INDEX($A514:$AT514,1,MAP!$B$3)=CurrentSeason,1,0))</f>
        <v>1</v>
      </c>
      <c r="AW514" s="26">
        <f t="shared" si="1"/>
        <v>224</v>
      </c>
    </row>
    <row r="515" ht="15.75" customHeight="1">
      <c r="A515" s="26" t="s">
        <v>1730</v>
      </c>
      <c r="B515" s="26">
        <v>2026.0</v>
      </c>
      <c r="C515" s="26" t="s">
        <v>390</v>
      </c>
      <c r="D515" s="26">
        <v>16.0</v>
      </c>
      <c r="E515" s="26">
        <v>46380.0</v>
      </c>
      <c r="F515" s="26" t="s">
        <v>392</v>
      </c>
      <c r="G515" s="26">
        <v>0.84375</v>
      </c>
      <c r="H515" s="26" t="s">
        <v>140</v>
      </c>
      <c r="J515" s="26" t="s">
        <v>147</v>
      </c>
      <c r="L515" s="26" t="s">
        <v>77</v>
      </c>
      <c r="P515" s="26">
        <v>2.0261224E9</v>
      </c>
      <c r="S515" s="26" t="s">
        <v>1731</v>
      </c>
      <c r="W515" s="26">
        <v>4.0</v>
      </c>
      <c r="X515" s="26">
        <v>5.0</v>
      </c>
      <c r="AG515" s="26">
        <v>0.0</v>
      </c>
      <c r="AH515" s="26" t="s">
        <v>395</v>
      </c>
      <c r="AI515" s="26" t="s">
        <v>396</v>
      </c>
      <c r="AP515" s="26" t="s">
        <v>534</v>
      </c>
      <c r="AQ515" s="26" t="s">
        <v>400</v>
      </c>
      <c r="AS515" s="26" t="s">
        <v>402</v>
      </c>
      <c r="AT515" s="26" t="s">
        <v>403</v>
      </c>
      <c r="AV515" s="26">
        <f t="array" ref="AV515">IF($A515="","",IF(INDEX($A515:$AT515,1,MAP!$B$3)=CurrentSeason,1,0))</f>
        <v>1</v>
      </c>
      <c r="AW515" s="26">
        <f t="shared" si="1"/>
        <v>225</v>
      </c>
    </row>
    <row r="516" ht="15.75" customHeight="1">
      <c r="A516" s="26" t="s">
        <v>1732</v>
      </c>
      <c r="B516" s="26">
        <v>2026.0</v>
      </c>
      <c r="C516" s="26" t="s">
        <v>390</v>
      </c>
      <c r="D516" s="26">
        <v>16.0</v>
      </c>
      <c r="E516" s="26">
        <v>46381.0</v>
      </c>
      <c r="F516" s="26" t="s">
        <v>406</v>
      </c>
      <c r="G516" s="26">
        <v>0.5416666666678793</v>
      </c>
      <c r="H516" s="26" t="s">
        <v>205</v>
      </c>
      <c r="J516" s="26" t="s">
        <v>137</v>
      </c>
      <c r="L516" s="26" t="s">
        <v>77</v>
      </c>
      <c r="P516" s="26">
        <v>2.0261225E9</v>
      </c>
      <c r="S516" s="26" t="s">
        <v>1733</v>
      </c>
      <c r="W516" s="26">
        <v>5.0</v>
      </c>
      <c r="X516" s="26">
        <v>6.0</v>
      </c>
      <c r="AG516" s="26">
        <v>1.0</v>
      </c>
      <c r="AH516" s="26" t="s">
        <v>395</v>
      </c>
      <c r="AI516" s="26" t="s">
        <v>396</v>
      </c>
      <c r="AP516" s="26" t="s">
        <v>525</v>
      </c>
      <c r="AQ516" s="26" t="s">
        <v>556</v>
      </c>
      <c r="AS516" s="26" t="s">
        <v>558</v>
      </c>
      <c r="AT516" s="26" t="s">
        <v>559</v>
      </c>
      <c r="AV516" s="26">
        <f t="array" ref="AV516">IF($A516="","",IF(INDEX($A516:$AT516,1,MAP!$B$3)=CurrentSeason,1,0))</f>
        <v>1</v>
      </c>
      <c r="AW516" s="26">
        <f t="shared" si="1"/>
        <v>226</v>
      </c>
    </row>
    <row r="517" ht="15.75" customHeight="1">
      <c r="A517" s="26" t="s">
        <v>1734</v>
      </c>
      <c r="B517" s="26">
        <v>2026.0</v>
      </c>
      <c r="C517" s="26" t="s">
        <v>390</v>
      </c>
      <c r="D517" s="26">
        <v>16.0</v>
      </c>
      <c r="E517" s="26">
        <v>46381.0</v>
      </c>
      <c r="F517" s="26" t="s">
        <v>406</v>
      </c>
      <c r="G517" s="26">
        <v>0.6875</v>
      </c>
      <c r="H517" s="26" t="s">
        <v>136</v>
      </c>
      <c r="J517" s="26" t="s">
        <v>139</v>
      </c>
      <c r="L517" s="26" t="s">
        <v>77</v>
      </c>
      <c r="P517" s="26">
        <v>2.026122501E9</v>
      </c>
      <c r="S517" s="26" t="s">
        <v>1735</v>
      </c>
      <c r="W517" s="26">
        <v>6.0</v>
      </c>
      <c r="X517" s="26">
        <v>5.0</v>
      </c>
      <c r="AG517" s="26">
        <v>0.0</v>
      </c>
      <c r="AH517" s="26" t="s">
        <v>395</v>
      </c>
      <c r="AI517" s="26" t="s">
        <v>396</v>
      </c>
      <c r="AP517" s="26" t="s">
        <v>543</v>
      </c>
      <c r="AQ517" s="26" t="s">
        <v>506</v>
      </c>
      <c r="AS517" s="26" t="s">
        <v>508</v>
      </c>
      <c r="AT517" s="26" t="s">
        <v>509</v>
      </c>
      <c r="AV517" s="26">
        <f t="array" ref="AV517">IF($A517="","",IF(INDEX($A517:$AT517,1,MAP!$B$3)=CurrentSeason,1,0))</f>
        <v>1</v>
      </c>
      <c r="AW517" s="26">
        <f t="shared" si="1"/>
        <v>227</v>
      </c>
    </row>
    <row r="518" ht="15.75" customHeight="1">
      <c r="A518" s="26" t="s">
        <v>1736</v>
      </c>
      <c r="B518" s="26">
        <v>2026.0</v>
      </c>
      <c r="C518" s="26" t="s">
        <v>390</v>
      </c>
      <c r="D518" s="26">
        <v>16.0</v>
      </c>
      <c r="E518" s="26">
        <v>46381.0</v>
      </c>
      <c r="F518" s="26" t="s">
        <v>406</v>
      </c>
      <c r="G518" s="26">
        <v>0.84375</v>
      </c>
      <c r="H518" s="26" t="s">
        <v>142</v>
      </c>
      <c r="J518" s="26" t="s">
        <v>149</v>
      </c>
      <c r="L518" s="26" t="s">
        <v>77</v>
      </c>
      <c r="P518" s="26">
        <v>2.026122502E9</v>
      </c>
      <c r="S518" s="26" t="s">
        <v>1737</v>
      </c>
      <c r="W518" s="26">
        <v>5.0</v>
      </c>
      <c r="X518" s="26">
        <v>6.0</v>
      </c>
      <c r="AG518" s="26">
        <v>1.0</v>
      </c>
      <c r="AH518" s="26" t="s">
        <v>395</v>
      </c>
      <c r="AI518" s="26" t="s">
        <v>423</v>
      </c>
      <c r="AP518" s="26" t="s">
        <v>535</v>
      </c>
      <c r="AQ518" s="26" t="s">
        <v>515</v>
      </c>
      <c r="AS518" s="26" t="s">
        <v>517</v>
      </c>
      <c r="AT518" s="26" t="s">
        <v>518</v>
      </c>
      <c r="AV518" s="26">
        <f t="array" ref="AV518">IF($A518="","",IF(INDEX($A518:$AT518,1,MAP!$B$3)=CurrentSeason,1,0))</f>
        <v>1</v>
      </c>
      <c r="AW518" s="26">
        <f t="shared" si="1"/>
        <v>228</v>
      </c>
    </row>
    <row r="519" ht="15.75" customHeight="1">
      <c r="A519" s="26" t="s">
        <v>1738</v>
      </c>
      <c r="B519" s="26">
        <v>2026.0</v>
      </c>
      <c r="C519" s="26" t="s">
        <v>390</v>
      </c>
      <c r="D519" s="26">
        <v>16.0</v>
      </c>
      <c r="E519" s="26">
        <v>46383.0</v>
      </c>
      <c r="F519" s="26" t="s">
        <v>419</v>
      </c>
      <c r="G519" s="26">
        <v>0.5416666666678793</v>
      </c>
      <c r="H519" s="26" t="s">
        <v>150</v>
      </c>
      <c r="J519" s="26" t="s">
        <v>132</v>
      </c>
      <c r="L519" s="26" t="s">
        <v>77</v>
      </c>
      <c r="P519" s="26">
        <v>2.0261227E9</v>
      </c>
      <c r="S519" s="26" t="s">
        <v>1739</v>
      </c>
      <c r="W519" s="26">
        <v>7.0</v>
      </c>
      <c r="X519" s="26">
        <v>7.0</v>
      </c>
      <c r="AG519" s="26">
        <v>1.0</v>
      </c>
      <c r="AI519" s="26" t="s">
        <v>423</v>
      </c>
      <c r="AP519" s="26" t="s">
        <v>427</v>
      </c>
      <c r="AQ519" s="26" t="s">
        <v>428</v>
      </c>
      <c r="AS519" s="26" t="s">
        <v>430</v>
      </c>
      <c r="AT519" s="26" t="s">
        <v>431</v>
      </c>
      <c r="AV519" s="26">
        <f t="array" ref="AV519">IF($A519="","",IF(INDEX($A519:$AT519,1,MAP!$B$3)=CurrentSeason,1,0))</f>
        <v>1</v>
      </c>
      <c r="AW519" s="26">
        <f t="shared" si="1"/>
        <v>229</v>
      </c>
    </row>
    <row r="520" ht="15.75" customHeight="1">
      <c r="A520" s="26" t="s">
        <v>1740</v>
      </c>
      <c r="B520" s="26">
        <v>2026.0</v>
      </c>
      <c r="C520" s="26" t="s">
        <v>390</v>
      </c>
      <c r="D520" s="26">
        <v>16.0</v>
      </c>
      <c r="E520" s="26">
        <v>46383.0</v>
      </c>
      <c r="F520" s="26" t="s">
        <v>419</v>
      </c>
      <c r="G520" s="26">
        <v>0.5416666666678793</v>
      </c>
      <c r="H520" s="26" t="s">
        <v>196</v>
      </c>
      <c r="J520" s="26" t="s">
        <v>148</v>
      </c>
      <c r="L520" s="26" t="s">
        <v>77</v>
      </c>
      <c r="P520" s="26">
        <v>2.0261227E9</v>
      </c>
      <c r="S520" s="26" t="s">
        <v>1741</v>
      </c>
      <c r="W520" s="26">
        <v>7.0</v>
      </c>
      <c r="X520" s="26">
        <v>7.0</v>
      </c>
      <c r="AG520" s="26">
        <v>1.0</v>
      </c>
      <c r="AH520" s="26" t="s">
        <v>395</v>
      </c>
      <c r="AI520" s="26" t="s">
        <v>396</v>
      </c>
      <c r="AP520" s="26" t="s">
        <v>1281</v>
      </c>
      <c r="AQ520" s="26" t="s">
        <v>1278</v>
      </c>
      <c r="AS520" s="26" t="s">
        <v>567</v>
      </c>
      <c r="AT520" s="26" t="s">
        <v>568</v>
      </c>
      <c r="AV520" s="26">
        <f t="array" ref="AV520">IF($A520="","",IF(INDEX($A520:$AT520,1,MAP!$B$3)=CurrentSeason,1,0))</f>
        <v>1</v>
      </c>
      <c r="AW520" s="26">
        <f t="shared" si="1"/>
        <v>230</v>
      </c>
    </row>
    <row r="521" ht="15.75" customHeight="1">
      <c r="A521" s="26" t="s">
        <v>1742</v>
      </c>
      <c r="B521" s="26">
        <v>2026.0</v>
      </c>
      <c r="C521" s="26" t="s">
        <v>390</v>
      </c>
      <c r="D521" s="26">
        <v>16.0</v>
      </c>
      <c r="E521" s="26">
        <v>46383.0</v>
      </c>
      <c r="F521" s="26" t="s">
        <v>419</v>
      </c>
      <c r="G521" s="26">
        <v>0.5416666666678793</v>
      </c>
      <c r="H521" s="26" t="s">
        <v>138</v>
      </c>
      <c r="J521" s="26" t="s">
        <v>210</v>
      </c>
      <c r="L521" s="26" t="s">
        <v>77</v>
      </c>
      <c r="P521" s="26">
        <v>2.026122701E9</v>
      </c>
      <c r="S521" s="26" t="s">
        <v>1743</v>
      </c>
      <c r="W521" s="26">
        <v>7.0</v>
      </c>
      <c r="X521" s="26">
        <v>7.0</v>
      </c>
      <c r="AG521" s="26">
        <v>0.0</v>
      </c>
      <c r="AI521" s="26" t="s">
        <v>423</v>
      </c>
      <c r="AP521" s="26" t="s">
        <v>437</v>
      </c>
      <c r="AQ521" s="26" t="s">
        <v>447</v>
      </c>
      <c r="AS521" s="26" t="s">
        <v>449</v>
      </c>
      <c r="AT521" s="26" t="s">
        <v>450</v>
      </c>
      <c r="AV521" s="26">
        <f t="array" ref="AV521">IF($A521="","",IF(INDEX($A521:$AT521,1,MAP!$B$3)=CurrentSeason,1,0))</f>
        <v>1</v>
      </c>
      <c r="AW521" s="26">
        <f t="shared" si="1"/>
        <v>231</v>
      </c>
    </row>
    <row r="522" ht="15.75" customHeight="1">
      <c r="A522" s="26" t="s">
        <v>1744</v>
      </c>
      <c r="B522" s="26">
        <v>2026.0</v>
      </c>
      <c r="C522" s="26" t="s">
        <v>390</v>
      </c>
      <c r="D522" s="26">
        <v>16.0</v>
      </c>
      <c r="E522" s="26">
        <v>46383.0</v>
      </c>
      <c r="F522" s="26" t="s">
        <v>419</v>
      </c>
      <c r="G522" s="26">
        <v>0.5416666666678793</v>
      </c>
      <c r="H522" s="26" t="s">
        <v>220</v>
      </c>
      <c r="J522" s="26" t="s">
        <v>225</v>
      </c>
      <c r="L522" s="26" t="s">
        <v>77</v>
      </c>
      <c r="P522" s="26">
        <v>2.026122701E9</v>
      </c>
      <c r="S522" s="26" t="s">
        <v>1745</v>
      </c>
      <c r="W522" s="26">
        <v>10.0</v>
      </c>
      <c r="X522" s="26">
        <v>7.0</v>
      </c>
      <c r="AG522" s="26">
        <v>0.0</v>
      </c>
      <c r="AH522" s="26" t="s">
        <v>395</v>
      </c>
      <c r="AI522" s="26" t="s">
        <v>396</v>
      </c>
      <c r="AP522" s="26" t="s">
        <v>413</v>
      </c>
      <c r="AQ522" s="26" t="s">
        <v>1293</v>
      </c>
      <c r="AS522" s="26" t="s">
        <v>583</v>
      </c>
      <c r="AT522" s="26" t="s">
        <v>584</v>
      </c>
      <c r="AV522" s="26">
        <f t="array" ref="AV522">IF($A522="","",IF(INDEX($A522:$AT522,1,MAP!$B$3)=CurrentSeason,1,0))</f>
        <v>1</v>
      </c>
      <c r="AW522" s="26">
        <f t="shared" si="1"/>
        <v>232</v>
      </c>
    </row>
    <row r="523" ht="15.75" customHeight="1">
      <c r="A523" s="26" t="s">
        <v>1746</v>
      </c>
      <c r="B523" s="26">
        <v>2026.0</v>
      </c>
      <c r="C523" s="26" t="s">
        <v>390</v>
      </c>
      <c r="D523" s="26">
        <v>16.0</v>
      </c>
      <c r="E523" s="26">
        <v>46383.0</v>
      </c>
      <c r="F523" s="26" t="s">
        <v>419</v>
      </c>
      <c r="G523" s="26">
        <v>0.5416666666678793</v>
      </c>
      <c r="H523" s="26" t="s">
        <v>253</v>
      </c>
      <c r="J523" s="26" t="s">
        <v>144</v>
      </c>
      <c r="L523" s="26" t="s">
        <v>77</v>
      </c>
      <c r="P523" s="26">
        <v>2.026122702E9</v>
      </c>
      <c r="S523" s="26" t="s">
        <v>1747</v>
      </c>
      <c r="W523" s="26">
        <v>7.0</v>
      </c>
      <c r="X523" s="26">
        <v>7.0</v>
      </c>
      <c r="AG523" s="26">
        <v>0.0</v>
      </c>
      <c r="AH523" s="26" t="s">
        <v>409</v>
      </c>
      <c r="AI523" s="26" t="s">
        <v>471</v>
      </c>
      <c r="AP523" s="26" t="s">
        <v>496</v>
      </c>
      <c r="AQ523" s="26" t="s">
        <v>555</v>
      </c>
      <c r="AS523" s="26" t="s">
        <v>611</v>
      </c>
      <c r="AT523" s="26" t="s">
        <v>612</v>
      </c>
      <c r="AV523" s="26">
        <f t="array" ref="AV523">IF($A523="","",IF(INDEX($A523:$AT523,1,MAP!$B$3)=CurrentSeason,1,0))</f>
        <v>1</v>
      </c>
      <c r="AW523" s="26">
        <f t="shared" si="1"/>
        <v>233</v>
      </c>
    </row>
    <row r="524" ht="15.75" customHeight="1">
      <c r="A524" s="26" t="s">
        <v>1748</v>
      </c>
      <c r="B524" s="26">
        <v>2026.0</v>
      </c>
      <c r="C524" s="26" t="s">
        <v>390</v>
      </c>
      <c r="D524" s="26">
        <v>16.0</v>
      </c>
      <c r="E524" s="26">
        <v>46383.0</v>
      </c>
      <c r="F524" s="26" t="s">
        <v>419</v>
      </c>
      <c r="G524" s="26">
        <v>0.5416666666678793</v>
      </c>
      <c r="H524" s="26" t="s">
        <v>178</v>
      </c>
      <c r="J524" s="26" t="s">
        <v>232</v>
      </c>
      <c r="L524" s="26" t="s">
        <v>77</v>
      </c>
      <c r="P524" s="26">
        <v>2.026122702E9</v>
      </c>
      <c r="S524" s="26" t="s">
        <v>1749</v>
      </c>
      <c r="W524" s="26">
        <v>7.0</v>
      </c>
      <c r="X524" s="26">
        <v>7.0</v>
      </c>
      <c r="AG524" s="26">
        <v>0.0</v>
      </c>
      <c r="AH524" s="26" t="s">
        <v>409</v>
      </c>
      <c r="AI524" s="26" t="s">
        <v>471</v>
      </c>
      <c r="AP524" s="26" t="s">
        <v>475</v>
      </c>
      <c r="AQ524" s="26" t="s">
        <v>476</v>
      </c>
      <c r="AS524" s="26" t="s">
        <v>478</v>
      </c>
      <c r="AT524" s="26" t="s">
        <v>1367</v>
      </c>
      <c r="AV524" s="26">
        <f t="array" ref="AV524">IF($A524="","",IF(INDEX($A524:$AT524,1,MAP!$B$3)=CurrentSeason,1,0))</f>
        <v>1</v>
      </c>
      <c r="AW524" s="26">
        <f t="shared" si="1"/>
        <v>234</v>
      </c>
    </row>
    <row r="525" ht="15.75" customHeight="1">
      <c r="A525" s="26" t="s">
        <v>1750</v>
      </c>
      <c r="B525" s="26">
        <v>2026.0</v>
      </c>
      <c r="C525" s="26" t="s">
        <v>390</v>
      </c>
      <c r="D525" s="26">
        <v>16.0</v>
      </c>
      <c r="E525" s="26">
        <v>46383.0</v>
      </c>
      <c r="F525" s="26" t="s">
        <v>419</v>
      </c>
      <c r="G525" s="26">
        <v>0.5416666666678793</v>
      </c>
      <c r="H525" s="26" t="s">
        <v>145</v>
      </c>
      <c r="J525" s="26" t="s">
        <v>238</v>
      </c>
      <c r="L525" s="26" t="s">
        <v>77</v>
      </c>
      <c r="P525" s="26">
        <v>2.026122703E9</v>
      </c>
      <c r="S525" s="26" t="s">
        <v>1751</v>
      </c>
      <c r="W525" s="26">
        <v>6.0</v>
      </c>
      <c r="X525" s="26">
        <v>7.0</v>
      </c>
      <c r="AG525" s="26">
        <v>1.0</v>
      </c>
      <c r="AH525" s="26" t="s">
        <v>395</v>
      </c>
      <c r="AI525" s="26" t="s">
        <v>423</v>
      </c>
      <c r="AP525" s="26" t="s">
        <v>465</v>
      </c>
      <c r="AQ525" s="26" t="s">
        <v>486</v>
      </c>
      <c r="AS525" s="26" t="s">
        <v>488</v>
      </c>
      <c r="AT525" s="26" t="s">
        <v>489</v>
      </c>
      <c r="AV525" s="26">
        <f t="array" ref="AV525">IF($A525="","",IF(INDEX($A525:$AT525,1,MAP!$B$3)=CurrentSeason,1,0))</f>
        <v>1</v>
      </c>
      <c r="AW525" s="26">
        <f t="shared" si="1"/>
        <v>235</v>
      </c>
    </row>
    <row r="526" ht="15.75" customHeight="1">
      <c r="A526" s="26" t="s">
        <v>1752</v>
      </c>
      <c r="B526" s="26">
        <v>2026.0</v>
      </c>
      <c r="C526" s="26" t="s">
        <v>390</v>
      </c>
      <c r="D526" s="26">
        <v>16.0</v>
      </c>
      <c r="E526" s="26">
        <v>46383.0</v>
      </c>
      <c r="F526" s="26" t="s">
        <v>419</v>
      </c>
      <c r="G526" s="26">
        <v>0.5416666666678793</v>
      </c>
      <c r="H526" s="26" t="s">
        <v>189</v>
      </c>
      <c r="J526" s="26" t="s">
        <v>242</v>
      </c>
      <c r="L526" s="26" t="s">
        <v>77</v>
      </c>
      <c r="P526" s="26">
        <v>2.026122703E9</v>
      </c>
      <c r="S526" s="26" t="s">
        <v>1753</v>
      </c>
      <c r="W526" s="26">
        <v>7.0</v>
      </c>
      <c r="X526" s="26">
        <v>7.0</v>
      </c>
      <c r="AG526" s="26">
        <v>0.0</v>
      </c>
      <c r="AH526" s="26" t="s">
        <v>395</v>
      </c>
      <c r="AI526" s="26" t="s">
        <v>396</v>
      </c>
      <c r="AP526" s="26" t="s">
        <v>455</v>
      </c>
      <c r="AQ526" s="26" t="s">
        <v>1285</v>
      </c>
      <c r="AS526" s="26" t="s">
        <v>593</v>
      </c>
      <c r="AT526" s="26" t="s">
        <v>594</v>
      </c>
      <c r="AV526" s="26">
        <f t="array" ref="AV526">IF($A526="","",IF(INDEX($A526:$AT526,1,MAP!$B$3)=CurrentSeason,1,0))</f>
        <v>1</v>
      </c>
      <c r="AW526" s="26">
        <f t="shared" si="1"/>
        <v>236</v>
      </c>
    </row>
    <row r="527" ht="15.75" customHeight="1">
      <c r="A527" s="26" t="s">
        <v>1754</v>
      </c>
      <c r="B527" s="26">
        <v>2026.0</v>
      </c>
      <c r="C527" s="26" t="s">
        <v>390</v>
      </c>
      <c r="D527" s="26">
        <v>16.0</v>
      </c>
      <c r="E527" s="26">
        <v>46383.0</v>
      </c>
      <c r="F527" s="26" t="s">
        <v>419</v>
      </c>
      <c r="G527" s="26">
        <v>0.6701388888905058</v>
      </c>
      <c r="H527" s="26" t="s">
        <v>250</v>
      </c>
      <c r="J527" s="26" t="s">
        <v>222</v>
      </c>
      <c r="L527" s="26" t="s">
        <v>77</v>
      </c>
      <c r="P527" s="26">
        <v>2.026122704E9</v>
      </c>
      <c r="S527" s="26" t="s">
        <v>1755</v>
      </c>
      <c r="W527" s="26">
        <v>7.0</v>
      </c>
      <c r="X527" s="26">
        <v>7.0</v>
      </c>
      <c r="AG527" s="26">
        <v>0.0</v>
      </c>
      <c r="AH527" s="26" t="s">
        <v>409</v>
      </c>
      <c r="AI527" s="26" t="s">
        <v>396</v>
      </c>
      <c r="AP527" s="26" t="s">
        <v>1288</v>
      </c>
      <c r="AQ527" s="26" t="s">
        <v>1294</v>
      </c>
      <c r="AS527" s="26" t="s">
        <v>623</v>
      </c>
      <c r="AT527" s="26" t="s">
        <v>624</v>
      </c>
      <c r="AV527" s="26">
        <f t="array" ref="AV527">IF($A527="","",IF(INDEX($A527:$AT527,1,MAP!$B$3)=CurrentSeason,1,0))</f>
        <v>1</v>
      </c>
      <c r="AW527" s="26">
        <f t="shared" si="1"/>
        <v>237</v>
      </c>
    </row>
    <row r="528" ht="15.75" customHeight="1">
      <c r="A528" s="26" t="s">
        <v>1756</v>
      </c>
      <c r="B528" s="26">
        <v>2026.0</v>
      </c>
      <c r="C528" s="26" t="s">
        <v>390</v>
      </c>
      <c r="D528" s="26">
        <v>16.0</v>
      </c>
      <c r="E528" s="26">
        <v>46383.0</v>
      </c>
      <c r="F528" s="26" t="s">
        <v>419</v>
      </c>
      <c r="G528" s="26">
        <v>0.6840277777773736</v>
      </c>
      <c r="H528" s="26" t="s">
        <v>246</v>
      </c>
      <c r="J528" s="26" t="s">
        <v>143</v>
      </c>
      <c r="L528" s="26" t="s">
        <v>77</v>
      </c>
      <c r="P528" s="26">
        <v>2.026122705E9</v>
      </c>
      <c r="S528" s="26" t="s">
        <v>1757</v>
      </c>
      <c r="W528" s="26">
        <v>10.0</v>
      </c>
      <c r="X528" s="26">
        <v>6.0</v>
      </c>
      <c r="AG528" s="26">
        <v>0.0</v>
      </c>
      <c r="AH528" s="26" t="s">
        <v>395</v>
      </c>
      <c r="AI528" s="26" t="s">
        <v>396</v>
      </c>
      <c r="AP528" s="26" t="s">
        <v>514</v>
      </c>
      <c r="AQ528" s="26" t="s">
        <v>412</v>
      </c>
      <c r="AS528" s="26" t="s">
        <v>607</v>
      </c>
      <c r="AT528" s="26" t="s">
        <v>608</v>
      </c>
      <c r="AV528" s="26">
        <f t="array" ref="AV528">IF($A528="","",IF(INDEX($A528:$AT528,1,MAP!$B$3)=CurrentSeason,1,0))</f>
        <v>1</v>
      </c>
      <c r="AW528" s="26">
        <f t="shared" si="1"/>
        <v>238</v>
      </c>
    </row>
    <row r="529" ht="15.75" customHeight="1">
      <c r="A529" s="26" t="s">
        <v>1758</v>
      </c>
      <c r="B529" s="26">
        <v>2026.0</v>
      </c>
      <c r="C529" s="26" t="s">
        <v>390</v>
      </c>
      <c r="D529" s="26">
        <v>16.0</v>
      </c>
      <c r="E529" s="26">
        <v>46383.0</v>
      </c>
      <c r="F529" s="26" t="s">
        <v>419</v>
      </c>
      <c r="G529" s="26">
        <v>0.8472222222226264</v>
      </c>
      <c r="H529" s="26" t="s">
        <v>141</v>
      </c>
      <c r="J529" s="26" t="s">
        <v>146</v>
      </c>
      <c r="L529" s="26" t="s">
        <v>77</v>
      </c>
      <c r="P529" s="26">
        <v>2.026122706E9</v>
      </c>
      <c r="S529" s="26" t="s">
        <v>1759</v>
      </c>
      <c r="W529" s="26">
        <v>7.0</v>
      </c>
      <c r="X529" s="26">
        <v>7.0</v>
      </c>
      <c r="AG529" s="26">
        <v>0.0</v>
      </c>
      <c r="AI529" s="26" t="s">
        <v>531</v>
      </c>
      <c r="AP529" s="26" t="s">
        <v>456</v>
      </c>
      <c r="AQ529" s="26" t="s">
        <v>399</v>
      </c>
      <c r="AS529" s="26" t="s">
        <v>575</v>
      </c>
      <c r="AT529" s="26" t="s">
        <v>576</v>
      </c>
      <c r="AV529" s="26">
        <f t="array" ref="AV529">IF($A529="","",IF(INDEX($A529:$AT529,1,MAP!$B$3)=CurrentSeason,1,0))</f>
        <v>1</v>
      </c>
      <c r="AW529" s="26">
        <f t="shared" si="1"/>
        <v>239</v>
      </c>
    </row>
    <row r="530" ht="15.75" customHeight="1">
      <c r="A530" s="26" t="s">
        <v>1760</v>
      </c>
      <c r="B530" s="26">
        <v>2026.0</v>
      </c>
      <c r="C530" s="26" t="s">
        <v>390</v>
      </c>
      <c r="D530" s="26">
        <v>16.0</v>
      </c>
      <c r="E530" s="26">
        <v>46384.0</v>
      </c>
      <c r="F530" s="26" t="s">
        <v>549</v>
      </c>
      <c r="G530" s="26">
        <v>0.84375</v>
      </c>
      <c r="H530" s="26" t="s">
        <v>235</v>
      </c>
      <c r="J530" s="26" t="s">
        <v>202</v>
      </c>
      <c r="L530" s="26" t="s">
        <v>77</v>
      </c>
      <c r="P530" s="26">
        <v>2.0261228E9</v>
      </c>
      <c r="S530" s="26" t="s">
        <v>1761</v>
      </c>
      <c r="W530" s="26">
        <v>8.0</v>
      </c>
      <c r="X530" s="26">
        <v>8.0</v>
      </c>
      <c r="AG530" s="26">
        <v>0.0</v>
      </c>
      <c r="AH530" s="26" t="s">
        <v>409</v>
      </c>
      <c r="AI530" s="26" t="s">
        <v>423</v>
      </c>
      <c r="AP530" s="26" t="s">
        <v>542</v>
      </c>
      <c r="AQ530" s="26" t="s">
        <v>524</v>
      </c>
      <c r="AS530" s="26" t="s">
        <v>579</v>
      </c>
      <c r="AT530" s="26" t="s">
        <v>580</v>
      </c>
      <c r="AV530" s="26">
        <f t="array" ref="AV530">IF($A530="","",IF(INDEX($A530:$AT530,1,MAP!$B$3)=CurrentSeason,1,0))</f>
        <v>1</v>
      </c>
      <c r="AW530" s="26">
        <f t="shared" si="1"/>
        <v>240</v>
      </c>
    </row>
    <row r="531" ht="15.75" customHeight="1">
      <c r="A531" s="26" t="s">
        <v>1762</v>
      </c>
      <c r="B531" s="26">
        <v>2026.0</v>
      </c>
      <c r="C531" s="26" t="s">
        <v>390</v>
      </c>
      <c r="D531" s="26">
        <v>17.0</v>
      </c>
      <c r="E531" s="26">
        <v>46387.0</v>
      </c>
      <c r="F531" s="26" t="s">
        <v>392</v>
      </c>
      <c r="G531" s="26">
        <v>0.84375</v>
      </c>
      <c r="H531" s="26" t="s">
        <v>148</v>
      </c>
      <c r="J531" s="26" t="s">
        <v>138</v>
      </c>
      <c r="L531" s="26" t="s">
        <v>77</v>
      </c>
      <c r="P531" s="26">
        <v>2.0261231E9</v>
      </c>
      <c r="S531" s="26" t="s">
        <v>1763</v>
      </c>
      <c r="W531" s="26">
        <v>4.0</v>
      </c>
      <c r="X531" s="26">
        <v>4.0</v>
      </c>
      <c r="AG531" s="26">
        <v>1.0</v>
      </c>
      <c r="AH531" s="26" t="s">
        <v>395</v>
      </c>
      <c r="AI531" s="26" t="s">
        <v>423</v>
      </c>
      <c r="AP531" s="26" t="s">
        <v>1278</v>
      </c>
      <c r="AQ531" s="26" t="s">
        <v>437</v>
      </c>
      <c r="AS531" s="26" t="s">
        <v>571</v>
      </c>
      <c r="AT531" s="26" t="s">
        <v>572</v>
      </c>
      <c r="AV531" s="26">
        <f t="array" ref="AV531">IF($A531="","",IF(INDEX($A531:$AT531,1,MAP!$B$3)=CurrentSeason,1,0))</f>
        <v>1</v>
      </c>
      <c r="AW531" s="26">
        <f t="shared" si="1"/>
        <v>241</v>
      </c>
    </row>
    <row r="532" ht="15.75" customHeight="1">
      <c r="A532" s="26" t="s">
        <v>1764</v>
      </c>
      <c r="B532" s="26">
        <v>2026.0</v>
      </c>
      <c r="C532" s="26" t="s">
        <v>390</v>
      </c>
      <c r="D532" s="26">
        <v>17.0</v>
      </c>
      <c r="E532" s="26">
        <v>46390.0</v>
      </c>
      <c r="F532" s="26" t="s">
        <v>419</v>
      </c>
      <c r="G532" s="26">
        <v>0.5416666666678793</v>
      </c>
      <c r="H532" s="26" t="s">
        <v>232</v>
      </c>
      <c r="J532" s="26" t="s">
        <v>132</v>
      </c>
      <c r="L532" s="26" t="s">
        <v>77</v>
      </c>
      <c r="P532" s="26">
        <v>2.0270103E9</v>
      </c>
      <c r="S532" s="26" t="s">
        <v>1765</v>
      </c>
      <c r="W532" s="26">
        <v>7.0</v>
      </c>
      <c r="X532" s="26">
        <v>7.0</v>
      </c>
      <c r="AG532" s="26">
        <v>1.0</v>
      </c>
      <c r="AI532" s="26" t="s">
        <v>423</v>
      </c>
      <c r="AP532" s="26" t="s">
        <v>476</v>
      </c>
      <c r="AQ532" s="26" t="s">
        <v>428</v>
      </c>
      <c r="AS532" s="26" t="s">
        <v>430</v>
      </c>
      <c r="AT532" s="26" t="s">
        <v>431</v>
      </c>
      <c r="AV532" s="26">
        <f t="array" ref="AV532">IF($A532="","",IF(INDEX($A532:$AT532,1,MAP!$B$3)=CurrentSeason,1,0))</f>
        <v>1</v>
      </c>
      <c r="AW532" s="26">
        <f t="shared" si="1"/>
        <v>242</v>
      </c>
    </row>
    <row r="533" ht="15.75" customHeight="1">
      <c r="A533" s="26" t="s">
        <v>1766</v>
      </c>
      <c r="B533" s="26">
        <v>2026.0</v>
      </c>
      <c r="C533" s="26" t="s">
        <v>390</v>
      </c>
      <c r="D533" s="26">
        <v>17.0</v>
      </c>
      <c r="E533" s="26">
        <v>46390.0</v>
      </c>
      <c r="F533" s="26" t="s">
        <v>419</v>
      </c>
      <c r="G533" s="26">
        <v>0.5416666666678793</v>
      </c>
      <c r="H533" s="26" t="s">
        <v>149</v>
      </c>
      <c r="J533" s="26" t="s">
        <v>189</v>
      </c>
      <c r="L533" s="26" t="s">
        <v>77</v>
      </c>
      <c r="P533" s="26">
        <v>2.027010301E9</v>
      </c>
      <c r="S533" s="26" t="s">
        <v>1767</v>
      </c>
      <c r="W533" s="26">
        <v>9.0</v>
      </c>
      <c r="X533" s="26">
        <v>7.0</v>
      </c>
      <c r="AG533" s="26">
        <v>0.0</v>
      </c>
      <c r="AH533" s="26" t="s">
        <v>395</v>
      </c>
      <c r="AI533" s="26" t="s">
        <v>396</v>
      </c>
      <c r="AP533" s="26" t="s">
        <v>515</v>
      </c>
      <c r="AQ533" s="26" t="s">
        <v>455</v>
      </c>
      <c r="AS533" s="26" t="s">
        <v>631</v>
      </c>
      <c r="AT533" s="26" t="s">
        <v>632</v>
      </c>
      <c r="AV533" s="26">
        <f t="array" ref="AV533">IF($A533="","",IF(INDEX($A533:$AT533,1,MAP!$B$3)=CurrentSeason,1,0))</f>
        <v>1</v>
      </c>
      <c r="AW533" s="26">
        <f t="shared" si="1"/>
        <v>243</v>
      </c>
    </row>
    <row r="534" ht="15.75" customHeight="1">
      <c r="A534" s="26" t="s">
        <v>1768</v>
      </c>
      <c r="B534" s="26">
        <v>2026.0</v>
      </c>
      <c r="C534" s="26" t="s">
        <v>390</v>
      </c>
      <c r="D534" s="26">
        <v>17.0</v>
      </c>
      <c r="E534" s="26">
        <v>46390.0</v>
      </c>
      <c r="F534" s="26" t="s">
        <v>419</v>
      </c>
      <c r="G534" s="26">
        <v>0.5416666666678793</v>
      </c>
      <c r="H534" s="26" t="s">
        <v>210</v>
      </c>
      <c r="J534" s="26" t="s">
        <v>196</v>
      </c>
      <c r="L534" s="26" t="s">
        <v>77</v>
      </c>
      <c r="P534" s="26">
        <v>2.027010302E9</v>
      </c>
      <c r="S534" s="26" t="s">
        <v>1769</v>
      </c>
      <c r="W534" s="26">
        <v>7.0</v>
      </c>
      <c r="X534" s="26">
        <v>7.0</v>
      </c>
      <c r="AG534" s="26">
        <v>0.0</v>
      </c>
      <c r="AH534" s="26" t="s">
        <v>395</v>
      </c>
      <c r="AI534" s="26" t="s">
        <v>396</v>
      </c>
      <c r="AP534" s="26" t="s">
        <v>447</v>
      </c>
      <c r="AQ534" s="26" t="s">
        <v>1281</v>
      </c>
      <c r="AS534" s="26" t="s">
        <v>440</v>
      </c>
      <c r="AT534" s="26" t="s">
        <v>1342</v>
      </c>
      <c r="AV534" s="26">
        <f t="array" ref="AV534">IF($A534="","",IF(INDEX($A534:$AT534,1,MAP!$B$3)=CurrentSeason,1,0))</f>
        <v>1</v>
      </c>
      <c r="AW534" s="26">
        <f t="shared" si="1"/>
        <v>244</v>
      </c>
    </row>
    <row r="535" ht="15.75" customHeight="1">
      <c r="A535" s="26" t="s">
        <v>1770</v>
      </c>
      <c r="B535" s="26">
        <v>2026.0</v>
      </c>
      <c r="C535" s="26" t="s">
        <v>390</v>
      </c>
      <c r="D535" s="26">
        <v>17.0</v>
      </c>
      <c r="E535" s="26">
        <v>46390.0</v>
      </c>
      <c r="F535" s="26" t="s">
        <v>419</v>
      </c>
      <c r="G535" s="26">
        <v>0.5416666666678793</v>
      </c>
      <c r="H535" s="26" t="s">
        <v>235</v>
      </c>
      <c r="J535" s="26" t="s">
        <v>146</v>
      </c>
      <c r="L535" s="26" t="s">
        <v>77</v>
      </c>
      <c r="P535" s="26">
        <v>2.027010303E9</v>
      </c>
      <c r="S535" s="26" t="s">
        <v>1771</v>
      </c>
      <c r="W535" s="26">
        <v>6.0</v>
      </c>
      <c r="X535" s="26">
        <v>7.0</v>
      </c>
      <c r="AG535" s="26">
        <v>1.0</v>
      </c>
      <c r="AI535" s="26" t="s">
        <v>531</v>
      </c>
      <c r="AP535" s="26" t="s">
        <v>542</v>
      </c>
      <c r="AQ535" s="26" t="s">
        <v>399</v>
      </c>
      <c r="AS535" s="26" t="s">
        <v>575</v>
      </c>
      <c r="AT535" s="26" t="s">
        <v>576</v>
      </c>
      <c r="AV535" s="26">
        <f t="array" ref="AV535">IF($A535="","",IF(INDEX($A535:$AT535,1,MAP!$B$3)=CurrentSeason,1,0))</f>
        <v>1</v>
      </c>
      <c r="AW535" s="26">
        <f t="shared" si="1"/>
        <v>245</v>
      </c>
    </row>
    <row r="536" ht="15.75" customHeight="1">
      <c r="A536" s="26" t="s">
        <v>1772</v>
      </c>
      <c r="B536" s="26">
        <v>2026.0</v>
      </c>
      <c r="C536" s="26" t="s">
        <v>390</v>
      </c>
      <c r="D536" s="26">
        <v>17.0</v>
      </c>
      <c r="E536" s="26">
        <v>46390.0</v>
      </c>
      <c r="F536" s="26" t="s">
        <v>419</v>
      </c>
      <c r="G536" s="26">
        <v>0.5416666666678793</v>
      </c>
      <c r="H536" s="26" t="s">
        <v>253</v>
      </c>
      <c r="J536" s="26" t="s">
        <v>141</v>
      </c>
      <c r="L536" s="26" t="s">
        <v>77</v>
      </c>
      <c r="P536" s="26">
        <v>2.0270103E9</v>
      </c>
      <c r="S536" s="26" t="s">
        <v>1773</v>
      </c>
      <c r="W536" s="26">
        <v>7.0</v>
      </c>
      <c r="X536" s="26">
        <v>7.0</v>
      </c>
      <c r="AG536" s="26">
        <v>0.0</v>
      </c>
      <c r="AH536" s="26" t="s">
        <v>395</v>
      </c>
      <c r="AI536" s="26" t="s">
        <v>396</v>
      </c>
      <c r="AP536" s="26" t="s">
        <v>496</v>
      </c>
      <c r="AQ536" s="26" t="s">
        <v>456</v>
      </c>
      <c r="AS536" s="26" t="s">
        <v>458</v>
      </c>
      <c r="AT536" s="26" t="s">
        <v>1282</v>
      </c>
      <c r="AV536" s="26">
        <f t="array" ref="AV536">IF($A536="","",IF(INDEX($A536:$AT536,1,MAP!$B$3)=CurrentSeason,1,0))</f>
        <v>1</v>
      </c>
      <c r="AW536" s="26">
        <f t="shared" si="1"/>
        <v>246</v>
      </c>
    </row>
    <row r="537" ht="15.75" customHeight="1">
      <c r="A537" s="26" t="s">
        <v>1774</v>
      </c>
      <c r="B537" s="26">
        <v>2026.0</v>
      </c>
      <c r="C537" s="26" t="s">
        <v>390</v>
      </c>
      <c r="D537" s="26">
        <v>17.0</v>
      </c>
      <c r="E537" s="26">
        <v>46390.0</v>
      </c>
      <c r="F537" s="26" t="s">
        <v>419</v>
      </c>
      <c r="G537" s="26">
        <v>0.5416666666678793</v>
      </c>
      <c r="H537" s="26" t="s">
        <v>143</v>
      </c>
      <c r="J537" s="26" t="s">
        <v>220</v>
      </c>
      <c r="L537" s="26" t="s">
        <v>77</v>
      </c>
      <c r="P537" s="26">
        <v>2.027010301E9</v>
      </c>
      <c r="S537" s="26" t="s">
        <v>1775</v>
      </c>
      <c r="W537" s="26">
        <v>7.0</v>
      </c>
      <c r="X537" s="26">
        <v>7.0</v>
      </c>
      <c r="AG537" s="26">
        <v>1.0</v>
      </c>
      <c r="AH537" s="26" t="s">
        <v>409</v>
      </c>
      <c r="AI537" s="26" t="s">
        <v>531</v>
      </c>
      <c r="AP537" s="26" t="s">
        <v>412</v>
      </c>
      <c r="AQ537" s="26" t="s">
        <v>413</v>
      </c>
      <c r="AS537" s="26" t="s">
        <v>415</v>
      </c>
      <c r="AT537" s="26" t="s">
        <v>416</v>
      </c>
      <c r="AV537" s="26">
        <f t="array" ref="AV537">IF($A537="","",IF(INDEX($A537:$AT537,1,MAP!$B$3)=CurrentSeason,1,0))</f>
        <v>1</v>
      </c>
      <c r="AW537" s="26">
        <f t="shared" si="1"/>
        <v>247</v>
      </c>
    </row>
    <row r="538" ht="15.75" customHeight="1">
      <c r="A538" s="26" t="s">
        <v>1776</v>
      </c>
      <c r="B538" s="26">
        <v>2026.0</v>
      </c>
      <c r="C538" s="26" t="s">
        <v>390</v>
      </c>
      <c r="D538" s="26">
        <v>17.0</v>
      </c>
      <c r="E538" s="26">
        <v>46390.0</v>
      </c>
      <c r="F538" s="26" t="s">
        <v>419</v>
      </c>
      <c r="G538" s="26">
        <v>0.5416666666678793</v>
      </c>
      <c r="H538" s="26" t="s">
        <v>136</v>
      </c>
      <c r="J538" s="26" t="s">
        <v>225</v>
      </c>
      <c r="L538" s="26" t="s">
        <v>77</v>
      </c>
      <c r="P538" s="26">
        <v>2.027010304E9</v>
      </c>
      <c r="S538" s="26" t="s">
        <v>1777</v>
      </c>
      <c r="W538" s="26">
        <v>9.0</v>
      </c>
      <c r="X538" s="26">
        <v>7.0</v>
      </c>
      <c r="AG538" s="26">
        <v>1.0</v>
      </c>
      <c r="AH538" s="26" t="s">
        <v>395</v>
      </c>
      <c r="AI538" s="26" t="s">
        <v>396</v>
      </c>
      <c r="AP538" s="26" t="s">
        <v>543</v>
      </c>
      <c r="AQ538" s="26" t="s">
        <v>1293</v>
      </c>
      <c r="AS538" s="26" t="s">
        <v>583</v>
      </c>
      <c r="AT538" s="26" t="s">
        <v>584</v>
      </c>
      <c r="AV538" s="26">
        <f t="array" ref="AV538">IF($A538="","",IF(INDEX($A538:$AT538,1,MAP!$B$3)=CurrentSeason,1,0))</f>
        <v>1</v>
      </c>
      <c r="AW538" s="26">
        <f t="shared" si="1"/>
        <v>248</v>
      </c>
    </row>
    <row r="539" ht="15.75" customHeight="1">
      <c r="A539" s="26" t="s">
        <v>1778</v>
      </c>
      <c r="B539" s="26">
        <v>2026.0</v>
      </c>
      <c r="C539" s="26" t="s">
        <v>390</v>
      </c>
      <c r="D539" s="26">
        <v>17.0</v>
      </c>
      <c r="E539" s="26">
        <v>46390.0</v>
      </c>
      <c r="F539" s="26" t="s">
        <v>419</v>
      </c>
      <c r="G539" s="26">
        <v>0.5416666666678793</v>
      </c>
      <c r="H539" s="26" t="s">
        <v>139</v>
      </c>
      <c r="J539" s="26" t="s">
        <v>145</v>
      </c>
      <c r="L539" s="26" t="s">
        <v>77</v>
      </c>
      <c r="P539" s="26">
        <v>2.027010302E9</v>
      </c>
      <c r="S539" s="26" t="s">
        <v>1779</v>
      </c>
      <c r="W539" s="26">
        <v>9.0</v>
      </c>
      <c r="X539" s="26">
        <v>7.0</v>
      </c>
      <c r="AG539" s="26">
        <v>0.0</v>
      </c>
      <c r="AH539" s="26" t="s">
        <v>395</v>
      </c>
      <c r="AI539" s="26" t="s">
        <v>423</v>
      </c>
      <c r="AP539" s="26" t="s">
        <v>506</v>
      </c>
      <c r="AQ539" s="26" t="s">
        <v>465</v>
      </c>
      <c r="AS539" s="26" t="s">
        <v>467</v>
      </c>
      <c r="AT539" s="26" t="s">
        <v>468</v>
      </c>
      <c r="AV539" s="26">
        <f t="array" ref="AV539">IF($A539="","",IF(INDEX($A539:$AT539,1,MAP!$B$3)=CurrentSeason,1,0))</f>
        <v>1</v>
      </c>
      <c r="AW539" s="26">
        <f t="shared" si="1"/>
        <v>249</v>
      </c>
    </row>
    <row r="540" ht="15.75" customHeight="1">
      <c r="A540" s="26" t="s">
        <v>1780</v>
      </c>
      <c r="B540" s="26">
        <v>2026.0</v>
      </c>
      <c r="C540" s="26" t="s">
        <v>390</v>
      </c>
      <c r="D540" s="26">
        <v>17.0</v>
      </c>
      <c r="E540" s="26">
        <v>46390.0</v>
      </c>
      <c r="F540" s="26" t="s">
        <v>419</v>
      </c>
      <c r="G540" s="26">
        <v>0.5416666666678793</v>
      </c>
      <c r="H540" s="26" t="s">
        <v>144</v>
      </c>
      <c r="J540" s="26" t="s">
        <v>238</v>
      </c>
      <c r="L540" s="26" t="s">
        <v>77</v>
      </c>
      <c r="P540" s="26">
        <v>2.027010305E9</v>
      </c>
      <c r="S540" s="26" t="s">
        <v>1781</v>
      </c>
      <c r="W540" s="26">
        <v>7.0</v>
      </c>
      <c r="X540" s="26">
        <v>7.0</v>
      </c>
      <c r="AG540" s="26">
        <v>0.0</v>
      </c>
      <c r="AH540" s="26" t="s">
        <v>395</v>
      </c>
      <c r="AI540" s="26" t="s">
        <v>423</v>
      </c>
      <c r="AP540" s="26" t="s">
        <v>555</v>
      </c>
      <c r="AQ540" s="26" t="s">
        <v>486</v>
      </c>
      <c r="AS540" s="26" t="s">
        <v>488</v>
      </c>
      <c r="AT540" s="26" t="s">
        <v>489</v>
      </c>
      <c r="AV540" s="26">
        <f t="array" ref="AV540">IF($A540="","",IF(INDEX($A540:$AT540,1,MAP!$B$3)=CurrentSeason,1,0))</f>
        <v>1</v>
      </c>
      <c r="AW540" s="26">
        <f t="shared" si="1"/>
        <v>250</v>
      </c>
    </row>
    <row r="541" ht="15.75" customHeight="1">
      <c r="A541" s="26" t="s">
        <v>1782</v>
      </c>
      <c r="B541" s="26">
        <v>2026.0</v>
      </c>
      <c r="C541" s="26" t="s">
        <v>390</v>
      </c>
      <c r="D541" s="26">
        <v>17.0</v>
      </c>
      <c r="E541" s="26">
        <v>46390.0</v>
      </c>
      <c r="F541" s="26" t="s">
        <v>419</v>
      </c>
      <c r="G541" s="26">
        <v>0.5416666666678793</v>
      </c>
      <c r="H541" s="26" t="s">
        <v>142</v>
      </c>
      <c r="J541" s="26" t="s">
        <v>150</v>
      </c>
      <c r="L541" s="26" t="s">
        <v>77</v>
      </c>
      <c r="P541" s="26">
        <v>2.027010303E9</v>
      </c>
      <c r="S541" s="26" t="s">
        <v>1783</v>
      </c>
      <c r="W541" s="26">
        <v>9.0</v>
      </c>
      <c r="X541" s="26">
        <v>7.0</v>
      </c>
      <c r="AG541" s="26">
        <v>0.0</v>
      </c>
      <c r="AH541" s="26" t="s">
        <v>395</v>
      </c>
      <c r="AI541" s="26" t="s">
        <v>396</v>
      </c>
      <c r="AP541" s="26" t="s">
        <v>535</v>
      </c>
      <c r="AQ541" s="26" t="s">
        <v>427</v>
      </c>
      <c r="AS541" s="26" t="s">
        <v>651</v>
      </c>
      <c r="AT541" s="26" t="s">
        <v>652</v>
      </c>
      <c r="AV541" s="26">
        <f t="array" ref="AV541">IF($A541="","",IF(INDEX($A541:$AT541,1,MAP!$B$3)=CurrentSeason,1,0))</f>
        <v>1</v>
      </c>
      <c r="AW541" s="26">
        <f t="shared" si="1"/>
        <v>251</v>
      </c>
    </row>
    <row r="542" ht="15.75" customHeight="1">
      <c r="A542" s="26" t="s">
        <v>1784</v>
      </c>
      <c r="B542" s="26">
        <v>2026.0</v>
      </c>
      <c r="C542" s="26" t="s">
        <v>390</v>
      </c>
      <c r="D542" s="26">
        <v>17.0</v>
      </c>
      <c r="E542" s="26">
        <v>46390.0</v>
      </c>
      <c r="F542" s="26" t="s">
        <v>419</v>
      </c>
      <c r="G542" s="26">
        <v>0.5416666666678793</v>
      </c>
      <c r="H542" s="26" t="s">
        <v>242</v>
      </c>
      <c r="J542" s="26" t="s">
        <v>250</v>
      </c>
      <c r="L542" s="26" t="s">
        <v>77</v>
      </c>
      <c r="P542" s="26">
        <v>2.027010306E9</v>
      </c>
      <c r="S542" s="26" t="s">
        <v>1785</v>
      </c>
      <c r="W542" s="26">
        <v>7.0</v>
      </c>
      <c r="X542" s="26">
        <v>7.0</v>
      </c>
      <c r="AG542" s="26">
        <v>0.0</v>
      </c>
      <c r="AH542" s="26" t="s">
        <v>395</v>
      </c>
      <c r="AI542" s="26" t="s">
        <v>396</v>
      </c>
      <c r="AP542" s="26" t="s">
        <v>1285</v>
      </c>
      <c r="AQ542" s="26" t="s">
        <v>1288</v>
      </c>
      <c r="AS542" s="26" t="s">
        <v>597</v>
      </c>
      <c r="AT542" s="26" t="s">
        <v>598</v>
      </c>
      <c r="AV542" s="26">
        <f t="array" ref="AV542">IF($A542="","",IF(INDEX($A542:$AT542,1,MAP!$B$3)=CurrentSeason,1,0))</f>
        <v>1</v>
      </c>
      <c r="AW542" s="26">
        <f t="shared" si="1"/>
        <v>252</v>
      </c>
    </row>
    <row r="543" ht="15.75" customHeight="1">
      <c r="A543" s="26" t="s">
        <v>1786</v>
      </c>
      <c r="B543" s="26">
        <v>2026.0</v>
      </c>
      <c r="C543" s="26" t="s">
        <v>390</v>
      </c>
      <c r="D543" s="26">
        <v>17.0</v>
      </c>
      <c r="E543" s="26">
        <v>46390.0</v>
      </c>
      <c r="F543" s="26" t="s">
        <v>419</v>
      </c>
      <c r="G543" s="26">
        <v>0.6701388888905058</v>
      </c>
      <c r="H543" s="26" t="s">
        <v>222</v>
      </c>
      <c r="J543" s="26" t="s">
        <v>178</v>
      </c>
      <c r="L543" s="26" t="s">
        <v>77</v>
      </c>
      <c r="P543" s="26">
        <v>2.027010307E9</v>
      </c>
      <c r="S543" s="26" t="s">
        <v>1787</v>
      </c>
      <c r="W543" s="26">
        <v>7.0</v>
      </c>
      <c r="X543" s="26">
        <v>7.0</v>
      </c>
      <c r="AG543" s="26">
        <v>0.0</v>
      </c>
      <c r="AI543" s="26" t="s">
        <v>396</v>
      </c>
      <c r="AP543" s="26" t="s">
        <v>1294</v>
      </c>
      <c r="AQ543" s="26" t="s">
        <v>475</v>
      </c>
      <c r="AS543" s="26" t="s">
        <v>601</v>
      </c>
      <c r="AT543" s="26" t="s">
        <v>602</v>
      </c>
      <c r="AV543" s="26">
        <f t="array" ref="AV543">IF($A543="","",IF(INDEX($A543:$AT543,1,MAP!$B$3)=CurrentSeason,1,0))</f>
        <v>1</v>
      </c>
      <c r="AW543" s="26">
        <f t="shared" si="1"/>
        <v>253</v>
      </c>
    </row>
    <row r="544" ht="15.75" customHeight="1">
      <c r="A544" s="26" t="s">
        <v>1788</v>
      </c>
      <c r="B544" s="26">
        <v>2026.0</v>
      </c>
      <c r="C544" s="26" t="s">
        <v>390</v>
      </c>
      <c r="D544" s="26">
        <v>17.0</v>
      </c>
      <c r="E544" s="26">
        <v>46390.0</v>
      </c>
      <c r="F544" s="26" t="s">
        <v>419</v>
      </c>
      <c r="G544" s="26">
        <v>0.6840277777773736</v>
      </c>
      <c r="H544" s="26" t="s">
        <v>202</v>
      </c>
      <c r="J544" s="26" t="s">
        <v>137</v>
      </c>
      <c r="L544" s="26" t="s">
        <v>77</v>
      </c>
      <c r="P544" s="26">
        <v>2.027010308E9</v>
      </c>
      <c r="S544" s="26" t="s">
        <v>1789</v>
      </c>
      <c r="W544" s="26">
        <v>6.0</v>
      </c>
      <c r="X544" s="26">
        <v>9.0</v>
      </c>
      <c r="AG544" s="26">
        <v>1.0</v>
      </c>
      <c r="AH544" s="26" t="s">
        <v>395</v>
      </c>
      <c r="AI544" s="26" t="s">
        <v>396</v>
      </c>
      <c r="AP544" s="26" t="s">
        <v>524</v>
      </c>
      <c r="AQ544" s="26" t="s">
        <v>556</v>
      </c>
      <c r="AS544" s="26" t="s">
        <v>558</v>
      </c>
      <c r="AT544" s="26" t="s">
        <v>559</v>
      </c>
      <c r="AV544" s="26">
        <f t="array" ref="AV544">IF($A544="","",IF(INDEX($A544:$AT544,1,MAP!$B$3)=CurrentSeason,1,0))</f>
        <v>1</v>
      </c>
      <c r="AW544" s="26">
        <f t="shared" si="1"/>
        <v>254</v>
      </c>
    </row>
    <row r="545" ht="15.75" customHeight="1">
      <c r="A545" s="26" t="s">
        <v>1790</v>
      </c>
      <c r="B545" s="26">
        <v>2026.0</v>
      </c>
      <c r="C545" s="26" t="s">
        <v>390</v>
      </c>
      <c r="D545" s="26">
        <v>17.0</v>
      </c>
      <c r="E545" s="26">
        <v>46390.0</v>
      </c>
      <c r="F545" s="26" t="s">
        <v>419</v>
      </c>
      <c r="G545" s="26">
        <v>0.8472222222226264</v>
      </c>
      <c r="H545" s="26" t="s">
        <v>147</v>
      </c>
      <c r="J545" s="26" t="s">
        <v>246</v>
      </c>
      <c r="L545" s="26" t="s">
        <v>77</v>
      </c>
      <c r="P545" s="26">
        <v>2.027010309E9</v>
      </c>
      <c r="S545" s="26" t="s">
        <v>1791</v>
      </c>
      <c r="W545" s="26">
        <v>10.0</v>
      </c>
      <c r="X545" s="26">
        <v>7.0</v>
      </c>
      <c r="AG545" s="26">
        <v>0.0</v>
      </c>
      <c r="AH545" s="26" t="s">
        <v>395</v>
      </c>
      <c r="AI545" s="26" t="s">
        <v>396</v>
      </c>
      <c r="AP545" s="26" t="s">
        <v>400</v>
      </c>
      <c r="AQ545" s="26" t="s">
        <v>514</v>
      </c>
      <c r="AS545" s="26" t="s">
        <v>667</v>
      </c>
      <c r="AT545" s="26" t="s">
        <v>668</v>
      </c>
      <c r="AV545" s="26">
        <f t="array" ref="AV545">IF($A545="","",IF(INDEX($A545:$AT545,1,MAP!$B$3)=CurrentSeason,1,0))</f>
        <v>1</v>
      </c>
      <c r="AW545" s="26">
        <f t="shared" si="1"/>
        <v>255</v>
      </c>
    </row>
    <row r="546" ht="15.75" customHeight="1">
      <c r="A546" s="26" t="s">
        <v>1792</v>
      </c>
      <c r="B546" s="26">
        <v>2026.0</v>
      </c>
      <c r="C546" s="26" t="s">
        <v>390</v>
      </c>
      <c r="D546" s="26">
        <v>17.0</v>
      </c>
      <c r="E546" s="26">
        <v>46391.0</v>
      </c>
      <c r="F546" s="26" t="s">
        <v>549</v>
      </c>
      <c r="G546" s="26">
        <v>0.84375</v>
      </c>
      <c r="H546" s="26" t="s">
        <v>140</v>
      </c>
      <c r="J546" s="26" t="s">
        <v>205</v>
      </c>
      <c r="L546" s="26" t="s">
        <v>77</v>
      </c>
      <c r="P546" s="26">
        <v>2.0270104E9</v>
      </c>
      <c r="S546" s="26" t="s">
        <v>1793</v>
      </c>
      <c r="W546" s="26">
        <v>11.0</v>
      </c>
      <c r="X546" s="26">
        <v>10.0</v>
      </c>
      <c r="AG546" s="26">
        <v>0.0</v>
      </c>
      <c r="AH546" s="26" t="s">
        <v>395</v>
      </c>
      <c r="AI546" s="26" t="s">
        <v>396</v>
      </c>
      <c r="AP546" s="26" t="s">
        <v>534</v>
      </c>
      <c r="AQ546" s="26" t="s">
        <v>525</v>
      </c>
      <c r="AS546" s="26" t="s">
        <v>527</v>
      </c>
      <c r="AT546" s="26" t="s">
        <v>528</v>
      </c>
      <c r="AV546" s="26">
        <f t="array" ref="AV546">IF($A546="","",IF(INDEX($A546:$AT546,1,MAP!$B$3)=CurrentSeason,1,0))</f>
        <v>1</v>
      </c>
      <c r="AW546" s="26">
        <f t="shared" si="1"/>
        <v>256</v>
      </c>
    </row>
    <row r="547" ht="15.75" customHeight="1">
      <c r="A547" s="26" t="s">
        <v>1794</v>
      </c>
      <c r="B547" s="26">
        <v>2026.0</v>
      </c>
      <c r="C547" s="26" t="s">
        <v>390</v>
      </c>
      <c r="D547" s="26">
        <v>18.0</v>
      </c>
      <c r="E547" s="26">
        <v>46397.0</v>
      </c>
      <c r="F547" s="26" t="s">
        <v>419</v>
      </c>
      <c r="G547" s="26">
        <v>0.5416666666678793</v>
      </c>
      <c r="H547" s="26" t="s">
        <v>246</v>
      </c>
      <c r="J547" s="26" t="s">
        <v>178</v>
      </c>
      <c r="L547" s="26" t="s">
        <v>77</v>
      </c>
      <c r="P547" s="26">
        <v>2.027011E9</v>
      </c>
      <c r="S547" s="26" t="s">
        <v>1795</v>
      </c>
      <c r="W547" s="26">
        <v>7.0</v>
      </c>
      <c r="X547" s="26">
        <v>7.0</v>
      </c>
      <c r="AG547" s="26">
        <v>1.0</v>
      </c>
      <c r="AI547" s="26" t="s">
        <v>396</v>
      </c>
      <c r="AP547" s="26" t="s">
        <v>514</v>
      </c>
      <c r="AQ547" s="26" t="s">
        <v>475</v>
      </c>
      <c r="AS547" s="26" t="s">
        <v>601</v>
      </c>
      <c r="AT547" s="26" t="s">
        <v>602</v>
      </c>
      <c r="AV547" s="26">
        <f t="array" ref="AV547">IF($A547="","",IF(INDEX($A547:$AT547,1,MAP!$B$3)=CurrentSeason,1,0))</f>
        <v>1</v>
      </c>
      <c r="AW547" s="26">
        <f t="shared" si="1"/>
        <v>257</v>
      </c>
    </row>
    <row r="548" ht="15.75" customHeight="1">
      <c r="A548" s="26" t="s">
        <v>1796</v>
      </c>
      <c r="B548" s="26">
        <v>2026.0</v>
      </c>
      <c r="C548" s="26" t="s">
        <v>390</v>
      </c>
      <c r="D548" s="26">
        <v>18.0</v>
      </c>
      <c r="E548" s="26">
        <v>46397.0</v>
      </c>
      <c r="F548" s="26" t="s">
        <v>419</v>
      </c>
      <c r="G548" s="26">
        <v>0.5416666666678793</v>
      </c>
      <c r="H548" s="26" t="s">
        <v>242</v>
      </c>
      <c r="J548" s="26" t="s">
        <v>148</v>
      </c>
      <c r="L548" s="26" t="s">
        <v>77</v>
      </c>
      <c r="P548" s="26">
        <v>2.027011001E9</v>
      </c>
      <c r="S548" s="26" t="s">
        <v>1797</v>
      </c>
      <c r="W548" s="26">
        <v>7.0</v>
      </c>
      <c r="X548" s="26">
        <v>10.0</v>
      </c>
      <c r="AG548" s="26">
        <v>1.0</v>
      </c>
      <c r="AH548" s="26" t="s">
        <v>395</v>
      </c>
      <c r="AI548" s="26" t="s">
        <v>396</v>
      </c>
      <c r="AP548" s="26" t="s">
        <v>1285</v>
      </c>
      <c r="AQ548" s="26" t="s">
        <v>1278</v>
      </c>
      <c r="AS548" s="26" t="s">
        <v>567</v>
      </c>
      <c r="AT548" s="26" t="s">
        <v>568</v>
      </c>
      <c r="AV548" s="26">
        <f t="array" ref="AV548">IF($A548="","",IF(INDEX($A548:$AT548,1,MAP!$B$3)=CurrentSeason,1,0))</f>
        <v>1</v>
      </c>
      <c r="AW548" s="26">
        <f t="shared" si="1"/>
        <v>258</v>
      </c>
    </row>
    <row r="549" ht="15.75" customHeight="1">
      <c r="A549" s="26" t="s">
        <v>1798</v>
      </c>
      <c r="B549" s="26">
        <v>2026.0</v>
      </c>
      <c r="C549" s="26" t="s">
        <v>390</v>
      </c>
      <c r="D549" s="26">
        <v>18.0</v>
      </c>
      <c r="E549" s="26">
        <v>46397.0</v>
      </c>
      <c r="F549" s="26" t="s">
        <v>419</v>
      </c>
      <c r="G549" s="26">
        <v>0.5416666666678793</v>
      </c>
      <c r="H549" s="26" t="s">
        <v>238</v>
      </c>
      <c r="J549" s="26" t="s">
        <v>136</v>
      </c>
      <c r="L549" s="26" t="s">
        <v>77</v>
      </c>
      <c r="P549" s="26">
        <v>2.027011002E9</v>
      </c>
      <c r="S549" s="26" t="s">
        <v>1799</v>
      </c>
      <c r="W549" s="26">
        <v>7.0</v>
      </c>
      <c r="X549" s="26">
        <v>7.0</v>
      </c>
      <c r="AG549" s="26">
        <v>1.0</v>
      </c>
      <c r="AH549" s="26" t="s">
        <v>395</v>
      </c>
      <c r="AI549" s="26" t="s">
        <v>539</v>
      </c>
      <c r="AP549" s="26" t="s">
        <v>486</v>
      </c>
      <c r="AQ549" s="26" t="s">
        <v>543</v>
      </c>
      <c r="AS549" s="26" t="s">
        <v>545</v>
      </c>
      <c r="AT549" s="26" t="s">
        <v>1305</v>
      </c>
      <c r="AV549" s="26">
        <f t="array" ref="AV549">IF($A549="","",IF(INDEX($A549:$AT549,1,MAP!$B$3)=CurrentSeason,1,0))</f>
        <v>1</v>
      </c>
      <c r="AW549" s="26">
        <f t="shared" si="1"/>
        <v>259</v>
      </c>
    </row>
    <row r="550" ht="15.75" customHeight="1">
      <c r="A550" s="26" t="s">
        <v>1800</v>
      </c>
      <c r="B550" s="26">
        <v>2026.0</v>
      </c>
      <c r="C550" s="26" t="s">
        <v>390</v>
      </c>
      <c r="D550" s="26">
        <v>18.0</v>
      </c>
      <c r="E550" s="26">
        <v>46397.0</v>
      </c>
      <c r="F550" s="26" t="s">
        <v>419</v>
      </c>
      <c r="G550" s="26">
        <v>0.5416666666678793</v>
      </c>
      <c r="H550" s="26" t="s">
        <v>132</v>
      </c>
      <c r="J550" s="26" t="s">
        <v>189</v>
      </c>
      <c r="L550" s="26" t="s">
        <v>77</v>
      </c>
      <c r="P550" s="26">
        <v>2.027011003E9</v>
      </c>
      <c r="S550" s="26" t="s">
        <v>1801</v>
      </c>
      <c r="W550" s="26">
        <v>7.0</v>
      </c>
      <c r="X550" s="26">
        <v>7.0</v>
      </c>
      <c r="AG550" s="26">
        <v>1.0</v>
      </c>
      <c r="AH550" s="26" t="s">
        <v>395</v>
      </c>
      <c r="AI550" s="26" t="s">
        <v>396</v>
      </c>
      <c r="AP550" s="26" t="s">
        <v>428</v>
      </c>
      <c r="AQ550" s="26" t="s">
        <v>455</v>
      </c>
      <c r="AS550" s="26" t="s">
        <v>631</v>
      </c>
      <c r="AT550" s="26" t="s">
        <v>632</v>
      </c>
      <c r="AV550" s="26">
        <f t="array" ref="AV550">IF($A550="","",IF(INDEX($A550:$AT550,1,MAP!$B$3)=CurrentSeason,1,0))</f>
        <v>1</v>
      </c>
      <c r="AW550" s="26">
        <f t="shared" si="1"/>
        <v>260</v>
      </c>
    </row>
    <row r="551" ht="15.75" customHeight="1">
      <c r="A551" s="26" t="s">
        <v>1802</v>
      </c>
      <c r="B551" s="26">
        <v>2026.0</v>
      </c>
      <c r="C551" s="26" t="s">
        <v>390</v>
      </c>
      <c r="D551" s="26">
        <v>18.0</v>
      </c>
      <c r="E551" s="26">
        <v>46397.0</v>
      </c>
      <c r="F551" s="26" t="s">
        <v>419</v>
      </c>
      <c r="G551" s="26">
        <v>0.5416666666678793</v>
      </c>
      <c r="H551" s="26" t="s">
        <v>196</v>
      </c>
      <c r="J551" s="26" t="s">
        <v>138</v>
      </c>
      <c r="L551" s="26" t="s">
        <v>77</v>
      </c>
      <c r="P551" s="26">
        <v>2.027011004E9</v>
      </c>
      <c r="S551" s="26" t="s">
        <v>1803</v>
      </c>
      <c r="W551" s="26">
        <v>7.0</v>
      </c>
      <c r="X551" s="26">
        <v>10.0</v>
      </c>
      <c r="AG551" s="26">
        <v>1.0</v>
      </c>
      <c r="AH551" s="26" t="s">
        <v>395</v>
      </c>
      <c r="AI551" s="26" t="s">
        <v>423</v>
      </c>
      <c r="AP551" s="26" t="s">
        <v>1281</v>
      </c>
      <c r="AQ551" s="26" t="s">
        <v>437</v>
      </c>
      <c r="AS551" s="26" t="s">
        <v>571</v>
      </c>
      <c r="AT551" s="26" t="s">
        <v>572</v>
      </c>
      <c r="AV551" s="26">
        <f t="array" ref="AV551">IF($A551="","",IF(INDEX($A551:$AT551,1,MAP!$B$3)=CurrentSeason,1,0))</f>
        <v>1</v>
      </c>
      <c r="AW551" s="26">
        <f t="shared" si="1"/>
        <v>261</v>
      </c>
    </row>
    <row r="552" ht="15.75" customHeight="1">
      <c r="A552" s="26" t="s">
        <v>1804</v>
      </c>
      <c r="B552" s="26">
        <v>2026.0</v>
      </c>
      <c r="C552" s="26" t="s">
        <v>390</v>
      </c>
      <c r="D552" s="26">
        <v>18.0</v>
      </c>
      <c r="E552" s="26">
        <v>46397.0</v>
      </c>
      <c r="F552" s="26" t="s">
        <v>419</v>
      </c>
      <c r="G552" s="26">
        <v>0.5416666666678793</v>
      </c>
      <c r="H552" s="26" t="s">
        <v>220</v>
      </c>
      <c r="J552" s="26" t="s">
        <v>139</v>
      </c>
      <c r="L552" s="26" t="s">
        <v>77</v>
      </c>
      <c r="P552" s="26">
        <v>2.027011005E9</v>
      </c>
      <c r="S552" s="26" t="s">
        <v>1805</v>
      </c>
      <c r="W552" s="26">
        <v>7.0</v>
      </c>
      <c r="X552" s="26">
        <v>7.0</v>
      </c>
      <c r="AG552" s="26">
        <v>1.0</v>
      </c>
      <c r="AH552" s="26" t="s">
        <v>395</v>
      </c>
      <c r="AI552" s="26" t="s">
        <v>396</v>
      </c>
      <c r="AP552" s="26" t="s">
        <v>413</v>
      </c>
      <c r="AQ552" s="26" t="s">
        <v>506</v>
      </c>
      <c r="AS552" s="26" t="s">
        <v>508</v>
      </c>
      <c r="AT552" s="26" t="s">
        <v>509</v>
      </c>
      <c r="AV552" s="26">
        <f t="array" ref="AV552">IF($A552="","",IF(INDEX($A552:$AT552,1,MAP!$B$3)=CurrentSeason,1,0))</f>
        <v>1</v>
      </c>
      <c r="AW552" s="26">
        <f t="shared" si="1"/>
        <v>262</v>
      </c>
    </row>
    <row r="553" ht="15.75" customHeight="1">
      <c r="A553" s="26" t="s">
        <v>1806</v>
      </c>
      <c r="B553" s="26">
        <v>2026.0</v>
      </c>
      <c r="C553" s="26" t="s">
        <v>390</v>
      </c>
      <c r="D553" s="26">
        <v>18.0</v>
      </c>
      <c r="E553" s="26">
        <v>46397.0</v>
      </c>
      <c r="F553" s="26" t="s">
        <v>419</v>
      </c>
      <c r="G553" s="26">
        <v>0.5416666666678793</v>
      </c>
      <c r="H553" s="26" t="s">
        <v>202</v>
      </c>
      <c r="J553" s="26" t="s">
        <v>205</v>
      </c>
      <c r="L553" s="26" t="s">
        <v>77</v>
      </c>
      <c r="P553" s="26">
        <v>2.027011006E9</v>
      </c>
      <c r="S553" s="26" t="s">
        <v>1807</v>
      </c>
      <c r="W553" s="26">
        <v>7.0</v>
      </c>
      <c r="X553" s="26">
        <v>6.0</v>
      </c>
      <c r="AG553" s="26">
        <v>1.0</v>
      </c>
      <c r="AH553" s="26" t="s">
        <v>395</v>
      </c>
      <c r="AI553" s="26" t="s">
        <v>396</v>
      </c>
      <c r="AP553" s="26" t="s">
        <v>524</v>
      </c>
      <c r="AQ553" s="26" t="s">
        <v>525</v>
      </c>
      <c r="AS553" s="26" t="s">
        <v>527</v>
      </c>
      <c r="AT553" s="26" t="s">
        <v>528</v>
      </c>
      <c r="AV553" s="26">
        <f t="array" ref="AV553">IF($A553="","",IF(INDEX($A553:$AT553,1,MAP!$B$3)=CurrentSeason,1,0))</f>
        <v>1</v>
      </c>
      <c r="AW553" s="26">
        <f t="shared" si="1"/>
        <v>263</v>
      </c>
    </row>
    <row r="554" ht="15.75" customHeight="1">
      <c r="A554" s="26" t="s">
        <v>1808</v>
      </c>
      <c r="B554" s="26">
        <v>2026.0</v>
      </c>
      <c r="C554" s="26" t="s">
        <v>390</v>
      </c>
      <c r="D554" s="26">
        <v>18.0</v>
      </c>
      <c r="E554" s="26">
        <v>46397.0</v>
      </c>
      <c r="F554" s="26" t="s">
        <v>419</v>
      </c>
      <c r="G554" s="26">
        <v>0.5416666666678793</v>
      </c>
      <c r="H554" s="26" t="s">
        <v>250</v>
      </c>
      <c r="J554" s="26" t="s">
        <v>140</v>
      </c>
      <c r="L554" s="26" t="s">
        <v>77</v>
      </c>
      <c r="P554" s="26">
        <v>2.027011007E9</v>
      </c>
      <c r="S554" s="26" t="s">
        <v>1809</v>
      </c>
      <c r="W554" s="26">
        <v>7.0</v>
      </c>
      <c r="X554" s="26">
        <v>6.0</v>
      </c>
      <c r="AG554" s="26">
        <v>1.0</v>
      </c>
      <c r="AI554" s="26" t="s">
        <v>617</v>
      </c>
      <c r="AP554" s="26" t="s">
        <v>1288</v>
      </c>
      <c r="AQ554" s="26" t="s">
        <v>534</v>
      </c>
      <c r="AS554" s="26" t="s">
        <v>618</v>
      </c>
      <c r="AT554" s="26" t="s">
        <v>1275</v>
      </c>
      <c r="AV554" s="26">
        <f t="array" ref="AV554">IF($A554="","",IF(INDEX($A554:$AT554,1,MAP!$B$3)=CurrentSeason,1,0))</f>
        <v>1</v>
      </c>
      <c r="AW554" s="26">
        <f t="shared" si="1"/>
        <v>264</v>
      </c>
    </row>
    <row r="555" ht="15.75" customHeight="1">
      <c r="A555" s="26" t="s">
        <v>1810</v>
      </c>
      <c r="B555" s="26">
        <v>2026.0</v>
      </c>
      <c r="C555" s="26" t="s">
        <v>390</v>
      </c>
      <c r="D555" s="26">
        <v>18.0</v>
      </c>
      <c r="E555" s="26">
        <v>46397.0</v>
      </c>
      <c r="F555" s="26" t="s">
        <v>419</v>
      </c>
      <c r="G555" s="26">
        <v>0.5416666666678793</v>
      </c>
      <c r="H555" s="26" t="s">
        <v>141</v>
      </c>
      <c r="J555" s="26" t="s">
        <v>210</v>
      </c>
      <c r="L555" s="26" t="s">
        <v>77</v>
      </c>
      <c r="P555" s="26">
        <v>2.027011008E9</v>
      </c>
      <c r="S555" s="26" t="s">
        <v>1811</v>
      </c>
      <c r="W555" s="26">
        <v>7.0</v>
      </c>
      <c r="X555" s="26">
        <v>7.0</v>
      </c>
      <c r="AG555" s="26">
        <v>1.0</v>
      </c>
      <c r="AI555" s="26" t="s">
        <v>423</v>
      </c>
      <c r="AP555" s="26" t="s">
        <v>456</v>
      </c>
      <c r="AQ555" s="26" t="s">
        <v>447</v>
      </c>
      <c r="AS555" s="26" t="s">
        <v>449</v>
      </c>
      <c r="AT555" s="26" t="s">
        <v>450</v>
      </c>
      <c r="AV555" s="26">
        <f t="array" ref="AV555">IF($A555="","",IF(INDEX($A555:$AT555,1,MAP!$B$3)=CurrentSeason,1,0))</f>
        <v>1</v>
      </c>
      <c r="AW555" s="26">
        <f t="shared" si="1"/>
        <v>265</v>
      </c>
    </row>
    <row r="556" ht="15.75" customHeight="1">
      <c r="A556" s="26" t="s">
        <v>1812</v>
      </c>
      <c r="B556" s="26">
        <v>2026.0</v>
      </c>
      <c r="C556" s="26" t="s">
        <v>390</v>
      </c>
      <c r="D556" s="26">
        <v>18.0</v>
      </c>
      <c r="E556" s="26">
        <v>46397.0</v>
      </c>
      <c r="F556" s="26" t="s">
        <v>419</v>
      </c>
      <c r="G556" s="26">
        <v>0.5416666666678793</v>
      </c>
      <c r="H556" s="26" t="s">
        <v>222</v>
      </c>
      <c r="J556" s="26" t="s">
        <v>143</v>
      </c>
      <c r="L556" s="26" t="s">
        <v>77</v>
      </c>
      <c r="P556" s="26">
        <v>2.027011009E9</v>
      </c>
      <c r="S556" s="26" t="s">
        <v>1813</v>
      </c>
      <c r="W556" s="26">
        <v>7.0</v>
      </c>
      <c r="X556" s="26">
        <v>7.0</v>
      </c>
      <c r="AG556" s="26">
        <v>1.0</v>
      </c>
      <c r="AH556" s="26" t="s">
        <v>395</v>
      </c>
      <c r="AI556" s="26" t="s">
        <v>396</v>
      </c>
      <c r="AP556" s="26" t="s">
        <v>1294</v>
      </c>
      <c r="AQ556" s="26" t="s">
        <v>412</v>
      </c>
      <c r="AS556" s="26" t="s">
        <v>607</v>
      </c>
      <c r="AT556" s="26" t="s">
        <v>608</v>
      </c>
      <c r="AV556" s="26">
        <f t="array" ref="AV556">IF($A556="","",IF(INDEX($A556:$AT556,1,MAP!$B$3)=CurrentSeason,1,0))</f>
        <v>1</v>
      </c>
      <c r="AW556" s="26">
        <f t="shared" si="1"/>
        <v>266</v>
      </c>
    </row>
    <row r="557" ht="15.75" customHeight="1">
      <c r="A557" s="26" t="s">
        <v>1814</v>
      </c>
      <c r="B557" s="26">
        <v>2026.0</v>
      </c>
      <c r="C557" s="26" t="s">
        <v>390</v>
      </c>
      <c r="D557" s="26">
        <v>18.0</v>
      </c>
      <c r="E557" s="26">
        <v>46397.0</v>
      </c>
      <c r="F557" s="26" t="s">
        <v>419</v>
      </c>
      <c r="G557" s="26">
        <v>0.5416666666678793</v>
      </c>
      <c r="H557" s="26" t="s">
        <v>149</v>
      </c>
      <c r="J557" s="26" t="s">
        <v>142</v>
      </c>
      <c r="L557" s="26" t="s">
        <v>77</v>
      </c>
      <c r="P557" s="26">
        <v>2.02701101E9</v>
      </c>
      <c r="S557" s="26" t="s">
        <v>1815</v>
      </c>
      <c r="W557" s="26">
        <v>7.0</v>
      </c>
      <c r="X557" s="26">
        <v>7.0</v>
      </c>
      <c r="AG557" s="26">
        <v>1.0</v>
      </c>
      <c r="AH557" s="26" t="s">
        <v>409</v>
      </c>
      <c r="AI557" s="26" t="s">
        <v>531</v>
      </c>
      <c r="AP557" s="26" t="s">
        <v>515</v>
      </c>
      <c r="AQ557" s="26" t="s">
        <v>535</v>
      </c>
      <c r="AS557" s="26" t="s">
        <v>415</v>
      </c>
      <c r="AT557" s="26" t="s">
        <v>416</v>
      </c>
      <c r="AV557" s="26">
        <f t="array" ref="AV557">IF($A557="","",IF(INDEX($A557:$AT557,1,MAP!$B$3)=CurrentSeason,1,0))</f>
        <v>1</v>
      </c>
      <c r="AW557" s="26">
        <f t="shared" si="1"/>
        <v>267</v>
      </c>
    </row>
    <row r="558" ht="15.75" customHeight="1">
      <c r="A558" s="26" t="s">
        <v>1816</v>
      </c>
      <c r="B558" s="26">
        <v>2026.0</v>
      </c>
      <c r="C558" s="26" t="s">
        <v>390</v>
      </c>
      <c r="D558" s="26">
        <v>18.0</v>
      </c>
      <c r="E558" s="26">
        <v>46397.0</v>
      </c>
      <c r="F558" s="26" t="s">
        <v>419</v>
      </c>
      <c r="G558" s="26">
        <v>0.5416666666678793</v>
      </c>
      <c r="H558" s="26" t="s">
        <v>137</v>
      </c>
      <c r="J558" s="26" t="s">
        <v>144</v>
      </c>
      <c r="L558" s="26" t="s">
        <v>77</v>
      </c>
      <c r="P558" s="26">
        <v>2.027011011E9</v>
      </c>
      <c r="S558" s="26" t="s">
        <v>1817</v>
      </c>
      <c r="W558" s="26">
        <v>7.0</v>
      </c>
      <c r="X558" s="26">
        <v>7.0</v>
      </c>
      <c r="AG558" s="26">
        <v>1.0</v>
      </c>
      <c r="AH558" s="26" t="s">
        <v>409</v>
      </c>
      <c r="AI558" s="26" t="s">
        <v>471</v>
      </c>
      <c r="AP558" s="26" t="s">
        <v>556</v>
      </c>
      <c r="AQ558" s="26" t="s">
        <v>555</v>
      </c>
      <c r="AS558" s="26" t="s">
        <v>611</v>
      </c>
      <c r="AT558" s="26" t="s">
        <v>612</v>
      </c>
      <c r="AV558" s="26">
        <f t="array" ref="AV558">IF($A558="","",IF(INDEX($A558:$AT558,1,MAP!$B$3)=CurrentSeason,1,0))</f>
        <v>1</v>
      </c>
      <c r="AW558" s="26">
        <f t="shared" si="1"/>
        <v>268</v>
      </c>
    </row>
    <row r="559" ht="15.75" customHeight="1">
      <c r="A559" s="26" t="s">
        <v>1818</v>
      </c>
      <c r="B559" s="26">
        <v>2026.0</v>
      </c>
      <c r="C559" s="26" t="s">
        <v>390</v>
      </c>
      <c r="D559" s="26">
        <v>18.0</v>
      </c>
      <c r="E559" s="26">
        <v>46397.0</v>
      </c>
      <c r="F559" s="26" t="s">
        <v>419</v>
      </c>
      <c r="G559" s="26">
        <v>0.5416666666678793</v>
      </c>
      <c r="H559" s="26" t="s">
        <v>225</v>
      </c>
      <c r="J559" s="26" t="s">
        <v>145</v>
      </c>
      <c r="L559" s="26" t="s">
        <v>77</v>
      </c>
      <c r="P559" s="26">
        <v>2.027011012E9</v>
      </c>
      <c r="S559" s="26" t="s">
        <v>1819</v>
      </c>
      <c r="W559" s="26">
        <v>7.0</v>
      </c>
      <c r="X559" s="26">
        <v>7.0</v>
      </c>
      <c r="AG559" s="26">
        <v>1.0</v>
      </c>
      <c r="AH559" s="26" t="s">
        <v>395</v>
      </c>
      <c r="AI559" s="26" t="s">
        <v>423</v>
      </c>
      <c r="AP559" s="26" t="s">
        <v>1293</v>
      </c>
      <c r="AQ559" s="26" t="s">
        <v>465</v>
      </c>
      <c r="AS559" s="26" t="s">
        <v>467</v>
      </c>
      <c r="AT559" s="26" t="s">
        <v>468</v>
      </c>
      <c r="AV559" s="26">
        <f t="array" ref="AV559">IF($A559="","",IF(INDEX($A559:$AT559,1,MAP!$B$3)=CurrentSeason,1,0))</f>
        <v>1</v>
      </c>
      <c r="AW559" s="26">
        <f t="shared" si="1"/>
        <v>269</v>
      </c>
    </row>
    <row r="560" ht="15.75" customHeight="1">
      <c r="A560" s="26" t="s">
        <v>1820</v>
      </c>
      <c r="B560" s="26">
        <v>2026.0</v>
      </c>
      <c r="C560" s="26" t="s">
        <v>390</v>
      </c>
      <c r="D560" s="26">
        <v>18.0</v>
      </c>
      <c r="E560" s="26">
        <v>46397.0</v>
      </c>
      <c r="F560" s="26" t="s">
        <v>419</v>
      </c>
      <c r="G560" s="26">
        <v>0.5416666666678793</v>
      </c>
      <c r="H560" s="26" t="s">
        <v>150</v>
      </c>
      <c r="J560" s="26" t="s">
        <v>232</v>
      </c>
      <c r="L560" s="26" t="s">
        <v>77</v>
      </c>
      <c r="P560" s="26">
        <v>2.027011013E9</v>
      </c>
      <c r="S560" s="26" t="s">
        <v>1821</v>
      </c>
      <c r="W560" s="26">
        <v>7.0</v>
      </c>
      <c r="X560" s="26">
        <v>7.0</v>
      </c>
      <c r="AG560" s="26">
        <v>1.0</v>
      </c>
      <c r="AH560" s="26" t="s">
        <v>409</v>
      </c>
      <c r="AI560" s="26" t="s">
        <v>471</v>
      </c>
      <c r="AP560" s="26" t="s">
        <v>427</v>
      </c>
      <c r="AQ560" s="26" t="s">
        <v>476</v>
      </c>
      <c r="AS560" s="26" t="s">
        <v>478</v>
      </c>
      <c r="AT560" s="26" t="s">
        <v>1367</v>
      </c>
      <c r="AV560" s="26">
        <f t="array" ref="AV560">IF($A560="","",IF(INDEX($A560:$AT560,1,MAP!$B$3)=CurrentSeason,1,0))</f>
        <v>1</v>
      </c>
      <c r="AW560" s="26">
        <f t="shared" si="1"/>
        <v>270</v>
      </c>
    </row>
    <row r="561" ht="15.75" customHeight="1">
      <c r="A561" s="26" t="s">
        <v>1822</v>
      </c>
      <c r="B561" s="26">
        <v>2026.0</v>
      </c>
      <c r="C561" s="26" t="s">
        <v>390</v>
      </c>
      <c r="D561" s="26">
        <v>18.0</v>
      </c>
      <c r="E561" s="26">
        <v>46397.0</v>
      </c>
      <c r="F561" s="26" t="s">
        <v>419</v>
      </c>
      <c r="G561" s="26">
        <v>0.5416666666678793</v>
      </c>
      <c r="H561" s="26" t="s">
        <v>147</v>
      </c>
      <c r="J561" s="26" t="s">
        <v>235</v>
      </c>
      <c r="L561" s="26" t="s">
        <v>77</v>
      </c>
      <c r="P561" s="26">
        <v>2.027011014E9</v>
      </c>
      <c r="S561" s="26" t="s">
        <v>1823</v>
      </c>
      <c r="W561" s="26">
        <v>7.0</v>
      </c>
      <c r="X561" s="26">
        <v>7.0</v>
      </c>
      <c r="AG561" s="26">
        <v>1.0</v>
      </c>
      <c r="AH561" s="26" t="s">
        <v>395</v>
      </c>
      <c r="AI561" s="26" t="s">
        <v>423</v>
      </c>
      <c r="AP561" s="26" t="s">
        <v>400</v>
      </c>
      <c r="AQ561" s="26" t="s">
        <v>542</v>
      </c>
      <c r="AS561" s="26" t="s">
        <v>488</v>
      </c>
      <c r="AT561" s="26" t="s">
        <v>489</v>
      </c>
      <c r="AV561" s="26">
        <f t="array" ref="AV561">IF($A561="","",IF(INDEX($A561:$AT561,1,MAP!$B$3)=CurrentSeason,1,0))</f>
        <v>1</v>
      </c>
      <c r="AW561" s="26">
        <f t="shared" si="1"/>
        <v>271</v>
      </c>
    </row>
    <row r="562" ht="15.75" customHeight="1">
      <c r="A562" s="26" t="s">
        <v>1824</v>
      </c>
      <c r="B562" s="26">
        <v>2026.0</v>
      </c>
      <c r="C562" s="26" t="s">
        <v>390</v>
      </c>
      <c r="D562" s="26">
        <v>18.0</v>
      </c>
      <c r="E562" s="26">
        <v>46397.0</v>
      </c>
      <c r="F562" s="26" t="s">
        <v>419</v>
      </c>
      <c r="G562" s="26">
        <v>0.5416666666678793</v>
      </c>
      <c r="H562" s="26" t="s">
        <v>146</v>
      </c>
      <c r="J562" s="26" t="s">
        <v>253</v>
      </c>
      <c r="L562" s="26" t="s">
        <v>77</v>
      </c>
      <c r="P562" s="26">
        <v>2.027011015E9</v>
      </c>
      <c r="S562" s="26" t="s">
        <v>1825</v>
      </c>
      <c r="W562" s="26">
        <v>7.0</v>
      </c>
      <c r="X562" s="26">
        <v>7.0</v>
      </c>
      <c r="AG562" s="26">
        <v>1.0</v>
      </c>
      <c r="AH562" s="26" t="s">
        <v>395</v>
      </c>
      <c r="AI562" s="26" t="s">
        <v>396</v>
      </c>
      <c r="AP562" s="26" t="s">
        <v>399</v>
      </c>
      <c r="AQ562" s="26" t="s">
        <v>496</v>
      </c>
      <c r="AS562" s="26" t="s">
        <v>498</v>
      </c>
      <c r="AT562" s="26" t="s">
        <v>1357</v>
      </c>
      <c r="AV562" s="26">
        <f t="array" ref="AV562">IF($A562="","",IF(INDEX($A562:$AT562,1,MAP!$B$3)=CurrentSeason,1,0))</f>
        <v>1</v>
      </c>
      <c r="AW562" s="26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7" t="s">
        <v>1826</v>
      </c>
    </row>
    <row r="2" ht="15.0" customHeight="1">
      <c r="A2" s="3" t="s">
        <v>1827</v>
      </c>
    </row>
    <row r="5" ht="45.75" customHeight="1">
      <c r="A5" s="21" t="s">
        <v>343</v>
      </c>
      <c r="B5" s="21" t="s">
        <v>345</v>
      </c>
      <c r="C5" s="21" t="s">
        <v>1828</v>
      </c>
      <c r="D5" s="21" t="s">
        <v>1829</v>
      </c>
      <c r="E5" s="21" t="s">
        <v>342</v>
      </c>
      <c r="F5" s="21" t="s">
        <v>1830</v>
      </c>
      <c r="G5" s="21" t="s">
        <v>1831</v>
      </c>
      <c r="H5" s="21" t="s">
        <v>1832</v>
      </c>
      <c r="I5" s="21" t="s">
        <v>1833</v>
      </c>
      <c r="J5" s="21" t="s">
        <v>1834</v>
      </c>
      <c r="K5" s="21" t="s">
        <v>1835</v>
      </c>
      <c r="L5" s="21" t="s">
        <v>1836</v>
      </c>
      <c r="M5" s="21" t="s">
        <v>1837</v>
      </c>
      <c r="N5" s="21" t="s">
        <v>1838</v>
      </c>
      <c r="O5" s="21" t="s">
        <v>1839</v>
      </c>
      <c r="P5" s="21" t="s">
        <v>1840</v>
      </c>
      <c r="Q5" s="21" t="s">
        <v>1841</v>
      </c>
      <c r="R5" s="21" t="s">
        <v>1842</v>
      </c>
      <c r="S5" s="21" t="s">
        <v>1843</v>
      </c>
      <c r="T5" s="21" t="s">
        <v>1844</v>
      </c>
      <c r="U5" s="21" t="s">
        <v>1845</v>
      </c>
      <c r="V5" s="21" t="s">
        <v>1846</v>
      </c>
      <c r="W5" s="21" t="s">
        <v>1847</v>
      </c>
      <c r="X5" s="21" t="s">
        <v>1848</v>
      </c>
      <c r="Y5" s="21" t="s">
        <v>1849</v>
      </c>
      <c r="Z5" s="21" t="s">
        <v>1850</v>
      </c>
      <c r="AA5" s="21" t="s">
        <v>1851</v>
      </c>
      <c r="AB5" s="21" t="s">
        <v>1852</v>
      </c>
      <c r="AC5" s="21" t="s">
        <v>1853</v>
      </c>
      <c r="AD5" s="21" t="s">
        <v>1854</v>
      </c>
      <c r="AE5" s="21" t="s">
        <v>1855</v>
      </c>
      <c r="AF5" s="21" t="s">
        <v>1856</v>
      </c>
      <c r="AG5" s="21" t="s">
        <v>1857</v>
      </c>
      <c r="AH5" s="21" t="s">
        <v>1858</v>
      </c>
      <c r="AI5" s="21" t="s">
        <v>1859</v>
      </c>
      <c r="AJ5" s="21" t="s">
        <v>1860</v>
      </c>
      <c r="AK5" s="21" t="s">
        <v>1861</v>
      </c>
      <c r="AL5" s="21" t="s">
        <v>1862</v>
      </c>
      <c r="AM5" s="21" t="s">
        <v>1863</v>
      </c>
      <c r="AN5" s="21" t="s">
        <v>1864</v>
      </c>
      <c r="AO5" s="21" t="s">
        <v>1865</v>
      </c>
      <c r="AP5" s="21" t="s">
        <v>1866</v>
      </c>
      <c r="AQ5" s="21" t="s">
        <v>1867</v>
      </c>
      <c r="AR5" s="21" t="s">
        <v>1868</v>
      </c>
      <c r="AS5" s="21" t="s">
        <v>1869</v>
      </c>
      <c r="AT5" s="21" t="s">
        <v>1870</v>
      </c>
      <c r="AU5" s="21" t="s">
        <v>1871</v>
      </c>
      <c r="AV5" s="21" t="s">
        <v>1872</v>
      </c>
      <c r="AW5" s="21" t="s">
        <v>1873</v>
      </c>
      <c r="AX5" s="21" t="s">
        <v>1874</v>
      </c>
      <c r="AY5" s="21" t="s">
        <v>1875</v>
      </c>
      <c r="AZ5" s="21" t="s">
        <v>1876</v>
      </c>
      <c r="BA5" s="21" t="s">
        <v>1877</v>
      </c>
      <c r="BB5" s="21" t="s">
        <v>1878</v>
      </c>
      <c r="BC5" s="21" t="s">
        <v>1879</v>
      </c>
      <c r="BD5" s="21" t="s">
        <v>1880</v>
      </c>
      <c r="BE5" s="21" t="s">
        <v>1881</v>
      </c>
      <c r="BF5" s="21" t="s">
        <v>1882</v>
      </c>
      <c r="BG5" s="21" t="s">
        <v>1883</v>
      </c>
      <c r="BH5" s="21" t="s">
        <v>1884</v>
      </c>
      <c r="BI5" s="21" t="s">
        <v>1885</v>
      </c>
      <c r="BJ5" s="21" t="s">
        <v>1886</v>
      </c>
      <c r="BK5" s="21" t="s">
        <v>1887</v>
      </c>
      <c r="BL5" s="21" t="s">
        <v>1888</v>
      </c>
      <c r="BM5" s="21" t="s">
        <v>1889</v>
      </c>
      <c r="BN5" s="21" t="s">
        <v>1890</v>
      </c>
      <c r="BO5" s="21" t="s">
        <v>1891</v>
      </c>
      <c r="BP5" s="21" t="s">
        <v>1892</v>
      </c>
      <c r="BQ5" s="21" t="s">
        <v>1893</v>
      </c>
      <c r="BR5" s="21" t="s">
        <v>1894</v>
      </c>
      <c r="BS5" s="21" t="s">
        <v>1895</v>
      </c>
      <c r="BT5" s="21" t="s">
        <v>1896</v>
      </c>
      <c r="BU5" s="21" t="s">
        <v>1897</v>
      </c>
      <c r="BV5" s="21" t="s">
        <v>1898</v>
      </c>
      <c r="BW5" s="21" t="s">
        <v>1899</v>
      </c>
      <c r="BX5" s="21" t="s">
        <v>1900</v>
      </c>
      <c r="BY5" s="21" t="s">
        <v>1901</v>
      </c>
      <c r="BZ5" s="21" t="s">
        <v>1902</v>
      </c>
      <c r="CA5" s="21" t="s">
        <v>1903</v>
      </c>
      <c r="CB5" s="21" t="s">
        <v>1904</v>
      </c>
      <c r="CC5" s="21" t="s">
        <v>1905</v>
      </c>
      <c r="CD5" s="21" t="s">
        <v>1906</v>
      </c>
      <c r="CE5" s="21" t="s">
        <v>1907</v>
      </c>
      <c r="CF5" s="21" t="s">
        <v>1908</v>
      </c>
      <c r="CG5" s="21" t="s">
        <v>1909</v>
      </c>
      <c r="CH5" s="21" t="s">
        <v>1910</v>
      </c>
      <c r="CI5" s="21" t="s">
        <v>1911</v>
      </c>
      <c r="CJ5" s="21" t="s">
        <v>1912</v>
      </c>
      <c r="CK5" s="21" t="s">
        <v>1913</v>
      </c>
      <c r="CL5" s="21" t="s">
        <v>1914</v>
      </c>
      <c r="CM5" s="21" t="s">
        <v>1915</v>
      </c>
      <c r="CN5" s="21" t="s">
        <v>1916</v>
      </c>
      <c r="CO5" s="21" t="s">
        <v>1917</v>
      </c>
      <c r="CP5" s="21" t="s">
        <v>1918</v>
      </c>
      <c r="CQ5" s="21" t="s">
        <v>1919</v>
      </c>
      <c r="CR5" s="21" t="s">
        <v>1920</v>
      </c>
      <c r="CS5" s="21" t="s">
        <v>1921</v>
      </c>
      <c r="CT5" s="21" t="s">
        <v>1922</v>
      </c>
      <c r="CU5" s="21" t="s">
        <v>1923</v>
      </c>
      <c r="CV5" s="21" t="s">
        <v>1924</v>
      </c>
      <c r="CW5" s="21" t="s">
        <v>1925</v>
      </c>
      <c r="CX5" s="21" t="s">
        <v>1926</v>
      </c>
      <c r="CY5" s="21" t="s">
        <v>1927</v>
      </c>
      <c r="CZ5" s="21" t="s">
        <v>1928</v>
      </c>
      <c r="DA5" s="21" t="s">
        <v>1929</v>
      </c>
      <c r="DB5" s="21" t="s">
        <v>1930</v>
      </c>
      <c r="DC5" s="21" t="s">
        <v>1931</v>
      </c>
      <c r="DD5" s="21" t="s">
        <v>1932</v>
      </c>
      <c r="DE5" s="21" t="s">
        <v>1933</v>
      </c>
      <c r="DF5" s="21" t="s">
        <v>1934</v>
      </c>
      <c r="DG5" s="21" t="s">
        <v>1935</v>
      </c>
      <c r="DH5" s="21" t="s">
        <v>1936</v>
      </c>
      <c r="DI5" s="21" t="s">
        <v>1937</v>
      </c>
      <c r="DJ5" s="21" t="s">
        <v>1938</v>
      </c>
      <c r="DK5" s="21" t="s">
        <v>1939</v>
      </c>
      <c r="DL5" s="21" t="s">
        <v>1940</v>
      </c>
      <c r="DM5" s="21" t="s">
        <v>1941</v>
      </c>
      <c r="DN5" s="21" t="s">
        <v>1942</v>
      </c>
      <c r="DO5" s="21" t="s">
        <v>1943</v>
      </c>
      <c r="DP5" s="21" t="s">
        <v>1944</v>
      </c>
      <c r="DQ5" s="21" t="s">
        <v>1945</v>
      </c>
      <c r="DR5" s="21" t="s">
        <v>1946</v>
      </c>
      <c r="DS5" s="21" t="s">
        <v>1947</v>
      </c>
      <c r="DT5" s="21" t="s">
        <v>1948</v>
      </c>
      <c r="DU5" s="21" t="s">
        <v>1949</v>
      </c>
      <c r="DV5" s="21" t="s">
        <v>1950</v>
      </c>
      <c r="DW5" s="21" t="s">
        <v>1951</v>
      </c>
      <c r="DX5" s="21" t="s">
        <v>1952</v>
      </c>
      <c r="DY5" s="21" t="s">
        <v>1953</v>
      </c>
      <c r="DZ5" s="21" t="s">
        <v>1954</v>
      </c>
      <c r="EA5" s="21" t="s">
        <v>1955</v>
      </c>
      <c r="EB5" s="21" t="s">
        <v>1956</v>
      </c>
      <c r="EC5" s="21" t="s">
        <v>1957</v>
      </c>
      <c r="EE5" s="25" t="s">
        <v>1958</v>
      </c>
    </row>
    <row r="6" ht="15.0" customHeight="1">
      <c r="A6" s="2">
        <v>2025.0</v>
      </c>
      <c r="B6" s="2">
        <v>1.0</v>
      </c>
      <c r="C6" s="2" t="s">
        <v>178</v>
      </c>
      <c r="D6" s="2" t="s">
        <v>390</v>
      </c>
      <c r="E6" s="2" t="s">
        <v>469</v>
      </c>
      <c r="F6" s="2" t="s">
        <v>232</v>
      </c>
      <c r="G6" s="2">
        <v>21.0</v>
      </c>
      <c r="H6" s="2">
        <v>29.0</v>
      </c>
      <c r="I6" s="2">
        <v>163.0</v>
      </c>
      <c r="J6" s="2">
        <v>2.0</v>
      </c>
      <c r="K6" s="2">
        <v>0.0</v>
      </c>
      <c r="L6" s="2">
        <v>5.0</v>
      </c>
      <c r="M6" s="2">
        <v>-33.0</v>
      </c>
      <c r="N6" s="2">
        <v>0.0</v>
      </c>
      <c r="O6" s="2">
        <v>0.0</v>
      </c>
      <c r="P6" s="2">
        <v>166.0</v>
      </c>
      <c r="Q6" s="2">
        <v>100.0</v>
      </c>
      <c r="R6" s="2">
        <v>11.0</v>
      </c>
      <c r="S6" s="2">
        <v>1.52479932586014</v>
      </c>
      <c r="T6" s="2">
        <v>-1.73381104551513</v>
      </c>
      <c r="U6" s="2">
        <v>0.0</v>
      </c>
      <c r="V6" s="2">
        <v>7.0</v>
      </c>
      <c r="W6" s="2">
        <v>2.0</v>
      </c>
      <c r="X6" s="2">
        <v>2.0</v>
      </c>
      <c r="Y6" s="2">
        <v>1.0</v>
      </c>
      <c r="Z6" s="2">
        <v>27.0</v>
      </c>
      <c r="AA6" s="2">
        <v>146.0</v>
      </c>
      <c r="AB6" s="2">
        <v>0.0</v>
      </c>
      <c r="AC6" s="2">
        <v>0.0</v>
      </c>
      <c r="AD6" s="2">
        <v>0.0</v>
      </c>
      <c r="AE6" s="2">
        <v>5.0</v>
      </c>
      <c r="AF6" s="2">
        <v>1.15853980279507</v>
      </c>
      <c r="AG6" s="2">
        <v>0.0</v>
      </c>
      <c r="AH6" s="2">
        <v>4.0</v>
      </c>
      <c r="AI6" s="2">
        <v>3.0</v>
      </c>
      <c r="AJ6" s="2">
        <v>1.0</v>
      </c>
      <c r="AK6" s="2">
        <v>1.0</v>
      </c>
      <c r="AL6" s="2">
        <v>21.0</v>
      </c>
      <c r="AM6" s="2">
        <v>29.0</v>
      </c>
      <c r="AN6" s="2">
        <v>163.0</v>
      </c>
      <c r="AO6" s="2">
        <v>2.0</v>
      </c>
      <c r="AP6" s="2">
        <v>0.0</v>
      </c>
      <c r="AQ6" s="2">
        <v>0.0</v>
      </c>
      <c r="AR6" s="2">
        <v>166.0</v>
      </c>
      <c r="AS6" s="2">
        <v>100.0</v>
      </c>
      <c r="AT6" s="2">
        <v>11.0</v>
      </c>
      <c r="AU6" s="2">
        <v>8.77765306004606</v>
      </c>
      <c r="AV6" s="2">
        <v>0.0</v>
      </c>
      <c r="AW6" s="2">
        <v>7.0</v>
      </c>
      <c r="AX6" s="2">
        <v>2.0</v>
      </c>
      <c r="AY6" s="2">
        <v>2.0</v>
      </c>
      <c r="AZ6" s="2">
        <v>1.0</v>
      </c>
      <c r="BA6" s="2">
        <v>0.0</v>
      </c>
      <c r="BB6" s="2">
        <v>36.0</v>
      </c>
      <c r="BC6" s="2">
        <v>2.0</v>
      </c>
      <c r="BD6" s="2">
        <v>36.0</v>
      </c>
      <c r="BE6" s="2">
        <v>3.0</v>
      </c>
      <c r="BF6" s="2">
        <v>10.0</v>
      </c>
      <c r="BG6" s="2">
        <v>0.0</v>
      </c>
      <c r="BH6" s="2">
        <v>1.0</v>
      </c>
      <c r="BI6" s="2">
        <v>6.0</v>
      </c>
      <c r="BJ6" s="2">
        <v>2.0</v>
      </c>
      <c r="BK6" s="2">
        <v>0.0</v>
      </c>
      <c r="BL6" s="2">
        <v>0.0</v>
      </c>
      <c r="BM6" s="2">
        <v>10.0</v>
      </c>
      <c r="BN6" s="2">
        <v>0.0</v>
      </c>
      <c r="BO6" s="2">
        <v>0.0</v>
      </c>
      <c r="BP6" s="2">
        <v>0.0</v>
      </c>
      <c r="BQ6" s="2">
        <v>0.0</v>
      </c>
      <c r="BR6" s="2">
        <v>0.0</v>
      </c>
      <c r="BS6" s="2">
        <v>0.0</v>
      </c>
      <c r="BT6" s="2">
        <v>0.0</v>
      </c>
      <c r="BU6" s="2">
        <v>0.0</v>
      </c>
      <c r="BV6" s="2">
        <v>0.0</v>
      </c>
      <c r="BW6" s="2">
        <v>9.0</v>
      </c>
      <c r="BX6" s="2">
        <v>54.0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3.0</v>
      </c>
      <c r="CF6" s="2">
        <v>30.0</v>
      </c>
      <c r="CG6" s="2">
        <v>3.0</v>
      </c>
      <c r="CH6" s="2">
        <v>73.0</v>
      </c>
      <c r="CI6" s="2">
        <v>2.0</v>
      </c>
      <c r="CJ6" s="2">
        <v>3.0</v>
      </c>
      <c r="CK6" s="2">
        <v>0.0</v>
      </c>
      <c r="CL6" s="2">
        <v>1.0</v>
      </c>
      <c r="CM6" s="2">
        <v>50.0</v>
      </c>
      <c r="CN6" s="2">
        <v>0.666666666666667</v>
      </c>
      <c r="CO6" s="2">
        <v>0.0</v>
      </c>
      <c r="CP6" s="2">
        <v>0.0</v>
      </c>
      <c r="CQ6" s="2">
        <v>0.0</v>
      </c>
      <c r="CR6" s="2">
        <v>1.0</v>
      </c>
      <c r="CS6" s="2">
        <v>1.0</v>
      </c>
      <c r="CT6" s="2">
        <v>0.0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 t="s">
        <v>1959</v>
      </c>
      <c r="DC6" s="2" t="s">
        <v>1960</v>
      </c>
      <c r="DD6" s="2">
        <v>92.0</v>
      </c>
      <c r="DE6" s="2">
        <v>0.0</v>
      </c>
      <c r="DF6" s="2">
        <v>46.0</v>
      </c>
      <c r="DG6" s="2">
        <v>2.0</v>
      </c>
      <c r="DH6" s="2">
        <v>2.0</v>
      </c>
      <c r="DI6" s="2">
        <v>0.0</v>
      </c>
      <c r="DJ6" s="2">
        <v>0.0</v>
      </c>
      <c r="DK6" s="2">
        <v>1.0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4.0</v>
      </c>
      <c r="DR6" s="2">
        <v>0.0</v>
      </c>
      <c r="DS6" s="2">
        <v>60.0</v>
      </c>
      <c r="DT6" s="2">
        <v>188.0</v>
      </c>
      <c r="DU6" s="2">
        <v>1.0</v>
      </c>
      <c r="DV6" s="2">
        <v>1.0</v>
      </c>
      <c r="DW6" s="2">
        <v>0.0</v>
      </c>
      <c r="DX6" s="2">
        <v>0.0</v>
      </c>
      <c r="DY6" s="2">
        <v>1.0</v>
      </c>
      <c r="DZ6" s="2">
        <v>2.0</v>
      </c>
      <c r="EA6" s="2">
        <v>18.0</v>
      </c>
      <c r="EB6" s="2">
        <v>0.0</v>
      </c>
      <c r="EC6" s="2">
        <v>170.0</v>
      </c>
      <c r="EE6" s="2" t="str">
        <f t="array" ref="EE6">IF($A6="","",INDEX($A6:$EC6,1,MAP!$E$3)&amp;"|"&amp;INDEX($A6:$EC6,1,MAP!$E$4)&amp;"|"&amp;INDEX($A6:$EC6,1,MAP!$E$5))</f>
        <v>2025|1|ARI</v>
      </c>
    </row>
    <row r="7" ht="15.0" customHeight="1">
      <c r="A7" s="2">
        <v>2025.0</v>
      </c>
      <c r="B7" s="2">
        <v>1.0</v>
      </c>
      <c r="C7" s="2" t="s">
        <v>132</v>
      </c>
      <c r="D7" s="2" t="s">
        <v>390</v>
      </c>
      <c r="E7" s="2" t="s">
        <v>417</v>
      </c>
      <c r="F7" s="2" t="s">
        <v>150</v>
      </c>
      <c r="G7" s="2">
        <v>27.0</v>
      </c>
      <c r="H7" s="2">
        <v>42.0</v>
      </c>
      <c r="I7" s="2">
        <v>298.0</v>
      </c>
      <c r="J7" s="2">
        <v>1.0</v>
      </c>
      <c r="K7" s="2">
        <v>0.0</v>
      </c>
      <c r="L7" s="2">
        <v>1.0</v>
      </c>
      <c r="M7" s="2">
        <v>-9.0</v>
      </c>
      <c r="N7" s="2">
        <v>0.0</v>
      </c>
      <c r="O7" s="2">
        <v>0.0</v>
      </c>
      <c r="P7" s="2">
        <v>288.0</v>
      </c>
      <c r="Q7" s="2">
        <v>189.0</v>
      </c>
      <c r="R7" s="2">
        <v>16.0</v>
      </c>
      <c r="S7" s="2">
        <v>9.6240952073096</v>
      </c>
      <c r="T7" s="2">
        <v>-5.93834263937814</v>
      </c>
      <c r="U7" s="2">
        <v>0.0</v>
      </c>
      <c r="V7" s="2">
        <v>14.0</v>
      </c>
      <c r="W7" s="2">
        <v>4.0</v>
      </c>
      <c r="X7" s="2">
        <v>3.0</v>
      </c>
      <c r="Y7" s="2">
        <v>1.0</v>
      </c>
      <c r="Z7" s="2">
        <v>28.0</v>
      </c>
      <c r="AA7" s="2">
        <v>69.0</v>
      </c>
      <c r="AB7" s="2">
        <v>1.0</v>
      </c>
      <c r="AC7" s="2">
        <v>1.0</v>
      </c>
      <c r="AD7" s="2">
        <v>0.0</v>
      </c>
      <c r="AE7" s="2">
        <v>4.0</v>
      </c>
      <c r="AF7" s="2">
        <v>-5.76649445435032</v>
      </c>
      <c r="AG7" s="2">
        <v>0.0</v>
      </c>
      <c r="AH7" s="2">
        <v>1.0</v>
      </c>
      <c r="AI7" s="2">
        <v>1.0</v>
      </c>
      <c r="AJ7" s="2">
        <v>0.0</v>
      </c>
      <c r="AK7" s="2">
        <v>0.0</v>
      </c>
      <c r="AL7" s="2">
        <v>27.0</v>
      </c>
      <c r="AM7" s="2">
        <v>42.0</v>
      </c>
      <c r="AN7" s="2">
        <v>298.0</v>
      </c>
      <c r="AO7" s="2">
        <v>1.0</v>
      </c>
      <c r="AP7" s="2">
        <v>0.0</v>
      </c>
      <c r="AQ7" s="2">
        <v>0.0</v>
      </c>
      <c r="AR7" s="2">
        <v>288.0</v>
      </c>
      <c r="AS7" s="2">
        <v>189.0</v>
      </c>
      <c r="AT7" s="2">
        <v>16.0</v>
      </c>
      <c r="AU7" s="2">
        <v>11.5616994838224</v>
      </c>
      <c r="AV7" s="2">
        <v>0.0</v>
      </c>
      <c r="AW7" s="2">
        <v>14.0</v>
      </c>
      <c r="AX7" s="2">
        <v>4.0</v>
      </c>
      <c r="AY7" s="2">
        <v>3.0</v>
      </c>
      <c r="AZ7" s="2">
        <v>1.0</v>
      </c>
      <c r="BA7" s="2">
        <v>0.0</v>
      </c>
      <c r="BB7" s="2">
        <v>27.0</v>
      </c>
      <c r="BC7" s="2">
        <v>1.0</v>
      </c>
      <c r="BD7" s="2">
        <v>25.0</v>
      </c>
      <c r="BE7" s="2">
        <v>2.0</v>
      </c>
      <c r="BF7" s="2">
        <v>3.0</v>
      </c>
      <c r="BG7" s="2">
        <v>0.0</v>
      </c>
      <c r="BH7" s="2">
        <v>1.0</v>
      </c>
      <c r="BI7" s="2">
        <v>8.0</v>
      </c>
      <c r="BJ7" s="2">
        <v>3.0</v>
      </c>
      <c r="BK7" s="2">
        <v>0.0</v>
      </c>
      <c r="BL7" s="2">
        <v>0.0</v>
      </c>
      <c r="BM7" s="2">
        <v>7.0</v>
      </c>
      <c r="BN7" s="2">
        <v>0.0</v>
      </c>
      <c r="BO7" s="2">
        <v>0.0</v>
      </c>
      <c r="BP7" s="2">
        <v>0.0</v>
      </c>
      <c r="BQ7" s="2">
        <v>0.0</v>
      </c>
      <c r="BR7" s="2">
        <v>1.0</v>
      </c>
      <c r="BS7" s="2">
        <v>-4.0</v>
      </c>
      <c r="BT7" s="2">
        <v>0.0</v>
      </c>
      <c r="BU7" s="2">
        <v>0.0</v>
      </c>
      <c r="BV7" s="2">
        <v>0.0</v>
      </c>
      <c r="BW7" s="2">
        <v>8.0</v>
      </c>
      <c r="BX7" s="2">
        <v>55.0</v>
      </c>
      <c r="BY7" s="2">
        <v>6.0</v>
      </c>
      <c r="BZ7" s="2">
        <v>0.0</v>
      </c>
      <c r="CA7" s="2">
        <v>1.0</v>
      </c>
      <c r="CB7" s="2">
        <v>0.0</v>
      </c>
      <c r="CC7" s="2">
        <v>1.0</v>
      </c>
      <c r="CD7" s="2">
        <v>0.0</v>
      </c>
      <c r="CE7" s="2">
        <v>2.0</v>
      </c>
      <c r="CF7" s="2">
        <v>29.0</v>
      </c>
      <c r="CG7" s="2">
        <v>5.0</v>
      </c>
      <c r="CH7" s="2">
        <v>125.0</v>
      </c>
      <c r="CI7" s="2">
        <v>2.0</v>
      </c>
      <c r="CJ7" s="2">
        <v>3.0</v>
      </c>
      <c r="CK7" s="2">
        <v>1.0</v>
      </c>
      <c r="CL7" s="2">
        <v>0.0</v>
      </c>
      <c r="CM7" s="2">
        <v>41.0</v>
      </c>
      <c r="CN7" s="2">
        <v>0.666666666666667</v>
      </c>
      <c r="CO7" s="2">
        <v>0.0</v>
      </c>
      <c r="CP7" s="2">
        <v>0.0</v>
      </c>
      <c r="CQ7" s="2">
        <v>1.0</v>
      </c>
      <c r="CR7" s="2">
        <v>1.0</v>
      </c>
      <c r="CS7" s="2">
        <v>0.0</v>
      </c>
      <c r="CT7" s="2">
        <v>0.0</v>
      </c>
      <c r="CU7" s="2">
        <v>0.0</v>
      </c>
      <c r="CV7" s="2">
        <v>0.0</v>
      </c>
      <c r="CW7" s="2">
        <v>0.0</v>
      </c>
      <c r="CX7" s="2">
        <v>1.0</v>
      </c>
      <c r="CY7" s="2">
        <v>0.0</v>
      </c>
      <c r="CZ7" s="2">
        <v>0.0</v>
      </c>
      <c r="DA7" s="2" t="s">
        <v>1961</v>
      </c>
      <c r="DB7" s="2" t="s">
        <v>1962</v>
      </c>
      <c r="DD7" s="2">
        <v>77.0</v>
      </c>
      <c r="DE7" s="2">
        <v>44.0</v>
      </c>
      <c r="DF7" s="2">
        <v>0.0</v>
      </c>
      <c r="DG7" s="2">
        <v>2.0</v>
      </c>
      <c r="DH7" s="2">
        <v>2.0</v>
      </c>
      <c r="DI7" s="2">
        <v>0.0</v>
      </c>
      <c r="DJ7" s="2">
        <v>0.0</v>
      </c>
      <c r="DK7" s="2">
        <v>1.0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3.0</v>
      </c>
      <c r="DR7" s="2">
        <v>0.0</v>
      </c>
      <c r="DS7" s="2">
        <v>59.0</v>
      </c>
      <c r="DT7" s="2">
        <v>140.0</v>
      </c>
      <c r="DU7" s="2">
        <v>2.0</v>
      </c>
      <c r="DV7" s="2">
        <v>1.0</v>
      </c>
      <c r="DW7" s="2">
        <v>0.0</v>
      </c>
      <c r="DX7" s="2">
        <v>0.0</v>
      </c>
      <c r="DY7" s="2">
        <v>1.0</v>
      </c>
      <c r="DZ7" s="2">
        <v>1.0</v>
      </c>
      <c r="EA7" s="2">
        <v>54.0</v>
      </c>
      <c r="EB7" s="2">
        <v>0.0</v>
      </c>
      <c r="EC7" s="2">
        <v>86.0</v>
      </c>
      <c r="EE7" s="2" t="str">
        <f t="array" ref="EE7">IF($A7="","",INDEX($A7:$EC7,1,MAP!$E$3)&amp;"|"&amp;INDEX($A7:$EC7,1,MAP!$E$4)&amp;"|"&amp;INDEX($A7:$EC7,1,MAP!$E$5))</f>
        <v>2025|1|ATL</v>
      </c>
    </row>
    <row r="8" ht="15.0" customHeight="1">
      <c r="A8" s="2">
        <v>2025.0</v>
      </c>
      <c r="B8" s="2">
        <v>1.0</v>
      </c>
      <c r="C8" s="2" t="s">
        <v>148</v>
      </c>
      <c r="D8" s="2" t="s">
        <v>390</v>
      </c>
      <c r="E8" s="2" t="s">
        <v>537</v>
      </c>
      <c r="F8" s="2" t="s">
        <v>136</v>
      </c>
      <c r="G8" s="2">
        <v>14.0</v>
      </c>
      <c r="H8" s="2">
        <v>19.0</v>
      </c>
      <c r="I8" s="2">
        <v>209.0</v>
      </c>
      <c r="J8" s="2">
        <v>2.0</v>
      </c>
      <c r="K8" s="2">
        <v>0.0</v>
      </c>
      <c r="L8" s="2">
        <v>2.0</v>
      </c>
      <c r="M8" s="2">
        <v>-15.0</v>
      </c>
      <c r="N8" s="2">
        <v>0.0</v>
      </c>
      <c r="O8" s="2">
        <v>0.0</v>
      </c>
      <c r="P8" s="2">
        <v>173.0</v>
      </c>
      <c r="Q8" s="2">
        <v>109.0</v>
      </c>
      <c r="R8" s="2">
        <v>8.0</v>
      </c>
      <c r="S8" s="2">
        <v>8.7984205777867</v>
      </c>
      <c r="T8" s="2">
        <v>8.72089925565218</v>
      </c>
      <c r="U8" s="2">
        <v>0.0</v>
      </c>
      <c r="V8" s="2">
        <v>7.0</v>
      </c>
      <c r="W8" s="2">
        <v>5.0</v>
      </c>
      <c r="X8" s="2">
        <v>5.0</v>
      </c>
      <c r="Y8" s="2">
        <v>0.0</v>
      </c>
      <c r="Z8" s="2">
        <v>29.0</v>
      </c>
      <c r="AA8" s="2">
        <v>238.0</v>
      </c>
      <c r="AB8" s="2">
        <v>3.0</v>
      </c>
      <c r="AC8" s="2">
        <v>2.0</v>
      </c>
      <c r="AD8" s="2">
        <v>1.0</v>
      </c>
      <c r="AE8" s="2">
        <v>10.0</v>
      </c>
      <c r="AF8" s="2">
        <v>10.48651434962</v>
      </c>
      <c r="AG8" s="2">
        <v>0.0</v>
      </c>
      <c r="AH8" s="2">
        <v>10.0</v>
      </c>
      <c r="AI8" s="2">
        <v>7.0</v>
      </c>
      <c r="AJ8" s="2">
        <v>3.0</v>
      </c>
      <c r="AK8" s="2">
        <v>2.0</v>
      </c>
      <c r="AL8" s="2">
        <v>14.0</v>
      </c>
      <c r="AM8" s="2">
        <v>19.0</v>
      </c>
      <c r="AN8" s="2">
        <v>209.0</v>
      </c>
      <c r="AO8" s="2">
        <v>2.0</v>
      </c>
      <c r="AP8" s="2">
        <v>0.0</v>
      </c>
      <c r="AQ8" s="2">
        <v>0.0</v>
      </c>
      <c r="AR8" s="2">
        <v>173.0</v>
      </c>
      <c r="AS8" s="2">
        <v>109.0</v>
      </c>
      <c r="AT8" s="2">
        <v>8.0</v>
      </c>
      <c r="AU8" s="2">
        <v>12.0646038142731</v>
      </c>
      <c r="AV8" s="2">
        <v>0.0</v>
      </c>
      <c r="AW8" s="2">
        <v>7.0</v>
      </c>
      <c r="AX8" s="2">
        <v>5.0</v>
      </c>
      <c r="AY8" s="2">
        <v>5.0</v>
      </c>
      <c r="AZ8" s="2">
        <v>0.0</v>
      </c>
      <c r="BA8" s="2">
        <v>0.0</v>
      </c>
      <c r="BB8" s="2">
        <v>51.0</v>
      </c>
      <c r="BC8" s="2">
        <v>2.0</v>
      </c>
      <c r="BD8" s="2">
        <v>22.0</v>
      </c>
      <c r="BE8" s="2">
        <v>3.0</v>
      </c>
      <c r="BF8" s="2">
        <v>8.0</v>
      </c>
      <c r="BG8" s="2">
        <v>1.0</v>
      </c>
      <c r="BH8" s="2">
        <v>1.0</v>
      </c>
      <c r="BI8" s="2">
        <v>5.0</v>
      </c>
      <c r="BJ8" s="2">
        <v>3.0</v>
      </c>
      <c r="BK8" s="2">
        <v>0.0</v>
      </c>
      <c r="BL8" s="2">
        <v>0.0</v>
      </c>
      <c r="BM8" s="2">
        <v>4.0</v>
      </c>
      <c r="BN8" s="2">
        <v>0.0</v>
      </c>
      <c r="BO8" s="2">
        <v>0.0</v>
      </c>
      <c r="BP8" s="2">
        <v>0.0</v>
      </c>
      <c r="BQ8" s="2">
        <v>0.0</v>
      </c>
      <c r="BR8" s="2">
        <v>1.0</v>
      </c>
      <c r="BS8" s="2">
        <v>0.0</v>
      </c>
      <c r="BT8" s="2">
        <v>0.0</v>
      </c>
      <c r="BU8" s="2">
        <v>0.0</v>
      </c>
      <c r="BV8" s="2">
        <v>0.0</v>
      </c>
      <c r="BW8" s="2">
        <v>7.0</v>
      </c>
      <c r="BX8" s="2">
        <v>51.0</v>
      </c>
      <c r="BY8" s="2">
        <v>5.0</v>
      </c>
      <c r="BZ8" s="2">
        <v>2.0</v>
      </c>
      <c r="CA8" s="2">
        <v>0.0</v>
      </c>
      <c r="CB8" s="2">
        <v>0.0</v>
      </c>
      <c r="CC8" s="2">
        <v>2.0</v>
      </c>
      <c r="CD8" s="2">
        <v>1.0</v>
      </c>
      <c r="CE8" s="2">
        <v>1.0</v>
      </c>
      <c r="CF8" s="2">
        <v>6.0</v>
      </c>
      <c r="CG8" s="2">
        <v>6.0</v>
      </c>
      <c r="CH8" s="2">
        <v>167.0</v>
      </c>
      <c r="CI8" s="2">
        <v>2.0</v>
      </c>
      <c r="CJ8" s="2">
        <v>2.0</v>
      </c>
      <c r="CK8" s="2">
        <v>0.0</v>
      </c>
      <c r="CL8" s="2">
        <v>0.0</v>
      </c>
      <c r="CM8" s="2">
        <v>52.0</v>
      </c>
      <c r="CN8" s="2">
        <v>1.0</v>
      </c>
      <c r="CO8" s="2">
        <v>0.0</v>
      </c>
      <c r="CP8" s="2">
        <v>0.0</v>
      </c>
      <c r="CQ8" s="2">
        <v>0.0</v>
      </c>
      <c r="CR8" s="2">
        <v>1.0</v>
      </c>
      <c r="CS8" s="2">
        <v>1.0</v>
      </c>
      <c r="CT8" s="2">
        <v>0.0</v>
      </c>
      <c r="CU8" s="2">
        <v>0.0</v>
      </c>
      <c r="CV8" s="2">
        <v>0.0</v>
      </c>
      <c r="CW8" s="2">
        <v>0.0</v>
      </c>
      <c r="CX8" s="2">
        <v>0.0</v>
      </c>
      <c r="CY8" s="2">
        <v>0.0</v>
      </c>
      <c r="CZ8" s="2">
        <v>0.0</v>
      </c>
      <c r="DA8" s="2" t="s">
        <v>1963</v>
      </c>
      <c r="DD8" s="2">
        <v>101.0</v>
      </c>
      <c r="DE8" s="2">
        <v>0.0</v>
      </c>
      <c r="DF8" s="2">
        <v>0.0</v>
      </c>
      <c r="DG8" s="2">
        <v>4.0</v>
      </c>
      <c r="DH8" s="2">
        <v>5.0</v>
      </c>
      <c r="DI8" s="2">
        <v>1.0</v>
      </c>
      <c r="DJ8" s="2">
        <v>0.0</v>
      </c>
      <c r="DK8" s="2">
        <v>0.8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3.0</v>
      </c>
      <c r="DR8" s="2">
        <v>0.0</v>
      </c>
      <c r="DS8" s="2">
        <v>59.0</v>
      </c>
      <c r="DT8" s="2">
        <v>152.0</v>
      </c>
      <c r="DU8" s="2">
        <v>1.0</v>
      </c>
      <c r="DV8" s="2">
        <v>1.0</v>
      </c>
      <c r="DW8" s="2">
        <v>0.0</v>
      </c>
      <c r="DX8" s="2">
        <v>1.0</v>
      </c>
      <c r="DY8" s="2">
        <v>0.0</v>
      </c>
      <c r="DZ8" s="2">
        <v>1.0</v>
      </c>
      <c r="EA8" s="2">
        <v>0.0</v>
      </c>
      <c r="EB8" s="2">
        <v>0.0</v>
      </c>
      <c r="EC8" s="2">
        <v>132.0</v>
      </c>
      <c r="EE8" s="2" t="str">
        <f t="array" ref="EE8">IF($A8="","",INDEX($A8:$EC8,1,MAP!$E$3)&amp;"|"&amp;INDEX($A8:$EC8,1,MAP!$E$4)&amp;"|"&amp;INDEX($A8:$EC8,1,MAP!$E$5))</f>
        <v>2025|1|BAL</v>
      </c>
    </row>
    <row r="9" ht="15.0" customHeight="1">
      <c r="A9" s="2">
        <v>2025.0</v>
      </c>
      <c r="B9" s="2">
        <v>1.0</v>
      </c>
      <c r="C9" s="2" t="s">
        <v>136</v>
      </c>
      <c r="D9" s="2" t="s">
        <v>390</v>
      </c>
      <c r="E9" s="2" t="s">
        <v>537</v>
      </c>
      <c r="F9" s="2" t="s">
        <v>148</v>
      </c>
      <c r="G9" s="2">
        <v>33.0</v>
      </c>
      <c r="H9" s="2">
        <v>46.0</v>
      </c>
      <c r="I9" s="2">
        <v>394.0</v>
      </c>
      <c r="J9" s="2">
        <v>2.0</v>
      </c>
      <c r="K9" s="2">
        <v>0.0</v>
      </c>
      <c r="L9" s="2">
        <v>1.0</v>
      </c>
      <c r="M9" s="2">
        <v>-5.0</v>
      </c>
      <c r="N9" s="2">
        <v>0.0</v>
      </c>
      <c r="O9" s="2">
        <v>0.0</v>
      </c>
      <c r="P9" s="2">
        <v>400.0</v>
      </c>
      <c r="Q9" s="2">
        <v>148.0</v>
      </c>
      <c r="R9" s="2">
        <v>18.0</v>
      </c>
      <c r="S9" s="2">
        <v>14.2337143852725</v>
      </c>
      <c r="T9" s="2">
        <v>8.59431895944807</v>
      </c>
      <c r="U9" s="2">
        <v>0.0</v>
      </c>
      <c r="V9" s="2">
        <v>14.0</v>
      </c>
      <c r="W9" s="2">
        <v>9.0</v>
      </c>
      <c r="X9" s="2">
        <v>7.0</v>
      </c>
      <c r="Y9" s="2">
        <v>1.0</v>
      </c>
      <c r="Z9" s="2">
        <v>31.0</v>
      </c>
      <c r="AA9" s="2">
        <v>108.0</v>
      </c>
      <c r="AB9" s="2">
        <v>3.0</v>
      </c>
      <c r="AC9" s="2">
        <v>0.0</v>
      </c>
      <c r="AD9" s="2">
        <v>0.0</v>
      </c>
      <c r="AE9" s="2">
        <v>9.0</v>
      </c>
      <c r="AF9" s="2">
        <v>1.98757070466171</v>
      </c>
      <c r="AG9" s="2">
        <v>0.0</v>
      </c>
      <c r="AH9" s="2">
        <v>2.0</v>
      </c>
      <c r="AI9" s="2">
        <v>1.0</v>
      </c>
      <c r="AJ9" s="2">
        <v>0.0</v>
      </c>
      <c r="AK9" s="2">
        <v>0.0</v>
      </c>
      <c r="AL9" s="2">
        <v>33.0</v>
      </c>
      <c r="AM9" s="2">
        <v>45.0</v>
      </c>
      <c r="AN9" s="2">
        <v>394.0</v>
      </c>
      <c r="AO9" s="2">
        <v>2.0</v>
      </c>
      <c r="AP9" s="2">
        <v>1.0</v>
      </c>
      <c r="AQ9" s="2">
        <v>0.0</v>
      </c>
      <c r="AR9" s="2">
        <v>400.0</v>
      </c>
      <c r="AS9" s="2">
        <v>148.0</v>
      </c>
      <c r="AT9" s="2">
        <v>18.0</v>
      </c>
      <c r="AU9" s="2">
        <v>15.7125355296826</v>
      </c>
      <c r="AV9" s="2">
        <v>0.0</v>
      </c>
      <c r="AW9" s="2">
        <v>14.0</v>
      </c>
      <c r="AX9" s="2">
        <v>9.0</v>
      </c>
      <c r="AY9" s="2">
        <v>7.0</v>
      </c>
      <c r="AZ9" s="2">
        <v>1.0</v>
      </c>
      <c r="BA9" s="2">
        <v>0.0</v>
      </c>
      <c r="BB9" s="2">
        <v>44.0</v>
      </c>
      <c r="BC9" s="2">
        <v>0.0</v>
      </c>
      <c r="BD9" s="2">
        <v>8.0</v>
      </c>
      <c r="BE9" s="2">
        <v>5.0</v>
      </c>
      <c r="BF9" s="2">
        <v>45.0</v>
      </c>
      <c r="BG9" s="2">
        <v>2.0</v>
      </c>
      <c r="BH9" s="2">
        <v>2.0</v>
      </c>
      <c r="BI9" s="2">
        <v>15.0</v>
      </c>
      <c r="BJ9" s="2">
        <v>4.0</v>
      </c>
      <c r="BK9" s="2">
        <v>0.0</v>
      </c>
      <c r="BL9" s="2">
        <v>0.0</v>
      </c>
      <c r="BM9" s="2">
        <v>1.0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1.0</v>
      </c>
      <c r="BU9" s="2">
        <v>0.0</v>
      </c>
      <c r="BV9" s="2">
        <v>0.0</v>
      </c>
      <c r="BW9" s="2">
        <v>5.0</v>
      </c>
      <c r="BX9" s="2">
        <v>38.0</v>
      </c>
      <c r="BY9" s="2">
        <v>6.0</v>
      </c>
      <c r="BZ9" s="2">
        <v>1.0</v>
      </c>
      <c r="CA9" s="2">
        <v>0.0</v>
      </c>
      <c r="CB9" s="2">
        <v>1.0</v>
      </c>
      <c r="CC9" s="2">
        <v>1.0</v>
      </c>
      <c r="CD9" s="2">
        <v>0.0</v>
      </c>
      <c r="CE9" s="2">
        <v>1.0</v>
      </c>
      <c r="CF9" s="2">
        <v>0.0</v>
      </c>
      <c r="CG9" s="2">
        <v>7.0</v>
      </c>
      <c r="CH9" s="2">
        <v>193.0</v>
      </c>
      <c r="CI9" s="2">
        <v>3.0</v>
      </c>
      <c r="CJ9" s="2">
        <v>3.0</v>
      </c>
      <c r="CK9" s="2">
        <v>0.0</v>
      </c>
      <c r="CL9" s="2">
        <v>0.0</v>
      </c>
      <c r="CM9" s="2">
        <v>43.0</v>
      </c>
      <c r="CN9" s="2">
        <v>1.0</v>
      </c>
      <c r="CO9" s="2">
        <v>0.0</v>
      </c>
      <c r="CP9" s="2">
        <v>1.0</v>
      </c>
      <c r="CQ9" s="2">
        <v>1.0</v>
      </c>
      <c r="CR9" s="2">
        <v>1.0</v>
      </c>
      <c r="CS9" s="2">
        <v>0.0</v>
      </c>
      <c r="CT9" s="2">
        <v>0.0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 t="s">
        <v>1964</v>
      </c>
      <c r="DD9" s="2">
        <v>100.0</v>
      </c>
      <c r="DE9" s="2">
        <v>0.0</v>
      </c>
      <c r="DF9" s="2">
        <v>0.0</v>
      </c>
      <c r="DG9" s="2">
        <v>2.0</v>
      </c>
      <c r="DH9" s="2">
        <v>2.0</v>
      </c>
      <c r="DI9" s="2">
        <v>0.0</v>
      </c>
      <c r="DJ9" s="2">
        <v>0.0</v>
      </c>
      <c r="DK9" s="2">
        <v>1.0</v>
      </c>
      <c r="DL9" s="2">
        <v>1.0</v>
      </c>
      <c r="DM9" s="2">
        <v>1.0</v>
      </c>
      <c r="DN9" s="2">
        <v>0.0</v>
      </c>
      <c r="DO9" s="2">
        <v>0.0</v>
      </c>
      <c r="DP9" s="2">
        <v>32.0</v>
      </c>
      <c r="DQ9" s="2">
        <v>4.0</v>
      </c>
      <c r="DR9" s="2">
        <v>0.0</v>
      </c>
      <c r="DS9" s="2">
        <v>48.0</v>
      </c>
      <c r="DT9" s="2">
        <v>158.0</v>
      </c>
      <c r="DU9" s="2">
        <v>1.0</v>
      </c>
      <c r="DV9" s="2">
        <v>0.0</v>
      </c>
      <c r="DW9" s="2">
        <v>2.0</v>
      </c>
      <c r="DX9" s="2">
        <v>0.0</v>
      </c>
      <c r="DY9" s="2">
        <v>1.0</v>
      </c>
      <c r="DZ9" s="2">
        <v>1.0</v>
      </c>
      <c r="EA9" s="2">
        <v>6.0</v>
      </c>
      <c r="EB9" s="2">
        <v>0.0</v>
      </c>
      <c r="EC9" s="2">
        <v>152.0</v>
      </c>
      <c r="EE9" s="2" t="str">
        <f t="array" ref="EE9">IF($A9="","",INDEX($A9:$EC9,1,MAP!$E$3)&amp;"|"&amp;INDEX($A9:$EC9,1,MAP!$E$4)&amp;"|"&amp;INDEX($A9:$EC9,1,MAP!$E$5))</f>
        <v>2025|1|BUF</v>
      </c>
    </row>
    <row r="10" ht="15.0" customHeight="1">
      <c r="A10" s="2">
        <v>2025.0</v>
      </c>
      <c r="B10" s="2">
        <v>1.0</v>
      </c>
      <c r="C10" s="2" t="s">
        <v>189</v>
      </c>
      <c r="D10" s="2" t="s">
        <v>390</v>
      </c>
      <c r="E10" s="2" t="s">
        <v>451</v>
      </c>
      <c r="F10" s="2" t="s">
        <v>141</v>
      </c>
      <c r="G10" s="2">
        <v>18.0</v>
      </c>
      <c r="H10" s="2">
        <v>35.0</v>
      </c>
      <c r="I10" s="2">
        <v>154.0</v>
      </c>
      <c r="J10" s="2">
        <v>1.0</v>
      </c>
      <c r="K10" s="2">
        <v>2.0</v>
      </c>
      <c r="L10" s="2">
        <v>1.0</v>
      </c>
      <c r="M10" s="2">
        <v>-12.0</v>
      </c>
      <c r="N10" s="2">
        <v>0.0</v>
      </c>
      <c r="O10" s="2">
        <v>0.0</v>
      </c>
      <c r="P10" s="2">
        <v>269.0</v>
      </c>
      <c r="Q10" s="2">
        <v>60.0</v>
      </c>
      <c r="R10" s="2">
        <v>8.0</v>
      </c>
      <c r="S10" s="2">
        <v>-15.4026895713417</v>
      </c>
      <c r="T10" s="2">
        <v>-12.3715827570242</v>
      </c>
      <c r="U10" s="2">
        <v>0.0</v>
      </c>
      <c r="V10" s="2">
        <v>6.0</v>
      </c>
      <c r="W10" s="2">
        <v>3.0</v>
      </c>
      <c r="X10" s="2">
        <v>2.0</v>
      </c>
      <c r="Y10" s="2">
        <v>0.0</v>
      </c>
      <c r="Z10" s="2">
        <v>25.0</v>
      </c>
      <c r="AA10" s="2">
        <v>113.0</v>
      </c>
      <c r="AB10" s="2">
        <v>0.0</v>
      </c>
      <c r="AC10" s="2">
        <v>1.0</v>
      </c>
      <c r="AD10" s="2">
        <v>1.0</v>
      </c>
      <c r="AE10" s="2">
        <v>5.0</v>
      </c>
      <c r="AF10" s="2">
        <v>0.0199070660746656</v>
      </c>
      <c r="AG10" s="2">
        <v>0.0</v>
      </c>
      <c r="AH10" s="2">
        <v>1.0</v>
      </c>
      <c r="AI10" s="2">
        <v>1.0</v>
      </c>
      <c r="AJ10" s="2">
        <v>1.0</v>
      </c>
      <c r="AK10" s="2">
        <v>0.0</v>
      </c>
      <c r="AL10" s="2">
        <v>18.0</v>
      </c>
      <c r="AM10" s="2">
        <v>34.0</v>
      </c>
      <c r="AN10" s="2">
        <v>154.0</v>
      </c>
      <c r="AO10" s="2">
        <v>1.0</v>
      </c>
      <c r="AP10" s="2">
        <v>0.0</v>
      </c>
      <c r="AQ10" s="2">
        <v>0.0</v>
      </c>
      <c r="AR10" s="2">
        <v>269.0</v>
      </c>
      <c r="AS10" s="2">
        <v>60.0</v>
      </c>
      <c r="AT10" s="2">
        <v>8.0</v>
      </c>
      <c r="AU10" s="2">
        <v>-11.7402811444139</v>
      </c>
      <c r="AV10" s="2">
        <v>0.0</v>
      </c>
      <c r="AW10" s="2">
        <v>6.0</v>
      </c>
      <c r="AX10" s="2">
        <v>3.0</v>
      </c>
      <c r="AY10" s="2">
        <v>2.0</v>
      </c>
      <c r="AZ10" s="2">
        <v>0.0</v>
      </c>
      <c r="BA10" s="2">
        <v>0.0</v>
      </c>
      <c r="BB10" s="2">
        <v>42.0</v>
      </c>
      <c r="BC10" s="2">
        <v>0.0</v>
      </c>
      <c r="BD10" s="2">
        <v>20.0</v>
      </c>
      <c r="BE10" s="2">
        <v>1.0</v>
      </c>
      <c r="BF10" s="2">
        <v>2.0</v>
      </c>
      <c r="BG10" s="2">
        <v>0.0</v>
      </c>
      <c r="BH10" s="2">
        <v>0.0</v>
      </c>
      <c r="BI10" s="2">
        <v>0.0</v>
      </c>
      <c r="BJ10" s="2">
        <v>1.0</v>
      </c>
      <c r="BK10" s="2">
        <v>1.0</v>
      </c>
      <c r="BL10" s="2">
        <v>10.0</v>
      </c>
      <c r="BM10" s="2">
        <v>4.0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0.0</v>
      </c>
      <c r="BW10" s="2">
        <v>4.0</v>
      </c>
      <c r="BX10" s="2">
        <v>35.0</v>
      </c>
      <c r="BY10" s="2">
        <v>6.0</v>
      </c>
      <c r="BZ10" s="2">
        <v>1.0</v>
      </c>
      <c r="CA10" s="2">
        <v>0.0</v>
      </c>
      <c r="CB10" s="2">
        <v>0.0</v>
      </c>
      <c r="CC10" s="2">
        <v>1.0</v>
      </c>
      <c r="CD10" s="2">
        <v>1.0</v>
      </c>
      <c r="CE10" s="2">
        <v>2.0</v>
      </c>
      <c r="CF10" s="2">
        <v>0.0</v>
      </c>
      <c r="CG10" s="2">
        <v>2.0</v>
      </c>
      <c r="CH10" s="2">
        <v>43.0</v>
      </c>
      <c r="CI10" s="2">
        <v>1.0</v>
      </c>
      <c r="CJ10" s="2">
        <v>1.0</v>
      </c>
      <c r="CK10" s="2">
        <v>0.0</v>
      </c>
      <c r="CL10" s="2">
        <v>0.0</v>
      </c>
      <c r="CM10" s="2">
        <v>48.0</v>
      </c>
      <c r="CN10" s="2">
        <v>1.0</v>
      </c>
      <c r="CO10" s="2">
        <v>0.0</v>
      </c>
      <c r="CP10" s="2">
        <v>0.0</v>
      </c>
      <c r="CQ10" s="2">
        <v>0.0</v>
      </c>
      <c r="CR10" s="2">
        <v>1.0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0.0</v>
      </c>
      <c r="CZ10" s="2">
        <v>0.0</v>
      </c>
      <c r="DA10" s="2" t="s">
        <v>1965</v>
      </c>
      <c r="DD10" s="2">
        <v>48.0</v>
      </c>
      <c r="DE10" s="2">
        <v>0.0</v>
      </c>
      <c r="DF10" s="2">
        <v>0.0</v>
      </c>
      <c r="DG10" s="2">
        <v>1.0</v>
      </c>
      <c r="DH10" s="2">
        <v>1.0</v>
      </c>
      <c r="DI10" s="2">
        <v>0.0</v>
      </c>
      <c r="DJ10" s="2">
        <v>0.0</v>
      </c>
      <c r="DK10" s="2">
        <v>1.0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2.0</v>
      </c>
      <c r="DR10" s="2">
        <v>0.0</v>
      </c>
      <c r="DS10" s="2">
        <v>56.0</v>
      </c>
      <c r="DT10" s="2">
        <v>86.0</v>
      </c>
      <c r="DU10" s="2">
        <v>2.0</v>
      </c>
      <c r="DV10" s="2">
        <v>0.0</v>
      </c>
      <c r="DW10" s="2">
        <v>1.0</v>
      </c>
      <c r="DX10" s="2">
        <v>0.0</v>
      </c>
      <c r="DY10" s="2">
        <v>0.0</v>
      </c>
      <c r="DZ10" s="2">
        <v>1.0</v>
      </c>
      <c r="EA10" s="2">
        <v>7.0</v>
      </c>
      <c r="EB10" s="2">
        <v>0.0</v>
      </c>
      <c r="EC10" s="2">
        <v>79.0</v>
      </c>
      <c r="EE10" s="2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2">
        <v>2025.0</v>
      </c>
      <c r="B11" s="2">
        <v>1.0</v>
      </c>
      <c r="C11" s="2" t="s">
        <v>137</v>
      </c>
      <c r="D11" s="2" t="s">
        <v>390</v>
      </c>
      <c r="E11" s="2" t="s">
        <v>547</v>
      </c>
      <c r="F11" s="2" t="s">
        <v>144</v>
      </c>
      <c r="G11" s="2">
        <v>21.0</v>
      </c>
      <c r="H11" s="2">
        <v>35.0</v>
      </c>
      <c r="I11" s="2">
        <v>210.0</v>
      </c>
      <c r="J11" s="2">
        <v>1.0</v>
      </c>
      <c r="K11" s="2">
        <v>0.0</v>
      </c>
      <c r="L11" s="2">
        <v>2.0</v>
      </c>
      <c r="M11" s="2">
        <v>-12.0</v>
      </c>
      <c r="N11" s="2">
        <v>0.0</v>
      </c>
      <c r="O11" s="2">
        <v>0.0</v>
      </c>
      <c r="P11" s="2">
        <v>263.0</v>
      </c>
      <c r="Q11" s="2">
        <v>77.0</v>
      </c>
      <c r="R11" s="2">
        <v>10.0</v>
      </c>
      <c r="S11" s="2">
        <v>-6.98824780713981</v>
      </c>
      <c r="T11" s="2">
        <v>-6.66688496575636</v>
      </c>
      <c r="U11" s="2">
        <v>0.0</v>
      </c>
      <c r="V11" s="2">
        <v>9.0</v>
      </c>
      <c r="W11" s="2">
        <v>6.0</v>
      </c>
      <c r="X11" s="2">
        <v>3.0</v>
      </c>
      <c r="Y11" s="2">
        <v>0.0</v>
      </c>
      <c r="Z11" s="2">
        <v>26.0</v>
      </c>
      <c r="AA11" s="2">
        <v>119.0</v>
      </c>
      <c r="AB11" s="2">
        <v>1.0</v>
      </c>
      <c r="AC11" s="2">
        <v>0.0</v>
      </c>
      <c r="AD11" s="2">
        <v>0.0</v>
      </c>
      <c r="AE11" s="2">
        <v>7.0</v>
      </c>
      <c r="AF11" s="2">
        <v>2.53118889384496</v>
      </c>
      <c r="AG11" s="2">
        <v>0.0</v>
      </c>
      <c r="AH11" s="2">
        <v>4.0</v>
      </c>
      <c r="AI11" s="2">
        <v>4.0</v>
      </c>
      <c r="AJ11" s="2">
        <v>0.0</v>
      </c>
      <c r="AK11" s="2">
        <v>0.0</v>
      </c>
      <c r="AL11" s="2">
        <v>21.0</v>
      </c>
      <c r="AM11" s="2">
        <v>34.0</v>
      </c>
      <c r="AN11" s="2">
        <v>210.0</v>
      </c>
      <c r="AO11" s="2">
        <v>1.0</v>
      </c>
      <c r="AP11" s="2">
        <v>0.0</v>
      </c>
      <c r="AQ11" s="2">
        <v>0.0</v>
      </c>
      <c r="AR11" s="2">
        <v>263.0</v>
      </c>
      <c r="AS11" s="2">
        <v>77.0</v>
      </c>
      <c r="AT11" s="2">
        <v>10.0</v>
      </c>
      <c r="AU11" s="2">
        <v>-2.97034722983004</v>
      </c>
      <c r="AV11" s="2">
        <v>0.0</v>
      </c>
      <c r="AW11" s="2">
        <v>9.0</v>
      </c>
      <c r="AX11" s="2">
        <v>5.0</v>
      </c>
      <c r="AY11" s="2">
        <v>3.0</v>
      </c>
      <c r="AZ11" s="2">
        <v>0.0</v>
      </c>
      <c r="BA11" s="2">
        <v>0.0</v>
      </c>
      <c r="BB11" s="2">
        <v>34.0</v>
      </c>
      <c r="BC11" s="2">
        <v>4.0</v>
      </c>
      <c r="BD11" s="2">
        <v>22.0</v>
      </c>
      <c r="BE11" s="2">
        <v>6.0</v>
      </c>
      <c r="BF11" s="2">
        <v>15.0</v>
      </c>
      <c r="BG11" s="2">
        <v>0.0</v>
      </c>
      <c r="BH11" s="2">
        <v>3.0</v>
      </c>
      <c r="BI11" s="2">
        <v>9.0</v>
      </c>
      <c r="BJ11" s="2">
        <v>5.0</v>
      </c>
      <c r="BK11" s="2">
        <v>1.0</v>
      </c>
      <c r="BL11" s="2">
        <v>74.0</v>
      </c>
      <c r="BM11" s="2">
        <v>5.0</v>
      </c>
      <c r="BN11" s="2">
        <v>1.0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12.0</v>
      </c>
      <c r="BX11" s="2">
        <v>127.0</v>
      </c>
      <c r="BY11" s="2">
        <v>5.0</v>
      </c>
      <c r="BZ11" s="2">
        <v>1.0</v>
      </c>
      <c r="CA11" s="2">
        <v>0.0</v>
      </c>
      <c r="CB11" s="2">
        <v>0.0</v>
      </c>
      <c r="CC11" s="2">
        <v>1.0</v>
      </c>
      <c r="CD11" s="2">
        <v>1.0</v>
      </c>
      <c r="CE11" s="2">
        <v>4.0</v>
      </c>
      <c r="CF11" s="2">
        <v>37.0</v>
      </c>
      <c r="CG11" s="2">
        <v>4.0</v>
      </c>
      <c r="CH11" s="2">
        <v>125.0</v>
      </c>
      <c r="CI11" s="2">
        <v>1.0</v>
      </c>
      <c r="CJ11" s="2">
        <v>2.0</v>
      </c>
      <c r="CK11" s="2">
        <v>1.0</v>
      </c>
      <c r="CL11" s="2">
        <v>0.0</v>
      </c>
      <c r="CM11" s="2">
        <v>42.0</v>
      </c>
      <c r="CN11" s="2">
        <v>0.5</v>
      </c>
      <c r="CO11" s="2">
        <v>0.0</v>
      </c>
      <c r="CP11" s="2">
        <v>0.0</v>
      </c>
      <c r="CQ11" s="2">
        <v>0.0</v>
      </c>
      <c r="CR11" s="2">
        <v>1.0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1.0</v>
      </c>
      <c r="CZ11" s="2">
        <v>0.0</v>
      </c>
      <c r="DA11" s="2" t="s">
        <v>1966</v>
      </c>
      <c r="DB11" s="2" t="s">
        <v>1967</v>
      </c>
      <c r="DD11" s="2">
        <v>42.0</v>
      </c>
      <c r="DE11" s="2">
        <v>50.0</v>
      </c>
      <c r="DF11" s="2">
        <v>0.0</v>
      </c>
      <c r="DG11" s="2">
        <v>3.0</v>
      </c>
      <c r="DH11" s="2">
        <v>3.0</v>
      </c>
      <c r="DI11" s="2">
        <v>0.0</v>
      </c>
      <c r="DJ11" s="2">
        <v>0.0</v>
      </c>
      <c r="DK11" s="2">
        <v>1.0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6.0</v>
      </c>
      <c r="DR11" s="2">
        <v>0.0</v>
      </c>
      <c r="DS11" s="2">
        <v>56.0</v>
      </c>
      <c r="DT11" s="2">
        <v>266.0</v>
      </c>
      <c r="DU11" s="2">
        <v>1.0</v>
      </c>
      <c r="DV11" s="2">
        <v>1.0</v>
      </c>
      <c r="DW11" s="2">
        <v>1.0</v>
      </c>
      <c r="DX11" s="2">
        <v>0.0</v>
      </c>
      <c r="DY11" s="2">
        <v>0.0</v>
      </c>
      <c r="DZ11" s="2">
        <v>4.0</v>
      </c>
      <c r="EA11" s="2">
        <v>68.0</v>
      </c>
      <c r="EB11" s="2">
        <v>0.0</v>
      </c>
      <c r="EC11" s="2">
        <v>198.0</v>
      </c>
      <c r="EE11" s="2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2">
        <v>2025.0</v>
      </c>
      <c r="B12" s="2">
        <v>1.0</v>
      </c>
      <c r="C12" s="2" t="s">
        <v>138</v>
      </c>
      <c r="D12" s="2" t="s">
        <v>390</v>
      </c>
      <c r="E12" s="2" t="s">
        <v>432</v>
      </c>
      <c r="F12" s="2" t="s">
        <v>196</v>
      </c>
      <c r="G12" s="2">
        <v>14.0</v>
      </c>
      <c r="H12" s="2">
        <v>23.0</v>
      </c>
      <c r="I12" s="2">
        <v>113.0</v>
      </c>
      <c r="J12" s="2">
        <v>1.0</v>
      </c>
      <c r="K12" s="2">
        <v>0.0</v>
      </c>
      <c r="L12" s="2">
        <v>3.0</v>
      </c>
      <c r="M12" s="2">
        <v>-18.0</v>
      </c>
      <c r="N12" s="2">
        <v>0.0</v>
      </c>
      <c r="O12" s="2">
        <v>0.0</v>
      </c>
      <c r="P12" s="2">
        <v>169.0</v>
      </c>
      <c r="Q12" s="2">
        <v>49.0</v>
      </c>
      <c r="R12" s="2">
        <v>7.0</v>
      </c>
      <c r="S12" s="2">
        <v>-0.331592737228572</v>
      </c>
      <c r="T12" s="2">
        <v>-1.9334077835083</v>
      </c>
      <c r="U12" s="2">
        <v>0.0</v>
      </c>
      <c r="V12" s="2">
        <v>6.0</v>
      </c>
      <c r="W12" s="2">
        <v>1.0</v>
      </c>
      <c r="X12" s="2">
        <v>1.0</v>
      </c>
      <c r="Y12" s="2">
        <v>0.0</v>
      </c>
      <c r="Z12" s="2">
        <v>23.0</v>
      </c>
      <c r="AA12" s="2">
        <v>46.0</v>
      </c>
      <c r="AB12" s="2">
        <v>1.0</v>
      </c>
      <c r="AC12" s="2">
        <v>0.0</v>
      </c>
      <c r="AD12" s="2">
        <v>0.0</v>
      </c>
      <c r="AE12" s="2">
        <v>3.0</v>
      </c>
      <c r="AF12" s="2">
        <v>-5.00294650052092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14.0</v>
      </c>
      <c r="AM12" s="2">
        <v>23.0</v>
      </c>
      <c r="AN12" s="2">
        <v>113.0</v>
      </c>
      <c r="AO12" s="2">
        <v>1.0</v>
      </c>
      <c r="AP12" s="2">
        <v>0.0</v>
      </c>
      <c r="AQ12" s="2">
        <v>0.0</v>
      </c>
      <c r="AR12" s="2">
        <v>169.0</v>
      </c>
      <c r="AS12" s="2">
        <v>49.0</v>
      </c>
      <c r="AT12" s="2">
        <v>7.0</v>
      </c>
      <c r="AU12" s="2">
        <v>2.85245883604795</v>
      </c>
      <c r="AV12" s="2">
        <v>0.0</v>
      </c>
      <c r="AW12" s="2">
        <v>6.0</v>
      </c>
      <c r="AX12" s="2">
        <v>1.0</v>
      </c>
      <c r="AY12" s="2">
        <v>1.0</v>
      </c>
      <c r="AZ12" s="2">
        <v>0.0</v>
      </c>
      <c r="BA12" s="2">
        <v>0.0</v>
      </c>
      <c r="BB12" s="2">
        <v>36.0</v>
      </c>
      <c r="BC12" s="2">
        <v>8.0</v>
      </c>
      <c r="BD12" s="2">
        <v>42.0</v>
      </c>
      <c r="BE12" s="2">
        <v>4.0</v>
      </c>
      <c r="BF12" s="2">
        <v>16.0</v>
      </c>
      <c r="BG12" s="2">
        <v>0.0</v>
      </c>
      <c r="BH12" s="2">
        <v>2.0</v>
      </c>
      <c r="BI12" s="2">
        <v>12.0</v>
      </c>
      <c r="BJ12" s="2">
        <v>5.0</v>
      </c>
      <c r="BK12" s="2">
        <v>2.0</v>
      </c>
      <c r="BL12" s="2">
        <v>9.0</v>
      </c>
      <c r="BM12" s="2">
        <v>6.0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0.0</v>
      </c>
      <c r="BT12" s="2">
        <v>0.0</v>
      </c>
      <c r="BU12" s="2">
        <v>0.0</v>
      </c>
      <c r="BV12" s="2">
        <v>0.0</v>
      </c>
      <c r="BW12" s="2">
        <v>7.0</v>
      </c>
      <c r="BX12" s="2">
        <v>33.0</v>
      </c>
      <c r="BY12" s="2">
        <v>5.0</v>
      </c>
      <c r="BZ12" s="2">
        <v>0.0</v>
      </c>
      <c r="CA12" s="2">
        <v>0.0</v>
      </c>
      <c r="CB12" s="2">
        <v>0.0</v>
      </c>
      <c r="CC12" s="2">
        <v>0.0</v>
      </c>
      <c r="CD12" s="2">
        <v>0.0</v>
      </c>
      <c r="CE12" s="2">
        <v>1.0</v>
      </c>
      <c r="CF12" s="2">
        <v>23.0</v>
      </c>
      <c r="CG12" s="2">
        <v>3.0</v>
      </c>
      <c r="CH12" s="2">
        <v>70.0</v>
      </c>
      <c r="CI12" s="2">
        <v>1.0</v>
      </c>
      <c r="CJ12" s="2">
        <v>1.0</v>
      </c>
      <c r="CK12" s="2">
        <v>0.0</v>
      </c>
      <c r="CL12" s="2">
        <v>0.0</v>
      </c>
      <c r="CM12" s="2">
        <v>35.0</v>
      </c>
      <c r="CN12" s="2">
        <v>1.0</v>
      </c>
      <c r="CO12" s="2">
        <v>0.0</v>
      </c>
      <c r="CP12" s="2">
        <v>0.0</v>
      </c>
      <c r="CQ12" s="2">
        <v>1.0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 t="s">
        <v>1968</v>
      </c>
      <c r="DD12" s="2">
        <v>35.0</v>
      </c>
      <c r="DE12" s="2">
        <v>0.0</v>
      </c>
      <c r="DF12" s="2">
        <v>0.0</v>
      </c>
      <c r="DG12" s="2">
        <v>2.0</v>
      </c>
      <c r="DH12" s="2">
        <v>2.0</v>
      </c>
      <c r="DI12" s="2">
        <v>0.0</v>
      </c>
      <c r="DJ12" s="2">
        <v>0.0</v>
      </c>
      <c r="DK12" s="2">
        <v>1.0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6.0</v>
      </c>
      <c r="DR12" s="2">
        <v>0.0</v>
      </c>
      <c r="DS12" s="2">
        <v>62.0</v>
      </c>
      <c r="DT12" s="2">
        <v>316.0</v>
      </c>
      <c r="DU12" s="2">
        <v>1.0</v>
      </c>
      <c r="DV12" s="2">
        <v>0.0</v>
      </c>
      <c r="DW12" s="2">
        <v>1.0</v>
      </c>
      <c r="DX12" s="2">
        <v>2.0</v>
      </c>
      <c r="DY12" s="2">
        <v>0.0</v>
      </c>
      <c r="DZ12" s="2">
        <v>3.0</v>
      </c>
      <c r="EA12" s="2">
        <v>41.0</v>
      </c>
      <c r="EB12" s="2">
        <v>0.0</v>
      </c>
      <c r="EC12" s="2">
        <v>235.0</v>
      </c>
      <c r="EE12" s="2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2">
        <v>2025.0</v>
      </c>
      <c r="B13" s="2">
        <v>1.0</v>
      </c>
      <c r="C13" s="2" t="s">
        <v>196</v>
      </c>
      <c r="D13" s="2" t="s">
        <v>390</v>
      </c>
      <c r="E13" s="2" t="s">
        <v>432</v>
      </c>
      <c r="F13" s="2" t="s">
        <v>138</v>
      </c>
      <c r="G13" s="2">
        <v>31.0</v>
      </c>
      <c r="H13" s="2">
        <v>45.0</v>
      </c>
      <c r="I13" s="2">
        <v>290.0</v>
      </c>
      <c r="J13" s="2">
        <v>1.0</v>
      </c>
      <c r="K13" s="2">
        <v>2.0</v>
      </c>
      <c r="L13" s="2">
        <v>2.0</v>
      </c>
      <c r="M13" s="2">
        <v>-12.0</v>
      </c>
      <c r="N13" s="2">
        <v>0.0</v>
      </c>
      <c r="O13" s="2">
        <v>0.0</v>
      </c>
      <c r="P13" s="2">
        <v>273.0</v>
      </c>
      <c r="Q13" s="2">
        <v>173.0</v>
      </c>
      <c r="R13" s="2">
        <v>13.0</v>
      </c>
      <c r="S13" s="2">
        <v>-1.84212751623007</v>
      </c>
      <c r="T13" s="2">
        <v>2.37426303681873</v>
      </c>
      <c r="U13" s="2">
        <v>0.0</v>
      </c>
      <c r="V13" s="2">
        <v>11.0</v>
      </c>
      <c r="W13" s="2">
        <v>6.0</v>
      </c>
      <c r="X13" s="2">
        <v>3.0</v>
      </c>
      <c r="Y13" s="2">
        <v>0.0</v>
      </c>
      <c r="Z13" s="2">
        <v>24.0</v>
      </c>
      <c r="AA13" s="2">
        <v>49.0</v>
      </c>
      <c r="AB13" s="2">
        <v>1.0</v>
      </c>
      <c r="AC13" s="2">
        <v>0.0</v>
      </c>
      <c r="AD13" s="2">
        <v>0.0</v>
      </c>
      <c r="AE13" s="2">
        <v>5.0</v>
      </c>
      <c r="AF13" s="2">
        <v>-1.79322417586809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31.0</v>
      </c>
      <c r="AM13" s="2">
        <v>42.0</v>
      </c>
      <c r="AN13" s="2">
        <v>290.0</v>
      </c>
      <c r="AO13" s="2">
        <v>1.0</v>
      </c>
      <c r="AP13" s="2">
        <v>0.0</v>
      </c>
      <c r="AQ13" s="2">
        <v>0.0</v>
      </c>
      <c r="AR13" s="2">
        <v>273.0</v>
      </c>
      <c r="AS13" s="2">
        <v>173.0</v>
      </c>
      <c r="AT13" s="2">
        <v>13.0</v>
      </c>
      <c r="AU13" s="2">
        <v>2.45695412834175</v>
      </c>
      <c r="AV13" s="2">
        <v>0.0</v>
      </c>
      <c r="AW13" s="2">
        <v>11.0</v>
      </c>
      <c r="AX13" s="2">
        <v>6.0</v>
      </c>
      <c r="AY13" s="2">
        <v>3.0</v>
      </c>
      <c r="AZ13" s="2">
        <v>0.0</v>
      </c>
      <c r="BA13" s="2">
        <v>0.0</v>
      </c>
      <c r="BB13" s="2">
        <v>31.0</v>
      </c>
      <c r="BC13" s="2">
        <v>4.0</v>
      </c>
      <c r="BD13" s="2">
        <v>22.0</v>
      </c>
      <c r="BE13" s="2">
        <v>8.0</v>
      </c>
      <c r="BF13" s="2">
        <v>30.0</v>
      </c>
      <c r="BG13" s="2">
        <v>0.0</v>
      </c>
      <c r="BH13" s="2">
        <v>3.0</v>
      </c>
      <c r="BI13" s="2">
        <v>18.0</v>
      </c>
      <c r="BJ13" s="2">
        <v>7.0</v>
      </c>
      <c r="BK13" s="2">
        <v>0.0</v>
      </c>
      <c r="BL13" s="2">
        <v>0.0</v>
      </c>
      <c r="BM13" s="2">
        <v>5.0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7.0</v>
      </c>
      <c r="BX13" s="2">
        <v>53.0</v>
      </c>
      <c r="BY13" s="2">
        <v>4.0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3.0</v>
      </c>
      <c r="CF13" s="2">
        <v>41.0</v>
      </c>
      <c r="CG13" s="2">
        <v>4.0</v>
      </c>
      <c r="CH13" s="2">
        <v>105.0</v>
      </c>
      <c r="CI13" s="2">
        <v>1.0</v>
      </c>
      <c r="CJ13" s="2">
        <v>2.0</v>
      </c>
      <c r="CK13" s="2">
        <v>1.0</v>
      </c>
      <c r="CL13" s="2">
        <v>0.0</v>
      </c>
      <c r="CM13" s="2">
        <v>45.0</v>
      </c>
      <c r="CN13" s="2">
        <v>0.5</v>
      </c>
      <c r="CO13" s="2">
        <v>0.0</v>
      </c>
      <c r="CP13" s="2">
        <v>0.0</v>
      </c>
      <c r="CQ13" s="2">
        <v>0.0</v>
      </c>
      <c r="CR13" s="2">
        <v>1.0</v>
      </c>
      <c r="CS13" s="2">
        <v>0.0</v>
      </c>
      <c r="CT13" s="2">
        <v>0.0</v>
      </c>
      <c r="CU13" s="2">
        <v>0.0</v>
      </c>
      <c r="CV13" s="2">
        <v>0.0</v>
      </c>
      <c r="CW13" s="2">
        <v>1.0</v>
      </c>
      <c r="CX13" s="2">
        <v>0.0</v>
      </c>
      <c r="CY13" s="2">
        <v>0.0</v>
      </c>
      <c r="CZ13" s="2">
        <v>0.0</v>
      </c>
      <c r="DA13" s="2" t="s">
        <v>1969</v>
      </c>
      <c r="DB13" s="2" t="s">
        <v>1970</v>
      </c>
      <c r="DD13" s="2">
        <v>45.0</v>
      </c>
      <c r="DE13" s="2">
        <v>36.0</v>
      </c>
      <c r="DF13" s="2">
        <v>0.0</v>
      </c>
      <c r="DG13" s="2">
        <v>1.0</v>
      </c>
      <c r="DH13" s="2">
        <v>2.0</v>
      </c>
      <c r="DI13" s="2">
        <v>1.0</v>
      </c>
      <c r="DJ13" s="2">
        <v>0.0</v>
      </c>
      <c r="DK13" s="2">
        <v>0.5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2.0</v>
      </c>
      <c r="DR13" s="2">
        <v>0.0</v>
      </c>
      <c r="DS13" s="2">
        <v>55.0</v>
      </c>
      <c r="DT13" s="2">
        <v>97.0</v>
      </c>
      <c r="DU13" s="2">
        <v>0.0</v>
      </c>
      <c r="DV13" s="2">
        <v>0.0</v>
      </c>
      <c r="DW13" s="2">
        <v>0.0</v>
      </c>
      <c r="DX13" s="2">
        <v>1.0</v>
      </c>
      <c r="DY13" s="2">
        <v>0.0</v>
      </c>
      <c r="DZ13" s="2">
        <v>1.0</v>
      </c>
      <c r="EA13" s="2">
        <v>23.0</v>
      </c>
      <c r="EB13" s="2">
        <v>0.0</v>
      </c>
      <c r="EC13" s="2">
        <v>54.0</v>
      </c>
      <c r="EE13" s="2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2">
        <v>2025.0</v>
      </c>
      <c r="B14" s="2">
        <v>1.0</v>
      </c>
      <c r="C14" s="2" t="s">
        <v>146</v>
      </c>
      <c r="D14" s="2" t="s">
        <v>390</v>
      </c>
      <c r="E14" s="2" t="s">
        <v>389</v>
      </c>
      <c r="F14" s="2" t="s">
        <v>147</v>
      </c>
      <c r="G14" s="2">
        <v>21.0</v>
      </c>
      <c r="H14" s="2">
        <v>34.0</v>
      </c>
      <c r="I14" s="2">
        <v>188.0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329.0</v>
      </c>
      <c r="Q14" s="2">
        <v>75.0</v>
      </c>
      <c r="R14" s="2">
        <v>9.0</v>
      </c>
      <c r="S14" s="2">
        <v>1.6543752712657</v>
      </c>
      <c r="T14" s="2">
        <v>0.172881827209935</v>
      </c>
      <c r="U14" s="2">
        <v>0.0</v>
      </c>
      <c r="V14" s="2">
        <v>8.0</v>
      </c>
      <c r="W14" s="2">
        <v>4.0</v>
      </c>
      <c r="X14" s="2">
        <v>2.0</v>
      </c>
      <c r="Y14" s="2">
        <v>0.0</v>
      </c>
      <c r="Z14" s="2">
        <v>22.0</v>
      </c>
      <c r="AA14" s="2">
        <v>119.0</v>
      </c>
      <c r="AB14" s="2">
        <v>2.0</v>
      </c>
      <c r="AC14" s="2">
        <v>1.0</v>
      </c>
      <c r="AD14" s="2">
        <v>1.0</v>
      </c>
      <c r="AE14" s="2">
        <v>7.0</v>
      </c>
      <c r="AF14" s="2">
        <v>0.756882135407068</v>
      </c>
      <c r="AG14" s="2">
        <v>0.0</v>
      </c>
      <c r="AH14" s="2">
        <v>2.0</v>
      </c>
      <c r="AI14" s="2">
        <v>1.0</v>
      </c>
      <c r="AJ14" s="2">
        <v>1.0</v>
      </c>
      <c r="AK14" s="2">
        <v>1.0</v>
      </c>
      <c r="AL14" s="2">
        <v>21.0</v>
      </c>
      <c r="AM14" s="2">
        <v>33.0</v>
      </c>
      <c r="AN14" s="2">
        <v>188.0</v>
      </c>
      <c r="AO14" s="2">
        <v>0.0</v>
      </c>
      <c r="AP14" s="2">
        <v>0.0</v>
      </c>
      <c r="AQ14" s="2">
        <v>0.0</v>
      </c>
      <c r="AR14" s="2">
        <v>329.0</v>
      </c>
      <c r="AS14" s="2">
        <v>75.0</v>
      </c>
      <c r="AT14" s="2">
        <v>9.0</v>
      </c>
      <c r="AU14" s="2">
        <v>1.18341434740108</v>
      </c>
      <c r="AV14" s="2">
        <v>0.0</v>
      </c>
      <c r="AW14" s="2">
        <v>8.0</v>
      </c>
      <c r="AX14" s="2">
        <v>4.0</v>
      </c>
      <c r="AY14" s="2">
        <v>2.0</v>
      </c>
      <c r="AZ14" s="2">
        <v>0.0</v>
      </c>
      <c r="BA14" s="2">
        <v>0.0</v>
      </c>
      <c r="BB14" s="2">
        <v>36.0</v>
      </c>
      <c r="BC14" s="2">
        <v>2.0</v>
      </c>
      <c r="BD14" s="2">
        <v>32.0</v>
      </c>
      <c r="BE14" s="2">
        <v>5.0</v>
      </c>
      <c r="BF14" s="2">
        <v>15.0</v>
      </c>
      <c r="BG14" s="2">
        <v>0.0</v>
      </c>
      <c r="BH14" s="2">
        <v>1.0</v>
      </c>
      <c r="BI14" s="2">
        <v>8.0</v>
      </c>
      <c r="BJ14" s="2">
        <v>5.0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4.0</v>
      </c>
      <c r="BX14" s="2">
        <v>42.0</v>
      </c>
      <c r="BY14" s="2">
        <v>6.0</v>
      </c>
      <c r="BZ14" s="2">
        <v>1.0</v>
      </c>
      <c r="CA14" s="2">
        <v>0.0</v>
      </c>
      <c r="CB14" s="2">
        <v>0.0</v>
      </c>
      <c r="CC14" s="2">
        <v>1.0</v>
      </c>
      <c r="CD14" s="2">
        <v>1.0</v>
      </c>
      <c r="CE14" s="2">
        <v>0.0</v>
      </c>
      <c r="CF14" s="2">
        <v>0.0</v>
      </c>
      <c r="CG14" s="2">
        <v>5.0</v>
      </c>
      <c r="CH14" s="2">
        <v>101.0</v>
      </c>
      <c r="CI14" s="2">
        <v>2.0</v>
      </c>
      <c r="CJ14" s="2">
        <v>2.0</v>
      </c>
      <c r="CK14" s="2">
        <v>0.0</v>
      </c>
      <c r="CL14" s="2">
        <v>0.0</v>
      </c>
      <c r="CM14" s="2">
        <v>53.0</v>
      </c>
      <c r="CN14" s="2">
        <v>1.0</v>
      </c>
      <c r="CO14" s="2">
        <v>0.0</v>
      </c>
      <c r="CP14" s="2">
        <v>0.0</v>
      </c>
      <c r="CQ14" s="2">
        <v>0.0</v>
      </c>
      <c r="CR14" s="2">
        <v>1.0</v>
      </c>
      <c r="CS14" s="2">
        <v>1.0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 t="s">
        <v>1971</v>
      </c>
      <c r="DD14" s="2">
        <v>94.0</v>
      </c>
      <c r="DE14" s="2">
        <v>0.0</v>
      </c>
      <c r="DF14" s="2">
        <v>0.0</v>
      </c>
      <c r="DG14" s="2">
        <v>2.0</v>
      </c>
      <c r="DH14" s="2">
        <v>2.0</v>
      </c>
      <c r="DI14" s="2">
        <v>0.0</v>
      </c>
      <c r="DJ14" s="2">
        <v>0.0</v>
      </c>
      <c r="DK14" s="2">
        <v>1.0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2.0</v>
      </c>
      <c r="DR14" s="2">
        <v>0.0</v>
      </c>
      <c r="DS14" s="2">
        <v>49.0</v>
      </c>
      <c r="DT14" s="2">
        <v>87.0</v>
      </c>
      <c r="DU14" s="2">
        <v>1.0</v>
      </c>
      <c r="DV14" s="2">
        <v>0.0</v>
      </c>
      <c r="DW14" s="2">
        <v>0.0</v>
      </c>
      <c r="DX14" s="2">
        <v>0.0</v>
      </c>
      <c r="DY14" s="2">
        <v>2.0</v>
      </c>
      <c r="DZ14" s="2">
        <v>0.0</v>
      </c>
      <c r="EA14" s="2">
        <v>0.0</v>
      </c>
      <c r="EB14" s="2">
        <v>0.0</v>
      </c>
      <c r="EC14" s="2">
        <v>87.0</v>
      </c>
      <c r="EE14" s="2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2">
        <v>2025.0</v>
      </c>
      <c r="B15" s="2">
        <v>1.0</v>
      </c>
      <c r="C15" s="2" t="s">
        <v>139</v>
      </c>
      <c r="D15" s="2" t="s">
        <v>390</v>
      </c>
      <c r="E15" s="2" t="s">
        <v>500</v>
      </c>
      <c r="F15" s="2" t="s">
        <v>250</v>
      </c>
      <c r="G15" s="2">
        <v>25.0</v>
      </c>
      <c r="H15" s="2">
        <v>40.0</v>
      </c>
      <c r="I15" s="2">
        <v>176.0</v>
      </c>
      <c r="J15" s="2">
        <v>1.0</v>
      </c>
      <c r="K15" s="2">
        <v>2.0</v>
      </c>
      <c r="L15" s="2">
        <v>1.0</v>
      </c>
      <c r="M15" s="2">
        <v>-10.0</v>
      </c>
      <c r="N15" s="2">
        <v>1.0</v>
      </c>
      <c r="O15" s="2">
        <v>1.0</v>
      </c>
      <c r="P15" s="2">
        <v>213.0</v>
      </c>
      <c r="Q15" s="2">
        <v>94.0</v>
      </c>
      <c r="R15" s="2">
        <v>9.0</v>
      </c>
      <c r="S15" s="2">
        <v>-7.65576674097443</v>
      </c>
      <c r="T15" s="2">
        <v>-1.67200251205547</v>
      </c>
      <c r="U15" s="2">
        <v>0.0</v>
      </c>
      <c r="V15" s="2">
        <v>6.0</v>
      </c>
      <c r="W15" s="2">
        <v>2.0</v>
      </c>
      <c r="X15" s="2">
        <v>1.0</v>
      </c>
      <c r="Y15" s="2">
        <v>0.0</v>
      </c>
      <c r="Z15" s="2">
        <v>30.0</v>
      </c>
      <c r="AA15" s="2">
        <v>151.0</v>
      </c>
      <c r="AB15" s="2">
        <v>1.0</v>
      </c>
      <c r="AC15" s="2">
        <v>0.0</v>
      </c>
      <c r="AD15" s="2">
        <v>0.0</v>
      </c>
      <c r="AE15" s="2">
        <v>5.0</v>
      </c>
      <c r="AF15" s="2">
        <v>-4.49856747762533</v>
      </c>
      <c r="AG15" s="2">
        <v>0.0</v>
      </c>
      <c r="AH15" s="2">
        <v>4.0</v>
      </c>
      <c r="AI15" s="2">
        <v>3.0</v>
      </c>
      <c r="AJ15" s="2">
        <v>1.0</v>
      </c>
      <c r="AK15" s="2">
        <v>1.0</v>
      </c>
      <c r="AL15" s="2">
        <v>25.0</v>
      </c>
      <c r="AM15" s="2">
        <v>37.0</v>
      </c>
      <c r="AN15" s="2">
        <v>176.0</v>
      </c>
      <c r="AO15" s="2">
        <v>1.0</v>
      </c>
      <c r="AP15" s="2">
        <v>0.0</v>
      </c>
      <c r="AQ15" s="2">
        <v>0.0</v>
      </c>
      <c r="AR15" s="2">
        <v>213.0</v>
      </c>
      <c r="AS15" s="2">
        <v>94.0</v>
      </c>
      <c r="AT15" s="2">
        <v>9.0</v>
      </c>
      <c r="AU15" s="2">
        <v>-0.27317856375353</v>
      </c>
      <c r="AV15" s="2">
        <v>0.0</v>
      </c>
      <c r="AW15" s="2">
        <v>6.0</v>
      </c>
      <c r="AX15" s="2">
        <v>2.0</v>
      </c>
      <c r="AY15" s="2">
        <v>1.0</v>
      </c>
      <c r="AZ15" s="2">
        <v>0.0</v>
      </c>
      <c r="BA15" s="2">
        <v>0.0</v>
      </c>
      <c r="BB15" s="2">
        <v>30.0</v>
      </c>
      <c r="BC15" s="2">
        <v>6.0</v>
      </c>
      <c r="BD15" s="2">
        <v>26.0</v>
      </c>
      <c r="BE15" s="2">
        <v>7.0</v>
      </c>
      <c r="BF15" s="2">
        <v>51.0</v>
      </c>
      <c r="BG15" s="2">
        <v>2.0</v>
      </c>
      <c r="BH15" s="2">
        <v>6.0</v>
      </c>
      <c r="BI15" s="2">
        <v>50.0</v>
      </c>
      <c r="BJ15" s="2">
        <v>14.0</v>
      </c>
      <c r="BK15" s="2">
        <v>0.0</v>
      </c>
      <c r="BL15" s="2">
        <v>0.0</v>
      </c>
      <c r="BM15" s="2">
        <v>4.0</v>
      </c>
      <c r="BN15" s="2">
        <v>0.0</v>
      </c>
      <c r="BO15" s="2">
        <v>1.0</v>
      </c>
      <c r="BP15" s="2">
        <v>0.0</v>
      </c>
      <c r="BQ15" s="2">
        <v>0.0</v>
      </c>
      <c r="BR15" s="2">
        <v>0.0</v>
      </c>
      <c r="BS15" s="2">
        <v>0.0</v>
      </c>
      <c r="BT15" s="2">
        <v>2.0</v>
      </c>
      <c r="BU15" s="2">
        <v>0.0</v>
      </c>
      <c r="BV15" s="2">
        <v>0.0</v>
      </c>
      <c r="BW15" s="2">
        <v>6.0</v>
      </c>
      <c r="BX15" s="2">
        <v>45.0</v>
      </c>
      <c r="BY15" s="2">
        <v>4.0</v>
      </c>
      <c r="BZ15" s="2">
        <v>1.0</v>
      </c>
      <c r="CA15" s="2">
        <v>1.0</v>
      </c>
      <c r="CB15" s="2">
        <v>0.0</v>
      </c>
      <c r="CC15" s="2">
        <v>2.0</v>
      </c>
      <c r="CD15" s="2">
        <v>2.0</v>
      </c>
      <c r="CE15" s="2">
        <v>4.0</v>
      </c>
      <c r="CF15" s="2">
        <v>47.0</v>
      </c>
      <c r="CG15" s="2">
        <v>3.0</v>
      </c>
      <c r="CH15" s="2">
        <v>82.0</v>
      </c>
      <c r="CI15" s="2">
        <v>2.0</v>
      </c>
      <c r="CJ15" s="2">
        <v>2.0</v>
      </c>
      <c r="CK15" s="2">
        <v>0.0</v>
      </c>
      <c r="CL15" s="2">
        <v>0.0</v>
      </c>
      <c r="CM15" s="2">
        <v>39.0</v>
      </c>
      <c r="CN15" s="2">
        <v>1.0</v>
      </c>
      <c r="CO15" s="2">
        <v>0.0</v>
      </c>
      <c r="CP15" s="2">
        <v>0.0</v>
      </c>
      <c r="CQ15" s="2">
        <v>2.0</v>
      </c>
      <c r="CR15" s="2">
        <v>0.0</v>
      </c>
      <c r="CS15" s="2">
        <v>0.0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 t="s">
        <v>1972</v>
      </c>
      <c r="DD15" s="2">
        <v>72.0</v>
      </c>
      <c r="DE15" s="2">
        <v>0.0</v>
      </c>
      <c r="DF15" s="2">
        <v>0.0</v>
      </c>
      <c r="DG15" s="2">
        <v>2.0</v>
      </c>
      <c r="DH15" s="2">
        <v>2.0</v>
      </c>
      <c r="DI15" s="2">
        <v>0.0</v>
      </c>
      <c r="DJ15" s="2">
        <v>0.0</v>
      </c>
      <c r="DK15" s="2">
        <v>1.0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3.0</v>
      </c>
      <c r="DR15" s="2">
        <v>0.0</v>
      </c>
      <c r="DS15" s="2">
        <v>53.0</v>
      </c>
      <c r="DT15" s="2">
        <v>144.0</v>
      </c>
      <c r="DU15" s="2">
        <v>3.0</v>
      </c>
      <c r="DV15" s="2">
        <v>0.0</v>
      </c>
      <c r="DW15" s="2">
        <v>0.0</v>
      </c>
      <c r="DX15" s="2">
        <v>0.0</v>
      </c>
      <c r="DY15" s="2">
        <v>2.0</v>
      </c>
      <c r="DZ15" s="2">
        <v>1.0</v>
      </c>
      <c r="EA15" s="2">
        <v>12.0</v>
      </c>
      <c r="EB15" s="2">
        <v>0.0</v>
      </c>
      <c r="EC15" s="2">
        <v>132.0</v>
      </c>
      <c r="EE15" s="2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2">
        <v>2025.0</v>
      </c>
      <c r="B16" s="2">
        <v>1.0</v>
      </c>
      <c r="C16" s="2" t="s">
        <v>202</v>
      </c>
      <c r="D16" s="2" t="s">
        <v>390</v>
      </c>
      <c r="E16" s="2" t="s">
        <v>519</v>
      </c>
      <c r="F16" s="2" t="s">
        <v>205</v>
      </c>
      <c r="G16" s="2">
        <v>31.0</v>
      </c>
      <c r="H16" s="2">
        <v>39.0</v>
      </c>
      <c r="I16" s="2">
        <v>225.0</v>
      </c>
      <c r="J16" s="2">
        <v>1.0</v>
      </c>
      <c r="K16" s="2">
        <v>1.0</v>
      </c>
      <c r="L16" s="2">
        <v>4.0</v>
      </c>
      <c r="M16" s="2">
        <v>-25.0</v>
      </c>
      <c r="N16" s="2">
        <v>0.0</v>
      </c>
      <c r="O16" s="2">
        <v>0.0</v>
      </c>
      <c r="P16" s="2">
        <v>163.0</v>
      </c>
      <c r="Q16" s="2">
        <v>121.0</v>
      </c>
      <c r="R16" s="2">
        <v>13.0</v>
      </c>
      <c r="S16" s="2">
        <v>1.37437785789473</v>
      </c>
      <c r="T16" s="2">
        <v>11.3394189037775</v>
      </c>
      <c r="U16" s="2">
        <v>0.0</v>
      </c>
      <c r="V16" s="2">
        <v>6.0</v>
      </c>
      <c r="W16" s="2">
        <v>3.0</v>
      </c>
      <c r="X16" s="2">
        <v>1.0</v>
      </c>
      <c r="Y16" s="2">
        <v>0.0</v>
      </c>
      <c r="Z16" s="2">
        <v>22.0</v>
      </c>
      <c r="AA16" s="2">
        <v>46.0</v>
      </c>
      <c r="AB16" s="2">
        <v>0.0</v>
      </c>
      <c r="AC16" s="2">
        <v>0.0</v>
      </c>
      <c r="AD16" s="2">
        <v>0.0</v>
      </c>
      <c r="AE16" s="2">
        <v>2.0</v>
      </c>
      <c r="AF16" s="2">
        <v>-5.36015619139653</v>
      </c>
      <c r="AG16" s="2">
        <v>0.0</v>
      </c>
      <c r="AH16" s="2">
        <v>1.0</v>
      </c>
      <c r="AI16" s="2">
        <v>1.0</v>
      </c>
      <c r="AJ16" s="2">
        <v>0.0</v>
      </c>
      <c r="AK16" s="2">
        <v>0.0</v>
      </c>
      <c r="AL16" s="2">
        <v>31.0</v>
      </c>
      <c r="AM16" s="2">
        <v>38.0</v>
      </c>
      <c r="AN16" s="2">
        <v>225.0</v>
      </c>
      <c r="AO16" s="2">
        <v>1.0</v>
      </c>
      <c r="AP16" s="2">
        <v>0.0</v>
      </c>
      <c r="AQ16" s="2">
        <v>0.0</v>
      </c>
      <c r="AR16" s="2">
        <v>163.0</v>
      </c>
      <c r="AS16" s="2">
        <v>121.0</v>
      </c>
      <c r="AT16" s="2">
        <v>13.0</v>
      </c>
      <c r="AU16" s="2">
        <v>9.9833752406422</v>
      </c>
      <c r="AV16" s="2">
        <v>0.0</v>
      </c>
      <c r="AW16" s="2">
        <v>6.0</v>
      </c>
      <c r="AX16" s="2">
        <v>3.0</v>
      </c>
      <c r="AY16" s="2">
        <v>1.0</v>
      </c>
      <c r="AZ16" s="2">
        <v>0.0</v>
      </c>
      <c r="BA16" s="2">
        <v>0.0</v>
      </c>
      <c r="BB16" s="2">
        <v>32.0</v>
      </c>
      <c r="BC16" s="2">
        <v>2.0</v>
      </c>
      <c r="BD16" s="2">
        <v>18.0</v>
      </c>
      <c r="BE16" s="2">
        <v>2.0</v>
      </c>
      <c r="BF16" s="2">
        <v>2.0</v>
      </c>
      <c r="BG16" s="2">
        <v>0.0</v>
      </c>
      <c r="BH16" s="2">
        <v>0.0</v>
      </c>
      <c r="BI16" s="2">
        <v>0.0</v>
      </c>
      <c r="BJ16" s="2">
        <v>2.0</v>
      </c>
      <c r="BK16" s="2">
        <v>0.0</v>
      </c>
      <c r="BL16" s="2">
        <v>0.0</v>
      </c>
      <c r="BM16" s="2">
        <v>1.0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7.0</v>
      </c>
      <c r="BX16" s="2">
        <v>40.0</v>
      </c>
      <c r="BY16" s="2">
        <v>2.0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2.0</v>
      </c>
      <c r="CF16" s="2">
        <v>19.0</v>
      </c>
      <c r="CG16" s="2">
        <v>5.0</v>
      </c>
      <c r="CH16" s="2">
        <v>116.0</v>
      </c>
      <c r="CI16" s="2">
        <v>2.0</v>
      </c>
      <c r="CJ16" s="2">
        <v>2.0</v>
      </c>
      <c r="CK16" s="2">
        <v>0.0</v>
      </c>
      <c r="CL16" s="2">
        <v>0.0</v>
      </c>
      <c r="CM16" s="2">
        <v>30.0</v>
      </c>
      <c r="CN16" s="2">
        <v>1.0</v>
      </c>
      <c r="CO16" s="2">
        <v>0.0</v>
      </c>
      <c r="CP16" s="2">
        <v>1.0</v>
      </c>
      <c r="CQ16" s="2">
        <v>1.0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 t="s">
        <v>1973</v>
      </c>
      <c r="DD16" s="2">
        <v>57.0</v>
      </c>
      <c r="DE16" s="2">
        <v>0.0</v>
      </c>
      <c r="DF16" s="2">
        <v>0.0</v>
      </c>
      <c r="DG16" s="2">
        <v>1.0</v>
      </c>
      <c r="DH16" s="2">
        <v>1.0</v>
      </c>
      <c r="DI16" s="2">
        <v>0.0</v>
      </c>
      <c r="DJ16" s="2">
        <v>0.0</v>
      </c>
      <c r="DK16" s="2">
        <v>1.0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3.0</v>
      </c>
      <c r="DR16" s="2">
        <v>0.0</v>
      </c>
      <c r="DS16" s="2">
        <v>55.0</v>
      </c>
      <c r="DT16" s="2">
        <v>142.0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3.0</v>
      </c>
      <c r="EA16" s="2">
        <v>32.0</v>
      </c>
      <c r="EB16" s="2">
        <v>0.0</v>
      </c>
      <c r="EC16" s="2">
        <v>110.0</v>
      </c>
      <c r="EE16" s="2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2">
        <v>2025.0</v>
      </c>
      <c r="B17" s="2">
        <v>1.0</v>
      </c>
      <c r="C17" s="2" t="s">
        <v>205</v>
      </c>
      <c r="D17" s="2" t="s">
        <v>390</v>
      </c>
      <c r="E17" s="2" t="s">
        <v>519</v>
      </c>
      <c r="F17" s="2" t="s">
        <v>202</v>
      </c>
      <c r="G17" s="2">
        <v>16.0</v>
      </c>
      <c r="H17" s="2">
        <v>22.0</v>
      </c>
      <c r="I17" s="2">
        <v>188.0</v>
      </c>
      <c r="J17" s="2">
        <v>2.0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253.0</v>
      </c>
      <c r="Q17" s="2">
        <v>39.0</v>
      </c>
      <c r="R17" s="2">
        <v>8.0</v>
      </c>
      <c r="S17" s="2">
        <v>10.0652942520307</v>
      </c>
      <c r="T17" s="2">
        <v>13.0749403075738</v>
      </c>
      <c r="U17" s="2">
        <v>0.0</v>
      </c>
      <c r="V17" s="2">
        <v>8.0</v>
      </c>
      <c r="W17" s="2">
        <v>5.0</v>
      </c>
      <c r="X17" s="2">
        <v>3.0</v>
      </c>
      <c r="Y17" s="2">
        <v>1.0</v>
      </c>
      <c r="Z17" s="2">
        <v>25.0</v>
      </c>
      <c r="AA17" s="2">
        <v>78.0</v>
      </c>
      <c r="AB17" s="2">
        <v>1.0</v>
      </c>
      <c r="AC17" s="2">
        <v>0.0</v>
      </c>
      <c r="AD17" s="2">
        <v>0.0</v>
      </c>
      <c r="AE17" s="2">
        <v>4.0</v>
      </c>
      <c r="AF17" s="2">
        <v>-2.42074726870506</v>
      </c>
      <c r="AG17" s="2">
        <v>0.0</v>
      </c>
      <c r="AH17" s="2">
        <v>2.0</v>
      </c>
      <c r="AI17" s="2">
        <v>1.0</v>
      </c>
      <c r="AJ17" s="2">
        <v>0.0</v>
      </c>
      <c r="AK17" s="2">
        <v>0.0</v>
      </c>
      <c r="AL17" s="2">
        <v>16.0</v>
      </c>
      <c r="AM17" s="2">
        <v>22.0</v>
      </c>
      <c r="AN17" s="2">
        <v>188.0</v>
      </c>
      <c r="AO17" s="2">
        <v>2.0</v>
      </c>
      <c r="AP17" s="2">
        <v>0.0</v>
      </c>
      <c r="AQ17" s="2">
        <v>0.0</v>
      </c>
      <c r="AR17" s="2">
        <v>253.0</v>
      </c>
      <c r="AS17" s="2">
        <v>39.0</v>
      </c>
      <c r="AT17" s="2">
        <v>8.0</v>
      </c>
      <c r="AU17" s="2">
        <v>10.0652942520307</v>
      </c>
      <c r="AV17" s="2">
        <v>0.0</v>
      </c>
      <c r="AW17" s="2">
        <v>8.0</v>
      </c>
      <c r="AX17" s="2">
        <v>5.0</v>
      </c>
      <c r="AY17" s="2">
        <v>3.0</v>
      </c>
      <c r="AZ17" s="2">
        <v>1.0</v>
      </c>
      <c r="BA17" s="2">
        <v>0.0</v>
      </c>
      <c r="BB17" s="2">
        <v>38.0</v>
      </c>
      <c r="BC17" s="2">
        <v>5.0</v>
      </c>
      <c r="BD17" s="2">
        <v>41.0</v>
      </c>
      <c r="BE17" s="2">
        <v>9.0</v>
      </c>
      <c r="BF17" s="2">
        <v>32.0</v>
      </c>
      <c r="BG17" s="2">
        <v>0.0</v>
      </c>
      <c r="BH17" s="2">
        <v>4.0</v>
      </c>
      <c r="BI17" s="2">
        <v>25.0</v>
      </c>
      <c r="BJ17" s="2">
        <v>9.0</v>
      </c>
      <c r="BK17" s="2">
        <v>1.0</v>
      </c>
      <c r="BL17" s="2">
        <v>0.0</v>
      </c>
      <c r="BM17" s="2">
        <v>2.0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4.0</v>
      </c>
      <c r="BX17" s="2">
        <v>40.0</v>
      </c>
      <c r="BY17" s="2">
        <v>3.0</v>
      </c>
      <c r="BZ17" s="2">
        <v>0.0</v>
      </c>
      <c r="CA17" s="2">
        <v>0.0</v>
      </c>
      <c r="CB17" s="2">
        <v>0.0</v>
      </c>
      <c r="CC17" s="2">
        <v>0.0</v>
      </c>
      <c r="CD17" s="2">
        <v>0.0</v>
      </c>
      <c r="CE17" s="2">
        <v>3.0</v>
      </c>
      <c r="CF17" s="2">
        <v>32.0</v>
      </c>
      <c r="CG17" s="2">
        <v>2.0</v>
      </c>
      <c r="CH17" s="2">
        <v>39.0</v>
      </c>
      <c r="CI17" s="2">
        <v>2.0</v>
      </c>
      <c r="CJ17" s="2">
        <v>2.0</v>
      </c>
      <c r="CK17" s="2">
        <v>0.0</v>
      </c>
      <c r="CL17" s="2">
        <v>0.0</v>
      </c>
      <c r="CM17" s="2">
        <v>38.0</v>
      </c>
      <c r="CN17" s="2">
        <v>1.0</v>
      </c>
      <c r="CO17" s="2">
        <v>0.0</v>
      </c>
      <c r="CP17" s="2">
        <v>0.0</v>
      </c>
      <c r="CQ17" s="2">
        <v>2.0</v>
      </c>
      <c r="CR17" s="2">
        <v>0.0</v>
      </c>
      <c r="CS17" s="2">
        <v>0.0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0.0</v>
      </c>
      <c r="DA17" s="2" t="s">
        <v>1974</v>
      </c>
      <c r="DD17" s="2">
        <v>72.0</v>
      </c>
      <c r="DE17" s="2">
        <v>0.0</v>
      </c>
      <c r="DF17" s="2">
        <v>0.0</v>
      </c>
      <c r="DG17" s="2">
        <v>3.0</v>
      </c>
      <c r="DH17" s="2">
        <v>3.0</v>
      </c>
      <c r="DI17" s="2">
        <v>0.0</v>
      </c>
      <c r="DJ17" s="2">
        <v>0.0</v>
      </c>
      <c r="DK17" s="2">
        <v>1.0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3.0</v>
      </c>
      <c r="DR17" s="2">
        <v>0.0</v>
      </c>
      <c r="DS17" s="2">
        <v>65.0</v>
      </c>
      <c r="DT17" s="2">
        <v>164.0</v>
      </c>
      <c r="DU17" s="2">
        <v>2.0</v>
      </c>
      <c r="DV17" s="2">
        <v>0.0</v>
      </c>
      <c r="DW17" s="2">
        <v>0.0</v>
      </c>
      <c r="DX17" s="2">
        <v>0.0</v>
      </c>
      <c r="DY17" s="2">
        <v>1.0</v>
      </c>
      <c r="DZ17" s="2">
        <v>2.0</v>
      </c>
      <c r="EA17" s="2">
        <v>19.0</v>
      </c>
      <c r="EB17" s="2">
        <v>0.0</v>
      </c>
      <c r="EC17" s="2">
        <v>145.0</v>
      </c>
      <c r="EE17" s="2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2">
        <v>2025.0</v>
      </c>
      <c r="B18" s="2">
        <v>1.0</v>
      </c>
      <c r="C18" s="2" t="s">
        <v>140</v>
      </c>
      <c r="D18" s="2" t="s">
        <v>390</v>
      </c>
      <c r="E18" s="2" t="s">
        <v>529</v>
      </c>
      <c r="F18" s="2" t="s">
        <v>142</v>
      </c>
      <c r="G18" s="2">
        <v>19.0</v>
      </c>
      <c r="H18" s="2">
        <v>27.0</v>
      </c>
      <c r="I18" s="2">
        <v>188.0</v>
      </c>
      <c r="J18" s="2">
        <v>0.0</v>
      </c>
      <c r="K18" s="2">
        <v>1.0</v>
      </c>
      <c r="L18" s="2">
        <v>3.0</v>
      </c>
      <c r="M18" s="2">
        <v>-37.0</v>
      </c>
      <c r="N18" s="2">
        <v>0.0</v>
      </c>
      <c r="O18" s="2">
        <v>0.0</v>
      </c>
      <c r="P18" s="2">
        <v>172.0</v>
      </c>
      <c r="Q18" s="2">
        <v>73.0</v>
      </c>
      <c r="R18" s="2">
        <v>7.0</v>
      </c>
      <c r="S18" s="2">
        <v>-4.06503334495876</v>
      </c>
      <c r="T18" s="2">
        <v>-0.974656144777934</v>
      </c>
      <c r="U18" s="2">
        <v>0.0</v>
      </c>
      <c r="V18" s="2">
        <v>8.0</v>
      </c>
      <c r="W18" s="2">
        <v>3.0</v>
      </c>
      <c r="X18" s="2">
        <v>2.0</v>
      </c>
      <c r="Y18" s="2">
        <v>0.0</v>
      </c>
      <c r="Z18" s="2">
        <v>27.0</v>
      </c>
      <c r="AA18" s="2">
        <v>114.0</v>
      </c>
      <c r="AB18" s="2">
        <v>0.0</v>
      </c>
      <c r="AC18" s="2">
        <v>0.0</v>
      </c>
      <c r="AD18" s="2">
        <v>0.0</v>
      </c>
      <c r="AE18" s="2">
        <v>8.0</v>
      </c>
      <c r="AF18" s="2">
        <v>1.05189647209433</v>
      </c>
      <c r="AG18" s="2">
        <v>0.0</v>
      </c>
      <c r="AH18" s="2">
        <v>3.0</v>
      </c>
      <c r="AI18" s="2">
        <v>2.0</v>
      </c>
      <c r="AJ18" s="2">
        <v>0.0</v>
      </c>
      <c r="AK18" s="2">
        <v>0.0</v>
      </c>
      <c r="AL18" s="2">
        <v>19.0</v>
      </c>
      <c r="AM18" s="2">
        <v>27.0</v>
      </c>
      <c r="AN18" s="2">
        <v>188.0</v>
      </c>
      <c r="AO18" s="2">
        <v>0.0</v>
      </c>
      <c r="AP18" s="2">
        <v>1.0</v>
      </c>
      <c r="AQ18" s="2">
        <v>1.0</v>
      </c>
      <c r="AR18" s="2">
        <v>172.0</v>
      </c>
      <c r="AS18" s="2">
        <v>73.0</v>
      </c>
      <c r="AT18" s="2">
        <v>7.0</v>
      </c>
      <c r="AU18" s="2">
        <v>-2.5317566292891</v>
      </c>
      <c r="AV18" s="2">
        <v>0.0</v>
      </c>
      <c r="AW18" s="2">
        <v>8.0</v>
      </c>
      <c r="AX18" s="2">
        <v>3.0</v>
      </c>
      <c r="AY18" s="2">
        <v>2.0</v>
      </c>
      <c r="AZ18" s="2">
        <v>0.0</v>
      </c>
      <c r="BA18" s="2">
        <v>0.0</v>
      </c>
      <c r="BB18" s="2">
        <v>35.0</v>
      </c>
      <c r="BC18" s="2">
        <v>3.0</v>
      </c>
      <c r="BD18" s="2">
        <v>23.0</v>
      </c>
      <c r="BE18" s="2">
        <v>5.0</v>
      </c>
      <c r="BF18" s="2">
        <v>42.0</v>
      </c>
      <c r="BG18" s="2">
        <v>1.0</v>
      </c>
      <c r="BH18" s="2">
        <v>3.0</v>
      </c>
      <c r="BI18" s="2">
        <v>21.0</v>
      </c>
      <c r="BJ18" s="2">
        <v>6.0</v>
      </c>
      <c r="BK18" s="2">
        <v>0.0</v>
      </c>
      <c r="BL18" s="2">
        <v>0.0</v>
      </c>
      <c r="BM18" s="2">
        <v>1.0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1.0</v>
      </c>
      <c r="BU18" s="2">
        <v>0.0</v>
      </c>
      <c r="BV18" s="2">
        <v>0.0</v>
      </c>
      <c r="BW18" s="2">
        <v>11.0</v>
      </c>
      <c r="BX18" s="2">
        <v>80.0</v>
      </c>
      <c r="BY18" s="2">
        <v>4.0</v>
      </c>
      <c r="BZ18" s="2">
        <v>1.0</v>
      </c>
      <c r="CA18" s="2">
        <v>0.0</v>
      </c>
      <c r="CB18" s="2">
        <v>0.0</v>
      </c>
      <c r="CC18" s="2">
        <v>1.0</v>
      </c>
      <c r="CD18" s="2">
        <v>1.0</v>
      </c>
      <c r="CE18" s="2">
        <v>2.0</v>
      </c>
      <c r="CF18" s="2">
        <v>20.0</v>
      </c>
      <c r="CG18" s="2">
        <v>1.0</v>
      </c>
      <c r="CH18" s="2">
        <v>11.0</v>
      </c>
      <c r="CI18" s="2">
        <v>3.0</v>
      </c>
      <c r="CJ18" s="2">
        <v>3.0</v>
      </c>
      <c r="CK18" s="2">
        <v>0.0</v>
      </c>
      <c r="CL18" s="2">
        <v>0.0</v>
      </c>
      <c r="CM18" s="2">
        <v>53.0</v>
      </c>
      <c r="CN18" s="2">
        <v>1.0</v>
      </c>
      <c r="CO18" s="2">
        <v>0.0</v>
      </c>
      <c r="CP18" s="2">
        <v>0.0</v>
      </c>
      <c r="CQ18" s="2">
        <v>0.0</v>
      </c>
      <c r="CR18" s="2">
        <v>1.0</v>
      </c>
      <c r="CS18" s="2">
        <v>2.0</v>
      </c>
      <c r="CT18" s="2">
        <v>0.0</v>
      </c>
      <c r="CU18" s="2">
        <v>0.0</v>
      </c>
      <c r="CV18" s="2">
        <v>0.0</v>
      </c>
      <c r="CW18" s="2">
        <v>0.0</v>
      </c>
      <c r="CX18" s="2">
        <v>0.0</v>
      </c>
      <c r="CY18" s="2">
        <v>0.0</v>
      </c>
      <c r="CZ18" s="2">
        <v>0.0</v>
      </c>
      <c r="DA18" s="2" t="s">
        <v>1975</v>
      </c>
      <c r="DD18" s="2">
        <v>149.0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4.0</v>
      </c>
      <c r="DR18" s="2">
        <v>0.0</v>
      </c>
      <c r="DS18" s="2">
        <v>61.0</v>
      </c>
      <c r="DT18" s="2">
        <v>208.0</v>
      </c>
      <c r="DU18" s="2">
        <v>1.0</v>
      </c>
      <c r="DV18" s="2">
        <v>0.0</v>
      </c>
      <c r="DW18" s="2">
        <v>0.0</v>
      </c>
      <c r="DX18" s="2">
        <v>0.0</v>
      </c>
      <c r="DY18" s="2">
        <v>2.0</v>
      </c>
      <c r="DZ18" s="2">
        <v>2.0</v>
      </c>
      <c r="EA18" s="2">
        <v>21.0</v>
      </c>
      <c r="EB18" s="2">
        <v>0.0</v>
      </c>
      <c r="EC18" s="2">
        <v>187.0</v>
      </c>
      <c r="EE18" s="2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2">
        <v>2025.0</v>
      </c>
      <c r="B19" s="2">
        <v>1.0</v>
      </c>
      <c r="C19" s="2" t="s">
        <v>210</v>
      </c>
      <c r="D19" s="2" t="s">
        <v>390</v>
      </c>
      <c r="E19" s="2" t="s">
        <v>442</v>
      </c>
      <c r="F19" s="2" t="s">
        <v>225</v>
      </c>
      <c r="G19" s="2">
        <v>22.0</v>
      </c>
      <c r="H19" s="2">
        <v>29.0</v>
      </c>
      <c r="I19" s="2">
        <v>272.0</v>
      </c>
      <c r="J19" s="2">
        <v>1.0</v>
      </c>
      <c r="K19" s="2">
        <v>0.0</v>
      </c>
      <c r="L19" s="2">
        <v>1.0</v>
      </c>
      <c r="M19" s="2">
        <v>-10.0</v>
      </c>
      <c r="N19" s="2">
        <v>0.0</v>
      </c>
      <c r="O19" s="2">
        <v>0.0</v>
      </c>
      <c r="P19" s="2">
        <v>196.0</v>
      </c>
      <c r="Q19" s="2">
        <v>112.0</v>
      </c>
      <c r="R19" s="2">
        <v>14.0</v>
      </c>
      <c r="S19" s="2">
        <v>12.997713351083</v>
      </c>
      <c r="T19" s="2">
        <v>5.38834302589811</v>
      </c>
      <c r="U19" s="2">
        <v>0.0</v>
      </c>
      <c r="V19" s="2">
        <v>11.0</v>
      </c>
      <c r="W19" s="2">
        <v>6.0</v>
      </c>
      <c r="X19" s="2">
        <v>4.0</v>
      </c>
      <c r="Y19" s="2">
        <v>0.0</v>
      </c>
      <c r="Z19" s="2">
        <v>40.0</v>
      </c>
      <c r="AA19" s="2">
        <v>156.0</v>
      </c>
      <c r="AB19" s="2">
        <v>2.0</v>
      </c>
      <c r="AC19" s="2">
        <v>0.0</v>
      </c>
      <c r="AD19" s="2">
        <v>0.0</v>
      </c>
      <c r="AE19" s="2">
        <v>11.0</v>
      </c>
      <c r="AF19" s="2">
        <v>5.52206456715463</v>
      </c>
      <c r="AG19" s="2">
        <v>0.0</v>
      </c>
      <c r="AH19" s="2">
        <v>6.0</v>
      </c>
      <c r="AI19" s="2">
        <v>4.0</v>
      </c>
      <c r="AJ19" s="2">
        <v>0.0</v>
      </c>
      <c r="AK19" s="2">
        <v>0.0</v>
      </c>
      <c r="AL19" s="2">
        <v>22.0</v>
      </c>
      <c r="AM19" s="2">
        <v>29.0</v>
      </c>
      <c r="AN19" s="2">
        <v>272.0</v>
      </c>
      <c r="AO19" s="2">
        <v>1.0</v>
      </c>
      <c r="AP19" s="2">
        <v>0.0</v>
      </c>
      <c r="AQ19" s="2">
        <v>0.0</v>
      </c>
      <c r="AR19" s="2">
        <v>196.0</v>
      </c>
      <c r="AS19" s="2">
        <v>112.0</v>
      </c>
      <c r="AT19" s="2">
        <v>14.0</v>
      </c>
      <c r="AU19" s="2">
        <v>14.7199118956188</v>
      </c>
      <c r="AV19" s="2">
        <v>0.0</v>
      </c>
      <c r="AW19" s="2">
        <v>11.0</v>
      </c>
      <c r="AX19" s="2">
        <v>6.0</v>
      </c>
      <c r="AY19" s="2">
        <v>4.0</v>
      </c>
      <c r="AZ19" s="2">
        <v>0.0</v>
      </c>
      <c r="BA19" s="2">
        <v>0.0</v>
      </c>
      <c r="BB19" s="2">
        <v>26.0</v>
      </c>
      <c r="BC19" s="2">
        <v>2.0</v>
      </c>
      <c r="BD19" s="2">
        <v>24.0</v>
      </c>
      <c r="BE19" s="2">
        <v>4.0</v>
      </c>
      <c r="BF19" s="2">
        <v>16.0</v>
      </c>
      <c r="BG19" s="2">
        <v>1.0</v>
      </c>
      <c r="BH19" s="2">
        <v>3.0</v>
      </c>
      <c r="BI19" s="2">
        <v>13.0</v>
      </c>
      <c r="BJ19" s="2">
        <v>6.0</v>
      </c>
      <c r="BK19" s="2">
        <v>2.0</v>
      </c>
      <c r="BL19" s="2">
        <v>20.0</v>
      </c>
      <c r="BM19" s="2">
        <v>5.0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1.0</v>
      </c>
      <c r="BU19" s="2">
        <v>2.0</v>
      </c>
      <c r="BV19" s="2">
        <v>0.0</v>
      </c>
      <c r="BW19" s="2">
        <v>4.0</v>
      </c>
      <c r="BX19" s="2">
        <v>45.0</v>
      </c>
      <c r="BY19" s="2">
        <v>3.0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1.0</v>
      </c>
      <c r="CH19" s="2">
        <v>27.0</v>
      </c>
      <c r="CI19" s="2">
        <v>4.0</v>
      </c>
      <c r="CJ19" s="2">
        <v>4.0</v>
      </c>
      <c r="CK19" s="2">
        <v>0.0</v>
      </c>
      <c r="CL19" s="2">
        <v>0.0</v>
      </c>
      <c r="CM19" s="2">
        <v>48.0</v>
      </c>
      <c r="CN19" s="2">
        <v>1.0</v>
      </c>
      <c r="CO19" s="2">
        <v>0.0</v>
      </c>
      <c r="CP19" s="2">
        <v>2.0</v>
      </c>
      <c r="CQ19" s="2">
        <v>1.0</v>
      </c>
      <c r="CR19" s="2">
        <v>1.0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 t="s">
        <v>1976</v>
      </c>
      <c r="DD19" s="2">
        <v>135.0</v>
      </c>
      <c r="DE19" s="2">
        <v>0.0</v>
      </c>
      <c r="DF19" s="2">
        <v>0.0</v>
      </c>
      <c r="DG19" s="2">
        <v>3.0</v>
      </c>
      <c r="DH19" s="2">
        <v>3.0</v>
      </c>
      <c r="DI19" s="2">
        <v>0.0</v>
      </c>
      <c r="DJ19" s="2">
        <v>0.0</v>
      </c>
      <c r="DK19" s="2">
        <v>1.0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E19" s="2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2">
        <v>2025.0</v>
      </c>
      <c r="B20" s="2">
        <v>1.0</v>
      </c>
      <c r="C20" s="2" t="s">
        <v>141</v>
      </c>
      <c r="D20" s="2" t="s">
        <v>390</v>
      </c>
      <c r="E20" s="2" t="s">
        <v>451</v>
      </c>
      <c r="F20" s="2" t="s">
        <v>189</v>
      </c>
      <c r="G20" s="2">
        <v>19.0</v>
      </c>
      <c r="H20" s="2">
        <v>31.0</v>
      </c>
      <c r="I20" s="2">
        <v>178.0</v>
      </c>
      <c r="J20" s="2">
        <v>1.0</v>
      </c>
      <c r="K20" s="2">
        <v>1.0</v>
      </c>
      <c r="L20" s="2">
        <v>0.0</v>
      </c>
      <c r="M20" s="2">
        <v>0.0</v>
      </c>
      <c r="N20" s="2">
        <v>0.0</v>
      </c>
      <c r="O20" s="2">
        <v>0.0</v>
      </c>
      <c r="P20" s="2">
        <v>223.0</v>
      </c>
      <c r="Q20" s="2">
        <v>80.0</v>
      </c>
      <c r="R20" s="2">
        <v>9.0</v>
      </c>
      <c r="S20" s="2">
        <v>1.31311294837381</v>
      </c>
      <c r="T20" s="2">
        <v>-4.05406242814557</v>
      </c>
      <c r="U20" s="2">
        <v>0.0</v>
      </c>
      <c r="V20" s="2">
        <v>9.0</v>
      </c>
      <c r="W20" s="2">
        <v>4.0</v>
      </c>
      <c r="X20" s="2">
        <v>2.0</v>
      </c>
      <c r="Y20" s="2">
        <v>0.0</v>
      </c>
      <c r="Z20" s="2">
        <v>32.0</v>
      </c>
      <c r="AA20" s="2">
        <v>200.0</v>
      </c>
      <c r="AB20" s="2">
        <v>1.0</v>
      </c>
      <c r="AC20" s="2">
        <v>0.0</v>
      </c>
      <c r="AD20" s="2">
        <v>0.0</v>
      </c>
      <c r="AE20" s="2">
        <v>10.0</v>
      </c>
      <c r="AF20" s="2">
        <v>6.58218051100444</v>
      </c>
      <c r="AG20" s="2">
        <v>0.0</v>
      </c>
      <c r="AH20" s="2">
        <v>5.0</v>
      </c>
      <c r="AI20" s="2">
        <v>3.0</v>
      </c>
      <c r="AJ20" s="2">
        <v>1.0</v>
      </c>
      <c r="AK20" s="2">
        <v>1.0</v>
      </c>
      <c r="AL20" s="2">
        <v>19.0</v>
      </c>
      <c r="AM20" s="2">
        <v>29.0</v>
      </c>
      <c r="AN20" s="2">
        <v>178.0</v>
      </c>
      <c r="AO20" s="2">
        <v>1.0</v>
      </c>
      <c r="AP20" s="2">
        <v>0.0</v>
      </c>
      <c r="AQ20" s="2">
        <v>0.0</v>
      </c>
      <c r="AR20" s="2">
        <v>223.0</v>
      </c>
      <c r="AS20" s="2">
        <v>80.0</v>
      </c>
      <c r="AT20" s="2">
        <v>9.0</v>
      </c>
      <c r="AU20" s="2">
        <v>3.19819411332013</v>
      </c>
      <c r="AV20" s="2">
        <v>0.0</v>
      </c>
      <c r="AW20" s="2">
        <v>9.0</v>
      </c>
      <c r="AX20" s="2">
        <v>4.0</v>
      </c>
      <c r="AY20" s="2">
        <v>2.0</v>
      </c>
      <c r="AZ20" s="2">
        <v>0.0</v>
      </c>
      <c r="BA20" s="2">
        <v>0.0</v>
      </c>
      <c r="BB20" s="2">
        <v>29.0</v>
      </c>
      <c r="BC20" s="2">
        <v>0.0</v>
      </c>
      <c r="BD20" s="2">
        <v>32.0</v>
      </c>
      <c r="BE20" s="2">
        <v>2.0</v>
      </c>
      <c r="BF20" s="2">
        <v>13.0</v>
      </c>
      <c r="BG20" s="2">
        <v>1.0</v>
      </c>
      <c r="BH20" s="2">
        <v>1.0</v>
      </c>
      <c r="BI20" s="2">
        <v>12.0</v>
      </c>
      <c r="BJ20" s="2">
        <v>5.0</v>
      </c>
      <c r="BK20" s="2">
        <v>2.0</v>
      </c>
      <c r="BL20" s="2">
        <v>0.0</v>
      </c>
      <c r="BM20" s="2">
        <v>9.0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1.0</v>
      </c>
      <c r="BU20" s="2">
        <v>0.0</v>
      </c>
      <c r="BV20" s="2">
        <v>0.0</v>
      </c>
      <c r="BW20" s="2">
        <v>11.0</v>
      </c>
      <c r="BX20" s="2">
        <v>93.0</v>
      </c>
      <c r="BY20" s="2">
        <v>3.0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1.0</v>
      </c>
      <c r="CF20" s="2">
        <v>7.0</v>
      </c>
      <c r="CG20" s="2">
        <v>2.0</v>
      </c>
      <c r="CH20" s="2">
        <v>32.0</v>
      </c>
      <c r="CI20" s="2">
        <v>4.0</v>
      </c>
      <c r="CJ20" s="2">
        <v>4.0</v>
      </c>
      <c r="CK20" s="2">
        <v>0.0</v>
      </c>
      <c r="CL20" s="2">
        <v>0.0</v>
      </c>
      <c r="CM20" s="2">
        <v>47.0</v>
      </c>
      <c r="CN20" s="2">
        <v>1.0</v>
      </c>
      <c r="CO20" s="2">
        <v>0.0</v>
      </c>
      <c r="CP20" s="2">
        <v>1.0</v>
      </c>
      <c r="CQ20" s="2">
        <v>2.0</v>
      </c>
      <c r="CR20" s="2">
        <v>1.0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 t="s">
        <v>1977</v>
      </c>
      <c r="DD20" s="2">
        <v>146.0</v>
      </c>
      <c r="DE20" s="2">
        <v>0.0</v>
      </c>
      <c r="DF20" s="2">
        <v>0.0</v>
      </c>
      <c r="DG20" s="2">
        <v>2.0</v>
      </c>
      <c r="DH20" s="2">
        <v>2.0</v>
      </c>
      <c r="DI20" s="2">
        <v>0.0</v>
      </c>
      <c r="DJ20" s="2">
        <v>0.0</v>
      </c>
      <c r="DK20" s="2">
        <v>1.0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2.0</v>
      </c>
      <c r="DR20" s="2">
        <v>0.0</v>
      </c>
      <c r="DS20" s="2">
        <v>57.0</v>
      </c>
      <c r="DT20" s="2">
        <v>111.0</v>
      </c>
      <c r="DU20" s="2">
        <v>1.0</v>
      </c>
      <c r="DV20" s="2">
        <v>0.0</v>
      </c>
      <c r="DW20" s="2">
        <v>0.0</v>
      </c>
      <c r="DX20" s="2">
        <v>0.0</v>
      </c>
      <c r="DY20" s="2">
        <v>0.0</v>
      </c>
      <c r="DZ20" s="2">
        <v>2.0</v>
      </c>
      <c r="EA20" s="2">
        <v>0.0</v>
      </c>
      <c r="EB20" s="2">
        <v>0.0</v>
      </c>
      <c r="EC20" s="2">
        <v>111.0</v>
      </c>
      <c r="EE20" s="2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2">
        <v>2025.0</v>
      </c>
      <c r="B21" s="2">
        <v>1.0</v>
      </c>
      <c r="C21" s="2" t="s">
        <v>143</v>
      </c>
      <c r="D21" s="2" t="s">
        <v>390</v>
      </c>
      <c r="E21" s="2" t="s">
        <v>404</v>
      </c>
      <c r="F21" s="2" t="s">
        <v>220</v>
      </c>
      <c r="G21" s="2">
        <v>24.0</v>
      </c>
      <c r="H21" s="2">
        <v>39.0</v>
      </c>
      <c r="I21" s="2">
        <v>258.0</v>
      </c>
      <c r="J21" s="2">
        <v>1.0</v>
      </c>
      <c r="K21" s="2">
        <v>0.0</v>
      </c>
      <c r="L21" s="2">
        <v>2.0</v>
      </c>
      <c r="M21" s="2">
        <v>-9.0</v>
      </c>
      <c r="N21" s="2">
        <v>0.0</v>
      </c>
      <c r="O21" s="2">
        <v>0.0</v>
      </c>
      <c r="P21" s="2">
        <v>271.0</v>
      </c>
      <c r="Q21" s="2">
        <v>116.0</v>
      </c>
      <c r="R21" s="2">
        <v>9.0</v>
      </c>
      <c r="S21" s="2">
        <v>3.44855267898629</v>
      </c>
      <c r="T21" s="2">
        <v>-5.99277631232613</v>
      </c>
      <c r="U21" s="2">
        <v>0.0</v>
      </c>
      <c r="V21" s="2">
        <v>9.0</v>
      </c>
      <c r="W21" s="2">
        <v>4.0</v>
      </c>
      <c r="X21" s="2">
        <v>3.0</v>
      </c>
      <c r="Y21" s="2">
        <v>1.0</v>
      </c>
      <c r="Z21" s="2">
        <v>17.0</v>
      </c>
      <c r="AA21" s="2">
        <v>98.0</v>
      </c>
      <c r="AB21" s="2">
        <v>1.0</v>
      </c>
      <c r="AC21" s="2">
        <v>0.0</v>
      </c>
      <c r="AD21" s="2">
        <v>0.0</v>
      </c>
      <c r="AE21" s="2">
        <v>8.0</v>
      </c>
      <c r="AF21" s="2">
        <v>8.90644093829906</v>
      </c>
      <c r="AG21" s="2">
        <v>0.0</v>
      </c>
      <c r="AH21" s="2">
        <v>5.0</v>
      </c>
      <c r="AI21" s="2">
        <v>1.0</v>
      </c>
      <c r="AJ21" s="2">
        <v>0.0</v>
      </c>
      <c r="AK21" s="2">
        <v>0.0</v>
      </c>
      <c r="AL21" s="2">
        <v>24.0</v>
      </c>
      <c r="AM21" s="2">
        <v>38.0</v>
      </c>
      <c r="AN21" s="2">
        <v>258.0</v>
      </c>
      <c r="AO21" s="2">
        <v>1.0</v>
      </c>
      <c r="AP21" s="2">
        <v>0.0</v>
      </c>
      <c r="AQ21" s="2">
        <v>0.0</v>
      </c>
      <c r="AR21" s="2">
        <v>271.0</v>
      </c>
      <c r="AS21" s="2">
        <v>116.0</v>
      </c>
      <c r="AT21" s="2">
        <v>9.0</v>
      </c>
      <c r="AU21" s="2">
        <v>5.57010922007802</v>
      </c>
      <c r="AV21" s="2">
        <v>0.0</v>
      </c>
      <c r="AW21" s="2">
        <v>9.0</v>
      </c>
      <c r="AX21" s="2">
        <v>4.0</v>
      </c>
      <c r="AY21" s="2">
        <v>3.0</v>
      </c>
      <c r="AZ21" s="2">
        <v>1.0</v>
      </c>
      <c r="BA21" s="2">
        <v>0.0</v>
      </c>
      <c r="BB21" s="2">
        <v>40.0</v>
      </c>
      <c r="BC21" s="2">
        <v>2.0</v>
      </c>
      <c r="BD21" s="2">
        <v>18.0</v>
      </c>
      <c r="BE21" s="2">
        <v>6.0</v>
      </c>
      <c r="BF21" s="2">
        <v>17.0</v>
      </c>
      <c r="BG21" s="2">
        <v>1.0</v>
      </c>
      <c r="BH21" s="2">
        <v>3.0</v>
      </c>
      <c r="BI21" s="2">
        <v>14.0</v>
      </c>
      <c r="BJ21" s="2">
        <v>4.0</v>
      </c>
      <c r="BK21" s="2">
        <v>0.0</v>
      </c>
      <c r="BL21" s="2">
        <v>0.0</v>
      </c>
      <c r="BM21" s="2">
        <v>2.0</v>
      </c>
      <c r="BN21" s="2">
        <v>0.0</v>
      </c>
      <c r="BO21" s="2">
        <v>0.0</v>
      </c>
      <c r="BP21" s="2">
        <v>0.0</v>
      </c>
      <c r="BQ21" s="2">
        <v>0.0</v>
      </c>
      <c r="BR21" s="2">
        <v>1.0</v>
      </c>
      <c r="BS21" s="2">
        <v>0.0</v>
      </c>
      <c r="BT21" s="2">
        <v>0.0</v>
      </c>
      <c r="BU21" s="2">
        <v>0.0</v>
      </c>
      <c r="BV21" s="2">
        <v>0.0</v>
      </c>
      <c r="BW21" s="2">
        <v>10.0</v>
      </c>
      <c r="BX21" s="2">
        <v>71.0</v>
      </c>
      <c r="BY21" s="2">
        <v>6.0</v>
      </c>
      <c r="BZ21" s="2">
        <v>0.0</v>
      </c>
      <c r="CA21" s="2">
        <v>1.0</v>
      </c>
      <c r="CB21" s="2">
        <v>0.0</v>
      </c>
      <c r="CC21" s="2">
        <v>1.0</v>
      </c>
      <c r="CD21" s="2">
        <v>0.0</v>
      </c>
      <c r="CE21" s="2">
        <v>2.0</v>
      </c>
      <c r="CF21" s="2">
        <v>7.0</v>
      </c>
      <c r="CG21" s="2">
        <v>5.0</v>
      </c>
      <c r="CH21" s="2">
        <v>147.0</v>
      </c>
      <c r="CI21" s="2">
        <v>3.0</v>
      </c>
      <c r="CJ21" s="2">
        <v>3.0</v>
      </c>
      <c r="CK21" s="2">
        <v>0.0</v>
      </c>
      <c r="CL21" s="2">
        <v>0.0</v>
      </c>
      <c r="CM21" s="2">
        <v>59.0</v>
      </c>
      <c r="CN21" s="2">
        <v>1.0</v>
      </c>
      <c r="CO21" s="2">
        <v>0.0</v>
      </c>
      <c r="CP21" s="2">
        <v>1.0</v>
      </c>
      <c r="CQ21" s="2">
        <v>1.0</v>
      </c>
      <c r="CR21" s="2">
        <v>0.0</v>
      </c>
      <c r="CS21" s="2">
        <v>1.0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 t="s">
        <v>1978</v>
      </c>
      <c r="DD21" s="2">
        <v>121.0</v>
      </c>
      <c r="DE21" s="2">
        <v>0.0</v>
      </c>
      <c r="DF21" s="2">
        <v>0.0</v>
      </c>
      <c r="DG21" s="2">
        <v>0.0</v>
      </c>
      <c r="DH21" s="2">
        <v>1.0</v>
      </c>
      <c r="DI21" s="2">
        <v>1.0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3.0</v>
      </c>
      <c r="DR21" s="2">
        <v>0.0</v>
      </c>
      <c r="DS21" s="2">
        <v>40.0</v>
      </c>
      <c r="DT21" s="2">
        <v>116.0</v>
      </c>
      <c r="DU21" s="2">
        <v>1.0</v>
      </c>
      <c r="DV21" s="2">
        <v>1.0</v>
      </c>
      <c r="DW21" s="2">
        <v>1.0</v>
      </c>
      <c r="DX21" s="2">
        <v>0.0</v>
      </c>
      <c r="DY21" s="2">
        <v>1.0</v>
      </c>
      <c r="DZ21" s="2">
        <v>0.0</v>
      </c>
      <c r="EA21" s="2">
        <v>0.0</v>
      </c>
      <c r="EB21" s="2">
        <v>0.0</v>
      </c>
      <c r="EC21" s="2">
        <v>116.0</v>
      </c>
      <c r="EE21" s="2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2">
        <v>2025.0</v>
      </c>
      <c r="B22" s="2">
        <v>1.0</v>
      </c>
      <c r="C22" s="2" t="s">
        <v>142</v>
      </c>
      <c r="D22" s="2" t="s">
        <v>390</v>
      </c>
      <c r="E22" s="2" t="s">
        <v>529</v>
      </c>
      <c r="F22" s="2" t="s">
        <v>140</v>
      </c>
      <c r="G22" s="2">
        <v>21.0</v>
      </c>
      <c r="H22" s="2">
        <v>29.0</v>
      </c>
      <c r="I22" s="2">
        <v>245.0</v>
      </c>
      <c r="J22" s="2">
        <v>1.0</v>
      </c>
      <c r="K22" s="2">
        <v>0.0</v>
      </c>
      <c r="L22" s="2">
        <v>3.0</v>
      </c>
      <c r="M22" s="2">
        <v>-21.0</v>
      </c>
      <c r="N22" s="2">
        <v>0.0</v>
      </c>
      <c r="O22" s="2">
        <v>0.0</v>
      </c>
      <c r="P22" s="2">
        <v>226.0</v>
      </c>
      <c r="Q22" s="2">
        <v>68.0</v>
      </c>
      <c r="R22" s="2">
        <v>13.0</v>
      </c>
      <c r="S22" s="2">
        <v>6.09010885696625</v>
      </c>
      <c r="T22" s="2">
        <v>5.38151689938137</v>
      </c>
      <c r="U22" s="2">
        <v>0.0</v>
      </c>
      <c r="V22" s="2">
        <v>11.0</v>
      </c>
      <c r="W22" s="2">
        <v>6.0</v>
      </c>
      <c r="X22" s="2">
        <v>5.0</v>
      </c>
      <c r="Y22" s="2">
        <v>0.0</v>
      </c>
      <c r="Z22" s="2">
        <v>25.0</v>
      </c>
      <c r="AA22" s="2">
        <v>72.0</v>
      </c>
      <c r="AB22" s="2">
        <v>1.0</v>
      </c>
      <c r="AC22" s="2">
        <v>1.0</v>
      </c>
      <c r="AD22" s="2">
        <v>0.0</v>
      </c>
      <c r="AE22" s="2">
        <v>3.0</v>
      </c>
      <c r="AF22" s="2">
        <v>-6.28282254067017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21.0</v>
      </c>
      <c r="AM22" s="2">
        <v>28.0</v>
      </c>
      <c r="AN22" s="2">
        <v>245.0</v>
      </c>
      <c r="AO22" s="2">
        <v>1.0</v>
      </c>
      <c r="AP22" s="2">
        <v>1.0</v>
      </c>
      <c r="AQ22" s="2">
        <v>1.0</v>
      </c>
      <c r="AR22" s="2">
        <v>226.0</v>
      </c>
      <c r="AS22" s="2">
        <v>68.0</v>
      </c>
      <c r="AT22" s="2">
        <v>13.0</v>
      </c>
      <c r="AU22" s="2">
        <v>9.37573702522786</v>
      </c>
      <c r="AV22" s="2">
        <v>0.0</v>
      </c>
      <c r="AW22" s="2">
        <v>11.0</v>
      </c>
      <c r="AX22" s="2">
        <v>6.0</v>
      </c>
      <c r="AY22" s="2">
        <v>5.0</v>
      </c>
      <c r="AZ22" s="2">
        <v>0.0</v>
      </c>
      <c r="BA22" s="2">
        <v>0.0</v>
      </c>
      <c r="BB22" s="2">
        <v>38.0</v>
      </c>
      <c r="BC22" s="2">
        <v>2.0</v>
      </c>
      <c r="BD22" s="2">
        <v>26.0</v>
      </c>
      <c r="BE22" s="2">
        <v>3.0</v>
      </c>
      <c r="BF22" s="2">
        <v>37.0</v>
      </c>
      <c r="BG22" s="2">
        <v>1.0</v>
      </c>
      <c r="BH22" s="2">
        <v>3.0</v>
      </c>
      <c r="BI22" s="2">
        <v>37.0</v>
      </c>
      <c r="BJ22" s="2">
        <v>7.0</v>
      </c>
      <c r="BK22" s="2">
        <v>1.0</v>
      </c>
      <c r="BL22" s="2">
        <v>0.0</v>
      </c>
      <c r="BM22" s="2">
        <v>4.0</v>
      </c>
      <c r="BN22" s="2">
        <v>0.0</v>
      </c>
      <c r="BO22" s="2">
        <v>0.0</v>
      </c>
      <c r="BP22" s="2">
        <v>0.0</v>
      </c>
      <c r="BQ22" s="2">
        <v>0.0</v>
      </c>
      <c r="BR22" s="2">
        <v>1.0</v>
      </c>
      <c r="BS22" s="2">
        <v>-18.0</v>
      </c>
      <c r="BT22" s="2">
        <v>1.0</v>
      </c>
      <c r="BU22" s="2">
        <v>0.0</v>
      </c>
      <c r="BV22" s="2">
        <v>0.0</v>
      </c>
      <c r="BW22" s="2">
        <v>7.0</v>
      </c>
      <c r="BX22" s="2">
        <v>60.0</v>
      </c>
      <c r="BY22" s="2">
        <v>2.0</v>
      </c>
      <c r="BZ22" s="2">
        <v>1.0</v>
      </c>
      <c r="CA22" s="2">
        <v>1.0</v>
      </c>
      <c r="CB22" s="2">
        <v>0.0</v>
      </c>
      <c r="CC22" s="2">
        <v>2.0</v>
      </c>
      <c r="CD22" s="2">
        <v>1.0</v>
      </c>
      <c r="CE22" s="2">
        <v>2.0</v>
      </c>
      <c r="CF22" s="2">
        <v>21.0</v>
      </c>
      <c r="CG22" s="2">
        <v>2.0</v>
      </c>
      <c r="CH22" s="2">
        <v>60.0</v>
      </c>
      <c r="CI22" s="2">
        <v>0.0</v>
      </c>
      <c r="CJ22" s="2">
        <v>0.0</v>
      </c>
      <c r="CK22" s="2">
        <v>0.0</v>
      </c>
      <c r="CL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D22" s="2">
        <v>0.0</v>
      </c>
      <c r="DE22" s="2">
        <v>0.0</v>
      </c>
      <c r="DF22" s="2">
        <v>0.0</v>
      </c>
      <c r="DG22" s="2">
        <v>2.0</v>
      </c>
      <c r="DH22" s="2">
        <v>2.0</v>
      </c>
      <c r="DI22" s="2">
        <v>0.0</v>
      </c>
      <c r="DJ22" s="2">
        <v>0.0</v>
      </c>
      <c r="DK22" s="2">
        <v>1.0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5.0</v>
      </c>
      <c r="DR22" s="2">
        <v>0.0</v>
      </c>
      <c r="DS22" s="2">
        <v>50.0</v>
      </c>
      <c r="DT22" s="2">
        <v>220.0</v>
      </c>
      <c r="DU22" s="2">
        <v>2.0</v>
      </c>
      <c r="DV22" s="2">
        <v>1.0</v>
      </c>
      <c r="DW22" s="2">
        <v>0.0</v>
      </c>
      <c r="DX22" s="2">
        <v>1.0</v>
      </c>
      <c r="DY22" s="2">
        <v>1.0</v>
      </c>
      <c r="DZ22" s="2">
        <v>2.0</v>
      </c>
      <c r="EA22" s="2">
        <v>20.0</v>
      </c>
      <c r="EB22" s="2">
        <v>0.0</v>
      </c>
      <c r="EC22" s="2">
        <v>180.0</v>
      </c>
      <c r="EE22" s="2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2">
        <v>2025.0</v>
      </c>
      <c r="B23" s="2">
        <v>1.0</v>
      </c>
      <c r="C23" s="2" t="s">
        <v>220</v>
      </c>
      <c r="D23" s="2" t="s">
        <v>390</v>
      </c>
      <c r="E23" s="2" t="s">
        <v>404</v>
      </c>
      <c r="F23" s="2" t="s">
        <v>143</v>
      </c>
      <c r="G23" s="2">
        <v>25.0</v>
      </c>
      <c r="H23" s="2">
        <v>34.0</v>
      </c>
      <c r="I23" s="2">
        <v>318.0</v>
      </c>
      <c r="J23" s="2">
        <v>3.0</v>
      </c>
      <c r="K23" s="2">
        <v>0.0</v>
      </c>
      <c r="L23" s="2">
        <v>3.0</v>
      </c>
      <c r="M23" s="2">
        <v>-14.0</v>
      </c>
      <c r="N23" s="2">
        <v>0.0</v>
      </c>
      <c r="O23" s="2">
        <v>0.0</v>
      </c>
      <c r="P23" s="2">
        <v>342.0</v>
      </c>
      <c r="Q23" s="2">
        <v>134.0</v>
      </c>
      <c r="R23" s="2">
        <v>16.0</v>
      </c>
      <c r="S23" s="2">
        <v>17.5672621604546</v>
      </c>
      <c r="T23" s="2">
        <v>5.7887679513763</v>
      </c>
      <c r="U23" s="2">
        <v>0.0</v>
      </c>
      <c r="V23" s="2">
        <v>12.0</v>
      </c>
      <c r="W23" s="2">
        <v>7.0</v>
      </c>
      <c r="X23" s="2">
        <v>4.0</v>
      </c>
      <c r="Y23" s="2">
        <v>0.0</v>
      </c>
      <c r="Z23" s="2">
        <v>25.0</v>
      </c>
      <c r="AA23" s="2">
        <v>90.0</v>
      </c>
      <c r="AB23" s="2">
        <v>0.0</v>
      </c>
      <c r="AC23" s="2">
        <v>0.0</v>
      </c>
      <c r="AD23" s="2">
        <v>0.0</v>
      </c>
      <c r="AE23" s="2">
        <v>6.0</v>
      </c>
      <c r="AF23" s="2">
        <v>-0.231396482329544</v>
      </c>
      <c r="AG23" s="2">
        <v>0.0</v>
      </c>
      <c r="AH23" s="2">
        <v>2.0</v>
      </c>
      <c r="AI23" s="2">
        <v>1.0</v>
      </c>
      <c r="AJ23" s="2">
        <v>0.0</v>
      </c>
      <c r="AK23" s="2">
        <v>0.0</v>
      </c>
      <c r="AL23" s="2">
        <v>25.0</v>
      </c>
      <c r="AM23" s="2">
        <v>34.0</v>
      </c>
      <c r="AN23" s="2">
        <v>318.0</v>
      </c>
      <c r="AO23" s="2">
        <v>3.0</v>
      </c>
      <c r="AP23" s="2">
        <v>1.0</v>
      </c>
      <c r="AQ23" s="2">
        <v>0.0</v>
      </c>
      <c r="AR23" s="2">
        <v>342.0</v>
      </c>
      <c r="AS23" s="2">
        <v>134.0</v>
      </c>
      <c r="AT23" s="2">
        <v>16.0</v>
      </c>
      <c r="AU23" s="2">
        <v>21.6565919762736</v>
      </c>
      <c r="AV23" s="2">
        <v>0.0</v>
      </c>
      <c r="AW23" s="2">
        <v>12.0</v>
      </c>
      <c r="AX23" s="2">
        <v>7.0</v>
      </c>
      <c r="AY23" s="2">
        <v>4.0</v>
      </c>
      <c r="AZ23" s="2">
        <v>0.0</v>
      </c>
      <c r="BA23" s="2">
        <v>0.0</v>
      </c>
      <c r="BB23" s="2">
        <v>36.0</v>
      </c>
      <c r="BC23" s="2">
        <v>0.0</v>
      </c>
      <c r="BD23" s="2">
        <v>24.0</v>
      </c>
      <c r="BE23" s="2">
        <v>3.0</v>
      </c>
      <c r="BF23" s="2">
        <v>10.0</v>
      </c>
      <c r="BG23" s="2">
        <v>0.0</v>
      </c>
      <c r="BH23" s="2">
        <v>2.0</v>
      </c>
      <c r="BI23" s="2">
        <v>9.0</v>
      </c>
      <c r="BJ23" s="2">
        <v>8.0</v>
      </c>
      <c r="BK23" s="2">
        <v>0.0</v>
      </c>
      <c r="BL23" s="2">
        <v>0.0</v>
      </c>
      <c r="BM23" s="2">
        <v>4.0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6.0</v>
      </c>
      <c r="BX23" s="2">
        <v>49.0</v>
      </c>
      <c r="BY23" s="2">
        <v>1.0</v>
      </c>
      <c r="BZ23" s="2">
        <v>1.0</v>
      </c>
      <c r="CA23" s="2">
        <v>0.0</v>
      </c>
      <c r="CB23" s="2">
        <v>1.0</v>
      </c>
      <c r="CC23" s="2">
        <v>1.0</v>
      </c>
      <c r="CD23" s="2">
        <v>0.0</v>
      </c>
      <c r="CE23" s="2">
        <v>0.0</v>
      </c>
      <c r="CF23" s="2">
        <v>0.0</v>
      </c>
      <c r="CG23" s="2">
        <v>3.0</v>
      </c>
      <c r="CH23" s="2">
        <v>67.0</v>
      </c>
      <c r="CI23" s="2">
        <v>2.0</v>
      </c>
      <c r="CJ23" s="2">
        <v>2.0</v>
      </c>
      <c r="CK23" s="2">
        <v>0.0</v>
      </c>
      <c r="CL23" s="2">
        <v>0.0</v>
      </c>
      <c r="CM23" s="2">
        <v>39.0</v>
      </c>
      <c r="CN23" s="2">
        <v>1.0</v>
      </c>
      <c r="CO23" s="2">
        <v>0.0</v>
      </c>
      <c r="CP23" s="2">
        <v>0.0</v>
      </c>
      <c r="CQ23" s="2">
        <v>2.0</v>
      </c>
      <c r="CR23" s="2">
        <v>0.0</v>
      </c>
      <c r="CS23" s="2">
        <v>0.0</v>
      </c>
      <c r="CT23" s="2">
        <v>0.0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 t="s">
        <v>1979</v>
      </c>
      <c r="DD23" s="2">
        <v>75.0</v>
      </c>
      <c r="DE23" s="2">
        <v>0.0</v>
      </c>
      <c r="DF23" s="2">
        <v>0.0</v>
      </c>
      <c r="DG23" s="2">
        <v>3.0</v>
      </c>
      <c r="DH23" s="2">
        <v>3.0</v>
      </c>
      <c r="DI23" s="2">
        <v>0.0</v>
      </c>
      <c r="DJ23" s="2">
        <v>0.0</v>
      </c>
      <c r="DK23" s="2">
        <v>1.0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2.0</v>
      </c>
      <c r="DR23" s="2">
        <v>0.0</v>
      </c>
      <c r="DS23" s="2">
        <v>56.0</v>
      </c>
      <c r="DT23" s="2">
        <v>106.0</v>
      </c>
      <c r="DU23" s="2">
        <v>0.0</v>
      </c>
      <c r="DV23" s="2">
        <v>0.0</v>
      </c>
      <c r="DW23" s="2">
        <v>0.0</v>
      </c>
      <c r="DX23" s="2">
        <v>0.0</v>
      </c>
      <c r="DY23" s="2">
        <v>0.0</v>
      </c>
      <c r="DZ23" s="2">
        <v>2.0</v>
      </c>
      <c r="EA23" s="2">
        <v>7.0</v>
      </c>
      <c r="EB23" s="2">
        <v>0.0</v>
      </c>
      <c r="EC23" s="2">
        <v>99.0</v>
      </c>
      <c r="EE23" s="2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2">
        <v>2025.0</v>
      </c>
      <c r="B24" s="2">
        <v>1.0</v>
      </c>
      <c r="C24" s="2" t="s">
        <v>222</v>
      </c>
      <c r="D24" s="2" t="s">
        <v>390</v>
      </c>
      <c r="E24" s="2" t="s">
        <v>460</v>
      </c>
      <c r="F24" s="2" t="s">
        <v>145</v>
      </c>
      <c r="G24" s="2">
        <v>24.0</v>
      </c>
      <c r="H24" s="2">
        <v>34.0</v>
      </c>
      <c r="I24" s="2">
        <v>362.0</v>
      </c>
      <c r="J24" s="2">
        <v>1.0</v>
      </c>
      <c r="K24" s="2">
        <v>1.0</v>
      </c>
      <c r="L24" s="2">
        <v>4.0</v>
      </c>
      <c r="M24" s="2">
        <v>-29.0</v>
      </c>
      <c r="N24" s="2">
        <v>0.0</v>
      </c>
      <c r="O24" s="2">
        <v>0.0</v>
      </c>
      <c r="P24" s="2">
        <v>350.0</v>
      </c>
      <c r="Q24" s="2">
        <v>140.0</v>
      </c>
      <c r="R24" s="2">
        <v>17.0</v>
      </c>
      <c r="S24" s="2">
        <v>14.9453278145465</v>
      </c>
      <c r="T24" s="2">
        <v>9.62019002798832</v>
      </c>
      <c r="U24" s="2">
        <v>0.0</v>
      </c>
      <c r="V24" s="2">
        <v>13.0</v>
      </c>
      <c r="W24" s="2">
        <v>10.0</v>
      </c>
      <c r="X24" s="2">
        <v>9.0</v>
      </c>
      <c r="Y24" s="2">
        <v>0.0</v>
      </c>
      <c r="Z24" s="2">
        <v>24.0</v>
      </c>
      <c r="AA24" s="2">
        <v>56.0</v>
      </c>
      <c r="AB24" s="2">
        <v>1.0</v>
      </c>
      <c r="AC24" s="2">
        <v>0.0</v>
      </c>
      <c r="AD24" s="2">
        <v>0.0</v>
      </c>
      <c r="AE24" s="2">
        <v>3.0</v>
      </c>
      <c r="AF24" s="2">
        <v>-7.36779768340316</v>
      </c>
      <c r="AG24" s="2">
        <v>0.0</v>
      </c>
      <c r="AH24" s="2">
        <v>1.0</v>
      </c>
      <c r="AI24" s="2">
        <v>0.0</v>
      </c>
      <c r="AJ24" s="2">
        <v>0.0</v>
      </c>
      <c r="AK24" s="2">
        <v>0.0</v>
      </c>
      <c r="AL24" s="2">
        <v>24.0</v>
      </c>
      <c r="AM24" s="2">
        <v>33.0</v>
      </c>
      <c r="AN24" s="2">
        <v>362.0</v>
      </c>
      <c r="AO24" s="2">
        <v>1.0</v>
      </c>
      <c r="AP24" s="2">
        <v>0.0</v>
      </c>
      <c r="AQ24" s="2">
        <v>0.0</v>
      </c>
      <c r="AR24" s="2">
        <v>350.0</v>
      </c>
      <c r="AS24" s="2">
        <v>140.0</v>
      </c>
      <c r="AT24" s="2">
        <v>17.0</v>
      </c>
      <c r="AU24" s="2">
        <v>20.0204929265467</v>
      </c>
      <c r="AV24" s="2">
        <v>0.0</v>
      </c>
      <c r="AW24" s="2">
        <v>13.0</v>
      </c>
      <c r="AX24" s="2">
        <v>10.0</v>
      </c>
      <c r="AY24" s="2">
        <v>9.0</v>
      </c>
      <c r="AZ24" s="2">
        <v>0.0</v>
      </c>
      <c r="BA24" s="2">
        <v>0.0</v>
      </c>
      <c r="BB24" s="2">
        <v>40.0</v>
      </c>
      <c r="BC24" s="2">
        <v>2.0</v>
      </c>
      <c r="BD24" s="2">
        <v>34.0</v>
      </c>
      <c r="BE24" s="2">
        <v>6.0</v>
      </c>
      <c r="BF24" s="2">
        <v>18.0</v>
      </c>
      <c r="BG24" s="2">
        <v>1.0</v>
      </c>
      <c r="BH24" s="2">
        <v>4.0</v>
      </c>
      <c r="BI24" s="2">
        <v>11.0</v>
      </c>
      <c r="BJ24" s="2">
        <v>9.0</v>
      </c>
      <c r="BK24" s="2">
        <v>1.0</v>
      </c>
      <c r="BL24" s="2">
        <v>0.0</v>
      </c>
      <c r="BM24" s="2">
        <v>4.0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9.0</v>
      </c>
      <c r="BX24" s="2">
        <v>77.0</v>
      </c>
      <c r="BY24" s="2">
        <v>5.0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1.0</v>
      </c>
      <c r="CF24" s="2">
        <v>13.0</v>
      </c>
      <c r="CG24" s="2">
        <v>3.0</v>
      </c>
      <c r="CH24" s="2">
        <v>96.0</v>
      </c>
      <c r="CI24" s="2">
        <v>2.0</v>
      </c>
      <c r="CJ24" s="2">
        <v>3.0</v>
      </c>
      <c r="CK24" s="2">
        <v>1.0</v>
      </c>
      <c r="CL24" s="2">
        <v>0.0</v>
      </c>
      <c r="CM24" s="2">
        <v>51.0</v>
      </c>
      <c r="CN24" s="2">
        <v>0.666666666666667</v>
      </c>
      <c r="CO24" s="2">
        <v>0.0</v>
      </c>
      <c r="CP24" s="2">
        <v>0.0</v>
      </c>
      <c r="CQ24" s="2">
        <v>0.0</v>
      </c>
      <c r="CR24" s="2">
        <v>1.0</v>
      </c>
      <c r="CS24" s="2">
        <v>1.0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1.0</v>
      </c>
      <c r="CZ24" s="2">
        <v>0.0</v>
      </c>
      <c r="DA24" s="2" t="s">
        <v>1980</v>
      </c>
      <c r="DB24" s="2" t="s">
        <v>1981</v>
      </c>
      <c r="DD24" s="2">
        <v>91.0</v>
      </c>
      <c r="DE24" s="2">
        <v>58.0</v>
      </c>
      <c r="DF24" s="2">
        <v>0.0</v>
      </c>
      <c r="DG24" s="2">
        <v>2.0</v>
      </c>
      <c r="DH24" s="2">
        <v>2.0</v>
      </c>
      <c r="DI24" s="2">
        <v>0.0</v>
      </c>
      <c r="DJ24" s="2">
        <v>0.0</v>
      </c>
      <c r="DK24" s="2">
        <v>1.0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5.0</v>
      </c>
      <c r="DR24" s="2">
        <v>0.0</v>
      </c>
      <c r="DS24" s="2">
        <v>60.0</v>
      </c>
      <c r="DT24" s="2">
        <v>249.0</v>
      </c>
      <c r="DU24" s="2">
        <v>0.0</v>
      </c>
      <c r="DV24" s="2">
        <v>1.0</v>
      </c>
      <c r="DW24" s="2">
        <v>0.0</v>
      </c>
      <c r="DX24" s="2">
        <v>2.0</v>
      </c>
      <c r="DY24" s="2">
        <v>0.0</v>
      </c>
      <c r="DZ24" s="2">
        <v>2.0</v>
      </c>
      <c r="EA24" s="2">
        <v>16.0</v>
      </c>
      <c r="EB24" s="2">
        <v>0.0</v>
      </c>
      <c r="EC24" s="2">
        <v>193.0</v>
      </c>
      <c r="EE24" s="2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2">
        <v>2025.0</v>
      </c>
      <c r="B25" s="2">
        <v>1.0</v>
      </c>
      <c r="C25" s="2" t="s">
        <v>225</v>
      </c>
      <c r="D25" s="2" t="s">
        <v>390</v>
      </c>
      <c r="E25" s="2" t="s">
        <v>442</v>
      </c>
      <c r="F25" s="2" t="s">
        <v>210</v>
      </c>
      <c r="G25" s="2">
        <v>19.0</v>
      </c>
      <c r="H25" s="2">
        <v>31.0</v>
      </c>
      <c r="I25" s="2">
        <v>146.0</v>
      </c>
      <c r="J25" s="2">
        <v>1.0</v>
      </c>
      <c r="K25" s="2">
        <v>2.0</v>
      </c>
      <c r="L25" s="2">
        <v>3.0</v>
      </c>
      <c r="M25" s="2">
        <v>-13.0</v>
      </c>
      <c r="N25" s="2">
        <v>1.0</v>
      </c>
      <c r="O25" s="2">
        <v>1.0</v>
      </c>
      <c r="P25" s="2">
        <v>234.0</v>
      </c>
      <c r="Q25" s="2">
        <v>79.0</v>
      </c>
      <c r="R25" s="2">
        <v>9.0</v>
      </c>
      <c r="S25" s="2">
        <v>-16.1425692208721</v>
      </c>
      <c r="T25" s="2">
        <v>-6.79955453641953</v>
      </c>
      <c r="U25" s="2">
        <v>1.0</v>
      </c>
      <c r="V25" s="2">
        <v>6.0</v>
      </c>
      <c r="W25" s="2">
        <v>2.0</v>
      </c>
      <c r="X25" s="2">
        <v>1.0</v>
      </c>
      <c r="Y25" s="2">
        <v>0.0</v>
      </c>
      <c r="Z25" s="2">
        <v>12.0</v>
      </c>
      <c r="AA25" s="2">
        <v>78.0</v>
      </c>
      <c r="AB25" s="2">
        <v>0.0</v>
      </c>
      <c r="AC25" s="2">
        <v>0.0</v>
      </c>
      <c r="AD25" s="2">
        <v>0.0</v>
      </c>
      <c r="AE25" s="2">
        <v>3.0</v>
      </c>
      <c r="AF25" s="2">
        <v>4.07183802803047</v>
      </c>
      <c r="AG25" s="2">
        <v>0.0</v>
      </c>
      <c r="AH25" s="2">
        <v>2.0</v>
      </c>
      <c r="AI25" s="2">
        <v>2.0</v>
      </c>
      <c r="AJ25" s="2">
        <v>1.0</v>
      </c>
      <c r="AK25" s="2">
        <v>0.0</v>
      </c>
      <c r="AL25" s="2">
        <v>19.0</v>
      </c>
      <c r="AM25" s="2">
        <v>31.0</v>
      </c>
      <c r="AN25" s="2">
        <v>146.0</v>
      </c>
      <c r="AO25" s="2">
        <v>1.0</v>
      </c>
      <c r="AP25" s="2">
        <v>0.0</v>
      </c>
      <c r="AQ25" s="2">
        <v>0.0</v>
      </c>
      <c r="AR25" s="2">
        <v>234.0</v>
      </c>
      <c r="AS25" s="2">
        <v>79.0</v>
      </c>
      <c r="AT25" s="2">
        <v>9.0</v>
      </c>
      <c r="AU25" s="2">
        <v>-7.43053810288245</v>
      </c>
      <c r="AV25" s="2">
        <v>1.0</v>
      </c>
      <c r="AW25" s="2">
        <v>6.0</v>
      </c>
      <c r="AX25" s="2">
        <v>2.0</v>
      </c>
      <c r="AY25" s="2">
        <v>1.0</v>
      </c>
      <c r="AZ25" s="2">
        <v>0.0</v>
      </c>
      <c r="BA25" s="2">
        <v>0.0</v>
      </c>
      <c r="BB25" s="2">
        <v>44.0</v>
      </c>
      <c r="BC25" s="2">
        <v>3.0</v>
      </c>
      <c r="BD25" s="2">
        <v>35.0</v>
      </c>
      <c r="BE25" s="2">
        <v>4.0</v>
      </c>
      <c r="BF25" s="2">
        <v>17.0</v>
      </c>
      <c r="BG25" s="2">
        <v>0.0</v>
      </c>
      <c r="BH25" s="2">
        <v>1.0</v>
      </c>
      <c r="BI25" s="2">
        <v>10.0</v>
      </c>
      <c r="BJ25" s="2">
        <v>2.0</v>
      </c>
      <c r="BK25" s="2">
        <v>0.0</v>
      </c>
      <c r="BL25" s="2">
        <v>0.0</v>
      </c>
      <c r="BM25" s="2">
        <v>4.0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3.0</v>
      </c>
      <c r="BX25" s="2">
        <v>15.0</v>
      </c>
      <c r="BY25" s="2">
        <v>5.0</v>
      </c>
      <c r="BZ25" s="2">
        <v>1.0</v>
      </c>
      <c r="CA25" s="2">
        <v>0.0</v>
      </c>
      <c r="CB25" s="2">
        <v>0.0</v>
      </c>
      <c r="CC25" s="2">
        <v>1.0</v>
      </c>
      <c r="CD25" s="2">
        <v>1.0</v>
      </c>
      <c r="CE25" s="2">
        <v>0.0</v>
      </c>
      <c r="CF25" s="2">
        <v>0.0</v>
      </c>
      <c r="CG25" s="2">
        <v>7.0</v>
      </c>
      <c r="CH25" s="2">
        <v>169.0</v>
      </c>
      <c r="CI25" s="2">
        <v>0.0</v>
      </c>
      <c r="CJ25" s="2">
        <v>0.0</v>
      </c>
      <c r="CK25" s="2">
        <v>0.0</v>
      </c>
      <c r="CL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1.0</v>
      </c>
      <c r="DR25" s="2">
        <v>0.0</v>
      </c>
      <c r="DS25" s="2">
        <v>42.0</v>
      </c>
      <c r="DT25" s="2">
        <v>42.0</v>
      </c>
      <c r="DU25" s="2">
        <v>1.0</v>
      </c>
      <c r="DV25" s="2">
        <v>0.0</v>
      </c>
      <c r="DW25" s="2">
        <v>0.0</v>
      </c>
      <c r="DX25" s="2">
        <v>0.0</v>
      </c>
      <c r="DY25" s="2">
        <v>1.0</v>
      </c>
      <c r="DZ25" s="2">
        <v>0.0</v>
      </c>
      <c r="EA25" s="2">
        <v>0.0</v>
      </c>
      <c r="EB25" s="2">
        <v>0.0</v>
      </c>
      <c r="EC25" s="2">
        <v>42.0</v>
      </c>
      <c r="EE25" s="2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2">
        <v>2025.0</v>
      </c>
      <c r="B26" s="2">
        <v>1.0</v>
      </c>
      <c r="C26" s="2" t="s">
        <v>144</v>
      </c>
      <c r="D26" s="2" t="s">
        <v>390</v>
      </c>
      <c r="E26" s="2" t="s">
        <v>547</v>
      </c>
      <c r="F26" s="2" t="s">
        <v>137</v>
      </c>
      <c r="G26" s="2">
        <v>13.0</v>
      </c>
      <c r="H26" s="2">
        <v>20.0</v>
      </c>
      <c r="I26" s="2">
        <v>143.0</v>
      </c>
      <c r="J26" s="2">
        <v>2.0</v>
      </c>
      <c r="K26" s="2">
        <v>1.0</v>
      </c>
      <c r="L26" s="2">
        <v>3.0</v>
      </c>
      <c r="M26" s="2">
        <v>-9.0</v>
      </c>
      <c r="N26" s="2">
        <v>0.0</v>
      </c>
      <c r="O26" s="2">
        <v>0.0</v>
      </c>
      <c r="P26" s="2">
        <v>117.0</v>
      </c>
      <c r="Q26" s="2">
        <v>68.0</v>
      </c>
      <c r="R26" s="2">
        <v>5.0</v>
      </c>
      <c r="S26" s="2">
        <v>-9.8162908989945</v>
      </c>
      <c r="T26" s="2">
        <v>-3.26094061136246</v>
      </c>
      <c r="U26" s="2">
        <v>1.0</v>
      </c>
      <c r="V26" s="2">
        <v>6.0</v>
      </c>
      <c r="W26" s="2">
        <v>3.0</v>
      </c>
      <c r="X26" s="2">
        <v>2.0</v>
      </c>
      <c r="Y26" s="2">
        <v>0.0</v>
      </c>
      <c r="Z26" s="2">
        <v>26.0</v>
      </c>
      <c r="AA26" s="2">
        <v>120.0</v>
      </c>
      <c r="AB26" s="2">
        <v>1.0</v>
      </c>
      <c r="AC26" s="2">
        <v>0.0</v>
      </c>
      <c r="AD26" s="2">
        <v>0.0</v>
      </c>
      <c r="AE26" s="2">
        <v>6.0</v>
      </c>
      <c r="AF26" s="2">
        <v>0.795088827202562</v>
      </c>
      <c r="AG26" s="2">
        <v>0.0</v>
      </c>
      <c r="AH26" s="2">
        <v>4.0</v>
      </c>
      <c r="AI26" s="2">
        <v>3.0</v>
      </c>
      <c r="AJ26" s="2">
        <v>0.0</v>
      </c>
      <c r="AK26" s="2">
        <v>0.0</v>
      </c>
      <c r="AL26" s="2">
        <v>13.0</v>
      </c>
      <c r="AM26" s="2">
        <v>20.0</v>
      </c>
      <c r="AN26" s="2">
        <v>143.0</v>
      </c>
      <c r="AO26" s="2">
        <v>2.0</v>
      </c>
      <c r="AP26" s="2">
        <v>0.0</v>
      </c>
      <c r="AQ26" s="2">
        <v>0.0</v>
      </c>
      <c r="AR26" s="2">
        <v>117.0</v>
      </c>
      <c r="AS26" s="2">
        <v>68.0</v>
      </c>
      <c r="AT26" s="2">
        <v>5.0</v>
      </c>
      <c r="AU26" s="2">
        <v>-4.71552129001446</v>
      </c>
      <c r="AV26" s="2">
        <v>1.0</v>
      </c>
      <c r="AW26" s="2">
        <v>6.0</v>
      </c>
      <c r="AX26" s="2">
        <v>3.0</v>
      </c>
      <c r="AY26" s="2">
        <v>2.0</v>
      </c>
      <c r="AZ26" s="2">
        <v>0.0</v>
      </c>
      <c r="BA26" s="2">
        <v>0.0</v>
      </c>
      <c r="BB26" s="2">
        <v>40.0</v>
      </c>
      <c r="BC26" s="2">
        <v>1.0</v>
      </c>
      <c r="BD26" s="2">
        <v>25.0</v>
      </c>
      <c r="BE26" s="2">
        <v>6.0</v>
      </c>
      <c r="BF26" s="2">
        <v>23.0</v>
      </c>
      <c r="BG26" s="2">
        <v>1.0</v>
      </c>
      <c r="BH26" s="2">
        <v>2.0</v>
      </c>
      <c r="BI26" s="2">
        <v>12.0</v>
      </c>
      <c r="BJ26" s="2">
        <v>3.0</v>
      </c>
      <c r="BK26" s="2">
        <v>0.0</v>
      </c>
      <c r="BL26" s="2">
        <v>0.0</v>
      </c>
      <c r="BM26" s="2">
        <v>3.0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1.0</v>
      </c>
      <c r="BU26" s="2">
        <v>0.0</v>
      </c>
      <c r="BV26" s="2">
        <v>0.0</v>
      </c>
      <c r="BW26" s="2">
        <v>8.0</v>
      </c>
      <c r="BX26" s="2">
        <v>50.0</v>
      </c>
      <c r="BY26" s="2">
        <v>5.0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4.0</v>
      </c>
      <c r="CF26" s="2">
        <v>68.0</v>
      </c>
      <c r="CG26" s="2">
        <v>5.0</v>
      </c>
      <c r="CH26" s="2">
        <v>133.0</v>
      </c>
      <c r="CI26" s="2">
        <v>2.0</v>
      </c>
      <c r="CJ26" s="2">
        <v>2.0</v>
      </c>
      <c r="CK26" s="2">
        <v>0.0</v>
      </c>
      <c r="CL26" s="2">
        <v>0.0</v>
      </c>
      <c r="CM26" s="2">
        <v>59.0</v>
      </c>
      <c r="CN26" s="2">
        <v>1.0</v>
      </c>
      <c r="CO26" s="2">
        <v>0.0</v>
      </c>
      <c r="CP26" s="2">
        <v>0.0</v>
      </c>
      <c r="CQ26" s="2">
        <v>1.0</v>
      </c>
      <c r="CR26" s="2">
        <v>0.0</v>
      </c>
      <c r="CS26" s="2">
        <v>1.0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 t="s">
        <v>1982</v>
      </c>
      <c r="DD26" s="2">
        <v>90.0</v>
      </c>
      <c r="DE26" s="2">
        <v>0.0</v>
      </c>
      <c r="DF26" s="2">
        <v>0.0</v>
      </c>
      <c r="DG26" s="2">
        <v>1.0</v>
      </c>
      <c r="DH26" s="2">
        <v>1.0</v>
      </c>
      <c r="DI26" s="2">
        <v>0.0</v>
      </c>
      <c r="DJ26" s="2">
        <v>0.0</v>
      </c>
      <c r="DK26" s="2">
        <v>1.0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7.0</v>
      </c>
      <c r="DR26" s="2">
        <v>0.0</v>
      </c>
      <c r="DS26" s="2">
        <v>54.0</v>
      </c>
      <c r="DT26" s="2">
        <v>333.0</v>
      </c>
      <c r="DU26" s="2">
        <v>0.0</v>
      </c>
      <c r="DV26" s="2">
        <v>1.0</v>
      </c>
      <c r="DW26" s="2">
        <v>0.0</v>
      </c>
      <c r="DX26" s="2">
        <v>0.0</v>
      </c>
      <c r="DY26" s="2">
        <v>2.0</v>
      </c>
      <c r="DZ26" s="2">
        <v>4.0</v>
      </c>
      <c r="EA26" s="2">
        <v>37.0</v>
      </c>
      <c r="EB26" s="2">
        <v>0.0</v>
      </c>
      <c r="EC26" s="2">
        <v>296.0</v>
      </c>
      <c r="EE26" s="2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2">
        <v>2025.0</v>
      </c>
      <c r="B27" s="2">
        <v>1.0</v>
      </c>
      <c r="C27" s="2" t="s">
        <v>145</v>
      </c>
      <c r="D27" s="2" t="s">
        <v>390</v>
      </c>
      <c r="E27" s="2" t="s">
        <v>460</v>
      </c>
      <c r="F27" s="2" t="s">
        <v>222</v>
      </c>
      <c r="G27" s="2">
        <v>30.0</v>
      </c>
      <c r="H27" s="2">
        <v>46.0</v>
      </c>
      <c r="I27" s="2">
        <v>287.0</v>
      </c>
      <c r="J27" s="2">
        <v>1.0</v>
      </c>
      <c r="K27" s="2">
        <v>1.0</v>
      </c>
      <c r="L27" s="2">
        <v>4.0</v>
      </c>
      <c r="M27" s="2">
        <v>-11.0</v>
      </c>
      <c r="N27" s="2">
        <v>1.0</v>
      </c>
      <c r="O27" s="2">
        <v>0.0</v>
      </c>
      <c r="P27" s="2">
        <v>353.0</v>
      </c>
      <c r="Q27" s="2">
        <v>114.0</v>
      </c>
      <c r="R27" s="2">
        <v>15.0</v>
      </c>
      <c r="S27" s="2">
        <v>-0.325632442913947</v>
      </c>
      <c r="T27" s="2">
        <v>2.38844487402174</v>
      </c>
      <c r="U27" s="2">
        <v>0.0</v>
      </c>
      <c r="V27" s="2">
        <v>15.0</v>
      </c>
      <c r="W27" s="2">
        <v>6.0</v>
      </c>
      <c r="X27" s="2">
        <v>3.0</v>
      </c>
      <c r="Y27" s="2">
        <v>0.0</v>
      </c>
      <c r="Z27" s="2">
        <v>18.0</v>
      </c>
      <c r="AA27" s="2">
        <v>60.0</v>
      </c>
      <c r="AB27" s="2">
        <v>0.0</v>
      </c>
      <c r="AC27" s="2">
        <v>0.0</v>
      </c>
      <c r="AD27" s="2">
        <v>0.0</v>
      </c>
      <c r="AE27" s="2">
        <v>2.0</v>
      </c>
      <c r="AF27" s="2">
        <v>-4.16751966963056</v>
      </c>
      <c r="AG27" s="2">
        <v>0.0</v>
      </c>
      <c r="AH27" s="2">
        <v>1.0</v>
      </c>
      <c r="AI27" s="2">
        <v>1.0</v>
      </c>
      <c r="AJ27" s="2">
        <v>0.0</v>
      </c>
      <c r="AK27" s="2">
        <v>0.0</v>
      </c>
      <c r="AL27" s="2">
        <v>30.0</v>
      </c>
      <c r="AM27" s="2">
        <v>45.0</v>
      </c>
      <c r="AN27" s="2">
        <v>287.0</v>
      </c>
      <c r="AO27" s="2">
        <v>1.0</v>
      </c>
      <c r="AP27" s="2">
        <v>0.0</v>
      </c>
      <c r="AQ27" s="2">
        <v>0.0</v>
      </c>
      <c r="AR27" s="2">
        <v>353.0</v>
      </c>
      <c r="AS27" s="2">
        <v>114.0</v>
      </c>
      <c r="AT27" s="2">
        <v>15.0</v>
      </c>
      <c r="AU27" s="2">
        <v>5.51851919216177</v>
      </c>
      <c r="AV27" s="2">
        <v>0.0</v>
      </c>
      <c r="AW27" s="2">
        <v>15.0</v>
      </c>
      <c r="AX27" s="2">
        <v>6.0</v>
      </c>
      <c r="AY27" s="2">
        <v>3.0</v>
      </c>
      <c r="AZ27" s="2">
        <v>0.0</v>
      </c>
      <c r="BA27" s="2">
        <v>0.0</v>
      </c>
      <c r="BB27" s="2">
        <v>35.0</v>
      </c>
      <c r="BC27" s="2">
        <v>6.0</v>
      </c>
      <c r="BD27" s="2">
        <v>30.0</v>
      </c>
      <c r="BE27" s="2">
        <v>10.0</v>
      </c>
      <c r="BF27" s="2">
        <v>30.0</v>
      </c>
      <c r="BG27" s="2">
        <v>0.0</v>
      </c>
      <c r="BH27" s="2">
        <v>4.0</v>
      </c>
      <c r="BI27" s="2">
        <v>29.0</v>
      </c>
      <c r="BJ27" s="2">
        <v>9.0</v>
      </c>
      <c r="BK27" s="2">
        <v>1.0</v>
      </c>
      <c r="BL27" s="2">
        <v>1.0</v>
      </c>
      <c r="BM27" s="2">
        <v>5.0</v>
      </c>
      <c r="BN27" s="2">
        <v>0.0</v>
      </c>
      <c r="BO27" s="2">
        <v>0.0</v>
      </c>
      <c r="BP27" s="2">
        <v>0.0</v>
      </c>
      <c r="BQ27" s="2">
        <v>0.0</v>
      </c>
      <c r="BR27" s="2">
        <v>1.0</v>
      </c>
      <c r="BS27" s="2">
        <v>0.0</v>
      </c>
      <c r="BT27" s="2">
        <v>0.0</v>
      </c>
      <c r="BU27" s="2">
        <v>0.0</v>
      </c>
      <c r="BV27" s="2">
        <v>0.0</v>
      </c>
      <c r="BW27" s="2">
        <v>8.0</v>
      </c>
      <c r="BX27" s="2">
        <v>70.0</v>
      </c>
      <c r="BY27" s="2">
        <v>5.0</v>
      </c>
      <c r="BZ27" s="2">
        <v>1.0</v>
      </c>
      <c r="CA27" s="2">
        <v>0.0</v>
      </c>
      <c r="CB27" s="2">
        <v>0.0</v>
      </c>
      <c r="CC27" s="2">
        <v>1.0</v>
      </c>
      <c r="CD27" s="2">
        <v>0.0</v>
      </c>
      <c r="CE27" s="2">
        <v>2.0</v>
      </c>
      <c r="CF27" s="2">
        <v>16.0</v>
      </c>
      <c r="CG27" s="2">
        <v>4.0</v>
      </c>
      <c r="CH27" s="2">
        <v>111.0</v>
      </c>
      <c r="CI27" s="2">
        <v>2.0</v>
      </c>
      <c r="CJ27" s="2">
        <v>3.0</v>
      </c>
      <c r="CK27" s="2">
        <v>1.0</v>
      </c>
      <c r="CL27" s="2">
        <v>0.0</v>
      </c>
      <c r="CM27" s="2">
        <v>44.0</v>
      </c>
      <c r="CN27" s="2">
        <v>0.666666666666667</v>
      </c>
      <c r="CO27" s="2">
        <v>0.0</v>
      </c>
      <c r="CP27" s="2">
        <v>0.0</v>
      </c>
      <c r="CQ27" s="2">
        <v>1.0</v>
      </c>
      <c r="CR27" s="2">
        <v>1.0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1.0</v>
      </c>
      <c r="CY27" s="2">
        <v>0.0</v>
      </c>
      <c r="CZ27" s="2">
        <v>0.0</v>
      </c>
      <c r="DA27" s="2" t="s">
        <v>1983</v>
      </c>
      <c r="DB27" s="2" t="s">
        <v>1984</v>
      </c>
      <c r="DD27" s="2">
        <v>79.0</v>
      </c>
      <c r="DE27" s="2">
        <v>40.0</v>
      </c>
      <c r="DF27" s="2">
        <v>0.0</v>
      </c>
      <c r="DG27" s="2">
        <v>1.0</v>
      </c>
      <c r="DH27" s="2">
        <v>1.0</v>
      </c>
      <c r="DI27" s="2">
        <v>0.0</v>
      </c>
      <c r="DJ27" s="2">
        <v>0.0</v>
      </c>
      <c r="DK27" s="2">
        <v>1.0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6.0</v>
      </c>
      <c r="DR27" s="2">
        <v>0.0</v>
      </c>
      <c r="DS27" s="2">
        <v>59.0</v>
      </c>
      <c r="DT27" s="2">
        <v>244.0</v>
      </c>
      <c r="DU27" s="2">
        <v>2.0</v>
      </c>
      <c r="DV27" s="2">
        <v>2.0</v>
      </c>
      <c r="DW27" s="2">
        <v>1.0</v>
      </c>
      <c r="DX27" s="2">
        <v>0.0</v>
      </c>
      <c r="DY27" s="2">
        <v>2.0</v>
      </c>
      <c r="DZ27" s="2">
        <v>1.0</v>
      </c>
      <c r="EA27" s="2">
        <v>13.0</v>
      </c>
      <c r="EB27" s="2">
        <v>0.0</v>
      </c>
      <c r="EC27" s="2">
        <v>231.0</v>
      </c>
      <c r="EE27" s="2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2">
        <v>2025.0</v>
      </c>
      <c r="B28" s="2">
        <v>1.0</v>
      </c>
      <c r="C28" s="2" t="s">
        <v>232</v>
      </c>
      <c r="D28" s="2" t="s">
        <v>390</v>
      </c>
      <c r="E28" s="2" t="s">
        <v>469</v>
      </c>
      <c r="F28" s="2" t="s">
        <v>178</v>
      </c>
      <c r="G28" s="2">
        <v>27.0</v>
      </c>
      <c r="H28" s="2">
        <v>46.0</v>
      </c>
      <c r="I28" s="2">
        <v>214.0</v>
      </c>
      <c r="J28" s="2">
        <v>0.0</v>
      </c>
      <c r="K28" s="2">
        <v>0.0</v>
      </c>
      <c r="L28" s="2">
        <v>1.0</v>
      </c>
      <c r="M28" s="2">
        <v>-6.0</v>
      </c>
      <c r="N28" s="2">
        <v>0.0</v>
      </c>
      <c r="O28" s="2">
        <v>0.0</v>
      </c>
      <c r="P28" s="2">
        <v>336.0</v>
      </c>
      <c r="Q28" s="2">
        <v>85.0</v>
      </c>
      <c r="R28" s="2">
        <v>12.0</v>
      </c>
      <c r="S28" s="2">
        <v>-3.94086112529551</v>
      </c>
      <c r="T28" s="2">
        <v>-4.95850283925126</v>
      </c>
      <c r="U28" s="2">
        <v>0.0</v>
      </c>
      <c r="V28" s="2">
        <v>9.0</v>
      </c>
      <c r="W28" s="2">
        <v>2.0</v>
      </c>
      <c r="X28" s="2">
        <v>1.0</v>
      </c>
      <c r="Y28" s="2">
        <v>0.0</v>
      </c>
      <c r="Z28" s="2">
        <v>22.0</v>
      </c>
      <c r="AA28" s="2">
        <v>107.0</v>
      </c>
      <c r="AB28" s="2">
        <v>1.0</v>
      </c>
      <c r="AC28" s="2">
        <v>0.0</v>
      </c>
      <c r="AD28" s="2">
        <v>0.0</v>
      </c>
      <c r="AE28" s="2">
        <v>5.0</v>
      </c>
      <c r="AF28" s="2">
        <v>0.802369574113982</v>
      </c>
      <c r="AG28" s="2">
        <v>0.0</v>
      </c>
      <c r="AH28" s="2">
        <v>3.0</v>
      </c>
      <c r="AI28" s="2">
        <v>2.0</v>
      </c>
      <c r="AJ28" s="2">
        <v>0.0</v>
      </c>
      <c r="AK28" s="2">
        <v>0.0</v>
      </c>
      <c r="AL28" s="2">
        <v>27.0</v>
      </c>
      <c r="AM28" s="2">
        <v>41.0</v>
      </c>
      <c r="AN28" s="2">
        <v>214.0</v>
      </c>
      <c r="AO28" s="2">
        <v>0.0</v>
      </c>
      <c r="AP28" s="2">
        <v>0.0</v>
      </c>
      <c r="AQ28" s="2">
        <v>0.0</v>
      </c>
      <c r="AR28" s="2">
        <v>336.0</v>
      </c>
      <c r="AS28" s="2">
        <v>85.0</v>
      </c>
      <c r="AT28" s="2">
        <v>12.0</v>
      </c>
      <c r="AU28" s="2">
        <v>2.36205059698038</v>
      </c>
      <c r="AV28" s="2">
        <v>0.0</v>
      </c>
      <c r="AW28" s="2">
        <v>9.0</v>
      </c>
      <c r="AX28" s="2">
        <v>2.0</v>
      </c>
      <c r="AY28" s="2">
        <v>1.0</v>
      </c>
      <c r="AZ28" s="2">
        <v>0.0</v>
      </c>
      <c r="BA28" s="2">
        <v>0.0</v>
      </c>
      <c r="BB28" s="2">
        <v>42.0</v>
      </c>
      <c r="BC28" s="2">
        <v>1.0</v>
      </c>
      <c r="BD28" s="2">
        <v>27.0</v>
      </c>
      <c r="BE28" s="2">
        <v>7.0</v>
      </c>
      <c r="BF28" s="2">
        <v>36.0</v>
      </c>
      <c r="BG28" s="2">
        <v>0.0</v>
      </c>
      <c r="BH28" s="2">
        <v>5.0</v>
      </c>
      <c r="BI28" s="2">
        <v>33.0</v>
      </c>
      <c r="BJ28" s="2">
        <v>5.0</v>
      </c>
      <c r="BK28" s="2">
        <v>0.0</v>
      </c>
      <c r="BL28" s="2">
        <v>0.0</v>
      </c>
      <c r="BM28" s="2">
        <v>5.0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13.0</v>
      </c>
      <c r="BX28" s="2">
        <v>89.0</v>
      </c>
      <c r="BY28" s="2">
        <v>3.0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2.0</v>
      </c>
      <c r="CF28" s="2">
        <v>18.0</v>
      </c>
      <c r="CG28" s="2">
        <v>5.0</v>
      </c>
      <c r="CH28" s="2">
        <v>128.0</v>
      </c>
      <c r="CI28" s="2">
        <v>2.0</v>
      </c>
      <c r="CJ28" s="2">
        <v>3.0</v>
      </c>
      <c r="CK28" s="2">
        <v>1.0</v>
      </c>
      <c r="CL28" s="2">
        <v>0.0</v>
      </c>
      <c r="CM28" s="2">
        <v>36.0</v>
      </c>
      <c r="CN28" s="2">
        <v>0.666666666666667</v>
      </c>
      <c r="CO28" s="2">
        <v>0.0</v>
      </c>
      <c r="CP28" s="2">
        <v>1.0</v>
      </c>
      <c r="CQ28" s="2">
        <v>1.0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1.0</v>
      </c>
      <c r="CX28" s="2">
        <v>0.0</v>
      </c>
      <c r="CY28" s="2">
        <v>0.0</v>
      </c>
      <c r="CZ28" s="2">
        <v>0.0</v>
      </c>
      <c r="DA28" s="2" t="s">
        <v>1985</v>
      </c>
      <c r="DB28" s="2" t="s">
        <v>1986</v>
      </c>
      <c r="DD28" s="2">
        <v>64.0</v>
      </c>
      <c r="DE28" s="2">
        <v>37.0</v>
      </c>
      <c r="DF28" s="2">
        <v>0.0</v>
      </c>
      <c r="DG28" s="2">
        <v>1.0</v>
      </c>
      <c r="DH28" s="2">
        <v>1.0</v>
      </c>
      <c r="DI28" s="2">
        <v>0.0</v>
      </c>
      <c r="DJ28" s="2">
        <v>0.0</v>
      </c>
      <c r="DK28" s="2">
        <v>1.0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4.0</v>
      </c>
      <c r="DR28" s="2">
        <v>0.0</v>
      </c>
      <c r="DS28" s="2">
        <v>54.0</v>
      </c>
      <c r="DT28" s="2">
        <v>202.0</v>
      </c>
      <c r="DU28" s="2">
        <v>2.0</v>
      </c>
      <c r="DV28" s="2">
        <v>0.0</v>
      </c>
      <c r="DW28" s="2">
        <v>0.0</v>
      </c>
      <c r="DX28" s="2">
        <v>0.0</v>
      </c>
      <c r="DY28" s="2">
        <v>1.0</v>
      </c>
      <c r="DZ28" s="2">
        <v>3.0</v>
      </c>
      <c r="EA28" s="2">
        <v>30.0</v>
      </c>
      <c r="EB28" s="2">
        <v>0.0</v>
      </c>
      <c r="EC28" s="2">
        <v>172.0</v>
      </c>
      <c r="EE28" s="2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2">
        <v>2025.0</v>
      </c>
      <c r="B29" s="2">
        <v>1.0</v>
      </c>
      <c r="C29" s="2" t="s">
        <v>235</v>
      </c>
      <c r="D29" s="2" t="s">
        <v>390</v>
      </c>
      <c r="E29" s="2" t="s">
        <v>490</v>
      </c>
      <c r="F29" s="2" t="s">
        <v>253</v>
      </c>
      <c r="G29" s="2">
        <v>17.0</v>
      </c>
      <c r="H29" s="2">
        <v>37.0</v>
      </c>
      <c r="I29" s="2">
        <v>168.0</v>
      </c>
      <c r="J29" s="2">
        <v>0.0</v>
      </c>
      <c r="K29" s="2">
        <v>0.0</v>
      </c>
      <c r="L29" s="2">
        <v>2.0</v>
      </c>
      <c r="M29" s="2">
        <v>-11.0</v>
      </c>
      <c r="N29" s="2">
        <v>0.0</v>
      </c>
      <c r="O29" s="2">
        <v>0.0</v>
      </c>
      <c r="P29" s="2">
        <v>226.0</v>
      </c>
      <c r="Q29" s="2">
        <v>84.0</v>
      </c>
      <c r="R29" s="2">
        <v>9.0</v>
      </c>
      <c r="S29" s="2">
        <v>-11.39383654078</v>
      </c>
      <c r="T29" s="2">
        <v>-13.4579011239111</v>
      </c>
      <c r="U29" s="2">
        <v>0.0</v>
      </c>
      <c r="V29" s="2">
        <v>7.0</v>
      </c>
      <c r="W29" s="2">
        <v>4.0</v>
      </c>
      <c r="X29" s="2">
        <v>3.0</v>
      </c>
      <c r="Y29" s="2">
        <v>0.0</v>
      </c>
      <c r="Z29" s="2">
        <v>23.0</v>
      </c>
      <c r="AA29" s="2">
        <v>74.0</v>
      </c>
      <c r="AB29" s="2">
        <v>0.0</v>
      </c>
      <c r="AC29" s="2">
        <v>1.0</v>
      </c>
      <c r="AD29" s="2">
        <v>0.0</v>
      </c>
      <c r="AE29" s="2">
        <v>4.0</v>
      </c>
      <c r="AF29" s="2">
        <v>-3.55586418003077</v>
      </c>
      <c r="AG29" s="2">
        <v>0.0</v>
      </c>
      <c r="AH29" s="2">
        <v>1.0</v>
      </c>
      <c r="AI29" s="2">
        <v>1.0</v>
      </c>
      <c r="AJ29" s="2">
        <v>0.0</v>
      </c>
      <c r="AK29" s="2">
        <v>0.0</v>
      </c>
      <c r="AL29" s="2">
        <v>17.0</v>
      </c>
      <c r="AM29" s="2">
        <v>32.0</v>
      </c>
      <c r="AN29" s="2">
        <v>168.0</v>
      </c>
      <c r="AO29" s="2">
        <v>0.0</v>
      </c>
      <c r="AP29" s="2">
        <v>0.0</v>
      </c>
      <c r="AQ29" s="2">
        <v>0.0</v>
      </c>
      <c r="AR29" s="2">
        <v>226.0</v>
      </c>
      <c r="AS29" s="2">
        <v>84.0</v>
      </c>
      <c r="AT29" s="2">
        <v>9.0</v>
      </c>
      <c r="AU29" s="2">
        <v>-4.41455702115824</v>
      </c>
      <c r="AV29" s="2">
        <v>0.0</v>
      </c>
      <c r="AW29" s="2">
        <v>7.0</v>
      </c>
      <c r="AX29" s="2">
        <v>4.0</v>
      </c>
      <c r="AY29" s="2">
        <v>3.0</v>
      </c>
      <c r="AZ29" s="2">
        <v>0.0</v>
      </c>
      <c r="BA29" s="2">
        <v>0.0</v>
      </c>
      <c r="BB29" s="2">
        <v>31.0</v>
      </c>
      <c r="BC29" s="2">
        <v>1.0</v>
      </c>
      <c r="BD29" s="2">
        <v>39.0</v>
      </c>
      <c r="BE29" s="2">
        <v>3.0</v>
      </c>
      <c r="BF29" s="2">
        <v>14.0</v>
      </c>
      <c r="BG29" s="2">
        <v>0.0</v>
      </c>
      <c r="BH29" s="2">
        <v>3.0</v>
      </c>
      <c r="BI29" s="2">
        <v>21.0</v>
      </c>
      <c r="BJ29" s="2">
        <v>5.0</v>
      </c>
      <c r="BK29" s="2">
        <v>0.0</v>
      </c>
      <c r="BL29" s="2">
        <v>0.0</v>
      </c>
      <c r="BM29" s="2">
        <v>3.0</v>
      </c>
      <c r="BN29" s="2">
        <v>0.0</v>
      </c>
      <c r="BO29" s="2">
        <v>0.0</v>
      </c>
      <c r="BP29" s="2">
        <v>0.0</v>
      </c>
      <c r="BQ29" s="2">
        <v>0.0</v>
      </c>
      <c r="BR29" s="2">
        <v>1.0</v>
      </c>
      <c r="BS29" s="2">
        <v>0.0</v>
      </c>
      <c r="BT29" s="2">
        <v>0.0</v>
      </c>
      <c r="BU29" s="2">
        <v>0.0</v>
      </c>
      <c r="BV29" s="2">
        <v>0.0</v>
      </c>
      <c r="BW29" s="2">
        <v>6.0</v>
      </c>
      <c r="BX29" s="2">
        <v>35.0</v>
      </c>
      <c r="BY29" s="2">
        <v>5.0</v>
      </c>
      <c r="BZ29" s="2">
        <v>1.0</v>
      </c>
      <c r="CA29" s="2">
        <v>0.0</v>
      </c>
      <c r="CB29" s="2">
        <v>0.0</v>
      </c>
      <c r="CC29" s="2">
        <v>1.0</v>
      </c>
      <c r="CD29" s="2">
        <v>0.0</v>
      </c>
      <c r="CE29" s="2">
        <v>3.0</v>
      </c>
      <c r="CF29" s="2">
        <v>24.0</v>
      </c>
      <c r="CG29" s="2">
        <v>2.0</v>
      </c>
      <c r="CH29" s="2">
        <v>41.0</v>
      </c>
      <c r="CI29" s="2">
        <v>2.0</v>
      </c>
      <c r="CJ29" s="2">
        <v>2.0</v>
      </c>
      <c r="CK29" s="2">
        <v>0.0</v>
      </c>
      <c r="CL29" s="2">
        <v>0.0</v>
      </c>
      <c r="CM29" s="2">
        <v>55.0</v>
      </c>
      <c r="CN29" s="2">
        <v>1.0</v>
      </c>
      <c r="CO29" s="2">
        <v>0.0</v>
      </c>
      <c r="CP29" s="2">
        <v>1.0</v>
      </c>
      <c r="CQ29" s="2">
        <v>0.0</v>
      </c>
      <c r="CR29" s="2">
        <v>0.0</v>
      </c>
      <c r="CS29" s="2">
        <v>1.0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 t="s">
        <v>1987</v>
      </c>
      <c r="DD29" s="2">
        <v>76.0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6.0</v>
      </c>
      <c r="DR29" s="2">
        <v>0.0</v>
      </c>
      <c r="DS29" s="2">
        <v>65.0</v>
      </c>
      <c r="DT29" s="2">
        <v>287.0</v>
      </c>
      <c r="DU29" s="2">
        <v>0.0</v>
      </c>
      <c r="DV29" s="2">
        <v>0.0</v>
      </c>
      <c r="DW29" s="2">
        <v>0.0</v>
      </c>
      <c r="DX29" s="2">
        <v>2.0</v>
      </c>
      <c r="DY29" s="2">
        <v>2.0</v>
      </c>
      <c r="DZ29" s="2">
        <v>2.0</v>
      </c>
      <c r="EA29" s="2">
        <v>0.0</v>
      </c>
      <c r="EB29" s="2">
        <v>0.0</v>
      </c>
      <c r="EC29" s="2">
        <v>247.0</v>
      </c>
      <c r="EE29" s="2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2">
        <v>2025.0</v>
      </c>
      <c r="B30" s="2">
        <v>1.0</v>
      </c>
      <c r="C30" s="2" t="s">
        <v>238</v>
      </c>
      <c r="D30" s="2" t="s">
        <v>390</v>
      </c>
      <c r="E30" s="2" t="s">
        <v>480</v>
      </c>
      <c r="F30" s="2" t="s">
        <v>242</v>
      </c>
      <c r="G30" s="2">
        <v>16.0</v>
      </c>
      <c r="H30" s="2">
        <v>22.0</v>
      </c>
      <c r="I30" s="2">
        <v>218.0</v>
      </c>
      <c r="J30" s="2">
        <v>1.0</v>
      </c>
      <c r="K30" s="2">
        <v>0.0</v>
      </c>
      <c r="L30" s="2">
        <v>1.0</v>
      </c>
      <c r="M30" s="2">
        <v>-6.0</v>
      </c>
      <c r="N30" s="2">
        <v>0.0</v>
      </c>
      <c r="O30" s="2">
        <v>0.0</v>
      </c>
      <c r="P30" s="2">
        <v>169.0</v>
      </c>
      <c r="Q30" s="2">
        <v>76.0</v>
      </c>
      <c r="R30" s="2">
        <v>9.0</v>
      </c>
      <c r="S30" s="2">
        <v>10.0539382236458</v>
      </c>
      <c r="T30" s="2">
        <v>10.3964033580962</v>
      </c>
      <c r="U30" s="2">
        <v>0.0</v>
      </c>
      <c r="V30" s="2">
        <v>8.0</v>
      </c>
      <c r="W30" s="2">
        <v>5.0</v>
      </c>
      <c r="X30" s="2">
        <v>5.0</v>
      </c>
      <c r="Y30" s="2">
        <v>0.0</v>
      </c>
      <c r="Z30" s="2">
        <v>39.0</v>
      </c>
      <c r="AA30" s="2">
        <v>182.0</v>
      </c>
      <c r="AB30" s="2">
        <v>3.0</v>
      </c>
      <c r="AC30" s="2">
        <v>0.0</v>
      </c>
      <c r="AD30" s="2">
        <v>0.0</v>
      </c>
      <c r="AE30" s="2">
        <v>13.0</v>
      </c>
      <c r="AF30" s="2">
        <v>3.51246900028181</v>
      </c>
      <c r="AG30" s="2">
        <v>0.0</v>
      </c>
      <c r="AH30" s="2">
        <v>6.0</v>
      </c>
      <c r="AI30" s="2">
        <v>6.0</v>
      </c>
      <c r="AJ30" s="2">
        <v>0.0</v>
      </c>
      <c r="AK30" s="2">
        <v>0.0</v>
      </c>
      <c r="AL30" s="2">
        <v>16.0</v>
      </c>
      <c r="AM30" s="2">
        <v>21.0</v>
      </c>
      <c r="AN30" s="2">
        <v>218.0</v>
      </c>
      <c r="AO30" s="2">
        <v>1.0</v>
      </c>
      <c r="AP30" s="2">
        <v>0.0</v>
      </c>
      <c r="AQ30" s="2">
        <v>0.0</v>
      </c>
      <c r="AR30" s="2">
        <v>169.0</v>
      </c>
      <c r="AS30" s="2">
        <v>76.0</v>
      </c>
      <c r="AT30" s="2">
        <v>9.0</v>
      </c>
      <c r="AU30" s="2">
        <v>12.3841967562768</v>
      </c>
      <c r="AV30" s="2">
        <v>0.0</v>
      </c>
      <c r="AW30" s="2">
        <v>8.0</v>
      </c>
      <c r="AX30" s="2">
        <v>5.0</v>
      </c>
      <c r="AY30" s="2">
        <v>5.0</v>
      </c>
      <c r="AZ30" s="2">
        <v>0.0</v>
      </c>
      <c r="BA30" s="2">
        <v>0.0</v>
      </c>
      <c r="BB30" s="2">
        <v>33.0</v>
      </c>
      <c r="BC30" s="2">
        <v>0.0</v>
      </c>
      <c r="BD30" s="2">
        <v>30.0</v>
      </c>
      <c r="BE30" s="2">
        <v>7.0</v>
      </c>
      <c r="BF30" s="2">
        <v>34.0</v>
      </c>
      <c r="BG30" s="2">
        <v>2.0</v>
      </c>
      <c r="BH30" s="2">
        <v>4.0</v>
      </c>
      <c r="BI30" s="2">
        <v>26.0</v>
      </c>
      <c r="BJ30" s="2">
        <v>7.0</v>
      </c>
      <c r="BK30" s="2">
        <v>0.0</v>
      </c>
      <c r="BL30" s="2">
        <v>0.0</v>
      </c>
      <c r="BM30" s="2">
        <v>4.0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7.0</v>
      </c>
      <c r="BX30" s="2">
        <v>74.0</v>
      </c>
      <c r="BY30" s="2">
        <v>4.0</v>
      </c>
      <c r="BZ30" s="2">
        <v>1.0</v>
      </c>
      <c r="CA30" s="2">
        <v>0.0</v>
      </c>
      <c r="CB30" s="2">
        <v>0.0</v>
      </c>
      <c r="CC30" s="2">
        <v>1.0</v>
      </c>
      <c r="CD30" s="2">
        <v>1.0</v>
      </c>
      <c r="CE30" s="2">
        <v>2.0</v>
      </c>
      <c r="CF30" s="2">
        <v>19.0</v>
      </c>
      <c r="CG30" s="2">
        <v>7.0</v>
      </c>
      <c r="CH30" s="2">
        <v>206.0</v>
      </c>
      <c r="CI30" s="2">
        <v>2.0</v>
      </c>
      <c r="CJ30" s="2">
        <v>2.0</v>
      </c>
      <c r="CK30" s="2">
        <v>0.0</v>
      </c>
      <c r="CL30" s="2">
        <v>0.0</v>
      </c>
      <c r="CM30" s="2">
        <v>51.0</v>
      </c>
      <c r="CN30" s="2">
        <v>1.0</v>
      </c>
      <c r="CO30" s="2">
        <v>0.0</v>
      </c>
      <c r="CP30" s="2">
        <v>0.0</v>
      </c>
      <c r="CQ30" s="2">
        <v>1.0</v>
      </c>
      <c r="CR30" s="2">
        <v>0.0</v>
      </c>
      <c r="CS30" s="2">
        <v>1.0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 t="s">
        <v>1988</v>
      </c>
      <c r="DD30" s="2">
        <v>86.0</v>
      </c>
      <c r="DE30" s="2">
        <v>0.0</v>
      </c>
      <c r="DF30" s="2">
        <v>0.0</v>
      </c>
      <c r="DG30" s="2">
        <v>2.0</v>
      </c>
      <c r="DH30" s="2">
        <v>2.0</v>
      </c>
      <c r="DI30" s="2">
        <v>0.0</v>
      </c>
      <c r="DJ30" s="2">
        <v>0.0</v>
      </c>
      <c r="DK30" s="2">
        <v>1.0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2.0</v>
      </c>
      <c r="DR30" s="2">
        <v>0.0</v>
      </c>
      <c r="DS30" s="2">
        <v>55.0</v>
      </c>
      <c r="DT30" s="2">
        <v>94.0</v>
      </c>
      <c r="DU30" s="2">
        <v>1.0</v>
      </c>
      <c r="DV30" s="2">
        <v>0.0</v>
      </c>
      <c r="DW30" s="2">
        <v>1.0</v>
      </c>
      <c r="DX30" s="2">
        <v>0.0</v>
      </c>
      <c r="DY30" s="2">
        <v>1.0</v>
      </c>
      <c r="DZ30" s="2">
        <v>0.0</v>
      </c>
      <c r="EA30" s="2">
        <v>0.0</v>
      </c>
      <c r="EB30" s="2">
        <v>0.0</v>
      </c>
      <c r="EC30" s="2">
        <v>94.0</v>
      </c>
      <c r="EE30" s="2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2">
        <v>2025.0</v>
      </c>
      <c r="B31" s="2">
        <v>1.0</v>
      </c>
      <c r="C31" s="2" t="s">
        <v>147</v>
      </c>
      <c r="D31" s="2" t="s">
        <v>390</v>
      </c>
      <c r="E31" s="2" t="s">
        <v>389</v>
      </c>
      <c r="F31" s="2" t="s">
        <v>146</v>
      </c>
      <c r="G31" s="2">
        <v>19.0</v>
      </c>
      <c r="H31" s="2">
        <v>23.0</v>
      </c>
      <c r="I31" s="2">
        <v>152.0</v>
      </c>
      <c r="J31" s="2">
        <v>0.0</v>
      </c>
      <c r="K31" s="2">
        <v>0.0</v>
      </c>
      <c r="L31" s="2">
        <v>1.0</v>
      </c>
      <c r="M31" s="2">
        <v>-8.0</v>
      </c>
      <c r="N31" s="2">
        <v>0.0</v>
      </c>
      <c r="O31" s="2">
        <v>0.0</v>
      </c>
      <c r="P31" s="2">
        <v>112.0</v>
      </c>
      <c r="Q31" s="2">
        <v>61.0</v>
      </c>
      <c r="R31" s="2">
        <v>6.0</v>
      </c>
      <c r="S31" s="2">
        <v>1.59075203601721</v>
      </c>
      <c r="T31" s="2">
        <v>21.8063087761402</v>
      </c>
      <c r="U31" s="2">
        <v>0.0</v>
      </c>
      <c r="V31" s="2">
        <v>1.0</v>
      </c>
      <c r="W31" s="2">
        <v>1.0</v>
      </c>
      <c r="X31" s="2">
        <v>1.0</v>
      </c>
      <c r="Y31" s="2">
        <v>1.0</v>
      </c>
      <c r="Z31" s="2">
        <v>38.0</v>
      </c>
      <c r="AA31" s="2">
        <v>158.0</v>
      </c>
      <c r="AB31" s="2">
        <v>3.0</v>
      </c>
      <c r="AC31" s="2">
        <v>0.0</v>
      </c>
      <c r="AD31" s="2">
        <v>0.0</v>
      </c>
      <c r="AE31" s="2">
        <v>14.0</v>
      </c>
      <c r="AF31" s="2">
        <v>6.04487540962873</v>
      </c>
      <c r="AG31" s="2">
        <v>0.0</v>
      </c>
      <c r="AH31" s="2">
        <v>5.0</v>
      </c>
      <c r="AI31" s="2">
        <v>4.0</v>
      </c>
      <c r="AJ31" s="2">
        <v>1.0</v>
      </c>
      <c r="AK31" s="2">
        <v>0.0</v>
      </c>
      <c r="AL31" s="2">
        <v>19.0</v>
      </c>
      <c r="AM31" s="2">
        <v>20.0</v>
      </c>
      <c r="AN31" s="2">
        <v>152.0</v>
      </c>
      <c r="AO31" s="2">
        <v>0.0</v>
      </c>
      <c r="AP31" s="2">
        <v>0.0</v>
      </c>
      <c r="AQ31" s="2">
        <v>0.0</v>
      </c>
      <c r="AR31" s="2">
        <v>112.0</v>
      </c>
      <c r="AS31" s="2">
        <v>61.0</v>
      </c>
      <c r="AT31" s="2">
        <v>6.0</v>
      </c>
      <c r="AU31" s="2">
        <v>5.75801030540357</v>
      </c>
      <c r="AV31" s="2">
        <v>0.0</v>
      </c>
      <c r="AW31" s="2">
        <v>1.0</v>
      </c>
      <c r="AX31" s="2">
        <v>1.0</v>
      </c>
      <c r="AY31" s="2">
        <v>1.0</v>
      </c>
      <c r="AZ31" s="2">
        <v>1.0</v>
      </c>
      <c r="BA31" s="2">
        <v>0.0</v>
      </c>
      <c r="BB31" s="2">
        <v>32.0</v>
      </c>
      <c r="BC31" s="2">
        <v>2.0</v>
      </c>
      <c r="BD31" s="2">
        <v>26.0</v>
      </c>
      <c r="BE31" s="2">
        <v>3.0</v>
      </c>
      <c r="BF31" s="2">
        <v>8.0</v>
      </c>
      <c r="BG31" s="2">
        <v>1.0</v>
      </c>
      <c r="BH31" s="2">
        <v>0.0</v>
      </c>
      <c r="BI31" s="2">
        <v>0.0</v>
      </c>
      <c r="BJ31" s="2">
        <v>1.0</v>
      </c>
      <c r="BK31" s="2">
        <v>0.0</v>
      </c>
      <c r="BL31" s="2">
        <v>0.0</v>
      </c>
      <c r="BM31" s="2">
        <v>6.0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1.0</v>
      </c>
      <c r="BU31" s="2">
        <v>6.0</v>
      </c>
      <c r="BV31" s="2">
        <v>0.0</v>
      </c>
      <c r="BW31" s="2">
        <v>9.0</v>
      </c>
      <c r="BX31" s="2">
        <v>110.0</v>
      </c>
      <c r="BY31" s="2">
        <v>3.0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2.0</v>
      </c>
      <c r="CH31" s="2">
        <v>32.0</v>
      </c>
      <c r="CI31" s="2">
        <v>1.0</v>
      </c>
      <c r="CJ31" s="2">
        <v>1.0</v>
      </c>
      <c r="CK31" s="2">
        <v>0.0</v>
      </c>
      <c r="CL31" s="2">
        <v>0.0</v>
      </c>
      <c r="CM31" s="2">
        <v>58.0</v>
      </c>
      <c r="CN31" s="2">
        <v>1.0</v>
      </c>
      <c r="CO31" s="2">
        <v>0.0</v>
      </c>
      <c r="CP31" s="2">
        <v>0.0</v>
      </c>
      <c r="CQ31" s="2">
        <v>0.0</v>
      </c>
      <c r="CR31" s="2">
        <v>0.0</v>
      </c>
      <c r="CS31" s="2">
        <v>1.0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 t="s">
        <v>1981</v>
      </c>
      <c r="DD31" s="2">
        <v>58.0</v>
      </c>
      <c r="DE31" s="2">
        <v>0.0</v>
      </c>
      <c r="DF31" s="2">
        <v>0.0</v>
      </c>
      <c r="DG31" s="2">
        <v>3.0</v>
      </c>
      <c r="DH31" s="2">
        <v>3.0</v>
      </c>
      <c r="DI31" s="2">
        <v>0.0</v>
      </c>
      <c r="DJ31" s="2">
        <v>0.0</v>
      </c>
      <c r="DK31" s="2">
        <v>1.0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3.0</v>
      </c>
      <c r="DR31" s="2">
        <v>0.0</v>
      </c>
      <c r="DS31" s="2">
        <v>51.0</v>
      </c>
      <c r="DT31" s="2">
        <v>146.0</v>
      </c>
      <c r="DU31" s="2">
        <v>2.0</v>
      </c>
      <c r="DV31" s="2">
        <v>2.0</v>
      </c>
      <c r="DW31" s="2">
        <v>0.0</v>
      </c>
      <c r="DX31" s="2">
        <v>0.0</v>
      </c>
      <c r="DY31" s="2">
        <v>1.0</v>
      </c>
      <c r="DZ31" s="2">
        <v>0.0</v>
      </c>
      <c r="EA31" s="2">
        <v>0.0</v>
      </c>
      <c r="EB31" s="2">
        <v>0.0</v>
      </c>
      <c r="EC31" s="2">
        <v>146.0</v>
      </c>
      <c r="EE31" s="2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2">
        <v>2025.0</v>
      </c>
      <c r="B32" s="2">
        <v>1.0</v>
      </c>
      <c r="C32" s="2" t="s">
        <v>242</v>
      </c>
      <c r="D32" s="2" t="s">
        <v>390</v>
      </c>
      <c r="E32" s="2" t="s">
        <v>480</v>
      </c>
      <c r="F32" s="2" t="s">
        <v>238</v>
      </c>
      <c r="G32" s="2">
        <v>22.0</v>
      </c>
      <c r="H32" s="2">
        <v>30.0</v>
      </c>
      <c r="I32" s="2">
        <v>244.0</v>
      </c>
      <c r="J32" s="2">
        <v>4.0</v>
      </c>
      <c r="K32" s="2">
        <v>0.0</v>
      </c>
      <c r="L32" s="2">
        <v>4.0</v>
      </c>
      <c r="M32" s="2">
        <v>-26.0</v>
      </c>
      <c r="N32" s="2">
        <v>0.0</v>
      </c>
      <c r="O32" s="2">
        <v>0.0</v>
      </c>
      <c r="P32" s="2">
        <v>139.0</v>
      </c>
      <c r="Q32" s="2">
        <v>173.0</v>
      </c>
      <c r="R32" s="2">
        <v>14.0</v>
      </c>
      <c r="S32" s="2">
        <v>10.2047552496334</v>
      </c>
      <c r="T32" s="2">
        <v>6.35038090163264</v>
      </c>
      <c r="U32" s="2">
        <v>0.0</v>
      </c>
      <c r="V32" s="2">
        <v>11.0</v>
      </c>
      <c r="W32" s="2">
        <v>8.0</v>
      </c>
      <c r="X32" s="2">
        <v>5.0</v>
      </c>
      <c r="Y32" s="2">
        <v>0.0</v>
      </c>
      <c r="Z32" s="2">
        <v>20.0</v>
      </c>
      <c r="AA32" s="2">
        <v>53.0</v>
      </c>
      <c r="AB32" s="2">
        <v>0.0</v>
      </c>
      <c r="AC32" s="2">
        <v>1.0</v>
      </c>
      <c r="AD32" s="2">
        <v>0.0</v>
      </c>
      <c r="AE32" s="2">
        <v>2.0</v>
      </c>
      <c r="AF32" s="2">
        <v>-3.05086921411566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22.0</v>
      </c>
      <c r="AM32" s="2">
        <v>29.0</v>
      </c>
      <c r="AN32" s="2">
        <v>244.0</v>
      </c>
      <c r="AO32" s="2">
        <v>4.0</v>
      </c>
      <c r="AP32" s="2">
        <v>0.0</v>
      </c>
      <c r="AQ32" s="2">
        <v>0.0</v>
      </c>
      <c r="AR32" s="2">
        <v>139.0</v>
      </c>
      <c r="AS32" s="2">
        <v>173.0</v>
      </c>
      <c r="AT32" s="2">
        <v>14.0</v>
      </c>
      <c r="AU32" s="2">
        <v>16.35746968674</v>
      </c>
      <c r="AV32" s="2">
        <v>0.0</v>
      </c>
      <c r="AW32" s="2">
        <v>11.0</v>
      </c>
      <c r="AX32" s="2">
        <v>8.0</v>
      </c>
      <c r="AY32" s="2">
        <v>5.0</v>
      </c>
      <c r="AZ32" s="2">
        <v>0.0</v>
      </c>
      <c r="BA32" s="2">
        <v>0.0</v>
      </c>
      <c r="BB32" s="2">
        <v>45.0</v>
      </c>
      <c r="BC32" s="2">
        <v>5.0</v>
      </c>
      <c r="BD32" s="2">
        <v>25.0</v>
      </c>
      <c r="BE32" s="2">
        <v>6.0</v>
      </c>
      <c r="BF32" s="2">
        <v>20.0</v>
      </c>
      <c r="BG32" s="2">
        <v>1.0</v>
      </c>
      <c r="BH32" s="2">
        <v>1.0</v>
      </c>
      <c r="BI32" s="2">
        <v>6.0</v>
      </c>
      <c r="BJ32" s="2">
        <v>6.0</v>
      </c>
      <c r="BK32" s="2">
        <v>0.0</v>
      </c>
      <c r="BL32" s="2">
        <v>0.0</v>
      </c>
      <c r="BM32" s="2">
        <v>4.0</v>
      </c>
      <c r="BN32" s="2">
        <v>0.0</v>
      </c>
      <c r="BO32" s="2">
        <v>0.0</v>
      </c>
      <c r="BP32" s="2">
        <v>0.0</v>
      </c>
      <c r="BQ32" s="2">
        <v>0.0</v>
      </c>
      <c r="BR32" s="2">
        <v>2.0</v>
      </c>
      <c r="BS32" s="2">
        <v>0.0</v>
      </c>
      <c r="BT32" s="2">
        <v>1.0</v>
      </c>
      <c r="BU32" s="2">
        <v>0.0</v>
      </c>
      <c r="BV32" s="2">
        <v>0.0</v>
      </c>
      <c r="BW32" s="2">
        <v>4.0</v>
      </c>
      <c r="BX32" s="2">
        <v>26.0</v>
      </c>
      <c r="BY32" s="2">
        <v>4.0</v>
      </c>
      <c r="BZ32" s="2">
        <v>2.0</v>
      </c>
      <c r="CA32" s="2">
        <v>0.0</v>
      </c>
      <c r="CB32" s="2">
        <v>0.0</v>
      </c>
      <c r="CC32" s="2">
        <v>2.0</v>
      </c>
      <c r="CD32" s="2">
        <v>0.0</v>
      </c>
      <c r="CE32" s="2">
        <v>0.0</v>
      </c>
      <c r="CF32" s="2">
        <v>0.0</v>
      </c>
      <c r="CG32" s="2">
        <v>6.0</v>
      </c>
      <c r="CH32" s="2">
        <v>165.0</v>
      </c>
      <c r="CI32" s="2">
        <v>2.0</v>
      </c>
      <c r="CJ32" s="2">
        <v>2.0</v>
      </c>
      <c r="CK32" s="2">
        <v>0.0</v>
      </c>
      <c r="CL32" s="2">
        <v>0.0</v>
      </c>
      <c r="CM32" s="2">
        <v>60.0</v>
      </c>
      <c r="CN32" s="2">
        <v>1.0</v>
      </c>
      <c r="CO32" s="2">
        <v>0.0</v>
      </c>
      <c r="CP32" s="2">
        <v>0.0</v>
      </c>
      <c r="CQ32" s="2">
        <v>0.0</v>
      </c>
      <c r="CR32" s="2">
        <v>0.0</v>
      </c>
      <c r="CS32" s="2">
        <v>1.0</v>
      </c>
      <c r="CT32" s="2">
        <v>1.0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 t="s">
        <v>1989</v>
      </c>
      <c r="DD32" s="2">
        <v>116.0</v>
      </c>
      <c r="DE32" s="2">
        <v>0.0</v>
      </c>
      <c r="DF32" s="2">
        <v>0.0</v>
      </c>
      <c r="DG32" s="2">
        <v>4.0</v>
      </c>
      <c r="DH32" s="2">
        <v>4.0</v>
      </c>
      <c r="DI32" s="2">
        <v>0.0</v>
      </c>
      <c r="DJ32" s="2">
        <v>0.0</v>
      </c>
      <c r="DK32" s="2">
        <v>1.0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4.0</v>
      </c>
      <c r="DR32" s="2">
        <v>0.0</v>
      </c>
      <c r="DS32" s="2">
        <v>50.0</v>
      </c>
      <c r="DT32" s="2">
        <v>190.0</v>
      </c>
      <c r="DU32" s="2">
        <v>1.0</v>
      </c>
      <c r="DV32" s="2">
        <v>0.0</v>
      </c>
      <c r="DW32" s="2">
        <v>0.0</v>
      </c>
      <c r="DX32" s="2">
        <v>0.0</v>
      </c>
      <c r="DY32" s="2">
        <v>2.0</v>
      </c>
      <c r="DZ32" s="2">
        <v>2.0</v>
      </c>
      <c r="EA32" s="2">
        <v>19.0</v>
      </c>
      <c r="EB32" s="2">
        <v>0.0</v>
      </c>
      <c r="EC32" s="2">
        <v>171.0</v>
      </c>
      <c r="EE32" s="2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2">
        <v>2025.0</v>
      </c>
      <c r="B33" s="2">
        <v>1.0</v>
      </c>
      <c r="C33" s="2" t="s">
        <v>149</v>
      </c>
      <c r="D33" s="2" t="s">
        <v>390</v>
      </c>
      <c r="E33" s="2" t="s">
        <v>510</v>
      </c>
      <c r="F33" s="2" t="s">
        <v>246</v>
      </c>
      <c r="G33" s="2">
        <v>16.0</v>
      </c>
      <c r="H33" s="2">
        <v>23.0</v>
      </c>
      <c r="I33" s="2">
        <v>150.0</v>
      </c>
      <c r="J33" s="2">
        <v>0.0</v>
      </c>
      <c r="K33" s="2">
        <v>0.0</v>
      </c>
      <c r="L33" s="2">
        <v>1.0</v>
      </c>
      <c r="M33" s="2">
        <v>-4.0</v>
      </c>
      <c r="N33" s="2">
        <v>1.0</v>
      </c>
      <c r="O33" s="2">
        <v>1.0</v>
      </c>
      <c r="P33" s="2">
        <v>197.0</v>
      </c>
      <c r="Q33" s="2">
        <v>47.0</v>
      </c>
      <c r="R33" s="2">
        <v>6.0</v>
      </c>
      <c r="S33" s="2">
        <v>-6.83103491103673</v>
      </c>
      <c r="T33" s="2">
        <v>7.33964795416052</v>
      </c>
      <c r="U33" s="2">
        <v>0.0</v>
      </c>
      <c r="V33" s="2">
        <v>6.0</v>
      </c>
      <c r="W33" s="2">
        <v>5.0</v>
      </c>
      <c r="X33" s="2">
        <v>3.0</v>
      </c>
      <c r="Y33" s="2">
        <v>1.0</v>
      </c>
      <c r="Z33" s="2">
        <v>26.0</v>
      </c>
      <c r="AA33" s="2">
        <v>84.0</v>
      </c>
      <c r="AB33" s="2">
        <v>1.0</v>
      </c>
      <c r="AC33" s="2">
        <v>0.0</v>
      </c>
      <c r="AD33" s="2">
        <v>0.0</v>
      </c>
      <c r="AE33" s="2">
        <v>6.0</v>
      </c>
      <c r="AF33" s="2">
        <v>-2.97343687525835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16.0</v>
      </c>
      <c r="AM33" s="2">
        <v>22.0</v>
      </c>
      <c r="AN33" s="2">
        <v>150.0</v>
      </c>
      <c r="AO33" s="2">
        <v>0.0</v>
      </c>
      <c r="AP33" s="2">
        <v>2.0</v>
      </c>
      <c r="AQ33" s="2">
        <v>1.0</v>
      </c>
      <c r="AR33" s="2">
        <v>197.0</v>
      </c>
      <c r="AS33" s="2">
        <v>47.0</v>
      </c>
      <c r="AT33" s="2">
        <v>6.0</v>
      </c>
      <c r="AU33" s="2">
        <v>-5.41983560641227</v>
      </c>
      <c r="AV33" s="2">
        <v>0.0</v>
      </c>
      <c r="AW33" s="2">
        <v>6.0</v>
      </c>
      <c r="AX33" s="2">
        <v>5.0</v>
      </c>
      <c r="AY33" s="2">
        <v>3.0</v>
      </c>
      <c r="AZ33" s="2">
        <v>1.0</v>
      </c>
      <c r="BA33" s="2">
        <v>0.0</v>
      </c>
      <c r="BB33" s="2">
        <v>43.0</v>
      </c>
      <c r="BC33" s="2">
        <v>4.0</v>
      </c>
      <c r="BD33" s="2">
        <v>38.0</v>
      </c>
      <c r="BE33" s="2">
        <v>7.0</v>
      </c>
      <c r="BF33" s="2">
        <v>22.0</v>
      </c>
      <c r="BG33" s="2">
        <v>0.0</v>
      </c>
      <c r="BH33" s="2">
        <v>1.0</v>
      </c>
      <c r="BI33" s="2">
        <v>12.0</v>
      </c>
      <c r="BJ33" s="2">
        <v>8.0</v>
      </c>
      <c r="BK33" s="2">
        <v>2.0</v>
      </c>
      <c r="BL33" s="2">
        <v>7.0</v>
      </c>
      <c r="BM33" s="2">
        <v>4.0</v>
      </c>
      <c r="BN33" s="2">
        <v>0.0</v>
      </c>
      <c r="BO33" s="2">
        <v>0.0</v>
      </c>
      <c r="BP33" s="2">
        <v>0.0</v>
      </c>
      <c r="BQ33" s="2">
        <v>8.0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4.0</v>
      </c>
      <c r="BX33" s="2">
        <v>30.0</v>
      </c>
      <c r="BY33" s="2">
        <v>5.0</v>
      </c>
      <c r="BZ33" s="2">
        <v>2.0</v>
      </c>
      <c r="CA33" s="2">
        <v>1.0</v>
      </c>
      <c r="CB33" s="2">
        <v>1.0</v>
      </c>
      <c r="CC33" s="2">
        <v>3.0</v>
      </c>
      <c r="CD33" s="2">
        <v>2.0</v>
      </c>
      <c r="CE33" s="2">
        <v>1.0</v>
      </c>
      <c r="CF33" s="2">
        <v>12.0</v>
      </c>
      <c r="CG33" s="2">
        <v>2.0</v>
      </c>
      <c r="CH33" s="2">
        <v>59.0</v>
      </c>
      <c r="CI33" s="2">
        <v>2.0</v>
      </c>
      <c r="CJ33" s="2">
        <v>2.0</v>
      </c>
      <c r="CK33" s="2">
        <v>0.0</v>
      </c>
      <c r="CL33" s="2">
        <v>0.0</v>
      </c>
      <c r="CM33" s="2">
        <v>48.0</v>
      </c>
      <c r="CN33" s="2">
        <v>1.0</v>
      </c>
      <c r="CO33" s="2">
        <v>0.0</v>
      </c>
      <c r="CP33" s="2">
        <v>0.0</v>
      </c>
      <c r="CQ33" s="2">
        <v>1.0</v>
      </c>
      <c r="CR33" s="2">
        <v>1.0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 t="s">
        <v>1990</v>
      </c>
      <c r="DD33" s="2">
        <v>85.0</v>
      </c>
      <c r="DE33" s="2">
        <v>0.0</v>
      </c>
      <c r="DF33" s="2">
        <v>0.0</v>
      </c>
      <c r="DG33" s="2">
        <v>1.0</v>
      </c>
      <c r="DH33" s="2">
        <v>1.0</v>
      </c>
      <c r="DI33" s="2">
        <v>0.0</v>
      </c>
      <c r="DJ33" s="2">
        <v>0.0</v>
      </c>
      <c r="DK33" s="2">
        <v>1.0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5.0</v>
      </c>
      <c r="DR33" s="2">
        <v>0.0</v>
      </c>
      <c r="DS33" s="2">
        <v>58.0</v>
      </c>
      <c r="DT33" s="2">
        <v>259.0</v>
      </c>
      <c r="DU33" s="2">
        <v>2.0</v>
      </c>
      <c r="DV33" s="2">
        <v>0.0</v>
      </c>
      <c r="DW33" s="2">
        <v>1.0</v>
      </c>
      <c r="DX33" s="2">
        <v>0.0</v>
      </c>
      <c r="DY33" s="2">
        <v>0.0</v>
      </c>
      <c r="DZ33" s="2">
        <v>4.0</v>
      </c>
      <c r="EA33" s="2">
        <v>39.0</v>
      </c>
      <c r="EB33" s="2">
        <v>0.0</v>
      </c>
      <c r="EC33" s="2">
        <v>220.0</v>
      </c>
      <c r="EE33" s="2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2">
        <v>2025.0</v>
      </c>
      <c r="B34" s="2">
        <v>1.0</v>
      </c>
      <c r="C34" s="2" t="s">
        <v>246</v>
      </c>
      <c r="D34" s="2" t="s">
        <v>390</v>
      </c>
      <c r="E34" s="2" t="s">
        <v>510</v>
      </c>
      <c r="F34" s="2" t="s">
        <v>149</v>
      </c>
      <c r="G34" s="2">
        <v>26.0</v>
      </c>
      <c r="H34" s="2">
        <v>35.0</v>
      </c>
      <c r="I34" s="2">
        <v>277.0</v>
      </c>
      <c r="J34" s="2">
        <v>2.0</v>
      </c>
      <c r="K34" s="2">
        <v>2.0</v>
      </c>
      <c r="L34" s="2">
        <v>1.0</v>
      </c>
      <c r="M34" s="2">
        <v>-12.0</v>
      </c>
      <c r="N34" s="2">
        <v>0.0</v>
      </c>
      <c r="O34" s="2">
        <v>0.0</v>
      </c>
      <c r="P34" s="2">
        <v>260.0</v>
      </c>
      <c r="Q34" s="2">
        <v>121.0</v>
      </c>
      <c r="R34" s="2">
        <v>15.0</v>
      </c>
      <c r="S34" s="2">
        <v>13.3298841572781</v>
      </c>
      <c r="T34" s="2">
        <v>15.3414581628407</v>
      </c>
      <c r="U34" s="2">
        <v>0.0</v>
      </c>
      <c r="V34" s="2">
        <v>9.0</v>
      </c>
      <c r="W34" s="2">
        <v>5.0</v>
      </c>
      <c r="X34" s="2">
        <v>5.0</v>
      </c>
      <c r="Y34" s="2">
        <v>1.0</v>
      </c>
      <c r="Z34" s="2">
        <v>36.0</v>
      </c>
      <c r="AA34" s="2">
        <v>119.0</v>
      </c>
      <c r="AB34" s="2">
        <v>0.0</v>
      </c>
      <c r="AC34" s="2">
        <v>0.0</v>
      </c>
      <c r="AD34" s="2">
        <v>0.0</v>
      </c>
      <c r="AE34" s="2">
        <v>7.0</v>
      </c>
      <c r="AF34" s="2">
        <v>-5.45884066727012</v>
      </c>
      <c r="AG34" s="2">
        <v>0.0</v>
      </c>
      <c r="AH34" s="2">
        <v>1.0</v>
      </c>
      <c r="AI34" s="2">
        <v>1.0</v>
      </c>
      <c r="AJ34" s="2">
        <v>0.0</v>
      </c>
      <c r="AK34" s="2">
        <v>0.0</v>
      </c>
      <c r="AL34" s="2">
        <v>26.0</v>
      </c>
      <c r="AM34" s="2">
        <v>34.0</v>
      </c>
      <c r="AN34" s="2">
        <v>277.0</v>
      </c>
      <c r="AO34" s="2">
        <v>2.0</v>
      </c>
      <c r="AP34" s="2">
        <v>0.0</v>
      </c>
      <c r="AQ34" s="2">
        <v>0.0</v>
      </c>
      <c r="AR34" s="2">
        <v>260.0</v>
      </c>
      <c r="AS34" s="2">
        <v>121.0</v>
      </c>
      <c r="AT34" s="2">
        <v>15.0</v>
      </c>
      <c r="AU34" s="2">
        <v>16.5014382635658</v>
      </c>
      <c r="AV34" s="2">
        <v>0.0</v>
      </c>
      <c r="AW34" s="2">
        <v>9.0</v>
      </c>
      <c r="AX34" s="2">
        <v>5.0</v>
      </c>
      <c r="AY34" s="2">
        <v>5.0</v>
      </c>
      <c r="AZ34" s="2">
        <v>1.0</v>
      </c>
      <c r="BA34" s="2">
        <v>0.0</v>
      </c>
      <c r="BB34" s="2">
        <v>36.0</v>
      </c>
      <c r="BC34" s="2">
        <v>1.0</v>
      </c>
      <c r="BD34" s="2">
        <v>19.0</v>
      </c>
      <c r="BE34" s="2">
        <v>7.0</v>
      </c>
      <c r="BF34" s="2">
        <v>21.0</v>
      </c>
      <c r="BG34" s="2">
        <v>2.0</v>
      </c>
      <c r="BH34" s="2">
        <v>1.0</v>
      </c>
      <c r="BI34" s="2">
        <v>4.0</v>
      </c>
      <c r="BJ34" s="2">
        <v>2.0</v>
      </c>
      <c r="BK34" s="2">
        <v>0.0</v>
      </c>
      <c r="BL34" s="2">
        <v>0.0</v>
      </c>
      <c r="BM34" s="2">
        <v>3.0</v>
      </c>
      <c r="BN34" s="2">
        <v>0.0</v>
      </c>
      <c r="BO34" s="2">
        <v>1.0</v>
      </c>
      <c r="BP34" s="2">
        <v>0.0</v>
      </c>
      <c r="BQ34" s="2">
        <v>0.0</v>
      </c>
      <c r="BR34" s="2">
        <v>1.0</v>
      </c>
      <c r="BS34" s="2">
        <v>0.0</v>
      </c>
      <c r="BT34" s="2">
        <v>2.0</v>
      </c>
      <c r="BU34" s="2">
        <v>0.0</v>
      </c>
      <c r="BV34" s="2">
        <v>0.0</v>
      </c>
      <c r="BW34" s="2">
        <v>9.0</v>
      </c>
      <c r="BX34" s="2">
        <v>61.0</v>
      </c>
      <c r="BY34" s="2">
        <v>2.0</v>
      </c>
      <c r="BZ34" s="2">
        <v>0.0</v>
      </c>
      <c r="CA34" s="2">
        <v>1.0</v>
      </c>
      <c r="CB34" s="2">
        <v>0.0</v>
      </c>
      <c r="CC34" s="2">
        <v>1.0</v>
      </c>
      <c r="CD34" s="2">
        <v>0.0</v>
      </c>
      <c r="CE34" s="2">
        <v>4.0</v>
      </c>
      <c r="CF34" s="2">
        <v>39.0</v>
      </c>
      <c r="CG34" s="2">
        <v>2.0</v>
      </c>
      <c r="CH34" s="2">
        <v>40.0</v>
      </c>
      <c r="CI34" s="2">
        <v>1.0</v>
      </c>
      <c r="CJ34" s="2">
        <v>3.0</v>
      </c>
      <c r="CK34" s="2">
        <v>1.0</v>
      </c>
      <c r="CL34" s="2">
        <v>1.0</v>
      </c>
      <c r="CM34" s="2">
        <v>32.0</v>
      </c>
      <c r="CN34" s="2">
        <v>0.333333333333333</v>
      </c>
      <c r="CO34" s="2">
        <v>0.0</v>
      </c>
      <c r="CP34" s="2">
        <v>0.0</v>
      </c>
      <c r="CQ34" s="2">
        <v>1.0</v>
      </c>
      <c r="CR34" s="2">
        <v>0.0</v>
      </c>
      <c r="CS34" s="2">
        <v>0.0</v>
      </c>
      <c r="CT34" s="2">
        <v>0.0</v>
      </c>
      <c r="CU34" s="2">
        <v>0.0</v>
      </c>
      <c r="CV34" s="2">
        <v>1.0</v>
      </c>
      <c r="CW34" s="2">
        <v>0.0</v>
      </c>
      <c r="CX34" s="2">
        <v>0.0</v>
      </c>
      <c r="CY34" s="2">
        <v>0.0</v>
      </c>
      <c r="CZ34" s="2">
        <v>0.0</v>
      </c>
      <c r="DA34" s="2" t="s">
        <v>1991</v>
      </c>
      <c r="DB34" s="2" t="s">
        <v>1992</v>
      </c>
      <c r="DC34" s="2" t="s">
        <v>1970</v>
      </c>
      <c r="DD34" s="2">
        <v>32.0</v>
      </c>
      <c r="DE34" s="2">
        <v>27.0</v>
      </c>
      <c r="DF34" s="2">
        <v>36.0</v>
      </c>
      <c r="DG34" s="2">
        <v>2.0</v>
      </c>
      <c r="DH34" s="2">
        <v>2.0</v>
      </c>
      <c r="DI34" s="2">
        <v>0.0</v>
      </c>
      <c r="DJ34" s="2">
        <v>0.0</v>
      </c>
      <c r="DK34" s="2">
        <v>1.0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2.0</v>
      </c>
      <c r="DR34" s="2">
        <v>0.0</v>
      </c>
      <c r="DS34" s="2">
        <v>54.0</v>
      </c>
      <c r="DT34" s="2">
        <v>96.0</v>
      </c>
      <c r="DU34" s="2">
        <v>1.0</v>
      </c>
      <c r="DV34" s="2">
        <v>0.0</v>
      </c>
      <c r="DW34" s="2">
        <v>0.0</v>
      </c>
      <c r="DX34" s="2">
        <v>0.0</v>
      </c>
      <c r="DY34" s="2">
        <v>1.0</v>
      </c>
      <c r="DZ34" s="2">
        <v>1.0</v>
      </c>
      <c r="EA34" s="2">
        <v>12.0</v>
      </c>
      <c r="EB34" s="2">
        <v>0.0</v>
      </c>
      <c r="EC34" s="2">
        <v>84.0</v>
      </c>
      <c r="EE34" s="2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2">
        <v>2025.0</v>
      </c>
      <c r="B35" s="2">
        <v>1.0</v>
      </c>
      <c r="C35" s="2" t="s">
        <v>150</v>
      </c>
      <c r="D35" s="2" t="s">
        <v>390</v>
      </c>
      <c r="E35" s="2" t="s">
        <v>417</v>
      </c>
      <c r="F35" s="2" t="s">
        <v>132</v>
      </c>
      <c r="G35" s="2">
        <v>17.0</v>
      </c>
      <c r="H35" s="2">
        <v>32.0</v>
      </c>
      <c r="I35" s="2">
        <v>167.0</v>
      </c>
      <c r="J35" s="2">
        <v>3.0</v>
      </c>
      <c r="K35" s="2">
        <v>0.0</v>
      </c>
      <c r="L35" s="2">
        <v>1.0</v>
      </c>
      <c r="M35" s="2">
        <v>-8.0</v>
      </c>
      <c r="N35" s="2">
        <v>0.0</v>
      </c>
      <c r="O35" s="2">
        <v>0.0</v>
      </c>
      <c r="P35" s="2">
        <v>334.0</v>
      </c>
      <c r="Q35" s="2">
        <v>45.0</v>
      </c>
      <c r="R35" s="2">
        <v>10.0</v>
      </c>
      <c r="S35" s="2">
        <v>5.76623440359527</v>
      </c>
      <c r="T35" s="2">
        <v>-10.4013135035833</v>
      </c>
      <c r="U35" s="2">
        <v>0.0</v>
      </c>
      <c r="V35" s="2">
        <v>8.0</v>
      </c>
      <c r="W35" s="2">
        <v>3.0</v>
      </c>
      <c r="X35" s="2">
        <v>2.0</v>
      </c>
      <c r="Y35" s="2">
        <v>0.0</v>
      </c>
      <c r="Z35" s="2">
        <v>23.0</v>
      </c>
      <c r="AA35" s="2">
        <v>101.0</v>
      </c>
      <c r="AB35" s="2">
        <v>0.0</v>
      </c>
      <c r="AC35" s="2">
        <v>0.0</v>
      </c>
      <c r="AD35" s="2">
        <v>0.0</v>
      </c>
      <c r="AE35" s="2">
        <v>5.0</v>
      </c>
      <c r="AF35" s="2">
        <v>0.505999550048728</v>
      </c>
      <c r="AG35" s="2">
        <v>0.0</v>
      </c>
      <c r="AH35" s="2">
        <v>3.0</v>
      </c>
      <c r="AI35" s="2">
        <v>1.0</v>
      </c>
      <c r="AJ35" s="2">
        <v>1.0</v>
      </c>
      <c r="AK35" s="2">
        <v>0.0</v>
      </c>
      <c r="AL35" s="2">
        <v>17.0</v>
      </c>
      <c r="AM35" s="2">
        <v>30.0</v>
      </c>
      <c r="AN35" s="2">
        <v>167.0</v>
      </c>
      <c r="AO35" s="2">
        <v>3.0</v>
      </c>
      <c r="AP35" s="2">
        <v>0.0</v>
      </c>
      <c r="AQ35" s="2">
        <v>0.0</v>
      </c>
      <c r="AR35" s="2">
        <v>334.0</v>
      </c>
      <c r="AS35" s="2">
        <v>45.0</v>
      </c>
      <c r="AT35" s="2">
        <v>10.0</v>
      </c>
      <c r="AU35" s="2">
        <v>7.28503226733574</v>
      </c>
      <c r="AV35" s="2">
        <v>0.0</v>
      </c>
      <c r="AW35" s="2">
        <v>8.0</v>
      </c>
      <c r="AX35" s="2">
        <v>3.0</v>
      </c>
      <c r="AY35" s="2">
        <v>2.0</v>
      </c>
      <c r="AZ35" s="2">
        <v>0.0</v>
      </c>
      <c r="BA35" s="2">
        <v>0.0</v>
      </c>
      <c r="BB35" s="2">
        <v>41.0</v>
      </c>
      <c r="BC35" s="2">
        <v>2.0</v>
      </c>
      <c r="BD35" s="2">
        <v>34.0</v>
      </c>
      <c r="BE35" s="2">
        <v>7.0</v>
      </c>
      <c r="BF35" s="2">
        <v>18.0</v>
      </c>
      <c r="BG35" s="2">
        <v>0.0</v>
      </c>
      <c r="BH35" s="2">
        <v>1.0</v>
      </c>
      <c r="BI35" s="2">
        <v>9.0</v>
      </c>
      <c r="BJ35" s="2">
        <v>4.0</v>
      </c>
      <c r="BK35" s="2">
        <v>0.0</v>
      </c>
      <c r="BL35" s="2">
        <v>0.0</v>
      </c>
      <c r="BM35" s="2">
        <v>6.0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5.0</v>
      </c>
      <c r="BX35" s="2">
        <v>60.0</v>
      </c>
      <c r="BY35" s="2">
        <v>5.0</v>
      </c>
      <c r="BZ35" s="2">
        <v>0.0</v>
      </c>
      <c r="CA35" s="2">
        <v>0.0</v>
      </c>
      <c r="CB35" s="2">
        <v>0.0</v>
      </c>
      <c r="CC35" s="2">
        <v>0.0</v>
      </c>
      <c r="CD35" s="2">
        <v>0.0</v>
      </c>
      <c r="CE35" s="2">
        <v>1.0</v>
      </c>
      <c r="CF35" s="2">
        <v>54.0</v>
      </c>
      <c r="CG35" s="2">
        <v>3.0</v>
      </c>
      <c r="CH35" s="2">
        <v>81.0</v>
      </c>
      <c r="CI35" s="2">
        <v>1.0</v>
      </c>
      <c r="CJ35" s="2">
        <v>2.0</v>
      </c>
      <c r="CK35" s="2">
        <v>1.0</v>
      </c>
      <c r="CL35" s="2">
        <v>0.0</v>
      </c>
      <c r="CM35" s="2">
        <v>48.0</v>
      </c>
      <c r="CN35" s="2">
        <v>0.5</v>
      </c>
      <c r="CO35" s="2">
        <v>0.0</v>
      </c>
      <c r="CP35" s="2">
        <v>0.0</v>
      </c>
      <c r="CQ35" s="2">
        <v>0.0</v>
      </c>
      <c r="CR35" s="2">
        <v>1.0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1.0</v>
      </c>
      <c r="CY35" s="2">
        <v>0.0</v>
      </c>
      <c r="CZ35" s="2">
        <v>0.0</v>
      </c>
      <c r="DA35" s="2" t="s">
        <v>1965</v>
      </c>
      <c r="DB35" s="2" t="s">
        <v>1962</v>
      </c>
      <c r="DD35" s="2">
        <v>48.0</v>
      </c>
      <c r="DE35" s="2">
        <v>44.0</v>
      </c>
      <c r="DF35" s="2">
        <v>0.0</v>
      </c>
      <c r="DG35" s="2">
        <v>2.0</v>
      </c>
      <c r="DH35" s="2">
        <v>3.0</v>
      </c>
      <c r="DI35" s="2">
        <v>1.0</v>
      </c>
      <c r="DJ35" s="2">
        <v>0.0</v>
      </c>
      <c r="DK35" s="2">
        <v>0.666666666666667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4.0</v>
      </c>
      <c r="DR35" s="2">
        <v>0.0</v>
      </c>
      <c r="DS35" s="2">
        <v>62.0</v>
      </c>
      <c r="DT35" s="2">
        <v>205.0</v>
      </c>
      <c r="DU35" s="2">
        <v>2.0</v>
      </c>
      <c r="DV35" s="2">
        <v>0.0</v>
      </c>
      <c r="DW35" s="2">
        <v>1.0</v>
      </c>
      <c r="DX35" s="2">
        <v>0.0</v>
      </c>
      <c r="DY35" s="2">
        <v>1.0</v>
      </c>
      <c r="DZ35" s="2">
        <v>2.0</v>
      </c>
      <c r="EA35" s="2">
        <v>29.0</v>
      </c>
      <c r="EB35" s="2">
        <v>0.0</v>
      </c>
      <c r="EC35" s="2">
        <v>176.0</v>
      </c>
      <c r="EE35" s="2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2">
        <v>2025.0</v>
      </c>
      <c r="B36" s="2">
        <v>1.0</v>
      </c>
      <c r="C36" s="2" t="s">
        <v>250</v>
      </c>
      <c r="D36" s="2" t="s">
        <v>390</v>
      </c>
      <c r="E36" s="2" t="s">
        <v>500</v>
      </c>
      <c r="F36" s="2" t="s">
        <v>139</v>
      </c>
      <c r="G36" s="2">
        <v>12.0</v>
      </c>
      <c r="H36" s="2">
        <v>28.0</v>
      </c>
      <c r="I36" s="2">
        <v>112.0</v>
      </c>
      <c r="J36" s="2">
        <v>0.0</v>
      </c>
      <c r="K36" s="2">
        <v>0.0</v>
      </c>
      <c r="L36" s="2">
        <v>6.0</v>
      </c>
      <c r="M36" s="2">
        <v>-50.0</v>
      </c>
      <c r="N36" s="2">
        <v>1.0</v>
      </c>
      <c r="O36" s="2">
        <v>1.0</v>
      </c>
      <c r="P36" s="2">
        <v>294.0</v>
      </c>
      <c r="Q36" s="2">
        <v>64.0</v>
      </c>
      <c r="R36" s="2">
        <v>5.0</v>
      </c>
      <c r="S36" s="2">
        <v>-13.3894584187878</v>
      </c>
      <c r="T36" s="2">
        <v>-12.5970318317413</v>
      </c>
      <c r="U36" s="2">
        <v>0.0</v>
      </c>
      <c r="V36" s="2">
        <v>5.0</v>
      </c>
      <c r="W36" s="2">
        <v>2.0</v>
      </c>
      <c r="X36" s="2">
        <v>1.0</v>
      </c>
      <c r="Y36" s="2">
        <v>0.0</v>
      </c>
      <c r="Z36" s="2">
        <v>21.0</v>
      </c>
      <c r="AA36" s="2">
        <v>71.0</v>
      </c>
      <c r="AB36" s="2">
        <v>0.0</v>
      </c>
      <c r="AC36" s="2">
        <v>1.0</v>
      </c>
      <c r="AD36" s="2">
        <v>1.0</v>
      </c>
      <c r="AE36" s="2">
        <v>2.0</v>
      </c>
      <c r="AF36" s="2">
        <v>-9.17674626053992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12.0</v>
      </c>
      <c r="AM36" s="2">
        <v>25.0</v>
      </c>
      <c r="AN36" s="2">
        <v>112.0</v>
      </c>
      <c r="AO36" s="2">
        <v>0.0</v>
      </c>
      <c r="AP36" s="2">
        <v>0.0</v>
      </c>
      <c r="AQ36" s="2">
        <v>0.0</v>
      </c>
      <c r="AR36" s="2">
        <v>294.0</v>
      </c>
      <c r="AS36" s="2">
        <v>64.0</v>
      </c>
      <c r="AT36" s="2">
        <v>5.0</v>
      </c>
      <c r="AU36" s="2">
        <v>-0.873451538442168</v>
      </c>
      <c r="AV36" s="2">
        <v>0.0</v>
      </c>
      <c r="AW36" s="2">
        <v>5.0</v>
      </c>
      <c r="AX36" s="2">
        <v>2.0</v>
      </c>
      <c r="AY36" s="2">
        <v>1.0</v>
      </c>
      <c r="AZ36" s="2">
        <v>0.0</v>
      </c>
      <c r="BA36" s="2">
        <v>0.0</v>
      </c>
      <c r="BB36" s="2">
        <v>43.0</v>
      </c>
      <c r="BC36" s="2">
        <v>3.0</v>
      </c>
      <c r="BD36" s="2">
        <v>29.0</v>
      </c>
      <c r="BE36" s="2">
        <v>4.0</v>
      </c>
      <c r="BF36" s="2">
        <v>15.0</v>
      </c>
      <c r="BG36" s="2">
        <v>1.0</v>
      </c>
      <c r="BH36" s="2">
        <v>1.0</v>
      </c>
      <c r="BI36" s="2">
        <v>10.0</v>
      </c>
      <c r="BJ36" s="2">
        <v>5.0</v>
      </c>
      <c r="BK36" s="2">
        <v>2.0</v>
      </c>
      <c r="BL36" s="2">
        <v>16.0</v>
      </c>
      <c r="BM36" s="2">
        <v>5.0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0.0</v>
      </c>
      <c r="BT36" s="2">
        <v>2.0</v>
      </c>
      <c r="BU36" s="2">
        <v>0.0</v>
      </c>
      <c r="BV36" s="2">
        <v>0.0</v>
      </c>
      <c r="BW36" s="2">
        <v>13.0</v>
      </c>
      <c r="BX36" s="2">
        <v>131.0</v>
      </c>
      <c r="BY36" s="2">
        <v>5.0</v>
      </c>
      <c r="BZ36" s="2">
        <v>2.0</v>
      </c>
      <c r="CA36" s="2">
        <v>0.0</v>
      </c>
      <c r="CB36" s="2">
        <v>0.0</v>
      </c>
      <c r="CC36" s="2">
        <v>2.0</v>
      </c>
      <c r="CD36" s="2">
        <v>2.0</v>
      </c>
      <c r="CE36" s="2">
        <v>1.0</v>
      </c>
      <c r="CF36" s="2">
        <v>12.0</v>
      </c>
      <c r="CG36" s="2">
        <v>4.0</v>
      </c>
      <c r="CH36" s="2">
        <v>144.0</v>
      </c>
      <c r="CI36" s="2">
        <v>4.0</v>
      </c>
      <c r="CJ36" s="2">
        <v>4.0</v>
      </c>
      <c r="CK36" s="2">
        <v>0.0</v>
      </c>
      <c r="CL36" s="2">
        <v>0.0</v>
      </c>
      <c r="CM36" s="2">
        <v>50.0</v>
      </c>
      <c r="CN36" s="2">
        <v>1.0</v>
      </c>
      <c r="CO36" s="2">
        <v>0.0</v>
      </c>
      <c r="CP36" s="2">
        <v>0.0</v>
      </c>
      <c r="CQ36" s="2">
        <v>2.0</v>
      </c>
      <c r="CR36" s="2">
        <v>1.0</v>
      </c>
      <c r="CS36" s="2">
        <v>1.0</v>
      </c>
      <c r="CT36" s="2">
        <v>0.0</v>
      </c>
      <c r="CU36" s="2">
        <v>0.0</v>
      </c>
      <c r="CV36" s="2">
        <v>0.0</v>
      </c>
      <c r="CW36" s="2">
        <v>0.0</v>
      </c>
      <c r="CX36" s="2">
        <v>0.0</v>
      </c>
      <c r="CY36" s="2">
        <v>0.0</v>
      </c>
      <c r="CZ36" s="2">
        <v>0.0</v>
      </c>
      <c r="DA36" s="2" t="s">
        <v>1993</v>
      </c>
      <c r="DD36" s="2">
        <v>160.0</v>
      </c>
      <c r="DE36" s="2">
        <v>0.0</v>
      </c>
      <c r="DF36" s="2">
        <v>0.0</v>
      </c>
      <c r="DG36" s="2">
        <v>0.0</v>
      </c>
      <c r="DH36" s="2">
        <v>0.0</v>
      </c>
      <c r="DI36" s="2">
        <v>0.0</v>
      </c>
      <c r="DJ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8.0</v>
      </c>
      <c r="DR36" s="2">
        <v>0.0</v>
      </c>
      <c r="DS36" s="2">
        <v>65.0</v>
      </c>
      <c r="DT36" s="2">
        <v>395.0</v>
      </c>
      <c r="DU36" s="2">
        <v>2.0</v>
      </c>
      <c r="DV36" s="2">
        <v>0.0</v>
      </c>
      <c r="DW36" s="2">
        <v>0.0</v>
      </c>
      <c r="DX36" s="2">
        <v>1.0</v>
      </c>
      <c r="DY36" s="2">
        <v>3.0</v>
      </c>
      <c r="DZ36" s="2">
        <v>4.0</v>
      </c>
      <c r="EA36" s="2">
        <v>47.0</v>
      </c>
      <c r="EB36" s="2">
        <v>0.0</v>
      </c>
      <c r="EC36" s="2">
        <v>328.0</v>
      </c>
      <c r="EE36" s="2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2">
        <v>2025.0</v>
      </c>
      <c r="B37" s="2">
        <v>1.0</v>
      </c>
      <c r="C37" s="2" t="s">
        <v>253</v>
      </c>
      <c r="D37" s="2" t="s">
        <v>390</v>
      </c>
      <c r="E37" s="2" t="s">
        <v>490</v>
      </c>
      <c r="F37" s="2" t="s">
        <v>235</v>
      </c>
      <c r="G37" s="2">
        <v>19.0</v>
      </c>
      <c r="H37" s="2">
        <v>30.0</v>
      </c>
      <c r="I37" s="2">
        <v>233.0</v>
      </c>
      <c r="J37" s="2">
        <v>1.0</v>
      </c>
      <c r="K37" s="2">
        <v>0.0</v>
      </c>
      <c r="L37" s="2">
        <v>3.0</v>
      </c>
      <c r="M37" s="2">
        <v>-21.0</v>
      </c>
      <c r="N37" s="2">
        <v>0.0</v>
      </c>
      <c r="O37" s="2">
        <v>0.0</v>
      </c>
      <c r="P37" s="2">
        <v>279.0</v>
      </c>
      <c r="Q37" s="2">
        <v>97.0</v>
      </c>
      <c r="R37" s="2">
        <v>11.0</v>
      </c>
      <c r="S37" s="2">
        <v>1.36475759616587</v>
      </c>
      <c r="T37" s="2">
        <v>-1.28908434818531</v>
      </c>
      <c r="U37" s="2">
        <v>0.0</v>
      </c>
      <c r="V37" s="2">
        <v>11.0</v>
      </c>
      <c r="W37" s="2">
        <v>5.0</v>
      </c>
      <c r="X37" s="2">
        <v>2.0</v>
      </c>
      <c r="Y37" s="2">
        <v>0.0</v>
      </c>
      <c r="Z37" s="2">
        <v>32.0</v>
      </c>
      <c r="AA37" s="2">
        <v>220.0</v>
      </c>
      <c r="AB37" s="2">
        <v>2.0</v>
      </c>
      <c r="AC37" s="2">
        <v>0.0</v>
      </c>
      <c r="AD37" s="2">
        <v>0.0</v>
      </c>
      <c r="AE37" s="2">
        <v>11.0</v>
      </c>
      <c r="AF37" s="2">
        <v>7.8340493318392</v>
      </c>
      <c r="AG37" s="2">
        <v>0.0</v>
      </c>
      <c r="AH37" s="2">
        <v>8.0</v>
      </c>
      <c r="AI37" s="2">
        <v>6.0</v>
      </c>
      <c r="AJ37" s="2">
        <v>1.0</v>
      </c>
      <c r="AK37" s="2">
        <v>1.0</v>
      </c>
      <c r="AL37" s="2">
        <v>19.0</v>
      </c>
      <c r="AM37" s="2">
        <v>29.0</v>
      </c>
      <c r="AN37" s="2">
        <v>233.0</v>
      </c>
      <c r="AO37" s="2">
        <v>1.0</v>
      </c>
      <c r="AP37" s="2">
        <v>0.0</v>
      </c>
      <c r="AQ37" s="2">
        <v>0.0</v>
      </c>
      <c r="AR37" s="2">
        <v>279.0</v>
      </c>
      <c r="AS37" s="2">
        <v>97.0</v>
      </c>
      <c r="AT37" s="2">
        <v>11.0</v>
      </c>
      <c r="AU37" s="2">
        <v>8.10985203704331</v>
      </c>
      <c r="AV37" s="2">
        <v>0.0</v>
      </c>
      <c r="AW37" s="2">
        <v>11.0</v>
      </c>
      <c r="AX37" s="2">
        <v>5.0</v>
      </c>
      <c r="AY37" s="2">
        <v>2.0</v>
      </c>
      <c r="AZ37" s="2">
        <v>0.0</v>
      </c>
      <c r="BA37" s="2">
        <v>0.0</v>
      </c>
      <c r="BB37" s="2">
        <v>31.0</v>
      </c>
      <c r="BC37" s="2">
        <v>2.0</v>
      </c>
      <c r="BD37" s="2">
        <v>28.0</v>
      </c>
      <c r="BE37" s="2">
        <v>7.0</v>
      </c>
      <c r="BF37" s="2">
        <v>19.0</v>
      </c>
      <c r="BG37" s="2">
        <v>1.0</v>
      </c>
      <c r="BH37" s="2">
        <v>2.0</v>
      </c>
      <c r="BI37" s="2">
        <v>11.0</v>
      </c>
      <c r="BJ37" s="2">
        <v>8.0</v>
      </c>
      <c r="BK37" s="2">
        <v>0.0</v>
      </c>
      <c r="BL37" s="2">
        <v>0.0</v>
      </c>
      <c r="BM37" s="2">
        <v>7.0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12.0</v>
      </c>
      <c r="BX37" s="2">
        <v>89.0</v>
      </c>
      <c r="BY37" s="2">
        <v>6.0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2.0</v>
      </c>
      <c r="CF37" s="2">
        <v>0.0</v>
      </c>
      <c r="CG37" s="2">
        <v>3.0</v>
      </c>
      <c r="CH37" s="2">
        <v>86.0</v>
      </c>
      <c r="CI37" s="2">
        <v>0.0</v>
      </c>
      <c r="CJ37" s="2">
        <v>0.0</v>
      </c>
      <c r="CK37" s="2">
        <v>0.0</v>
      </c>
      <c r="CL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D37" s="2">
        <v>0.0</v>
      </c>
      <c r="DE37" s="2">
        <v>0.0</v>
      </c>
      <c r="DF37" s="2">
        <v>0.0</v>
      </c>
      <c r="DG37" s="2">
        <v>3.0</v>
      </c>
      <c r="DH37" s="2">
        <v>3.0</v>
      </c>
      <c r="DI37" s="2">
        <v>0.0</v>
      </c>
      <c r="DJ37" s="2">
        <v>0.0</v>
      </c>
      <c r="DK37" s="2">
        <v>1.0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5.0</v>
      </c>
      <c r="DR37" s="2">
        <v>0.0</v>
      </c>
      <c r="DS37" s="2">
        <v>64.0</v>
      </c>
      <c r="DT37" s="2">
        <v>245.0</v>
      </c>
      <c r="DU37" s="2">
        <v>2.0</v>
      </c>
      <c r="DV37" s="2">
        <v>0.0</v>
      </c>
      <c r="DW37" s="2">
        <v>1.0</v>
      </c>
      <c r="DX37" s="2">
        <v>1.0</v>
      </c>
      <c r="DY37" s="2">
        <v>0.0</v>
      </c>
      <c r="DZ37" s="2">
        <v>3.0</v>
      </c>
      <c r="EA37" s="2">
        <v>24.0</v>
      </c>
      <c r="EB37" s="2">
        <v>0.0</v>
      </c>
      <c r="EC37" s="2">
        <v>201.0</v>
      </c>
      <c r="EE37" s="2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2">
        <v>2025.0</v>
      </c>
      <c r="B38" s="2">
        <v>2.0</v>
      </c>
      <c r="C38" s="2" t="s">
        <v>178</v>
      </c>
      <c r="D38" s="2" t="s">
        <v>390</v>
      </c>
      <c r="E38" s="2" t="s">
        <v>599</v>
      </c>
      <c r="F38" s="2" t="s">
        <v>189</v>
      </c>
      <c r="G38" s="2">
        <v>17.0</v>
      </c>
      <c r="H38" s="2">
        <v>25.0</v>
      </c>
      <c r="I38" s="2">
        <v>220.0</v>
      </c>
      <c r="J38" s="2">
        <v>1.0</v>
      </c>
      <c r="K38" s="2">
        <v>1.0</v>
      </c>
      <c r="L38" s="2">
        <v>1.0</v>
      </c>
      <c r="M38" s="2">
        <v>-9.0</v>
      </c>
      <c r="N38" s="2">
        <v>0.0</v>
      </c>
      <c r="O38" s="2">
        <v>0.0</v>
      </c>
      <c r="P38" s="2">
        <v>160.0</v>
      </c>
      <c r="Q38" s="2">
        <v>113.0</v>
      </c>
      <c r="R38" s="2">
        <v>10.0</v>
      </c>
      <c r="S38" s="2">
        <v>6.13976775861454</v>
      </c>
      <c r="T38" s="2">
        <v>0.763731837272644</v>
      </c>
      <c r="U38" s="2">
        <v>0.0</v>
      </c>
      <c r="V38" s="2">
        <v>11.0</v>
      </c>
      <c r="W38" s="2">
        <v>4.0</v>
      </c>
      <c r="X38" s="2">
        <v>2.0</v>
      </c>
      <c r="Y38" s="2">
        <v>0.0</v>
      </c>
      <c r="Z38" s="2">
        <v>22.0</v>
      </c>
      <c r="AA38" s="2">
        <v>82.0</v>
      </c>
      <c r="AB38" s="2">
        <v>1.0</v>
      </c>
      <c r="AC38" s="2">
        <v>0.0</v>
      </c>
      <c r="AD38" s="2">
        <v>0.0</v>
      </c>
      <c r="AE38" s="2">
        <v>5.0</v>
      </c>
      <c r="AF38" s="2">
        <v>-0.170235732734567</v>
      </c>
      <c r="AG38" s="2">
        <v>0.0</v>
      </c>
      <c r="AH38" s="2">
        <v>2.0</v>
      </c>
      <c r="AI38" s="2">
        <v>1.0</v>
      </c>
      <c r="AJ38" s="2">
        <v>1.0</v>
      </c>
      <c r="AK38" s="2">
        <v>0.0</v>
      </c>
      <c r="AL38" s="2">
        <v>17.0</v>
      </c>
      <c r="AM38" s="2">
        <v>25.0</v>
      </c>
      <c r="AN38" s="2">
        <v>220.0</v>
      </c>
      <c r="AO38" s="2">
        <v>1.0</v>
      </c>
      <c r="AP38" s="2">
        <v>0.0</v>
      </c>
      <c r="AQ38" s="2">
        <v>0.0</v>
      </c>
      <c r="AR38" s="2">
        <v>160.0</v>
      </c>
      <c r="AS38" s="2">
        <v>113.0</v>
      </c>
      <c r="AT38" s="2">
        <v>10.0</v>
      </c>
      <c r="AU38" s="2">
        <v>8.40659436590147</v>
      </c>
      <c r="AV38" s="2">
        <v>0.0</v>
      </c>
      <c r="AW38" s="2">
        <v>11.0</v>
      </c>
      <c r="AX38" s="2">
        <v>4.0</v>
      </c>
      <c r="AY38" s="2">
        <v>2.0</v>
      </c>
      <c r="AZ38" s="2">
        <v>0.0</v>
      </c>
      <c r="BA38" s="2">
        <v>0.0</v>
      </c>
      <c r="BB38" s="2">
        <v>44.0</v>
      </c>
      <c r="BC38" s="2">
        <v>2.0</v>
      </c>
      <c r="BD38" s="2">
        <v>30.0</v>
      </c>
      <c r="BE38" s="2">
        <v>6.0</v>
      </c>
      <c r="BF38" s="2">
        <v>33.0</v>
      </c>
      <c r="BG38" s="2">
        <v>1.0</v>
      </c>
      <c r="BH38" s="2">
        <v>3.0</v>
      </c>
      <c r="BI38" s="2">
        <v>25.0</v>
      </c>
      <c r="BJ38" s="2">
        <v>10.0</v>
      </c>
      <c r="BK38" s="2">
        <v>1.0</v>
      </c>
      <c r="BL38" s="2">
        <v>4.0</v>
      </c>
      <c r="BM38" s="2">
        <v>9.0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1.0</v>
      </c>
      <c r="BU38" s="2">
        <v>3.0</v>
      </c>
      <c r="BV38" s="2">
        <v>1.0</v>
      </c>
      <c r="BW38" s="2">
        <v>12.0</v>
      </c>
      <c r="BX38" s="2">
        <v>96.0</v>
      </c>
      <c r="BY38" s="2">
        <v>3.0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1.0</v>
      </c>
      <c r="CF38" s="2">
        <v>29.0</v>
      </c>
      <c r="CG38" s="2">
        <v>4.0</v>
      </c>
      <c r="CH38" s="2">
        <v>87.0</v>
      </c>
      <c r="CI38" s="2">
        <v>2.0</v>
      </c>
      <c r="CJ38" s="2">
        <v>2.0</v>
      </c>
      <c r="CK38" s="2">
        <v>0.0</v>
      </c>
      <c r="CL38" s="2">
        <v>0.0</v>
      </c>
      <c r="CM38" s="2">
        <v>47.0</v>
      </c>
      <c r="CN38" s="2">
        <v>1.0</v>
      </c>
      <c r="CO38" s="2">
        <v>0.0</v>
      </c>
      <c r="CP38" s="2">
        <v>1.0</v>
      </c>
      <c r="CQ38" s="2">
        <v>0.0</v>
      </c>
      <c r="CR38" s="2">
        <v>1.0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 t="s">
        <v>1994</v>
      </c>
      <c r="DD38" s="2">
        <v>76.0</v>
      </c>
      <c r="DE38" s="2">
        <v>0.0</v>
      </c>
      <c r="DF38" s="2">
        <v>0.0</v>
      </c>
      <c r="DG38" s="2">
        <v>3.0</v>
      </c>
      <c r="DH38" s="2">
        <v>3.0</v>
      </c>
      <c r="DI38" s="2">
        <v>0.0</v>
      </c>
      <c r="DJ38" s="2">
        <v>0.0</v>
      </c>
      <c r="DK38" s="2">
        <v>1.0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2.0</v>
      </c>
      <c r="DR38" s="2">
        <v>0.0</v>
      </c>
      <c r="DS38" s="2">
        <v>62.0</v>
      </c>
      <c r="DT38" s="2">
        <v>123.0</v>
      </c>
      <c r="DU38" s="2">
        <v>0.0</v>
      </c>
      <c r="DV38" s="2">
        <v>0.0</v>
      </c>
      <c r="DW38" s="2">
        <v>1.0</v>
      </c>
      <c r="DX38" s="2">
        <v>0.0</v>
      </c>
      <c r="DY38" s="2">
        <v>0.0</v>
      </c>
      <c r="DZ38" s="2">
        <v>1.0</v>
      </c>
      <c r="EA38" s="2">
        <v>12.0</v>
      </c>
      <c r="EB38" s="2">
        <v>0.0</v>
      </c>
      <c r="EC38" s="2">
        <v>111.0</v>
      </c>
      <c r="EE38" s="2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2">
        <v>2025.0</v>
      </c>
      <c r="B39" s="2">
        <v>2.0</v>
      </c>
      <c r="C39" s="2" t="s">
        <v>132</v>
      </c>
      <c r="D39" s="2" t="s">
        <v>390</v>
      </c>
      <c r="E39" s="2" t="s">
        <v>609</v>
      </c>
      <c r="F39" s="2" t="s">
        <v>144</v>
      </c>
      <c r="G39" s="2">
        <v>13.0</v>
      </c>
      <c r="H39" s="2">
        <v>21.0</v>
      </c>
      <c r="I39" s="2">
        <v>135.0</v>
      </c>
      <c r="J39" s="2">
        <v>0.0</v>
      </c>
      <c r="K39" s="2">
        <v>0.0</v>
      </c>
      <c r="L39" s="2">
        <v>3.0</v>
      </c>
      <c r="M39" s="2">
        <v>-27.0</v>
      </c>
      <c r="N39" s="2">
        <v>0.0</v>
      </c>
      <c r="O39" s="2">
        <v>0.0</v>
      </c>
      <c r="P39" s="2">
        <v>132.0</v>
      </c>
      <c r="Q39" s="2">
        <v>59.0</v>
      </c>
      <c r="R39" s="2">
        <v>5.0</v>
      </c>
      <c r="S39" s="2">
        <v>-3.24417159038731</v>
      </c>
      <c r="T39" s="2">
        <v>-7.45016151950473</v>
      </c>
      <c r="U39" s="2">
        <v>0.0</v>
      </c>
      <c r="V39" s="2">
        <v>7.0</v>
      </c>
      <c r="W39" s="2">
        <v>2.0</v>
      </c>
      <c r="X39" s="2">
        <v>1.0</v>
      </c>
      <c r="Y39" s="2">
        <v>0.0</v>
      </c>
      <c r="Z39" s="2">
        <v>39.0</v>
      </c>
      <c r="AA39" s="2">
        <v>218.0</v>
      </c>
      <c r="AB39" s="2">
        <v>1.0</v>
      </c>
      <c r="AC39" s="2">
        <v>0.0</v>
      </c>
      <c r="AD39" s="2">
        <v>0.0</v>
      </c>
      <c r="AE39" s="2">
        <v>12.0</v>
      </c>
      <c r="AF39" s="2">
        <v>6.12384862778179</v>
      </c>
      <c r="AG39" s="2">
        <v>0.0</v>
      </c>
      <c r="AH39" s="2">
        <v>7.0</v>
      </c>
      <c r="AI39" s="2">
        <v>5.0</v>
      </c>
      <c r="AJ39" s="2">
        <v>1.0</v>
      </c>
      <c r="AK39" s="2">
        <v>0.0</v>
      </c>
      <c r="AL39" s="2">
        <v>13.0</v>
      </c>
      <c r="AM39" s="2">
        <v>21.0</v>
      </c>
      <c r="AN39" s="2">
        <v>135.0</v>
      </c>
      <c r="AO39" s="2">
        <v>0.0</v>
      </c>
      <c r="AP39" s="2">
        <v>1.0</v>
      </c>
      <c r="AQ39" s="2">
        <v>1.0</v>
      </c>
      <c r="AR39" s="2">
        <v>132.0</v>
      </c>
      <c r="AS39" s="2">
        <v>59.0</v>
      </c>
      <c r="AT39" s="2">
        <v>5.0</v>
      </c>
      <c r="AU39" s="2">
        <v>-3.90217427649205</v>
      </c>
      <c r="AV39" s="2">
        <v>0.0</v>
      </c>
      <c r="AW39" s="2">
        <v>7.0</v>
      </c>
      <c r="AX39" s="2">
        <v>2.0</v>
      </c>
      <c r="AY39" s="2">
        <v>1.0</v>
      </c>
      <c r="AZ39" s="2">
        <v>0.0</v>
      </c>
      <c r="BA39" s="2">
        <v>0.0</v>
      </c>
      <c r="BB39" s="2">
        <v>29.0</v>
      </c>
      <c r="BC39" s="2">
        <v>0.0</v>
      </c>
      <c r="BD39" s="2">
        <v>28.0</v>
      </c>
      <c r="BE39" s="2">
        <v>5.0</v>
      </c>
      <c r="BF39" s="2">
        <v>29.0</v>
      </c>
      <c r="BG39" s="2">
        <v>1.0</v>
      </c>
      <c r="BH39" s="2">
        <v>6.0</v>
      </c>
      <c r="BI39" s="2">
        <v>38.0</v>
      </c>
      <c r="BJ39" s="2">
        <v>11.0</v>
      </c>
      <c r="BK39" s="2">
        <v>2.0</v>
      </c>
      <c r="BL39" s="2">
        <v>0.0</v>
      </c>
      <c r="BM39" s="2">
        <v>4.0</v>
      </c>
      <c r="BN39" s="2">
        <v>0.0</v>
      </c>
      <c r="BO39" s="2">
        <v>0.0</v>
      </c>
      <c r="BP39" s="2">
        <v>0.0</v>
      </c>
      <c r="BQ39" s="2">
        <v>0.0</v>
      </c>
      <c r="BR39" s="2">
        <v>0.0</v>
      </c>
      <c r="BS39" s="2">
        <v>0.0</v>
      </c>
      <c r="BT39" s="2">
        <v>2.0</v>
      </c>
      <c r="BU39" s="2">
        <v>0.0</v>
      </c>
      <c r="BV39" s="2">
        <v>0.0</v>
      </c>
      <c r="BW39" s="2">
        <v>5.0</v>
      </c>
      <c r="BX39" s="2">
        <v>29.0</v>
      </c>
      <c r="BY39" s="2">
        <v>4.0</v>
      </c>
      <c r="BZ39" s="2">
        <v>1.0</v>
      </c>
      <c r="CA39" s="2">
        <v>0.0</v>
      </c>
      <c r="CB39" s="2">
        <v>0.0</v>
      </c>
      <c r="CC39" s="2">
        <v>1.0</v>
      </c>
      <c r="CD39" s="2">
        <v>1.0</v>
      </c>
      <c r="CE39" s="2">
        <v>0.0</v>
      </c>
      <c r="CF39" s="2">
        <v>0.0</v>
      </c>
      <c r="CG39" s="2">
        <v>1.0</v>
      </c>
      <c r="CH39" s="2">
        <v>21.0</v>
      </c>
      <c r="CI39" s="2">
        <v>5.0</v>
      </c>
      <c r="CJ39" s="2">
        <v>5.0</v>
      </c>
      <c r="CK39" s="2">
        <v>0.0</v>
      </c>
      <c r="CL39" s="2">
        <v>0.0</v>
      </c>
      <c r="CM39" s="2">
        <v>54.0</v>
      </c>
      <c r="CN39" s="2">
        <v>1.0</v>
      </c>
      <c r="CO39" s="2">
        <v>0.0</v>
      </c>
      <c r="CP39" s="2">
        <v>1.0</v>
      </c>
      <c r="CQ39" s="2">
        <v>3.0</v>
      </c>
      <c r="CR39" s="2">
        <v>0.0</v>
      </c>
      <c r="CS39" s="2">
        <v>1.0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 t="s">
        <v>1995</v>
      </c>
      <c r="DD39" s="2">
        <v>187.0</v>
      </c>
      <c r="DE39" s="2">
        <v>0.0</v>
      </c>
      <c r="DF39" s="2">
        <v>0.0</v>
      </c>
      <c r="DG39" s="2">
        <v>1.0</v>
      </c>
      <c r="DH39" s="2">
        <v>1.0</v>
      </c>
      <c r="DI39" s="2">
        <v>0.0</v>
      </c>
      <c r="DJ39" s="2">
        <v>0.0</v>
      </c>
      <c r="DK39" s="2">
        <v>1.0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3.0</v>
      </c>
      <c r="DR39" s="2">
        <v>0.0</v>
      </c>
      <c r="DS39" s="2">
        <v>46.0</v>
      </c>
      <c r="DT39" s="2">
        <v>137.0</v>
      </c>
      <c r="DU39" s="2">
        <v>1.0</v>
      </c>
      <c r="DV39" s="2">
        <v>0.0</v>
      </c>
      <c r="DW39" s="2">
        <v>0.0</v>
      </c>
      <c r="DX39" s="2">
        <v>0.0</v>
      </c>
      <c r="DY39" s="2">
        <v>0.0</v>
      </c>
      <c r="DZ39" s="2">
        <v>3.0</v>
      </c>
      <c r="EA39" s="2">
        <v>6.0</v>
      </c>
      <c r="EB39" s="2">
        <v>0.0</v>
      </c>
      <c r="EC39" s="2">
        <v>131.0</v>
      </c>
      <c r="EE39" s="2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2">
        <v>2025.0</v>
      </c>
      <c r="B40" s="2">
        <v>2.0</v>
      </c>
      <c r="C40" s="2" t="s">
        <v>148</v>
      </c>
      <c r="D40" s="2" t="s">
        <v>390</v>
      </c>
      <c r="E40" s="2" t="s">
        <v>564</v>
      </c>
      <c r="F40" s="2" t="s">
        <v>196</v>
      </c>
      <c r="G40" s="2">
        <v>19.0</v>
      </c>
      <c r="H40" s="2">
        <v>29.0</v>
      </c>
      <c r="I40" s="2">
        <v>225.0</v>
      </c>
      <c r="J40" s="2">
        <v>4.0</v>
      </c>
      <c r="K40" s="2">
        <v>0.0</v>
      </c>
      <c r="L40" s="2">
        <v>3.0</v>
      </c>
      <c r="M40" s="2">
        <v>-28.0</v>
      </c>
      <c r="N40" s="2">
        <v>0.0</v>
      </c>
      <c r="O40" s="2">
        <v>0.0</v>
      </c>
      <c r="P40" s="2">
        <v>273.0</v>
      </c>
      <c r="Q40" s="2">
        <v>66.0</v>
      </c>
      <c r="R40" s="2">
        <v>10.0</v>
      </c>
      <c r="S40" s="2">
        <v>9.3427031262555</v>
      </c>
      <c r="T40" s="2">
        <v>6.71361333557538</v>
      </c>
      <c r="U40" s="2">
        <v>0.0</v>
      </c>
      <c r="V40" s="2">
        <v>9.0</v>
      </c>
      <c r="W40" s="2">
        <v>5.0</v>
      </c>
      <c r="X40" s="2">
        <v>3.0</v>
      </c>
      <c r="Y40" s="2">
        <v>1.0</v>
      </c>
      <c r="Z40" s="2">
        <v>21.0</v>
      </c>
      <c r="AA40" s="2">
        <v>45.0</v>
      </c>
      <c r="AB40" s="2">
        <v>0.0</v>
      </c>
      <c r="AC40" s="2">
        <v>1.0</v>
      </c>
      <c r="AD40" s="2">
        <v>0.0</v>
      </c>
      <c r="AE40" s="2">
        <v>2.0</v>
      </c>
      <c r="AF40" s="2">
        <v>-3.09726037026849</v>
      </c>
      <c r="AG40" s="2">
        <v>0.0</v>
      </c>
      <c r="AH40" s="2">
        <v>1.0</v>
      </c>
      <c r="AI40" s="2">
        <v>0.0</v>
      </c>
      <c r="AJ40" s="2">
        <v>0.0</v>
      </c>
      <c r="AK40" s="2">
        <v>0.0</v>
      </c>
      <c r="AL40" s="2">
        <v>19.0</v>
      </c>
      <c r="AM40" s="2">
        <v>28.0</v>
      </c>
      <c r="AN40" s="2">
        <v>225.0</v>
      </c>
      <c r="AO40" s="2">
        <v>4.0</v>
      </c>
      <c r="AP40" s="2">
        <v>0.0</v>
      </c>
      <c r="AQ40" s="2">
        <v>0.0</v>
      </c>
      <c r="AR40" s="2">
        <v>273.0</v>
      </c>
      <c r="AS40" s="2">
        <v>66.0</v>
      </c>
      <c r="AT40" s="2">
        <v>10.0</v>
      </c>
      <c r="AU40" s="2">
        <v>14.2728374658134</v>
      </c>
      <c r="AV40" s="2">
        <v>0.0</v>
      </c>
      <c r="AW40" s="2">
        <v>9.0</v>
      </c>
      <c r="AX40" s="2">
        <v>5.0</v>
      </c>
      <c r="AY40" s="2">
        <v>3.0</v>
      </c>
      <c r="AZ40" s="2">
        <v>1.0</v>
      </c>
      <c r="BA40" s="2">
        <v>0.0</v>
      </c>
      <c r="BB40" s="2">
        <v>41.0</v>
      </c>
      <c r="BC40" s="2">
        <v>3.0</v>
      </c>
      <c r="BD40" s="2">
        <v>27.0</v>
      </c>
      <c r="BE40" s="2">
        <v>7.0</v>
      </c>
      <c r="BF40" s="2">
        <v>22.0</v>
      </c>
      <c r="BG40" s="2">
        <v>1.0</v>
      </c>
      <c r="BH40" s="2">
        <v>2.0</v>
      </c>
      <c r="BI40" s="2">
        <v>11.0</v>
      </c>
      <c r="BJ40" s="2">
        <v>9.0</v>
      </c>
      <c r="BK40" s="2">
        <v>1.0</v>
      </c>
      <c r="BL40" s="2">
        <v>61.0</v>
      </c>
      <c r="BM40" s="2">
        <v>5.0</v>
      </c>
      <c r="BN40" s="2">
        <v>0.0</v>
      </c>
      <c r="BO40" s="2">
        <v>0.0</v>
      </c>
      <c r="BP40" s="2">
        <v>0.0</v>
      </c>
      <c r="BQ40" s="2">
        <v>5.0</v>
      </c>
      <c r="BR40" s="2">
        <v>1.0</v>
      </c>
      <c r="BS40" s="2">
        <v>0.0</v>
      </c>
      <c r="BT40" s="2">
        <v>1.0</v>
      </c>
      <c r="BU40" s="2">
        <v>63.0</v>
      </c>
      <c r="BV40" s="2">
        <v>1.0</v>
      </c>
      <c r="BW40" s="2">
        <v>6.0</v>
      </c>
      <c r="BX40" s="2">
        <v>28.0</v>
      </c>
      <c r="BY40" s="2">
        <v>4.0</v>
      </c>
      <c r="BZ40" s="2">
        <v>1.0</v>
      </c>
      <c r="CA40" s="2">
        <v>0.0</v>
      </c>
      <c r="CB40" s="2">
        <v>0.0</v>
      </c>
      <c r="CC40" s="2">
        <v>1.0</v>
      </c>
      <c r="CD40" s="2">
        <v>0.0</v>
      </c>
      <c r="CE40" s="2">
        <v>1.0</v>
      </c>
      <c r="CF40" s="2">
        <v>23.0</v>
      </c>
      <c r="CG40" s="2">
        <v>3.0</v>
      </c>
      <c r="CH40" s="2">
        <v>79.0</v>
      </c>
      <c r="CI40" s="2">
        <v>2.0</v>
      </c>
      <c r="CJ40" s="2">
        <v>2.0</v>
      </c>
      <c r="CK40" s="2">
        <v>0.0</v>
      </c>
      <c r="CL40" s="2">
        <v>0.0</v>
      </c>
      <c r="CM40" s="2">
        <v>43.0</v>
      </c>
      <c r="CN40" s="2">
        <v>1.0</v>
      </c>
      <c r="CO40" s="2">
        <v>0.0</v>
      </c>
      <c r="CP40" s="2">
        <v>0.0</v>
      </c>
      <c r="CQ40" s="2">
        <v>1.0</v>
      </c>
      <c r="CR40" s="2">
        <v>1.0</v>
      </c>
      <c r="CS40" s="2">
        <v>0.0</v>
      </c>
      <c r="CT40" s="2">
        <v>0.0</v>
      </c>
      <c r="CU40" s="2">
        <v>0.0</v>
      </c>
      <c r="CV40" s="2">
        <v>0.0</v>
      </c>
      <c r="CW40" s="2">
        <v>0.0</v>
      </c>
      <c r="CX40" s="2">
        <v>0.0</v>
      </c>
      <c r="CY40" s="2">
        <v>0.0</v>
      </c>
      <c r="CZ40" s="2">
        <v>0.0</v>
      </c>
      <c r="DA40" s="2" t="s">
        <v>1996</v>
      </c>
      <c r="DD40" s="2">
        <v>75.0</v>
      </c>
      <c r="DE40" s="2">
        <v>0.0</v>
      </c>
      <c r="DF40" s="2">
        <v>0.0</v>
      </c>
      <c r="DG40" s="2">
        <v>5.0</v>
      </c>
      <c r="DH40" s="2">
        <v>5.0</v>
      </c>
      <c r="DI40" s="2">
        <v>0.0</v>
      </c>
      <c r="DJ40" s="2">
        <v>0.0</v>
      </c>
      <c r="DK40" s="2">
        <v>1.0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5.0</v>
      </c>
      <c r="DR40" s="2">
        <v>0.0</v>
      </c>
      <c r="DS40" s="2">
        <v>58.0</v>
      </c>
      <c r="DT40" s="2">
        <v>259.0</v>
      </c>
      <c r="DU40" s="2">
        <v>2.0</v>
      </c>
      <c r="DV40" s="2">
        <v>1.0</v>
      </c>
      <c r="DW40" s="2">
        <v>2.0</v>
      </c>
      <c r="DX40" s="2">
        <v>0.0</v>
      </c>
      <c r="DY40" s="2">
        <v>1.0</v>
      </c>
      <c r="DZ40" s="2">
        <v>1.0</v>
      </c>
      <c r="EA40" s="2">
        <v>0.0</v>
      </c>
      <c r="EB40" s="2">
        <v>0.0</v>
      </c>
      <c r="EC40" s="2">
        <v>259.0</v>
      </c>
      <c r="EE40" s="2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2">
        <v>2025.0</v>
      </c>
      <c r="B41" s="2">
        <v>2.0</v>
      </c>
      <c r="C41" s="2" t="s">
        <v>136</v>
      </c>
      <c r="D41" s="2" t="s">
        <v>390</v>
      </c>
      <c r="E41" s="2" t="s">
        <v>589</v>
      </c>
      <c r="F41" s="2" t="s">
        <v>238</v>
      </c>
      <c r="G41" s="2">
        <v>15.0</v>
      </c>
      <c r="H41" s="2">
        <v>27.0</v>
      </c>
      <c r="I41" s="2">
        <v>180.0</v>
      </c>
      <c r="J41" s="2">
        <v>0.0</v>
      </c>
      <c r="K41" s="2">
        <v>0.0</v>
      </c>
      <c r="L41" s="2">
        <v>1.0</v>
      </c>
      <c r="M41" s="2">
        <v>-1.0</v>
      </c>
      <c r="N41" s="2">
        <v>0.0</v>
      </c>
      <c r="O41" s="2">
        <v>0.0</v>
      </c>
      <c r="P41" s="2">
        <v>146.0</v>
      </c>
      <c r="Q41" s="2">
        <v>105.0</v>
      </c>
      <c r="R41" s="2">
        <v>9.0</v>
      </c>
      <c r="S41" s="2">
        <v>0.272271557335453</v>
      </c>
      <c r="T41" s="2">
        <v>-9.08146715164185</v>
      </c>
      <c r="U41" s="2">
        <v>0.0</v>
      </c>
      <c r="V41" s="2">
        <v>8.0</v>
      </c>
      <c r="W41" s="2">
        <v>3.0</v>
      </c>
      <c r="X41" s="2">
        <v>2.0</v>
      </c>
      <c r="Y41" s="2">
        <v>0.0</v>
      </c>
      <c r="Z41" s="2">
        <v>43.0</v>
      </c>
      <c r="AA41" s="2">
        <v>224.0</v>
      </c>
      <c r="AB41" s="2">
        <v>3.0</v>
      </c>
      <c r="AC41" s="2">
        <v>1.0</v>
      </c>
      <c r="AD41" s="2">
        <v>0.0</v>
      </c>
      <c r="AE41" s="2">
        <v>12.0</v>
      </c>
      <c r="AF41" s="2">
        <v>9.72542606380075</v>
      </c>
      <c r="AG41" s="2">
        <v>0.0</v>
      </c>
      <c r="AH41" s="2">
        <v>3.0</v>
      </c>
      <c r="AI41" s="2">
        <v>3.0</v>
      </c>
      <c r="AJ41" s="2">
        <v>2.0</v>
      </c>
      <c r="AK41" s="2">
        <v>2.0</v>
      </c>
      <c r="AL41" s="2">
        <v>15.0</v>
      </c>
      <c r="AM41" s="2">
        <v>25.0</v>
      </c>
      <c r="AN41" s="2">
        <v>180.0</v>
      </c>
      <c r="AO41" s="2">
        <v>0.0</v>
      </c>
      <c r="AP41" s="2">
        <v>0.0</v>
      </c>
      <c r="AQ41" s="2">
        <v>0.0</v>
      </c>
      <c r="AR41" s="2">
        <v>146.0</v>
      </c>
      <c r="AS41" s="2">
        <v>105.0</v>
      </c>
      <c r="AT41" s="2">
        <v>9.0</v>
      </c>
      <c r="AU41" s="2">
        <v>4.45493882618303</v>
      </c>
      <c r="AV41" s="2">
        <v>0.0</v>
      </c>
      <c r="AW41" s="2">
        <v>8.0</v>
      </c>
      <c r="AX41" s="2">
        <v>3.0</v>
      </c>
      <c r="AY41" s="2">
        <v>2.0</v>
      </c>
      <c r="AZ41" s="2">
        <v>0.0</v>
      </c>
      <c r="BA41" s="2">
        <v>0.0</v>
      </c>
      <c r="BB41" s="2">
        <v>31.0</v>
      </c>
      <c r="BC41" s="2">
        <v>2.0</v>
      </c>
      <c r="BD41" s="2">
        <v>20.0</v>
      </c>
      <c r="BE41" s="2">
        <v>5.0</v>
      </c>
      <c r="BF41" s="2">
        <v>37.0</v>
      </c>
      <c r="BG41" s="2">
        <v>3.0</v>
      </c>
      <c r="BH41" s="2">
        <v>4.0</v>
      </c>
      <c r="BI41" s="2">
        <v>29.0</v>
      </c>
      <c r="BJ41" s="2">
        <v>7.0</v>
      </c>
      <c r="BK41" s="2">
        <v>0.0</v>
      </c>
      <c r="BL41" s="2">
        <v>0.0</v>
      </c>
      <c r="BM41" s="2">
        <v>4.0</v>
      </c>
      <c r="BN41" s="2">
        <v>0.0</v>
      </c>
      <c r="BO41" s="2">
        <v>0.0</v>
      </c>
      <c r="BP41" s="2">
        <v>0.0</v>
      </c>
      <c r="BQ41" s="2">
        <v>0.0</v>
      </c>
      <c r="BR41" s="2">
        <v>1.0</v>
      </c>
      <c r="BS41" s="2">
        <v>0.0</v>
      </c>
      <c r="BT41" s="2">
        <v>1.0</v>
      </c>
      <c r="BU41" s="2">
        <v>0.0</v>
      </c>
      <c r="BV41" s="2">
        <v>0.0</v>
      </c>
      <c r="BW41" s="2">
        <v>6.0</v>
      </c>
      <c r="BX41" s="2">
        <v>69.0</v>
      </c>
      <c r="BY41" s="2">
        <v>4.0</v>
      </c>
      <c r="BZ41" s="2">
        <v>1.0</v>
      </c>
      <c r="CA41" s="2">
        <v>0.0</v>
      </c>
      <c r="CB41" s="2">
        <v>0.0</v>
      </c>
      <c r="CC41" s="2">
        <v>1.0</v>
      </c>
      <c r="CD41" s="2">
        <v>0.0</v>
      </c>
      <c r="CE41" s="2">
        <v>4.0</v>
      </c>
      <c r="CF41" s="2">
        <v>22.0</v>
      </c>
      <c r="CG41" s="2">
        <v>2.0</v>
      </c>
      <c r="CH41" s="2">
        <v>47.0</v>
      </c>
      <c r="CI41" s="2">
        <v>3.0</v>
      </c>
      <c r="CJ41" s="2">
        <v>3.0</v>
      </c>
      <c r="CK41" s="2">
        <v>0.0</v>
      </c>
      <c r="CL41" s="2">
        <v>0.0</v>
      </c>
      <c r="CM41" s="2">
        <v>52.0</v>
      </c>
      <c r="CN41" s="2">
        <v>1.0</v>
      </c>
      <c r="CO41" s="2">
        <v>0.0</v>
      </c>
      <c r="CP41" s="2">
        <v>1.0</v>
      </c>
      <c r="CQ41" s="2">
        <v>1.0</v>
      </c>
      <c r="CR41" s="2">
        <v>0.0</v>
      </c>
      <c r="CS41" s="2">
        <v>1.0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 t="s">
        <v>1997</v>
      </c>
      <c r="DD41" s="2">
        <v>113.0</v>
      </c>
      <c r="DE41" s="2">
        <v>0.0</v>
      </c>
      <c r="DF41" s="2">
        <v>0.0</v>
      </c>
      <c r="DG41" s="2">
        <v>3.0</v>
      </c>
      <c r="DH41" s="2">
        <v>3.0</v>
      </c>
      <c r="DI41" s="2">
        <v>0.0</v>
      </c>
      <c r="DJ41" s="2">
        <v>0.0</v>
      </c>
      <c r="DK41" s="2">
        <v>1.0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3.0</v>
      </c>
      <c r="DR41" s="2">
        <v>0.0</v>
      </c>
      <c r="DS41" s="2">
        <v>48.0</v>
      </c>
      <c r="DT41" s="2">
        <v>130.0</v>
      </c>
      <c r="DU41" s="2">
        <v>2.0</v>
      </c>
      <c r="DV41" s="2">
        <v>1.0</v>
      </c>
      <c r="DW41" s="2">
        <v>0.0</v>
      </c>
      <c r="DX41" s="2">
        <v>0.0</v>
      </c>
      <c r="DY41" s="2">
        <v>1.0</v>
      </c>
      <c r="DZ41" s="2">
        <v>1.0</v>
      </c>
      <c r="EA41" s="2">
        <v>11.0</v>
      </c>
      <c r="EB41" s="2">
        <v>0.0</v>
      </c>
      <c r="EC41" s="2">
        <v>119.0</v>
      </c>
      <c r="EE41" s="2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2">
        <v>2025.0</v>
      </c>
      <c r="B42" s="2">
        <v>2.0</v>
      </c>
      <c r="C42" s="2" t="s">
        <v>189</v>
      </c>
      <c r="D42" s="2" t="s">
        <v>390</v>
      </c>
      <c r="E42" s="2" t="s">
        <v>599</v>
      </c>
      <c r="F42" s="2" t="s">
        <v>178</v>
      </c>
      <c r="G42" s="2">
        <v>35.0</v>
      </c>
      <c r="H42" s="2">
        <v>55.0</v>
      </c>
      <c r="I42" s="2">
        <v>328.0</v>
      </c>
      <c r="J42" s="2">
        <v>3.0</v>
      </c>
      <c r="K42" s="2">
        <v>1.0</v>
      </c>
      <c r="L42" s="2">
        <v>3.0</v>
      </c>
      <c r="M42" s="2">
        <v>-25.0</v>
      </c>
      <c r="N42" s="2">
        <v>1.0</v>
      </c>
      <c r="O42" s="2">
        <v>1.0</v>
      </c>
      <c r="P42" s="2">
        <v>375.0</v>
      </c>
      <c r="Q42" s="2">
        <v>150.0</v>
      </c>
      <c r="R42" s="2">
        <v>19.0</v>
      </c>
      <c r="S42" s="2">
        <v>3.23423290927314</v>
      </c>
      <c r="T42" s="2">
        <v>-2.34936650069255</v>
      </c>
      <c r="U42" s="2">
        <v>0.0</v>
      </c>
      <c r="V42" s="2">
        <v>11.0</v>
      </c>
      <c r="W42" s="2">
        <v>5.0</v>
      </c>
      <c r="X42" s="2">
        <v>4.0</v>
      </c>
      <c r="Y42" s="2">
        <v>1.0</v>
      </c>
      <c r="Z42" s="2">
        <v>19.0</v>
      </c>
      <c r="AA42" s="2">
        <v>49.0</v>
      </c>
      <c r="AB42" s="2">
        <v>0.0</v>
      </c>
      <c r="AC42" s="2">
        <v>0.0</v>
      </c>
      <c r="AD42" s="2">
        <v>0.0</v>
      </c>
      <c r="AE42" s="2">
        <v>4.0</v>
      </c>
      <c r="AF42" s="2">
        <v>-4.65860741809569</v>
      </c>
      <c r="AG42" s="2">
        <v>0.0</v>
      </c>
      <c r="AH42" s="2">
        <v>1.0</v>
      </c>
      <c r="AI42" s="2">
        <v>1.0</v>
      </c>
      <c r="AJ42" s="2">
        <v>0.0</v>
      </c>
      <c r="AK42" s="2">
        <v>0.0</v>
      </c>
      <c r="AL42" s="2">
        <v>35.0</v>
      </c>
      <c r="AM42" s="2">
        <v>53.0</v>
      </c>
      <c r="AN42" s="2">
        <v>328.0</v>
      </c>
      <c r="AO42" s="2">
        <v>3.0</v>
      </c>
      <c r="AP42" s="2">
        <v>0.0</v>
      </c>
      <c r="AQ42" s="2">
        <v>0.0</v>
      </c>
      <c r="AR42" s="2">
        <v>375.0</v>
      </c>
      <c r="AS42" s="2">
        <v>150.0</v>
      </c>
      <c r="AT42" s="2">
        <v>19.0</v>
      </c>
      <c r="AU42" s="2">
        <v>14.7997658147302</v>
      </c>
      <c r="AV42" s="2">
        <v>0.0</v>
      </c>
      <c r="AW42" s="2">
        <v>11.0</v>
      </c>
      <c r="AX42" s="2">
        <v>5.0</v>
      </c>
      <c r="AY42" s="2">
        <v>4.0</v>
      </c>
      <c r="AZ42" s="2">
        <v>1.0</v>
      </c>
      <c r="BA42" s="2">
        <v>0.0</v>
      </c>
      <c r="BB42" s="2">
        <v>31.0</v>
      </c>
      <c r="BC42" s="2">
        <v>1.0</v>
      </c>
      <c r="BD42" s="2">
        <v>23.0</v>
      </c>
      <c r="BE42" s="2">
        <v>4.0</v>
      </c>
      <c r="BF42" s="2">
        <v>17.0</v>
      </c>
      <c r="BG42" s="2">
        <v>0.0</v>
      </c>
      <c r="BH42" s="2">
        <v>1.0</v>
      </c>
      <c r="BI42" s="2">
        <v>9.0</v>
      </c>
      <c r="BJ42" s="2">
        <v>4.0</v>
      </c>
      <c r="BK42" s="2">
        <v>1.0</v>
      </c>
      <c r="BL42" s="2">
        <v>0.0</v>
      </c>
      <c r="BM42" s="2">
        <v>5.0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0.0</v>
      </c>
      <c r="BW42" s="2">
        <v>7.0</v>
      </c>
      <c r="BX42" s="2">
        <v>83.0</v>
      </c>
      <c r="BY42" s="2">
        <v>5.0</v>
      </c>
      <c r="BZ42" s="2">
        <v>1.0</v>
      </c>
      <c r="CA42" s="2">
        <v>0.0</v>
      </c>
      <c r="CB42" s="2">
        <v>0.0</v>
      </c>
      <c r="CC42" s="2">
        <v>1.0</v>
      </c>
      <c r="CD42" s="2">
        <v>1.0</v>
      </c>
      <c r="CE42" s="2">
        <v>1.0</v>
      </c>
      <c r="CF42" s="2">
        <v>12.0</v>
      </c>
      <c r="CG42" s="2">
        <v>5.0</v>
      </c>
      <c r="CH42" s="2">
        <v>113.0</v>
      </c>
      <c r="CI42" s="2">
        <v>1.0</v>
      </c>
      <c r="CJ42" s="2">
        <v>1.0</v>
      </c>
      <c r="CK42" s="2">
        <v>0.0</v>
      </c>
      <c r="CL42" s="2">
        <v>0.0</v>
      </c>
      <c r="CM42" s="2">
        <v>27.0</v>
      </c>
      <c r="CN42" s="2">
        <v>1.0</v>
      </c>
      <c r="CO42" s="2">
        <v>0.0</v>
      </c>
      <c r="CP42" s="2">
        <v>1.0</v>
      </c>
      <c r="CQ42" s="2">
        <v>0.0</v>
      </c>
      <c r="CR42" s="2">
        <v>0.0</v>
      </c>
      <c r="CS42" s="2">
        <v>0.0</v>
      </c>
      <c r="CT42" s="2">
        <v>0.0</v>
      </c>
      <c r="CU42" s="2">
        <v>0.0</v>
      </c>
      <c r="CV42" s="2">
        <v>0.0</v>
      </c>
      <c r="CW42" s="2">
        <v>0.0</v>
      </c>
      <c r="CX42" s="2">
        <v>0.0</v>
      </c>
      <c r="CY42" s="2">
        <v>0.0</v>
      </c>
      <c r="CZ42" s="2">
        <v>0.0</v>
      </c>
      <c r="DA42" s="2" t="s">
        <v>1992</v>
      </c>
      <c r="DD42" s="2">
        <v>27.0</v>
      </c>
      <c r="DE42" s="2">
        <v>0.0</v>
      </c>
      <c r="DF42" s="2">
        <v>0.0</v>
      </c>
      <c r="DG42" s="2">
        <v>1.0</v>
      </c>
      <c r="DH42" s="2">
        <v>1.0</v>
      </c>
      <c r="DI42" s="2">
        <v>0.0</v>
      </c>
      <c r="DJ42" s="2">
        <v>0.0</v>
      </c>
      <c r="DK42" s="2">
        <v>1.0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2.0</v>
      </c>
      <c r="DR42" s="2">
        <v>0.0</v>
      </c>
      <c r="DS42" s="2">
        <v>60.0</v>
      </c>
      <c r="DT42" s="2">
        <v>95.0</v>
      </c>
      <c r="DU42" s="2">
        <v>1.0</v>
      </c>
      <c r="DV42" s="2">
        <v>0.0</v>
      </c>
      <c r="DW42" s="2">
        <v>1.0</v>
      </c>
      <c r="DX42" s="2">
        <v>0.0</v>
      </c>
      <c r="DY42" s="2">
        <v>0.0</v>
      </c>
      <c r="DZ42" s="2">
        <v>1.0</v>
      </c>
      <c r="EA42" s="2">
        <v>29.0</v>
      </c>
      <c r="EB42" s="2">
        <v>0.0</v>
      </c>
      <c r="EC42" s="2">
        <v>66.0</v>
      </c>
      <c r="EE42" s="2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2">
        <v>2025.0</v>
      </c>
      <c r="B43" s="2">
        <v>2.0</v>
      </c>
      <c r="C43" s="2" t="s">
        <v>137</v>
      </c>
      <c r="D43" s="2" t="s">
        <v>390</v>
      </c>
      <c r="E43" s="2" t="s">
        <v>577</v>
      </c>
      <c r="F43" s="2" t="s">
        <v>202</v>
      </c>
      <c r="G43" s="2">
        <v>21.0</v>
      </c>
      <c r="H43" s="2">
        <v>33.0</v>
      </c>
      <c r="I43" s="2">
        <v>234.0</v>
      </c>
      <c r="J43" s="2">
        <v>2.0</v>
      </c>
      <c r="K43" s="2">
        <v>1.0</v>
      </c>
      <c r="L43" s="2">
        <v>4.0</v>
      </c>
      <c r="M43" s="2">
        <v>-29.0</v>
      </c>
      <c r="N43" s="2">
        <v>0.0</v>
      </c>
      <c r="O43" s="2">
        <v>0.0</v>
      </c>
      <c r="P43" s="2">
        <v>337.0</v>
      </c>
      <c r="Q43" s="2">
        <v>87.0</v>
      </c>
      <c r="R43" s="2">
        <v>11.0</v>
      </c>
      <c r="S43" s="2">
        <v>-0.0692127942165826</v>
      </c>
      <c r="T43" s="2">
        <v>-5.17697867118951</v>
      </c>
      <c r="U43" s="2">
        <v>0.0</v>
      </c>
      <c r="V43" s="2">
        <v>8.0</v>
      </c>
      <c r="W43" s="2">
        <v>5.0</v>
      </c>
      <c r="X43" s="2">
        <v>4.0</v>
      </c>
      <c r="Y43" s="2">
        <v>0.0</v>
      </c>
      <c r="Z43" s="2">
        <v>27.0</v>
      </c>
      <c r="AA43" s="2">
        <v>134.0</v>
      </c>
      <c r="AB43" s="2">
        <v>1.0</v>
      </c>
      <c r="AC43" s="2">
        <v>2.0</v>
      </c>
      <c r="AD43" s="2">
        <v>1.0</v>
      </c>
      <c r="AE43" s="2">
        <v>7.0</v>
      </c>
      <c r="AF43" s="2">
        <v>-10.5524119317706</v>
      </c>
      <c r="AG43" s="2">
        <v>0.0</v>
      </c>
      <c r="AH43" s="2">
        <v>5.0</v>
      </c>
      <c r="AI43" s="2">
        <v>2.0</v>
      </c>
      <c r="AJ43" s="2">
        <v>1.0</v>
      </c>
      <c r="AK43" s="2">
        <v>0.0</v>
      </c>
      <c r="AL43" s="2">
        <v>21.0</v>
      </c>
      <c r="AM43" s="2">
        <v>33.0</v>
      </c>
      <c r="AN43" s="2">
        <v>234.0</v>
      </c>
      <c r="AO43" s="2">
        <v>2.0</v>
      </c>
      <c r="AP43" s="2">
        <v>0.0</v>
      </c>
      <c r="AQ43" s="2">
        <v>0.0</v>
      </c>
      <c r="AR43" s="2">
        <v>337.0</v>
      </c>
      <c r="AS43" s="2">
        <v>87.0</v>
      </c>
      <c r="AT43" s="2">
        <v>11.0</v>
      </c>
      <c r="AU43" s="2">
        <v>6.59858487520251</v>
      </c>
      <c r="AV43" s="2">
        <v>0.0</v>
      </c>
      <c r="AW43" s="2">
        <v>8.0</v>
      </c>
      <c r="AX43" s="2">
        <v>5.0</v>
      </c>
      <c r="AY43" s="2">
        <v>4.0</v>
      </c>
      <c r="AZ43" s="2">
        <v>0.0</v>
      </c>
      <c r="BA43" s="2">
        <v>0.0</v>
      </c>
      <c r="BB43" s="2">
        <v>38.0</v>
      </c>
      <c r="BC43" s="2">
        <v>4.0</v>
      </c>
      <c r="BD43" s="2">
        <v>24.0</v>
      </c>
      <c r="BE43" s="2">
        <v>4.0</v>
      </c>
      <c r="BF43" s="2">
        <v>15.0</v>
      </c>
      <c r="BG43" s="2">
        <v>0.0</v>
      </c>
      <c r="BH43" s="2">
        <v>0.0</v>
      </c>
      <c r="BI43" s="2">
        <v>0.0</v>
      </c>
      <c r="BJ43" s="2">
        <v>4.0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>
        <v>1.0</v>
      </c>
      <c r="BS43" s="2">
        <v>1.0</v>
      </c>
      <c r="BT43" s="2">
        <v>0.0</v>
      </c>
      <c r="BU43" s="2">
        <v>0.0</v>
      </c>
      <c r="BV43" s="2">
        <v>0.0</v>
      </c>
      <c r="BW43" s="2">
        <v>8.0</v>
      </c>
      <c r="BX43" s="2">
        <v>50.0</v>
      </c>
      <c r="BY43" s="2">
        <v>1.0</v>
      </c>
      <c r="BZ43" s="2">
        <v>1.0</v>
      </c>
      <c r="CA43" s="2">
        <v>1.0</v>
      </c>
      <c r="CB43" s="2">
        <v>0.0</v>
      </c>
      <c r="CC43" s="2">
        <v>2.0</v>
      </c>
      <c r="CD43" s="2">
        <v>1.0</v>
      </c>
      <c r="CE43" s="2">
        <v>2.0</v>
      </c>
      <c r="CF43" s="2">
        <v>16.0</v>
      </c>
      <c r="CG43" s="2">
        <v>8.0</v>
      </c>
      <c r="CH43" s="2">
        <v>215.0</v>
      </c>
      <c r="CI43" s="2">
        <v>0.0</v>
      </c>
      <c r="CJ43" s="2">
        <v>0.0</v>
      </c>
      <c r="CK43" s="2">
        <v>0.0</v>
      </c>
      <c r="CL43" s="2">
        <v>0.0</v>
      </c>
      <c r="CO43" s="2">
        <v>0.0</v>
      </c>
      <c r="CP43" s="2">
        <v>0.0</v>
      </c>
      <c r="CQ43" s="2">
        <v>0.0</v>
      </c>
      <c r="CR43" s="2">
        <v>0.0</v>
      </c>
      <c r="CS43" s="2">
        <v>0.0</v>
      </c>
      <c r="CT43" s="2">
        <v>0.0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0.0</v>
      </c>
      <c r="DD43" s="2">
        <v>0.0</v>
      </c>
      <c r="DE43" s="2">
        <v>0.0</v>
      </c>
      <c r="DF43" s="2">
        <v>0.0</v>
      </c>
      <c r="DG43" s="2">
        <v>3.0</v>
      </c>
      <c r="DH43" s="2">
        <v>3.0</v>
      </c>
      <c r="DI43" s="2">
        <v>0.0</v>
      </c>
      <c r="DJ43" s="2">
        <v>0.0</v>
      </c>
      <c r="DK43" s="2">
        <v>1.0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4.0</v>
      </c>
      <c r="DR43" s="2">
        <v>0.0</v>
      </c>
      <c r="DS43" s="2">
        <v>62.0</v>
      </c>
      <c r="DT43" s="2">
        <v>212.0</v>
      </c>
      <c r="DU43" s="2">
        <v>1.0</v>
      </c>
      <c r="DV43" s="2">
        <v>1.0</v>
      </c>
      <c r="DW43" s="2">
        <v>0.0</v>
      </c>
      <c r="DX43" s="2">
        <v>0.0</v>
      </c>
      <c r="DY43" s="2">
        <v>0.0</v>
      </c>
      <c r="DZ43" s="2">
        <v>3.0</v>
      </c>
      <c r="EA43" s="2">
        <v>19.0</v>
      </c>
      <c r="EB43" s="2">
        <v>0.0</v>
      </c>
      <c r="EC43" s="2">
        <v>193.0</v>
      </c>
      <c r="EE43" s="2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2">
        <v>2025.0</v>
      </c>
      <c r="B44" s="2">
        <v>2.0</v>
      </c>
      <c r="C44" s="2" t="s">
        <v>138</v>
      </c>
      <c r="D44" s="2" t="s">
        <v>390</v>
      </c>
      <c r="E44" s="2" t="s">
        <v>569</v>
      </c>
      <c r="F44" s="2" t="s">
        <v>141</v>
      </c>
      <c r="G44" s="2">
        <v>28.0</v>
      </c>
      <c r="H44" s="2">
        <v>45.0</v>
      </c>
      <c r="I44" s="2">
        <v>317.0</v>
      </c>
      <c r="J44" s="2">
        <v>3.0</v>
      </c>
      <c r="K44" s="2">
        <v>3.0</v>
      </c>
      <c r="L44" s="2">
        <v>3.0</v>
      </c>
      <c r="M44" s="2">
        <v>-15.0</v>
      </c>
      <c r="N44" s="2">
        <v>0.0</v>
      </c>
      <c r="O44" s="2">
        <v>0.0</v>
      </c>
      <c r="P44" s="2">
        <v>360.0</v>
      </c>
      <c r="Q44" s="2">
        <v>131.0</v>
      </c>
      <c r="R44" s="2">
        <v>17.0</v>
      </c>
      <c r="S44" s="2">
        <v>-1.82821788815948</v>
      </c>
      <c r="T44" s="2">
        <v>2.38318595775338</v>
      </c>
      <c r="U44" s="2">
        <v>0.0</v>
      </c>
      <c r="V44" s="2">
        <v>16.0</v>
      </c>
      <c r="W44" s="2">
        <v>5.0</v>
      </c>
      <c r="X44" s="2">
        <v>4.0</v>
      </c>
      <c r="Y44" s="2">
        <v>1.0</v>
      </c>
      <c r="Z44" s="2">
        <v>17.0</v>
      </c>
      <c r="AA44" s="2">
        <v>48.0</v>
      </c>
      <c r="AB44" s="2">
        <v>1.0</v>
      </c>
      <c r="AC44" s="2">
        <v>0.0</v>
      </c>
      <c r="AD44" s="2">
        <v>0.0</v>
      </c>
      <c r="AE44" s="2">
        <v>5.0</v>
      </c>
      <c r="AF44" s="2">
        <v>1.36242837438476</v>
      </c>
      <c r="AG44" s="2">
        <v>0.0</v>
      </c>
      <c r="AH44" s="2">
        <v>1.0</v>
      </c>
      <c r="AI44" s="2">
        <v>0.0</v>
      </c>
      <c r="AJ44" s="2">
        <v>0.0</v>
      </c>
      <c r="AK44" s="2">
        <v>0.0</v>
      </c>
      <c r="AL44" s="2">
        <v>28.0</v>
      </c>
      <c r="AM44" s="2">
        <v>43.0</v>
      </c>
      <c r="AN44" s="2">
        <v>317.0</v>
      </c>
      <c r="AO44" s="2">
        <v>3.0</v>
      </c>
      <c r="AP44" s="2">
        <v>0.0</v>
      </c>
      <c r="AQ44" s="2">
        <v>0.0</v>
      </c>
      <c r="AR44" s="2">
        <v>360.0</v>
      </c>
      <c r="AS44" s="2">
        <v>131.0</v>
      </c>
      <c r="AT44" s="2">
        <v>17.0</v>
      </c>
      <c r="AU44" s="2">
        <v>3.90774654385001</v>
      </c>
      <c r="AV44" s="2">
        <v>0.0</v>
      </c>
      <c r="AW44" s="2">
        <v>16.0</v>
      </c>
      <c r="AX44" s="2">
        <v>5.0</v>
      </c>
      <c r="AY44" s="2">
        <v>4.0</v>
      </c>
      <c r="AZ44" s="2">
        <v>1.0</v>
      </c>
      <c r="BA44" s="2">
        <v>0.0</v>
      </c>
      <c r="BB44" s="2">
        <v>43.0</v>
      </c>
      <c r="BC44" s="2">
        <v>0.0</v>
      </c>
      <c r="BD44" s="2">
        <v>26.0</v>
      </c>
      <c r="BE44" s="2">
        <v>2.0</v>
      </c>
      <c r="BF44" s="2">
        <v>14.0</v>
      </c>
      <c r="BG44" s="2">
        <v>0.0</v>
      </c>
      <c r="BH44" s="2">
        <v>1.0</v>
      </c>
      <c r="BI44" s="2">
        <v>10.0</v>
      </c>
      <c r="BJ44" s="2">
        <v>4.0</v>
      </c>
      <c r="BK44" s="2">
        <v>2.0</v>
      </c>
      <c r="BL44" s="2">
        <v>4.0</v>
      </c>
      <c r="BM44" s="2">
        <v>8.0</v>
      </c>
      <c r="BN44" s="2">
        <v>0.0</v>
      </c>
      <c r="BO44" s="2">
        <v>0.0</v>
      </c>
      <c r="BP44" s="2">
        <v>0.0</v>
      </c>
      <c r="BQ44" s="2">
        <v>0.0</v>
      </c>
      <c r="BR44" s="2">
        <v>0.0</v>
      </c>
      <c r="BS44" s="2">
        <v>0.0</v>
      </c>
      <c r="BT44" s="2">
        <v>0.0</v>
      </c>
      <c r="BU44" s="2">
        <v>0.0</v>
      </c>
      <c r="BV44" s="2">
        <v>0.0</v>
      </c>
      <c r="BW44" s="2">
        <v>3.0</v>
      </c>
      <c r="BX44" s="2">
        <v>29.0</v>
      </c>
      <c r="BY44" s="2">
        <v>3.0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1.0</v>
      </c>
      <c r="CF44" s="2">
        <v>11.0</v>
      </c>
      <c r="CG44" s="2">
        <v>6.0</v>
      </c>
      <c r="CH44" s="2">
        <v>154.0</v>
      </c>
      <c r="CI44" s="2">
        <v>1.0</v>
      </c>
      <c r="CJ44" s="2">
        <v>1.0</v>
      </c>
      <c r="CK44" s="2">
        <v>0.0</v>
      </c>
      <c r="CL44" s="2">
        <v>0.0</v>
      </c>
      <c r="CM44" s="2">
        <v>31.0</v>
      </c>
      <c r="CN44" s="2">
        <v>1.0</v>
      </c>
      <c r="CO44" s="2">
        <v>0.0</v>
      </c>
      <c r="CP44" s="2">
        <v>0.0</v>
      </c>
      <c r="CQ44" s="2">
        <v>1.0</v>
      </c>
      <c r="CR44" s="2">
        <v>0.0</v>
      </c>
      <c r="CS44" s="2">
        <v>0.0</v>
      </c>
      <c r="CT44" s="2">
        <v>0.0</v>
      </c>
      <c r="CU44" s="2">
        <v>0.0</v>
      </c>
      <c r="CV44" s="2">
        <v>0.0</v>
      </c>
      <c r="CW44" s="2">
        <v>0.0</v>
      </c>
      <c r="CX44" s="2">
        <v>0.0</v>
      </c>
      <c r="CY44" s="2">
        <v>0.0</v>
      </c>
      <c r="CZ44" s="2">
        <v>0.0</v>
      </c>
      <c r="DA44" s="2" t="s">
        <v>1998</v>
      </c>
      <c r="DD44" s="2">
        <v>31.0</v>
      </c>
      <c r="DE44" s="2">
        <v>0.0</v>
      </c>
      <c r="DF44" s="2">
        <v>0.0</v>
      </c>
      <c r="DG44" s="2">
        <v>4.0</v>
      </c>
      <c r="DH44" s="2">
        <v>4.0</v>
      </c>
      <c r="DI44" s="2">
        <v>0.0</v>
      </c>
      <c r="DJ44" s="2">
        <v>0.0</v>
      </c>
      <c r="DK44" s="2">
        <v>1.0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3.0</v>
      </c>
      <c r="DR44" s="2">
        <v>0.0</v>
      </c>
      <c r="DS44" s="2">
        <v>63.0</v>
      </c>
      <c r="DT44" s="2">
        <v>166.0</v>
      </c>
      <c r="DU44" s="2">
        <v>2.0</v>
      </c>
      <c r="DV44" s="2">
        <v>0.0</v>
      </c>
      <c r="DW44" s="2">
        <v>1.0</v>
      </c>
      <c r="DX44" s="2">
        <v>0.0</v>
      </c>
      <c r="DY44" s="2">
        <v>0.0</v>
      </c>
      <c r="DZ44" s="2">
        <v>2.0</v>
      </c>
      <c r="EA44" s="2">
        <v>19.0</v>
      </c>
      <c r="EB44" s="2">
        <v>0.0</v>
      </c>
      <c r="EC44" s="2">
        <v>147.0</v>
      </c>
      <c r="EE44" s="2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2">
        <v>2025.0</v>
      </c>
      <c r="B45" s="2">
        <v>2.0</v>
      </c>
      <c r="C45" s="2" t="s">
        <v>196</v>
      </c>
      <c r="D45" s="2" t="s">
        <v>390</v>
      </c>
      <c r="E45" s="2" t="s">
        <v>564</v>
      </c>
      <c r="F45" s="2" t="s">
        <v>148</v>
      </c>
      <c r="G45" s="2">
        <v>28.0</v>
      </c>
      <c r="H45" s="2">
        <v>48.0</v>
      </c>
      <c r="I45" s="2">
        <v>218.0</v>
      </c>
      <c r="J45" s="2">
        <v>2.0</v>
      </c>
      <c r="K45" s="2">
        <v>1.0</v>
      </c>
      <c r="L45" s="2">
        <v>2.0</v>
      </c>
      <c r="M45" s="2">
        <v>-11.0</v>
      </c>
      <c r="N45" s="2">
        <v>1.0</v>
      </c>
      <c r="O45" s="2">
        <v>1.0</v>
      </c>
      <c r="P45" s="2">
        <v>312.0</v>
      </c>
      <c r="Q45" s="2">
        <v>96.0</v>
      </c>
      <c r="R45" s="2">
        <v>10.0</v>
      </c>
      <c r="S45" s="2">
        <v>-23.3165189045134</v>
      </c>
      <c r="T45" s="2">
        <v>-0.200864527283645</v>
      </c>
      <c r="U45" s="2">
        <v>0.0</v>
      </c>
      <c r="V45" s="2">
        <v>8.0</v>
      </c>
      <c r="W45" s="2">
        <v>4.0</v>
      </c>
      <c r="X45" s="2">
        <v>3.0</v>
      </c>
      <c r="Y45" s="2">
        <v>0.0</v>
      </c>
      <c r="Z45" s="2">
        <v>22.0</v>
      </c>
      <c r="AA45" s="2">
        <v>115.0</v>
      </c>
      <c r="AB45" s="2">
        <v>0.0</v>
      </c>
      <c r="AC45" s="2">
        <v>0.0</v>
      </c>
      <c r="AD45" s="2">
        <v>0.0</v>
      </c>
      <c r="AE45" s="2">
        <v>7.0</v>
      </c>
      <c r="AF45" s="2">
        <v>4.38433192804223</v>
      </c>
      <c r="AG45" s="2">
        <v>0.0</v>
      </c>
      <c r="AH45" s="2">
        <v>1.0</v>
      </c>
      <c r="AI45" s="2">
        <v>1.0</v>
      </c>
      <c r="AJ45" s="2">
        <v>1.0</v>
      </c>
      <c r="AK45" s="2">
        <v>0.0</v>
      </c>
      <c r="AL45" s="2">
        <v>28.0</v>
      </c>
      <c r="AM45" s="2">
        <v>41.0</v>
      </c>
      <c r="AN45" s="2">
        <v>218.0</v>
      </c>
      <c r="AO45" s="2">
        <v>2.0</v>
      </c>
      <c r="AP45" s="2">
        <v>0.0</v>
      </c>
      <c r="AQ45" s="2">
        <v>0.0</v>
      </c>
      <c r="AR45" s="2">
        <v>312.0</v>
      </c>
      <c r="AS45" s="2">
        <v>96.0</v>
      </c>
      <c r="AT45" s="2">
        <v>10.0</v>
      </c>
      <c r="AU45" s="2">
        <v>-7.27729857316024</v>
      </c>
      <c r="AV45" s="2">
        <v>0.0</v>
      </c>
      <c r="AW45" s="2">
        <v>8.0</v>
      </c>
      <c r="AX45" s="2">
        <v>4.0</v>
      </c>
      <c r="AY45" s="2">
        <v>3.0</v>
      </c>
      <c r="AZ45" s="2">
        <v>0.0</v>
      </c>
      <c r="BA45" s="2">
        <v>0.0</v>
      </c>
      <c r="BB45" s="2">
        <v>25.0</v>
      </c>
      <c r="BC45" s="2">
        <v>3.0</v>
      </c>
      <c r="BD45" s="2">
        <v>29.0</v>
      </c>
      <c r="BE45" s="2">
        <v>5.0</v>
      </c>
      <c r="BF45" s="2">
        <v>25.0</v>
      </c>
      <c r="BG45" s="2">
        <v>1.0</v>
      </c>
      <c r="BH45" s="2">
        <v>3.0</v>
      </c>
      <c r="BI45" s="2">
        <v>28.0</v>
      </c>
      <c r="BJ45" s="2">
        <v>5.0</v>
      </c>
      <c r="BK45" s="2">
        <v>0.0</v>
      </c>
      <c r="BL45" s="2">
        <v>0.0</v>
      </c>
      <c r="BM45" s="2">
        <v>5.0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0.0</v>
      </c>
      <c r="BT45" s="2">
        <v>0.0</v>
      </c>
      <c r="BU45" s="2">
        <v>0.0</v>
      </c>
      <c r="BV45" s="2">
        <v>0.0</v>
      </c>
      <c r="BW45" s="2">
        <v>6.0</v>
      </c>
      <c r="BX45" s="2">
        <v>42.0</v>
      </c>
      <c r="BY45" s="2">
        <v>2.0</v>
      </c>
      <c r="BZ45" s="2">
        <v>1.0</v>
      </c>
      <c r="CA45" s="2">
        <v>0.0</v>
      </c>
      <c r="CB45" s="2">
        <v>0.0</v>
      </c>
      <c r="CC45" s="2">
        <v>1.0</v>
      </c>
      <c r="CD45" s="2">
        <v>1.0</v>
      </c>
      <c r="CE45" s="2">
        <v>1.0</v>
      </c>
      <c r="CF45" s="2">
        <v>0.0</v>
      </c>
      <c r="CG45" s="2">
        <v>5.0</v>
      </c>
      <c r="CH45" s="2">
        <v>94.0</v>
      </c>
      <c r="CI45" s="2">
        <v>1.0</v>
      </c>
      <c r="CJ45" s="2">
        <v>1.0</v>
      </c>
      <c r="CK45" s="2">
        <v>0.0</v>
      </c>
      <c r="CL45" s="2">
        <v>0.0</v>
      </c>
      <c r="CM45" s="2">
        <v>38.0</v>
      </c>
      <c r="CN45" s="2">
        <v>1.0</v>
      </c>
      <c r="CO45" s="2">
        <v>0.0</v>
      </c>
      <c r="CP45" s="2">
        <v>0.0</v>
      </c>
      <c r="CQ45" s="2">
        <v>1.0</v>
      </c>
      <c r="CR45" s="2">
        <v>0.0</v>
      </c>
      <c r="CS45" s="2">
        <v>0.0</v>
      </c>
      <c r="CT45" s="2">
        <v>0.0</v>
      </c>
      <c r="CU45" s="2">
        <v>0.0</v>
      </c>
      <c r="CV45" s="2">
        <v>0.0</v>
      </c>
      <c r="CW45" s="2">
        <v>0.0</v>
      </c>
      <c r="CX45" s="2">
        <v>0.0</v>
      </c>
      <c r="CY45" s="2">
        <v>0.0</v>
      </c>
      <c r="CZ45" s="2">
        <v>0.0</v>
      </c>
      <c r="DA45" s="2" t="s">
        <v>1999</v>
      </c>
      <c r="DD45" s="2">
        <v>38.0</v>
      </c>
      <c r="DE45" s="2">
        <v>0.0</v>
      </c>
      <c r="DF45" s="2">
        <v>0.0</v>
      </c>
      <c r="DG45" s="2">
        <v>2.0</v>
      </c>
      <c r="DH45" s="2">
        <v>2.0</v>
      </c>
      <c r="DI45" s="2">
        <v>0.0</v>
      </c>
      <c r="DJ45" s="2">
        <v>0.0</v>
      </c>
      <c r="DK45" s="2">
        <v>1.0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5.0</v>
      </c>
      <c r="DR45" s="2">
        <v>1.0</v>
      </c>
      <c r="DS45" s="2">
        <v>53.0</v>
      </c>
      <c r="DT45" s="2">
        <v>223.0</v>
      </c>
      <c r="DU45" s="2">
        <v>3.0</v>
      </c>
      <c r="DV45" s="2">
        <v>2.0</v>
      </c>
      <c r="DW45" s="2">
        <v>1.0</v>
      </c>
      <c r="DX45" s="2">
        <v>0.0</v>
      </c>
      <c r="DY45" s="2">
        <v>1.0</v>
      </c>
      <c r="DZ45" s="2">
        <v>1.0</v>
      </c>
      <c r="EA45" s="2">
        <v>23.0</v>
      </c>
      <c r="EB45" s="2">
        <v>0.0</v>
      </c>
      <c r="EC45" s="2">
        <v>200.0</v>
      </c>
      <c r="EE45" s="2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2">
        <v>2025.0</v>
      </c>
      <c r="B46" s="2">
        <v>2.0</v>
      </c>
      <c r="C46" s="2" t="s">
        <v>146</v>
      </c>
      <c r="D46" s="2" t="s">
        <v>390</v>
      </c>
      <c r="E46" s="2" t="s">
        <v>573</v>
      </c>
      <c r="F46" s="2" t="s">
        <v>235</v>
      </c>
      <c r="G46" s="2">
        <v>38.0</v>
      </c>
      <c r="H46" s="2">
        <v>52.0</v>
      </c>
      <c r="I46" s="2">
        <v>361.0</v>
      </c>
      <c r="J46" s="2">
        <v>2.0</v>
      </c>
      <c r="K46" s="2">
        <v>1.0</v>
      </c>
      <c r="L46" s="2">
        <v>3.0</v>
      </c>
      <c r="M46" s="2">
        <v>-18.0</v>
      </c>
      <c r="N46" s="2">
        <v>0.0</v>
      </c>
      <c r="O46" s="2">
        <v>0.0</v>
      </c>
      <c r="P46" s="2">
        <v>350.0</v>
      </c>
      <c r="Q46" s="2">
        <v>147.0</v>
      </c>
      <c r="R46" s="2">
        <v>18.0</v>
      </c>
      <c r="S46" s="2">
        <v>10.0984876625821</v>
      </c>
      <c r="T46" s="2">
        <v>2.10174121535741</v>
      </c>
      <c r="U46" s="2">
        <v>0.0</v>
      </c>
      <c r="V46" s="2">
        <v>16.0</v>
      </c>
      <c r="W46" s="2">
        <v>8.0</v>
      </c>
      <c r="X46" s="2">
        <v>3.0</v>
      </c>
      <c r="Y46" s="2">
        <v>0.0</v>
      </c>
      <c r="Z46" s="2">
        <v>28.0</v>
      </c>
      <c r="AA46" s="2">
        <v>135.0</v>
      </c>
      <c r="AB46" s="2">
        <v>2.0</v>
      </c>
      <c r="AC46" s="2">
        <v>1.0</v>
      </c>
      <c r="AD46" s="2">
        <v>0.0</v>
      </c>
      <c r="AE46" s="2">
        <v>8.0</v>
      </c>
      <c r="AF46" s="2">
        <v>0.998315426806414</v>
      </c>
      <c r="AG46" s="2">
        <v>0.0</v>
      </c>
      <c r="AH46" s="2">
        <v>4.0</v>
      </c>
      <c r="AI46" s="2">
        <v>4.0</v>
      </c>
      <c r="AJ46" s="2">
        <v>1.0</v>
      </c>
      <c r="AK46" s="2">
        <v>0.0</v>
      </c>
      <c r="AL46" s="2">
        <v>38.0</v>
      </c>
      <c r="AM46" s="2">
        <v>52.0</v>
      </c>
      <c r="AN46" s="2">
        <v>361.0</v>
      </c>
      <c r="AO46" s="2">
        <v>2.0</v>
      </c>
      <c r="AP46" s="2">
        <v>0.0</v>
      </c>
      <c r="AQ46" s="2">
        <v>0.0</v>
      </c>
      <c r="AR46" s="2">
        <v>350.0</v>
      </c>
      <c r="AS46" s="2">
        <v>147.0</v>
      </c>
      <c r="AT46" s="2">
        <v>18.0</v>
      </c>
      <c r="AU46" s="2">
        <v>14.754545577598</v>
      </c>
      <c r="AV46" s="2">
        <v>0.0</v>
      </c>
      <c r="AW46" s="2">
        <v>16.0</v>
      </c>
      <c r="AX46" s="2">
        <v>8.0</v>
      </c>
      <c r="AY46" s="2">
        <v>3.0</v>
      </c>
      <c r="AZ46" s="2">
        <v>0.0</v>
      </c>
      <c r="BA46" s="2">
        <v>0.0</v>
      </c>
      <c r="BB46" s="2">
        <v>37.0</v>
      </c>
      <c r="BC46" s="2">
        <v>1.0</v>
      </c>
      <c r="BD46" s="2">
        <v>43.0</v>
      </c>
      <c r="BE46" s="2">
        <v>4.0</v>
      </c>
      <c r="BF46" s="2">
        <v>21.0</v>
      </c>
      <c r="BG46" s="2">
        <v>0.0</v>
      </c>
      <c r="BH46" s="2">
        <v>2.0</v>
      </c>
      <c r="BI46" s="2">
        <v>14.0</v>
      </c>
      <c r="BJ46" s="2">
        <v>6.0</v>
      </c>
      <c r="BK46" s="2">
        <v>1.0</v>
      </c>
      <c r="BL46" s="2">
        <v>0.0</v>
      </c>
      <c r="BM46" s="2">
        <v>2.0</v>
      </c>
      <c r="BN46" s="2">
        <v>0.0</v>
      </c>
      <c r="BO46" s="2">
        <v>0.0</v>
      </c>
      <c r="BP46" s="2">
        <v>0.0</v>
      </c>
      <c r="BQ46" s="2">
        <v>0.0</v>
      </c>
      <c r="BR46" s="2">
        <v>1.0</v>
      </c>
      <c r="BS46" s="2">
        <v>-1.0</v>
      </c>
      <c r="BT46" s="2">
        <v>0.0</v>
      </c>
      <c r="BU46" s="2">
        <v>0.0</v>
      </c>
      <c r="BV46" s="2">
        <v>0.0</v>
      </c>
      <c r="BW46" s="2">
        <v>12.0</v>
      </c>
      <c r="BX46" s="2">
        <v>106.0</v>
      </c>
      <c r="BY46" s="2">
        <v>7.0</v>
      </c>
      <c r="BZ46" s="2">
        <v>0.0</v>
      </c>
      <c r="CA46" s="2">
        <v>1.0</v>
      </c>
      <c r="CB46" s="2">
        <v>0.0</v>
      </c>
      <c r="CC46" s="2">
        <v>1.0</v>
      </c>
      <c r="CD46" s="2">
        <v>0.0</v>
      </c>
      <c r="CE46" s="2">
        <v>1.0</v>
      </c>
      <c r="CF46" s="2">
        <v>2.0</v>
      </c>
      <c r="CG46" s="2">
        <v>9.0</v>
      </c>
      <c r="CH46" s="2">
        <v>209.0</v>
      </c>
      <c r="CI46" s="2">
        <v>4.0</v>
      </c>
      <c r="CJ46" s="2">
        <v>4.0</v>
      </c>
      <c r="CK46" s="2">
        <v>0.0</v>
      </c>
      <c r="CL46" s="2">
        <v>0.0</v>
      </c>
      <c r="CM46" s="2">
        <v>64.0</v>
      </c>
      <c r="CN46" s="2">
        <v>1.0</v>
      </c>
      <c r="CO46" s="2">
        <v>0.0</v>
      </c>
      <c r="CP46" s="2">
        <v>0.0</v>
      </c>
      <c r="CQ46" s="2">
        <v>0.0</v>
      </c>
      <c r="CR46" s="2">
        <v>2.0</v>
      </c>
      <c r="CS46" s="2">
        <v>1.0</v>
      </c>
      <c r="CT46" s="2">
        <v>1.0</v>
      </c>
      <c r="CU46" s="2">
        <v>0.0</v>
      </c>
      <c r="CV46" s="2">
        <v>0.0</v>
      </c>
      <c r="CW46" s="2">
        <v>0.0</v>
      </c>
      <c r="CX46" s="2">
        <v>0.0</v>
      </c>
      <c r="CY46" s="2">
        <v>0.0</v>
      </c>
      <c r="CZ46" s="2">
        <v>0.0</v>
      </c>
      <c r="DA46" s="2" t="s">
        <v>2000</v>
      </c>
      <c r="DD46" s="2">
        <v>205.0</v>
      </c>
      <c r="DE46" s="2">
        <v>0.0</v>
      </c>
      <c r="DF46" s="2">
        <v>0.0</v>
      </c>
      <c r="DG46" s="2">
        <v>4.0</v>
      </c>
      <c r="DH46" s="2">
        <v>4.0</v>
      </c>
      <c r="DI46" s="2">
        <v>0.0</v>
      </c>
      <c r="DJ46" s="2">
        <v>0.0</v>
      </c>
      <c r="DK46" s="2">
        <v>1.0</v>
      </c>
      <c r="DL46" s="2">
        <v>1.0</v>
      </c>
      <c r="DM46" s="2">
        <v>1.0</v>
      </c>
      <c r="DN46" s="2">
        <v>0.0</v>
      </c>
      <c r="DO46" s="2">
        <v>0.0</v>
      </c>
      <c r="DP46" s="2">
        <v>46.0</v>
      </c>
      <c r="DQ46" s="2">
        <v>4.0</v>
      </c>
      <c r="DR46" s="2">
        <v>0.0</v>
      </c>
      <c r="DS46" s="2">
        <v>53.0</v>
      </c>
      <c r="DT46" s="2">
        <v>191.0</v>
      </c>
      <c r="DU46" s="2">
        <v>2.0</v>
      </c>
      <c r="DV46" s="2">
        <v>0.0</v>
      </c>
      <c r="DW46" s="2">
        <v>0.0</v>
      </c>
      <c r="DX46" s="2">
        <v>0.0</v>
      </c>
      <c r="DY46" s="2">
        <v>1.0</v>
      </c>
      <c r="DZ46" s="2">
        <v>3.0</v>
      </c>
      <c r="EA46" s="2">
        <v>38.0</v>
      </c>
      <c r="EB46" s="2">
        <v>0.0</v>
      </c>
      <c r="EC46" s="2">
        <v>153.0</v>
      </c>
      <c r="EE46" s="2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2">
        <v>2025.0</v>
      </c>
      <c r="B47" s="2">
        <v>2.0</v>
      </c>
      <c r="C47" s="2" t="s">
        <v>139</v>
      </c>
      <c r="D47" s="2" t="s">
        <v>390</v>
      </c>
      <c r="E47" s="2" t="s">
        <v>603</v>
      </c>
      <c r="F47" s="2" t="s">
        <v>210</v>
      </c>
      <c r="G47" s="2">
        <v>22.0</v>
      </c>
      <c r="H47" s="2">
        <v>30.0</v>
      </c>
      <c r="I47" s="2">
        <v>206.0</v>
      </c>
      <c r="J47" s="2">
        <v>3.0</v>
      </c>
      <c r="K47" s="2">
        <v>1.0</v>
      </c>
      <c r="L47" s="2">
        <v>0.0</v>
      </c>
      <c r="M47" s="2">
        <v>0.0</v>
      </c>
      <c r="N47" s="2">
        <v>0.0</v>
      </c>
      <c r="O47" s="2">
        <v>0.0</v>
      </c>
      <c r="P47" s="2">
        <v>147.0</v>
      </c>
      <c r="Q47" s="2">
        <v>123.0</v>
      </c>
      <c r="R47" s="2">
        <v>11.0</v>
      </c>
      <c r="S47" s="2">
        <v>8.34534348991849</v>
      </c>
      <c r="T47" s="2">
        <v>0.991099774837494</v>
      </c>
      <c r="U47" s="2">
        <v>0.0</v>
      </c>
      <c r="V47" s="2">
        <v>8.0</v>
      </c>
      <c r="W47" s="2">
        <v>5.0</v>
      </c>
      <c r="X47" s="2">
        <v>2.0</v>
      </c>
      <c r="Y47" s="2">
        <v>1.0</v>
      </c>
      <c r="Z47" s="2">
        <v>24.0</v>
      </c>
      <c r="AA47" s="2">
        <v>118.0</v>
      </c>
      <c r="AB47" s="2">
        <v>1.0</v>
      </c>
      <c r="AC47" s="2">
        <v>0.0</v>
      </c>
      <c r="AD47" s="2">
        <v>0.0</v>
      </c>
      <c r="AE47" s="2">
        <v>7.0</v>
      </c>
      <c r="AF47" s="2">
        <v>2.01298982772278</v>
      </c>
      <c r="AG47" s="2">
        <v>0.0</v>
      </c>
      <c r="AH47" s="2">
        <v>4.0</v>
      </c>
      <c r="AI47" s="2">
        <v>3.0</v>
      </c>
      <c r="AJ47" s="2">
        <v>1.0</v>
      </c>
      <c r="AK47" s="2">
        <v>0.0</v>
      </c>
      <c r="AL47" s="2">
        <v>22.0</v>
      </c>
      <c r="AM47" s="2">
        <v>30.0</v>
      </c>
      <c r="AN47" s="2">
        <v>206.0</v>
      </c>
      <c r="AO47" s="2">
        <v>3.0</v>
      </c>
      <c r="AP47" s="2">
        <v>0.0</v>
      </c>
      <c r="AQ47" s="2">
        <v>0.0</v>
      </c>
      <c r="AR47" s="2">
        <v>147.0</v>
      </c>
      <c r="AS47" s="2">
        <v>123.0</v>
      </c>
      <c r="AT47" s="2">
        <v>11.0</v>
      </c>
      <c r="AU47" s="2">
        <v>8.34534348991849</v>
      </c>
      <c r="AV47" s="2">
        <v>0.0</v>
      </c>
      <c r="AW47" s="2">
        <v>8.0</v>
      </c>
      <c r="AX47" s="2">
        <v>5.0</v>
      </c>
      <c r="AY47" s="2">
        <v>2.0</v>
      </c>
      <c r="AZ47" s="2">
        <v>1.0</v>
      </c>
      <c r="BA47" s="2">
        <v>0.0</v>
      </c>
      <c r="BB47" s="2">
        <v>43.0</v>
      </c>
      <c r="BC47" s="2">
        <v>0.0</v>
      </c>
      <c r="BD47" s="2">
        <v>36.0</v>
      </c>
      <c r="BE47" s="2">
        <v>3.0</v>
      </c>
      <c r="BF47" s="2">
        <v>17.0</v>
      </c>
      <c r="BG47" s="2">
        <v>0.0</v>
      </c>
      <c r="BH47" s="2">
        <v>1.0</v>
      </c>
      <c r="BI47" s="2">
        <v>10.0</v>
      </c>
      <c r="BJ47" s="2">
        <v>6.0</v>
      </c>
      <c r="BK47" s="2">
        <v>0.0</v>
      </c>
      <c r="BL47" s="2">
        <v>0.0</v>
      </c>
      <c r="BM47" s="2">
        <v>5.0</v>
      </c>
      <c r="BN47" s="2">
        <v>0.0</v>
      </c>
      <c r="BO47" s="2">
        <v>0.0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0.0</v>
      </c>
      <c r="BW47" s="2">
        <v>8.0</v>
      </c>
      <c r="BX47" s="2">
        <v>83.0</v>
      </c>
      <c r="BY47" s="2">
        <v>3.0</v>
      </c>
      <c r="BZ47" s="2">
        <v>0.0</v>
      </c>
      <c r="CA47" s="2">
        <v>0.0</v>
      </c>
      <c r="CB47" s="2">
        <v>0.0</v>
      </c>
      <c r="CC47" s="2">
        <v>0.0</v>
      </c>
      <c r="CD47" s="2">
        <v>0.0</v>
      </c>
      <c r="CE47" s="2">
        <v>0.0</v>
      </c>
      <c r="CF47" s="2">
        <v>0.0</v>
      </c>
      <c r="CG47" s="2">
        <v>5.0</v>
      </c>
      <c r="CH47" s="2">
        <v>122.0</v>
      </c>
      <c r="CI47" s="2">
        <v>0.0</v>
      </c>
      <c r="CJ47" s="2">
        <v>1.0</v>
      </c>
      <c r="CK47" s="2">
        <v>1.0</v>
      </c>
      <c r="CL47" s="2">
        <v>0.0</v>
      </c>
      <c r="CN47" s="2">
        <v>0.0</v>
      </c>
      <c r="CO47" s="2">
        <v>0.0</v>
      </c>
      <c r="CP47" s="2">
        <v>0.0</v>
      </c>
      <c r="CQ47" s="2">
        <v>0.0</v>
      </c>
      <c r="CR47" s="2">
        <v>0.0</v>
      </c>
      <c r="CS47" s="2">
        <v>0.0</v>
      </c>
      <c r="CT47" s="2">
        <v>0.0</v>
      </c>
      <c r="CU47" s="2">
        <v>0.0</v>
      </c>
      <c r="CV47" s="2">
        <v>0.0</v>
      </c>
      <c r="CW47" s="2">
        <v>0.0</v>
      </c>
      <c r="CX47" s="2">
        <v>1.0</v>
      </c>
      <c r="CY47" s="2">
        <v>0.0</v>
      </c>
      <c r="CZ47" s="2">
        <v>0.0</v>
      </c>
      <c r="DB47" s="2" t="s">
        <v>1966</v>
      </c>
      <c r="DD47" s="2">
        <v>0.0</v>
      </c>
      <c r="DE47" s="2">
        <v>42.0</v>
      </c>
      <c r="DF47" s="2">
        <v>0.0</v>
      </c>
      <c r="DG47" s="2">
        <v>4.0</v>
      </c>
      <c r="DH47" s="2">
        <v>4.0</v>
      </c>
      <c r="DI47" s="2">
        <v>0.0</v>
      </c>
      <c r="DJ47" s="2">
        <v>0.0</v>
      </c>
      <c r="DK47" s="2">
        <v>1.0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3.0</v>
      </c>
      <c r="DR47" s="2">
        <v>0.0</v>
      </c>
      <c r="DS47" s="2">
        <v>50.0</v>
      </c>
      <c r="DT47" s="2">
        <v>134.0</v>
      </c>
      <c r="DU47" s="2">
        <v>3.0</v>
      </c>
      <c r="DV47" s="2">
        <v>0.0</v>
      </c>
      <c r="DW47" s="2">
        <v>0.0</v>
      </c>
      <c r="DX47" s="2">
        <v>0.0</v>
      </c>
      <c r="DY47" s="2">
        <v>1.0</v>
      </c>
      <c r="DZ47" s="2">
        <v>2.0</v>
      </c>
      <c r="EA47" s="2">
        <v>4.0</v>
      </c>
      <c r="EB47" s="2">
        <v>0.0</v>
      </c>
      <c r="EC47" s="2">
        <v>130.0</v>
      </c>
      <c r="EE47" s="2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2">
        <v>2025.0</v>
      </c>
      <c r="B48" s="2">
        <v>2.0</v>
      </c>
      <c r="C48" s="2" t="s">
        <v>202</v>
      </c>
      <c r="D48" s="2" t="s">
        <v>390</v>
      </c>
      <c r="E48" s="2" t="s">
        <v>577</v>
      </c>
      <c r="F48" s="2" t="s">
        <v>137</v>
      </c>
      <c r="G48" s="2">
        <v>23.0</v>
      </c>
      <c r="H48" s="2">
        <v>28.0</v>
      </c>
      <c r="I48" s="2">
        <v>334.0</v>
      </c>
      <c r="J48" s="2">
        <v>5.0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274.0</v>
      </c>
      <c r="Q48" s="2">
        <v>165.0</v>
      </c>
      <c r="R48" s="2">
        <v>15.0</v>
      </c>
      <c r="S48" s="2">
        <v>24.103420304086</v>
      </c>
      <c r="T48" s="2">
        <v>14.9424163358552</v>
      </c>
      <c r="U48" s="2">
        <v>0.0</v>
      </c>
      <c r="V48" s="2">
        <v>10.0</v>
      </c>
      <c r="W48" s="2">
        <v>6.0</v>
      </c>
      <c r="X48" s="2">
        <v>5.0</v>
      </c>
      <c r="Y48" s="2">
        <v>2.0</v>
      </c>
      <c r="Z48" s="2">
        <v>30.0</v>
      </c>
      <c r="AA48" s="2">
        <v>177.0</v>
      </c>
      <c r="AB48" s="2">
        <v>2.0</v>
      </c>
      <c r="AC48" s="2">
        <v>0.0</v>
      </c>
      <c r="AD48" s="2">
        <v>0.0</v>
      </c>
      <c r="AE48" s="2">
        <v>10.0</v>
      </c>
      <c r="AF48" s="2">
        <v>-0.352986505496582</v>
      </c>
      <c r="AG48" s="2">
        <v>0.0</v>
      </c>
      <c r="AH48" s="2">
        <v>5.0</v>
      </c>
      <c r="AI48" s="2">
        <v>4.0</v>
      </c>
      <c r="AJ48" s="2">
        <v>2.0</v>
      </c>
      <c r="AK48" s="2">
        <v>1.0</v>
      </c>
      <c r="AL48" s="2">
        <v>23.0</v>
      </c>
      <c r="AM48" s="2">
        <v>28.0</v>
      </c>
      <c r="AN48" s="2">
        <v>334.0</v>
      </c>
      <c r="AO48" s="2">
        <v>5.0</v>
      </c>
      <c r="AP48" s="2">
        <v>0.0</v>
      </c>
      <c r="AQ48" s="2">
        <v>0.0</v>
      </c>
      <c r="AR48" s="2">
        <v>274.0</v>
      </c>
      <c r="AS48" s="2">
        <v>165.0</v>
      </c>
      <c r="AT48" s="2">
        <v>15.0</v>
      </c>
      <c r="AU48" s="2">
        <v>24.103420304086</v>
      </c>
      <c r="AV48" s="2">
        <v>0.0</v>
      </c>
      <c r="AW48" s="2">
        <v>10.0</v>
      </c>
      <c r="AX48" s="2">
        <v>6.0</v>
      </c>
      <c r="AY48" s="2">
        <v>5.0</v>
      </c>
      <c r="AZ48" s="2">
        <v>2.0</v>
      </c>
      <c r="BA48" s="2">
        <v>0.0</v>
      </c>
      <c r="BB48" s="2">
        <v>45.0</v>
      </c>
      <c r="BC48" s="2">
        <v>1.0</v>
      </c>
      <c r="BD48" s="2">
        <v>25.0</v>
      </c>
      <c r="BE48" s="2">
        <v>5.0</v>
      </c>
      <c r="BF48" s="2">
        <v>30.0</v>
      </c>
      <c r="BG48" s="2">
        <v>1.0</v>
      </c>
      <c r="BH48" s="2">
        <v>4.0</v>
      </c>
      <c r="BI48" s="2">
        <v>29.0</v>
      </c>
      <c r="BJ48" s="2">
        <v>4.0</v>
      </c>
      <c r="BK48" s="2">
        <v>1.0</v>
      </c>
      <c r="BL48" s="2">
        <v>0.0</v>
      </c>
      <c r="BM48" s="2">
        <v>5.0</v>
      </c>
      <c r="BN48" s="2">
        <v>0.0</v>
      </c>
      <c r="BO48" s="2">
        <v>0.0</v>
      </c>
      <c r="BP48" s="2">
        <v>0.0</v>
      </c>
      <c r="BQ48" s="2">
        <v>0.0</v>
      </c>
      <c r="BR48" s="2">
        <v>0.0</v>
      </c>
      <c r="BS48" s="2">
        <v>0.0</v>
      </c>
      <c r="BT48" s="2">
        <v>1.0</v>
      </c>
      <c r="BU48" s="2">
        <v>2.0</v>
      </c>
      <c r="BV48" s="2">
        <v>0.0</v>
      </c>
      <c r="BW48" s="2">
        <v>3.0</v>
      </c>
      <c r="BX48" s="2">
        <v>28.0</v>
      </c>
      <c r="BY48" s="2">
        <v>3.0</v>
      </c>
      <c r="BZ48" s="2">
        <v>0.0</v>
      </c>
      <c r="CA48" s="2">
        <v>0.0</v>
      </c>
      <c r="CB48" s="2">
        <v>0.0</v>
      </c>
      <c r="CC48" s="2">
        <v>0.0</v>
      </c>
      <c r="CD48" s="2">
        <v>0.0</v>
      </c>
      <c r="CE48" s="2">
        <v>3.0</v>
      </c>
      <c r="CF48" s="2">
        <v>19.0</v>
      </c>
      <c r="CG48" s="2">
        <v>2.0</v>
      </c>
      <c r="CH48" s="2">
        <v>48.0</v>
      </c>
      <c r="CI48" s="2">
        <v>1.0</v>
      </c>
      <c r="CJ48" s="2">
        <v>2.0</v>
      </c>
      <c r="CK48" s="2">
        <v>1.0</v>
      </c>
      <c r="CL48" s="2">
        <v>0.0</v>
      </c>
      <c r="CM48" s="2">
        <v>34.0</v>
      </c>
      <c r="CN48" s="2">
        <v>0.5</v>
      </c>
      <c r="CO48" s="2">
        <v>0.0</v>
      </c>
      <c r="CP48" s="2">
        <v>0.0</v>
      </c>
      <c r="CQ48" s="2">
        <v>1.0</v>
      </c>
      <c r="CR48" s="2">
        <v>0.0</v>
      </c>
      <c r="CS48" s="2">
        <v>0.0</v>
      </c>
      <c r="CT48" s="2">
        <v>0.0</v>
      </c>
      <c r="CU48" s="2">
        <v>0.0</v>
      </c>
      <c r="CV48" s="2">
        <v>0.0</v>
      </c>
      <c r="CW48" s="2">
        <v>0.0</v>
      </c>
      <c r="CX48" s="2">
        <v>0.0</v>
      </c>
      <c r="CY48" s="2">
        <v>1.0</v>
      </c>
      <c r="CZ48" s="2">
        <v>0.0</v>
      </c>
      <c r="DA48" s="2" t="s">
        <v>2001</v>
      </c>
      <c r="DB48" s="2" t="s">
        <v>2002</v>
      </c>
      <c r="DD48" s="2">
        <v>34.0</v>
      </c>
      <c r="DE48" s="2">
        <v>55.0</v>
      </c>
      <c r="DF48" s="2">
        <v>0.0</v>
      </c>
      <c r="DG48" s="2">
        <v>7.0</v>
      </c>
      <c r="DH48" s="2">
        <v>7.0</v>
      </c>
      <c r="DI48" s="2">
        <v>0.0</v>
      </c>
      <c r="DJ48" s="2">
        <v>0.0</v>
      </c>
      <c r="DK48" s="2">
        <v>1.0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3.0</v>
      </c>
      <c r="DR48" s="2">
        <v>0.0</v>
      </c>
      <c r="DS48" s="2">
        <v>62.0</v>
      </c>
      <c r="DT48" s="2">
        <v>147.0</v>
      </c>
      <c r="DU48" s="2">
        <v>2.0</v>
      </c>
      <c r="DV48" s="2">
        <v>0.0</v>
      </c>
      <c r="DW48" s="2">
        <v>0.0</v>
      </c>
      <c r="DX48" s="2">
        <v>0.0</v>
      </c>
      <c r="DY48" s="2">
        <v>1.0</v>
      </c>
      <c r="DZ48" s="2">
        <v>2.0</v>
      </c>
      <c r="EA48" s="2">
        <v>16.0</v>
      </c>
      <c r="EB48" s="2">
        <v>0.0</v>
      </c>
      <c r="EC48" s="2">
        <v>131.0</v>
      </c>
      <c r="EE48" s="2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2">
        <v>2025.0</v>
      </c>
      <c r="B49" s="2">
        <v>2.0</v>
      </c>
      <c r="C49" s="2" t="s">
        <v>205</v>
      </c>
      <c r="D49" s="2" t="s">
        <v>390</v>
      </c>
      <c r="E49" s="2" t="s">
        <v>560</v>
      </c>
      <c r="F49" s="2" t="s">
        <v>253</v>
      </c>
      <c r="G49" s="2">
        <v>19.0</v>
      </c>
      <c r="H49" s="2">
        <v>31.0</v>
      </c>
      <c r="I49" s="2">
        <v>292.0</v>
      </c>
      <c r="J49" s="2">
        <v>2.0</v>
      </c>
      <c r="K49" s="2">
        <v>0.0</v>
      </c>
      <c r="L49" s="2">
        <v>2.0</v>
      </c>
      <c r="M49" s="2">
        <v>-23.0</v>
      </c>
      <c r="N49" s="2">
        <v>0.0</v>
      </c>
      <c r="O49" s="2">
        <v>0.0</v>
      </c>
      <c r="P49" s="2">
        <v>408.0</v>
      </c>
      <c r="Q49" s="2">
        <v>130.0</v>
      </c>
      <c r="R49" s="2">
        <v>14.0</v>
      </c>
      <c r="S49" s="2">
        <v>6.66238020994973</v>
      </c>
      <c r="T49" s="2">
        <v>10.3657127530487</v>
      </c>
      <c r="U49" s="2">
        <v>0.0</v>
      </c>
      <c r="V49" s="2">
        <v>12.0</v>
      </c>
      <c r="W49" s="2">
        <v>7.0</v>
      </c>
      <c r="X49" s="2">
        <v>3.0</v>
      </c>
      <c r="Y49" s="2">
        <v>1.0</v>
      </c>
      <c r="Z49" s="2">
        <v>30.0</v>
      </c>
      <c r="AA49" s="2">
        <v>135.0</v>
      </c>
      <c r="AB49" s="2">
        <v>1.0</v>
      </c>
      <c r="AC49" s="2">
        <v>0.0</v>
      </c>
      <c r="AD49" s="2">
        <v>0.0</v>
      </c>
      <c r="AE49" s="2">
        <v>6.0</v>
      </c>
      <c r="AF49" s="2">
        <v>1.24246386095756</v>
      </c>
      <c r="AG49" s="2">
        <v>0.0</v>
      </c>
      <c r="AH49" s="2">
        <v>3.0</v>
      </c>
      <c r="AI49" s="2">
        <v>2.0</v>
      </c>
      <c r="AJ49" s="2">
        <v>0.0</v>
      </c>
      <c r="AK49" s="2">
        <v>0.0</v>
      </c>
      <c r="AL49" s="2">
        <v>19.0</v>
      </c>
      <c r="AM49" s="2">
        <v>27.0</v>
      </c>
      <c r="AN49" s="2">
        <v>292.0</v>
      </c>
      <c r="AO49" s="2">
        <v>2.0</v>
      </c>
      <c r="AP49" s="2">
        <v>0.0</v>
      </c>
      <c r="AQ49" s="2">
        <v>0.0</v>
      </c>
      <c r="AR49" s="2">
        <v>408.0</v>
      </c>
      <c r="AS49" s="2">
        <v>130.0</v>
      </c>
      <c r="AT49" s="2">
        <v>14.0</v>
      </c>
      <c r="AU49" s="2">
        <v>13.8389942144837</v>
      </c>
      <c r="AV49" s="2">
        <v>0.0</v>
      </c>
      <c r="AW49" s="2">
        <v>12.0</v>
      </c>
      <c r="AX49" s="2">
        <v>7.0</v>
      </c>
      <c r="AY49" s="2">
        <v>3.0</v>
      </c>
      <c r="AZ49" s="2">
        <v>1.0</v>
      </c>
      <c r="BA49" s="2">
        <v>0.0</v>
      </c>
      <c r="BB49" s="2">
        <v>42.0</v>
      </c>
      <c r="BC49" s="2">
        <v>0.0</v>
      </c>
      <c r="BD49" s="2">
        <v>18.0</v>
      </c>
      <c r="BE49" s="2">
        <v>3.0</v>
      </c>
      <c r="BF49" s="2">
        <v>10.0</v>
      </c>
      <c r="BG49" s="2">
        <v>0.0</v>
      </c>
      <c r="BH49" s="2">
        <v>4.0</v>
      </c>
      <c r="BI49" s="2">
        <v>21.0</v>
      </c>
      <c r="BJ49" s="2">
        <v>12.0</v>
      </c>
      <c r="BK49" s="2">
        <v>0.0</v>
      </c>
      <c r="BL49" s="2">
        <v>0.0</v>
      </c>
      <c r="BM49" s="2">
        <v>8.0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</v>
      </c>
      <c r="BW49" s="2">
        <v>10.0</v>
      </c>
      <c r="BX49" s="2">
        <v>77.0</v>
      </c>
      <c r="BY49" s="2">
        <v>2.0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3.0</v>
      </c>
      <c r="CF49" s="2">
        <v>1.0</v>
      </c>
      <c r="CG49" s="2">
        <v>2.0</v>
      </c>
      <c r="CH49" s="2">
        <v>57.0</v>
      </c>
      <c r="CI49" s="2">
        <v>2.0</v>
      </c>
      <c r="CJ49" s="2">
        <v>3.0</v>
      </c>
      <c r="CK49" s="2">
        <v>1.0</v>
      </c>
      <c r="CL49" s="2">
        <v>0.0</v>
      </c>
      <c r="CM49" s="2">
        <v>56.0</v>
      </c>
      <c r="CN49" s="2">
        <v>0.666666666666667</v>
      </c>
      <c r="CO49" s="2">
        <v>0.0</v>
      </c>
      <c r="CP49" s="2">
        <v>1.0</v>
      </c>
      <c r="CQ49" s="2">
        <v>0.0</v>
      </c>
      <c r="CR49" s="2">
        <v>0.0</v>
      </c>
      <c r="CS49" s="2">
        <v>1.0</v>
      </c>
      <c r="CT49" s="2">
        <v>0.0</v>
      </c>
      <c r="CU49" s="2">
        <v>0.0</v>
      </c>
      <c r="CV49" s="2">
        <v>0.0</v>
      </c>
      <c r="CW49" s="2">
        <v>0.0</v>
      </c>
      <c r="CX49" s="2">
        <v>1.0</v>
      </c>
      <c r="CY49" s="2">
        <v>0.0</v>
      </c>
      <c r="CZ49" s="2">
        <v>0.0</v>
      </c>
      <c r="DA49" s="2" t="s">
        <v>2003</v>
      </c>
      <c r="DB49" s="2" t="s">
        <v>1965</v>
      </c>
      <c r="DD49" s="2">
        <v>78.0</v>
      </c>
      <c r="DE49" s="2">
        <v>48.0</v>
      </c>
      <c r="DF49" s="2">
        <v>0.0</v>
      </c>
      <c r="DG49" s="2">
        <v>3.0</v>
      </c>
      <c r="DH49" s="2">
        <v>3.0</v>
      </c>
      <c r="DI49" s="2">
        <v>0.0</v>
      </c>
      <c r="DJ49" s="2">
        <v>0.0</v>
      </c>
      <c r="DK49" s="2">
        <v>1.0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4.0</v>
      </c>
      <c r="DR49" s="2">
        <v>0.0</v>
      </c>
      <c r="DS49" s="2">
        <v>55.0</v>
      </c>
      <c r="DT49" s="2">
        <v>213.0</v>
      </c>
      <c r="DU49" s="2">
        <v>0.0</v>
      </c>
      <c r="DV49" s="2">
        <v>0.0</v>
      </c>
      <c r="DW49" s="2">
        <v>0.0</v>
      </c>
      <c r="DX49" s="2">
        <v>1.0</v>
      </c>
      <c r="DY49" s="2">
        <v>0.0</v>
      </c>
      <c r="DZ49" s="2">
        <v>3.0</v>
      </c>
      <c r="EA49" s="2">
        <v>50.0</v>
      </c>
      <c r="EB49" s="2">
        <v>0.0</v>
      </c>
      <c r="EC49" s="2">
        <v>143.0</v>
      </c>
      <c r="EE49" s="2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2">
        <v>2025.0</v>
      </c>
      <c r="B50" s="2">
        <v>2.0</v>
      </c>
      <c r="C50" s="2" t="s">
        <v>140</v>
      </c>
      <c r="D50" s="2" t="s">
        <v>390</v>
      </c>
      <c r="E50" s="2" t="s">
        <v>613</v>
      </c>
      <c r="F50" s="2" t="s">
        <v>150</v>
      </c>
      <c r="G50" s="2">
        <v>13.0</v>
      </c>
      <c r="H50" s="2">
        <v>24.0</v>
      </c>
      <c r="I50" s="2">
        <v>207.0</v>
      </c>
      <c r="J50" s="2">
        <v>1.0</v>
      </c>
      <c r="K50" s="2">
        <v>0.0</v>
      </c>
      <c r="L50" s="2">
        <v>3.0</v>
      </c>
      <c r="M50" s="2">
        <v>-25.0</v>
      </c>
      <c r="N50" s="2">
        <v>0.0</v>
      </c>
      <c r="O50" s="2">
        <v>0.0</v>
      </c>
      <c r="P50" s="2">
        <v>195.0</v>
      </c>
      <c r="Q50" s="2">
        <v>124.0</v>
      </c>
      <c r="R50" s="2">
        <v>7.0</v>
      </c>
      <c r="S50" s="2">
        <v>-4.48148261652589</v>
      </c>
      <c r="T50" s="2">
        <v>-9.78683064813199</v>
      </c>
      <c r="U50" s="2">
        <v>0.0</v>
      </c>
      <c r="V50" s="2">
        <v>7.0</v>
      </c>
      <c r="W50" s="2">
        <v>7.0</v>
      </c>
      <c r="X50" s="2">
        <v>5.0</v>
      </c>
      <c r="Y50" s="2">
        <v>0.0</v>
      </c>
      <c r="Z50" s="2">
        <v>19.0</v>
      </c>
      <c r="AA50" s="2">
        <v>84.0</v>
      </c>
      <c r="AB50" s="2">
        <v>1.0</v>
      </c>
      <c r="AC50" s="2">
        <v>0.0</v>
      </c>
      <c r="AD50" s="2">
        <v>0.0</v>
      </c>
      <c r="AE50" s="2">
        <v>3.0</v>
      </c>
      <c r="AF50" s="2">
        <v>1.47346493951045</v>
      </c>
      <c r="AG50" s="2">
        <v>0.0</v>
      </c>
      <c r="AH50" s="2">
        <v>2.0</v>
      </c>
      <c r="AI50" s="2">
        <v>2.0</v>
      </c>
      <c r="AJ50" s="2">
        <v>1.0</v>
      </c>
      <c r="AK50" s="2">
        <v>0.0</v>
      </c>
      <c r="AL50" s="2">
        <v>13.0</v>
      </c>
      <c r="AM50" s="2">
        <v>23.0</v>
      </c>
      <c r="AN50" s="2">
        <v>207.0</v>
      </c>
      <c r="AO50" s="2">
        <v>1.0</v>
      </c>
      <c r="AP50" s="2">
        <v>0.0</v>
      </c>
      <c r="AQ50" s="2">
        <v>0.0</v>
      </c>
      <c r="AR50" s="2">
        <v>195.0</v>
      </c>
      <c r="AS50" s="2">
        <v>124.0</v>
      </c>
      <c r="AT50" s="2">
        <v>7.0</v>
      </c>
      <c r="AU50" s="2">
        <v>3.69563966925274</v>
      </c>
      <c r="AV50" s="2">
        <v>0.0</v>
      </c>
      <c r="AW50" s="2">
        <v>7.0</v>
      </c>
      <c r="AX50" s="2">
        <v>7.0</v>
      </c>
      <c r="AY50" s="2">
        <v>5.0</v>
      </c>
      <c r="AZ50" s="2">
        <v>0.0</v>
      </c>
      <c r="BA50" s="2">
        <v>0.0</v>
      </c>
      <c r="BB50" s="2">
        <v>50.0</v>
      </c>
      <c r="BC50" s="2">
        <v>3.0</v>
      </c>
      <c r="BD50" s="2">
        <v>15.0</v>
      </c>
      <c r="BE50" s="2">
        <v>6.0</v>
      </c>
      <c r="BF50" s="2">
        <v>26.0</v>
      </c>
      <c r="BG50" s="2">
        <v>1.0</v>
      </c>
      <c r="BH50" s="2">
        <v>4.0</v>
      </c>
      <c r="BI50" s="2">
        <v>24.0</v>
      </c>
      <c r="BJ50" s="2">
        <v>6.0</v>
      </c>
      <c r="BK50" s="2">
        <v>0.0</v>
      </c>
      <c r="BL50" s="2">
        <v>0.0</v>
      </c>
      <c r="BM50" s="2">
        <v>3.0</v>
      </c>
      <c r="BN50" s="2">
        <v>0.0</v>
      </c>
      <c r="BO50" s="2">
        <v>0.0</v>
      </c>
      <c r="BP50" s="2">
        <v>0.0</v>
      </c>
      <c r="BQ50" s="2">
        <v>1.0</v>
      </c>
      <c r="BR50" s="2">
        <v>0.0</v>
      </c>
      <c r="BS50" s="2">
        <v>0.0</v>
      </c>
      <c r="BT50" s="2">
        <v>0.0</v>
      </c>
      <c r="BU50" s="2">
        <v>0.0</v>
      </c>
      <c r="BV50" s="2">
        <v>0.0</v>
      </c>
      <c r="BW50" s="2">
        <v>6.0</v>
      </c>
      <c r="BX50" s="2">
        <v>45.0</v>
      </c>
      <c r="BY50" s="2">
        <v>2.0</v>
      </c>
      <c r="BZ50" s="2">
        <v>0.0</v>
      </c>
      <c r="CA50" s="2">
        <v>0.0</v>
      </c>
      <c r="CB50" s="2">
        <v>0.0</v>
      </c>
      <c r="CC50" s="2">
        <v>0.0</v>
      </c>
      <c r="CD50" s="2">
        <v>0.0</v>
      </c>
      <c r="CE50" s="2">
        <v>3.0</v>
      </c>
      <c r="CF50" s="2">
        <v>67.0</v>
      </c>
      <c r="CG50" s="2">
        <v>4.0</v>
      </c>
      <c r="CH50" s="2">
        <v>107.0</v>
      </c>
      <c r="CI50" s="2">
        <v>2.0</v>
      </c>
      <c r="CJ50" s="2">
        <v>2.0</v>
      </c>
      <c r="CK50" s="2">
        <v>0.0</v>
      </c>
      <c r="CL50" s="2">
        <v>0.0</v>
      </c>
      <c r="CM50" s="2">
        <v>53.0</v>
      </c>
      <c r="CN50" s="2">
        <v>1.0</v>
      </c>
      <c r="CO50" s="2">
        <v>0.0</v>
      </c>
      <c r="CP50" s="2">
        <v>0.0</v>
      </c>
      <c r="CQ50" s="2">
        <v>1.0</v>
      </c>
      <c r="CR50" s="2">
        <v>0.0</v>
      </c>
      <c r="CS50" s="2">
        <v>1.0</v>
      </c>
      <c r="CT50" s="2">
        <v>0.0</v>
      </c>
      <c r="CU50" s="2">
        <v>0.0</v>
      </c>
      <c r="CV50" s="2">
        <v>0.0</v>
      </c>
      <c r="CW50" s="2">
        <v>0.0</v>
      </c>
      <c r="CX50" s="2">
        <v>0.0</v>
      </c>
      <c r="CY50" s="2">
        <v>0.0</v>
      </c>
      <c r="CZ50" s="2">
        <v>0.0</v>
      </c>
      <c r="DA50" s="2" t="s">
        <v>2004</v>
      </c>
      <c r="DD50" s="2">
        <v>88.0</v>
      </c>
      <c r="DE50" s="2">
        <v>0.0</v>
      </c>
      <c r="DF50" s="2">
        <v>0.0</v>
      </c>
      <c r="DG50" s="2">
        <v>1.0</v>
      </c>
      <c r="DH50" s="2">
        <v>1.0</v>
      </c>
      <c r="DI50" s="2">
        <v>0.0</v>
      </c>
      <c r="DJ50" s="2">
        <v>0.0</v>
      </c>
      <c r="DK50" s="2">
        <v>1.0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4.0</v>
      </c>
      <c r="DR50" s="2">
        <v>0.0</v>
      </c>
      <c r="DS50" s="2">
        <v>57.0</v>
      </c>
      <c r="DT50" s="2">
        <v>203.0</v>
      </c>
      <c r="DU50" s="2">
        <v>2.0</v>
      </c>
      <c r="DV50" s="2">
        <v>1.0</v>
      </c>
      <c r="DW50" s="2">
        <v>0.0</v>
      </c>
      <c r="DX50" s="2">
        <v>1.0</v>
      </c>
      <c r="DY50" s="2">
        <v>1.0</v>
      </c>
      <c r="DZ50" s="2">
        <v>1.0</v>
      </c>
      <c r="EA50" s="2">
        <v>6.0</v>
      </c>
      <c r="EB50" s="2">
        <v>0.0</v>
      </c>
      <c r="EC50" s="2">
        <v>177.0</v>
      </c>
      <c r="EE50" s="2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2">
        <v>2025.0</v>
      </c>
      <c r="B51" s="2">
        <v>2.0</v>
      </c>
      <c r="C51" s="2" t="s">
        <v>210</v>
      </c>
      <c r="D51" s="2" t="s">
        <v>390</v>
      </c>
      <c r="E51" s="2" t="s">
        <v>603</v>
      </c>
      <c r="F51" s="2" t="s">
        <v>139</v>
      </c>
      <c r="G51" s="2">
        <v>23.0</v>
      </c>
      <c r="H51" s="2">
        <v>34.0</v>
      </c>
      <c r="I51" s="2">
        <v>316.0</v>
      </c>
      <c r="J51" s="2">
        <v>1.0</v>
      </c>
      <c r="K51" s="2">
        <v>0.0</v>
      </c>
      <c r="L51" s="2">
        <v>1.0</v>
      </c>
      <c r="M51" s="2">
        <v>-10.0</v>
      </c>
      <c r="N51" s="2">
        <v>0.0</v>
      </c>
      <c r="O51" s="2">
        <v>0.0</v>
      </c>
      <c r="P51" s="2">
        <v>329.0</v>
      </c>
      <c r="Q51" s="2">
        <v>131.0</v>
      </c>
      <c r="R51" s="2">
        <v>16.0</v>
      </c>
      <c r="S51" s="2">
        <v>10.9533862605969</v>
      </c>
      <c r="T51" s="2">
        <v>4.97392605651509</v>
      </c>
      <c r="U51" s="2">
        <v>0.0</v>
      </c>
      <c r="V51" s="2">
        <v>12.0</v>
      </c>
      <c r="W51" s="2">
        <v>4.0</v>
      </c>
      <c r="X51" s="2">
        <v>3.0</v>
      </c>
      <c r="Y51" s="2">
        <v>3.0</v>
      </c>
      <c r="Z51" s="2">
        <v>32.0</v>
      </c>
      <c r="AA51" s="2">
        <v>167.0</v>
      </c>
      <c r="AB51" s="2">
        <v>1.0</v>
      </c>
      <c r="AC51" s="2">
        <v>0.0</v>
      </c>
      <c r="AD51" s="2">
        <v>0.0</v>
      </c>
      <c r="AE51" s="2">
        <v>6.0</v>
      </c>
      <c r="AF51" s="2">
        <v>-0.895030925050206</v>
      </c>
      <c r="AG51" s="2">
        <v>0.0</v>
      </c>
      <c r="AH51" s="2">
        <v>3.0</v>
      </c>
      <c r="AI51" s="2">
        <v>1.0</v>
      </c>
      <c r="AJ51" s="2">
        <v>1.0</v>
      </c>
      <c r="AK51" s="2">
        <v>1.0</v>
      </c>
      <c r="AL51" s="2">
        <v>23.0</v>
      </c>
      <c r="AM51" s="2">
        <v>33.0</v>
      </c>
      <c r="AN51" s="2">
        <v>316.0</v>
      </c>
      <c r="AO51" s="2">
        <v>1.0</v>
      </c>
      <c r="AP51" s="2">
        <v>0.0</v>
      </c>
      <c r="AQ51" s="2">
        <v>0.0</v>
      </c>
      <c r="AR51" s="2">
        <v>329.0</v>
      </c>
      <c r="AS51" s="2">
        <v>131.0</v>
      </c>
      <c r="AT51" s="2">
        <v>16.0</v>
      </c>
      <c r="AU51" s="2">
        <v>13.85934270566</v>
      </c>
      <c r="AV51" s="2">
        <v>0.0</v>
      </c>
      <c r="AW51" s="2">
        <v>12.0</v>
      </c>
      <c r="AX51" s="2">
        <v>4.0</v>
      </c>
      <c r="AY51" s="2">
        <v>3.0</v>
      </c>
      <c r="AZ51" s="2">
        <v>3.0</v>
      </c>
      <c r="BA51" s="2">
        <v>0.0</v>
      </c>
      <c r="BB51" s="2">
        <v>34.0</v>
      </c>
      <c r="BC51" s="2">
        <v>2.0</v>
      </c>
      <c r="BD51" s="2">
        <v>22.0</v>
      </c>
      <c r="BE51" s="2">
        <v>5.0</v>
      </c>
      <c r="BF51" s="2">
        <v>8.0</v>
      </c>
      <c r="BG51" s="2">
        <v>0.0</v>
      </c>
      <c r="BH51" s="2">
        <v>0.0</v>
      </c>
      <c r="BI51" s="2">
        <v>0.0</v>
      </c>
      <c r="BJ51" s="2">
        <v>0.0</v>
      </c>
      <c r="BK51" s="2">
        <v>1.0</v>
      </c>
      <c r="BL51" s="2">
        <v>0.0</v>
      </c>
      <c r="BM51" s="2">
        <v>4.0</v>
      </c>
      <c r="BN51" s="2">
        <v>0.0</v>
      </c>
      <c r="BO51" s="2">
        <v>0.0</v>
      </c>
      <c r="BP51" s="2">
        <v>0.0</v>
      </c>
      <c r="BQ51" s="2">
        <v>0.0</v>
      </c>
      <c r="BR51" s="2">
        <v>0.0</v>
      </c>
      <c r="BS51" s="2">
        <v>0.0</v>
      </c>
      <c r="BT51" s="2">
        <v>0.0</v>
      </c>
      <c r="BU51" s="2">
        <v>0.0</v>
      </c>
      <c r="BV51" s="2">
        <v>0.0</v>
      </c>
      <c r="BW51" s="2">
        <v>11.0</v>
      </c>
      <c r="BX51" s="2">
        <v>68.0</v>
      </c>
      <c r="BY51" s="2">
        <v>4.0</v>
      </c>
      <c r="BZ51" s="2">
        <v>0.0</v>
      </c>
      <c r="CA51" s="2">
        <v>0.0</v>
      </c>
      <c r="CB51" s="2">
        <v>0.0</v>
      </c>
      <c r="CC51" s="2">
        <v>0.0</v>
      </c>
      <c r="CD51" s="2">
        <v>0.0</v>
      </c>
      <c r="CE51" s="2">
        <v>2.0</v>
      </c>
      <c r="CF51" s="2">
        <v>4.0</v>
      </c>
      <c r="CG51" s="2">
        <v>5.0</v>
      </c>
      <c r="CH51" s="2">
        <v>140.0</v>
      </c>
      <c r="CI51" s="2">
        <v>5.0</v>
      </c>
      <c r="CJ51" s="2">
        <v>5.0</v>
      </c>
      <c r="CK51" s="2">
        <v>0.0</v>
      </c>
      <c r="CL51" s="2">
        <v>0.0</v>
      </c>
      <c r="CM51" s="2">
        <v>45.0</v>
      </c>
      <c r="CN51" s="2">
        <v>1.0</v>
      </c>
      <c r="CO51" s="2">
        <v>0.0</v>
      </c>
      <c r="CP51" s="2">
        <v>2.0</v>
      </c>
      <c r="CQ51" s="2">
        <v>2.0</v>
      </c>
      <c r="CR51" s="2">
        <v>1.0</v>
      </c>
      <c r="CS51" s="2">
        <v>0.0</v>
      </c>
      <c r="CT51" s="2">
        <v>0.0</v>
      </c>
      <c r="CU51" s="2">
        <v>0.0</v>
      </c>
      <c r="CV51" s="2">
        <v>0.0</v>
      </c>
      <c r="CW51" s="2">
        <v>0.0</v>
      </c>
      <c r="CX51" s="2">
        <v>0.0</v>
      </c>
      <c r="CY51" s="2">
        <v>0.0</v>
      </c>
      <c r="CZ51" s="2">
        <v>0.0</v>
      </c>
      <c r="DA51" s="2" t="s">
        <v>2005</v>
      </c>
      <c r="DD51" s="2">
        <v>171.0</v>
      </c>
      <c r="DE51" s="2">
        <v>0.0</v>
      </c>
      <c r="DF51" s="2">
        <v>0.0</v>
      </c>
      <c r="DG51" s="2">
        <v>2.0</v>
      </c>
      <c r="DH51" s="2">
        <v>2.0</v>
      </c>
      <c r="DI51" s="2">
        <v>0.0</v>
      </c>
      <c r="DJ51" s="2">
        <v>0.0</v>
      </c>
      <c r="DK51" s="2">
        <v>1.0</v>
      </c>
      <c r="DL51" s="2">
        <v>1.0</v>
      </c>
      <c r="DM51" s="2">
        <v>1.0</v>
      </c>
      <c r="DN51" s="2">
        <v>0.0</v>
      </c>
      <c r="DO51" s="2">
        <v>0.0</v>
      </c>
      <c r="DP51" s="2">
        <v>45.0</v>
      </c>
      <c r="DQ51" s="2">
        <v>0.0</v>
      </c>
      <c r="DR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0.0</v>
      </c>
      <c r="DY51" s="2">
        <v>0.0</v>
      </c>
      <c r="DZ51" s="2">
        <v>0.0</v>
      </c>
      <c r="EA51" s="2">
        <v>0.0</v>
      </c>
      <c r="EB51" s="2">
        <v>0.0</v>
      </c>
      <c r="EC51" s="2">
        <v>0.0</v>
      </c>
      <c r="EE51" s="2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2">
        <v>2025.0</v>
      </c>
      <c r="B52" s="2">
        <v>2.0</v>
      </c>
      <c r="C52" s="2" t="s">
        <v>141</v>
      </c>
      <c r="D52" s="2" t="s">
        <v>390</v>
      </c>
      <c r="E52" s="2" t="s">
        <v>569</v>
      </c>
      <c r="F52" s="2" t="s">
        <v>138</v>
      </c>
      <c r="G52" s="2">
        <v>24.0</v>
      </c>
      <c r="H52" s="2">
        <v>42.0</v>
      </c>
      <c r="I52" s="2">
        <v>271.0</v>
      </c>
      <c r="J52" s="2">
        <v>3.0</v>
      </c>
      <c r="K52" s="2">
        <v>2.0</v>
      </c>
      <c r="L52" s="2">
        <v>1.0</v>
      </c>
      <c r="M52" s="2">
        <v>-10.0</v>
      </c>
      <c r="N52" s="2">
        <v>0.0</v>
      </c>
      <c r="O52" s="2">
        <v>0.0</v>
      </c>
      <c r="P52" s="2">
        <v>308.0</v>
      </c>
      <c r="Q52" s="2">
        <v>153.0</v>
      </c>
      <c r="R52" s="2">
        <v>15.0</v>
      </c>
      <c r="S52" s="2">
        <v>5.0054885520572</v>
      </c>
      <c r="T52" s="2">
        <v>-4.9823465143762</v>
      </c>
      <c r="U52" s="2">
        <v>0.0</v>
      </c>
      <c r="V52" s="2">
        <v>9.0</v>
      </c>
      <c r="W52" s="2">
        <v>6.0</v>
      </c>
      <c r="X52" s="2">
        <v>3.0</v>
      </c>
      <c r="Y52" s="2">
        <v>1.0</v>
      </c>
      <c r="Z52" s="2">
        <v>27.0</v>
      </c>
      <c r="AA52" s="2">
        <v>139.0</v>
      </c>
      <c r="AB52" s="2">
        <v>0.0</v>
      </c>
      <c r="AC52" s="2">
        <v>1.0</v>
      </c>
      <c r="AD52" s="2">
        <v>0.0</v>
      </c>
      <c r="AE52" s="2">
        <v>5.0</v>
      </c>
      <c r="AF52" s="2">
        <v>1.50017687892827</v>
      </c>
      <c r="AG52" s="2">
        <v>0.0</v>
      </c>
      <c r="AH52" s="2">
        <v>1.0</v>
      </c>
      <c r="AI52" s="2">
        <v>1.0</v>
      </c>
      <c r="AJ52" s="2">
        <v>1.0</v>
      </c>
      <c r="AK52" s="2">
        <v>0.0</v>
      </c>
      <c r="AL52" s="2">
        <v>24.0</v>
      </c>
      <c r="AM52" s="2">
        <v>41.0</v>
      </c>
      <c r="AN52" s="2">
        <v>271.0</v>
      </c>
      <c r="AO52" s="2">
        <v>3.0</v>
      </c>
      <c r="AP52" s="2">
        <v>0.0</v>
      </c>
      <c r="AQ52" s="2">
        <v>0.0</v>
      </c>
      <c r="AR52" s="2">
        <v>308.0</v>
      </c>
      <c r="AS52" s="2">
        <v>153.0</v>
      </c>
      <c r="AT52" s="2">
        <v>15.0</v>
      </c>
      <c r="AU52" s="2">
        <v>5.67437281557663</v>
      </c>
      <c r="AV52" s="2">
        <v>0.0</v>
      </c>
      <c r="AW52" s="2">
        <v>9.0</v>
      </c>
      <c r="AX52" s="2">
        <v>6.0</v>
      </c>
      <c r="AY52" s="2">
        <v>3.0</v>
      </c>
      <c r="AZ52" s="2">
        <v>1.0</v>
      </c>
      <c r="BA52" s="2">
        <v>0.0</v>
      </c>
      <c r="BB52" s="2">
        <v>37.0</v>
      </c>
      <c r="BC52" s="2">
        <v>2.0</v>
      </c>
      <c r="BD52" s="2">
        <v>24.0</v>
      </c>
      <c r="BE52" s="2">
        <v>6.0</v>
      </c>
      <c r="BF52" s="2">
        <v>19.0</v>
      </c>
      <c r="BG52" s="2">
        <v>0.0</v>
      </c>
      <c r="BH52" s="2">
        <v>3.0</v>
      </c>
      <c r="BI52" s="2">
        <v>15.0</v>
      </c>
      <c r="BJ52" s="2">
        <v>9.0</v>
      </c>
      <c r="BK52" s="2">
        <v>3.0</v>
      </c>
      <c r="BL52" s="2">
        <v>73.0</v>
      </c>
      <c r="BM52" s="2">
        <v>12.0</v>
      </c>
      <c r="BN52" s="2">
        <v>0.0</v>
      </c>
      <c r="BO52" s="2">
        <v>0.0</v>
      </c>
      <c r="BP52" s="2">
        <v>0.0</v>
      </c>
      <c r="BQ52" s="2">
        <v>0.0</v>
      </c>
      <c r="BR52" s="2">
        <v>1.0</v>
      </c>
      <c r="BS52" s="2">
        <v>0.0</v>
      </c>
      <c r="BT52" s="2">
        <v>0.0</v>
      </c>
      <c r="BU52" s="2">
        <v>0.0</v>
      </c>
      <c r="BV52" s="2">
        <v>0.0</v>
      </c>
      <c r="BW52" s="2">
        <v>6.0</v>
      </c>
      <c r="BX52" s="2">
        <v>55.0</v>
      </c>
      <c r="BY52" s="2">
        <v>5.0</v>
      </c>
      <c r="BZ52" s="2">
        <v>0.0</v>
      </c>
      <c r="CA52" s="2">
        <v>1.0</v>
      </c>
      <c r="CB52" s="2">
        <v>0.0</v>
      </c>
      <c r="CC52" s="2">
        <v>1.0</v>
      </c>
      <c r="CD52" s="2">
        <v>0.0</v>
      </c>
      <c r="CE52" s="2">
        <v>2.0</v>
      </c>
      <c r="CF52" s="2">
        <v>19.0</v>
      </c>
      <c r="CG52" s="2">
        <v>4.0</v>
      </c>
      <c r="CH52" s="2">
        <v>101.0</v>
      </c>
      <c r="CI52" s="2">
        <v>2.0</v>
      </c>
      <c r="CJ52" s="2">
        <v>2.0</v>
      </c>
      <c r="CK52" s="2">
        <v>0.0</v>
      </c>
      <c r="CL52" s="2">
        <v>0.0</v>
      </c>
      <c r="CM52" s="2">
        <v>42.0</v>
      </c>
      <c r="CN52" s="2">
        <v>1.0</v>
      </c>
      <c r="CO52" s="2">
        <v>0.0</v>
      </c>
      <c r="CP52" s="2">
        <v>1.0</v>
      </c>
      <c r="CQ52" s="2">
        <v>0.0</v>
      </c>
      <c r="CR52" s="2">
        <v>1.0</v>
      </c>
      <c r="CS52" s="2">
        <v>0.0</v>
      </c>
      <c r="CT52" s="2">
        <v>0.0</v>
      </c>
      <c r="CU52" s="2">
        <v>0.0</v>
      </c>
      <c r="CV52" s="2">
        <v>0.0</v>
      </c>
      <c r="CW52" s="2">
        <v>0.0</v>
      </c>
      <c r="CX52" s="2">
        <v>0.0</v>
      </c>
      <c r="CY52" s="2">
        <v>0.0</v>
      </c>
      <c r="CZ52" s="2">
        <v>0.0</v>
      </c>
      <c r="DA52" s="2" t="s">
        <v>2006</v>
      </c>
      <c r="DD52" s="2">
        <v>67.0</v>
      </c>
      <c r="DE52" s="2">
        <v>0.0</v>
      </c>
      <c r="DF52" s="2">
        <v>0.0</v>
      </c>
      <c r="DG52" s="2">
        <v>3.0</v>
      </c>
      <c r="DH52" s="2">
        <v>3.0</v>
      </c>
      <c r="DI52" s="2">
        <v>0.0</v>
      </c>
      <c r="DJ52" s="2">
        <v>0.0</v>
      </c>
      <c r="DK52" s="2">
        <v>1.0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2.0</v>
      </c>
      <c r="DR52" s="2">
        <v>0.0</v>
      </c>
      <c r="DS52" s="2">
        <v>60.0</v>
      </c>
      <c r="DT52" s="2">
        <v>95.0</v>
      </c>
      <c r="DU52" s="2">
        <v>1.0</v>
      </c>
      <c r="DV52" s="2">
        <v>0.0</v>
      </c>
      <c r="DW52" s="2">
        <v>0.0</v>
      </c>
      <c r="DX52" s="2">
        <v>0.0</v>
      </c>
      <c r="DY52" s="2">
        <v>1.0</v>
      </c>
      <c r="DZ52" s="2">
        <v>1.0</v>
      </c>
      <c r="EA52" s="2">
        <v>11.0</v>
      </c>
      <c r="EB52" s="2">
        <v>0.0</v>
      </c>
      <c r="EC52" s="2">
        <v>84.0</v>
      </c>
      <c r="EE52" s="2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2">
        <v>2025.0</v>
      </c>
      <c r="B53" s="2">
        <v>2.0</v>
      </c>
      <c r="C53" s="2" t="s">
        <v>143</v>
      </c>
      <c r="D53" s="2" t="s">
        <v>390</v>
      </c>
      <c r="E53" s="2" t="s">
        <v>605</v>
      </c>
      <c r="F53" s="2" t="s">
        <v>147</v>
      </c>
      <c r="G53" s="2">
        <v>16.0</v>
      </c>
      <c r="H53" s="2">
        <v>29.0</v>
      </c>
      <c r="I53" s="2">
        <v>187.0</v>
      </c>
      <c r="J53" s="2">
        <v>1.0</v>
      </c>
      <c r="K53" s="2">
        <v>1.0</v>
      </c>
      <c r="L53" s="2">
        <v>2.0</v>
      </c>
      <c r="M53" s="2">
        <v>-14.0</v>
      </c>
      <c r="N53" s="2">
        <v>0.0</v>
      </c>
      <c r="O53" s="2">
        <v>0.0</v>
      </c>
      <c r="P53" s="2">
        <v>309.0</v>
      </c>
      <c r="Q53" s="2">
        <v>68.0</v>
      </c>
      <c r="R53" s="2">
        <v>7.0</v>
      </c>
      <c r="S53" s="2">
        <v>-7.1535654113225</v>
      </c>
      <c r="T53" s="2">
        <v>-5.8410676388905</v>
      </c>
      <c r="U53" s="2">
        <v>0.0</v>
      </c>
      <c r="V53" s="2">
        <v>8.0</v>
      </c>
      <c r="W53" s="2">
        <v>5.0</v>
      </c>
      <c r="X53" s="2">
        <v>3.0</v>
      </c>
      <c r="Y53" s="2">
        <v>1.0</v>
      </c>
      <c r="Z53" s="2">
        <v>26.0</v>
      </c>
      <c r="AA53" s="2">
        <v>121.0</v>
      </c>
      <c r="AB53" s="2">
        <v>1.0</v>
      </c>
      <c r="AC53" s="2">
        <v>1.0</v>
      </c>
      <c r="AD53" s="2">
        <v>0.0</v>
      </c>
      <c r="AE53" s="2">
        <v>9.0</v>
      </c>
      <c r="AF53" s="2">
        <v>-0.55819323484677</v>
      </c>
      <c r="AG53" s="2">
        <v>0.0</v>
      </c>
      <c r="AH53" s="2">
        <v>4.0</v>
      </c>
      <c r="AI53" s="2">
        <v>2.0</v>
      </c>
      <c r="AJ53" s="2">
        <v>1.0</v>
      </c>
      <c r="AK53" s="2">
        <v>0.0</v>
      </c>
      <c r="AL53" s="2">
        <v>16.0</v>
      </c>
      <c r="AM53" s="2">
        <v>29.0</v>
      </c>
      <c r="AN53" s="2">
        <v>187.0</v>
      </c>
      <c r="AO53" s="2">
        <v>1.0</v>
      </c>
      <c r="AP53" s="2">
        <v>0.0</v>
      </c>
      <c r="AQ53" s="2">
        <v>0.0</v>
      </c>
      <c r="AR53" s="2">
        <v>309.0</v>
      </c>
      <c r="AS53" s="2">
        <v>68.0</v>
      </c>
      <c r="AT53" s="2">
        <v>7.0</v>
      </c>
      <c r="AU53" s="2">
        <v>-3.53753508790396</v>
      </c>
      <c r="AV53" s="2">
        <v>0.0</v>
      </c>
      <c r="AW53" s="2">
        <v>8.0</v>
      </c>
      <c r="AX53" s="2">
        <v>5.0</v>
      </c>
      <c r="AY53" s="2">
        <v>3.0</v>
      </c>
      <c r="AZ53" s="2">
        <v>1.0</v>
      </c>
      <c r="BA53" s="2">
        <v>0.0</v>
      </c>
      <c r="BB53" s="2">
        <v>37.0</v>
      </c>
      <c r="BC53" s="2">
        <v>0.0</v>
      </c>
      <c r="BD53" s="2">
        <v>30.0</v>
      </c>
      <c r="BE53" s="2">
        <v>5.0</v>
      </c>
      <c r="BF53" s="2">
        <v>11.0</v>
      </c>
      <c r="BG53" s="2">
        <v>0.0</v>
      </c>
      <c r="BH53" s="2">
        <v>1.0</v>
      </c>
      <c r="BI53" s="2">
        <v>4.0</v>
      </c>
      <c r="BJ53" s="2">
        <v>3.0</v>
      </c>
      <c r="BK53" s="2">
        <v>0.0</v>
      </c>
      <c r="BL53" s="2">
        <v>0.0</v>
      </c>
      <c r="BM53" s="2">
        <v>4.0</v>
      </c>
      <c r="BN53" s="2">
        <v>0.0</v>
      </c>
      <c r="BO53" s="2">
        <v>0.0</v>
      </c>
      <c r="BP53" s="2">
        <v>0.0</v>
      </c>
      <c r="BQ53" s="2">
        <v>0.0</v>
      </c>
      <c r="BR53" s="2">
        <v>1.0</v>
      </c>
      <c r="BS53" s="2">
        <v>0.0</v>
      </c>
      <c r="BT53" s="2">
        <v>0.0</v>
      </c>
      <c r="BU53" s="2">
        <v>0.0</v>
      </c>
      <c r="BV53" s="2">
        <v>0.0</v>
      </c>
      <c r="BW53" s="2">
        <v>6.0</v>
      </c>
      <c r="BX53" s="2">
        <v>45.0</v>
      </c>
      <c r="BY53" s="2">
        <v>4.0</v>
      </c>
      <c r="BZ53" s="2">
        <v>1.0</v>
      </c>
      <c r="CA53" s="2">
        <v>0.0</v>
      </c>
      <c r="CB53" s="2">
        <v>0.0</v>
      </c>
      <c r="CC53" s="2">
        <v>1.0</v>
      </c>
      <c r="CD53" s="2">
        <v>0.0</v>
      </c>
      <c r="CE53" s="2">
        <v>2.0</v>
      </c>
      <c r="CF53" s="2">
        <v>42.0</v>
      </c>
      <c r="CG53" s="2">
        <v>4.0</v>
      </c>
      <c r="CH53" s="2">
        <v>95.0</v>
      </c>
      <c r="CI53" s="2">
        <v>1.0</v>
      </c>
      <c r="CJ53" s="2">
        <v>2.0</v>
      </c>
      <c r="CK53" s="2">
        <v>1.0</v>
      </c>
      <c r="CL53" s="2">
        <v>0.0</v>
      </c>
      <c r="CM53" s="2">
        <v>56.0</v>
      </c>
      <c r="CN53" s="2">
        <v>0.5</v>
      </c>
      <c r="CO53" s="2">
        <v>0.0</v>
      </c>
      <c r="CP53" s="2">
        <v>0.0</v>
      </c>
      <c r="CQ53" s="2">
        <v>0.0</v>
      </c>
      <c r="CR53" s="2">
        <v>0.0</v>
      </c>
      <c r="CS53" s="2">
        <v>1.0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1.0</v>
      </c>
      <c r="CZ53" s="2">
        <v>0.0</v>
      </c>
      <c r="DA53" s="2" t="s">
        <v>2007</v>
      </c>
      <c r="DB53" s="2" t="s">
        <v>1981</v>
      </c>
      <c r="DD53" s="2">
        <v>56.0</v>
      </c>
      <c r="DE53" s="2">
        <v>58.0</v>
      </c>
      <c r="DF53" s="2">
        <v>0.0</v>
      </c>
      <c r="DG53" s="2">
        <v>2.0</v>
      </c>
      <c r="DH53" s="2">
        <v>2.0</v>
      </c>
      <c r="DI53" s="2">
        <v>0.0</v>
      </c>
      <c r="DJ53" s="2">
        <v>0.0</v>
      </c>
      <c r="DK53" s="2">
        <v>1.0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3.0</v>
      </c>
      <c r="DR53" s="2">
        <v>0.0</v>
      </c>
      <c r="DS53" s="2">
        <v>69.0</v>
      </c>
      <c r="DT53" s="2">
        <v>178.0</v>
      </c>
      <c r="DU53" s="2">
        <v>2.0</v>
      </c>
      <c r="DV53" s="2">
        <v>0.0</v>
      </c>
      <c r="DW53" s="2">
        <v>0.0</v>
      </c>
      <c r="DX53" s="2">
        <v>0.0</v>
      </c>
      <c r="DY53" s="2">
        <v>2.0</v>
      </c>
      <c r="DZ53" s="2">
        <v>1.0</v>
      </c>
      <c r="EA53" s="2">
        <v>14.0</v>
      </c>
      <c r="EB53" s="2">
        <v>0.0</v>
      </c>
      <c r="EC53" s="2">
        <v>164.0</v>
      </c>
      <c r="EE53" s="2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2">
        <v>2025.0</v>
      </c>
      <c r="B54" s="2">
        <v>2.0</v>
      </c>
      <c r="C54" s="2" t="s">
        <v>142</v>
      </c>
      <c r="D54" s="2" t="s">
        <v>390</v>
      </c>
      <c r="E54" s="2" t="s">
        <v>595</v>
      </c>
      <c r="F54" s="2" t="s">
        <v>250</v>
      </c>
      <c r="G54" s="2">
        <v>23.0</v>
      </c>
      <c r="H54" s="2">
        <v>33.0</v>
      </c>
      <c r="I54" s="2">
        <v>298.0</v>
      </c>
      <c r="J54" s="2">
        <v>2.0</v>
      </c>
      <c r="K54" s="2">
        <v>1.0</v>
      </c>
      <c r="L54" s="2">
        <v>1.0</v>
      </c>
      <c r="M54" s="2">
        <v>-8.0</v>
      </c>
      <c r="N54" s="2">
        <v>0.0</v>
      </c>
      <c r="O54" s="2">
        <v>0.0</v>
      </c>
      <c r="P54" s="2">
        <v>262.0</v>
      </c>
      <c r="Q54" s="2">
        <v>132.0</v>
      </c>
      <c r="R54" s="2">
        <v>12.0</v>
      </c>
      <c r="S54" s="2">
        <v>9.77997058962696</v>
      </c>
      <c r="T54" s="2">
        <v>10.7653565704823</v>
      </c>
      <c r="U54" s="2">
        <v>0.0</v>
      </c>
      <c r="V54" s="2">
        <v>11.0</v>
      </c>
      <c r="W54" s="2">
        <v>8.0</v>
      </c>
      <c r="X54" s="2">
        <v>6.0</v>
      </c>
      <c r="Y54" s="2">
        <v>1.0</v>
      </c>
      <c r="Z54" s="2">
        <v>25.0</v>
      </c>
      <c r="AA54" s="2">
        <v>149.0</v>
      </c>
      <c r="AB54" s="2">
        <v>2.0</v>
      </c>
      <c r="AC54" s="2">
        <v>0.0</v>
      </c>
      <c r="AD54" s="2">
        <v>0.0</v>
      </c>
      <c r="AE54" s="2">
        <v>8.0</v>
      </c>
      <c r="AF54" s="2">
        <v>6.44117178957094</v>
      </c>
      <c r="AG54" s="2">
        <v>0.0</v>
      </c>
      <c r="AH54" s="2">
        <v>5.0</v>
      </c>
      <c r="AI54" s="2">
        <v>5.0</v>
      </c>
      <c r="AJ54" s="2">
        <v>1.0</v>
      </c>
      <c r="AK54" s="2">
        <v>1.0</v>
      </c>
      <c r="AL54" s="2">
        <v>23.0</v>
      </c>
      <c r="AM54" s="2">
        <v>32.0</v>
      </c>
      <c r="AN54" s="2">
        <v>298.0</v>
      </c>
      <c r="AO54" s="2">
        <v>2.0</v>
      </c>
      <c r="AP54" s="2">
        <v>0.0</v>
      </c>
      <c r="AQ54" s="2">
        <v>0.0</v>
      </c>
      <c r="AR54" s="2">
        <v>262.0</v>
      </c>
      <c r="AS54" s="2">
        <v>132.0</v>
      </c>
      <c r="AT54" s="2">
        <v>12.0</v>
      </c>
      <c r="AU54" s="2">
        <v>11.9394507078197</v>
      </c>
      <c r="AV54" s="2">
        <v>0.0</v>
      </c>
      <c r="AW54" s="2">
        <v>11.0</v>
      </c>
      <c r="AX54" s="2">
        <v>8.0</v>
      </c>
      <c r="AY54" s="2">
        <v>6.0</v>
      </c>
      <c r="AZ54" s="2">
        <v>1.0</v>
      </c>
      <c r="BA54" s="2">
        <v>0.0</v>
      </c>
      <c r="BB54" s="2">
        <v>41.0</v>
      </c>
      <c r="BC54" s="2">
        <v>5.0</v>
      </c>
      <c r="BD54" s="2">
        <v>23.0</v>
      </c>
      <c r="BE54" s="2">
        <v>6.0</v>
      </c>
      <c r="BF54" s="2">
        <v>33.0</v>
      </c>
      <c r="BG54" s="2">
        <v>1.0</v>
      </c>
      <c r="BH54" s="2">
        <v>5.0</v>
      </c>
      <c r="BI54" s="2">
        <v>32.0</v>
      </c>
      <c r="BJ54" s="2">
        <v>8.0</v>
      </c>
      <c r="BK54" s="2">
        <v>0.0</v>
      </c>
      <c r="BL54" s="2">
        <v>0.0</v>
      </c>
      <c r="BM54" s="2">
        <v>4.0</v>
      </c>
      <c r="BN54" s="2">
        <v>0.0</v>
      </c>
      <c r="BO54" s="2">
        <v>0.0</v>
      </c>
      <c r="BP54" s="2">
        <v>0.0</v>
      </c>
      <c r="BQ54" s="2">
        <v>0.0</v>
      </c>
      <c r="BR54" s="2">
        <v>1.0</v>
      </c>
      <c r="BS54" s="2">
        <v>0.0</v>
      </c>
      <c r="BT54" s="2">
        <v>1.0</v>
      </c>
      <c r="BU54" s="2">
        <v>0.0</v>
      </c>
      <c r="BV54" s="2">
        <v>0.0</v>
      </c>
      <c r="BW54" s="2">
        <v>4.0</v>
      </c>
      <c r="BX54" s="2">
        <v>29.0</v>
      </c>
      <c r="BY54" s="2">
        <v>5.0</v>
      </c>
      <c r="BZ54" s="2">
        <v>0.0</v>
      </c>
      <c r="CA54" s="2">
        <v>1.0</v>
      </c>
      <c r="CB54" s="2">
        <v>0.0</v>
      </c>
      <c r="CC54" s="2">
        <v>1.0</v>
      </c>
      <c r="CD54" s="2">
        <v>0.0</v>
      </c>
      <c r="CE54" s="2">
        <v>2.0</v>
      </c>
      <c r="CF54" s="2">
        <v>14.0</v>
      </c>
      <c r="CG54" s="2">
        <v>3.0</v>
      </c>
      <c r="CH54" s="2">
        <v>80.0</v>
      </c>
      <c r="CI54" s="2">
        <v>2.0</v>
      </c>
      <c r="CJ54" s="2">
        <v>2.0</v>
      </c>
      <c r="CK54" s="2">
        <v>0.0</v>
      </c>
      <c r="CL54" s="2">
        <v>0.0</v>
      </c>
      <c r="CM54" s="2">
        <v>21.0</v>
      </c>
      <c r="CN54" s="2">
        <v>1.0</v>
      </c>
      <c r="CO54" s="2">
        <v>0.0</v>
      </c>
      <c r="CP54" s="2">
        <v>2.0</v>
      </c>
      <c r="CQ54" s="2">
        <v>0.0</v>
      </c>
      <c r="CR54" s="2">
        <v>0.0</v>
      </c>
      <c r="CS54" s="2">
        <v>0.0</v>
      </c>
      <c r="CT54" s="2">
        <v>0.0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 t="s">
        <v>2008</v>
      </c>
      <c r="DD54" s="2">
        <v>42.0</v>
      </c>
      <c r="DE54" s="2">
        <v>0.0</v>
      </c>
      <c r="DF54" s="2">
        <v>0.0</v>
      </c>
      <c r="DG54" s="2">
        <v>3.0</v>
      </c>
      <c r="DH54" s="2">
        <v>4.0</v>
      </c>
      <c r="DI54" s="2">
        <v>0.0</v>
      </c>
      <c r="DJ54" s="2">
        <v>1.0</v>
      </c>
      <c r="DK54" s="2">
        <v>0.75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3.0</v>
      </c>
      <c r="DR54" s="2">
        <v>0.0</v>
      </c>
      <c r="DS54" s="2">
        <v>51.0</v>
      </c>
      <c r="DT54" s="2">
        <v>145.0</v>
      </c>
      <c r="DU54" s="2">
        <v>1.0</v>
      </c>
      <c r="DV54" s="2">
        <v>0.0</v>
      </c>
      <c r="DW54" s="2">
        <v>1.0</v>
      </c>
      <c r="DX54" s="2">
        <v>0.0</v>
      </c>
      <c r="DY54" s="2">
        <v>0.0</v>
      </c>
      <c r="DZ54" s="2">
        <v>2.0</v>
      </c>
      <c r="EA54" s="2">
        <v>37.0</v>
      </c>
      <c r="EB54" s="2">
        <v>0.0</v>
      </c>
      <c r="EC54" s="2">
        <v>108.0</v>
      </c>
      <c r="EE54" s="2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2">
        <v>2025.0</v>
      </c>
      <c r="B55" s="2">
        <v>2.0</v>
      </c>
      <c r="C55" s="2" t="s">
        <v>220</v>
      </c>
      <c r="D55" s="2" t="s">
        <v>390</v>
      </c>
      <c r="E55" s="2" t="s">
        <v>620</v>
      </c>
      <c r="F55" s="2" t="s">
        <v>222</v>
      </c>
      <c r="G55" s="2">
        <v>19.0</v>
      </c>
      <c r="H55" s="2">
        <v>27.0</v>
      </c>
      <c r="I55" s="2">
        <v>242.0</v>
      </c>
      <c r="J55" s="2">
        <v>2.0</v>
      </c>
      <c r="K55" s="2">
        <v>0.0</v>
      </c>
      <c r="L55" s="2">
        <v>2.0</v>
      </c>
      <c r="M55" s="2">
        <v>-6.0</v>
      </c>
      <c r="N55" s="2">
        <v>0.0</v>
      </c>
      <c r="O55" s="2">
        <v>0.0</v>
      </c>
      <c r="P55" s="2">
        <v>244.0</v>
      </c>
      <c r="Q55" s="2">
        <v>84.0</v>
      </c>
      <c r="R55" s="2">
        <v>8.0</v>
      </c>
      <c r="S55" s="2">
        <v>10.1681254122919</v>
      </c>
      <c r="T55" s="2">
        <v>0.331745986585264</v>
      </c>
      <c r="U55" s="2">
        <v>0.0</v>
      </c>
      <c r="V55" s="2">
        <v>8.0</v>
      </c>
      <c r="W55" s="2">
        <v>4.0</v>
      </c>
      <c r="X55" s="2">
        <v>3.0</v>
      </c>
      <c r="Y55" s="2">
        <v>1.0</v>
      </c>
      <c r="Z55" s="2">
        <v>26.0</v>
      </c>
      <c r="AA55" s="2">
        <v>81.0</v>
      </c>
      <c r="AB55" s="2">
        <v>0.0</v>
      </c>
      <c r="AC55" s="2">
        <v>2.0</v>
      </c>
      <c r="AD55" s="2">
        <v>1.0</v>
      </c>
      <c r="AE55" s="2">
        <v>6.0</v>
      </c>
      <c r="AF55" s="2">
        <v>-15.5455115257418</v>
      </c>
      <c r="AG55" s="2">
        <v>0.0</v>
      </c>
      <c r="AH55" s="2">
        <v>2.0</v>
      </c>
      <c r="AI55" s="2">
        <v>2.0</v>
      </c>
      <c r="AJ55" s="2">
        <v>0.0</v>
      </c>
      <c r="AK55" s="2">
        <v>0.0</v>
      </c>
      <c r="AL55" s="2">
        <v>19.0</v>
      </c>
      <c r="AM55" s="2">
        <v>27.0</v>
      </c>
      <c r="AN55" s="2">
        <v>242.0</v>
      </c>
      <c r="AO55" s="2">
        <v>2.0</v>
      </c>
      <c r="AP55" s="2">
        <v>0.0</v>
      </c>
      <c r="AQ55" s="2">
        <v>0.0</v>
      </c>
      <c r="AR55" s="2">
        <v>244.0</v>
      </c>
      <c r="AS55" s="2">
        <v>84.0</v>
      </c>
      <c r="AT55" s="2">
        <v>8.0</v>
      </c>
      <c r="AU55" s="2">
        <v>12.5885782468645</v>
      </c>
      <c r="AV55" s="2">
        <v>0.0</v>
      </c>
      <c r="AW55" s="2">
        <v>8.0</v>
      </c>
      <c r="AX55" s="2">
        <v>4.0</v>
      </c>
      <c r="AY55" s="2">
        <v>3.0</v>
      </c>
      <c r="AZ55" s="2">
        <v>1.0</v>
      </c>
      <c r="BA55" s="2">
        <v>0.0</v>
      </c>
      <c r="BB55" s="2">
        <v>38.0</v>
      </c>
      <c r="BC55" s="2">
        <v>3.0</v>
      </c>
      <c r="BD55" s="2">
        <v>23.0</v>
      </c>
      <c r="BE55" s="2">
        <v>6.0</v>
      </c>
      <c r="BF55" s="2">
        <v>45.0</v>
      </c>
      <c r="BG55" s="2">
        <v>0.0</v>
      </c>
      <c r="BH55" s="2">
        <v>3.0</v>
      </c>
      <c r="BI55" s="2">
        <v>30.0</v>
      </c>
      <c r="BJ55" s="2">
        <v>5.0</v>
      </c>
      <c r="BK55" s="2">
        <v>3.0</v>
      </c>
      <c r="BL55" s="2">
        <v>8.0</v>
      </c>
      <c r="BM55" s="2">
        <v>15.0</v>
      </c>
      <c r="BN55" s="2">
        <v>0.0</v>
      </c>
      <c r="BO55" s="2">
        <v>0.0</v>
      </c>
      <c r="BP55" s="2">
        <v>0.0</v>
      </c>
      <c r="BQ55" s="2">
        <v>0.0</v>
      </c>
      <c r="BR55" s="2">
        <v>1.0</v>
      </c>
      <c r="BS55" s="2">
        <v>-7.0</v>
      </c>
      <c r="BT55" s="2">
        <v>0.0</v>
      </c>
      <c r="BU55" s="2">
        <v>0.0</v>
      </c>
      <c r="BV55" s="2">
        <v>0.0</v>
      </c>
      <c r="BW55" s="2">
        <v>6.0</v>
      </c>
      <c r="BX55" s="2">
        <v>33.0</v>
      </c>
      <c r="BY55" s="2">
        <v>3.0</v>
      </c>
      <c r="BZ55" s="2">
        <v>0.0</v>
      </c>
      <c r="CA55" s="2">
        <v>2.0</v>
      </c>
      <c r="CB55" s="2">
        <v>0.0</v>
      </c>
      <c r="CC55" s="2">
        <v>2.0</v>
      </c>
      <c r="CD55" s="2">
        <v>1.0</v>
      </c>
      <c r="CE55" s="2">
        <v>1.0</v>
      </c>
      <c r="CF55" s="2">
        <v>7.0</v>
      </c>
      <c r="CG55" s="2">
        <v>3.0</v>
      </c>
      <c r="CH55" s="2">
        <v>80.0</v>
      </c>
      <c r="CI55" s="2">
        <v>2.0</v>
      </c>
      <c r="CJ55" s="2">
        <v>2.0</v>
      </c>
      <c r="CK55" s="2">
        <v>0.0</v>
      </c>
      <c r="CL55" s="2">
        <v>0.0</v>
      </c>
      <c r="CM55" s="2">
        <v>38.0</v>
      </c>
      <c r="CN55" s="2">
        <v>1.0</v>
      </c>
      <c r="CO55" s="2">
        <v>0.0</v>
      </c>
      <c r="CP55" s="2">
        <v>1.0</v>
      </c>
      <c r="CQ55" s="2">
        <v>1.0</v>
      </c>
      <c r="CR55" s="2">
        <v>0.0</v>
      </c>
      <c r="CS55" s="2">
        <v>0.0</v>
      </c>
      <c r="CT55" s="2">
        <v>0.0</v>
      </c>
      <c r="CU55" s="2">
        <v>0.0</v>
      </c>
      <c r="CV55" s="2">
        <v>0.0</v>
      </c>
      <c r="CW55" s="2">
        <v>0.0</v>
      </c>
      <c r="CX55" s="2">
        <v>0.0</v>
      </c>
      <c r="CY55" s="2">
        <v>0.0</v>
      </c>
      <c r="CZ55" s="2">
        <v>0.0</v>
      </c>
      <c r="DA55" s="2" t="s">
        <v>2009</v>
      </c>
      <c r="DD55" s="2">
        <v>58.0</v>
      </c>
      <c r="DE55" s="2">
        <v>0.0</v>
      </c>
      <c r="DF55" s="2">
        <v>0.0</v>
      </c>
      <c r="DG55" s="2">
        <v>2.0</v>
      </c>
      <c r="DH55" s="2">
        <v>2.0</v>
      </c>
      <c r="DI55" s="2">
        <v>0.0</v>
      </c>
      <c r="DJ55" s="2">
        <v>0.0</v>
      </c>
      <c r="DK55" s="2">
        <v>1.0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3.0</v>
      </c>
      <c r="DR55" s="2">
        <v>0.0</v>
      </c>
      <c r="DS55" s="2">
        <v>56.0</v>
      </c>
      <c r="DT55" s="2">
        <v>158.0</v>
      </c>
      <c r="DU55" s="2">
        <v>2.0</v>
      </c>
      <c r="DV55" s="2">
        <v>0.0</v>
      </c>
      <c r="DW55" s="2">
        <v>0.0</v>
      </c>
      <c r="DX55" s="2">
        <v>0.0</v>
      </c>
      <c r="DY55" s="2">
        <v>2.0</v>
      </c>
      <c r="DZ55" s="2">
        <v>1.0</v>
      </c>
      <c r="EA55" s="2">
        <v>15.0</v>
      </c>
      <c r="EB55" s="2">
        <v>0.0</v>
      </c>
      <c r="EC55" s="2">
        <v>143.0</v>
      </c>
      <c r="EE55" s="2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2">
        <v>2025.0</v>
      </c>
      <c r="B56" s="2">
        <v>2.0</v>
      </c>
      <c r="C56" s="2" t="s">
        <v>222</v>
      </c>
      <c r="D56" s="2" t="s">
        <v>390</v>
      </c>
      <c r="E56" s="2" t="s">
        <v>620</v>
      </c>
      <c r="F56" s="2" t="s">
        <v>220</v>
      </c>
      <c r="G56" s="2">
        <v>24.0</v>
      </c>
      <c r="H56" s="2">
        <v>43.0</v>
      </c>
      <c r="I56" s="2">
        <v>180.0</v>
      </c>
      <c r="J56" s="2">
        <v>0.0</v>
      </c>
      <c r="K56" s="2">
        <v>3.0</v>
      </c>
      <c r="L56" s="2">
        <v>3.0</v>
      </c>
      <c r="M56" s="2">
        <v>-30.0</v>
      </c>
      <c r="N56" s="2">
        <v>0.0</v>
      </c>
      <c r="O56" s="2">
        <v>0.0</v>
      </c>
      <c r="P56" s="2">
        <v>291.0</v>
      </c>
      <c r="Q56" s="2">
        <v>145.0</v>
      </c>
      <c r="R56" s="2">
        <v>8.0</v>
      </c>
      <c r="S56" s="2">
        <v>-23.0679281401796</v>
      </c>
      <c r="T56" s="2">
        <v>-15.2583654536757</v>
      </c>
      <c r="U56" s="2">
        <v>0.0</v>
      </c>
      <c r="V56" s="2">
        <v>4.0</v>
      </c>
      <c r="W56" s="2">
        <v>3.0</v>
      </c>
      <c r="X56" s="2">
        <v>3.0</v>
      </c>
      <c r="Y56" s="2">
        <v>0.0</v>
      </c>
      <c r="Z56" s="2">
        <v>19.0</v>
      </c>
      <c r="AA56" s="2">
        <v>68.0</v>
      </c>
      <c r="AB56" s="2">
        <v>0.0</v>
      </c>
      <c r="AC56" s="2">
        <v>0.0</v>
      </c>
      <c r="AD56" s="2">
        <v>0.0</v>
      </c>
      <c r="AE56" s="2">
        <v>5.0</v>
      </c>
      <c r="AF56" s="2">
        <v>-2.40448387246579</v>
      </c>
      <c r="AG56" s="2">
        <v>0.0</v>
      </c>
      <c r="AH56" s="2">
        <v>3.0</v>
      </c>
      <c r="AI56" s="2">
        <v>2.0</v>
      </c>
      <c r="AJ56" s="2">
        <v>0.0</v>
      </c>
      <c r="AK56" s="2">
        <v>0.0</v>
      </c>
      <c r="AL56" s="2">
        <v>24.0</v>
      </c>
      <c r="AM56" s="2">
        <v>43.0</v>
      </c>
      <c r="AN56" s="2">
        <v>180.0</v>
      </c>
      <c r="AO56" s="2">
        <v>0.0</v>
      </c>
      <c r="AP56" s="2">
        <v>0.0</v>
      </c>
      <c r="AQ56" s="2">
        <v>0.0</v>
      </c>
      <c r="AR56" s="2">
        <v>291.0</v>
      </c>
      <c r="AS56" s="2">
        <v>145.0</v>
      </c>
      <c r="AT56" s="2">
        <v>8.0</v>
      </c>
      <c r="AU56" s="2">
        <v>-15.4001448451519</v>
      </c>
      <c r="AV56" s="2">
        <v>0.0</v>
      </c>
      <c r="AW56" s="2">
        <v>4.0</v>
      </c>
      <c r="AX56" s="2">
        <v>3.0</v>
      </c>
      <c r="AY56" s="2">
        <v>3.0</v>
      </c>
      <c r="AZ56" s="2">
        <v>0.0</v>
      </c>
      <c r="BA56" s="2">
        <v>0.0</v>
      </c>
      <c r="BB56" s="2">
        <v>34.0</v>
      </c>
      <c r="BC56" s="2">
        <v>4.0</v>
      </c>
      <c r="BD56" s="2">
        <v>24.0</v>
      </c>
      <c r="BE56" s="2">
        <v>8.0</v>
      </c>
      <c r="BF56" s="2">
        <v>20.0</v>
      </c>
      <c r="BG56" s="2">
        <v>0.0</v>
      </c>
      <c r="BH56" s="2">
        <v>2.0</v>
      </c>
      <c r="BI56" s="2">
        <v>6.0</v>
      </c>
      <c r="BJ56" s="2">
        <v>3.0</v>
      </c>
      <c r="BK56" s="2">
        <v>0.0</v>
      </c>
      <c r="BL56" s="2">
        <v>0.0</v>
      </c>
      <c r="BM56" s="2">
        <v>6.0</v>
      </c>
      <c r="BN56" s="2">
        <v>0.0</v>
      </c>
      <c r="BO56" s="2">
        <v>0.0</v>
      </c>
      <c r="BP56" s="2">
        <v>0.0</v>
      </c>
      <c r="BQ56" s="2">
        <v>0.0</v>
      </c>
      <c r="BR56" s="2">
        <v>1.0</v>
      </c>
      <c r="BS56" s="2">
        <v>0.0</v>
      </c>
      <c r="BT56" s="2">
        <v>1.0</v>
      </c>
      <c r="BU56" s="2">
        <v>0.0</v>
      </c>
      <c r="BV56" s="2">
        <v>0.0</v>
      </c>
      <c r="BW56" s="2">
        <v>5.0</v>
      </c>
      <c r="BX56" s="2">
        <v>47.0</v>
      </c>
      <c r="BY56" s="2">
        <v>5.0</v>
      </c>
      <c r="BZ56" s="2">
        <v>0.0</v>
      </c>
      <c r="CA56" s="2">
        <v>1.0</v>
      </c>
      <c r="CB56" s="2">
        <v>0.0</v>
      </c>
      <c r="CC56" s="2">
        <v>1.0</v>
      </c>
      <c r="CD56" s="2">
        <v>0.0</v>
      </c>
      <c r="CE56" s="2">
        <v>1.0</v>
      </c>
      <c r="CF56" s="2">
        <v>15.0</v>
      </c>
      <c r="CG56" s="2">
        <v>4.0</v>
      </c>
      <c r="CH56" s="2">
        <v>91.0</v>
      </c>
      <c r="CI56" s="2">
        <v>3.0</v>
      </c>
      <c r="CJ56" s="2">
        <v>3.0</v>
      </c>
      <c r="CK56" s="2">
        <v>0.0</v>
      </c>
      <c r="CL56" s="2">
        <v>0.0</v>
      </c>
      <c r="CM56" s="2">
        <v>54.0</v>
      </c>
      <c r="CN56" s="2">
        <v>1.0</v>
      </c>
      <c r="CO56" s="2">
        <v>0.0</v>
      </c>
      <c r="CP56" s="2">
        <v>0.0</v>
      </c>
      <c r="CQ56" s="2">
        <v>1.0</v>
      </c>
      <c r="CR56" s="2">
        <v>1.0</v>
      </c>
      <c r="CS56" s="2">
        <v>1.0</v>
      </c>
      <c r="CT56" s="2">
        <v>0.0</v>
      </c>
      <c r="CU56" s="2">
        <v>0.0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 t="s">
        <v>2010</v>
      </c>
      <c r="DD56" s="2">
        <v>131.0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2.0</v>
      </c>
      <c r="DR56" s="2">
        <v>0.0</v>
      </c>
      <c r="DS56" s="2">
        <v>60.0</v>
      </c>
      <c r="DT56" s="2">
        <v>114.0</v>
      </c>
      <c r="DU56" s="2">
        <v>1.0</v>
      </c>
      <c r="DV56" s="2">
        <v>0.0</v>
      </c>
      <c r="DW56" s="2">
        <v>0.0</v>
      </c>
      <c r="DX56" s="2">
        <v>0.0</v>
      </c>
      <c r="DY56" s="2">
        <v>1.0</v>
      </c>
      <c r="DZ56" s="2">
        <v>1.0</v>
      </c>
      <c r="EA56" s="2">
        <v>7.0</v>
      </c>
      <c r="EB56" s="2">
        <v>0.0</v>
      </c>
      <c r="EC56" s="2">
        <v>107.0</v>
      </c>
      <c r="EE56" s="2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2">
        <v>2025.0</v>
      </c>
      <c r="B57" s="2">
        <v>2.0</v>
      </c>
      <c r="C57" s="2" t="s">
        <v>225</v>
      </c>
      <c r="D57" s="2" t="s">
        <v>390</v>
      </c>
      <c r="E57" s="2" t="s">
        <v>581</v>
      </c>
      <c r="F57" s="2" t="s">
        <v>145</v>
      </c>
      <c r="G57" s="2">
        <v>26.0</v>
      </c>
      <c r="H57" s="2">
        <v>32.0</v>
      </c>
      <c r="I57" s="2">
        <v>315.0</v>
      </c>
      <c r="J57" s="2">
        <v>2.0</v>
      </c>
      <c r="K57" s="2">
        <v>1.0</v>
      </c>
      <c r="L57" s="2">
        <v>5.0</v>
      </c>
      <c r="M57" s="2">
        <v>-18.0</v>
      </c>
      <c r="N57" s="2">
        <v>0.0</v>
      </c>
      <c r="O57" s="2">
        <v>0.0</v>
      </c>
      <c r="P57" s="2">
        <v>251.0</v>
      </c>
      <c r="Q57" s="2">
        <v>145.0</v>
      </c>
      <c r="R57" s="2">
        <v>15.0</v>
      </c>
      <c r="S57" s="2">
        <v>9.932129502697</v>
      </c>
      <c r="T57" s="2">
        <v>13.7456484138966</v>
      </c>
      <c r="U57" s="2">
        <v>0.0</v>
      </c>
      <c r="V57" s="2">
        <v>12.0</v>
      </c>
      <c r="W57" s="2">
        <v>6.0</v>
      </c>
      <c r="X57" s="2">
        <v>4.0</v>
      </c>
      <c r="Y57" s="2">
        <v>1.0</v>
      </c>
      <c r="Z57" s="2">
        <v>15.0</v>
      </c>
      <c r="AA57" s="2">
        <v>61.0</v>
      </c>
      <c r="AB57" s="2">
        <v>0.0</v>
      </c>
      <c r="AC57" s="2">
        <v>0.0</v>
      </c>
      <c r="AD57" s="2">
        <v>0.0</v>
      </c>
      <c r="AE57" s="2">
        <v>1.0</v>
      </c>
      <c r="AF57" s="2">
        <v>-1.09822814585641</v>
      </c>
      <c r="AG57" s="2">
        <v>0.0</v>
      </c>
      <c r="AH57" s="2">
        <v>1.0</v>
      </c>
      <c r="AI57" s="2">
        <v>1.0</v>
      </c>
      <c r="AJ57" s="2">
        <v>0.0</v>
      </c>
      <c r="AK57" s="2">
        <v>0.0</v>
      </c>
      <c r="AL57" s="2">
        <v>26.0</v>
      </c>
      <c r="AM57" s="2">
        <v>32.0</v>
      </c>
      <c r="AN57" s="2">
        <v>315.0</v>
      </c>
      <c r="AO57" s="2">
        <v>2.0</v>
      </c>
      <c r="AP57" s="2">
        <v>0.0</v>
      </c>
      <c r="AQ57" s="2">
        <v>0.0</v>
      </c>
      <c r="AR57" s="2">
        <v>251.0</v>
      </c>
      <c r="AS57" s="2">
        <v>145.0</v>
      </c>
      <c r="AT57" s="2">
        <v>15.0</v>
      </c>
      <c r="AU57" s="2">
        <v>16.3731073631996</v>
      </c>
      <c r="AV57" s="2">
        <v>0.0</v>
      </c>
      <c r="AW57" s="2">
        <v>12.0</v>
      </c>
      <c r="AX57" s="2">
        <v>6.0</v>
      </c>
      <c r="AY57" s="2">
        <v>4.0</v>
      </c>
      <c r="AZ57" s="2">
        <v>1.0</v>
      </c>
      <c r="BA57" s="2">
        <v>1.0</v>
      </c>
      <c r="BB57" s="2">
        <v>32.0</v>
      </c>
      <c r="BC57" s="2">
        <v>2.0</v>
      </c>
      <c r="BD57" s="2">
        <v>32.0</v>
      </c>
      <c r="BE57" s="2">
        <v>4.0</v>
      </c>
      <c r="BF57" s="2">
        <v>25.0</v>
      </c>
      <c r="BG57" s="2">
        <v>0.0</v>
      </c>
      <c r="BH57" s="2">
        <v>3.0</v>
      </c>
      <c r="BI57" s="2">
        <v>19.0</v>
      </c>
      <c r="BJ57" s="2">
        <v>3.0</v>
      </c>
      <c r="BK57" s="2">
        <v>0.0</v>
      </c>
      <c r="BL57" s="2">
        <v>0.0</v>
      </c>
      <c r="BM57" s="2">
        <v>2.0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</v>
      </c>
      <c r="BV57" s="2">
        <v>0.0</v>
      </c>
      <c r="BW57" s="2">
        <v>10.0</v>
      </c>
      <c r="BX57" s="2">
        <v>65.0</v>
      </c>
      <c r="BY57" s="2">
        <v>5.0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2.0</v>
      </c>
      <c r="CF57" s="2">
        <v>93.0</v>
      </c>
      <c r="CG57" s="2">
        <v>6.0</v>
      </c>
      <c r="CH57" s="2">
        <v>128.0</v>
      </c>
      <c r="CI57" s="2">
        <v>2.0</v>
      </c>
      <c r="CJ57" s="2">
        <v>2.0</v>
      </c>
      <c r="CK57" s="2">
        <v>0.0</v>
      </c>
      <c r="CL57" s="2">
        <v>0.0</v>
      </c>
      <c r="CM57" s="2">
        <v>44.0</v>
      </c>
      <c r="CN57" s="2">
        <v>1.0</v>
      </c>
      <c r="CO57" s="2">
        <v>0.0</v>
      </c>
      <c r="CP57" s="2">
        <v>0.0</v>
      </c>
      <c r="CQ57" s="2">
        <v>0.0</v>
      </c>
      <c r="CR57" s="2">
        <v>2.0</v>
      </c>
      <c r="CS57" s="2">
        <v>0.0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 t="s">
        <v>2011</v>
      </c>
      <c r="DD57" s="2">
        <v>84.0</v>
      </c>
      <c r="DE57" s="2">
        <v>0.0</v>
      </c>
      <c r="DF57" s="2">
        <v>0.0</v>
      </c>
      <c r="DG57" s="2">
        <v>3.0</v>
      </c>
      <c r="DH57" s="2">
        <v>3.0</v>
      </c>
      <c r="DI57" s="2">
        <v>0.0</v>
      </c>
      <c r="DJ57" s="2">
        <v>0.0</v>
      </c>
      <c r="DK57" s="2">
        <v>1.0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2.0</v>
      </c>
      <c r="DR57" s="2">
        <v>0.0</v>
      </c>
      <c r="DS57" s="2">
        <v>48.0</v>
      </c>
      <c r="DT57" s="2">
        <v>88.0</v>
      </c>
      <c r="DU57" s="2">
        <v>1.0</v>
      </c>
      <c r="DV57" s="2">
        <v>0.0</v>
      </c>
      <c r="DW57" s="2">
        <v>1.0</v>
      </c>
      <c r="DX57" s="2">
        <v>0.0</v>
      </c>
      <c r="DY57" s="2">
        <v>0.0</v>
      </c>
      <c r="DZ57" s="2">
        <v>1.0</v>
      </c>
      <c r="EA57" s="2">
        <v>8.0</v>
      </c>
      <c r="EB57" s="2">
        <v>0.0</v>
      </c>
      <c r="EC57" s="2">
        <v>80.0</v>
      </c>
      <c r="EE57" s="2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2">
        <v>2025.0</v>
      </c>
      <c r="B58" s="2">
        <v>2.0</v>
      </c>
      <c r="C58" s="2" t="s">
        <v>144</v>
      </c>
      <c r="D58" s="2" t="s">
        <v>390</v>
      </c>
      <c r="E58" s="2" t="s">
        <v>609</v>
      </c>
      <c r="F58" s="2" t="s">
        <v>132</v>
      </c>
      <c r="G58" s="2">
        <v>11.0</v>
      </c>
      <c r="H58" s="2">
        <v>21.0</v>
      </c>
      <c r="I58" s="2">
        <v>158.0</v>
      </c>
      <c r="J58" s="2">
        <v>0.0</v>
      </c>
      <c r="K58" s="2">
        <v>2.0</v>
      </c>
      <c r="L58" s="2">
        <v>6.0</v>
      </c>
      <c r="M58" s="2">
        <v>-38.0</v>
      </c>
      <c r="N58" s="2">
        <v>1.0</v>
      </c>
      <c r="O58" s="2">
        <v>1.0</v>
      </c>
      <c r="P58" s="2">
        <v>252.0</v>
      </c>
      <c r="Q58" s="2">
        <v>42.0</v>
      </c>
      <c r="R58" s="2">
        <v>7.0</v>
      </c>
      <c r="S58" s="2">
        <v>-17.9665572904488</v>
      </c>
      <c r="T58" s="2">
        <v>-11.1102920202982</v>
      </c>
      <c r="U58" s="2">
        <v>0.0</v>
      </c>
      <c r="V58" s="2">
        <v>6.0</v>
      </c>
      <c r="W58" s="2">
        <v>4.0</v>
      </c>
      <c r="X58" s="2">
        <v>2.0</v>
      </c>
      <c r="Y58" s="2">
        <v>1.0</v>
      </c>
      <c r="Z58" s="2">
        <v>19.0</v>
      </c>
      <c r="AA58" s="2">
        <v>78.0</v>
      </c>
      <c r="AB58" s="2">
        <v>0.0</v>
      </c>
      <c r="AC58" s="2">
        <v>1.0</v>
      </c>
      <c r="AD58" s="2">
        <v>0.0</v>
      </c>
      <c r="AE58" s="2">
        <v>3.0</v>
      </c>
      <c r="AF58" s="2">
        <v>-2.74377831211314</v>
      </c>
      <c r="AG58" s="2">
        <v>0.0</v>
      </c>
      <c r="AH58" s="2">
        <v>1.0</v>
      </c>
      <c r="AI58" s="2">
        <v>1.0</v>
      </c>
      <c r="AJ58" s="2">
        <v>0.0</v>
      </c>
      <c r="AK58" s="2">
        <v>0.0</v>
      </c>
      <c r="AL58" s="2">
        <v>11.0</v>
      </c>
      <c r="AM58" s="2">
        <v>21.0</v>
      </c>
      <c r="AN58" s="2">
        <v>158.0</v>
      </c>
      <c r="AO58" s="2">
        <v>0.0</v>
      </c>
      <c r="AP58" s="2">
        <v>0.0</v>
      </c>
      <c r="AQ58" s="2">
        <v>0.0</v>
      </c>
      <c r="AR58" s="2">
        <v>252.0</v>
      </c>
      <c r="AS58" s="2">
        <v>42.0</v>
      </c>
      <c r="AT58" s="2">
        <v>7.0</v>
      </c>
      <c r="AU58" s="2">
        <v>-4.96942782499077</v>
      </c>
      <c r="AV58" s="2">
        <v>0.0</v>
      </c>
      <c r="AW58" s="2">
        <v>6.0</v>
      </c>
      <c r="AX58" s="2">
        <v>4.0</v>
      </c>
      <c r="AY58" s="2">
        <v>2.0</v>
      </c>
      <c r="AZ58" s="2">
        <v>1.0</v>
      </c>
      <c r="BA58" s="2">
        <v>0.0</v>
      </c>
      <c r="BB58" s="2">
        <v>38.0</v>
      </c>
      <c r="BC58" s="2">
        <v>2.0</v>
      </c>
      <c r="BD58" s="2">
        <v>32.0</v>
      </c>
      <c r="BE58" s="2">
        <v>6.0</v>
      </c>
      <c r="BF58" s="2">
        <v>31.0</v>
      </c>
      <c r="BG58" s="2">
        <v>1.0</v>
      </c>
      <c r="BH58" s="2">
        <v>3.0</v>
      </c>
      <c r="BI58" s="2">
        <v>27.0</v>
      </c>
      <c r="BJ58" s="2">
        <v>5.0</v>
      </c>
      <c r="BK58" s="2">
        <v>0.0</v>
      </c>
      <c r="BL58" s="2">
        <v>0.0</v>
      </c>
      <c r="BM58" s="2">
        <v>1.0</v>
      </c>
      <c r="BN58" s="2">
        <v>0.0</v>
      </c>
      <c r="BO58" s="2">
        <v>1.0</v>
      </c>
      <c r="BP58" s="2">
        <v>0.0</v>
      </c>
      <c r="BQ58" s="2">
        <v>0.0</v>
      </c>
      <c r="BR58" s="2">
        <v>2.0</v>
      </c>
      <c r="BS58" s="2">
        <v>0.0</v>
      </c>
      <c r="BT58" s="2">
        <v>1.0</v>
      </c>
      <c r="BU58" s="2">
        <v>9.0</v>
      </c>
      <c r="BV58" s="2">
        <v>0.0</v>
      </c>
      <c r="BW58" s="2">
        <v>8.0</v>
      </c>
      <c r="BX58" s="2">
        <v>50.0</v>
      </c>
      <c r="BY58" s="2">
        <v>5.0</v>
      </c>
      <c r="BZ58" s="2">
        <v>1.0</v>
      </c>
      <c r="CA58" s="2">
        <v>3.0</v>
      </c>
      <c r="CB58" s="2">
        <v>0.0</v>
      </c>
      <c r="CC58" s="2">
        <v>4.0</v>
      </c>
      <c r="CD58" s="2">
        <v>2.0</v>
      </c>
      <c r="CE58" s="2">
        <v>3.0</v>
      </c>
      <c r="CF58" s="2">
        <v>6.0</v>
      </c>
      <c r="CG58" s="2">
        <v>6.0</v>
      </c>
      <c r="CH58" s="2">
        <v>135.0</v>
      </c>
      <c r="CI58" s="2">
        <v>2.0</v>
      </c>
      <c r="CJ58" s="2">
        <v>2.0</v>
      </c>
      <c r="CK58" s="2">
        <v>0.0</v>
      </c>
      <c r="CL58" s="2">
        <v>0.0</v>
      </c>
      <c r="CM58" s="2">
        <v>51.0</v>
      </c>
      <c r="CN58" s="2">
        <v>1.0</v>
      </c>
      <c r="CO58" s="2">
        <v>0.0</v>
      </c>
      <c r="CP58" s="2">
        <v>0.0</v>
      </c>
      <c r="CQ58" s="2">
        <v>1.0</v>
      </c>
      <c r="CR58" s="2">
        <v>0.0</v>
      </c>
      <c r="CS58" s="2">
        <v>1.0</v>
      </c>
      <c r="CT58" s="2">
        <v>0.0</v>
      </c>
      <c r="CU58" s="2">
        <v>0.0</v>
      </c>
      <c r="CV58" s="2">
        <v>0.0</v>
      </c>
      <c r="CW58" s="2">
        <v>0.0</v>
      </c>
      <c r="CX58" s="2">
        <v>0.0</v>
      </c>
      <c r="CY58" s="2">
        <v>0.0</v>
      </c>
      <c r="CZ58" s="2">
        <v>0.0</v>
      </c>
      <c r="DA58" s="2" t="s">
        <v>2012</v>
      </c>
      <c r="DD58" s="2">
        <v>84.0</v>
      </c>
      <c r="DE58" s="2">
        <v>0.0</v>
      </c>
      <c r="DF58" s="2">
        <v>0.0</v>
      </c>
      <c r="DG58" s="2">
        <v>0.0</v>
      </c>
      <c r="DH58" s="2">
        <v>0.0</v>
      </c>
      <c r="DI58" s="2">
        <v>0.0</v>
      </c>
      <c r="DJ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4.0</v>
      </c>
      <c r="DR58" s="2">
        <v>0.0</v>
      </c>
      <c r="DS58" s="2">
        <v>59.0</v>
      </c>
      <c r="DT58" s="2">
        <v>204.0</v>
      </c>
      <c r="DU58" s="2">
        <v>2.0</v>
      </c>
      <c r="DV58" s="2">
        <v>0.0</v>
      </c>
      <c r="DW58" s="2">
        <v>0.0</v>
      </c>
      <c r="DX58" s="2">
        <v>0.0</v>
      </c>
      <c r="DY58" s="2">
        <v>4.0</v>
      </c>
      <c r="DZ58" s="2">
        <v>0.0</v>
      </c>
      <c r="EA58" s="2">
        <v>0.0</v>
      </c>
      <c r="EB58" s="2">
        <v>0.0</v>
      </c>
      <c r="EC58" s="2">
        <v>204.0</v>
      </c>
      <c r="EE58" s="2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2">
        <v>2025.0</v>
      </c>
      <c r="B59" s="2">
        <v>2.0</v>
      </c>
      <c r="C59" s="2" t="s">
        <v>145</v>
      </c>
      <c r="D59" s="2" t="s">
        <v>390</v>
      </c>
      <c r="E59" s="2" t="s">
        <v>581</v>
      </c>
      <c r="F59" s="2" t="s">
        <v>225</v>
      </c>
      <c r="G59" s="2">
        <v>19.0</v>
      </c>
      <c r="H59" s="2">
        <v>23.0</v>
      </c>
      <c r="I59" s="2">
        <v>230.0</v>
      </c>
      <c r="J59" s="2">
        <v>2.0</v>
      </c>
      <c r="K59" s="2">
        <v>0.0</v>
      </c>
      <c r="L59" s="2">
        <v>3.0</v>
      </c>
      <c r="M59" s="2">
        <v>-19.0</v>
      </c>
      <c r="N59" s="2">
        <v>0.0</v>
      </c>
      <c r="O59" s="2">
        <v>0.0</v>
      </c>
      <c r="P59" s="2">
        <v>134.0</v>
      </c>
      <c r="Q59" s="2">
        <v>129.0</v>
      </c>
      <c r="R59" s="2">
        <v>9.0</v>
      </c>
      <c r="S59" s="2">
        <v>14.9905001481407</v>
      </c>
      <c r="T59" s="2">
        <v>13.9967002298521</v>
      </c>
      <c r="U59" s="2">
        <v>0.0</v>
      </c>
      <c r="V59" s="2">
        <v>8.0</v>
      </c>
      <c r="W59" s="2">
        <v>3.0</v>
      </c>
      <c r="X59" s="2">
        <v>2.0</v>
      </c>
      <c r="Y59" s="2">
        <v>1.0</v>
      </c>
      <c r="Z59" s="2">
        <v>29.0</v>
      </c>
      <c r="AA59" s="2">
        <v>122.0</v>
      </c>
      <c r="AB59" s="2">
        <v>1.0</v>
      </c>
      <c r="AC59" s="2">
        <v>0.0</v>
      </c>
      <c r="AD59" s="2">
        <v>0.0</v>
      </c>
      <c r="AE59" s="2">
        <v>8.0</v>
      </c>
      <c r="AF59" s="2">
        <v>3.23742522897385</v>
      </c>
      <c r="AG59" s="2">
        <v>1.0</v>
      </c>
      <c r="AH59" s="2">
        <v>3.0</v>
      </c>
      <c r="AI59" s="2">
        <v>3.0</v>
      </c>
      <c r="AJ59" s="2">
        <v>1.0</v>
      </c>
      <c r="AK59" s="2">
        <v>0.0</v>
      </c>
      <c r="AL59" s="2">
        <v>19.0</v>
      </c>
      <c r="AM59" s="2">
        <v>23.0</v>
      </c>
      <c r="AN59" s="2">
        <v>230.0</v>
      </c>
      <c r="AO59" s="2">
        <v>2.0</v>
      </c>
      <c r="AP59" s="2">
        <v>0.0</v>
      </c>
      <c r="AQ59" s="2">
        <v>0.0</v>
      </c>
      <c r="AR59" s="2">
        <v>134.0</v>
      </c>
      <c r="AS59" s="2">
        <v>129.0</v>
      </c>
      <c r="AT59" s="2">
        <v>9.0</v>
      </c>
      <c r="AU59" s="2">
        <v>19.5007077430951</v>
      </c>
      <c r="AV59" s="2">
        <v>0.0</v>
      </c>
      <c r="AW59" s="2">
        <v>8.0</v>
      </c>
      <c r="AX59" s="2">
        <v>3.0</v>
      </c>
      <c r="AY59" s="2">
        <v>2.0</v>
      </c>
      <c r="AZ59" s="2">
        <v>1.0</v>
      </c>
      <c r="BA59" s="2">
        <v>1.0</v>
      </c>
      <c r="BB59" s="2">
        <v>39.0</v>
      </c>
      <c r="BC59" s="2">
        <v>3.0</v>
      </c>
      <c r="BD59" s="2">
        <v>19.0</v>
      </c>
      <c r="BE59" s="2">
        <v>6.0</v>
      </c>
      <c r="BF59" s="2">
        <v>22.0</v>
      </c>
      <c r="BG59" s="2">
        <v>0.0</v>
      </c>
      <c r="BH59" s="2">
        <v>5.0</v>
      </c>
      <c r="BI59" s="2">
        <v>18.0</v>
      </c>
      <c r="BJ59" s="2">
        <v>5.0</v>
      </c>
      <c r="BK59" s="2">
        <v>1.0</v>
      </c>
      <c r="BL59" s="2">
        <v>20.0</v>
      </c>
      <c r="BM59" s="2">
        <v>2.0</v>
      </c>
      <c r="BN59" s="2">
        <v>0.0</v>
      </c>
      <c r="BO59" s="2">
        <v>0.0</v>
      </c>
      <c r="BP59" s="2">
        <v>0.0</v>
      </c>
      <c r="BQ59" s="2">
        <v>0.0</v>
      </c>
      <c r="BR59" s="2">
        <v>1.0</v>
      </c>
      <c r="BS59" s="2">
        <v>-13.0</v>
      </c>
      <c r="BT59" s="2">
        <v>0.0</v>
      </c>
      <c r="BU59" s="2">
        <v>0.0</v>
      </c>
      <c r="BV59" s="2">
        <v>0.0</v>
      </c>
      <c r="BW59" s="2">
        <v>12.0</v>
      </c>
      <c r="BX59" s="2">
        <v>75.0</v>
      </c>
      <c r="BY59" s="2">
        <v>4.0</v>
      </c>
      <c r="BZ59" s="2">
        <v>0.0</v>
      </c>
      <c r="CA59" s="2">
        <v>1.0</v>
      </c>
      <c r="CB59" s="2">
        <v>0.0</v>
      </c>
      <c r="CC59" s="2">
        <v>1.0</v>
      </c>
      <c r="CD59" s="2">
        <v>0.0</v>
      </c>
      <c r="CE59" s="2">
        <v>1.0</v>
      </c>
      <c r="CF59" s="2">
        <v>8.0</v>
      </c>
      <c r="CG59" s="2">
        <v>6.0</v>
      </c>
      <c r="CH59" s="2">
        <v>171.0</v>
      </c>
      <c r="CI59" s="2">
        <v>2.0</v>
      </c>
      <c r="CJ59" s="2">
        <v>2.0</v>
      </c>
      <c r="CK59" s="2">
        <v>0.0</v>
      </c>
      <c r="CL59" s="2">
        <v>0.0</v>
      </c>
      <c r="CM59" s="2">
        <v>53.0</v>
      </c>
      <c r="CN59" s="2">
        <v>1.0</v>
      </c>
      <c r="CO59" s="2">
        <v>0.0</v>
      </c>
      <c r="CP59" s="2">
        <v>1.0</v>
      </c>
      <c r="CQ59" s="2">
        <v>0.0</v>
      </c>
      <c r="CR59" s="2">
        <v>0.0</v>
      </c>
      <c r="CS59" s="2">
        <v>1.0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 t="s">
        <v>2013</v>
      </c>
      <c r="DD59" s="2">
        <v>75.0</v>
      </c>
      <c r="DE59" s="2">
        <v>0.0</v>
      </c>
      <c r="DF59" s="2">
        <v>0.0</v>
      </c>
      <c r="DG59" s="2">
        <v>1.0</v>
      </c>
      <c r="DH59" s="2">
        <v>3.0</v>
      </c>
      <c r="DI59" s="2">
        <v>2.0</v>
      </c>
      <c r="DJ59" s="2">
        <v>0.0</v>
      </c>
      <c r="DK59" s="2">
        <v>0.333333333333333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2.0</v>
      </c>
      <c r="DR59" s="2">
        <v>0.0</v>
      </c>
      <c r="DS59" s="2">
        <v>71.0</v>
      </c>
      <c r="DT59" s="2">
        <v>136.0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2.0</v>
      </c>
      <c r="EA59" s="2">
        <v>93.0</v>
      </c>
      <c r="EB59" s="2">
        <v>1.0</v>
      </c>
      <c r="EC59" s="2">
        <v>43.0</v>
      </c>
      <c r="EE59" s="2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2">
        <v>2025.0</v>
      </c>
      <c r="B60" s="2">
        <v>2.0</v>
      </c>
      <c r="C60" s="2" t="s">
        <v>232</v>
      </c>
      <c r="D60" s="2" t="s">
        <v>390</v>
      </c>
      <c r="E60" s="2" t="s">
        <v>585</v>
      </c>
      <c r="F60" s="2" t="s">
        <v>246</v>
      </c>
      <c r="G60" s="2">
        <v>25.0</v>
      </c>
      <c r="H60" s="2">
        <v>34.0</v>
      </c>
      <c r="I60" s="2">
        <v>207.0</v>
      </c>
      <c r="J60" s="2">
        <v>3.0</v>
      </c>
      <c r="K60" s="2">
        <v>0.0</v>
      </c>
      <c r="L60" s="2">
        <v>3.0</v>
      </c>
      <c r="M60" s="2">
        <v>-21.0</v>
      </c>
      <c r="N60" s="2">
        <v>1.0</v>
      </c>
      <c r="O60" s="2">
        <v>0.0</v>
      </c>
      <c r="P60" s="2">
        <v>250.0</v>
      </c>
      <c r="Q60" s="2">
        <v>90.0</v>
      </c>
      <c r="R60" s="2">
        <v>12.0</v>
      </c>
      <c r="S60" s="2">
        <v>-2.82334165394925</v>
      </c>
      <c r="T60" s="2">
        <v>3.78400324022069</v>
      </c>
      <c r="U60" s="2">
        <v>0.0</v>
      </c>
      <c r="V60" s="2">
        <v>8.0</v>
      </c>
      <c r="W60" s="2">
        <v>3.0</v>
      </c>
      <c r="X60" s="2">
        <v>2.0</v>
      </c>
      <c r="Y60" s="2">
        <v>0.0</v>
      </c>
      <c r="Z60" s="2">
        <v>30.0</v>
      </c>
      <c r="AA60" s="2">
        <v>121.0</v>
      </c>
      <c r="AB60" s="2">
        <v>0.0</v>
      </c>
      <c r="AC60" s="2">
        <v>0.0</v>
      </c>
      <c r="AD60" s="2">
        <v>0.0</v>
      </c>
      <c r="AE60" s="2">
        <v>6.0</v>
      </c>
      <c r="AF60" s="2">
        <v>2.25944950652774</v>
      </c>
      <c r="AG60" s="2">
        <v>0.0</v>
      </c>
      <c r="AH60" s="2">
        <v>3.0</v>
      </c>
      <c r="AI60" s="2">
        <v>2.0</v>
      </c>
      <c r="AJ60" s="2">
        <v>0.0</v>
      </c>
      <c r="AK60" s="2">
        <v>0.0</v>
      </c>
      <c r="AL60" s="2">
        <v>25.0</v>
      </c>
      <c r="AM60" s="2">
        <v>34.0</v>
      </c>
      <c r="AN60" s="2">
        <v>207.0</v>
      </c>
      <c r="AO60" s="2">
        <v>3.0</v>
      </c>
      <c r="AP60" s="2">
        <v>1.0</v>
      </c>
      <c r="AQ60" s="2">
        <v>1.0</v>
      </c>
      <c r="AR60" s="2">
        <v>250.0</v>
      </c>
      <c r="AS60" s="2">
        <v>90.0</v>
      </c>
      <c r="AT60" s="2">
        <v>12.0</v>
      </c>
      <c r="AU60" s="2">
        <v>-0.530684576694984</v>
      </c>
      <c r="AV60" s="2">
        <v>0.0</v>
      </c>
      <c r="AW60" s="2">
        <v>8.0</v>
      </c>
      <c r="AX60" s="2">
        <v>3.0</v>
      </c>
      <c r="AY60" s="2">
        <v>2.0</v>
      </c>
      <c r="AZ60" s="2">
        <v>0.0</v>
      </c>
      <c r="BA60" s="2">
        <v>0.0</v>
      </c>
      <c r="BB60" s="2">
        <v>39.0</v>
      </c>
      <c r="BC60" s="2">
        <v>3.0</v>
      </c>
      <c r="BD60" s="2">
        <v>19.0</v>
      </c>
      <c r="BE60" s="2">
        <v>7.0</v>
      </c>
      <c r="BF60" s="2">
        <v>24.0</v>
      </c>
      <c r="BG60" s="2">
        <v>1.0</v>
      </c>
      <c r="BH60" s="2">
        <v>3.0</v>
      </c>
      <c r="BI60" s="2">
        <v>12.0</v>
      </c>
      <c r="BJ60" s="2">
        <v>6.0</v>
      </c>
      <c r="BK60" s="2">
        <v>0.0</v>
      </c>
      <c r="BL60" s="2">
        <v>0.0</v>
      </c>
      <c r="BM60" s="2">
        <v>6.0</v>
      </c>
      <c r="BN60" s="2">
        <v>0.0</v>
      </c>
      <c r="BO60" s="2">
        <v>0.0</v>
      </c>
      <c r="BP60" s="2">
        <v>0.0</v>
      </c>
      <c r="BQ60" s="2">
        <v>0.0</v>
      </c>
      <c r="BR60" s="2">
        <v>1.0</v>
      </c>
      <c r="BS60" s="2">
        <v>0.0</v>
      </c>
      <c r="BT60" s="2">
        <v>1.0</v>
      </c>
      <c r="BU60" s="2">
        <v>0.0</v>
      </c>
      <c r="BV60" s="2">
        <v>0.0</v>
      </c>
      <c r="BW60" s="2">
        <v>7.0</v>
      </c>
      <c r="BX60" s="2">
        <v>45.0</v>
      </c>
      <c r="BY60" s="2">
        <v>4.0</v>
      </c>
      <c r="BZ60" s="2">
        <v>2.0</v>
      </c>
      <c r="CA60" s="2">
        <v>0.0</v>
      </c>
      <c r="CB60" s="2">
        <v>0.0</v>
      </c>
      <c r="CC60" s="2">
        <v>2.0</v>
      </c>
      <c r="CD60" s="2">
        <v>1.0</v>
      </c>
      <c r="CE60" s="2">
        <v>2.0</v>
      </c>
      <c r="CF60" s="2">
        <v>23.0</v>
      </c>
      <c r="CG60" s="2">
        <v>3.0</v>
      </c>
      <c r="CH60" s="2">
        <v>82.0</v>
      </c>
      <c r="CI60" s="2">
        <v>0.0</v>
      </c>
      <c r="CJ60" s="2">
        <v>1.0</v>
      </c>
      <c r="CK60" s="2">
        <v>1.0</v>
      </c>
      <c r="CL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1.0</v>
      </c>
      <c r="CY60" s="2">
        <v>0.0</v>
      </c>
      <c r="CZ60" s="2">
        <v>0.0</v>
      </c>
      <c r="DB60" s="2" t="s">
        <v>1984</v>
      </c>
      <c r="DD60" s="2">
        <v>0.0</v>
      </c>
      <c r="DE60" s="2">
        <v>40.0</v>
      </c>
      <c r="DF60" s="2">
        <v>0.0</v>
      </c>
      <c r="DG60" s="2">
        <v>3.0</v>
      </c>
      <c r="DH60" s="2">
        <v>3.0</v>
      </c>
      <c r="DI60" s="2">
        <v>0.0</v>
      </c>
      <c r="DJ60" s="2">
        <v>0.0</v>
      </c>
      <c r="DK60" s="2">
        <v>1.0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4.0</v>
      </c>
      <c r="DR60" s="2">
        <v>0.0</v>
      </c>
      <c r="DS60" s="2">
        <v>52.0</v>
      </c>
      <c r="DT60" s="2">
        <v>171.0</v>
      </c>
      <c r="DU60" s="2">
        <v>1.0</v>
      </c>
      <c r="DV60" s="2">
        <v>1.0</v>
      </c>
      <c r="DW60" s="2">
        <v>1.0</v>
      </c>
      <c r="DX60" s="2">
        <v>1.0</v>
      </c>
      <c r="DY60" s="2">
        <v>0.0</v>
      </c>
      <c r="DZ60" s="2">
        <v>1.0</v>
      </c>
      <c r="EA60" s="2">
        <v>1.0</v>
      </c>
      <c r="EB60" s="2">
        <v>0.0</v>
      </c>
      <c r="EC60" s="2">
        <v>150.0</v>
      </c>
      <c r="EE60" s="2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2">
        <v>2025.0</v>
      </c>
      <c r="B61" s="2">
        <v>2.0</v>
      </c>
      <c r="C61" s="2" t="s">
        <v>235</v>
      </c>
      <c r="D61" s="2" t="s">
        <v>390</v>
      </c>
      <c r="E61" s="2" t="s">
        <v>573</v>
      </c>
      <c r="F61" s="2" t="s">
        <v>146</v>
      </c>
      <c r="G61" s="2">
        <v>30.0</v>
      </c>
      <c r="H61" s="2">
        <v>41.0</v>
      </c>
      <c r="I61" s="2">
        <v>450.0</v>
      </c>
      <c r="J61" s="2">
        <v>3.0</v>
      </c>
      <c r="K61" s="2">
        <v>1.0</v>
      </c>
      <c r="L61" s="2">
        <v>3.0</v>
      </c>
      <c r="M61" s="2">
        <v>-28.0</v>
      </c>
      <c r="N61" s="2">
        <v>1.0</v>
      </c>
      <c r="O61" s="2">
        <v>0.0</v>
      </c>
      <c r="P61" s="2">
        <v>522.0</v>
      </c>
      <c r="Q61" s="2">
        <v>137.0</v>
      </c>
      <c r="R61" s="2">
        <v>15.0</v>
      </c>
      <c r="S61" s="2">
        <v>17.0734416140496</v>
      </c>
      <c r="T61" s="2">
        <v>13.4164839237928</v>
      </c>
      <c r="U61" s="2">
        <v>0.0</v>
      </c>
      <c r="V61" s="2">
        <v>15.0</v>
      </c>
      <c r="W61" s="2">
        <v>7.0</v>
      </c>
      <c r="X61" s="2">
        <v>7.0</v>
      </c>
      <c r="Y61" s="2">
        <v>3.0</v>
      </c>
      <c r="Z61" s="2">
        <v>21.0</v>
      </c>
      <c r="AA61" s="2">
        <v>84.0</v>
      </c>
      <c r="AB61" s="2">
        <v>1.0</v>
      </c>
      <c r="AC61" s="2">
        <v>0.0</v>
      </c>
      <c r="AD61" s="2">
        <v>0.0</v>
      </c>
      <c r="AE61" s="2">
        <v>6.0</v>
      </c>
      <c r="AF61" s="2">
        <v>-2.6640637270757</v>
      </c>
      <c r="AG61" s="2">
        <v>0.0</v>
      </c>
      <c r="AH61" s="2">
        <v>2.0</v>
      </c>
      <c r="AI61" s="2">
        <v>2.0</v>
      </c>
      <c r="AJ61" s="2">
        <v>1.0</v>
      </c>
      <c r="AK61" s="2">
        <v>0.0</v>
      </c>
      <c r="AL61" s="2">
        <v>30.0</v>
      </c>
      <c r="AM61" s="2">
        <v>40.0</v>
      </c>
      <c r="AN61" s="2">
        <v>450.0</v>
      </c>
      <c r="AO61" s="2">
        <v>3.0</v>
      </c>
      <c r="AP61" s="2">
        <v>0.0</v>
      </c>
      <c r="AQ61" s="2">
        <v>0.0</v>
      </c>
      <c r="AR61" s="2">
        <v>522.0</v>
      </c>
      <c r="AS61" s="2">
        <v>137.0</v>
      </c>
      <c r="AT61" s="2">
        <v>15.0</v>
      </c>
      <c r="AU61" s="2">
        <v>23.3923074059441</v>
      </c>
      <c r="AV61" s="2">
        <v>0.0</v>
      </c>
      <c r="AW61" s="2">
        <v>15.0</v>
      </c>
      <c r="AX61" s="2">
        <v>7.0</v>
      </c>
      <c r="AY61" s="2">
        <v>7.0</v>
      </c>
      <c r="AZ61" s="2">
        <v>3.0</v>
      </c>
      <c r="BA61" s="2">
        <v>0.0</v>
      </c>
      <c r="BB61" s="2">
        <v>63.0</v>
      </c>
      <c r="BC61" s="2">
        <v>0.0</v>
      </c>
      <c r="BD61" s="2">
        <v>24.0</v>
      </c>
      <c r="BE61" s="2">
        <v>8.0</v>
      </c>
      <c r="BF61" s="2">
        <v>24.0</v>
      </c>
      <c r="BG61" s="2">
        <v>0.0</v>
      </c>
      <c r="BH61" s="2">
        <v>3.0</v>
      </c>
      <c r="BI61" s="2">
        <v>18.0</v>
      </c>
      <c r="BJ61" s="2">
        <v>7.0</v>
      </c>
      <c r="BK61" s="2">
        <v>1.0</v>
      </c>
      <c r="BL61" s="2">
        <v>0.0</v>
      </c>
      <c r="BM61" s="2">
        <v>9.0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14.0</v>
      </c>
      <c r="BX61" s="2">
        <v>160.0</v>
      </c>
      <c r="BY61" s="2">
        <v>6.0</v>
      </c>
      <c r="BZ61" s="2">
        <v>0.0</v>
      </c>
      <c r="CA61" s="2">
        <v>1.0</v>
      </c>
      <c r="CB61" s="2">
        <v>1.0</v>
      </c>
      <c r="CC61" s="2">
        <v>1.0</v>
      </c>
      <c r="CD61" s="2">
        <v>0.0</v>
      </c>
      <c r="CE61" s="2">
        <v>3.0</v>
      </c>
      <c r="CF61" s="2">
        <v>38.0</v>
      </c>
      <c r="CG61" s="2">
        <v>6.0</v>
      </c>
      <c r="CH61" s="2">
        <v>161.0</v>
      </c>
      <c r="CI61" s="2">
        <v>3.0</v>
      </c>
      <c r="CJ61" s="2">
        <v>3.0</v>
      </c>
      <c r="CK61" s="2">
        <v>0.0</v>
      </c>
      <c r="CL61" s="2">
        <v>0.0</v>
      </c>
      <c r="CM61" s="2">
        <v>38.0</v>
      </c>
      <c r="CN61" s="2">
        <v>1.0</v>
      </c>
      <c r="CO61" s="2">
        <v>0.0</v>
      </c>
      <c r="CP61" s="2">
        <v>0.0</v>
      </c>
      <c r="CQ61" s="2">
        <v>3.0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 t="s">
        <v>2014</v>
      </c>
      <c r="DD61" s="2">
        <v>104.0</v>
      </c>
      <c r="DE61" s="2">
        <v>0.0</v>
      </c>
      <c r="DF61" s="2">
        <v>0.0</v>
      </c>
      <c r="DG61" s="2">
        <v>4.0</v>
      </c>
      <c r="DH61" s="2">
        <v>4.0</v>
      </c>
      <c r="DI61" s="2">
        <v>0.0</v>
      </c>
      <c r="DJ61" s="2">
        <v>0.0</v>
      </c>
      <c r="DK61" s="2">
        <v>1.0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3.0</v>
      </c>
      <c r="DR61" s="2">
        <v>0.0</v>
      </c>
      <c r="DS61" s="2">
        <v>50.0</v>
      </c>
      <c r="DT61" s="2">
        <v>135.0</v>
      </c>
      <c r="DU61" s="2">
        <v>0.0</v>
      </c>
      <c r="DV61" s="2">
        <v>0.0</v>
      </c>
      <c r="DW61" s="2">
        <v>0.0</v>
      </c>
      <c r="DX61" s="2">
        <v>0.0</v>
      </c>
      <c r="DY61" s="2">
        <v>2.0</v>
      </c>
      <c r="DZ61" s="2">
        <v>1.0</v>
      </c>
      <c r="EA61" s="2">
        <v>2.0</v>
      </c>
      <c r="EB61" s="2">
        <v>0.0</v>
      </c>
      <c r="EC61" s="2">
        <v>133.0</v>
      </c>
      <c r="EE61" s="2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2">
        <v>2025.0</v>
      </c>
      <c r="B62" s="2">
        <v>2.0</v>
      </c>
      <c r="C62" s="2" t="s">
        <v>238</v>
      </c>
      <c r="D62" s="2" t="s">
        <v>390</v>
      </c>
      <c r="E62" s="2" t="s">
        <v>589</v>
      </c>
      <c r="F62" s="2" t="s">
        <v>136</v>
      </c>
      <c r="G62" s="2">
        <v>10.0</v>
      </c>
      <c r="H62" s="2">
        <v>22.0</v>
      </c>
      <c r="I62" s="2">
        <v>83.0</v>
      </c>
      <c r="J62" s="2">
        <v>1.0</v>
      </c>
      <c r="K62" s="2">
        <v>0.0</v>
      </c>
      <c r="L62" s="2">
        <v>4.0</v>
      </c>
      <c r="M62" s="2">
        <v>-29.0</v>
      </c>
      <c r="N62" s="2">
        <v>1.0</v>
      </c>
      <c r="O62" s="2">
        <v>0.0</v>
      </c>
      <c r="P62" s="2">
        <v>172.0</v>
      </c>
      <c r="Q62" s="2">
        <v>23.0</v>
      </c>
      <c r="R62" s="2">
        <v>5.0</v>
      </c>
      <c r="S62" s="2">
        <v>-4.1276074651978</v>
      </c>
      <c r="T62" s="2">
        <v>-17.0925009818304</v>
      </c>
      <c r="U62" s="2">
        <v>0.0</v>
      </c>
      <c r="V62" s="2">
        <v>3.0</v>
      </c>
      <c r="W62" s="2">
        <v>1.0</v>
      </c>
      <c r="X62" s="2">
        <v>0.0</v>
      </c>
      <c r="Y62" s="2">
        <v>0.0</v>
      </c>
      <c r="Z62" s="2">
        <v>21.0</v>
      </c>
      <c r="AA62" s="2">
        <v>100.0</v>
      </c>
      <c r="AB62" s="2">
        <v>0.0</v>
      </c>
      <c r="AC62" s="2">
        <v>1.0</v>
      </c>
      <c r="AD62" s="2">
        <v>1.0</v>
      </c>
      <c r="AE62" s="2">
        <v>5.0</v>
      </c>
      <c r="AF62" s="2">
        <v>-9.75268497626764</v>
      </c>
      <c r="AG62" s="2">
        <v>0.0</v>
      </c>
      <c r="AH62" s="2">
        <v>4.0</v>
      </c>
      <c r="AI62" s="2">
        <v>3.0</v>
      </c>
      <c r="AJ62" s="2">
        <v>1.0</v>
      </c>
      <c r="AK62" s="2">
        <v>0.0</v>
      </c>
      <c r="AL62" s="2">
        <v>10.0</v>
      </c>
      <c r="AM62" s="2">
        <v>21.0</v>
      </c>
      <c r="AN62" s="2">
        <v>83.0</v>
      </c>
      <c r="AO62" s="2">
        <v>1.0</v>
      </c>
      <c r="AP62" s="2">
        <v>1.0</v>
      </c>
      <c r="AQ62" s="2">
        <v>0.0</v>
      </c>
      <c r="AR62" s="2">
        <v>172.0</v>
      </c>
      <c r="AS62" s="2">
        <v>23.0</v>
      </c>
      <c r="AT62" s="2">
        <v>5.0</v>
      </c>
      <c r="AU62" s="2">
        <v>2.49117202992784</v>
      </c>
      <c r="AV62" s="2">
        <v>0.0</v>
      </c>
      <c r="AW62" s="2">
        <v>3.0</v>
      </c>
      <c r="AX62" s="2">
        <v>1.0</v>
      </c>
      <c r="AY62" s="2">
        <v>0.0</v>
      </c>
      <c r="AZ62" s="2">
        <v>0.0</v>
      </c>
      <c r="BA62" s="2">
        <v>0.0</v>
      </c>
      <c r="BB62" s="2">
        <v>36.0</v>
      </c>
      <c r="BC62" s="2">
        <v>4.0</v>
      </c>
      <c r="BD62" s="2">
        <v>40.0</v>
      </c>
      <c r="BE62" s="2">
        <v>4.0</v>
      </c>
      <c r="BF62" s="2">
        <v>9.0</v>
      </c>
      <c r="BG62" s="2">
        <v>1.0</v>
      </c>
      <c r="BH62" s="2">
        <v>1.0</v>
      </c>
      <c r="BI62" s="2">
        <v>1.0</v>
      </c>
      <c r="BJ62" s="2">
        <v>2.0</v>
      </c>
      <c r="BK62" s="2">
        <v>0.0</v>
      </c>
      <c r="BL62" s="2">
        <v>0.0</v>
      </c>
      <c r="BM62" s="2">
        <v>6.0</v>
      </c>
      <c r="BN62" s="2">
        <v>0.0</v>
      </c>
      <c r="BO62" s="2">
        <v>0.0</v>
      </c>
      <c r="BP62" s="2">
        <v>0.0</v>
      </c>
      <c r="BQ62" s="2">
        <v>0.0</v>
      </c>
      <c r="BR62" s="2">
        <v>2.0</v>
      </c>
      <c r="BS62" s="2">
        <v>0.0</v>
      </c>
      <c r="BT62" s="2">
        <v>0.0</v>
      </c>
      <c r="BU62" s="2">
        <v>0.0</v>
      </c>
      <c r="BV62" s="2">
        <v>0.0</v>
      </c>
      <c r="BW62" s="2">
        <v>5.0</v>
      </c>
      <c r="BX62" s="2">
        <v>35.0</v>
      </c>
      <c r="BY62" s="2">
        <v>4.0</v>
      </c>
      <c r="BZ62" s="2">
        <v>3.0</v>
      </c>
      <c r="CA62" s="2">
        <v>0.0</v>
      </c>
      <c r="CB62" s="2">
        <v>0.0</v>
      </c>
      <c r="CC62" s="2">
        <v>3.0</v>
      </c>
      <c r="CD62" s="2">
        <v>1.0</v>
      </c>
      <c r="CE62" s="2">
        <v>1.0</v>
      </c>
      <c r="CF62" s="2">
        <v>11.0</v>
      </c>
      <c r="CG62" s="2">
        <v>7.0</v>
      </c>
      <c r="CH62" s="2">
        <v>174.0</v>
      </c>
      <c r="CI62" s="2">
        <v>1.0</v>
      </c>
      <c r="CJ62" s="2">
        <v>1.0</v>
      </c>
      <c r="CK62" s="2">
        <v>0.0</v>
      </c>
      <c r="CL62" s="2">
        <v>0.0</v>
      </c>
      <c r="CM62" s="2">
        <v>51.0</v>
      </c>
      <c r="CN62" s="2">
        <v>1.0</v>
      </c>
      <c r="CO62" s="2">
        <v>0.0</v>
      </c>
      <c r="CP62" s="2">
        <v>0.0</v>
      </c>
      <c r="CQ62" s="2">
        <v>0.0</v>
      </c>
      <c r="CR62" s="2">
        <v>0.0</v>
      </c>
      <c r="CS62" s="2">
        <v>1.0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 t="s">
        <v>2015</v>
      </c>
      <c r="DD62" s="2">
        <v>51.0</v>
      </c>
      <c r="DE62" s="2">
        <v>0.0</v>
      </c>
      <c r="DF62" s="2">
        <v>0.0</v>
      </c>
      <c r="DG62" s="2">
        <v>1.0</v>
      </c>
      <c r="DH62" s="2">
        <v>1.0</v>
      </c>
      <c r="DI62" s="2">
        <v>0.0</v>
      </c>
      <c r="DJ62" s="2">
        <v>0.0</v>
      </c>
      <c r="DK62" s="2">
        <v>1.0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7.0</v>
      </c>
      <c r="DR62" s="2">
        <v>0.0</v>
      </c>
      <c r="DS62" s="2">
        <v>55.0</v>
      </c>
      <c r="DT62" s="2">
        <v>340.0</v>
      </c>
      <c r="DU62" s="2">
        <v>3.0</v>
      </c>
      <c r="DV62" s="2">
        <v>0.0</v>
      </c>
      <c r="DW62" s="2">
        <v>1.0</v>
      </c>
      <c r="DX62" s="2">
        <v>1.0</v>
      </c>
      <c r="DY62" s="2">
        <v>1.0</v>
      </c>
      <c r="DZ62" s="2">
        <v>4.0</v>
      </c>
      <c r="EA62" s="2">
        <v>22.0</v>
      </c>
      <c r="EB62" s="2">
        <v>0.0</v>
      </c>
      <c r="EC62" s="2">
        <v>298.0</v>
      </c>
      <c r="EE62" s="2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2">
        <v>2025.0</v>
      </c>
      <c r="B63" s="2">
        <v>2.0</v>
      </c>
      <c r="C63" s="2" t="s">
        <v>147</v>
      </c>
      <c r="D63" s="2" t="s">
        <v>390</v>
      </c>
      <c r="E63" s="2" t="s">
        <v>605</v>
      </c>
      <c r="F63" s="2" t="s">
        <v>143</v>
      </c>
      <c r="G63" s="2">
        <v>15.0</v>
      </c>
      <c r="H63" s="2">
        <v>22.0</v>
      </c>
      <c r="I63" s="2">
        <v>101.0</v>
      </c>
      <c r="J63" s="2">
        <v>0.0</v>
      </c>
      <c r="K63" s="2">
        <v>0.0</v>
      </c>
      <c r="L63" s="2">
        <v>2.0</v>
      </c>
      <c r="M63" s="2">
        <v>-7.0</v>
      </c>
      <c r="N63" s="2">
        <v>1.0</v>
      </c>
      <c r="O63" s="2">
        <v>0.0</v>
      </c>
      <c r="P63" s="2">
        <v>167.0</v>
      </c>
      <c r="Q63" s="2">
        <v>54.0</v>
      </c>
      <c r="R63" s="2">
        <v>4.0</v>
      </c>
      <c r="S63" s="2">
        <v>-4.85998605615568</v>
      </c>
      <c r="T63" s="2">
        <v>4.39638921192714</v>
      </c>
      <c r="U63" s="2">
        <v>0.0</v>
      </c>
      <c r="V63" s="2">
        <v>2.0</v>
      </c>
      <c r="W63" s="2">
        <v>1.0</v>
      </c>
      <c r="X63" s="2">
        <v>1.0</v>
      </c>
      <c r="Y63" s="2">
        <v>0.0</v>
      </c>
      <c r="Z63" s="2">
        <v>34.0</v>
      </c>
      <c r="AA63" s="2">
        <v>122.0</v>
      </c>
      <c r="AB63" s="2">
        <v>2.0</v>
      </c>
      <c r="AC63" s="2">
        <v>0.0</v>
      </c>
      <c r="AD63" s="2">
        <v>0.0</v>
      </c>
      <c r="AE63" s="2">
        <v>9.0</v>
      </c>
      <c r="AF63" s="2">
        <v>2.43580810161075</v>
      </c>
      <c r="AG63" s="2">
        <v>0.0</v>
      </c>
      <c r="AH63" s="2">
        <v>3.0</v>
      </c>
      <c r="AI63" s="2">
        <v>1.0</v>
      </c>
      <c r="AJ63" s="2">
        <v>0.0</v>
      </c>
      <c r="AK63" s="2">
        <v>0.0</v>
      </c>
      <c r="AL63" s="2">
        <v>15.0</v>
      </c>
      <c r="AM63" s="2">
        <v>21.0</v>
      </c>
      <c r="AN63" s="2">
        <v>101.0</v>
      </c>
      <c r="AO63" s="2">
        <v>0.0</v>
      </c>
      <c r="AP63" s="2">
        <v>0.0</v>
      </c>
      <c r="AQ63" s="2">
        <v>0.0</v>
      </c>
      <c r="AR63" s="2">
        <v>167.0</v>
      </c>
      <c r="AS63" s="2">
        <v>54.0</v>
      </c>
      <c r="AT63" s="2">
        <v>4.0</v>
      </c>
      <c r="AU63" s="2">
        <v>-2.16106622513725</v>
      </c>
      <c r="AV63" s="2">
        <v>0.0</v>
      </c>
      <c r="AW63" s="2">
        <v>2.0</v>
      </c>
      <c r="AX63" s="2">
        <v>1.0</v>
      </c>
      <c r="AY63" s="2">
        <v>1.0</v>
      </c>
      <c r="AZ63" s="2">
        <v>0.0</v>
      </c>
      <c r="BA63" s="2">
        <v>0.0</v>
      </c>
      <c r="BB63" s="2">
        <v>35.0</v>
      </c>
      <c r="BC63" s="2">
        <v>3.0</v>
      </c>
      <c r="BD63" s="2">
        <v>23.0</v>
      </c>
      <c r="BE63" s="2">
        <v>4.0</v>
      </c>
      <c r="BF63" s="2">
        <v>7.0</v>
      </c>
      <c r="BG63" s="2">
        <v>1.0</v>
      </c>
      <c r="BH63" s="2">
        <v>2.0</v>
      </c>
      <c r="BI63" s="2">
        <v>14.0</v>
      </c>
      <c r="BJ63" s="2">
        <v>10.0</v>
      </c>
      <c r="BK63" s="2">
        <v>1.0</v>
      </c>
      <c r="BL63" s="2">
        <v>41.0</v>
      </c>
      <c r="BM63" s="2">
        <v>4.0</v>
      </c>
      <c r="BN63" s="2">
        <v>0.0</v>
      </c>
      <c r="BO63" s="2">
        <v>0.0</v>
      </c>
      <c r="BP63" s="2">
        <v>0.0</v>
      </c>
      <c r="BQ63" s="2">
        <v>0.0</v>
      </c>
      <c r="BR63" s="2">
        <v>1.0</v>
      </c>
      <c r="BS63" s="2">
        <v>0.0</v>
      </c>
      <c r="BT63" s="2">
        <v>0.0</v>
      </c>
      <c r="BU63" s="2">
        <v>0.0</v>
      </c>
      <c r="BV63" s="2">
        <v>0.0</v>
      </c>
      <c r="BW63" s="2">
        <v>6.0</v>
      </c>
      <c r="BX63" s="2">
        <v>48.0</v>
      </c>
      <c r="BY63" s="2">
        <v>5.0</v>
      </c>
      <c r="BZ63" s="2">
        <v>0.0</v>
      </c>
      <c r="CA63" s="2">
        <v>1.0</v>
      </c>
      <c r="CB63" s="2">
        <v>0.0</v>
      </c>
      <c r="CC63" s="2">
        <v>1.0</v>
      </c>
      <c r="CD63" s="2">
        <v>0.0</v>
      </c>
      <c r="CE63" s="2">
        <v>1.0</v>
      </c>
      <c r="CF63" s="2">
        <v>14.0</v>
      </c>
      <c r="CG63" s="2">
        <v>3.0</v>
      </c>
      <c r="CH63" s="2">
        <v>69.0</v>
      </c>
      <c r="CI63" s="2">
        <v>2.0</v>
      </c>
      <c r="CJ63" s="2">
        <v>2.0</v>
      </c>
      <c r="CK63" s="2">
        <v>0.0</v>
      </c>
      <c r="CL63" s="2">
        <v>0.0</v>
      </c>
      <c r="CM63" s="2">
        <v>58.0</v>
      </c>
      <c r="CN63" s="2">
        <v>1.0</v>
      </c>
      <c r="CO63" s="2">
        <v>0.0</v>
      </c>
      <c r="CP63" s="2">
        <v>0.0</v>
      </c>
      <c r="CQ63" s="2">
        <v>0.0</v>
      </c>
      <c r="CR63" s="2">
        <v>0.0</v>
      </c>
      <c r="CS63" s="2">
        <v>2.0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 t="s">
        <v>2016</v>
      </c>
      <c r="DD63" s="2">
        <v>109.0</v>
      </c>
      <c r="DE63" s="2">
        <v>0.0</v>
      </c>
      <c r="DF63" s="2">
        <v>0.0</v>
      </c>
      <c r="DG63" s="2">
        <v>2.0</v>
      </c>
      <c r="DH63" s="2">
        <v>2.0</v>
      </c>
      <c r="DI63" s="2">
        <v>0.0</v>
      </c>
      <c r="DJ63" s="2">
        <v>0.0</v>
      </c>
      <c r="DK63" s="2">
        <v>1.0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5.0</v>
      </c>
      <c r="DR63" s="2">
        <v>0.0</v>
      </c>
      <c r="DS63" s="2">
        <v>70.0</v>
      </c>
      <c r="DT63" s="2">
        <v>274.0</v>
      </c>
      <c r="DU63" s="2">
        <v>1.0</v>
      </c>
      <c r="DV63" s="2">
        <v>1.0</v>
      </c>
      <c r="DW63" s="2">
        <v>0.0</v>
      </c>
      <c r="DX63" s="2">
        <v>1.0</v>
      </c>
      <c r="DY63" s="2">
        <v>1.0</v>
      </c>
      <c r="DZ63" s="2">
        <v>2.0</v>
      </c>
      <c r="EA63" s="2">
        <v>42.0</v>
      </c>
      <c r="EB63" s="2">
        <v>0.0</v>
      </c>
      <c r="EC63" s="2">
        <v>212.0</v>
      </c>
      <c r="EE63" s="2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2">
        <v>2025.0</v>
      </c>
      <c r="B64" s="2">
        <v>2.0</v>
      </c>
      <c r="C64" s="2" t="s">
        <v>242</v>
      </c>
      <c r="D64" s="2" t="s">
        <v>390</v>
      </c>
      <c r="E64" s="2" t="s">
        <v>591</v>
      </c>
      <c r="F64" s="2" t="s">
        <v>149</v>
      </c>
      <c r="G64" s="2">
        <v>20.0</v>
      </c>
      <c r="H64" s="2">
        <v>35.0</v>
      </c>
      <c r="I64" s="2">
        <v>215.0</v>
      </c>
      <c r="J64" s="2">
        <v>1.0</v>
      </c>
      <c r="K64" s="2">
        <v>2.0</v>
      </c>
      <c r="L64" s="2">
        <v>3.0</v>
      </c>
      <c r="M64" s="2">
        <v>-20.0</v>
      </c>
      <c r="N64" s="2">
        <v>0.0</v>
      </c>
      <c r="O64" s="2">
        <v>0.0</v>
      </c>
      <c r="P64" s="2">
        <v>186.0</v>
      </c>
      <c r="Q64" s="2">
        <v>147.0</v>
      </c>
      <c r="R64" s="2">
        <v>6.0</v>
      </c>
      <c r="S64" s="2">
        <v>-7.79890661570106</v>
      </c>
      <c r="T64" s="2">
        <v>-4.56677204178226</v>
      </c>
      <c r="U64" s="2">
        <v>1.0</v>
      </c>
      <c r="V64" s="2">
        <v>5.0</v>
      </c>
      <c r="W64" s="2">
        <v>3.0</v>
      </c>
      <c r="X64" s="2">
        <v>3.0</v>
      </c>
      <c r="Y64" s="2">
        <v>1.0</v>
      </c>
      <c r="Z64" s="2">
        <v>21.0</v>
      </c>
      <c r="AA64" s="2">
        <v>72.0</v>
      </c>
      <c r="AB64" s="2">
        <v>0.0</v>
      </c>
      <c r="AC64" s="2">
        <v>0.0</v>
      </c>
      <c r="AD64" s="2">
        <v>0.0</v>
      </c>
      <c r="AE64" s="2">
        <v>6.0</v>
      </c>
      <c r="AF64" s="2">
        <v>-4.12840853041038</v>
      </c>
      <c r="AG64" s="2">
        <v>0.0</v>
      </c>
      <c r="AH64" s="2">
        <v>1.0</v>
      </c>
      <c r="AI64" s="2">
        <v>1.0</v>
      </c>
      <c r="AJ64" s="2">
        <v>0.0</v>
      </c>
      <c r="AK64" s="2">
        <v>0.0</v>
      </c>
      <c r="AL64" s="2">
        <v>20.0</v>
      </c>
      <c r="AM64" s="2">
        <v>31.0</v>
      </c>
      <c r="AN64" s="2">
        <v>215.0</v>
      </c>
      <c r="AO64" s="2">
        <v>1.0</v>
      </c>
      <c r="AP64" s="2">
        <v>0.0</v>
      </c>
      <c r="AQ64" s="2">
        <v>0.0</v>
      </c>
      <c r="AR64" s="2">
        <v>186.0</v>
      </c>
      <c r="AS64" s="2">
        <v>147.0</v>
      </c>
      <c r="AT64" s="2">
        <v>6.0</v>
      </c>
      <c r="AU64" s="2">
        <v>-1.7183725719792</v>
      </c>
      <c r="AV64" s="2">
        <v>1.0</v>
      </c>
      <c r="AW64" s="2">
        <v>5.0</v>
      </c>
      <c r="AX64" s="2">
        <v>3.0</v>
      </c>
      <c r="AY64" s="2">
        <v>3.0</v>
      </c>
      <c r="AZ64" s="2">
        <v>1.0</v>
      </c>
      <c r="BA64" s="2">
        <v>0.0</v>
      </c>
      <c r="BB64" s="2">
        <v>44.0</v>
      </c>
      <c r="BC64" s="2">
        <v>3.0</v>
      </c>
      <c r="BD64" s="2">
        <v>25.0</v>
      </c>
      <c r="BE64" s="2">
        <v>6.0</v>
      </c>
      <c r="BF64" s="2">
        <v>28.0</v>
      </c>
      <c r="BG64" s="2">
        <v>0.0</v>
      </c>
      <c r="BH64" s="2">
        <v>2.0</v>
      </c>
      <c r="BI64" s="2">
        <v>17.0</v>
      </c>
      <c r="BJ64" s="2">
        <v>8.0</v>
      </c>
      <c r="BK64" s="2">
        <v>2.0</v>
      </c>
      <c r="BL64" s="2">
        <v>43.0</v>
      </c>
      <c r="BM64" s="2">
        <v>6.0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2.0</v>
      </c>
      <c r="BX64" s="2">
        <v>15.0</v>
      </c>
      <c r="BY64" s="2">
        <v>3.0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4.0</v>
      </c>
      <c r="CH64" s="2">
        <v>78.0</v>
      </c>
      <c r="CI64" s="2">
        <v>3.0</v>
      </c>
      <c r="CJ64" s="2">
        <v>3.0</v>
      </c>
      <c r="CK64" s="2">
        <v>0.0</v>
      </c>
      <c r="CL64" s="2">
        <v>0.0</v>
      </c>
      <c r="CM64" s="2">
        <v>48.0</v>
      </c>
      <c r="CN64" s="2">
        <v>1.0</v>
      </c>
      <c r="CO64" s="2">
        <v>0.0</v>
      </c>
      <c r="CP64" s="2">
        <v>0.0</v>
      </c>
      <c r="CQ64" s="2">
        <v>0.0</v>
      </c>
      <c r="CR64" s="2">
        <v>3.0</v>
      </c>
      <c r="CS64" s="2">
        <v>0.0</v>
      </c>
      <c r="CT64" s="2">
        <v>0.0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 t="s">
        <v>2017</v>
      </c>
      <c r="DD64" s="2">
        <v>141.0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4.0</v>
      </c>
      <c r="DR64" s="2">
        <v>0.0</v>
      </c>
      <c r="DS64" s="2">
        <v>64.0</v>
      </c>
      <c r="DT64" s="2">
        <v>221.0</v>
      </c>
      <c r="DU64" s="2">
        <v>1.0</v>
      </c>
      <c r="DV64" s="2">
        <v>0.0</v>
      </c>
      <c r="DW64" s="2">
        <v>0.0</v>
      </c>
      <c r="DX64" s="2">
        <v>1.0</v>
      </c>
      <c r="DY64" s="2">
        <v>1.0</v>
      </c>
      <c r="DZ64" s="2">
        <v>2.0</v>
      </c>
      <c r="EA64" s="2">
        <v>30.0</v>
      </c>
      <c r="EB64" s="2">
        <v>0.0</v>
      </c>
      <c r="EC64" s="2">
        <v>171.0</v>
      </c>
      <c r="EE64" s="2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2">
        <v>2025.0</v>
      </c>
      <c r="B65" s="2">
        <v>2.0</v>
      </c>
      <c r="C65" s="2" t="s">
        <v>149</v>
      </c>
      <c r="D65" s="2" t="s">
        <v>390</v>
      </c>
      <c r="E65" s="2" t="s">
        <v>591</v>
      </c>
      <c r="F65" s="2" t="s">
        <v>242</v>
      </c>
      <c r="G65" s="2">
        <v>22.0</v>
      </c>
      <c r="H65" s="2">
        <v>33.0</v>
      </c>
      <c r="I65" s="2">
        <v>295.0</v>
      </c>
      <c r="J65" s="2">
        <v>2.0</v>
      </c>
      <c r="K65" s="2">
        <v>2.0</v>
      </c>
      <c r="L65" s="2">
        <v>2.0</v>
      </c>
      <c r="M65" s="2">
        <v>-17.0</v>
      </c>
      <c r="N65" s="2">
        <v>0.0</v>
      </c>
      <c r="O65" s="2">
        <v>0.0</v>
      </c>
      <c r="P65" s="2">
        <v>265.0</v>
      </c>
      <c r="Q65" s="2">
        <v>130.0</v>
      </c>
      <c r="R65" s="2">
        <v>13.0</v>
      </c>
      <c r="S65" s="2">
        <v>2.85406209641665</v>
      </c>
      <c r="T65" s="2">
        <v>7.03477561473846</v>
      </c>
      <c r="U65" s="2">
        <v>0.0</v>
      </c>
      <c r="V65" s="2">
        <v>14.0</v>
      </c>
      <c r="W65" s="2">
        <v>8.0</v>
      </c>
      <c r="X65" s="2">
        <v>3.0</v>
      </c>
      <c r="Y65" s="2">
        <v>1.0</v>
      </c>
      <c r="Z65" s="2">
        <v>29.0</v>
      </c>
      <c r="AA65" s="2">
        <v>117.0</v>
      </c>
      <c r="AB65" s="2">
        <v>1.0</v>
      </c>
      <c r="AC65" s="2">
        <v>0.0</v>
      </c>
      <c r="AD65" s="2">
        <v>0.0</v>
      </c>
      <c r="AE65" s="2">
        <v>8.0</v>
      </c>
      <c r="AF65" s="2">
        <v>1.89834010612685</v>
      </c>
      <c r="AG65" s="2">
        <v>0.0</v>
      </c>
      <c r="AH65" s="2">
        <v>4.0</v>
      </c>
      <c r="AI65" s="2">
        <v>4.0</v>
      </c>
      <c r="AJ65" s="2">
        <v>1.0</v>
      </c>
      <c r="AK65" s="2">
        <v>0.0</v>
      </c>
      <c r="AL65" s="2">
        <v>22.0</v>
      </c>
      <c r="AM65" s="2">
        <v>30.0</v>
      </c>
      <c r="AN65" s="2">
        <v>295.0</v>
      </c>
      <c r="AO65" s="2">
        <v>2.0</v>
      </c>
      <c r="AP65" s="2">
        <v>0.0</v>
      </c>
      <c r="AQ65" s="2">
        <v>0.0</v>
      </c>
      <c r="AR65" s="2">
        <v>265.0</v>
      </c>
      <c r="AS65" s="2">
        <v>130.0</v>
      </c>
      <c r="AT65" s="2">
        <v>13.0</v>
      </c>
      <c r="AU65" s="2">
        <v>8.61864385449469</v>
      </c>
      <c r="AV65" s="2">
        <v>0.0</v>
      </c>
      <c r="AW65" s="2">
        <v>14.0</v>
      </c>
      <c r="AX65" s="2">
        <v>8.0</v>
      </c>
      <c r="AY65" s="2">
        <v>3.0</v>
      </c>
      <c r="AZ65" s="2">
        <v>1.0</v>
      </c>
      <c r="BA65" s="2">
        <v>1.0</v>
      </c>
      <c r="BB65" s="2">
        <v>35.0</v>
      </c>
      <c r="BC65" s="2">
        <v>5.0</v>
      </c>
      <c r="BD65" s="2">
        <v>23.0</v>
      </c>
      <c r="BE65" s="2">
        <v>2.0</v>
      </c>
      <c r="BF65" s="2">
        <v>14.0</v>
      </c>
      <c r="BG65" s="2">
        <v>0.0</v>
      </c>
      <c r="BH65" s="2">
        <v>3.0</v>
      </c>
      <c r="BI65" s="2">
        <v>20.0</v>
      </c>
      <c r="BJ65" s="2">
        <v>8.0</v>
      </c>
      <c r="BK65" s="2">
        <v>2.0</v>
      </c>
      <c r="BL65" s="2">
        <v>28.0</v>
      </c>
      <c r="BM65" s="2">
        <v>5.0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2.0</v>
      </c>
      <c r="BX65" s="2">
        <v>10.0</v>
      </c>
      <c r="BY65" s="2">
        <v>3.0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2.0</v>
      </c>
      <c r="CF65" s="2">
        <v>30.0</v>
      </c>
      <c r="CG65" s="2">
        <v>5.0</v>
      </c>
      <c r="CH65" s="2">
        <v>133.0</v>
      </c>
      <c r="CI65" s="2">
        <v>1.0</v>
      </c>
      <c r="CJ65" s="2">
        <v>2.0</v>
      </c>
      <c r="CK65" s="2">
        <v>1.0</v>
      </c>
      <c r="CL65" s="2">
        <v>0.0</v>
      </c>
      <c r="CM65" s="2">
        <v>54.0</v>
      </c>
      <c r="CN65" s="2">
        <v>0.5</v>
      </c>
      <c r="CO65" s="2">
        <v>0.0</v>
      </c>
      <c r="CP65" s="2">
        <v>0.0</v>
      </c>
      <c r="CQ65" s="2">
        <v>0.0</v>
      </c>
      <c r="CR65" s="2">
        <v>0.0</v>
      </c>
      <c r="CS65" s="2">
        <v>1.0</v>
      </c>
      <c r="CT65" s="2">
        <v>0.0</v>
      </c>
      <c r="CU65" s="2">
        <v>0.0</v>
      </c>
      <c r="CV65" s="2">
        <v>0.0</v>
      </c>
      <c r="CW65" s="2">
        <v>1.0</v>
      </c>
      <c r="CX65" s="2">
        <v>0.0</v>
      </c>
      <c r="CY65" s="2">
        <v>0.0</v>
      </c>
      <c r="CZ65" s="2">
        <v>0.0</v>
      </c>
      <c r="DA65" s="2" t="s">
        <v>2018</v>
      </c>
      <c r="DB65" s="2" t="s">
        <v>1970</v>
      </c>
      <c r="DD65" s="2">
        <v>54.0</v>
      </c>
      <c r="DE65" s="2">
        <v>36.0</v>
      </c>
      <c r="DF65" s="2">
        <v>0.0</v>
      </c>
      <c r="DG65" s="2">
        <v>4.0</v>
      </c>
      <c r="DH65" s="2">
        <v>4.0</v>
      </c>
      <c r="DI65" s="2">
        <v>0.0</v>
      </c>
      <c r="DJ65" s="2">
        <v>0.0</v>
      </c>
      <c r="DK65" s="2">
        <v>1.0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4.0</v>
      </c>
      <c r="DR65" s="2">
        <v>0.0</v>
      </c>
      <c r="DS65" s="2">
        <v>52.0</v>
      </c>
      <c r="DT65" s="2">
        <v>175.0</v>
      </c>
      <c r="DU65" s="2">
        <v>2.0</v>
      </c>
      <c r="DV65" s="2">
        <v>1.0</v>
      </c>
      <c r="DW65" s="2">
        <v>0.0</v>
      </c>
      <c r="DX65" s="2">
        <v>1.0</v>
      </c>
      <c r="DY65" s="2">
        <v>2.0</v>
      </c>
      <c r="DZ65" s="2">
        <v>0.0</v>
      </c>
      <c r="EA65" s="2">
        <v>0.0</v>
      </c>
      <c r="EB65" s="2">
        <v>0.0</v>
      </c>
      <c r="EC65" s="2">
        <v>155.0</v>
      </c>
      <c r="EE65" s="2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2">
        <v>2025.0</v>
      </c>
      <c r="B66" s="2">
        <v>2.0</v>
      </c>
      <c r="C66" s="2" t="s">
        <v>246</v>
      </c>
      <c r="D66" s="2" t="s">
        <v>390</v>
      </c>
      <c r="E66" s="2" t="s">
        <v>585</v>
      </c>
      <c r="F66" s="2" t="s">
        <v>232</v>
      </c>
      <c r="G66" s="2">
        <v>26.0</v>
      </c>
      <c r="H66" s="2">
        <v>39.0</v>
      </c>
      <c r="I66" s="2">
        <v>279.0</v>
      </c>
      <c r="J66" s="2">
        <v>3.0</v>
      </c>
      <c r="K66" s="2">
        <v>0.0</v>
      </c>
      <c r="L66" s="2">
        <v>3.0</v>
      </c>
      <c r="M66" s="2">
        <v>-12.0</v>
      </c>
      <c r="N66" s="2">
        <v>1.0</v>
      </c>
      <c r="O66" s="2">
        <v>1.0</v>
      </c>
      <c r="P66" s="2">
        <v>254.0</v>
      </c>
      <c r="Q66" s="2">
        <v>135.0</v>
      </c>
      <c r="R66" s="2">
        <v>15.0</v>
      </c>
      <c r="S66" s="2">
        <v>2.68814235747327</v>
      </c>
      <c r="T66" s="2">
        <v>-3.62963025507174</v>
      </c>
      <c r="U66" s="2">
        <v>0.0</v>
      </c>
      <c r="V66" s="2">
        <v>14.0</v>
      </c>
      <c r="W66" s="2">
        <v>2.0</v>
      </c>
      <c r="X66" s="2">
        <v>2.0</v>
      </c>
      <c r="Y66" s="2">
        <v>1.0</v>
      </c>
      <c r="Z66" s="2">
        <v>26.0</v>
      </c>
      <c r="AA66" s="2">
        <v>77.0</v>
      </c>
      <c r="AB66" s="2">
        <v>0.0</v>
      </c>
      <c r="AC66" s="2">
        <v>1.0</v>
      </c>
      <c r="AD66" s="2">
        <v>0.0</v>
      </c>
      <c r="AE66" s="2">
        <v>5.0</v>
      </c>
      <c r="AF66" s="2">
        <v>-3.45882750477176</v>
      </c>
      <c r="AG66" s="2">
        <v>0.0</v>
      </c>
      <c r="AH66" s="2">
        <v>2.0</v>
      </c>
      <c r="AI66" s="2">
        <v>1.0</v>
      </c>
      <c r="AJ66" s="2">
        <v>0.0</v>
      </c>
      <c r="AK66" s="2">
        <v>0.0</v>
      </c>
      <c r="AL66" s="2">
        <v>26.0</v>
      </c>
      <c r="AM66" s="2">
        <v>38.0</v>
      </c>
      <c r="AN66" s="2">
        <v>279.0</v>
      </c>
      <c r="AO66" s="2">
        <v>3.0</v>
      </c>
      <c r="AP66" s="2">
        <v>0.0</v>
      </c>
      <c r="AQ66" s="2">
        <v>0.0</v>
      </c>
      <c r="AR66" s="2">
        <v>254.0</v>
      </c>
      <c r="AS66" s="2">
        <v>135.0</v>
      </c>
      <c r="AT66" s="2">
        <v>15.0</v>
      </c>
      <c r="AU66" s="2">
        <v>11.6212425874756</v>
      </c>
      <c r="AV66" s="2">
        <v>0.0</v>
      </c>
      <c r="AW66" s="2">
        <v>14.0</v>
      </c>
      <c r="AX66" s="2">
        <v>2.0</v>
      </c>
      <c r="AY66" s="2">
        <v>2.0</v>
      </c>
      <c r="AZ66" s="2">
        <v>1.0</v>
      </c>
      <c r="BA66" s="2">
        <v>0.0</v>
      </c>
      <c r="BB66" s="2">
        <v>43.0</v>
      </c>
      <c r="BC66" s="2">
        <v>3.0</v>
      </c>
      <c r="BD66" s="2">
        <v>31.0</v>
      </c>
      <c r="BE66" s="2">
        <v>7.0</v>
      </c>
      <c r="BF66" s="2">
        <v>35.0</v>
      </c>
      <c r="BG66" s="2">
        <v>2.0</v>
      </c>
      <c r="BH66" s="2">
        <v>3.0</v>
      </c>
      <c r="BI66" s="2">
        <v>21.0</v>
      </c>
      <c r="BJ66" s="2">
        <v>5.0</v>
      </c>
      <c r="BK66" s="2">
        <v>0.0</v>
      </c>
      <c r="BL66" s="2">
        <v>0.0</v>
      </c>
      <c r="BM66" s="2">
        <v>3.0</v>
      </c>
      <c r="BN66" s="2">
        <v>0.0</v>
      </c>
      <c r="BO66" s="2">
        <v>0.0</v>
      </c>
      <c r="BP66" s="2">
        <v>0.0</v>
      </c>
      <c r="BQ66" s="2">
        <v>0.0</v>
      </c>
      <c r="BR66" s="2">
        <v>1.0</v>
      </c>
      <c r="BS66" s="2">
        <v>0.0</v>
      </c>
      <c r="BT66" s="2">
        <v>1.0</v>
      </c>
      <c r="BU66" s="2">
        <v>0.0</v>
      </c>
      <c r="BV66" s="2">
        <v>0.0</v>
      </c>
      <c r="BW66" s="2">
        <v>5.0</v>
      </c>
      <c r="BX66" s="2">
        <v>40.0</v>
      </c>
      <c r="BY66" s="2">
        <v>4.0</v>
      </c>
      <c r="BZ66" s="2">
        <v>1.0</v>
      </c>
      <c r="CA66" s="2">
        <v>1.0</v>
      </c>
      <c r="CB66" s="2">
        <v>0.0</v>
      </c>
      <c r="CC66" s="2">
        <v>2.0</v>
      </c>
      <c r="CD66" s="2">
        <v>1.0</v>
      </c>
      <c r="CE66" s="2">
        <v>1.0</v>
      </c>
      <c r="CF66" s="2">
        <v>1.0</v>
      </c>
      <c r="CG66" s="2">
        <v>2.0</v>
      </c>
      <c r="CH66" s="2">
        <v>47.0</v>
      </c>
      <c r="CI66" s="2">
        <v>2.0</v>
      </c>
      <c r="CJ66" s="2">
        <v>2.0</v>
      </c>
      <c r="CK66" s="2">
        <v>0.0</v>
      </c>
      <c r="CL66" s="2">
        <v>0.0</v>
      </c>
      <c r="CM66" s="2">
        <v>46.0</v>
      </c>
      <c r="CN66" s="2">
        <v>1.0</v>
      </c>
      <c r="CO66" s="2">
        <v>0.0</v>
      </c>
      <c r="CP66" s="2">
        <v>0.0</v>
      </c>
      <c r="CQ66" s="2">
        <v>0.0</v>
      </c>
      <c r="CR66" s="2">
        <v>2.0</v>
      </c>
      <c r="CS66" s="2">
        <v>0.0</v>
      </c>
      <c r="CT66" s="2">
        <v>0.0</v>
      </c>
      <c r="CU66" s="2">
        <v>0.0</v>
      </c>
      <c r="CV66" s="2">
        <v>0.0</v>
      </c>
      <c r="CW66" s="2">
        <v>0.0</v>
      </c>
      <c r="CX66" s="2">
        <v>0.0</v>
      </c>
      <c r="CY66" s="2">
        <v>0.0</v>
      </c>
      <c r="CZ66" s="2">
        <v>0.0</v>
      </c>
      <c r="DA66" s="2" t="s">
        <v>2019</v>
      </c>
      <c r="DD66" s="2">
        <v>90.0</v>
      </c>
      <c r="DE66" s="2">
        <v>0.0</v>
      </c>
      <c r="DF66" s="2">
        <v>0.0</v>
      </c>
      <c r="DG66" s="2">
        <v>2.0</v>
      </c>
      <c r="DH66" s="2">
        <v>3.0</v>
      </c>
      <c r="DI66" s="2">
        <v>1.0</v>
      </c>
      <c r="DJ66" s="2">
        <v>0.0</v>
      </c>
      <c r="DK66" s="2">
        <v>0.666666666666667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4.0</v>
      </c>
      <c r="DR66" s="2">
        <v>0.0</v>
      </c>
      <c r="DS66" s="2">
        <v>49.0</v>
      </c>
      <c r="DT66" s="2">
        <v>173.0</v>
      </c>
      <c r="DU66" s="2">
        <v>2.0</v>
      </c>
      <c r="DV66" s="2">
        <v>0.0</v>
      </c>
      <c r="DW66" s="2">
        <v>0.0</v>
      </c>
      <c r="DX66" s="2">
        <v>0.0</v>
      </c>
      <c r="DY66" s="2">
        <v>2.0</v>
      </c>
      <c r="DZ66" s="2">
        <v>2.0</v>
      </c>
      <c r="EA66" s="2">
        <v>23.0</v>
      </c>
      <c r="EB66" s="2">
        <v>0.0</v>
      </c>
      <c r="EC66" s="2">
        <v>150.0</v>
      </c>
      <c r="EE66" s="2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2">
        <v>2025.0</v>
      </c>
      <c r="B67" s="2">
        <v>2.0</v>
      </c>
      <c r="C67" s="2" t="s">
        <v>150</v>
      </c>
      <c r="D67" s="2" t="s">
        <v>390</v>
      </c>
      <c r="E67" s="2" t="s">
        <v>613</v>
      </c>
      <c r="F67" s="2" t="s">
        <v>140</v>
      </c>
      <c r="G67" s="2">
        <v>25.0</v>
      </c>
      <c r="H67" s="2">
        <v>38.0</v>
      </c>
      <c r="I67" s="2">
        <v>215.0</v>
      </c>
      <c r="J67" s="2">
        <v>2.0</v>
      </c>
      <c r="K67" s="2">
        <v>0.0</v>
      </c>
      <c r="L67" s="2">
        <v>4.0</v>
      </c>
      <c r="M67" s="2">
        <v>-24.0</v>
      </c>
      <c r="N67" s="2">
        <v>1.0</v>
      </c>
      <c r="O67" s="2">
        <v>0.0</v>
      </c>
      <c r="P67" s="2">
        <v>304.0</v>
      </c>
      <c r="Q67" s="2">
        <v>129.0</v>
      </c>
      <c r="R67" s="2">
        <v>12.0</v>
      </c>
      <c r="S67" s="2">
        <v>-0.643385174034916</v>
      </c>
      <c r="T67" s="2">
        <v>1.90423743592368</v>
      </c>
      <c r="U67" s="2">
        <v>0.0</v>
      </c>
      <c r="V67" s="2">
        <v>8.0</v>
      </c>
      <c r="W67" s="2">
        <v>3.0</v>
      </c>
      <c r="X67" s="2">
        <v>3.0</v>
      </c>
      <c r="Y67" s="2">
        <v>0.0</v>
      </c>
      <c r="Z67" s="2">
        <v>30.0</v>
      </c>
      <c r="AA67" s="2">
        <v>169.0</v>
      </c>
      <c r="AB67" s="2">
        <v>1.0</v>
      </c>
      <c r="AC67" s="2">
        <v>0.0</v>
      </c>
      <c r="AD67" s="2">
        <v>0.0</v>
      </c>
      <c r="AE67" s="2">
        <v>9.0</v>
      </c>
      <c r="AF67" s="2">
        <v>10.4717958169058</v>
      </c>
      <c r="AG67" s="2">
        <v>0.0</v>
      </c>
      <c r="AH67" s="2">
        <v>5.0</v>
      </c>
      <c r="AI67" s="2">
        <v>4.0</v>
      </c>
      <c r="AJ67" s="2">
        <v>0.0</v>
      </c>
      <c r="AK67" s="2">
        <v>0.0</v>
      </c>
      <c r="AL67" s="2">
        <v>25.0</v>
      </c>
      <c r="AM67" s="2">
        <v>36.0</v>
      </c>
      <c r="AN67" s="2">
        <v>215.0</v>
      </c>
      <c r="AO67" s="2">
        <v>2.0</v>
      </c>
      <c r="AP67" s="2">
        <v>0.0</v>
      </c>
      <c r="AQ67" s="2">
        <v>0.0</v>
      </c>
      <c r="AR67" s="2">
        <v>304.0</v>
      </c>
      <c r="AS67" s="2">
        <v>129.0</v>
      </c>
      <c r="AT67" s="2">
        <v>12.0</v>
      </c>
      <c r="AU67" s="2">
        <v>8.3900015832276</v>
      </c>
      <c r="AV67" s="2">
        <v>0.0</v>
      </c>
      <c r="AW67" s="2">
        <v>8.0</v>
      </c>
      <c r="AX67" s="2">
        <v>3.0</v>
      </c>
      <c r="AY67" s="2">
        <v>3.0</v>
      </c>
      <c r="AZ67" s="2">
        <v>0.0</v>
      </c>
      <c r="BA67" s="2">
        <v>0.0</v>
      </c>
      <c r="BB67" s="2">
        <v>34.0</v>
      </c>
      <c r="BC67" s="2">
        <v>2.0</v>
      </c>
      <c r="BD67" s="2">
        <v>10.0</v>
      </c>
      <c r="BE67" s="2">
        <v>5.0</v>
      </c>
      <c r="BF67" s="2">
        <v>22.0</v>
      </c>
      <c r="BG67" s="2">
        <v>0.0</v>
      </c>
      <c r="BH67" s="2">
        <v>3.0</v>
      </c>
      <c r="BI67" s="2">
        <v>25.0</v>
      </c>
      <c r="BJ67" s="2">
        <v>6.0</v>
      </c>
      <c r="BK67" s="2">
        <v>0.0</v>
      </c>
      <c r="BL67" s="2">
        <v>0.0</v>
      </c>
      <c r="BM67" s="2">
        <v>2.0</v>
      </c>
      <c r="BN67" s="2">
        <v>0.0</v>
      </c>
      <c r="BO67" s="2">
        <v>0.0</v>
      </c>
      <c r="BP67" s="2">
        <v>0.0</v>
      </c>
      <c r="BQ67" s="2">
        <v>0.0</v>
      </c>
      <c r="BR67" s="2">
        <v>1.0</v>
      </c>
      <c r="BS67" s="2">
        <v>0.0</v>
      </c>
      <c r="BT67" s="2">
        <v>0.0</v>
      </c>
      <c r="BU67" s="2">
        <v>0.0</v>
      </c>
      <c r="BV67" s="2">
        <v>0.0</v>
      </c>
      <c r="BW67" s="2">
        <v>7.0</v>
      </c>
      <c r="BX67" s="2">
        <v>45.0</v>
      </c>
      <c r="BY67" s="2">
        <v>4.0</v>
      </c>
      <c r="BZ67" s="2">
        <v>1.0</v>
      </c>
      <c r="CA67" s="2">
        <v>0.0</v>
      </c>
      <c r="CB67" s="2">
        <v>0.0</v>
      </c>
      <c r="CC67" s="2">
        <v>1.0</v>
      </c>
      <c r="CD67" s="2">
        <v>0.0</v>
      </c>
      <c r="CE67" s="2">
        <v>1.0</v>
      </c>
      <c r="CF67" s="2">
        <v>6.0</v>
      </c>
      <c r="CG67" s="2">
        <v>3.0</v>
      </c>
      <c r="CH67" s="2">
        <v>68.0</v>
      </c>
      <c r="CI67" s="2">
        <v>0.0</v>
      </c>
      <c r="CJ67" s="2">
        <v>1.0</v>
      </c>
      <c r="CK67" s="2">
        <v>1.0</v>
      </c>
      <c r="CL67" s="2">
        <v>0.0</v>
      </c>
      <c r="CN67" s="2">
        <v>0.0</v>
      </c>
      <c r="CO67" s="2">
        <v>0.0</v>
      </c>
      <c r="CP67" s="2">
        <v>0.0</v>
      </c>
      <c r="CQ67" s="2">
        <v>0.0</v>
      </c>
      <c r="CR67" s="2">
        <v>0.0</v>
      </c>
      <c r="CS67" s="2">
        <v>0.0</v>
      </c>
      <c r="CT67" s="2">
        <v>0.0</v>
      </c>
      <c r="CU67" s="2">
        <v>0.0</v>
      </c>
      <c r="CV67" s="2">
        <v>0.0</v>
      </c>
      <c r="CW67" s="2">
        <v>1.0</v>
      </c>
      <c r="CX67" s="2">
        <v>0.0</v>
      </c>
      <c r="CY67" s="2">
        <v>0.0</v>
      </c>
      <c r="CZ67" s="2">
        <v>0.0</v>
      </c>
      <c r="DB67" s="2" t="s">
        <v>1999</v>
      </c>
      <c r="DD67" s="2">
        <v>0.0</v>
      </c>
      <c r="DE67" s="2">
        <v>38.0</v>
      </c>
      <c r="DF67" s="2">
        <v>0.0</v>
      </c>
      <c r="DG67" s="2">
        <v>2.0</v>
      </c>
      <c r="DH67" s="2">
        <v>2.0</v>
      </c>
      <c r="DI67" s="2">
        <v>0.0</v>
      </c>
      <c r="DJ67" s="2">
        <v>0.0</v>
      </c>
      <c r="DK67" s="2">
        <v>1.0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5.0</v>
      </c>
      <c r="DR67" s="2">
        <v>1.0</v>
      </c>
      <c r="DS67" s="2">
        <v>60.0</v>
      </c>
      <c r="DT67" s="2">
        <v>253.0</v>
      </c>
      <c r="DU67" s="2">
        <v>0.0</v>
      </c>
      <c r="DV67" s="2">
        <v>0.0</v>
      </c>
      <c r="DW67" s="2">
        <v>1.0</v>
      </c>
      <c r="DX67" s="2">
        <v>1.0</v>
      </c>
      <c r="DY67" s="2">
        <v>0.0</v>
      </c>
      <c r="DZ67" s="2">
        <v>3.0</v>
      </c>
      <c r="EA67" s="2">
        <v>67.0</v>
      </c>
      <c r="EB67" s="2">
        <v>0.0</v>
      </c>
      <c r="EC67" s="2">
        <v>166.0</v>
      </c>
      <c r="EE67" s="2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2">
        <v>2025.0</v>
      </c>
      <c r="B68" s="2">
        <v>2.0</v>
      </c>
      <c r="C68" s="2" t="s">
        <v>250</v>
      </c>
      <c r="D68" s="2" t="s">
        <v>390</v>
      </c>
      <c r="E68" s="2" t="s">
        <v>595</v>
      </c>
      <c r="F68" s="2" t="s">
        <v>142</v>
      </c>
      <c r="G68" s="2">
        <v>19.0</v>
      </c>
      <c r="H68" s="2">
        <v>33.0</v>
      </c>
      <c r="I68" s="2">
        <v>175.0</v>
      </c>
      <c r="J68" s="2">
        <v>1.0</v>
      </c>
      <c r="K68" s="2">
        <v>0.0</v>
      </c>
      <c r="L68" s="2">
        <v>5.0</v>
      </c>
      <c r="M68" s="2">
        <v>-32.0</v>
      </c>
      <c r="N68" s="2">
        <v>1.0</v>
      </c>
      <c r="O68" s="2">
        <v>1.0</v>
      </c>
      <c r="P68" s="2">
        <v>215.0</v>
      </c>
      <c r="Q68" s="2">
        <v>80.0</v>
      </c>
      <c r="R68" s="2">
        <v>10.0</v>
      </c>
      <c r="S68" s="2">
        <v>-6.73397417620746</v>
      </c>
      <c r="T68" s="2">
        <v>-4.79327353738969</v>
      </c>
      <c r="U68" s="2">
        <v>0.0</v>
      </c>
      <c r="V68" s="2">
        <v>6.0</v>
      </c>
      <c r="W68" s="2">
        <v>4.0</v>
      </c>
      <c r="X68" s="2">
        <v>3.0</v>
      </c>
      <c r="Y68" s="2">
        <v>0.0</v>
      </c>
      <c r="Z68" s="2">
        <v>26.0</v>
      </c>
      <c r="AA68" s="2">
        <v>109.0</v>
      </c>
      <c r="AB68" s="2">
        <v>0.0</v>
      </c>
      <c r="AC68" s="2">
        <v>0.0</v>
      </c>
      <c r="AD68" s="2">
        <v>0.0</v>
      </c>
      <c r="AE68" s="2">
        <v>7.0</v>
      </c>
      <c r="AF68" s="2">
        <v>-1.18351882409861</v>
      </c>
      <c r="AG68" s="2">
        <v>0.0</v>
      </c>
      <c r="AH68" s="2">
        <v>2.0</v>
      </c>
      <c r="AI68" s="2">
        <v>0.0</v>
      </c>
      <c r="AJ68" s="2">
        <v>0.0</v>
      </c>
      <c r="AK68" s="2">
        <v>0.0</v>
      </c>
      <c r="AL68" s="2">
        <v>19.0</v>
      </c>
      <c r="AM68" s="2">
        <v>31.0</v>
      </c>
      <c r="AN68" s="2">
        <v>175.0</v>
      </c>
      <c r="AO68" s="2">
        <v>1.0</v>
      </c>
      <c r="AP68" s="2">
        <v>0.0</v>
      </c>
      <c r="AQ68" s="2">
        <v>0.0</v>
      </c>
      <c r="AR68" s="2">
        <v>215.0</v>
      </c>
      <c r="AS68" s="2">
        <v>80.0</v>
      </c>
      <c r="AT68" s="2">
        <v>10.0</v>
      </c>
      <c r="AU68" s="2">
        <v>5.51375754214368</v>
      </c>
      <c r="AV68" s="2">
        <v>0.0</v>
      </c>
      <c r="AW68" s="2">
        <v>6.0</v>
      </c>
      <c r="AX68" s="2">
        <v>4.0</v>
      </c>
      <c r="AY68" s="2">
        <v>3.0</v>
      </c>
      <c r="AZ68" s="2">
        <v>0.0</v>
      </c>
      <c r="BA68" s="2">
        <v>0.0</v>
      </c>
      <c r="BB68" s="2">
        <v>34.0</v>
      </c>
      <c r="BC68" s="2">
        <v>2.0</v>
      </c>
      <c r="BD68" s="2">
        <v>26.0</v>
      </c>
      <c r="BE68" s="2">
        <v>2.0</v>
      </c>
      <c r="BF68" s="2">
        <v>9.0</v>
      </c>
      <c r="BG68" s="2">
        <v>0.0</v>
      </c>
      <c r="BH68" s="2">
        <v>1.0</v>
      </c>
      <c r="BI68" s="2">
        <v>8.0</v>
      </c>
      <c r="BJ68" s="2">
        <v>6.0</v>
      </c>
      <c r="BK68" s="2">
        <v>1.0</v>
      </c>
      <c r="BL68" s="2">
        <v>0.0</v>
      </c>
      <c r="BM68" s="2">
        <v>4.0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0.0</v>
      </c>
      <c r="BW68" s="2">
        <v>10.0</v>
      </c>
      <c r="BX68" s="2">
        <v>62.0</v>
      </c>
      <c r="BY68" s="2">
        <v>6.0</v>
      </c>
      <c r="BZ68" s="2">
        <v>1.0</v>
      </c>
      <c r="CA68" s="2">
        <v>0.0</v>
      </c>
      <c r="CB68" s="2">
        <v>0.0</v>
      </c>
      <c r="CC68" s="2">
        <v>1.0</v>
      </c>
      <c r="CD68" s="2">
        <v>1.0</v>
      </c>
      <c r="CE68" s="2">
        <v>2.0</v>
      </c>
      <c r="CF68" s="2">
        <v>37.0</v>
      </c>
      <c r="CG68" s="2">
        <v>5.0</v>
      </c>
      <c r="CH68" s="2">
        <v>83.0</v>
      </c>
      <c r="CI68" s="2">
        <v>4.0</v>
      </c>
      <c r="CJ68" s="2">
        <v>4.0</v>
      </c>
      <c r="CK68" s="2">
        <v>0.0</v>
      </c>
      <c r="CL68" s="2">
        <v>0.0</v>
      </c>
      <c r="CM68" s="2">
        <v>57.0</v>
      </c>
      <c r="CN68" s="2">
        <v>1.0</v>
      </c>
      <c r="CO68" s="2">
        <v>0.0</v>
      </c>
      <c r="CP68" s="2">
        <v>0.0</v>
      </c>
      <c r="CQ68" s="2">
        <v>2.0</v>
      </c>
      <c r="CR68" s="2">
        <v>0.0</v>
      </c>
      <c r="CS68" s="2">
        <v>2.0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 t="s">
        <v>2020</v>
      </c>
      <c r="DD68" s="2">
        <v>184.0</v>
      </c>
      <c r="DE68" s="2">
        <v>0.0</v>
      </c>
      <c r="DF68" s="2">
        <v>0.0</v>
      </c>
      <c r="DG68" s="2">
        <v>1.0</v>
      </c>
      <c r="DH68" s="2">
        <v>1.0</v>
      </c>
      <c r="DI68" s="2">
        <v>0.0</v>
      </c>
      <c r="DJ68" s="2">
        <v>0.0</v>
      </c>
      <c r="DK68" s="2">
        <v>1.0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5.0</v>
      </c>
      <c r="DR68" s="2">
        <v>0.0</v>
      </c>
      <c r="DS68" s="2">
        <v>57.0</v>
      </c>
      <c r="DT68" s="2">
        <v>250.0</v>
      </c>
      <c r="DU68" s="2">
        <v>2.0</v>
      </c>
      <c r="DV68" s="2">
        <v>0.0</v>
      </c>
      <c r="DW68" s="2">
        <v>1.0</v>
      </c>
      <c r="DX68" s="2">
        <v>0.0</v>
      </c>
      <c r="DY68" s="2">
        <v>2.0</v>
      </c>
      <c r="DZ68" s="2">
        <v>2.0</v>
      </c>
      <c r="EA68" s="2">
        <v>14.0</v>
      </c>
      <c r="EB68" s="2">
        <v>0.0</v>
      </c>
      <c r="EC68" s="2">
        <v>236.0</v>
      </c>
      <c r="EE68" s="2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2">
        <v>2025.0</v>
      </c>
      <c r="B69" s="2">
        <v>2.0</v>
      </c>
      <c r="C69" s="2" t="s">
        <v>253</v>
      </c>
      <c r="D69" s="2" t="s">
        <v>390</v>
      </c>
      <c r="E69" s="2" t="s">
        <v>560</v>
      </c>
      <c r="F69" s="2" t="s">
        <v>205</v>
      </c>
      <c r="G69" s="2">
        <v>24.0</v>
      </c>
      <c r="H69" s="2">
        <v>42.0</v>
      </c>
      <c r="I69" s="2">
        <v>200.0</v>
      </c>
      <c r="J69" s="2">
        <v>2.0</v>
      </c>
      <c r="K69" s="2">
        <v>0.0</v>
      </c>
      <c r="L69" s="2">
        <v>4.0</v>
      </c>
      <c r="M69" s="2">
        <v>-21.0</v>
      </c>
      <c r="N69" s="2">
        <v>0.0</v>
      </c>
      <c r="O69" s="2">
        <v>0.0</v>
      </c>
      <c r="P69" s="2">
        <v>279.0</v>
      </c>
      <c r="Q69" s="2">
        <v>107.0</v>
      </c>
      <c r="R69" s="2">
        <v>10.0</v>
      </c>
      <c r="S69" s="2">
        <v>-9.1586301915201</v>
      </c>
      <c r="T69" s="2">
        <v>-7.1983578056097</v>
      </c>
      <c r="U69" s="2">
        <v>1.0</v>
      </c>
      <c r="V69" s="2">
        <v>8.0</v>
      </c>
      <c r="W69" s="2">
        <v>2.0</v>
      </c>
      <c r="X69" s="2">
        <v>1.0</v>
      </c>
      <c r="Y69" s="2">
        <v>0.0</v>
      </c>
      <c r="Z69" s="2">
        <v>19.0</v>
      </c>
      <c r="AA69" s="2">
        <v>51.0</v>
      </c>
      <c r="AB69" s="2">
        <v>0.0</v>
      </c>
      <c r="AC69" s="2">
        <v>0.0</v>
      </c>
      <c r="AD69" s="2">
        <v>0.0</v>
      </c>
      <c r="AE69" s="2">
        <v>3.0</v>
      </c>
      <c r="AF69" s="2">
        <v>-2.61570764367934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24.0</v>
      </c>
      <c r="AM69" s="2">
        <v>40.0</v>
      </c>
      <c r="AN69" s="2">
        <v>200.0</v>
      </c>
      <c r="AO69" s="2">
        <v>2.0</v>
      </c>
      <c r="AP69" s="2">
        <v>0.0</v>
      </c>
      <c r="AQ69" s="2">
        <v>0.0</v>
      </c>
      <c r="AR69" s="2">
        <v>279.0</v>
      </c>
      <c r="AS69" s="2">
        <v>107.0</v>
      </c>
      <c r="AT69" s="2">
        <v>10.0</v>
      </c>
      <c r="AU69" s="2">
        <v>-0.975448215558533</v>
      </c>
      <c r="AV69" s="2">
        <v>1.0</v>
      </c>
      <c r="AW69" s="2">
        <v>8.0</v>
      </c>
      <c r="AX69" s="2">
        <v>2.0</v>
      </c>
      <c r="AY69" s="2">
        <v>1.0</v>
      </c>
      <c r="AZ69" s="2">
        <v>0.0</v>
      </c>
      <c r="BA69" s="2">
        <v>0.0</v>
      </c>
      <c r="BB69" s="2">
        <v>35.0</v>
      </c>
      <c r="BC69" s="2">
        <v>0.0</v>
      </c>
      <c r="BD69" s="2">
        <v>30.0</v>
      </c>
      <c r="BE69" s="2">
        <v>2.0</v>
      </c>
      <c r="BF69" s="2">
        <v>14.0</v>
      </c>
      <c r="BG69" s="2">
        <v>0.0</v>
      </c>
      <c r="BH69" s="2">
        <v>2.0</v>
      </c>
      <c r="BI69" s="2">
        <v>23.0</v>
      </c>
      <c r="BJ69" s="2">
        <v>4.0</v>
      </c>
      <c r="BK69" s="2">
        <v>0.0</v>
      </c>
      <c r="BL69" s="2">
        <v>0.0</v>
      </c>
      <c r="BM69" s="2">
        <v>3.0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0.0</v>
      </c>
      <c r="BU69" s="2">
        <v>0.0</v>
      </c>
      <c r="BV69" s="2">
        <v>0.0</v>
      </c>
      <c r="BW69" s="2">
        <v>5.0</v>
      </c>
      <c r="BX69" s="2">
        <v>30.0</v>
      </c>
      <c r="BY69" s="2">
        <v>3.0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3.0</v>
      </c>
      <c r="CF69" s="2">
        <v>50.0</v>
      </c>
      <c r="CG69" s="2">
        <v>3.0</v>
      </c>
      <c r="CH69" s="2">
        <v>103.0</v>
      </c>
      <c r="CI69" s="2">
        <v>1.0</v>
      </c>
      <c r="CJ69" s="2">
        <v>3.0</v>
      </c>
      <c r="CK69" s="2">
        <v>2.0</v>
      </c>
      <c r="CL69" s="2">
        <v>0.0</v>
      </c>
      <c r="CM69" s="2">
        <v>51.0</v>
      </c>
      <c r="CN69" s="2">
        <v>0.333333333333333</v>
      </c>
      <c r="CO69" s="2">
        <v>0.0</v>
      </c>
      <c r="CP69" s="2">
        <v>0.0</v>
      </c>
      <c r="CQ69" s="2">
        <v>0.0</v>
      </c>
      <c r="CR69" s="2">
        <v>0.0</v>
      </c>
      <c r="CS69" s="2">
        <v>1.0</v>
      </c>
      <c r="CT69" s="2">
        <v>0.0</v>
      </c>
      <c r="CU69" s="2">
        <v>0.0</v>
      </c>
      <c r="CV69" s="2">
        <v>0.0</v>
      </c>
      <c r="CW69" s="2">
        <v>0.0</v>
      </c>
      <c r="CX69" s="2">
        <v>0.0</v>
      </c>
      <c r="CY69" s="2">
        <v>2.0</v>
      </c>
      <c r="CZ69" s="2">
        <v>0.0</v>
      </c>
      <c r="DA69" s="2" t="s">
        <v>2015</v>
      </c>
      <c r="DB69" s="2" t="s">
        <v>2021</v>
      </c>
      <c r="DD69" s="2">
        <v>51.0</v>
      </c>
      <c r="DE69" s="2">
        <v>110.0</v>
      </c>
      <c r="DF69" s="2">
        <v>0.0</v>
      </c>
      <c r="DG69" s="2">
        <v>1.0</v>
      </c>
      <c r="DH69" s="2">
        <v>1.0</v>
      </c>
      <c r="DI69" s="2">
        <v>0.0</v>
      </c>
      <c r="DJ69" s="2">
        <v>0.0</v>
      </c>
      <c r="DK69" s="2">
        <v>1.0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4.0</v>
      </c>
      <c r="DR69" s="2">
        <v>0.0</v>
      </c>
      <c r="DS69" s="2">
        <v>55.0</v>
      </c>
      <c r="DT69" s="2">
        <v>187.0</v>
      </c>
      <c r="DU69" s="2">
        <v>3.0</v>
      </c>
      <c r="DV69" s="2">
        <v>0.0</v>
      </c>
      <c r="DW69" s="2">
        <v>1.0</v>
      </c>
      <c r="DX69" s="2">
        <v>0.0</v>
      </c>
      <c r="DY69" s="2">
        <v>0.0</v>
      </c>
      <c r="DZ69" s="2">
        <v>3.0</v>
      </c>
      <c r="EA69" s="2">
        <v>1.0</v>
      </c>
      <c r="EB69" s="2">
        <v>0.0</v>
      </c>
      <c r="EC69" s="2">
        <v>186.0</v>
      </c>
      <c r="EE69" s="2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2">
        <v>2025.0</v>
      </c>
      <c r="B70" s="2">
        <v>3.0</v>
      </c>
      <c r="C70" s="2" t="s">
        <v>178</v>
      </c>
      <c r="D70" s="2" t="s">
        <v>390</v>
      </c>
      <c r="E70" s="2" t="s">
        <v>665</v>
      </c>
      <c r="F70" s="2" t="s">
        <v>246</v>
      </c>
      <c r="G70" s="2">
        <v>22.0</v>
      </c>
      <c r="H70" s="2">
        <v>35.0</v>
      </c>
      <c r="I70" s="2">
        <v>159.0</v>
      </c>
      <c r="J70" s="2">
        <v>1.0</v>
      </c>
      <c r="K70" s="2">
        <v>0.0</v>
      </c>
      <c r="L70" s="2">
        <v>1.0</v>
      </c>
      <c r="M70" s="2">
        <v>-5.0</v>
      </c>
      <c r="N70" s="2">
        <v>0.0</v>
      </c>
      <c r="O70" s="2">
        <v>0.0</v>
      </c>
      <c r="P70" s="2">
        <v>177.0</v>
      </c>
      <c r="Q70" s="2">
        <v>92.0</v>
      </c>
      <c r="R70" s="2">
        <v>8.0</v>
      </c>
      <c r="S70" s="2">
        <v>-0.61861315900615</v>
      </c>
      <c r="T70" s="2">
        <v>-2.62556794811698</v>
      </c>
      <c r="U70" s="2">
        <v>0.0</v>
      </c>
      <c r="V70" s="2">
        <v>5.0</v>
      </c>
      <c r="W70" s="2">
        <v>3.0</v>
      </c>
      <c r="X70" s="2">
        <v>1.0</v>
      </c>
      <c r="Y70" s="2">
        <v>0.0</v>
      </c>
      <c r="Z70" s="2">
        <v>28.0</v>
      </c>
      <c r="AA70" s="2">
        <v>106.0</v>
      </c>
      <c r="AB70" s="2">
        <v>0.0</v>
      </c>
      <c r="AC70" s="2">
        <v>1.0</v>
      </c>
      <c r="AD70" s="2">
        <v>0.0</v>
      </c>
      <c r="AE70" s="2">
        <v>7.0</v>
      </c>
      <c r="AF70" s="2">
        <v>-0.0879640260536689</v>
      </c>
      <c r="AG70" s="2">
        <v>0.0</v>
      </c>
      <c r="AH70" s="2">
        <v>1.0</v>
      </c>
      <c r="AI70" s="2">
        <v>1.0</v>
      </c>
      <c r="AJ70" s="2">
        <v>1.0</v>
      </c>
      <c r="AK70" s="2">
        <v>0.0</v>
      </c>
      <c r="AL70" s="2">
        <v>22.0</v>
      </c>
      <c r="AM70" s="2">
        <v>34.0</v>
      </c>
      <c r="AN70" s="2">
        <v>159.0</v>
      </c>
      <c r="AO70" s="2">
        <v>1.0</v>
      </c>
      <c r="AP70" s="2">
        <v>0.0</v>
      </c>
      <c r="AQ70" s="2">
        <v>0.0</v>
      </c>
      <c r="AR70" s="2">
        <v>177.0</v>
      </c>
      <c r="AS70" s="2">
        <v>92.0</v>
      </c>
      <c r="AT70" s="2">
        <v>8.0</v>
      </c>
      <c r="AU70" s="2">
        <v>2.00265503559921</v>
      </c>
      <c r="AV70" s="2">
        <v>0.0</v>
      </c>
      <c r="AW70" s="2">
        <v>5.0</v>
      </c>
      <c r="AX70" s="2">
        <v>3.0</v>
      </c>
      <c r="AY70" s="2">
        <v>1.0</v>
      </c>
      <c r="AZ70" s="2">
        <v>0.0</v>
      </c>
      <c r="BA70" s="2">
        <v>0.0</v>
      </c>
      <c r="BB70" s="2">
        <v>38.0</v>
      </c>
      <c r="BC70" s="2">
        <v>1.0</v>
      </c>
      <c r="BD70" s="2">
        <v>27.0</v>
      </c>
      <c r="BE70" s="2">
        <v>3.0</v>
      </c>
      <c r="BF70" s="2">
        <v>9.0</v>
      </c>
      <c r="BG70" s="2">
        <v>0.0</v>
      </c>
      <c r="BH70" s="2">
        <v>1.0</v>
      </c>
      <c r="BI70" s="2">
        <v>2.0</v>
      </c>
      <c r="BJ70" s="2">
        <v>8.0</v>
      </c>
      <c r="BK70" s="2">
        <v>1.0</v>
      </c>
      <c r="BL70" s="2">
        <v>18.0</v>
      </c>
      <c r="BM70" s="2">
        <v>4.0</v>
      </c>
      <c r="BN70" s="2">
        <v>0.0</v>
      </c>
      <c r="BO70" s="2">
        <v>0.0</v>
      </c>
      <c r="BP70" s="2">
        <v>1.0</v>
      </c>
      <c r="BQ70" s="2">
        <v>0.0</v>
      </c>
      <c r="BR70" s="2">
        <v>1.0</v>
      </c>
      <c r="BS70" s="2">
        <v>0.0</v>
      </c>
      <c r="BT70" s="2">
        <v>0.0</v>
      </c>
      <c r="BU70" s="2">
        <v>0.0</v>
      </c>
      <c r="BV70" s="2">
        <v>0.0</v>
      </c>
      <c r="BW70" s="2">
        <v>5.0</v>
      </c>
      <c r="BX70" s="2">
        <v>30.0</v>
      </c>
      <c r="BY70" s="2">
        <v>2.0</v>
      </c>
      <c r="BZ70" s="2">
        <v>1.0</v>
      </c>
      <c r="CA70" s="2">
        <v>0.0</v>
      </c>
      <c r="CB70" s="2">
        <v>0.0</v>
      </c>
      <c r="CC70" s="2">
        <v>1.0</v>
      </c>
      <c r="CD70" s="2">
        <v>0.0</v>
      </c>
      <c r="CE70" s="2">
        <v>1.0</v>
      </c>
      <c r="CF70" s="2">
        <v>8.0</v>
      </c>
      <c r="CG70" s="2">
        <v>4.0</v>
      </c>
      <c r="CH70" s="2">
        <v>115.0</v>
      </c>
      <c r="CI70" s="2">
        <v>2.0</v>
      </c>
      <c r="CJ70" s="2">
        <v>3.0</v>
      </c>
      <c r="CK70" s="2">
        <v>1.0</v>
      </c>
      <c r="CL70" s="2">
        <v>0.0</v>
      </c>
      <c r="CM70" s="2">
        <v>34.0</v>
      </c>
      <c r="CN70" s="2">
        <v>0.666666666666667</v>
      </c>
      <c r="CO70" s="2">
        <v>0.0</v>
      </c>
      <c r="CP70" s="2">
        <v>1.0</v>
      </c>
      <c r="CQ70" s="2">
        <v>1.0</v>
      </c>
      <c r="CR70" s="2">
        <v>0.0</v>
      </c>
      <c r="CS70" s="2">
        <v>0.0</v>
      </c>
      <c r="CT70" s="2">
        <v>0.0</v>
      </c>
      <c r="CU70" s="2">
        <v>0.0</v>
      </c>
      <c r="CV70" s="2">
        <v>0.0</v>
      </c>
      <c r="CW70" s="2">
        <v>0.0</v>
      </c>
      <c r="CX70" s="2">
        <v>0.0</v>
      </c>
      <c r="CY70" s="2">
        <v>1.0</v>
      </c>
      <c r="CZ70" s="2">
        <v>0.0</v>
      </c>
      <c r="DA70" s="2" t="s">
        <v>2022</v>
      </c>
      <c r="DB70" s="2" t="s">
        <v>2023</v>
      </c>
      <c r="DD70" s="2">
        <v>62.0</v>
      </c>
      <c r="DE70" s="2">
        <v>57.0</v>
      </c>
      <c r="DF70" s="2">
        <v>0.0</v>
      </c>
      <c r="DG70" s="2">
        <v>1.0</v>
      </c>
      <c r="DH70" s="2">
        <v>1.0</v>
      </c>
      <c r="DI70" s="2">
        <v>0.0</v>
      </c>
      <c r="DJ70" s="2">
        <v>0.0</v>
      </c>
      <c r="DK70" s="2">
        <v>1.0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5.0</v>
      </c>
      <c r="DR70" s="2">
        <v>0.0</v>
      </c>
      <c r="DS70" s="2">
        <v>55.0</v>
      </c>
      <c r="DT70" s="2">
        <v>258.0</v>
      </c>
      <c r="DU70" s="2">
        <v>2.0</v>
      </c>
      <c r="DV70" s="2">
        <v>0.0</v>
      </c>
      <c r="DW70" s="2">
        <v>0.0</v>
      </c>
      <c r="DX70" s="2">
        <v>1.0</v>
      </c>
      <c r="DY70" s="2">
        <v>1.0</v>
      </c>
      <c r="DZ70" s="2">
        <v>3.0</v>
      </c>
      <c r="EA70" s="2">
        <v>26.0</v>
      </c>
      <c r="EB70" s="2">
        <v>0.0</v>
      </c>
      <c r="EC70" s="2">
        <v>212.0</v>
      </c>
      <c r="EE70" s="2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2">
        <v>2025.0</v>
      </c>
      <c r="B71" s="2">
        <v>3.0</v>
      </c>
      <c r="C71" s="2" t="s">
        <v>132</v>
      </c>
      <c r="D71" s="2" t="s">
        <v>390</v>
      </c>
      <c r="E71" s="2" t="s">
        <v>628</v>
      </c>
      <c r="F71" s="2" t="s">
        <v>189</v>
      </c>
      <c r="G71" s="2">
        <v>23.0</v>
      </c>
      <c r="H71" s="2">
        <v>43.0</v>
      </c>
      <c r="I71" s="2">
        <v>201.0</v>
      </c>
      <c r="J71" s="2">
        <v>0.0</v>
      </c>
      <c r="K71" s="2">
        <v>2.0</v>
      </c>
      <c r="L71" s="2">
        <v>0.0</v>
      </c>
      <c r="M71" s="2">
        <v>0.0</v>
      </c>
      <c r="N71" s="2">
        <v>0.0</v>
      </c>
      <c r="O71" s="2">
        <v>0.0</v>
      </c>
      <c r="P71" s="2">
        <v>306.0</v>
      </c>
      <c r="Q71" s="2">
        <v>111.0</v>
      </c>
      <c r="R71" s="2">
        <v>11.0</v>
      </c>
      <c r="S71" s="2">
        <v>-21.8481338841731</v>
      </c>
      <c r="T71" s="2">
        <v>-11.8169891398128</v>
      </c>
      <c r="U71" s="2">
        <v>0.0</v>
      </c>
      <c r="V71" s="2">
        <v>9.0</v>
      </c>
      <c r="W71" s="2">
        <v>5.0</v>
      </c>
      <c r="X71" s="2">
        <v>2.0</v>
      </c>
      <c r="Y71" s="2">
        <v>0.0</v>
      </c>
      <c r="Z71" s="2">
        <v>23.0</v>
      </c>
      <c r="AA71" s="2">
        <v>131.0</v>
      </c>
      <c r="AB71" s="2">
        <v>0.0</v>
      </c>
      <c r="AC71" s="2">
        <v>1.0</v>
      </c>
      <c r="AD71" s="2">
        <v>1.0</v>
      </c>
      <c r="AE71" s="2">
        <v>6.0</v>
      </c>
      <c r="AF71" s="2">
        <v>-0.532478629145771</v>
      </c>
      <c r="AG71" s="2">
        <v>0.0</v>
      </c>
      <c r="AH71" s="2">
        <v>3.0</v>
      </c>
      <c r="AI71" s="2">
        <v>1.0</v>
      </c>
      <c r="AJ71" s="2">
        <v>0.0</v>
      </c>
      <c r="AK71" s="2">
        <v>0.0</v>
      </c>
      <c r="AL71" s="2">
        <v>23.0</v>
      </c>
      <c r="AM71" s="2">
        <v>41.0</v>
      </c>
      <c r="AN71" s="2">
        <v>201.0</v>
      </c>
      <c r="AO71" s="2">
        <v>0.0</v>
      </c>
      <c r="AP71" s="2">
        <v>0.0</v>
      </c>
      <c r="AQ71" s="2">
        <v>0.0</v>
      </c>
      <c r="AR71" s="2">
        <v>306.0</v>
      </c>
      <c r="AS71" s="2">
        <v>111.0</v>
      </c>
      <c r="AT71" s="2">
        <v>11.0</v>
      </c>
      <c r="AU71" s="2">
        <v>-20.4508306158597</v>
      </c>
      <c r="AV71" s="2">
        <v>0.0</v>
      </c>
      <c r="AW71" s="2">
        <v>9.0</v>
      </c>
      <c r="AX71" s="2">
        <v>5.0</v>
      </c>
      <c r="AY71" s="2">
        <v>2.0</v>
      </c>
      <c r="AZ71" s="2">
        <v>0.0</v>
      </c>
      <c r="BA71" s="2">
        <v>0.0</v>
      </c>
      <c r="BB71" s="2">
        <v>34.0</v>
      </c>
      <c r="BC71" s="2">
        <v>2.0</v>
      </c>
      <c r="BD71" s="2">
        <v>24.0</v>
      </c>
      <c r="BE71" s="2">
        <v>4.0</v>
      </c>
      <c r="BF71" s="2">
        <v>10.0</v>
      </c>
      <c r="BG71" s="2">
        <v>0.0</v>
      </c>
      <c r="BH71" s="2">
        <v>1.0</v>
      </c>
      <c r="BI71" s="2">
        <v>7.0</v>
      </c>
      <c r="BJ71" s="2">
        <v>3.0</v>
      </c>
      <c r="BK71" s="2">
        <v>0.0</v>
      </c>
      <c r="BL71" s="2">
        <v>0.0</v>
      </c>
      <c r="BM71" s="2">
        <v>2.0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1.0</v>
      </c>
      <c r="BU71" s="2">
        <v>0.0</v>
      </c>
      <c r="BV71" s="2">
        <v>0.0</v>
      </c>
      <c r="BW71" s="2">
        <v>3.0</v>
      </c>
      <c r="BX71" s="2">
        <v>23.0</v>
      </c>
      <c r="BY71" s="2">
        <v>4.0</v>
      </c>
      <c r="BZ71" s="2">
        <v>1.0</v>
      </c>
      <c r="CA71" s="2">
        <v>0.0</v>
      </c>
      <c r="CB71" s="2">
        <v>0.0</v>
      </c>
      <c r="CC71" s="2">
        <v>1.0</v>
      </c>
      <c r="CD71" s="2">
        <v>1.0</v>
      </c>
      <c r="CE71" s="2">
        <v>2.0</v>
      </c>
      <c r="CF71" s="2">
        <v>0.0</v>
      </c>
      <c r="CG71" s="2">
        <v>5.0</v>
      </c>
      <c r="CH71" s="2">
        <v>58.0</v>
      </c>
      <c r="CI71" s="2">
        <v>0.0</v>
      </c>
      <c r="CJ71" s="2">
        <v>2.0</v>
      </c>
      <c r="CK71" s="2">
        <v>2.0</v>
      </c>
      <c r="CL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1.0</v>
      </c>
      <c r="CY71" s="2">
        <v>1.0</v>
      </c>
      <c r="CZ71" s="2">
        <v>0.0</v>
      </c>
      <c r="DB71" s="2" t="s">
        <v>2024</v>
      </c>
      <c r="DD71" s="2">
        <v>0.0</v>
      </c>
      <c r="DE71" s="2">
        <v>104.0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3.0</v>
      </c>
      <c r="DR71" s="2">
        <v>0.0</v>
      </c>
      <c r="DS71" s="2">
        <v>41.0</v>
      </c>
      <c r="DT71" s="2">
        <v>96.0</v>
      </c>
      <c r="DU71" s="2">
        <v>1.0</v>
      </c>
      <c r="DV71" s="2">
        <v>1.0</v>
      </c>
      <c r="DW71" s="2">
        <v>0.0</v>
      </c>
      <c r="DX71" s="2">
        <v>0.0</v>
      </c>
      <c r="DY71" s="2">
        <v>1.0</v>
      </c>
      <c r="DZ71" s="2">
        <v>1.0</v>
      </c>
      <c r="EA71" s="2">
        <v>0.0</v>
      </c>
      <c r="EB71" s="2">
        <v>0.0</v>
      </c>
      <c r="EC71" s="2">
        <v>96.0</v>
      </c>
      <c r="EE71" s="2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2">
        <v>2025.0</v>
      </c>
      <c r="B72" s="2">
        <v>3.0</v>
      </c>
      <c r="C72" s="2" t="s">
        <v>148</v>
      </c>
      <c r="D72" s="2" t="s">
        <v>390</v>
      </c>
      <c r="E72" s="2" t="s">
        <v>671</v>
      </c>
      <c r="F72" s="2" t="s">
        <v>202</v>
      </c>
      <c r="G72" s="2">
        <v>21.0</v>
      </c>
      <c r="H72" s="2">
        <v>28.0</v>
      </c>
      <c r="I72" s="2">
        <v>288.0</v>
      </c>
      <c r="J72" s="2">
        <v>3.0</v>
      </c>
      <c r="K72" s="2">
        <v>0.0</v>
      </c>
      <c r="L72" s="2">
        <v>7.0</v>
      </c>
      <c r="M72" s="2">
        <v>-55.0</v>
      </c>
      <c r="N72" s="2">
        <v>1.0</v>
      </c>
      <c r="O72" s="2">
        <v>0.0</v>
      </c>
      <c r="P72" s="2">
        <v>284.0</v>
      </c>
      <c r="Q72" s="2">
        <v>101.0</v>
      </c>
      <c r="R72" s="2">
        <v>14.0</v>
      </c>
      <c r="S72" s="2">
        <v>10.5637622406728</v>
      </c>
      <c r="T72" s="2">
        <v>11.6911359131336</v>
      </c>
      <c r="U72" s="2">
        <v>0.0</v>
      </c>
      <c r="V72" s="2">
        <v>12.0</v>
      </c>
      <c r="W72" s="2">
        <v>7.0</v>
      </c>
      <c r="X72" s="2">
        <v>4.0</v>
      </c>
      <c r="Y72" s="2">
        <v>0.0</v>
      </c>
      <c r="Z72" s="2">
        <v>19.0</v>
      </c>
      <c r="AA72" s="2">
        <v>85.0</v>
      </c>
      <c r="AB72" s="2">
        <v>1.0</v>
      </c>
      <c r="AC72" s="2">
        <v>1.0</v>
      </c>
      <c r="AD72" s="2">
        <v>1.0</v>
      </c>
      <c r="AE72" s="2">
        <v>4.0</v>
      </c>
      <c r="AF72" s="2">
        <v>-6.8112504798919</v>
      </c>
      <c r="AG72" s="2">
        <v>0.0</v>
      </c>
      <c r="AH72" s="2">
        <v>3.0</v>
      </c>
      <c r="AI72" s="2">
        <v>3.0</v>
      </c>
      <c r="AJ72" s="2">
        <v>1.0</v>
      </c>
      <c r="AK72" s="2">
        <v>0.0</v>
      </c>
      <c r="AL72" s="2">
        <v>21.0</v>
      </c>
      <c r="AM72" s="2">
        <v>28.0</v>
      </c>
      <c r="AN72" s="2">
        <v>288.0</v>
      </c>
      <c r="AO72" s="2">
        <v>3.0</v>
      </c>
      <c r="AP72" s="2">
        <v>0.0</v>
      </c>
      <c r="AQ72" s="2">
        <v>0.0</v>
      </c>
      <c r="AR72" s="2">
        <v>284.0</v>
      </c>
      <c r="AS72" s="2">
        <v>101.0</v>
      </c>
      <c r="AT72" s="2">
        <v>14.0</v>
      </c>
      <c r="AU72" s="2">
        <v>21.6496867008247</v>
      </c>
      <c r="AV72" s="2">
        <v>0.0</v>
      </c>
      <c r="AW72" s="2">
        <v>12.0</v>
      </c>
      <c r="AX72" s="2">
        <v>7.0</v>
      </c>
      <c r="AY72" s="2">
        <v>4.0</v>
      </c>
      <c r="AZ72" s="2">
        <v>0.0</v>
      </c>
      <c r="BA72" s="2">
        <v>0.0</v>
      </c>
      <c r="BB72" s="2">
        <v>39.0</v>
      </c>
      <c r="BC72" s="2">
        <v>1.0</v>
      </c>
      <c r="BD72" s="2">
        <v>37.0</v>
      </c>
      <c r="BE72" s="2">
        <v>4.0</v>
      </c>
      <c r="BF72" s="2">
        <v>16.0</v>
      </c>
      <c r="BG72" s="2">
        <v>0.0</v>
      </c>
      <c r="BH72" s="2">
        <v>0.0</v>
      </c>
      <c r="BI72" s="2">
        <v>0.0</v>
      </c>
      <c r="BJ72" s="2">
        <v>6.0</v>
      </c>
      <c r="BK72" s="2">
        <v>0.0</v>
      </c>
      <c r="BL72" s="2">
        <v>0.0</v>
      </c>
      <c r="BM72" s="2">
        <v>1.0</v>
      </c>
      <c r="BN72" s="2">
        <v>0.0</v>
      </c>
      <c r="BO72" s="2">
        <v>0.0</v>
      </c>
      <c r="BP72" s="2">
        <v>0.0</v>
      </c>
      <c r="BQ72" s="2">
        <v>0.0</v>
      </c>
      <c r="BR72" s="2">
        <v>1.0</v>
      </c>
      <c r="BS72" s="2">
        <v>0.0</v>
      </c>
      <c r="BT72" s="2">
        <v>0.0</v>
      </c>
      <c r="BU72" s="2">
        <v>0.0</v>
      </c>
      <c r="BV72" s="2">
        <v>0.0</v>
      </c>
      <c r="BW72" s="2">
        <v>3.0</v>
      </c>
      <c r="BX72" s="2">
        <v>10.0</v>
      </c>
      <c r="BY72" s="2">
        <v>4.0</v>
      </c>
      <c r="BZ72" s="2">
        <v>2.0</v>
      </c>
      <c r="CA72" s="2">
        <v>0.0</v>
      </c>
      <c r="CB72" s="2">
        <v>0.0</v>
      </c>
      <c r="CC72" s="2">
        <v>2.0</v>
      </c>
      <c r="CD72" s="2">
        <v>1.0</v>
      </c>
      <c r="CE72" s="2">
        <v>3.0</v>
      </c>
      <c r="CF72" s="2">
        <v>31.0</v>
      </c>
      <c r="CG72" s="2">
        <v>4.0</v>
      </c>
      <c r="CH72" s="2">
        <v>105.0</v>
      </c>
      <c r="CI72" s="2">
        <v>1.0</v>
      </c>
      <c r="CJ72" s="2">
        <v>1.0</v>
      </c>
      <c r="CK72" s="2">
        <v>0.0</v>
      </c>
      <c r="CL72" s="2">
        <v>0.0</v>
      </c>
      <c r="CM72" s="2">
        <v>41.0</v>
      </c>
      <c r="CN72" s="2">
        <v>1.0</v>
      </c>
      <c r="CO72" s="2">
        <v>0.0</v>
      </c>
      <c r="CP72" s="2">
        <v>0.0</v>
      </c>
      <c r="CQ72" s="2">
        <v>0.0</v>
      </c>
      <c r="CR72" s="2">
        <v>1.0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 t="s">
        <v>2025</v>
      </c>
      <c r="DD72" s="2">
        <v>41.0</v>
      </c>
      <c r="DE72" s="2">
        <v>0.0</v>
      </c>
      <c r="DF72" s="2">
        <v>0.0</v>
      </c>
      <c r="DG72" s="2">
        <v>3.0</v>
      </c>
      <c r="DH72" s="2">
        <v>3.0</v>
      </c>
      <c r="DI72" s="2">
        <v>0.0</v>
      </c>
      <c r="DJ72" s="2">
        <v>0.0</v>
      </c>
      <c r="DK72" s="2">
        <v>1.0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3.0</v>
      </c>
      <c r="DR72" s="2">
        <v>0.0</v>
      </c>
      <c r="DS72" s="2">
        <v>63.0</v>
      </c>
      <c r="DT72" s="2">
        <v>157.0</v>
      </c>
      <c r="DU72" s="2">
        <v>2.0</v>
      </c>
      <c r="DV72" s="2">
        <v>1.0</v>
      </c>
      <c r="DW72" s="2">
        <v>1.0</v>
      </c>
      <c r="DX72" s="2">
        <v>0.0</v>
      </c>
      <c r="DY72" s="2">
        <v>0.0</v>
      </c>
      <c r="DZ72" s="2">
        <v>1.0</v>
      </c>
      <c r="EA72" s="2">
        <v>0.0</v>
      </c>
      <c r="EB72" s="2">
        <v>0.0</v>
      </c>
      <c r="EC72" s="2">
        <v>157.0</v>
      </c>
      <c r="EE72" s="2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2">
        <v>2025.0</v>
      </c>
      <c r="B73" s="2">
        <v>3.0</v>
      </c>
      <c r="C73" s="2" t="s">
        <v>136</v>
      </c>
      <c r="D73" s="2" t="s">
        <v>390</v>
      </c>
      <c r="E73" s="2" t="s">
        <v>625</v>
      </c>
      <c r="F73" s="2" t="s">
        <v>225</v>
      </c>
      <c r="G73" s="2">
        <v>22.0</v>
      </c>
      <c r="H73" s="2">
        <v>28.0</v>
      </c>
      <c r="I73" s="2">
        <v>213.0</v>
      </c>
      <c r="J73" s="2">
        <v>3.0</v>
      </c>
      <c r="K73" s="2">
        <v>0.0</v>
      </c>
      <c r="L73" s="2">
        <v>2.0</v>
      </c>
      <c r="M73" s="2">
        <v>-10.0</v>
      </c>
      <c r="N73" s="2">
        <v>0.0</v>
      </c>
      <c r="O73" s="2">
        <v>0.0</v>
      </c>
      <c r="P73" s="2">
        <v>111.0</v>
      </c>
      <c r="Q73" s="2">
        <v>160.0</v>
      </c>
      <c r="R73" s="2">
        <v>12.0</v>
      </c>
      <c r="S73" s="2">
        <v>10.6495221594861</v>
      </c>
      <c r="T73" s="2">
        <v>7.68089393774668</v>
      </c>
      <c r="U73" s="2">
        <v>0.0</v>
      </c>
      <c r="V73" s="2">
        <v>7.0</v>
      </c>
      <c r="W73" s="2">
        <v>4.0</v>
      </c>
      <c r="X73" s="2">
        <v>2.0</v>
      </c>
      <c r="Y73" s="2">
        <v>0.0</v>
      </c>
      <c r="Z73" s="2">
        <v>27.0</v>
      </c>
      <c r="AA73" s="2">
        <v>157.0</v>
      </c>
      <c r="AB73" s="2">
        <v>1.0</v>
      </c>
      <c r="AC73" s="2">
        <v>1.0</v>
      </c>
      <c r="AD73" s="2">
        <v>0.0</v>
      </c>
      <c r="AE73" s="2">
        <v>8.0</v>
      </c>
      <c r="AF73" s="2">
        <v>5.15529626754969</v>
      </c>
      <c r="AG73" s="2">
        <v>0.0</v>
      </c>
      <c r="AH73" s="2">
        <v>6.0</v>
      </c>
      <c r="AI73" s="2">
        <v>3.0</v>
      </c>
      <c r="AJ73" s="2">
        <v>1.0</v>
      </c>
      <c r="AK73" s="2">
        <v>0.0</v>
      </c>
      <c r="AL73" s="2">
        <v>22.0</v>
      </c>
      <c r="AM73" s="2">
        <v>27.0</v>
      </c>
      <c r="AN73" s="2">
        <v>213.0</v>
      </c>
      <c r="AO73" s="2">
        <v>3.0</v>
      </c>
      <c r="AP73" s="2">
        <v>0.0</v>
      </c>
      <c r="AQ73" s="2">
        <v>0.0</v>
      </c>
      <c r="AR73" s="2">
        <v>111.0</v>
      </c>
      <c r="AS73" s="2">
        <v>160.0</v>
      </c>
      <c r="AT73" s="2">
        <v>12.0</v>
      </c>
      <c r="AU73" s="2">
        <v>12.4366789832711</v>
      </c>
      <c r="AV73" s="2">
        <v>0.0</v>
      </c>
      <c r="AW73" s="2">
        <v>7.0</v>
      </c>
      <c r="AX73" s="2">
        <v>4.0</v>
      </c>
      <c r="AY73" s="2">
        <v>2.0</v>
      </c>
      <c r="AZ73" s="2">
        <v>0.0</v>
      </c>
      <c r="BA73" s="2">
        <v>0.0</v>
      </c>
      <c r="BB73" s="2">
        <v>40.0</v>
      </c>
      <c r="BC73" s="2">
        <v>0.0</v>
      </c>
      <c r="BD73" s="2">
        <v>20.0</v>
      </c>
      <c r="BE73" s="2">
        <v>5.0</v>
      </c>
      <c r="BF73" s="2">
        <v>15.0</v>
      </c>
      <c r="BG73" s="2">
        <v>0.0</v>
      </c>
      <c r="BH73" s="2">
        <v>0.0</v>
      </c>
      <c r="BI73" s="2">
        <v>0.0</v>
      </c>
      <c r="BJ73" s="2">
        <v>1.0</v>
      </c>
      <c r="BK73" s="2">
        <v>1.0</v>
      </c>
      <c r="BL73" s="2">
        <v>24.0</v>
      </c>
      <c r="BM73" s="2">
        <v>3.0</v>
      </c>
      <c r="BN73" s="2">
        <v>0.0</v>
      </c>
      <c r="BO73" s="2">
        <v>1.0</v>
      </c>
      <c r="BP73" s="2">
        <v>0.0</v>
      </c>
      <c r="BQ73" s="2">
        <v>0.0</v>
      </c>
      <c r="BR73" s="2">
        <v>2.0</v>
      </c>
      <c r="BS73" s="2">
        <v>-2.0</v>
      </c>
      <c r="BT73" s="2">
        <v>0.0</v>
      </c>
      <c r="BU73" s="2">
        <v>0.0</v>
      </c>
      <c r="BV73" s="2">
        <v>0.0</v>
      </c>
      <c r="BW73" s="2">
        <v>3.0</v>
      </c>
      <c r="BX73" s="2">
        <v>35.0</v>
      </c>
      <c r="BY73" s="2">
        <v>5.0</v>
      </c>
      <c r="BZ73" s="2">
        <v>0.0</v>
      </c>
      <c r="CA73" s="2">
        <v>2.0</v>
      </c>
      <c r="CB73" s="2">
        <v>0.0</v>
      </c>
      <c r="CC73" s="2">
        <v>2.0</v>
      </c>
      <c r="CD73" s="2">
        <v>0.0</v>
      </c>
      <c r="CE73" s="2">
        <v>2.0</v>
      </c>
      <c r="CF73" s="2">
        <v>15.0</v>
      </c>
      <c r="CG73" s="2">
        <v>3.0</v>
      </c>
      <c r="CH73" s="2">
        <v>95.0</v>
      </c>
      <c r="CI73" s="2">
        <v>1.0</v>
      </c>
      <c r="CJ73" s="2">
        <v>2.0</v>
      </c>
      <c r="CK73" s="2">
        <v>1.0</v>
      </c>
      <c r="CL73" s="2">
        <v>0.0</v>
      </c>
      <c r="CM73" s="2">
        <v>48.0</v>
      </c>
      <c r="CN73" s="2">
        <v>0.5</v>
      </c>
      <c r="CO73" s="2">
        <v>0.0</v>
      </c>
      <c r="CP73" s="2">
        <v>0.0</v>
      </c>
      <c r="CQ73" s="2">
        <v>0.0</v>
      </c>
      <c r="CR73" s="2">
        <v>1.0</v>
      </c>
      <c r="CS73" s="2">
        <v>0.0</v>
      </c>
      <c r="CT73" s="2">
        <v>0.0</v>
      </c>
      <c r="CU73" s="2">
        <v>0.0</v>
      </c>
      <c r="CV73" s="2">
        <v>0.0</v>
      </c>
      <c r="CW73" s="2">
        <v>1.0</v>
      </c>
      <c r="CX73" s="2">
        <v>0.0</v>
      </c>
      <c r="CY73" s="2">
        <v>0.0</v>
      </c>
      <c r="CZ73" s="2">
        <v>0.0</v>
      </c>
      <c r="DA73" s="2" t="s">
        <v>1965</v>
      </c>
      <c r="DB73" s="2" t="s">
        <v>2026</v>
      </c>
      <c r="DD73" s="2">
        <v>48.0</v>
      </c>
      <c r="DE73" s="2">
        <v>39.0</v>
      </c>
      <c r="DF73" s="2">
        <v>0.0</v>
      </c>
      <c r="DG73" s="2">
        <v>4.0</v>
      </c>
      <c r="DH73" s="2">
        <v>4.0</v>
      </c>
      <c r="DI73" s="2">
        <v>0.0</v>
      </c>
      <c r="DJ73" s="2">
        <v>0.0</v>
      </c>
      <c r="DK73" s="2">
        <v>1.0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2.0</v>
      </c>
      <c r="DR73" s="2">
        <v>0.0</v>
      </c>
      <c r="DS73" s="2">
        <v>48.0</v>
      </c>
      <c r="DT73" s="2">
        <v>95.0</v>
      </c>
      <c r="DU73" s="2">
        <v>0.0</v>
      </c>
      <c r="DV73" s="2">
        <v>0.0</v>
      </c>
      <c r="DW73" s="2">
        <v>0.0</v>
      </c>
      <c r="DX73" s="2">
        <v>0.0</v>
      </c>
      <c r="DY73" s="2">
        <v>0.0</v>
      </c>
      <c r="DZ73" s="2">
        <v>2.0</v>
      </c>
      <c r="EA73" s="2">
        <v>22.0</v>
      </c>
      <c r="EB73" s="2">
        <v>0.0</v>
      </c>
      <c r="EC73" s="2">
        <v>73.0</v>
      </c>
      <c r="EE73" s="2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2">
        <v>2025.0</v>
      </c>
      <c r="B74" s="2">
        <v>3.0</v>
      </c>
      <c r="C74" s="2" t="s">
        <v>189</v>
      </c>
      <c r="D74" s="2" t="s">
        <v>390</v>
      </c>
      <c r="E74" s="2" t="s">
        <v>628</v>
      </c>
      <c r="F74" s="2" t="s">
        <v>132</v>
      </c>
      <c r="G74" s="2">
        <v>16.0</v>
      </c>
      <c r="H74" s="2">
        <v>24.0</v>
      </c>
      <c r="I74" s="2">
        <v>121.0</v>
      </c>
      <c r="J74" s="2">
        <v>0.0</v>
      </c>
      <c r="K74" s="2">
        <v>0.0</v>
      </c>
      <c r="L74" s="2">
        <v>1.0</v>
      </c>
      <c r="M74" s="2">
        <v>-7.0</v>
      </c>
      <c r="N74" s="2">
        <v>0.0</v>
      </c>
      <c r="O74" s="2">
        <v>0.0</v>
      </c>
      <c r="P74" s="2">
        <v>133.0</v>
      </c>
      <c r="Q74" s="2">
        <v>76.0</v>
      </c>
      <c r="R74" s="2">
        <v>7.0</v>
      </c>
      <c r="S74" s="2">
        <v>-2.48379494861531</v>
      </c>
      <c r="T74" s="2">
        <v>-1.29961036145687</v>
      </c>
      <c r="U74" s="2">
        <v>0.0</v>
      </c>
      <c r="V74" s="2">
        <v>3.0</v>
      </c>
      <c r="W74" s="2">
        <v>2.0</v>
      </c>
      <c r="X74" s="2">
        <v>2.0</v>
      </c>
      <c r="Y74" s="2">
        <v>0.0</v>
      </c>
      <c r="Z74" s="2">
        <v>30.0</v>
      </c>
      <c r="AA74" s="2">
        <v>110.0</v>
      </c>
      <c r="AB74" s="2">
        <v>2.0</v>
      </c>
      <c r="AC74" s="2">
        <v>0.0</v>
      </c>
      <c r="AD74" s="2">
        <v>0.0</v>
      </c>
      <c r="AE74" s="2">
        <v>7.0</v>
      </c>
      <c r="AF74" s="2">
        <v>2.00014139199629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16.0</v>
      </c>
      <c r="AM74" s="2">
        <v>24.0</v>
      </c>
      <c r="AN74" s="2">
        <v>121.0</v>
      </c>
      <c r="AO74" s="2">
        <v>0.0</v>
      </c>
      <c r="AP74" s="2">
        <v>0.0</v>
      </c>
      <c r="AQ74" s="2">
        <v>0.0</v>
      </c>
      <c r="AR74" s="2">
        <v>133.0</v>
      </c>
      <c r="AS74" s="2">
        <v>76.0</v>
      </c>
      <c r="AT74" s="2">
        <v>7.0</v>
      </c>
      <c r="AU74" s="2">
        <v>-0.307905160772145</v>
      </c>
      <c r="AV74" s="2">
        <v>0.0</v>
      </c>
      <c r="AW74" s="2">
        <v>3.0</v>
      </c>
      <c r="AX74" s="2">
        <v>2.0</v>
      </c>
      <c r="AY74" s="2">
        <v>2.0</v>
      </c>
      <c r="AZ74" s="2">
        <v>0.0</v>
      </c>
      <c r="BA74" s="2">
        <v>0.0</v>
      </c>
      <c r="BB74" s="2">
        <v>41.0</v>
      </c>
      <c r="BC74" s="2">
        <v>2.0</v>
      </c>
      <c r="BD74" s="2">
        <v>22.0</v>
      </c>
      <c r="BE74" s="2">
        <v>2.0</v>
      </c>
      <c r="BF74" s="2">
        <v>7.0</v>
      </c>
      <c r="BG74" s="2">
        <v>1.0</v>
      </c>
      <c r="BH74" s="2">
        <v>0.0</v>
      </c>
      <c r="BI74" s="2">
        <v>0.0</v>
      </c>
      <c r="BJ74" s="2">
        <v>2.0</v>
      </c>
      <c r="BK74" s="2">
        <v>2.0</v>
      </c>
      <c r="BL74" s="2">
        <v>65.0</v>
      </c>
      <c r="BM74" s="2">
        <v>3.0</v>
      </c>
      <c r="BN74" s="2">
        <v>1.0</v>
      </c>
      <c r="BO74" s="2">
        <v>1.0</v>
      </c>
      <c r="BP74" s="2">
        <v>0.0</v>
      </c>
      <c r="BQ74" s="2">
        <v>0.0</v>
      </c>
      <c r="BR74" s="2">
        <v>0.0</v>
      </c>
      <c r="BS74" s="2">
        <v>0.0</v>
      </c>
      <c r="BT74" s="2">
        <v>1.0</v>
      </c>
      <c r="BU74" s="2">
        <v>0.0</v>
      </c>
      <c r="BV74" s="2">
        <v>0.0</v>
      </c>
      <c r="BW74" s="2">
        <v>6.0</v>
      </c>
      <c r="BX74" s="2">
        <v>55.0</v>
      </c>
      <c r="BY74" s="2">
        <v>1.0</v>
      </c>
      <c r="BZ74" s="2">
        <v>0.0</v>
      </c>
      <c r="CA74" s="2">
        <v>1.0</v>
      </c>
      <c r="CB74" s="2">
        <v>0.0</v>
      </c>
      <c r="CC74" s="2">
        <v>1.0</v>
      </c>
      <c r="CD74" s="2">
        <v>1.0</v>
      </c>
      <c r="CE74" s="2">
        <v>1.0</v>
      </c>
      <c r="CF74" s="2">
        <v>0.0</v>
      </c>
      <c r="CG74" s="2">
        <v>1.0</v>
      </c>
      <c r="CH74" s="2">
        <v>21.0</v>
      </c>
      <c r="CI74" s="2">
        <v>3.0</v>
      </c>
      <c r="CJ74" s="2">
        <v>3.0</v>
      </c>
      <c r="CK74" s="2">
        <v>0.0</v>
      </c>
      <c r="CL74" s="2">
        <v>0.0</v>
      </c>
      <c r="CM74" s="2">
        <v>57.0</v>
      </c>
      <c r="CN74" s="2">
        <v>1.0</v>
      </c>
      <c r="CO74" s="2">
        <v>0.0</v>
      </c>
      <c r="CP74" s="2">
        <v>0.0</v>
      </c>
      <c r="CQ74" s="2">
        <v>1.0</v>
      </c>
      <c r="CR74" s="2">
        <v>1.0</v>
      </c>
      <c r="CS74" s="2">
        <v>1.0</v>
      </c>
      <c r="CT74" s="2">
        <v>0.0</v>
      </c>
      <c r="CU74" s="2">
        <v>0.0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 t="s">
        <v>2027</v>
      </c>
      <c r="DD74" s="2">
        <v>133.0</v>
      </c>
      <c r="DE74" s="2">
        <v>0.0</v>
      </c>
      <c r="DF74" s="2">
        <v>0.0</v>
      </c>
      <c r="DG74" s="2">
        <v>3.0</v>
      </c>
      <c r="DH74" s="2">
        <v>3.0</v>
      </c>
      <c r="DI74" s="2">
        <v>0.0</v>
      </c>
      <c r="DJ74" s="2">
        <v>0.0</v>
      </c>
      <c r="DK74" s="2">
        <v>1.0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3.0</v>
      </c>
      <c r="DR74" s="2">
        <v>0.0</v>
      </c>
      <c r="DS74" s="2">
        <v>54.0</v>
      </c>
      <c r="DT74" s="2">
        <v>135.0</v>
      </c>
      <c r="DU74" s="2">
        <v>2.0</v>
      </c>
      <c r="DV74" s="2">
        <v>0.0</v>
      </c>
      <c r="DW74" s="2">
        <v>0.0</v>
      </c>
      <c r="DX74" s="2">
        <v>0.0</v>
      </c>
      <c r="DY74" s="2">
        <v>1.0</v>
      </c>
      <c r="DZ74" s="2">
        <v>2.0</v>
      </c>
      <c r="EA74" s="2">
        <v>0.0</v>
      </c>
      <c r="EB74" s="2">
        <v>0.0</v>
      </c>
      <c r="EC74" s="2">
        <v>135.0</v>
      </c>
      <c r="EE74" s="2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2">
        <v>2025.0</v>
      </c>
      <c r="B75" s="2">
        <v>3.0</v>
      </c>
      <c r="C75" s="2" t="s">
        <v>137</v>
      </c>
      <c r="D75" s="2" t="s">
        <v>390</v>
      </c>
      <c r="E75" s="2" t="s">
        <v>663</v>
      </c>
      <c r="F75" s="2" t="s">
        <v>146</v>
      </c>
      <c r="G75" s="2">
        <v>19.0</v>
      </c>
      <c r="H75" s="2">
        <v>28.0</v>
      </c>
      <c r="I75" s="2">
        <v>298.0</v>
      </c>
      <c r="J75" s="2">
        <v>4.0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250.0</v>
      </c>
      <c r="Q75" s="2">
        <v>156.0</v>
      </c>
      <c r="R75" s="2">
        <v>11.0</v>
      </c>
      <c r="S75" s="2">
        <v>17.9795747286233</v>
      </c>
      <c r="T75" s="2">
        <v>3.65460078631129</v>
      </c>
      <c r="U75" s="2">
        <v>0.0</v>
      </c>
      <c r="V75" s="2">
        <v>10.0</v>
      </c>
      <c r="W75" s="2">
        <v>5.0</v>
      </c>
      <c r="X75" s="2">
        <v>5.0</v>
      </c>
      <c r="Y75" s="2">
        <v>2.0</v>
      </c>
      <c r="Z75" s="2">
        <v>29.0</v>
      </c>
      <c r="AA75" s="2">
        <v>87.0</v>
      </c>
      <c r="AB75" s="2">
        <v>0.0</v>
      </c>
      <c r="AC75" s="2">
        <v>0.0</v>
      </c>
      <c r="AD75" s="2">
        <v>0.0</v>
      </c>
      <c r="AE75" s="2">
        <v>7.0</v>
      </c>
      <c r="AF75" s="2">
        <v>-1.38504396064673</v>
      </c>
      <c r="AG75" s="2">
        <v>0.0</v>
      </c>
      <c r="AH75" s="2">
        <v>2.0</v>
      </c>
      <c r="AI75" s="2">
        <v>1.0</v>
      </c>
      <c r="AJ75" s="2">
        <v>0.0</v>
      </c>
      <c r="AK75" s="2">
        <v>0.0</v>
      </c>
      <c r="AL75" s="2">
        <v>19.0</v>
      </c>
      <c r="AM75" s="2">
        <v>28.0</v>
      </c>
      <c r="AN75" s="2">
        <v>298.0</v>
      </c>
      <c r="AO75" s="2">
        <v>4.0</v>
      </c>
      <c r="AP75" s="2">
        <v>0.0</v>
      </c>
      <c r="AQ75" s="2">
        <v>0.0</v>
      </c>
      <c r="AR75" s="2">
        <v>250.0</v>
      </c>
      <c r="AS75" s="2">
        <v>156.0</v>
      </c>
      <c r="AT75" s="2">
        <v>11.0</v>
      </c>
      <c r="AU75" s="2">
        <v>17.9795747286233</v>
      </c>
      <c r="AV75" s="2">
        <v>0.0</v>
      </c>
      <c r="AW75" s="2">
        <v>10.0</v>
      </c>
      <c r="AX75" s="2">
        <v>5.0</v>
      </c>
      <c r="AY75" s="2">
        <v>5.0</v>
      </c>
      <c r="AZ75" s="2">
        <v>2.0</v>
      </c>
      <c r="BA75" s="2">
        <v>0.0</v>
      </c>
      <c r="BB75" s="2">
        <v>43.0</v>
      </c>
      <c r="BC75" s="2">
        <v>5.0</v>
      </c>
      <c r="BD75" s="2">
        <v>29.0</v>
      </c>
      <c r="BE75" s="2">
        <v>2.0</v>
      </c>
      <c r="BF75" s="2">
        <v>17.0</v>
      </c>
      <c r="BG75" s="2">
        <v>1.0</v>
      </c>
      <c r="BH75" s="2">
        <v>2.0</v>
      </c>
      <c r="BI75" s="2">
        <v>17.0</v>
      </c>
      <c r="BJ75" s="2">
        <v>7.0</v>
      </c>
      <c r="BK75" s="2">
        <v>3.0</v>
      </c>
      <c r="BL75" s="2">
        <v>0.0</v>
      </c>
      <c r="BM75" s="2">
        <v>6.0</v>
      </c>
      <c r="BN75" s="2">
        <v>0.0</v>
      </c>
      <c r="BO75" s="2">
        <v>0.0</v>
      </c>
      <c r="BP75" s="2">
        <v>0.0</v>
      </c>
      <c r="BQ75" s="2">
        <v>0.0</v>
      </c>
      <c r="BR75" s="2">
        <v>0.0</v>
      </c>
      <c r="BS75" s="2">
        <v>0.0</v>
      </c>
      <c r="BT75" s="2">
        <v>1.0</v>
      </c>
      <c r="BU75" s="2">
        <v>-4.0</v>
      </c>
      <c r="BV75" s="2">
        <v>0.0</v>
      </c>
      <c r="BW75" s="2">
        <v>6.0</v>
      </c>
      <c r="BX75" s="2">
        <v>41.0</v>
      </c>
      <c r="BY75" s="2">
        <v>0.0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2.0</v>
      </c>
      <c r="CF75" s="2">
        <v>31.0</v>
      </c>
      <c r="CG75" s="2">
        <v>2.0</v>
      </c>
      <c r="CH75" s="2">
        <v>41.0</v>
      </c>
      <c r="CI75" s="2">
        <v>1.0</v>
      </c>
      <c r="CJ75" s="2">
        <v>1.0</v>
      </c>
      <c r="CK75" s="2">
        <v>0.0</v>
      </c>
      <c r="CL75" s="2">
        <v>0.0</v>
      </c>
      <c r="CM75" s="2">
        <v>30.0</v>
      </c>
      <c r="CN75" s="2">
        <v>1.0</v>
      </c>
      <c r="CO75" s="2">
        <v>0.0</v>
      </c>
      <c r="CP75" s="2">
        <v>0.0</v>
      </c>
      <c r="CQ75" s="2">
        <v>1.0</v>
      </c>
      <c r="CR75" s="2">
        <v>0.0</v>
      </c>
      <c r="CS75" s="2">
        <v>0.0</v>
      </c>
      <c r="CT75" s="2">
        <v>0.0</v>
      </c>
      <c r="CU75" s="2">
        <v>0.0</v>
      </c>
      <c r="CV75" s="2">
        <v>0.0</v>
      </c>
      <c r="CW75" s="2">
        <v>0.0</v>
      </c>
      <c r="CX75" s="2">
        <v>0.0</v>
      </c>
      <c r="CY75" s="2">
        <v>0.0</v>
      </c>
      <c r="CZ75" s="2">
        <v>0.0</v>
      </c>
      <c r="DA75" s="2" t="s">
        <v>2028</v>
      </c>
      <c r="DD75" s="2">
        <v>30.0</v>
      </c>
      <c r="DE75" s="2">
        <v>0.0</v>
      </c>
      <c r="DF75" s="2">
        <v>0.0</v>
      </c>
      <c r="DG75" s="2">
        <v>4.0</v>
      </c>
      <c r="DH75" s="2">
        <v>4.0</v>
      </c>
      <c r="DI75" s="2">
        <v>0.0</v>
      </c>
      <c r="DJ75" s="2">
        <v>0.0</v>
      </c>
      <c r="DK75" s="2">
        <v>1.0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4.0</v>
      </c>
      <c r="DR75" s="2">
        <v>0.0</v>
      </c>
      <c r="DS75" s="2">
        <v>50.0</v>
      </c>
      <c r="DT75" s="2">
        <v>176.0</v>
      </c>
      <c r="DU75" s="2">
        <v>1.0</v>
      </c>
      <c r="DV75" s="2">
        <v>2.0</v>
      </c>
      <c r="DW75" s="2">
        <v>0.0</v>
      </c>
      <c r="DX75" s="2">
        <v>0.0</v>
      </c>
      <c r="DY75" s="2">
        <v>0.0</v>
      </c>
      <c r="DZ75" s="2">
        <v>2.0</v>
      </c>
      <c r="EA75" s="2">
        <v>28.0</v>
      </c>
      <c r="EB75" s="2">
        <v>0.0</v>
      </c>
      <c r="EC75" s="2">
        <v>148.0</v>
      </c>
      <c r="EE75" s="2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2">
        <v>2025.0</v>
      </c>
      <c r="B76" s="2">
        <v>3.0</v>
      </c>
      <c r="C76" s="2" t="s">
        <v>138</v>
      </c>
      <c r="D76" s="2" t="s">
        <v>390</v>
      </c>
      <c r="E76" s="2" t="s">
        <v>637</v>
      </c>
      <c r="F76" s="2" t="s">
        <v>144</v>
      </c>
      <c r="G76" s="2">
        <v>19.0</v>
      </c>
      <c r="H76" s="2">
        <v>27.0</v>
      </c>
      <c r="I76" s="2">
        <v>140.0</v>
      </c>
      <c r="J76" s="2">
        <v>1.0</v>
      </c>
      <c r="K76" s="2">
        <v>2.0</v>
      </c>
      <c r="L76" s="2">
        <v>4.0</v>
      </c>
      <c r="M76" s="2">
        <v>-22.0</v>
      </c>
      <c r="N76" s="2">
        <v>0.0</v>
      </c>
      <c r="O76" s="2">
        <v>0.0</v>
      </c>
      <c r="P76" s="2">
        <v>129.0</v>
      </c>
      <c r="Q76" s="2">
        <v>84.0</v>
      </c>
      <c r="R76" s="2">
        <v>6.0</v>
      </c>
      <c r="S76" s="2">
        <v>-19.3095454765283</v>
      </c>
      <c r="T76" s="2">
        <v>0.361257447646214</v>
      </c>
      <c r="U76" s="2">
        <v>0.0</v>
      </c>
      <c r="V76" s="2">
        <v>5.0</v>
      </c>
      <c r="W76" s="2">
        <v>2.0</v>
      </c>
      <c r="X76" s="2">
        <v>1.0</v>
      </c>
      <c r="Y76" s="2">
        <v>0.0</v>
      </c>
      <c r="Z76" s="2">
        <v>21.0</v>
      </c>
      <c r="AA76" s="2">
        <v>53.0</v>
      </c>
      <c r="AB76" s="2">
        <v>0.0</v>
      </c>
      <c r="AC76" s="2">
        <v>2.0</v>
      </c>
      <c r="AD76" s="2">
        <v>1.0</v>
      </c>
      <c r="AE76" s="2">
        <v>3.0</v>
      </c>
      <c r="AF76" s="2">
        <v>-7.13378103642026</v>
      </c>
      <c r="AG76" s="2">
        <v>0.0</v>
      </c>
      <c r="AH76" s="2">
        <v>1.0</v>
      </c>
      <c r="AI76" s="2">
        <v>1.0</v>
      </c>
      <c r="AJ76" s="2">
        <v>0.0</v>
      </c>
      <c r="AK76" s="2">
        <v>0.0</v>
      </c>
      <c r="AL76" s="2">
        <v>19.0</v>
      </c>
      <c r="AM76" s="2">
        <v>26.0</v>
      </c>
      <c r="AN76" s="2">
        <v>140.0</v>
      </c>
      <c r="AO76" s="2">
        <v>1.0</v>
      </c>
      <c r="AP76" s="2">
        <v>3.0</v>
      </c>
      <c r="AQ76" s="2">
        <v>2.0</v>
      </c>
      <c r="AR76" s="2">
        <v>129.0</v>
      </c>
      <c r="AS76" s="2">
        <v>84.0</v>
      </c>
      <c r="AT76" s="2">
        <v>6.0</v>
      </c>
      <c r="AU76" s="2">
        <v>-25.6260419471222</v>
      </c>
      <c r="AV76" s="2">
        <v>0.0</v>
      </c>
      <c r="AW76" s="2">
        <v>5.0</v>
      </c>
      <c r="AX76" s="2">
        <v>2.0</v>
      </c>
      <c r="AY76" s="2">
        <v>1.0</v>
      </c>
      <c r="AZ76" s="2">
        <v>0.0</v>
      </c>
      <c r="BA76" s="2">
        <v>0.0</v>
      </c>
      <c r="BB76" s="2">
        <v>40.0</v>
      </c>
      <c r="BC76" s="2">
        <v>1.0</v>
      </c>
      <c r="BD76" s="2">
        <v>31.0</v>
      </c>
      <c r="BE76" s="2">
        <v>3.0</v>
      </c>
      <c r="BF76" s="2">
        <v>10.0</v>
      </c>
      <c r="BG76" s="2">
        <v>1.0</v>
      </c>
      <c r="BH76" s="2">
        <v>3.0</v>
      </c>
      <c r="BI76" s="2">
        <v>19.0</v>
      </c>
      <c r="BJ76" s="2">
        <v>5.0</v>
      </c>
      <c r="BK76" s="2">
        <v>0.0</v>
      </c>
      <c r="BL76" s="2">
        <v>0.0</v>
      </c>
      <c r="BM76" s="2">
        <v>1.0</v>
      </c>
      <c r="BN76" s="2">
        <v>0.0</v>
      </c>
      <c r="BO76" s="2">
        <v>0.0</v>
      </c>
      <c r="BP76" s="2">
        <v>0.0</v>
      </c>
      <c r="BQ76" s="2">
        <v>0.0</v>
      </c>
      <c r="BR76" s="2">
        <v>2.0</v>
      </c>
      <c r="BS76" s="2">
        <v>0.0</v>
      </c>
      <c r="BT76" s="2">
        <v>0.0</v>
      </c>
      <c r="BU76" s="2">
        <v>0.0</v>
      </c>
      <c r="BV76" s="2">
        <v>0.0</v>
      </c>
      <c r="BW76" s="2">
        <v>4.0</v>
      </c>
      <c r="BX76" s="2">
        <v>45.0</v>
      </c>
      <c r="BY76" s="2">
        <v>4.0</v>
      </c>
      <c r="BZ76" s="2">
        <v>5.0</v>
      </c>
      <c r="CA76" s="2">
        <v>0.0</v>
      </c>
      <c r="CB76" s="2">
        <v>0.0</v>
      </c>
      <c r="CC76" s="2">
        <v>5.0</v>
      </c>
      <c r="CD76" s="2">
        <v>3.0</v>
      </c>
      <c r="CE76" s="2">
        <v>1.0</v>
      </c>
      <c r="CF76" s="2">
        <v>9.0</v>
      </c>
      <c r="CG76" s="2">
        <v>7.0</v>
      </c>
      <c r="CH76" s="2">
        <v>149.0</v>
      </c>
      <c r="CI76" s="2">
        <v>1.0</v>
      </c>
      <c r="CJ76" s="2">
        <v>1.0</v>
      </c>
      <c r="CK76" s="2">
        <v>0.0</v>
      </c>
      <c r="CL76" s="2">
        <v>0.0</v>
      </c>
      <c r="CM76" s="2">
        <v>45.0</v>
      </c>
      <c r="CN76" s="2">
        <v>1.0</v>
      </c>
      <c r="CO76" s="2">
        <v>0.0</v>
      </c>
      <c r="CP76" s="2">
        <v>0.0</v>
      </c>
      <c r="CQ76" s="2">
        <v>0.0</v>
      </c>
      <c r="CR76" s="2">
        <v>1.0</v>
      </c>
      <c r="CS76" s="2">
        <v>0.0</v>
      </c>
      <c r="CT76" s="2">
        <v>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 t="s">
        <v>1969</v>
      </c>
      <c r="DD76" s="2">
        <v>45.0</v>
      </c>
      <c r="DE76" s="2">
        <v>0.0</v>
      </c>
      <c r="DF76" s="2">
        <v>0.0</v>
      </c>
      <c r="DG76" s="2">
        <v>1.0</v>
      </c>
      <c r="DH76" s="2">
        <v>1.0</v>
      </c>
      <c r="DI76" s="2">
        <v>0.0</v>
      </c>
      <c r="DJ76" s="2">
        <v>0.0</v>
      </c>
      <c r="DK76" s="2">
        <v>1.0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6.0</v>
      </c>
      <c r="DR76" s="2">
        <v>0.0</v>
      </c>
      <c r="DS76" s="2">
        <v>70.0</v>
      </c>
      <c r="DT76" s="2">
        <v>328.0</v>
      </c>
      <c r="DU76" s="2">
        <v>1.0</v>
      </c>
      <c r="DV76" s="2">
        <v>1.0</v>
      </c>
      <c r="DW76" s="2">
        <v>0.0</v>
      </c>
      <c r="DX76" s="2">
        <v>0.0</v>
      </c>
      <c r="DY76" s="2">
        <v>0.0</v>
      </c>
      <c r="DZ76" s="2">
        <v>5.0</v>
      </c>
      <c r="EA76" s="2">
        <v>68.0</v>
      </c>
      <c r="EB76" s="2">
        <v>0.0</v>
      </c>
      <c r="EC76" s="2">
        <v>260.0</v>
      </c>
      <c r="EE76" s="2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2">
        <v>2025.0</v>
      </c>
      <c r="B77" s="2">
        <v>3.0</v>
      </c>
      <c r="C77" s="2" t="s">
        <v>196</v>
      </c>
      <c r="D77" s="2" t="s">
        <v>390</v>
      </c>
      <c r="E77" s="2" t="s">
        <v>633</v>
      </c>
      <c r="F77" s="2" t="s">
        <v>205</v>
      </c>
      <c r="G77" s="2">
        <v>21.0</v>
      </c>
      <c r="H77" s="2">
        <v>36.0</v>
      </c>
      <c r="I77" s="2">
        <v>142.0</v>
      </c>
      <c r="J77" s="2">
        <v>0.0</v>
      </c>
      <c r="K77" s="2">
        <v>1.0</v>
      </c>
      <c r="L77" s="2">
        <v>2.0</v>
      </c>
      <c r="M77" s="2">
        <v>-17.0</v>
      </c>
      <c r="N77" s="2">
        <v>0.0</v>
      </c>
      <c r="O77" s="2">
        <v>0.0</v>
      </c>
      <c r="P77" s="2">
        <v>254.0</v>
      </c>
      <c r="Q77" s="2">
        <v>68.0</v>
      </c>
      <c r="R77" s="2">
        <v>7.0</v>
      </c>
      <c r="S77" s="2">
        <v>-8.7097985782642</v>
      </c>
      <c r="T77" s="2">
        <v>-3.43583944168958</v>
      </c>
      <c r="U77" s="2">
        <v>0.0</v>
      </c>
      <c r="V77" s="2">
        <v>6.0</v>
      </c>
      <c r="W77" s="2">
        <v>2.0</v>
      </c>
      <c r="X77" s="2">
        <v>0.0</v>
      </c>
      <c r="Y77" s="2">
        <v>0.0</v>
      </c>
      <c r="Z77" s="2">
        <v>19.0</v>
      </c>
      <c r="AA77" s="2">
        <v>96.0</v>
      </c>
      <c r="AB77" s="2">
        <v>1.0</v>
      </c>
      <c r="AC77" s="2">
        <v>0.0</v>
      </c>
      <c r="AD77" s="2">
        <v>0.0</v>
      </c>
      <c r="AE77" s="2">
        <v>5.0</v>
      </c>
      <c r="AF77" s="2">
        <v>0.683843076680205</v>
      </c>
      <c r="AG77" s="2">
        <v>0.0</v>
      </c>
      <c r="AH77" s="2">
        <v>2.0</v>
      </c>
      <c r="AI77" s="2">
        <v>2.0</v>
      </c>
      <c r="AJ77" s="2">
        <v>1.0</v>
      </c>
      <c r="AK77" s="2">
        <v>0.0</v>
      </c>
      <c r="AL77" s="2">
        <v>21.0</v>
      </c>
      <c r="AM77" s="2">
        <v>33.0</v>
      </c>
      <c r="AN77" s="2">
        <v>142.0</v>
      </c>
      <c r="AO77" s="2">
        <v>0.0</v>
      </c>
      <c r="AP77" s="2">
        <v>0.0</v>
      </c>
      <c r="AQ77" s="2">
        <v>0.0</v>
      </c>
      <c r="AR77" s="2">
        <v>254.0</v>
      </c>
      <c r="AS77" s="2">
        <v>68.0</v>
      </c>
      <c r="AT77" s="2">
        <v>7.0</v>
      </c>
      <c r="AU77" s="2">
        <v>-3.45803629244441</v>
      </c>
      <c r="AV77" s="2">
        <v>0.0</v>
      </c>
      <c r="AW77" s="2">
        <v>6.0</v>
      </c>
      <c r="AX77" s="2">
        <v>2.0</v>
      </c>
      <c r="AY77" s="2">
        <v>0.0</v>
      </c>
      <c r="AZ77" s="2">
        <v>0.0</v>
      </c>
      <c r="BA77" s="2">
        <v>0.0</v>
      </c>
      <c r="BB77" s="2">
        <v>35.0</v>
      </c>
      <c r="BC77" s="2">
        <v>6.0</v>
      </c>
      <c r="BD77" s="2">
        <v>36.0</v>
      </c>
      <c r="BE77" s="2">
        <v>6.0</v>
      </c>
      <c r="BF77" s="2">
        <v>26.0</v>
      </c>
      <c r="BG77" s="2">
        <v>1.0</v>
      </c>
      <c r="BH77" s="2">
        <v>5.0</v>
      </c>
      <c r="BI77" s="2">
        <v>34.0</v>
      </c>
      <c r="BJ77" s="2">
        <v>7.0</v>
      </c>
      <c r="BK77" s="2">
        <v>1.0</v>
      </c>
      <c r="BL77" s="2">
        <v>25.0</v>
      </c>
      <c r="BM77" s="2">
        <v>2.0</v>
      </c>
      <c r="BN77" s="2">
        <v>0.0</v>
      </c>
      <c r="BO77" s="2">
        <v>0.0</v>
      </c>
      <c r="BP77" s="2">
        <v>0.0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</v>
      </c>
      <c r="BW77" s="2">
        <v>8.0</v>
      </c>
      <c r="BX77" s="2">
        <v>90.0</v>
      </c>
      <c r="BY77" s="2">
        <v>5.0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2.0</v>
      </c>
      <c r="CF77" s="2">
        <v>15.0</v>
      </c>
      <c r="CG77" s="2">
        <v>2.0</v>
      </c>
      <c r="CH77" s="2">
        <v>55.0</v>
      </c>
      <c r="CI77" s="2">
        <v>2.0</v>
      </c>
      <c r="CJ77" s="2">
        <v>2.0</v>
      </c>
      <c r="CK77" s="2">
        <v>0.0</v>
      </c>
      <c r="CL77" s="2">
        <v>0.0</v>
      </c>
      <c r="CM77" s="2">
        <v>55.0</v>
      </c>
      <c r="CN77" s="2">
        <v>1.0</v>
      </c>
      <c r="CO77" s="2">
        <v>0.0</v>
      </c>
      <c r="CP77" s="2">
        <v>0.0</v>
      </c>
      <c r="CQ77" s="2">
        <v>1.0</v>
      </c>
      <c r="CR77" s="2">
        <v>0.0</v>
      </c>
      <c r="CS77" s="2">
        <v>1.0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 t="s">
        <v>2029</v>
      </c>
      <c r="DD77" s="2">
        <v>90.0</v>
      </c>
      <c r="DE77" s="2">
        <v>0.0</v>
      </c>
      <c r="DF77" s="2">
        <v>0.0</v>
      </c>
      <c r="DG77" s="2">
        <v>1.0</v>
      </c>
      <c r="DH77" s="2">
        <v>1.0</v>
      </c>
      <c r="DI77" s="2">
        <v>0.0</v>
      </c>
      <c r="DJ77" s="2">
        <v>0.0</v>
      </c>
      <c r="DK77" s="2">
        <v>1.0</v>
      </c>
      <c r="DL77" s="2">
        <v>1.0</v>
      </c>
      <c r="DM77" s="2">
        <v>1.0</v>
      </c>
      <c r="DN77" s="2">
        <v>0.0</v>
      </c>
      <c r="DO77" s="2">
        <v>0.0</v>
      </c>
      <c r="DP77" s="2">
        <v>55.0</v>
      </c>
      <c r="DQ77" s="2">
        <v>6.0</v>
      </c>
      <c r="DR77" s="2">
        <v>0.0</v>
      </c>
      <c r="DS77" s="2">
        <v>58.0</v>
      </c>
      <c r="DT77" s="2">
        <v>291.0</v>
      </c>
      <c r="DU77" s="2">
        <v>2.0</v>
      </c>
      <c r="DV77" s="2">
        <v>1.0</v>
      </c>
      <c r="DW77" s="2">
        <v>1.0</v>
      </c>
      <c r="DX77" s="2">
        <v>2.0</v>
      </c>
      <c r="DY77" s="2">
        <v>0.0</v>
      </c>
      <c r="DZ77" s="2">
        <v>2.0</v>
      </c>
      <c r="EA77" s="2">
        <v>8.0</v>
      </c>
      <c r="EB77" s="2">
        <v>0.0</v>
      </c>
      <c r="EC77" s="2">
        <v>243.0</v>
      </c>
      <c r="EE77" s="2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2">
        <v>2025.0</v>
      </c>
      <c r="B78" s="2">
        <v>3.0</v>
      </c>
      <c r="C78" s="2" t="s">
        <v>146</v>
      </c>
      <c r="D78" s="2" t="s">
        <v>390</v>
      </c>
      <c r="E78" s="2" t="s">
        <v>663</v>
      </c>
      <c r="F78" s="2" t="s">
        <v>137</v>
      </c>
      <c r="G78" s="2">
        <v>34.0</v>
      </c>
      <c r="H78" s="2">
        <v>45.0</v>
      </c>
      <c r="I78" s="2">
        <v>292.0</v>
      </c>
      <c r="J78" s="2">
        <v>1.0</v>
      </c>
      <c r="K78" s="2">
        <v>3.0</v>
      </c>
      <c r="L78" s="2">
        <v>2.0</v>
      </c>
      <c r="M78" s="2">
        <v>-17.0</v>
      </c>
      <c r="N78" s="2">
        <v>0.0</v>
      </c>
      <c r="O78" s="2">
        <v>0.0</v>
      </c>
      <c r="P78" s="2">
        <v>268.0</v>
      </c>
      <c r="Q78" s="2">
        <v>117.0</v>
      </c>
      <c r="R78" s="2">
        <v>14.0</v>
      </c>
      <c r="S78" s="2">
        <v>-2.62258561351191</v>
      </c>
      <c r="T78" s="2">
        <v>10.1819475266066</v>
      </c>
      <c r="U78" s="2">
        <v>1.0</v>
      </c>
      <c r="V78" s="2">
        <v>10.0</v>
      </c>
      <c r="W78" s="2">
        <v>5.0</v>
      </c>
      <c r="X78" s="2">
        <v>4.0</v>
      </c>
      <c r="Y78" s="2">
        <v>0.0</v>
      </c>
      <c r="Z78" s="2">
        <v>20.0</v>
      </c>
      <c r="AA78" s="2">
        <v>121.0</v>
      </c>
      <c r="AB78" s="2">
        <v>0.0</v>
      </c>
      <c r="AC78" s="2">
        <v>1.0</v>
      </c>
      <c r="AD78" s="2">
        <v>1.0</v>
      </c>
      <c r="AE78" s="2">
        <v>6.0</v>
      </c>
      <c r="AF78" s="2">
        <v>-0.0649206715170294</v>
      </c>
      <c r="AG78" s="2">
        <v>0.0</v>
      </c>
      <c r="AH78" s="2">
        <v>1.0</v>
      </c>
      <c r="AI78" s="2">
        <v>1.0</v>
      </c>
      <c r="AJ78" s="2">
        <v>1.0</v>
      </c>
      <c r="AK78" s="2">
        <v>0.0</v>
      </c>
      <c r="AL78" s="2">
        <v>34.0</v>
      </c>
      <c r="AM78" s="2">
        <v>44.0</v>
      </c>
      <c r="AN78" s="2">
        <v>292.0</v>
      </c>
      <c r="AO78" s="2">
        <v>1.0</v>
      </c>
      <c r="AP78" s="2">
        <v>0.0</v>
      </c>
      <c r="AQ78" s="2">
        <v>0.0</v>
      </c>
      <c r="AR78" s="2">
        <v>268.0</v>
      </c>
      <c r="AS78" s="2">
        <v>117.0</v>
      </c>
      <c r="AT78" s="2">
        <v>14.0</v>
      </c>
      <c r="AU78" s="2">
        <v>1.76298427931178</v>
      </c>
      <c r="AV78" s="2">
        <v>1.0</v>
      </c>
      <c r="AW78" s="2">
        <v>10.0</v>
      </c>
      <c r="AX78" s="2">
        <v>5.0</v>
      </c>
      <c r="AY78" s="2">
        <v>4.0</v>
      </c>
      <c r="AZ78" s="2">
        <v>0.0</v>
      </c>
      <c r="BA78" s="2">
        <v>0.0</v>
      </c>
      <c r="BB78" s="2">
        <v>36.0</v>
      </c>
      <c r="BC78" s="2">
        <v>1.0</v>
      </c>
      <c r="BD78" s="2">
        <v>23.0</v>
      </c>
      <c r="BE78" s="2">
        <v>4.0</v>
      </c>
      <c r="BF78" s="2">
        <v>20.0</v>
      </c>
      <c r="BG78" s="2">
        <v>0.0</v>
      </c>
      <c r="BH78" s="2">
        <v>0.0</v>
      </c>
      <c r="BI78" s="2">
        <v>0.0</v>
      </c>
      <c r="BJ78" s="2">
        <v>1.0</v>
      </c>
      <c r="BK78" s="2">
        <v>0.0</v>
      </c>
      <c r="BL78" s="2">
        <v>0.0</v>
      </c>
      <c r="BM78" s="2">
        <v>3.0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0.0</v>
      </c>
      <c r="BU78" s="2">
        <v>0.0</v>
      </c>
      <c r="BV78" s="2">
        <v>0.0</v>
      </c>
      <c r="BW78" s="2">
        <v>4.0</v>
      </c>
      <c r="BX78" s="2">
        <v>25.0</v>
      </c>
      <c r="BY78" s="2">
        <v>6.0</v>
      </c>
      <c r="BZ78" s="2">
        <v>1.0</v>
      </c>
      <c r="CA78" s="2">
        <v>0.0</v>
      </c>
      <c r="CB78" s="2">
        <v>0.0</v>
      </c>
      <c r="CC78" s="2">
        <v>1.0</v>
      </c>
      <c r="CD78" s="2">
        <v>1.0</v>
      </c>
      <c r="CE78" s="2">
        <v>2.0</v>
      </c>
      <c r="CF78" s="2">
        <v>28.0</v>
      </c>
      <c r="CG78" s="2">
        <v>4.0</v>
      </c>
      <c r="CH78" s="2">
        <v>93.0</v>
      </c>
      <c r="CI78" s="2">
        <v>2.0</v>
      </c>
      <c r="CJ78" s="2">
        <v>2.0</v>
      </c>
      <c r="CK78" s="2">
        <v>0.0</v>
      </c>
      <c r="CL78" s="2">
        <v>0.0</v>
      </c>
      <c r="CM78" s="2">
        <v>53.0</v>
      </c>
      <c r="CN78" s="2">
        <v>1.0</v>
      </c>
      <c r="CO78" s="2">
        <v>0.0</v>
      </c>
      <c r="CP78" s="2">
        <v>0.0</v>
      </c>
      <c r="CQ78" s="2">
        <v>1.0</v>
      </c>
      <c r="CR78" s="2">
        <v>0.0</v>
      </c>
      <c r="CS78" s="2">
        <v>1.0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 t="s">
        <v>2030</v>
      </c>
      <c r="DD78" s="2">
        <v>86.0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2.0</v>
      </c>
      <c r="DR78" s="2">
        <v>0.0</v>
      </c>
      <c r="DS78" s="2">
        <v>60.0</v>
      </c>
      <c r="DT78" s="2">
        <v>102.0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2.0</v>
      </c>
      <c r="EA78" s="2">
        <v>31.0</v>
      </c>
      <c r="EB78" s="2">
        <v>0.0</v>
      </c>
      <c r="EC78" s="2">
        <v>71.0</v>
      </c>
      <c r="EE78" s="2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2">
        <v>2025.0</v>
      </c>
      <c r="B79" s="2">
        <v>3.0</v>
      </c>
      <c r="C79" s="2" t="s">
        <v>139</v>
      </c>
      <c r="D79" s="2" t="s">
        <v>390</v>
      </c>
      <c r="E79" s="2" t="s">
        <v>659</v>
      </c>
      <c r="F79" s="2" t="s">
        <v>220</v>
      </c>
      <c r="G79" s="2">
        <v>14.0</v>
      </c>
      <c r="H79" s="2">
        <v>25.0</v>
      </c>
      <c r="I79" s="2">
        <v>153.0</v>
      </c>
      <c r="J79" s="2">
        <v>1.0</v>
      </c>
      <c r="K79" s="2">
        <v>0.0</v>
      </c>
      <c r="L79" s="2">
        <v>2.0</v>
      </c>
      <c r="M79" s="2">
        <v>-6.0</v>
      </c>
      <c r="N79" s="2">
        <v>0.0</v>
      </c>
      <c r="O79" s="2">
        <v>0.0</v>
      </c>
      <c r="P79" s="2">
        <v>269.0</v>
      </c>
      <c r="Q79" s="2">
        <v>84.0</v>
      </c>
      <c r="R79" s="2">
        <v>5.0</v>
      </c>
      <c r="S79" s="2">
        <v>-1.52553227478938</v>
      </c>
      <c r="T79" s="2">
        <v>-8.01634334999582</v>
      </c>
      <c r="U79" s="2">
        <v>0.0</v>
      </c>
      <c r="V79" s="2">
        <v>4.0</v>
      </c>
      <c r="W79" s="2">
        <v>3.0</v>
      </c>
      <c r="X79" s="2">
        <v>2.0</v>
      </c>
      <c r="Y79" s="2">
        <v>1.0</v>
      </c>
      <c r="Z79" s="2">
        <v>21.0</v>
      </c>
      <c r="AA79" s="2">
        <v>118.0</v>
      </c>
      <c r="AB79" s="2">
        <v>1.0</v>
      </c>
      <c r="AC79" s="2">
        <v>0.0</v>
      </c>
      <c r="AD79" s="2">
        <v>0.0</v>
      </c>
      <c r="AE79" s="2">
        <v>3.0</v>
      </c>
      <c r="AF79" s="2">
        <v>-0.645614653709345</v>
      </c>
      <c r="AG79" s="2">
        <v>0.0</v>
      </c>
      <c r="AH79" s="2">
        <v>4.0</v>
      </c>
      <c r="AI79" s="2">
        <v>3.0</v>
      </c>
      <c r="AJ79" s="2">
        <v>1.0</v>
      </c>
      <c r="AK79" s="2">
        <v>1.0</v>
      </c>
      <c r="AL79" s="2">
        <v>14.0</v>
      </c>
      <c r="AM79" s="2">
        <v>23.0</v>
      </c>
      <c r="AN79" s="2">
        <v>153.0</v>
      </c>
      <c r="AO79" s="2">
        <v>1.0</v>
      </c>
      <c r="AP79" s="2">
        <v>0.0</v>
      </c>
      <c r="AQ79" s="2">
        <v>0.0</v>
      </c>
      <c r="AR79" s="2">
        <v>269.0</v>
      </c>
      <c r="AS79" s="2">
        <v>84.0</v>
      </c>
      <c r="AT79" s="2">
        <v>5.0</v>
      </c>
      <c r="AU79" s="2">
        <v>1.4886424657393</v>
      </c>
      <c r="AV79" s="2">
        <v>0.0</v>
      </c>
      <c r="AW79" s="2">
        <v>4.0</v>
      </c>
      <c r="AX79" s="2">
        <v>3.0</v>
      </c>
      <c r="AY79" s="2">
        <v>2.0</v>
      </c>
      <c r="AZ79" s="2">
        <v>1.0</v>
      </c>
      <c r="BA79" s="2">
        <v>0.0</v>
      </c>
      <c r="BB79" s="2">
        <v>45.0</v>
      </c>
      <c r="BC79" s="2">
        <v>1.0</v>
      </c>
      <c r="BD79" s="2">
        <v>43.0</v>
      </c>
      <c r="BE79" s="2">
        <v>7.0</v>
      </c>
      <c r="BF79" s="2">
        <v>37.0</v>
      </c>
      <c r="BG79" s="2">
        <v>2.0</v>
      </c>
      <c r="BH79" s="2">
        <v>5.0</v>
      </c>
      <c r="BI79" s="2">
        <v>30.0</v>
      </c>
      <c r="BJ79" s="2">
        <v>14.0</v>
      </c>
      <c r="BK79" s="2">
        <v>1.0</v>
      </c>
      <c r="BL79" s="2">
        <v>0.0</v>
      </c>
      <c r="BM79" s="2">
        <v>7.0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1.0</v>
      </c>
      <c r="BU79" s="2">
        <v>0.0</v>
      </c>
      <c r="BV79" s="2">
        <v>0.0</v>
      </c>
      <c r="BW79" s="2">
        <v>10.0</v>
      </c>
      <c r="BX79" s="2">
        <v>90.0</v>
      </c>
      <c r="BY79" s="2">
        <v>5.0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2.0</v>
      </c>
      <c r="CF79" s="2">
        <v>56.0</v>
      </c>
      <c r="CG79" s="2">
        <v>5.0</v>
      </c>
      <c r="CH79" s="2">
        <v>141.0</v>
      </c>
      <c r="CI79" s="2">
        <v>2.0</v>
      </c>
      <c r="CJ79" s="2">
        <v>2.0</v>
      </c>
      <c r="CK79" s="2">
        <v>0.0</v>
      </c>
      <c r="CL79" s="2">
        <v>0.0</v>
      </c>
      <c r="CM79" s="2">
        <v>42.0</v>
      </c>
      <c r="CN79" s="2">
        <v>1.0</v>
      </c>
      <c r="CO79" s="2">
        <v>0.0</v>
      </c>
      <c r="CP79" s="2">
        <v>1.0</v>
      </c>
      <c r="CQ79" s="2">
        <v>0.0</v>
      </c>
      <c r="CR79" s="2">
        <v>1.0</v>
      </c>
      <c r="CS79" s="2">
        <v>0.0</v>
      </c>
      <c r="CT79" s="2">
        <v>0.0</v>
      </c>
      <c r="CU79" s="2">
        <v>0.0</v>
      </c>
      <c r="CV79" s="2">
        <v>0.0</v>
      </c>
      <c r="CW79" s="2">
        <v>0.0</v>
      </c>
      <c r="CX79" s="2">
        <v>0.0</v>
      </c>
      <c r="CY79" s="2">
        <v>0.0</v>
      </c>
      <c r="CZ79" s="2">
        <v>0.0</v>
      </c>
      <c r="DA79" s="2" t="s">
        <v>2031</v>
      </c>
      <c r="DD79" s="2">
        <v>68.0</v>
      </c>
      <c r="DE79" s="2">
        <v>0.0</v>
      </c>
      <c r="DF79" s="2">
        <v>0.0</v>
      </c>
      <c r="DG79" s="2">
        <v>2.0</v>
      </c>
      <c r="DH79" s="2">
        <v>2.0</v>
      </c>
      <c r="DI79" s="2">
        <v>0.0</v>
      </c>
      <c r="DJ79" s="2">
        <v>0.0</v>
      </c>
      <c r="DK79" s="2">
        <v>1.0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7.0</v>
      </c>
      <c r="DR79" s="2">
        <v>0.0</v>
      </c>
      <c r="DS79" s="2">
        <v>56.0</v>
      </c>
      <c r="DT79" s="2">
        <v>330.0</v>
      </c>
      <c r="DU79" s="2">
        <v>3.0</v>
      </c>
      <c r="DV79" s="2">
        <v>0.0</v>
      </c>
      <c r="DW79" s="2">
        <v>0.0</v>
      </c>
      <c r="DX79" s="2">
        <v>0.0</v>
      </c>
      <c r="DY79" s="2">
        <v>4.0</v>
      </c>
      <c r="DZ79" s="2">
        <v>3.0</v>
      </c>
      <c r="EA79" s="2">
        <v>50.0</v>
      </c>
      <c r="EB79" s="2">
        <v>0.0</v>
      </c>
      <c r="EC79" s="2">
        <v>280.0</v>
      </c>
      <c r="EE79" s="2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2">
        <v>2025.0</v>
      </c>
      <c r="B80" s="2">
        <v>3.0</v>
      </c>
      <c r="C80" s="2" t="s">
        <v>202</v>
      </c>
      <c r="D80" s="2" t="s">
        <v>390</v>
      </c>
      <c r="E80" s="2" t="s">
        <v>671</v>
      </c>
      <c r="F80" s="2" t="s">
        <v>148</v>
      </c>
      <c r="G80" s="2">
        <v>20.0</v>
      </c>
      <c r="H80" s="2">
        <v>28.0</v>
      </c>
      <c r="I80" s="2">
        <v>202.0</v>
      </c>
      <c r="J80" s="2">
        <v>1.0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211.0</v>
      </c>
      <c r="Q80" s="2">
        <v>69.0</v>
      </c>
      <c r="R80" s="2">
        <v>11.0</v>
      </c>
      <c r="S80" s="2">
        <v>14.249866356457</v>
      </c>
      <c r="T80" s="2">
        <v>12.9774356117615</v>
      </c>
      <c r="U80" s="2">
        <v>0.0</v>
      </c>
      <c r="V80" s="2">
        <v>9.0</v>
      </c>
      <c r="W80" s="2">
        <v>5.0</v>
      </c>
      <c r="X80" s="2">
        <v>2.0</v>
      </c>
      <c r="Y80" s="2">
        <v>0.0</v>
      </c>
      <c r="Z80" s="2">
        <v>38.0</v>
      </c>
      <c r="AA80" s="2">
        <v>224.0</v>
      </c>
      <c r="AB80" s="2">
        <v>4.0</v>
      </c>
      <c r="AC80" s="2">
        <v>1.0</v>
      </c>
      <c r="AD80" s="2">
        <v>0.0</v>
      </c>
      <c r="AE80" s="2">
        <v>12.0</v>
      </c>
      <c r="AF80" s="2">
        <v>9.48179392589373</v>
      </c>
      <c r="AG80" s="2">
        <v>0.0</v>
      </c>
      <c r="AH80" s="2">
        <v>4.0</v>
      </c>
      <c r="AI80" s="2">
        <v>2.0</v>
      </c>
      <c r="AJ80" s="2">
        <v>2.0</v>
      </c>
      <c r="AK80" s="2">
        <v>1.0</v>
      </c>
      <c r="AL80" s="2">
        <v>20.0</v>
      </c>
      <c r="AM80" s="2">
        <v>26.0</v>
      </c>
      <c r="AN80" s="2">
        <v>202.0</v>
      </c>
      <c r="AO80" s="2">
        <v>1.0</v>
      </c>
      <c r="AP80" s="2">
        <v>0.0</v>
      </c>
      <c r="AQ80" s="2">
        <v>0.0</v>
      </c>
      <c r="AR80" s="2">
        <v>211.0</v>
      </c>
      <c r="AS80" s="2">
        <v>69.0</v>
      </c>
      <c r="AT80" s="2">
        <v>11.0</v>
      </c>
      <c r="AU80" s="2">
        <v>14.7601398848587</v>
      </c>
      <c r="AV80" s="2">
        <v>0.0</v>
      </c>
      <c r="AW80" s="2">
        <v>9.0</v>
      </c>
      <c r="AX80" s="2">
        <v>5.0</v>
      </c>
      <c r="AY80" s="2">
        <v>2.0</v>
      </c>
      <c r="AZ80" s="2">
        <v>0.0</v>
      </c>
      <c r="BA80" s="2">
        <v>0.0</v>
      </c>
      <c r="BB80" s="2">
        <v>41.0</v>
      </c>
      <c r="BC80" s="2">
        <v>0.0</v>
      </c>
      <c r="BD80" s="2">
        <v>14.0</v>
      </c>
      <c r="BE80" s="2">
        <v>6.0</v>
      </c>
      <c r="BF80" s="2">
        <v>40.0</v>
      </c>
      <c r="BG80" s="2">
        <v>2.0</v>
      </c>
      <c r="BH80" s="2">
        <v>7.0</v>
      </c>
      <c r="BI80" s="2">
        <v>55.0</v>
      </c>
      <c r="BJ80" s="2">
        <v>7.0</v>
      </c>
      <c r="BK80" s="2">
        <v>0.0</v>
      </c>
      <c r="BL80" s="2">
        <v>0.0</v>
      </c>
      <c r="BM80" s="2">
        <v>2.0</v>
      </c>
      <c r="BN80" s="2">
        <v>0.0</v>
      </c>
      <c r="BO80" s="2">
        <v>0.0</v>
      </c>
      <c r="BP80" s="2">
        <v>0.0</v>
      </c>
      <c r="BQ80" s="2">
        <v>0.0</v>
      </c>
      <c r="BR80" s="2">
        <v>1.0</v>
      </c>
      <c r="BS80" s="2">
        <v>-9.0</v>
      </c>
      <c r="BT80" s="2">
        <v>1.0</v>
      </c>
      <c r="BU80" s="2">
        <v>3.0</v>
      </c>
      <c r="BV80" s="2">
        <v>0.0</v>
      </c>
      <c r="BW80" s="2">
        <v>8.0</v>
      </c>
      <c r="BX80" s="2">
        <v>68.0</v>
      </c>
      <c r="BY80" s="2">
        <v>5.0</v>
      </c>
      <c r="BZ80" s="2">
        <v>0.0</v>
      </c>
      <c r="CA80" s="2">
        <v>1.0</v>
      </c>
      <c r="CB80" s="2">
        <v>0.0</v>
      </c>
      <c r="CC80" s="2">
        <v>1.0</v>
      </c>
      <c r="CD80" s="2">
        <v>0.0</v>
      </c>
      <c r="CE80" s="2">
        <v>1.0</v>
      </c>
      <c r="CF80" s="2">
        <v>0.0</v>
      </c>
      <c r="CG80" s="2">
        <v>4.0</v>
      </c>
      <c r="CH80" s="2">
        <v>110.0</v>
      </c>
      <c r="CI80" s="2">
        <v>1.0</v>
      </c>
      <c r="CJ80" s="2">
        <v>2.0</v>
      </c>
      <c r="CK80" s="2">
        <v>1.0</v>
      </c>
      <c r="CL80" s="2">
        <v>0.0</v>
      </c>
      <c r="CM80" s="2">
        <v>45.0</v>
      </c>
      <c r="CN80" s="2">
        <v>0.5</v>
      </c>
      <c r="CO80" s="2">
        <v>0.0</v>
      </c>
      <c r="CP80" s="2">
        <v>0.0</v>
      </c>
      <c r="CQ80" s="2">
        <v>0.0</v>
      </c>
      <c r="CR80" s="2">
        <v>1.0</v>
      </c>
      <c r="CS80" s="2">
        <v>0.0</v>
      </c>
      <c r="CT80" s="2">
        <v>0.0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1.0</v>
      </c>
      <c r="DA80" s="2" t="s">
        <v>1969</v>
      </c>
      <c r="DB80" s="2" t="s">
        <v>2032</v>
      </c>
      <c r="DD80" s="2">
        <v>45.0</v>
      </c>
      <c r="DE80" s="2">
        <v>67.0</v>
      </c>
      <c r="DF80" s="2">
        <v>0.0</v>
      </c>
      <c r="DG80" s="2">
        <v>5.0</v>
      </c>
      <c r="DH80" s="2">
        <v>5.0</v>
      </c>
      <c r="DI80" s="2">
        <v>0.0</v>
      </c>
      <c r="DJ80" s="2">
        <v>0.0</v>
      </c>
      <c r="DK80" s="2">
        <v>1.0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3.0</v>
      </c>
      <c r="DR80" s="2">
        <v>0.0</v>
      </c>
      <c r="DS80" s="2">
        <v>53.0</v>
      </c>
      <c r="DT80" s="2">
        <v>146.0</v>
      </c>
      <c r="DU80" s="2">
        <v>0.0</v>
      </c>
      <c r="DV80" s="2">
        <v>0.0</v>
      </c>
      <c r="DW80" s="2">
        <v>0.0</v>
      </c>
      <c r="DX80" s="2">
        <v>0.0</v>
      </c>
      <c r="DY80" s="2">
        <v>0.0</v>
      </c>
      <c r="DZ80" s="2">
        <v>3.0</v>
      </c>
      <c r="EA80" s="2">
        <v>31.0</v>
      </c>
      <c r="EB80" s="2">
        <v>0.0</v>
      </c>
      <c r="EC80" s="2">
        <v>115.0</v>
      </c>
      <c r="EE80" s="2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2">
        <v>2025.0</v>
      </c>
      <c r="B81" s="2">
        <v>3.0</v>
      </c>
      <c r="C81" s="2" t="s">
        <v>205</v>
      </c>
      <c r="D81" s="2" t="s">
        <v>390</v>
      </c>
      <c r="E81" s="2" t="s">
        <v>633</v>
      </c>
      <c r="F81" s="2" t="s">
        <v>196</v>
      </c>
      <c r="G81" s="2">
        <v>18.0</v>
      </c>
      <c r="H81" s="2">
        <v>25.0</v>
      </c>
      <c r="I81" s="2">
        <v>183.0</v>
      </c>
      <c r="J81" s="2">
        <v>1.0</v>
      </c>
      <c r="K81" s="2">
        <v>1.0</v>
      </c>
      <c r="L81" s="2">
        <v>5.0</v>
      </c>
      <c r="M81" s="2">
        <v>-34.0</v>
      </c>
      <c r="N81" s="2">
        <v>0.0</v>
      </c>
      <c r="O81" s="2">
        <v>0.0</v>
      </c>
      <c r="P81" s="2">
        <v>48.0</v>
      </c>
      <c r="Q81" s="2">
        <v>137.0</v>
      </c>
      <c r="R81" s="2">
        <v>8.0</v>
      </c>
      <c r="S81" s="2">
        <v>-0.942287220979445</v>
      </c>
      <c r="T81" s="2">
        <v>-2.67737114429474</v>
      </c>
      <c r="U81" s="2">
        <v>0.0</v>
      </c>
      <c r="V81" s="2">
        <v>5.0</v>
      </c>
      <c r="W81" s="2">
        <v>5.0</v>
      </c>
      <c r="X81" s="2">
        <v>2.0</v>
      </c>
      <c r="Y81" s="2">
        <v>0.0</v>
      </c>
      <c r="Z81" s="2">
        <v>31.0</v>
      </c>
      <c r="AA81" s="2">
        <v>81.0</v>
      </c>
      <c r="AB81" s="2">
        <v>0.0</v>
      </c>
      <c r="AC81" s="2">
        <v>1.0</v>
      </c>
      <c r="AD81" s="2">
        <v>0.0</v>
      </c>
      <c r="AE81" s="2">
        <v>4.0</v>
      </c>
      <c r="AF81" s="2">
        <v>-3.79987179852109</v>
      </c>
      <c r="AG81" s="2">
        <v>0.0</v>
      </c>
      <c r="AH81" s="2">
        <v>1.0</v>
      </c>
      <c r="AI81" s="2">
        <v>0.0</v>
      </c>
      <c r="AJ81" s="2">
        <v>0.0</v>
      </c>
      <c r="AK81" s="2">
        <v>0.0</v>
      </c>
      <c r="AL81" s="2">
        <v>18.0</v>
      </c>
      <c r="AM81" s="2">
        <v>25.0</v>
      </c>
      <c r="AN81" s="2">
        <v>183.0</v>
      </c>
      <c r="AO81" s="2">
        <v>1.0</v>
      </c>
      <c r="AP81" s="2">
        <v>0.0</v>
      </c>
      <c r="AQ81" s="2">
        <v>0.0</v>
      </c>
      <c r="AR81" s="2">
        <v>48.0</v>
      </c>
      <c r="AS81" s="2">
        <v>137.0</v>
      </c>
      <c r="AT81" s="2">
        <v>8.0</v>
      </c>
      <c r="AU81" s="2">
        <v>8.1326707635784</v>
      </c>
      <c r="AV81" s="2">
        <v>0.0</v>
      </c>
      <c r="AW81" s="2">
        <v>5.0</v>
      </c>
      <c r="AX81" s="2">
        <v>5.0</v>
      </c>
      <c r="AY81" s="2">
        <v>2.0</v>
      </c>
      <c r="AZ81" s="2">
        <v>0.0</v>
      </c>
      <c r="BA81" s="2">
        <v>0.0</v>
      </c>
      <c r="BB81" s="2">
        <v>30.0</v>
      </c>
      <c r="BC81" s="2">
        <v>4.0</v>
      </c>
      <c r="BD81" s="2">
        <v>28.0</v>
      </c>
      <c r="BE81" s="2">
        <v>5.0</v>
      </c>
      <c r="BF81" s="2">
        <v>24.0</v>
      </c>
      <c r="BG81" s="2">
        <v>0.0</v>
      </c>
      <c r="BH81" s="2">
        <v>2.0</v>
      </c>
      <c r="BI81" s="2">
        <v>17.0</v>
      </c>
      <c r="BJ81" s="2">
        <v>10.0</v>
      </c>
      <c r="BK81" s="2">
        <v>1.0</v>
      </c>
      <c r="BL81" s="2">
        <v>0.0</v>
      </c>
      <c r="BM81" s="2">
        <v>3.0</v>
      </c>
      <c r="BN81" s="2">
        <v>0.0</v>
      </c>
      <c r="BO81" s="2">
        <v>0.0</v>
      </c>
      <c r="BP81" s="2">
        <v>0.0</v>
      </c>
      <c r="BQ81" s="2">
        <v>0.0</v>
      </c>
      <c r="BR81" s="2">
        <v>1.0</v>
      </c>
      <c r="BS81" s="2">
        <v>0.0</v>
      </c>
      <c r="BT81" s="2">
        <v>0.0</v>
      </c>
      <c r="BU81" s="2">
        <v>0.0</v>
      </c>
      <c r="BV81" s="2">
        <v>0.0</v>
      </c>
      <c r="BW81" s="2">
        <v>14.0</v>
      </c>
      <c r="BX81" s="2">
        <v>75.0</v>
      </c>
      <c r="BY81" s="2">
        <v>6.0</v>
      </c>
      <c r="BZ81" s="2">
        <v>1.0</v>
      </c>
      <c r="CA81" s="2">
        <v>0.0</v>
      </c>
      <c r="CB81" s="2">
        <v>0.0</v>
      </c>
      <c r="CC81" s="2">
        <v>1.0</v>
      </c>
      <c r="CD81" s="2">
        <v>0.0</v>
      </c>
      <c r="CE81" s="2">
        <v>2.0</v>
      </c>
      <c r="CF81" s="2">
        <v>8.0</v>
      </c>
      <c r="CG81" s="2">
        <v>3.0</v>
      </c>
      <c r="CH81" s="2">
        <v>78.0</v>
      </c>
      <c r="CI81" s="2">
        <v>1.0</v>
      </c>
      <c r="CJ81" s="2">
        <v>2.0</v>
      </c>
      <c r="CK81" s="2">
        <v>0.0</v>
      </c>
      <c r="CL81" s="2">
        <v>1.0</v>
      </c>
      <c r="CM81" s="2">
        <v>39.0</v>
      </c>
      <c r="CN81" s="2">
        <v>0.5</v>
      </c>
      <c r="CO81" s="2">
        <v>0.0</v>
      </c>
      <c r="CP81" s="2">
        <v>0.0</v>
      </c>
      <c r="CQ81" s="2">
        <v>1.0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 t="s">
        <v>2026</v>
      </c>
      <c r="DC81" s="2" t="s">
        <v>2033</v>
      </c>
      <c r="DD81" s="2">
        <v>39.0</v>
      </c>
      <c r="DE81" s="2">
        <v>0.0</v>
      </c>
      <c r="DF81" s="2">
        <v>43.0</v>
      </c>
      <c r="DG81" s="2">
        <v>1.0</v>
      </c>
      <c r="DH81" s="2">
        <v>1.0</v>
      </c>
      <c r="DI81" s="2">
        <v>0.0</v>
      </c>
      <c r="DJ81" s="2">
        <v>0.0</v>
      </c>
      <c r="DK81" s="2">
        <v>1.0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5.0</v>
      </c>
      <c r="DR81" s="2">
        <v>0.0</v>
      </c>
      <c r="DS81" s="2">
        <v>63.0</v>
      </c>
      <c r="DT81" s="2">
        <v>265.0</v>
      </c>
      <c r="DU81" s="2">
        <v>0.0</v>
      </c>
      <c r="DV81" s="2">
        <v>0.0</v>
      </c>
      <c r="DW81" s="2">
        <v>0.0</v>
      </c>
      <c r="DX81" s="2">
        <v>1.0</v>
      </c>
      <c r="DY81" s="2">
        <v>2.0</v>
      </c>
      <c r="DZ81" s="2">
        <v>2.0</v>
      </c>
      <c r="EA81" s="2">
        <v>15.0</v>
      </c>
      <c r="EB81" s="2">
        <v>0.0</v>
      </c>
      <c r="EC81" s="2">
        <v>230.0</v>
      </c>
      <c r="EE81" s="2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2">
        <v>2025.0</v>
      </c>
      <c r="B82" s="2">
        <v>3.0</v>
      </c>
      <c r="C82" s="2" t="s">
        <v>140</v>
      </c>
      <c r="D82" s="2" t="s">
        <v>390</v>
      </c>
      <c r="E82" s="2" t="s">
        <v>635</v>
      </c>
      <c r="F82" s="2" t="s">
        <v>141</v>
      </c>
      <c r="G82" s="2">
        <v>25.0</v>
      </c>
      <c r="H82" s="2">
        <v>38.0</v>
      </c>
      <c r="I82" s="2">
        <v>204.0</v>
      </c>
      <c r="J82" s="2">
        <v>1.0</v>
      </c>
      <c r="K82" s="2">
        <v>2.0</v>
      </c>
      <c r="L82" s="2">
        <v>2.0</v>
      </c>
      <c r="M82" s="2">
        <v>-20.0</v>
      </c>
      <c r="N82" s="2">
        <v>0.0</v>
      </c>
      <c r="O82" s="2">
        <v>0.0</v>
      </c>
      <c r="P82" s="2">
        <v>288.0</v>
      </c>
      <c r="Q82" s="2">
        <v>91.0</v>
      </c>
      <c r="R82" s="2">
        <v>8.0</v>
      </c>
      <c r="S82" s="2">
        <v>-4.1903460337066</v>
      </c>
      <c r="T82" s="2">
        <v>1.46421301696036</v>
      </c>
      <c r="U82" s="2">
        <v>0.0</v>
      </c>
      <c r="V82" s="2">
        <v>8.0</v>
      </c>
      <c r="W82" s="2">
        <v>3.0</v>
      </c>
      <c r="X82" s="2">
        <v>1.0</v>
      </c>
      <c r="Y82" s="2">
        <v>1.0</v>
      </c>
      <c r="Z82" s="2">
        <v>19.0</v>
      </c>
      <c r="AA82" s="2">
        <v>87.0</v>
      </c>
      <c r="AB82" s="2">
        <v>0.0</v>
      </c>
      <c r="AC82" s="2">
        <v>0.0</v>
      </c>
      <c r="AD82" s="2">
        <v>0.0</v>
      </c>
      <c r="AE82" s="2">
        <v>2.0</v>
      </c>
      <c r="AF82" s="2">
        <v>-3.38236443832284</v>
      </c>
      <c r="AG82" s="2">
        <v>0.0</v>
      </c>
      <c r="AH82" s="2">
        <v>1.0</v>
      </c>
      <c r="AI82" s="2">
        <v>1.0</v>
      </c>
      <c r="AJ82" s="2">
        <v>0.0</v>
      </c>
      <c r="AK82" s="2">
        <v>0.0</v>
      </c>
      <c r="AL82" s="2">
        <v>25.0</v>
      </c>
      <c r="AM82" s="2">
        <v>36.0</v>
      </c>
      <c r="AN82" s="2">
        <v>204.0</v>
      </c>
      <c r="AO82" s="2">
        <v>1.0</v>
      </c>
      <c r="AP82" s="2">
        <v>1.0</v>
      </c>
      <c r="AQ82" s="2">
        <v>1.0</v>
      </c>
      <c r="AR82" s="2">
        <v>288.0</v>
      </c>
      <c r="AS82" s="2">
        <v>91.0</v>
      </c>
      <c r="AT82" s="2">
        <v>8.0</v>
      </c>
      <c r="AU82" s="2">
        <v>-4.07045055744079</v>
      </c>
      <c r="AV82" s="2">
        <v>0.0</v>
      </c>
      <c r="AW82" s="2">
        <v>8.0</v>
      </c>
      <c r="AX82" s="2">
        <v>3.0</v>
      </c>
      <c r="AY82" s="2">
        <v>1.0</v>
      </c>
      <c r="AZ82" s="2">
        <v>1.0</v>
      </c>
      <c r="BA82" s="2">
        <v>0.0</v>
      </c>
      <c r="BB82" s="2">
        <v>40.0</v>
      </c>
      <c r="BC82" s="2">
        <v>0.0</v>
      </c>
      <c r="BD82" s="2">
        <v>20.0</v>
      </c>
      <c r="BE82" s="2">
        <v>3.0</v>
      </c>
      <c r="BF82" s="2">
        <v>16.0</v>
      </c>
      <c r="BG82" s="2">
        <v>0.0</v>
      </c>
      <c r="BH82" s="2">
        <v>2.0</v>
      </c>
      <c r="BI82" s="2">
        <v>17.0</v>
      </c>
      <c r="BJ82" s="2">
        <v>5.0</v>
      </c>
      <c r="BK82" s="2">
        <v>1.0</v>
      </c>
      <c r="BL82" s="2">
        <v>0.0</v>
      </c>
      <c r="BM82" s="2">
        <v>7.0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7.0</v>
      </c>
      <c r="BX82" s="2">
        <v>66.0</v>
      </c>
      <c r="BY82" s="2">
        <v>3.0</v>
      </c>
      <c r="BZ82" s="2">
        <v>1.0</v>
      </c>
      <c r="CA82" s="2">
        <v>0.0</v>
      </c>
      <c r="CB82" s="2">
        <v>0.0</v>
      </c>
      <c r="CC82" s="2">
        <v>1.0</v>
      </c>
      <c r="CD82" s="2">
        <v>1.0</v>
      </c>
      <c r="CE82" s="2">
        <v>2.0</v>
      </c>
      <c r="CF82" s="2">
        <v>11.0</v>
      </c>
      <c r="CG82" s="2">
        <v>2.0</v>
      </c>
      <c r="CH82" s="2">
        <v>53.0</v>
      </c>
      <c r="CI82" s="2">
        <v>1.0</v>
      </c>
      <c r="CJ82" s="2">
        <v>2.0</v>
      </c>
      <c r="CK82" s="2">
        <v>1.0</v>
      </c>
      <c r="CL82" s="2">
        <v>0.0</v>
      </c>
      <c r="CM82" s="2">
        <v>27.0</v>
      </c>
      <c r="CN82" s="2">
        <v>0.5</v>
      </c>
      <c r="CO82" s="2">
        <v>0.0</v>
      </c>
      <c r="CP82" s="2">
        <v>1.0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1.0</v>
      </c>
      <c r="CZ82" s="2">
        <v>0.0</v>
      </c>
      <c r="DA82" s="2" t="s">
        <v>1992</v>
      </c>
      <c r="DB82" s="2" t="s">
        <v>2034</v>
      </c>
      <c r="DD82" s="2">
        <v>27.0</v>
      </c>
      <c r="DE82" s="2">
        <v>52.0</v>
      </c>
      <c r="DF82" s="2">
        <v>0.0</v>
      </c>
      <c r="DG82" s="2">
        <v>1.0</v>
      </c>
      <c r="DH82" s="2">
        <v>1.0</v>
      </c>
      <c r="DI82" s="2">
        <v>0.0</v>
      </c>
      <c r="DJ82" s="2">
        <v>0.0</v>
      </c>
      <c r="DK82" s="2">
        <v>1.0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6.0</v>
      </c>
      <c r="DR82" s="2">
        <v>0.0</v>
      </c>
      <c r="DS82" s="2">
        <v>66.0</v>
      </c>
      <c r="DT82" s="2">
        <v>261.0</v>
      </c>
      <c r="DU82" s="2">
        <v>2.0</v>
      </c>
      <c r="DV82" s="2">
        <v>2.0</v>
      </c>
      <c r="DW82" s="2">
        <v>2.0</v>
      </c>
      <c r="DX82" s="2">
        <v>0.0</v>
      </c>
      <c r="DY82" s="2">
        <v>0.0</v>
      </c>
      <c r="DZ82" s="2">
        <v>2.0</v>
      </c>
      <c r="EA82" s="2">
        <v>17.0</v>
      </c>
      <c r="EB82" s="2">
        <v>0.0</v>
      </c>
      <c r="EC82" s="2">
        <v>244.0</v>
      </c>
      <c r="EE82" s="2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2">
        <v>2025.0</v>
      </c>
      <c r="B83" s="2">
        <v>3.0</v>
      </c>
      <c r="C83" s="2" t="s">
        <v>210</v>
      </c>
      <c r="D83" s="2" t="s">
        <v>390</v>
      </c>
      <c r="E83" s="2" t="s">
        <v>653</v>
      </c>
      <c r="F83" s="2" t="s">
        <v>250</v>
      </c>
      <c r="G83" s="2">
        <v>18.0</v>
      </c>
      <c r="H83" s="2">
        <v>25.0</v>
      </c>
      <c r="I83" s="2">
        <v>228.0</v>
      </c>
      <c r="J83" s="2">
        <v>1.0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175.0</v>
      </c>
      <c r="Q83" s="2">
        <v>120.0</v>
      </c>
      <c r="R83" s="2">
        <v>10.0</v>
      </c>
      <c r="S83" s="2">
        <v>10.8186401472362</v>
      </c>
      <c r="T83" s="2">
        <v>1.65869104862213</v>
      </c>
      <c r="U83" s="2">
        <v>0.0</v>
      </c>
      <c r="V83" s="2">
        <v>11.0</v>
      </c>
      <c r="W83" s="2">
        <v>7.0</v>
      </c>
      <c r="X83" s="2">
        <v>2.0</v>
      </c>
      <c r="Y83" s="2">
        <v>0.0</v>
      </c>
      <c r="Z83" s="2">
        <v>28.0</v>
      </c>
      <c r="AA83" s="2">
        <v>137.0</v>
      </c>
      <c r="AB83" s="2">
        <v>3.0</v>
      </c>
      <c r="AC83" s="2">
        <v>0.0</v>
      </c>
      <c r="AD83" s="2">
        <v>0.0</v>
      </c>
      <c r="AE83" s="2">
        <v>9.0</v>
      </c>
      <c r="AF83" s="2">
        <v>4.7433116260296</v>
      </c>
      <c r="AG83" s="2">
        <v>0.0</v>
      </c>
      <c r="AH83" s="2">
        <v>3.0</v>
      </c>
      <c r="AI83" s="2">
        <v>3.0</v>
      </c>
      <c r="AJ83" s="2">
        <v>1.0</v>
      </c>
      <c r="AK83" s="2">
        <v>1.0</v>
      </c>
      <c r="AL83" s="2">
        <v>18.0</v>
      </c>
      <c r="AM83" s="2">
        <v>25.0</v>
      </c>
      <c r="AN83" s="2">
        <v>228.0</v>
      </c>
      <c r="AO83" s="2">
        <v>1.0</v>
      </c>
      <c r="AP83" s="2">
        <v>0.0</v>
      </c>
      <c r="AQ83" s="2">
        <v>0.0</v>
      </c>
      <c r="AR83" s="2">
        <v>175.0</v>
      </c>
      <c r="AS83" s="2">
        <v>120.0</v>
      </c>
      <c r="AT83" s="2">
        <v>10.0</v>
      </c>
      <c r="AU83" s="2">
        <v>10.8186401472362</v>
      </c>
      <c r="AV83" s="2">
        <v>0.0</v>
      </c>
      <c r="AW83" s="2">
        <v>11.0</v>
      </c>
      <c r="AX83" s="2">
        <v>7.0</v>
      </c>
      <c r="AY83" s="2">
        <v>2.0</v>
      </c>
      <c r="AZ83" s="2">
        <v>0.0</v>
      </c>
      <c r="BA83" s="2">
        <v>0.0</v>
      </c>
      <c r="BB83" s="2">
        <v>43.0</v>
      </c>
      <c r="BC83" s="2">
        <v>3.0</v>
      </c>
      <c r="BD83" s="2">
        <v>19.0</v>
      </c>
      <c r="BE83" s="2">
        <v>8.0</v>
      </c>
      <c r="BF83" s="2">
        <v>32.0</v>
      </c>
      <c r="BG83" s="2">
        <v>0.0</v>
      </c>
      <c r="BH83" s="2">
        <v>4.0</v>
      </c>
      <c r="BI83" s="2">
        <v>23.0</v>
      </c>
      <c r="BJ83" s="2">
        <v>7.0</v>
      </c>
      <c r="BK83" s="2">
        <v>1.0</v>
      </c>
      <c r="BL83" s="2">
        <v>32.0</v>
      </c>
      <c r="BM83" s="2">
        <v>4.0</v>
      </c>
      <c r="BN83" s="2">
        <v>1.0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0.0</v>
      </c>
      <c r="BV83" s="2">
        <v>0.0</v>
      </c>
      <c r="BW83" s="2">
        <v>4.0</v>
      </c>
      <c r="BX83" s="2">
        <v>23.0</v>
      </c>
      <c r="BY83" s="2">
        <v>4.0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3.0</v>
      </c>
      <c r="CH83" s="2">
        <v>104.0</v>
      </c>
      <c r="CI83" s="2">
        <v>2.0</v>
      </c>
      <c r="CJ83" s="2">
        <v>3.0</v>
      </c>
      <c r="CK83" s="2">
        <v>1.0</v>
      </c>
      <c r="CL83" s="2">
        <v>0.0</v>
      </c>
      <c r="CM83" s="2">
        <v>36.0</v>
      </c>
      <c r="CN83" s="2">
        <v>0.666666666666667</v>
      </c>
      <c r="CO83" s="2">
        <v>0.0</v>
      </c>
      <c r="CP83" s="2">
        <v>1.0</v>
      </c>
      <c r="CQ83" s="2">
        <v>1.0</v>
      </c>
      <c r="CR83" s="2">
        <v>0.0</v>
      </c>
      <c r="CS83" s="2">
        <v>0.0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1.0</v>
      </c>
      <c r="CZ83" s="2">
        <v>0.0</v>
      </c>
      <c r="DA83" s="2" t="s">
        <v>2035</v>
      </c>
      <c r="DB83" s="2" t="s">
        <v>2015</v>
      </c>
      <c r="DD83" s="2">
        <v>60.0</v>
      </c>
      <c r="DE83" s="2">
        <v>51.0</v>
      </c>
      <c r="DF83" s="2">
        <v>0.0</v>
      </c>
      <c r="DG83" s="2">
        <v>5.0</v>
      </c>
      <c r="DH83" s="2">
        <v>5.0</v>
      </c>
      <c r="DI83" s="2">
        <v>0.0</v>
      </c>
      <c r="DJ83" s="2">
        <v>0.0</v>
      </c>
      <c r="DK83" s="2">
        <v>1.0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1.0</v>
      </c>
      <c r="DR83" s="2">
        <v>0.0</v>
      </c>
      <c r="DS83" s="2">
        <v>46.0</v>
      </c>
      <c r="DT83" s="2">
        <v>46.0</v>
      </c>
      <c r="DU83" s="2">
        <v>1.0</v>
      </c>
      <c r="DV83" s="2">
        <v>0.0</v>
      </c>
      <c r="DW83" s="2">
        <v>0.0</v>
      </c>
      <c r="DX83" s="2">
        <v>0.0</v>
      </c>
      <c r="DY83" s="2">
        <v>1.0</v>
      </c>
      <c r="DZ83" s="2">
        <v>0.0</v>
      </c>
      <c r="EA83" s="2">
        <v>0.0</v>
      </c>
      <c r="EB83" s="2">
        <v>0.0</v>
      </c>
      <c r="EC83" s="2">
        <v>46.0</v>
      </c>
      <c r="EE83" s="2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2">
        <v>2025.0</v>
      </c>
      <c r="B84" s="2">
        <v>3.0</v>
      </c>
      <c r="C84" s="2" t="s">
        <v>141</v>
      </c>
      <c r="D84" s="2" t="s">
        <v>390</v>
      </c>
      <c r="E84" s="2" t="s">
        <v>635</v>
      </c>
      <c r="F84" s="2" t="s">
        <v>140</v>
      </c>
      <c r="G84" s="2">
        <v>20.0</v>
      </c>
      <c r="H84" s="2">
        <v>40.0</v>
      </c>
      <c r="I84" s="2">
        <v>222.0</v>
      </c>
      <c r="J84" s="2">
        <v>0.0</v>
      </c>
      <c r="K84" s="2">
        <v>1.0</v>
      </c>
      <c r="L84" s="2">
        <v>2.0</v>
      </c>
      <c r="M84" s="2">
        <v>-17.0</v>
      </c>
      <c r="N84" s="2">
        <v>0.0</v>
      </c>
      <c r="O84" s="2">
        <v>0.0</v>
      </c>
      <c r="P84" s="2">
        <v>315.0</v>
      </c>
      <c r="Q84" s="2">
        <v>119.0</v>
      </c>
      <c r="R84" s="2">
        <v>10.0</v>
      </c>
      <c r="S84" s="2">
        <v>-9.54640578877378</v>
      </c>
      <c r="T84" s="2">
        <v>-17.0290343855557</v>
      </c>
      <c r="U84" s="2">
        <v>0.0</v>
      </c>
      <c r="V84" s="2">
        <v>9.0</v>
      </c>
      <c r="W84" s="2">
        <v>6.0</v>
      </c>
      <c r="X84" s="2">
        <v>2.0</v>
      </c>
      <c r="Y84" s="2">
        <v>1.0</v>
      </c>
      <c r="Z84" s="2">
        <v>24.0</v>
      </c>
      <c r="AA84" s="2">
        <v>86.0</v>
      </c>
      <c r="AB84" s="2">
        <v>2.0</v>
      </c>
      <c r="AC84" s="2">
        <v>0.0</v>
      </c>
      <c r="AD84" s="2">
        <v>0.0</v>
      </c>
      <c r="AE84" s="2">
        <v>5.0</v>
      </c>
      <c r="AF84" s="2">
        <v>-1.06576339222492</v>
      </c>
      <c r="AG84" s="2">
        <v>0.0</v>
      </c>
      <c r="AH84" s="2">
        <v>2.0</v>
      </c>
      <c r="AI84" s="2">
        <v>0.0</v>
      </c>
      <c r="AJ84" s="2">
        <v>0.0</v>
      </c>
      <c r="AK84" s="2">
        <v>0.0</v>
      </c>
      <c r="AL84" s="2">
        <v>20.0</v>
      </c>
      <c r="AM84" s="2">
        <v>38.0</v>
      </c>
      <c r="AN84" s="2">
        <v>222.0</v>
      </c>
      <c r="AO84" s="2">
        <v>0.0</v>
      </c>
      <c r="AP84" s="2">
        <v>0.0</v>
      </c>
      <c r="AQ84" s="2">
        <v>0.0</v>
      </c>
      <c r="AR84" s="2">
        <v>315.0</v>
      </c>
      <c r="AS84" s="2">
        <v>119.0</v>
      </c>
      <c r="AT84" s="2">
        <v>10.0</v>
      </c>
      <c r="AU84" s="2">
        <v>-5.78789672625216</v>
      </c>
      <c r="AV84" s="2">
        <v>0.0</v>
      </c>
      <c r="AW84" s="2">
        <v>9.0</v>
      </c>
      <c r="AX84" s="2">
        <v>6.0</v>
      </c>
      <c r="AY84" s="2">
        <v>2.0</v>
      </c>
      <c r="AZ84" s="2">
        <v>1.0</v>
      </c>
      <c r="BA84" s="2">
        <v>0.0</v>
      </c>
      <c r="BB84" s="2">
        <v>38.0</v>
      </c>
      <c r="BC84" s="2">
        <v>1.0</v>
      </c>
      <c r="BD84" s="2">
        <v>21.0</v>
      </c>
      <c r="BE84" s="2">
        <v>4.0</v>
      </c>
      <c r="BF84" s="2">
        <v>16.0</v>
      </c>
      <c r="BG84" s="2">
        <v>1.0</v>
      </c>
      <c r="BH84" s="2">
        <v>2.0</v>
      </c>
      <c r="BI84" s="2">
        <v>20.0</v>
      </c>
      <c r="BJ84" s="2">
        <v>6.0</v>
      </c>
      <c r="BK84" s="2">
        <v>2.0</v>
      </c>
      <c r="BL84" s="2">
        <v>6.0</v>
      </c>
      <c r="BM84" s="2">
        <v>6.0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1.0</v>
      </c>
      <c r="BU84" s="2">
        <v>2.0</v>
      </c>
      <c r="BV84" s="2">
        <v>0.0</v>
      </c>
      <c r="BW84" s="2">
        <v>9.0</v>
      </c>
      <c r="BX84" s="2">
        <v>70.0</v>
      </c>
      <c r="BY84" s="2">
        <v>4.0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2.0</v>
      </c>
      <c r="CF84" s="2">
        <v>17.0</v>
      </c>
      <c r="CG84" s="2">
        <v>2.0</v>
      </c>
      <c r="CH84" s="2">
        <v>48.0</v>
      </c>
      <c r="CI84" s="2">
        <v>1.0</v>
      </c>
      <c r="CJ84" s="2">
        <v>2.0</v>
      </c>
      <c r="CK84" s="2">
        <v>1.0</v>
      </c>
      <c r="CL84" s="2">
        <v>0.0</v>
      </c>
      <c r="CM84" s="2">
        <v>39.0</v>
      </c>
      <c r="CN84" s="2">
        <v>0.5</v>
      </c>
      <c r="CO84" s="2">
        <v>0.0</v>
      </c>
      <c r="CP84" s="2">
        <v>0.0</v>
      </c>
      <c r="CQ84" s="2">
        <v>1.0</v>
      </c>
      <c r="CR84" s="2">
        <v>0.0</v>
      </c>
      <c r="CS84" s="2">
        <v>0.0</v>
      </c>
      <c r="CT84" s="2">
        <v>0.0</v>
      </c>
      <c r="CU84" s="2">
        <v>0.0</v>
      </c>
      <c r="CV84" s="2">
        <v>0.0</v>
      </c>
      <c r="CW84" s="2">
        <v>0.0</v>
      </c>
      <c r="CX84" s="2">
        <v>1.0</v>
      </c>
      <c r="CY84" s="2">
        <v>0.0</v>
      </c>
      <c r="CZ84" s="2">
        <v>0.0</v>
      </c>
      <c r="DA84" s="2" t="s">
        <v>2026</v>
      </c>
      <c r="DB84" s="2" t="s">
        <v>2036</v>
      </c>
      <c r="DD84" s="2">
        <v>39.0</v>
      </c>
      <c r="DE84" s="2">
        <v>47.0</v>
      </c>
      <c r="DF84" s="2">
        <v>0.0</v>
      </c>
      <c r="DG84" s="2">
        <v>2.0</v>
      </c>
      <c r="DH84" s="2">
        <v>2.0</v>
      </c>
      <c r="DI84" s="2">
        <v>0.0</v>
      </c>
      <c r="DJ84" s="2">
        <v>0.0</v>
      </c>
      <c r="DK84" s="2">
        <v>1.0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6.0</v>
      </c>
      <c r="DR84" s="2">
        <v>0.0</v>
      </c>
      <c r="DS84" s="2">
        <v>60.0</v>
      </c>
      <c r="DT84" s="2">
        <v>293.0</v>
      </c>
      <c r="DU84" s="2">
        <v>2.0</v>
      </c>
      <c r="DV84" s="2">
        <v>2.0</v>
      </c>
      <c r="DW84" s="2">
        <v>1.0</v>
      </c>
      <c r="DX84" s="2">
        <v>1.0</v>
      </c>
      <c r="DY84" s="2">
        <v>0.0</v>
      </c>
      <c r="DZ84" s="2">
        <v>2.0</v>
      </c>
      <c r="EA84" s="2">
        <v>11.0</v>
      </c>
      <c r="EB84" s="2">
        <v>0.0</v>
      </c>
      <c r="EC84" s="2">
        <v>262.0</v>
      </c>
      <c r="EE84" s="2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2">
        <v>2025.0</v>
      </c>
      <c r="B85" s="2">
        <v>3.0</v>
      </c>
      <c r="C85" s="2" t="s">
        <v>143</v>
      </c>
      <c r="D85" s="2" t="s">
        <v>390</v>
      </c>
      <c r="E85" s="2" t="s">
        <v>669</v>
      </c>
      <c r="F85" s="2" t="s">
        <v>235</v>
      </c>
      <c r="G85" s="2">
        <v>22.0</v>
      </c>
      <c r="H85" s="2">
        <v>37.0</v>
      </c>
      <c r="I85" s="2">
        <v>224.0</v>
      </c>
      <c r="J85" s="2">
        <v>1.0</v>
      </c>
      <c r="K85" s="2">
        <v>0.0</v>
      </c>
      <c r="L85" s="2">
        <v>2.0</v>
      </c>
      <c r="M85" s="2">
        <v>-23.0</v>
      </c>
      <c r="N85" s="2">
        <v>2.0</v>
      </c>
      <c r="O85" s="2">
        <v>0.0</v>
      </c>
      <c r="P85" s="2">
        <v>319.0</v>
      </c>
      <c r="Q85" s="2">
        <v>112.0</v>
      </c>
      <c r="R85" s="2">
        <v>13.0</v>
      </c>
      <c r="S85" s="2">
        <v>8.23080711069923</v>
      </c>
      <c r="T85" s="2">
        <v>-1.49373888969421</v>
      </c>
      <c r="U85" s="2">
        <v>0.0</v>
      </c>
      <c r="V85" s="2">
        <v>10.0</v>
      </c>
      <c r="W85" s="2">
        <v>5.0</v>
      </c>
      <c r="X85" s="2">
        <v>3.0</v>
      </c>
      <c r="Y85" s="2">
        <v>0.0</v>
      </c>
      <c r="Z85" s="2">
        <v>28.0</v>
      </c>
      <c r="AA85" s="2">
        <v>105.0</v>
      </c>
      <c r="AB85" s="2">
        <v>1.0</v>
      </c>
      <c r="AC85" s="2">
        <v>0.0</v>
      </c>
      <c r="AD85" s="2">
        <v>0.0</v>
      </c>
      <c r="AE85" s="2">
        <v>6.0</v>
      </c>
      <c r="AF85" s="2">
        <v>0.262292807892663</v>
      </c>
      <c r="AG85" s="2">
        <v>0.0</v>
      </c>
      <c r="AH85" s="2">
        <v>2.0</v>
      </c>
      <c r="AI85" s="2">
        <v>0.0</v>
      </c>
      <c r="AJ85" s="2">
        <v>0.0</v>
      </c>
      <c r="AK85" s="2">
        <v>0.0</v>
      </c>
      <c r="AL85" s="2">
        <v>22.0</v>
      </c>
      <c r="AM85" s="2">
        <v>35.0</v>
      </c>
      <c r="AN85" s="2">
        <v>224.0</v>
      </c>
      <c r="AO85" s="2">
        <v>1.0</v>
      </c>
      <c r="AP85" s="2">
        <v>0.0</v>
      </c>
      <c r="AQ85" s="2">
        <v>0.0</v>
      </c>
      <c r="AR85" s="2">
        <v>319.0</v>
      </c>
      <c r="AS85" s="2">
        <v>112.0</v>
      </c>
      <c r="AT85" s="2">
        <v>13.0</v>
      </c>
      <c r="AU85" s="2">
        <v>10.8244780663487</v>
      </c>
      <c r="AV85" s="2">
        <v>0.0</v>
      </c>
      <c r="AW85" s="2">
        <v>10.0</v>
      </c>
      <c r="AX85" s="2">
        <v>5.0</v>
      </c>
      <c r="AY85" s="2">
        <v>3.0</v>
      </c>
      <c r="AZ85" s="2">
        <v>0.0</v>
      </c>
      <c r="BA85" s="2">
        <v>0.0</v>
      </c>
      <c r="BB85" s="2">
        <v>34.0</v>
      </c>
      <c r="BC85" s="2">
        <v>3.0</v>
      </c>
      <c r="BD85" s="2">
        <v>35.0</v>
      </c>
      <c r="BE85" s="2">
        <v>6.0</v>
      </c>
      <c r="BF85" s="2">
        <v>14.0</v>
      </c>
      <c r="BG85" s="2">
        <v>0.0</v>
      </c>
      <c r="BH85" s="2">
        <v>2.0</v>
      </c>
      <c r="BI85" s="2">
        <v>9.0</v>
      </c>
      <c r="BJ85" s="2">
        <v>9.0</v>
      </c>
      <c r="BK85" s="2">
        <v>2.0</v>
      </c>
      <c r="BL85" s="2">
        <v>23.0</v>
      </c>
      <c r="BM85" s="2">
        <v>6.0</v>
      </c>
      <c r="BN85" s="2">
        <v>0.0</v>
      </c>
      <c r="BO85" s="2">
        <v>0.0</v>
      </c>
      <c r="BP85" s="2">
        <v>0.0</v>
      </c>
      <c r="BQ85" s="2">
        <v>0.0</v>
      </c>
      <c r="BR85" s="2">
        <v>2.0</v>
      </c>
      <c r="BS85" s="2">
        <v>0.0</v>
      </c>
      <c r="BT85" s="2">
        <v>0.0</v>
      </c>
      <c r="BU85" s="2">
        <v>0.0</v>
      </c>
      <c r="BV85" s="2">
        <v>0.0</v>
      </c>
      <c r="BW85" s="2">
        <v>8.0</v>
      </c>
      <c r="BX85" s="2">
        <v>85.0</v>
      </c>
      <c r="BY85" s="2">
        <v>3.0</v>
      </c>
      <c r="BZ85" s="2">
        <v>1.0</v>
      </c>
      <c r="CA85" s="2">
        <v>1.0</v>
      </c>
      <c r="CB85" s="2">
        <v>0.0</v>
      </c>
      <c r="CC85" s="2">
        <v>2.0</v>
      </c>
      <c r="CD85" s="2">
        <v>0.0</v>
      </c>
      <c r="CE85" s="2">
        <v>1.0</v>
      </c>
      <c r="CF85" s="2">
        <v>4.0</v>
      </c>
      <c r="CG85" s="2">
        <v>3.0</v>
      </c>
      <c r="CH85" s="2">
        <v>63.0</v>
      </c>
      <c r="CI85" s="2">
        <v>3.0</v>
      </c>
      <c r="CJ85" s="2">
        <v>4.0</v>
      </c>
      <c r="CK85" s="2">
        <v>1.0</v>
      </c>
      <c r="CL85" s="2">
        <v>0.0</v>
      </c>
      <c r="CM85" s="2">
        <v>54.0</v>
      </c>
      <c r="CN85" s="2">
        <v>0.75</v>
      </c>
      <c r="CO85" s="2">
        <v>0.0</v>
      </c>
      <c r="CP85" s="2">
        <v>1.0</v>
      </c>
      <c r="CQ85" s="2">
        <v>0.0</v>
      </c>
      <c r="CR85" s="2">
        <v>1.0</v>
      </c>
      <c r="CS85" s="2">
        <v>1.0</v>
      </c>
      <c r="CT85" s="2">
        <v>0.0</v>
      </c>
      <c r="CU85" s="2">
        <v>0.0</v>
      </c>
      <c r="CV85" s="2">
        <v>0.0</v>
      </c>
      <c r="CW85" s="2">
        <v>0.0</v>
      </c>
      <c r="CX85" s="2">
        <v>1.0</v>
      </c>
      <c r="CY85" s="2">
        <v>0.0</v>
      </c>
      <c r="CZ85" s="2">
        <v>0.0</v>
      </c>
      <c r="DA85" s="2" t="s">
        <v>2037</v>
      </c>
      <c r="DB85" s="2" t="s">
        <v>1984</v>
      </c>
      <c r="DD85" s="2">
        <v>130.0</v>
      </c>
      <c r="DE85" s="2">
        <v>40.0</v>
      </c>
      <c r="DF85" s="2">
        <v>0.0</v>
      </c>
      <c r="DG85" s="2">
        <v>1.0</v>
      </c>
      <c r="DH85" s="2">
        <v>2.0</v>
      </c>
      <c r="DI85" s="2">
        <v>1.0</v>
      </c>
      <c r="DJ85" s="2">
        <v>0.0</v>
      </c>
      <c r="DK85" s="2">
        <v>0.5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3.0</v>
      </c>
      <c r="DR85" s="2">
        <v>0.0</v>
      </c>
      <c r="DS85" s="2">
        <v>53.0</v>
      </c>
      <c r="DT85" s="2">
        <v>139.0</v>
      </c>
      <c r="DU85" s="2">
        <v>0.0</v>
      </c>
      <c r="DV85" s="2">
        <v>0.0</v>
      </c>
      <c r="DW85" s="2">
        <v>1.0</v>
      </c>
      <c r="DX85" s="2">
        <v>0.0</v>
      </c>
      <c r="DY85" s="2">
        <v>0.0</v>
      </c>
      <c r="DZ85" s="2">
        <v>2.0</v>
      </c>
      <c r="EA85" s="2">
        <v>17.0</v>
      </c>
      <c r="EB85" s="2">
        <v>0.0</v>
      </c>
      <c r="EC85" s="2">
        <v>122.0</v>
      </c>
      <c r="EE85" s="2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2">
        <v>2025.0</v>
      </c>
      <c r="B86" s="2">
        <v>3.0</v>
      </c>
      <c r="C86" s="2" t="s">
        <v>142</v>
      </c>
      <c r="D86" s="2" t="s">
        <v>390</v>
      </c>
      <c r="E86" s="2" t="s">
        <v>645</v>
      </c>
      <c r="F86" s="2" t="s">
        <v>147</v>
      </c>
      <c r="G86" s="2">
        <v>19.0</v>
      </c>
      <c r="H86" s="2">
        <v>34.0</v>
      </c>
      <c r="I86" s="2">
        <v>196.0</v>
      </c>
      <c r="J86" s="2">
        <v>2.0</v>
      </c>
      <c r="K86" s="2">
        <v>1.0</v>
      </c>
      <c r="L86" s="2">
        <v>1.0</v>
      </c>
      <c r="M86" s="2">
        <v>0.0</v>
      </c>
      <c r="N86" s="2">
        <v>0.0</v>
      </c>
      <c r="O86" s="2">
        <v>0.0</v>
      </c>
      <c r="P86" s="2">
        <v>168.0</v>
      </c>
      <c r="Q86" s="2">
        <v>57.0</v>
      </c>
      <c r="R86" s="2">
        <v>10.0</v>
      </c>
      <c r="S86" s="2">
        <v>-2.47909250600673</v>
      </c>
      <c r="T86" s="2">
        <v>-4.67838132753968</v>
      </c>
      <c r="U86" s="2">
        <v>0.0</v>
      </c>
      <c r="V86" s="2">
        <v>8.0</v>
      </c>
      <c r="W86" s="2">
        <v>2.0</v>
      </c>
      <c r="X86" s="2">
        <v>2.0</v>
      </c>
      <c r="Y86" s="2">
        <v>1.0</v>
      </c>
      <c r="Z86" s="2">
        <v>31.0</v>
      </c>
      <c r="AA86" s="2">
        <v>160.0</v>
      </c>
      <c r="AB86" s="2">
        <v>0.0</v>
      </c>
      <c r="AC86" s="2">
        <v>0.0</v>
      </c>
      <c r="AD86" s="2">
        <v>0.0</v>
      </c>
      <c r="AE86" s="2">
        <v>11.0</v>
      </c>
      <c r="AF86" s="2">
        <v>0.214972917881964</v>
      </c>
      <c r="AG86" s="2">
        <v>0.0</v>
      </c>
      <c r="AH86" s="2">
        <v>6.0</v>
      </c>
      <c r="AI86" s="2">
        <v>3.0</v>
      </c>
      <c r="AJ86" s="2">
        <v>0.0</v>
      </c>
      <c r="AK86" s="2">
        <v>0.0</v>
      </c>
      <c r="AL86" s="2">
        <v>19.0</v>
      </c>
      <c r="AM86" s="2">
        <v>33.0</v>
      </c>
      <c r="AN86" s="2">
        <v>196.0</v>
      </c>
      <c r="AO86" s="2">
        <v>2.0</v>
      </c>
      <c r="AP86" s="2">
        <v>0.0</v>
      </c>
      <c r="AQ86" s="2">
        <v>0.0</v>
      </c>
      <c r="AR86" s="2">
        <v>168.0</v>
      </c>
      <c r="AS86" s="2">
        <v>57.0</v>
      </c>
      <c r="AT86" s="2">
        <v>10.0</v>
      </c>
      <c r="AU86" s="2">
        <v>-0.583820116719598</v>
      </c>
      <c r="AV86" s="2">
        <v>0.0</v>
      </c>
      <c r="AW86" s="2">
        <v>8.0</v>
      </c>
      <c r="AX86" s="2">
        <v>2.0</v>
      </c>
      <c r="AY86" s="2">
        <v>2.0</v>
      </c>
      <c r="AZ86" s="2">
        <v>1.0</v>
      </c>
      <c r="BA86" s="2">
        <v>0.0</v>
      </c>
      <c r="BB86" s="2">
        <v>36.0</v>
      </c>
      <c r="BC86" s="2">
        <v>2.0</v>
      </c>
      <c r="BD86" s="2">
        <v>28.0</v>
      </c>
      <c r="BE86" s="2">
        <v>7.0</v>
      </c>
      <c r="BF86" s="2">
        <v>38.0</v>
      </c>
      <c r="BG86" s="2">
        <v>1.0</v>
      </c>
      <c r="BH86" s="2">
        <v>4.0</v>
      </c>
      <c r="BI86" s="2">
        <v>24.0</v>
      </c>
      <c r="BJ86" s="2">
        <v>4.0</v>
      </c>
      <c r="BK86" s="2">
        <v>0.0</v>
      </c>
      <c r="BL86" s="2">
        <v>0.0</v>
      </c>
      <c r="BM86" s="2">
        <v>6.0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1.0</v>
      </c>
      <c r="BU86" s="2">
        <v>0.0</v>
      </c>
      <c r="BV86" s="2">
        <v>0.0</v>
      </c>
      <c r="BW86" s="2">
        <v>4.0</v>
      </c>
      <c r="BX86" s="2">
        <v>41.0</v>
      </c>
      <c r="BY86" s="2">
        <v>3.0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4.0</v>
      </c>
      <c r="CF86" s="2">
        <v>53.0</v>
      </c>
      <c r="CG86" s="2">
        <v>5.0</v>
      </c>
      <c r="CH86" s="2">
        <v>115.0</v>
      </c>
      <c r="CI86" s="2">
        <v>4.0</v>
      </c>
      <c r="CJ86" s="2">
        <v>6.0</v>
      </c>
      <c r="CK86" s="2">
        <v>0.0</v>
      </c>
      <c r="CL86" s="2">
        <v>2.0</v>
      </c>
      <c r="CM86" s="2">
        <v>51.0</v>
      </c>
      <c r="CN86" s="2">
        <v>0.666666666666667</v>
      </c>
      <c r="CO86" s="2">
        <v>0.0</v>
      </c>
      <c r="CP86" s="2">
        <v>1.0</v>
      </c>
      <c r="CQ86" s="2">
        <v>1.0</v>
      </c>
      <c r="CR86" s="2">
        <v>1.0</v>
      </c>
      <c r="CS86" s="2">
        <v>1.0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 t="s">
        <v>2038</v>
      </c>
      <c r="DC86" s="2" t="s">
        <v>2039</v>
      </c>
      <c r="DD86" s="2">
        <v>158.0</v>
      </c>
      <c r="DE86" s="2">
        <v>0.0</v>
      </c>
      <c r="DF86" s="2">
        <v>80.0</v>
      </c>
      <c r="DG86" s="2">
        <v>2.0</v>
      </c>
      <c r="DH86" s="2">
        <v>2.0</v>
      </c>
      <c r="DI86" s="2">
        <v>0.0</v>
      </c>
      <c r="DJ86" s="2">
        <v>0.0</v>
      </c>
      <c r="DK86" s="2">
        <v>1.0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1.0</v>
      </c>
      <c r="DR86" s="2">
        <v>0.0</v>
      </c>
      <c r="DS86" s="2">
        <v>36.0</v>
      </c>
      <c r="DT86" s="2">
        <v>36.0</v>
      </c>
      <c r="DU86" s="2">
        <v>1.0</v>
      </c>
      <c r="DV86" s="2">
        <v>0.0</v>
      </c>
      <c r="DW86" s="2">
        <v>0.0</v>
      </c>
      <c r="DX86" s="2">
        <v>0.0</v>
      </c>
      <c r="DY86" s="2">
        <v>1.0</v>
      </c>
      <c r="DZ86" s="2">
        <v>0.0</v>
      </c>
      <c r="EA86" s="2">
        <v>0.0</v>
      </c>
      <c r="EB86" s="2">
        <v>0.0</v>
      </c>
      <c r="EC86" s="2">
        <v>36.0</v>
      </c>
      <c r="EE86" s="2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2">
        <v>2025.0</v>
      </c>
      <c r="B87" s="2">
        <v>3.0</v>
      </c>
      <c r="C87" s="2" t="s">
        <v>220</v>
      </c>
      <c r="D87" s="2" t="s">
        <v>390</v>
      </c>
      <c r="E87" s="2" t="s">
        <v>659</v>
      </c>
      <c r="F87" s="2" t="s">
        <v>139</v>
      </c>
      <c r="G87" s="2">
        <v>28.0</v>
      </c>
      <c r="H87" s="2">
        <v>47.0</v>
      </c>
      <c r="I87" s="2">
        <v>300.0</v>
      </c>
      <c r="J87" s="2">
        <v>1.0</v>
      </c>
      <c r="K87" s="2">
        <v>1.0</v>
      </c>
      <c r="L87" s="2">
        <v>5.0</v>
      </c>
      <c r="M87" s="2">
        <v>-30.0</v>
      </c>
      <c r="N87" s="2">
        <v>0.0</v>
      </c>
      <c r="O87" s="2">
        <v>0.0</v>
      </c>
      <c r="P87" s="2">
        <v>429.0</v>
      </c>
      <c r="Q87" s="2">
        <v>135.0</v>
      </c>
      <c r="R87" s="2">
        <v>17.0</v>
      </c>
      <c r="S87" s="2">
        <v>-2.39498249557439</v>
      </c>
      <c r="T87" s="2">
        <v>-4.15901396009657</v>
      </c>
      <c r="U87" s="2">
        <v>0.0</v>
      </c>
      <c r="V87" s="2">
        <v>14.0</v>
      </c>
      <c r="W87" s="2">
        <v>5.0</v>
      </c>
      <c r="X87" s="2">
        <v>4.0</v>
      </c>
      <c r="Y87" s="2">
        <v>0.0</v>
      </c>
      <c r="Z87" s="2">
        <v>28.0</v>
      </c>
      <c r="AA87" s="2">
        <v>106.0</v>
      </c>
      <c r="AB87" s="2">
        <v>1.0</v>
      </c>
      <c r="AC87" s="2">
        <v>0.0</v>
      </c>
      <c r="AD87" s="2">
        <v>0.0</v>
      </c>
      <c r="AE87" s="2">
        <v>6.0</v>
      </c>
      <c r="AF87" s="2">
        <v>-0.69660783782447</v>
      </c>
      <c r="AG87" s="2">
        <v>0.0</v>
      </c>
      <c r="AH87" s="2">
        <v>2.0</v>
      </c>
      <c r="AI87" s="2">
        <v>0.0</v>
      </c>
      <c r="AJ87" s="2">
        <v>0.0</v>
      </c>
      <c r="AK87" s="2">
        <v>0.0</v>
      </c>
      <c r="AL87" s="2">
        <v>28.0</v>
      </c>
      <c r="AM87" s="2">
        <v>45.0</v>
      </c>
      <c r="AN87" s="2">
        <v>300.0</v>
      </c>
      <c r="AO87" s="2">
        <v>1.0</v>
      </c>
      <c r="AP87" s="2">
        <v>1.0</v>
      </c>
      <c r="AQ87" s="2">
        <v>0.0</v>
      </c>
      <c r="AR87" s="2">
        <v>429.0</v>
      </c>
      <c r="AS87" s="2">
        <v>135.0</v>
      </c>
      <c r="AT87" s="2">
        <v>17.0</v>
      </c>
      <c r="AU87" s="2">
        <v>8.66520035860956</v>
      </c>
      <c r="AV87" s="2">
        <v>0.0</v>
      </c>
      <c r="AW87" s="2">
        <v>14.0</v>
      </c>
      <c r="AX87" s="2">
        <v>5.0</v>
      </c>
      <c r="AY87" s="2">
        <v>4.0</v>
      </c>
      <c r="AZ87" s="2">
        <v>0.0</v>
      </c>
      <c r="BA87" s="2">
        <v>0.0</v>
      </c>
      <c r="BB87" s="2">
        <v>33.0</v>
      </c>
      <c r="BC87" s="2">
        <v>1.0</v>
      </c>
      <c r="BD87" s="2">
        <v>17.0</v>
      </c>
      <c r="BE87" s="2">
        <v>5.0</v>
      </c>
      <c r="BF87" s="2">
        <v>17.0</v>
      </c>
      <c r="BG87" s="2">
        <v>0.0</v>
      </c>
      <c r="BH87" s="2">
        <v>2.0</v>
      </c>
      <c r="BI87" s="2">
        <v>6.0</v>
      </c>
      <c r="BJ87" s="2">
        <v>4.0</v>
      </c>
      <c r="BK87" s="2">
        <v>0.0</v>
      </c>
      <c r="BL87" s="2">
        <v>0.0</v>
      </c>
      <c r="BM87" s="2">
        <v>3.0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0.0</v>
      </c>
      <c r="BW87" s="2">
        <v>3.0</v>
      </c>
      <c r="BX87" s="2">
        <v>25.0</v>
      </c>
      <c r="BY87" s="2">
        <v>2.0</v>
      </c>
      <c r="BZ87" s="2">
        <v>2.0</v>
      </c>
      <c r="CA87" s="2">
        <v>0.0</v>
      </c>
      <c r="CB87" s="2">
        <v>1.0</v>
      </c>
      <c r="CC87" s="2">
        <v>2.0</v>
      </c>
      <c r="CD87" s="2">
        <v>1.0</v>
      </c>
      <c r="CE87" s="2">
        <v>3.0</v>
      </c>
      <c r="CF87" s="2">
        <v>50.0</v>
      </c>
      <c r="CG87" s="2">
        <v>5.0</v>
      </c>
      <c r="CH87" s="2">
        <v>127.0</v>
      </c>
      <c r="CI87" s="2">
        <v>3.0</v>
      </c>
      <c r="CJ87" s="2">
        <v>3.0</v>
      </c>
      <c r="CK87" s="2">
        <v>0.0</v>
      </c>
      <c r="CL87" s="2">
        <v>0.0</v>
      </c>
      <c r="CM87" s="2">
        <v>43.0</v>
      </c>
      <c r="CN87" s="2">
        <v>1.0</v>
      </c>
      <c r="CO87" s="2">
        <v>0.0</v>
      </c>
      <c r="CP87" s="2">
        <v>1.0</v>
      </c>
      <c r="CQ87" s="2">
        <v>1.0</v>
      </c>
      <c r="CR87" s="2">
        <v>1.0</v>
      </c>
      <c r="CS87" s="2">
        <v>0.0</v>
      </c>
      <c r="CT87" s="2">
        <v>0.0</v>
      </c>
      <c r="CU87" s="2">
        <v>0.0</v>
      </c>
      <c r="CV87" s="2">
        <v>0.0</v>
      </c>
      <c r="CW87" s="2">
        <v>0.0</v>
      </c>
      <c r="CX87" s="2">
        <v>0.0</v>
      </c>
      <c r="CY87" s="2">
        <v>0.0</v>
      </c>
      <c r="CZ87" s="2">
        <v>0.0</v>
      </c>
      <c r="DA87" s="2" t="s">
        <v>2040</v>
      </c>
      <c r="DD87" s="2">
        <v>99.0</v>
      </c>
      <c r="DE87" s="2">
        <v>0.0</v>
      </c>
      <c r="DF87" s="2">
        <v>0.0</v>
      </c>
      <c r="DG87" s="2">
        <v>2.0</v>
      </c>
      <c r="DH87" s="2">
        <v>2.0</v>
      </c>
      <c r="DI87" s="2">
        <v>0.0</v>
      </c>
      <c r="DJ87" s="2">
        <v>0.0</v>
      </c>
      <c r="DK87" s="2">
        <v>1.0</v>
      </c>
      <c r="DL87" s="2">
        <v>1.0</v>
      </c>
      <c r="DM87" s="2">
        <v>1.0</v>
      </c>
      <c r="DN87" s="2">
        <v>0.0</v>
      </c>
      <c r="DO87" s="2">
        <v>0.0</v>
      </c>
      <c r="DP87" s="2">
        <v>43.0</v>
      </c>
      <c r="DQ87" s="2">
        <v>5.0</v>
      </c>
      <c r="DR87" s="2">
        <v>0.0</v>
      </c>
      <c r="DS87" s="2">
        <v>60.0</v>
      </c>
      <c r="DT87" s="2">
        <v>249.0</v>
      </c>
      <c r="DU87" s="2">
        <v>0.0</v>
      </c>
      <c r="DV87" s="2">
        <v>0.0</v>
      </c>
      <c r="DW87" s="2">
        <v>0.0</v>
      </c>
      <c r="DX87" s="2">
        <v>1.0</v>
      </c>
      <c r="DY87" s="2">
        <v>2.0</v>
      </c>
      <c r="DZ87" s="2">
        <v>2.0</v>
      </c>
      <c r="EA87" s="2">
        <v>56.0</v>
      </c>
      <c r="EB87" s="2">
        <v>0.0</v>
      </c>
      <c r="EC87" s="2">
        <v>173.0</v>
      </c>
      <c r="EE87" s="2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2">
        <v>2025.0</v>
      </c>
      <c r="B88" s="2">
        <v>3.0</v>
      </c>
      <c r="C88" s="2" t="s">
        <v>222</v>
      </c>
      <c r="D88" s="2" t="s">
        <v>390</v>
      </c>
      <c r="E88" s="2" t="s">
        <v>655</v>
      </c>
      <c r="F88" s="2" t="s">
        <v>253</v>
      </c>
      <c r="G88" s="2">
        <v>19.0</v>
      </c>
      <c r="H88" s="2">
        <v>29.0</v>
      </c>
      <c r="I88" s="2">
        <v>289.0</v>
      </c>
      <c r="J88" s="2">
        <v>3.0</v>
      </c>
      <c r="K88" s="2">
        <v>0.0</v>
      </c>
      <c r="L88" s="2">
        <v>5.0</v>
      </c>
      <c r="M88" s="2">
        <v>-28.0</v>
      </c>
      <c r="N88" s="2">
        <v>0.0</v>
      </c>
      <c r="O88" s="2">
        <v>0.0</v>
      </c>
      <c r="P88" s="2">
        <v>305.0</v>
      </c>
      <c r="Q88" s="2">
        <v>90.0</v>
      </c>
      <c r="R88" s="2">
        <v>12.0</v>
      </c>
      <c r="S88" s="2">
        <v>12.2407076665405</v>
      </c>
      <c r="T88" s="2">
        <v>11.6812643077638</v>
      </c>
      <c r="U88" s="2">
        <v>1.0</v>
      </c>
      <c r="V88" s="2">
        <v>13.0</v>
      </c>
      <c r="W88" s="2">
        <v>7.0</v>
      </c>
      <c r="X88" s="2">
        <v>3.0</v>
      </c>
      <c r="Y88" s="2">
        <v>2.0</v>
      </c>
      <c r="Z88" s="2">
        <v>28.0</v>
      </c>
      <c r="AA88" s="2">
        <v>93.0</v>
      </c>
      <c r="AB88" s="2">
        <v>0.0</v>
      </c>
      <c r="AC88" s="2">
        <v>0.0</v>
      </c>
      <c r="AD88" s="2">
        <v>0.0</v>
      </c>
      <c r="AE88" s="2">
        <v>5.0</v>
      </c>
      <c r="AF88" s="2">
        <v>-9.36108344532829</v>
      </c>
      <c r="AG88" s="2">
        <v>0.0</v>
      </c>
      <c r="AH88" s="2">
        <v>3.0</v>
      </c>
      <c r="AI88" s="2">
        <v>2.0</v>
      </c>
      <c r="AJ88" s="2">
        <v>0.0</v>
      </c>
      <c r="AK88" s="2">
        <v>0.0</v>
      </c>
      <c r="AL88" s="2">
        <v>19.0</v>
      </c>
      <c r="AM88" s="2">
        <v>27.0</v>
      </c>
      <c r="AN88" s="2">
        <v>289.0</v>
      </c>
      <c r="AO88" s="2">
        <v>3.0</v>
      </c>
      <c r="AP88" s="2">
        <v>0.0</v>
      </c>
      <c r="AQ88" s="2">
        <v>0.0</v>
      </c>
      <c r="AR88" s="2">
        <v>305.0</v>
      </c>
      <c r="AS88" s="2">
        <v>90.0</v>
      </c>
      <c r="AT88" s="2">
        <v>12.0</v>
      </c>
      <c r="AU88" s="2">
        <v>20.1042317176908</v>
      </c>
      <c r="AV88" s="2">
        <v>1.0</v>
      </c>
      <c r="AW88" s="2">
        <v>13.0</v>
      </c>
      <c r="AX88" s="2">
        <v>7.0</v>
      </c>
      <c r="AY88" s="2">
        <v>3.0</v>
      </c>
      <c r="AZ88" s="2">
        <v>2.0</v>
      </c>
      <c r="BA88" s="2">
        <v>0.0</v>
      </c>
      <c r="BB88" s="2">
        <v>37.0</v>
      </c>
      <c r="BC88" s="2">
        <v>4.0</v>
      </c>
      <c r="BD88" s="2">
        <v>24.0</v>
      </c>
      <c r="BE88" s="2">
        <v>6.0</v>
      </c>
      <c r="BF88" s="2">
        <v>15.0</v>
      </c>
      <c r="BG88" s="2">
        <v>1.0</v>
      </c>
      <c r="BH88" s="2">
        <v>1.0</v>
      </c>
      <c r="BI88" s="2">
        <v>8.0</v>
      </c>
      <c r="BJ88" s="2">
        <v>3.0</v>
      </c>
      <c r="BK88" s="2">
        <v>0.0</v>
      </c>
      <c r="BL88" s="2">
        <v>0.0</v>
      </c>
      <c r="BM88" s="2">
        <v>2.0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1.0</v>
      </c>
      <c r="BU88" s="2">
        <v>3.0</v>
      </c>
      <c r="BV88" s="2">
        <v>0.0</v>
      </c>
      <c r="BW88" s="2">
        <v>6.0</v>
      </c>
      <c r="BX88" s="2">
        <v>54.0</v>
      </c>
      <c r="BY88" s="2">
        <v>5.0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2.0</v>
      </c>
      <c r="CF88" s="2">
        <v>10.0</v>
      </c>
      <c r="CG88" s="2">
        <v>5.0</v>
      </c>
      <c r="CH88" s="2">
        <v>110.0</v>
      </c>
      <c r="CI88" s="2">
        <v>1.0</v>
      </c>
      <c r="CJ88" s="2">
        <v>1.0</v>
      </c>
      <c r="CK88" s="2">
        <v>0.0</v>
      </c>
      <c r="CL88" s="2">
        <v>0.0</v>
      </c>
      <c r="CM88" s="2">
        <v>37.0</v>
      </c>
      <c r="CN88" s="2">
        <v>1.0</v>
      </c>
      <c r="CO88" s="2">
        <v>0.0</v>
      </c>
      <c r="CP88" s="2">
        <v>0.0</v>
      </c>
      <c r="CQ88" s="2">
        <v>1.0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 t="s">
        <v>1986</v>
      </c>
      <c r="DD88" s="2">
        <v>37.0</v>
      </c>
      <c r="DE88" s="2">
        <v>0.0</v>
      </c>
      <c r="DF88" s="2">
        <v>0.0</v>
      </c>
      <c r="DG88" s="2">
        <v>1.0</v>
      </c>
      <c r="DH88" s="2">
        <v>1.0</v>
      </c>
      <c r="DI88" s="2">
        <v>0.0</v>
      </c>
      <c r="DJ88" s="2">
        <v>0.0</v>
      </c>
      <c r="DK88" s="2">
        <v>1.0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6.0</v>
      </c>
      <c r="DR88" s="2">
        <v>0.0</v>
      </c>
      <c r="DS88" s="2">
        <v>56.0</v>
      </c>
      <c r="DT88" s="2">
        <v>294.0</v>
      </c>
      <c r="DU88" s="2">
        <v>0.0</v>
      </c>
      <c r="DV88" s="2">
        <v>1.0</v>
      </c>
      <c r="DW88" s="2">
        <v>0.0</v>
      </c>
      <c r="DX88" s="2">
        <v>0.0</v>
      </c>
      <c r="DY88" s="2">
        <v>0.0</v>
      </c>
      <c r="DZ88" s="2">
        <v>5.0</v>
      </c>
      <c r="EA88" s="2">
        <v>127.0</v>
      </c>
      <c r="EB88" s="2">
        <v>1.0</v>
      </c>
      <c r="EC88" s="2">
        <v>167.0</v>
      </c>
      <c r="EE88" s="2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2">
        <v>2025.0</v>
      </c>
      <c r="B89" s="2">
        <v>3.0</v>
      </c>
      <c r="C89" s="2" t="s">
        <v>225</v>
      </c>
      <c r="D89" s="2" t="s">
        <v>390</v>
      </c>
      <c r="E89" s="2" t="s">
        <v>625</v>
      </c>
      <c r="F89" s="2" t="s">
        <v>136</v>
      </c>
      <c r="G89" s="2">
        <v>22.0</v>
      </c>
      <c r="H89" s="2">
        <v>34.0</v>
      </c>
      <c r="I89" s="2">
        <v>146.0</v>
      </c>
      <c r="J89" s="2">
        <v>2.0</v>
      </c>
      <c r="K89" s="2">
        <v>1.0</v>
      </c>
      <c r="L89" s="2">
        <v>0.0</v>
      </c>
      <c r="M89" s="2">
        <v>0.0</v>
      </c>
      <c r="N89" s="2">
        <v>0.0</v>
      </c>
      <c r="O89" s="2">
        <v>0.0</v>
      </c>
      <c r="P89" s="2">
        <v>204.0</v>
      </c>
      <c r="Q89" s="2">
        <v>117.0</v>
      </c>
      <c r="R89" s="2">
        <v>11.0</v>
      </c>
      <c r="S89" s="2">
        <v>0.147440837870818</v>
      </c>
      <c r="T89" s="2">
        <v>-1.68731122305899</v>
      </c>
      <c r="U89" s="2">
        <v>0.0</v>
      </c>
      <c r="V89" s="2">
        <v>8.0</v>
      </c>
      <c r="W89" s="2">
        <v>1.0</v>
      </c>
      <c r="X89" s="2">
        <v>0.0</v>
      </c>
      <c r="Y89" s="2">
        <v>0.0</v>
      </c>
      <c r="Z89" s="2">
        <v>25.0</v>
      </c>
      <c r="AA89" s="2">
        <v>130.0</v>
      </c>
      <c r="AB89" s="2">
        <v>1.0</v>
      </c>
      <c r="AC89" s="2">
        <v>1.0</v>
      </c>
      <c r="AD89" s="2">
        <v>0.0</v>
      </c>
      <c r="AE89" s="2">
        <v>8.0</v>
      </c>
      <c r="AF89" s="2">
        <v>3.01154395902995</v>
      </c>
      <c r="AG89" s="2">
        <v>0.0</v>
      </c>
      <c r="AH89" s="2">
        <v>4.0</v>
      </c>
      <c r="AI89" s="2">
        <v>3.0</v>
      </c>
      <c r="AJ89" s="2">
        <v>0.0</v>
      </c>
      <c r="AK89" s="2">
        <v>0.0</v>
      </c>
      <c r="AL89" s="2">
        <v>22.0</v>
      </c>
      <c r="AM89" s="2">
        <v>33.0</v>
      </c>
      <c r="AN89" s="2">
        <v>146.0</v>
      </c>
      <c r="AO89" s="2">
        <v>2.0</v>
      </c>
      <c r="AP89" s="2">
        <v>0.0</v>
      </c>
      <c r="AQ89" s="2">
        <v>0.0</v>
      </c>
      <c r="AR89" s="2">
        <v>204.0</v>
      </c>
      <c r="AS89" s="2">
        <v>117.0</v>
      </c>
      <c r="AT89" s="2">
        <v>11.0</v>
      </c>
      <c r="AU89" s="2">
        <v>0.709284920070786</v>
      </c>
      <c r="AV89" s="2">
        <v>0.0</v>
      </c>
      <c r="AW89" s="2">
        <v>7.0</v>
      </c>
      <c r="AX89" s="2">
        <v>1.0</v>
      </c>
      <c r="AY89" s="2">
        <v>0.0</v>
      </c>
      <c r="AZ89" s="2">
        <v>0.0</v>
      </c>
      <c r="BA89" s="2">
        <v>0.0</v>
      </c>
      <c r="BB89" s="2">
        <v>44.0</v>
      </c>
      <c r="BC89" s="2">
        <v>0.0</v>
      </c>
      <c r="BD89" s="2">
        <v>14.0</v>
      </c>
      <c r="BE89" s="2">
        <v>2.0</v>
      </c>
      <c r="BF89" s="2">
        <v>8.0</v>
      </c>
      <c r="BG89" s="2">
        <v>0.0</v>
      </c>
      <c r="BH89" s="2">
        <v>2.0</v>
      </c>
      <c r="BI89" s="2">
        <v>10.0</v>
      </c>
      <c r="BJ89" s="2">
        <v>2.0</v>
      </c>
      <c r="BK89" s="2">
        <v>0.0</v>
      </c>
      <c r="BL89" s="2">
        <v>0.0</v>
      </c>
      <c r="BM89" s="2">
        <v>3.0</v>
      </c>
      <c r="BN89" s="2">
        <v>0.0</v>
      </c>
      <c r="BO89" s="2">
        <v>0.0</v>
      </c>
      <c r="BP89" s="2">
        <v>0.0</v>
      </c>
      <c r="BQ89" s="2">
        <v>0.0</v>
      </c>
      <c r="BR89" s="2">
        <v>1.0</v>
      </c>
      <c r="BS89" s="2">
        <v>0.0</v>
      </c>
      <c r="BT89" s="2">
        <v>0.0</v>
      </c>
      <c r="BU89" s="2">
        <v>0.0</v>
      </c>
      <c r="BV89" s="2">
        <v>0.0</v>
      </c>
      <c r="BW89" s="2">
        <v>6.0</v>
      </c>
      <c r="BX89" s="2">
        <v>57.0</v>
      </c>
      <c r="BY89" s="2">
        <v>5.0</v>
      </c>
      <c r="BZ89" s="2">
        <v>0.0</v>
      </c>
      <c r="CA89" s="2">
        <v>1.0</v>
      </c>
      <c r="CB89" s="2">
        <v>0.0</v>
      </c>
      <c r="CC89" s="2">
        <v>1.0</v>
      </c>
      <c r="CD89" s="2">
        <v>0.0</v>
      </c>
      <c r="CE89" s="2">
        <v>2.0</v>
      </c>
      <c r="CF89" s="2">
        <v>22.0</v>
      </c>
      <c r="CG89" s="2">
        <v>5.0</v>
      </c>
      <c r="CH89" s="2">
        <v>152.0</v>
      </c>
      <c r="CI89" s="2">
        <v>0.0</v>
      </c>
      <c r="CJ89" s="2">
        <v>0.0</v>
      </c>
      <c r="CK89" s="2">
        <v>0.0</v>
      </c>
      <c r="CL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D89" s="2">
        <v>0.0</v>
      </c>
      <c r="DE89" s="2">
        <v>0.0</v>
      </c>
      <c r="DF89" s="2">
        <v>0.0</v>
      </c>
      <c r="DG89" s="2">
        <v>3.0</v>
      </c>
      <c r="DH89" s="2">
        <v>3.0</v>
      </c>
      <c r="DI89" s="2">
        <v>0.0</v>
      </c>
      <c r="DJ89" s="2">
        <v>0.0</v>
      </c>
      <c r="DK89" s="2">
        <v>1.0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4.0</v>
      </c>
      <c r="DR89" s="2">
        <v>0.0</v>
      </c>
      <c r="DS89" s="2">
        <v>56.0</v>
      </c>
      <c r="DT89" s="2">
        <v>200.0</v>
      </c>
      <c r="DU89" s="2">
        <v>1.0</v>
      </c>
      <c r="DV89" s="2">
        <v>0.0</v>
      </c>
      <c r="DW89" s="2">
        <v>0.0</v>
      </c>
      <c r="DX89" s="2">
        <v>0.0</v>
      </c>
      <c r="DY89" s="2">
        <v>2.0</v>
      </c>
      <c r="DZ89" s="2">
        <v>2.0</v>
      </c>
      <c r="EA89" s="2">
        <v>15.0</v>
      </c>
      <c r="EB89" s="2">
        <v>0.0</v>
      </c>
      <c r="EC89" s="2">
        <v>185.0</v>
      </c>
      <c r="EE89" s="2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2">
        <v>2025.0</v>
      </c>
      <c r="B90" s="2">
        <v>3.0</v>
      </c>
      <c r="C90" s="2" t="s">
        <v>144</v>
      </c>
      <c r="D90" s="2" t="s">
        <v>390</v>
      </c>
      <c r="E90" s="2" t="s">
        <v>637</v>
      </c>
      <c r="F90" s="2" t="s">
        <v>138</v>
      </c>
      <c r="G90" s="2">
        <v>16.0</v>
      </c>
      <c r="H90" s="2">
        <v>24.0</v>
      </c>
      <c r="I90" s="2">
        <v>202.0</v>
      </c>
      <c r="J90" s="2">
        <v>2.0</v>
      </c>
      <c r="K90" s="2">
        <v>0.0</v>
      </c>
      <c r="L90" s="2">
        <v>3.0</v>
      </c>
      <c r="M90" s="2">
        <v>-19.0</v>
      </c>
      <c r="N90" s="2">
        <v>0.0</v>
      </c>
      <c r="O90" s="2">
        <v>0.0</v>
      </c>
      <c r="P90" s="2">
        <v>188.0</v>
      </c>
      <c r="Q90" s="2">
        <v>109.0</v>
      </c>
      <c r="R90" s="2">
        <v>10.0</v>
      </c>
      <c r="S90" s="2">
        <v>5.62056811032786</v>
      </c>
      <c r="T90" s="2">
        <v>-1.78154408931732</v>
      </c>
      <c r="U90" s="2">
        <v>0.0</v>
      </c>
      <c r="V90" s="2">
        <v>9.0</v>
      </c>
      <c r="W90" s="2">
        <v>4.0</v>
      </c>
      <c r="X90" s="2">
        <v>3.0</v>
      </c>
      <c r="Y90" s="2">
        <v>0.0</v>
      </c>
      <c r="Z90" s="2">
        <v>31.0</v>
      </c>
      <c r="AA90" s="2">
        <v>169.0</v>
      </c>
      <c r="AB90" s="2">
        <v>2.0</v>
      </c>
      <c r="AC90" s="2">
        <v>1.0</v>
      </c>
      <c r="AD90" s="2">
        <v>0.0</v>
      </c>
      <c r="AE90" s="2">
        <v>10.0</v>
      </c>
      <c r="AF90" s="2">
        <v>1.40084315929562</v>
      </c>
      <c r="AG90" s="2">
        <v>0.0</v>
      </c>
      <c r="AH90" s="2">
        <v>6.0</v>
      </c>
      <c r="AI90" s="2">
        <v>4.0</v>
      </c>
      <c r="AJ90" s="2">
        <v>1.0</v>
      </c>
      <c r="AK90" s="2">
        <v>0.0</v>
      </c>
      <c r="AL90" s="2">
        <v>16.0</v>
      </c>
      <c r="AM90" s="2">
        <v>24.0</v>
      </c>
      <c r="AN90" s="2">
        <v>202.0</v>
      </c>
      <c r="AO90" s="2">
        <v>2.0</v>
      </c>
      <c r="AP90" s="2">
        <v>0.0</v>
      </c>
      <c r="AQ90" s="2">
        <v>0.0</v>
      </c>
      <c r="AR90" s="2">
        <v>188.0</v>
      </c>
      <c r="AS90" s="2">
        <v>109.0</v>
      </c>
      <c r="AT90" s="2">
        <v>10.0</v>
      </c>
      <c r="AU90" s="2">
        <v>10.3178878000003</v>
      </c>
      <c r="AV90" s="2">
        <v>0.0</v>
      </c>
      <c r="AW90" s="2">
        <v>9.0</v>
      </c>
      <c r="AX90" s="2">
        <v>4.0</v>
      </c>
      <c r="AY90" s="2">
        <v>3.0</v>
      </c>
      <c r="AZ90" s="2">
        <v>0.0</v>
      </c>
      <c r="BA90" s="2">
        <v>0.0</v>
      </c>
      <c r="BB90" s="2">
        <v>40.0</v>
      </c>
      <c r="BC90" s="2">
        <v>5.0</v>
      </c>
      <c r="BD90" s="2">
        <v>17.0</v>
      </c>
      <c r="BE90" s="2">
        <v>7.0</v>
      </c>
      <c r="BF90" s="2">
        <v>29.0</v>
      </c>
      <c r="BG90" s="2">
        <v>5.0</v>
      </c>
      <c r="BH90" s="2">
        <v>4.0</v>
      </c>
      <c r="BI90" s="2">
        <v>22.0</v>
      </c>
      <c r="BJ90" s="2">
        <v>9.0</v>
      </c>
      <c r="BK90" s="2">
        <v>2.0</v>
      </c>
      <c r="BL90" s="2">
        <v>87.0</v>
      </c>
      <c r="BM90" s="2">
        <v>5.0</v>
      </c>
      <c r="BN90" s="2">
        <v>1.0</v>
      </c>
      <c r="BO90" s="2">
        <v>0.0</v>
      </c>
      <c r="BP90" s="2">
        <v>0.0</v>
      </c>
      <c r="BQ90" s="2">
        <v>0.0</v>
      </c>
      <c r="BR90" s="2">
        <v>1.0</v>
      </c>
      <c r="BS90" s="2">
        <v>0.0</v>
      </c>
      <c r="BT90" s="2">
        <v>3.0</v>
      </c>
      <c r="BU90" s="2">
        <v>66.0</v>
      </c>
      <c r="BV90" s="2">
        <v>1.0</v>
      </c>
      <c r="BW90" s="2">
        <v>13.0</v>
      </c>
      <c r="BX90" s="2">
        <v>105.0</v>
      </c>
      <c r="BY90" s="2">
        <v>2.0</v>
      </c>
      <c r="BZ90" s="2">
        <v>1.0</v>
      </c>
      <c r="CA90" s="2">
        <v>0.0</v>
      </c>
      <c r="CB90" s="2">
        <v>0.0</v>
      </c>
      <c r="CC90" s="2">
        <v>1.0</v>
      </c>
      <c r="CD90" s="2">
        <v>0.0</v>
      </c>
      <c r="CE90" s="2">
        <v>5.0</v>
      </c>
      <c r="CF90" s="2">
        <v>68.0</v>
      </c>
      <c r="CG90" s="2">
        <v>3.0</v>
      </c>
      <c r="CH90" s="2">
        <v>84.0</v>
      </c>
      <c r="CI90" s="2">
        <v>2.0</v>
      </c>
      <c r="CJ90" s="2">
        <v>2.0</v>
      </c>
      <c r="CK90" s="2">
        <v>0.0</v>
      </c>
      <c r="CL90" s="2">
        <v>0.0</v>
      </c>
      <c r="CM90" s="2">
        <v>62.0</v>
      </c>
      <c r="CN90" s="2">
        <v>1.0</v>
      </c>
      <c r="CO90" s="2">
        <v>0.0</v>
      </c>
      <c r="CP90" s="2">
        <v>0.0</v>
      </c>
      <c r="CQ90" s="2">
        <v>1.0</v>
      </c>
      <c r="CR90" s="2">
        <v>0.0</v>
      </c>
      <c r="CS90" s="2">
        <v>0.0</v>
      </c>
      <c r="CT90" s="2">
        <v>1.0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 t="s">
        <v>2041</v>
      </c>
      <c r="DD90" s="2">
        <v>97.0</v>
      </c>
      <c r="DE90" s="2">
        <v>0.0</v>
      </c>
      <c r="DF90" s="2">
        <v>0.0</v>
      </c>
      <c r="DG90" s="2">
        <v>6.0</v>
      </c>
      <c r="DH90" s="2">
        <v>6.0</v>
      </c>
      <c r="DI90" s="2">
        <v>0.0</v>
      </c>
      <c r="DJ90" s="2">
        <v>0.0</v>
      </c>
      <c r="DK90" s="2">
        <v>1.0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5.0</v>
      </c>
      <c r="DR90" s="2">
        <v>0.0</v>
      </c>
      <c r="DS90" s="2">
        <v>46.0</v>
      </c>
      <c r="DT90" s="2">
        <v>220.0</v>
      </c>
      <c r="DU90" s="2">
        <v>2.0</v>
      </c>
      <c r="DV90" s="2">
        <v>0.0</v>
      </c>
      <c r="DW90" s="2">
        <v>0.0</v>
      </c>
      <c r="DX90" s="2">
        <v>0.0</v>
      </c>
      <c r="DY90" s="2">
        <v>4.0</v>
      </c>
      <c r="DZ90" s="2">
        <v>1.0</v>
      </c>
      <c r="EA90" s="2">
        <v>9.0</v>
      </c>
      <c r="EB90" s="2">
        <v>0.0</v>
      </c>
      <c r="EC90" s="2">
        <v>211.0</v>
      </c>
      <c r="EE90" s="2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2">
        <v>2025.0</v>
      </c>
      <c r="B91" s="2">
        <v>3.0</v>
      </c>
      <c r="C91" s="2" t="s">
        <v>145</v>
      </c>
      <c r="D91" s="2" t="s">
        <v>390</v>
      </c>
      <c r="E91" s="2" t="s">
        <v>643</v>
      </c>
      <c r="F91" s="2" t="s">
        <v>242</v>
      </c>
      <c r="G91" s="2">
        <v>28.0</v>
      </c>
      <c r="H91" s="2">
        <v>37.0</v>
      </c>
      <c r="I91" s="2">
        <v>268.0</v>
      </c>
      <c r="J91" s="2">
        <v>2.0</v>
      </c>
      <c r="K91" s="2">
        <v>1.0</v>
      </c>
      <c r="L91" s="2">
        <v>5.0</v>
      </c>
      <c r="M91" s="2">
        <v>-18.0</v>
      </c>
      <c r="N91" s="2">
        <v>1.0</v>
      </c>
      <c r="O91" s="2">
        <v>1.0</v>
      </c>
      <c r="P91" s="2">
        <v>207.0</v>
      </c>
      <c r="Q91" s="2">
        <v>109.0</v>
      </c>
      <c r="R91" s="2">
        <v>13.0</v>
      </c>
      <c r="S91" s="2">
        <v>1.41291899300995</v>
      </c>
      <c r="T91" s="2">
        <v>7.90583797627025</v>
      </c>
      <c r="U91" s="2">
        <v>0.0</v>
      </c>
      <c r="V91" s="2">
        <v>11.0</v>
      </c>
      <c r="W91" s="2">
        <v>5.0</v>
      </c>
      <c r="X91" s="2">
        <v>2.0</v>
      </c>
      <c r="Y91" s="2">
        <v>0.0</v>
      </c>
      <c r="Z91" s="2">
        <v>29.0</v>
      </c>
      <c r="AA91" s="2">
        <v>119.0</v>
      </c>
      <c r="AB91" s="2">
        <v>0.0</v>
      </c>
      <c r="AC91" s="2">
        <v>3.0</v>
      </c>
      <c r="AD91" s="2">
        <v>3.0</v>
      </c>
      <c r="AE91" s="2">
        <v>10.0</v>
      </c>
      <c r="AF91" s="2">
        <v>-12.5928289477015</v>
      </c>
      <c r="AG91" s="2">
        <v>0.0</v>
      </c>
      <c r="AH91" s="2">
        <v>4.0</v>
      </c>
      <c r="AI91" s="2">
        <v>2.0</v>
      </c>
      <c r="AJ91" s="2">
        <v>0.0</v>
      </c>
      <c r="AK91" s="2">
        <v>0.0</v>
      </c>
      <c r="AL91" s="2">
        <v>28.0</v>
      </c>
      <c r="AM91" s="2">
        <v>36.0</v>
      </c>
      <c r="AN91" s="2">
        <v>268.0</v>
      </c>
      <c r="AO91" s="2">
        <v>2.0</v>
      </c>
      <c r="AP91" s="2">
        <v>0.0</v>
      </c>
      <c r="AQ91" s="2">
        <v>0.0</v>
      </c>
      <c r="AR91" s="2">
        <v>207.0</v>
      </c>
      <c r="AS91" s="2">
        <v>109.0</v>
      </c>
      <c r="AT91" s="2">
        <v>13.0</v>
      </c>
      <c r="AU91" s="2">
        <v>12.4123504312884</v>
      </c>
      <c r="AV91" s="2">
        <v>0.0</v>
      </c>
      <c r="AW91" s="2">
        <v>11.0</v>
      </c>
      <c r="AX91" s="2">
        <v>5.0</v>
      </c>
      <c r="AY91" s="2">
        <v>2.0</v>
      </c>
      <c r="AZ91" s="2">
        <v>0.0</v>
      </c>
      <c r="BA91" s="2">
        <v>0.0</v>
      </c>
      <c r="BB91" s="2">
        <v>27.0</v>
      </c>
      <c r="BC91" s="2">
        <v>4.0</v>
      </c>
      <c r="BD91" s="2">
        <v>20.0</v>
      </c>
      <c r="BE91" s="2">
        <v>6.0</v>
      </c>
      <c r="BF91" s="2">
        <v>12.0</v>
      </c>
      <c r="BG91" s="2">
        <v>1.0</v>
      </c>
      <c r="BH91" s="2">
        <v>0.0</v>
      </c>
      <c r="BI91" s="2">
        <v>0.0</v>
      </c>
      <c r="BJ91" s="2">
        <v>3.0</v>
      </c>
      <c r="BK91" s="2">
        <v>1.0</v>
      </c>
      <c r="BL91" s="2">
        <v>37.0</v>
      </c>
      <c r="BM91" s="2">
        <v>1.0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7.0</v>
      </c>
      <c r="BX91" s="2">
        <v>54.0</v>
      </c>
      <c r="BY91" s="2">
        <v>2.0</v>
      </c>
      <c r="BZ91" s="2">
        <v>4.0</v>
      </c>
      <c r="CA91" s="2">
        <v>0.0</v>
      </c>
      <c r="CB91" s="2">
        <v>0.0</v>
      </c>
      <c r="CC91" s="2">
        <v>4.0</v>
      </c>
      <c r="CD91" s="2">
        <v>4.0</v>
      </c>
      <c r="CE91" s="2">
        <v>1.0</v>
      </c>
      <c r="CF91" s="2">
        <v>11.0</v>
      </c>
      <c r="CG91" s="2">
        <v>4.0</v>
      </c>
      <c r="CH91" s="2">
        <v>94.0</v>
      </c>
      <c r="CI91" s="2">
        <v>0.0</v>
      </c>
      <c r="CJ91" s="2">
        <v>0.0</v>
      </c>
      <c r="CK91" s="2">
        <v>0.0</v>
      </c>
      <c r="CL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D91" s="2">
        <v>0.0</v>
      </c>
      <c r="DE91" s="2">
        <v>0.0</v>
      </c>
      <c r="DF91" s="2">
        <v>0.0</v>
      </c>
      <c r="DG91" s="2">
        <v>2.0</v>
      </c>
      <c r="DH91" s="2">
        <v>2.0</v>
      </c>
      <c r="DI91" s="2">
        <v>0.0</v>
      </c>
      <c r="DJ91" s="2">
        <v>0.0</v>
      </c>
      <c r="DK91" s="2">
        <v>1.0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1.0</v>
      </c>
      <c r="DR91" s="2">
        <v>0.0</v>
      </c>
      <c r="DS91" s="2">
        <v>59.0</v>
      </c>
      <c r="DT91" s="2">
        <v>59.0</v>
      </c>
      <c r="DU91" s="2">
        <v>0.0</v>
      </c>
      <c r="DV91" s="2">
        <v>0.0</v>
      </c>
      <c r="DW91" s="2">
        <v>0.0</v>
      </c>
      <c r="DX91" s="2">
        <v>1.0</v>
      </c>
      <c r="DY91" s="2">
        <v>0.0</v>
      </c>
      <c r="DZ91" s="2">
        <v>0.0</v>
      </c>
      <c r="EA91" s="2">
        <v>0.0</v>
      </c>
      <c r="EB91" s="2">
        <v>0.0</v>
      </c>
      <c r="EC91" s="2">
        <v>39.0</v>
      </c>
      <c r="EE91" s="2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2">
        <v>2025.0</v>
      </c>
      <c r="B92" s="2">
        <v>3.0</v>
      </c>
      <c r="C92" s="2" t="s">
        <v>232</v>
      </c>
      <c r="D92" s="2" t="s">
        <v>390</v>
      </c>
      <c r="E92" s="2" t="s">
        <v>661</v>
      </c>
      <c r="F92" s="2" t="s">
        <v>149</v>
      </c>
      <c r="G92" s="2">
        <v>28.0</v>
      </c>
      <c r="H92" s="2">
        <v>41.0</v>
      </c>
      <c r="I92" s="2">
        <v>218.0</v>
      </c>
      <c r="J92" s="2">
        <v>1.0</v>
      </c>
      <c r="K92" s="2">
        <v>1.0</v>
      </c>
      <c r="L92" s="2">
        <v>2.0</v>
      </c>
      <c r="M92" s="2">
        <v>-13.0</v>
      </c>
      <c r="N92" s="2">
        <v>0.0</v>
      </c>
      <c r="O92" s="2">
        <v>0.0</v>
      </c>
      <c r="P92" s="2">
        <v>347.0</v>
      </c>
      <c r="Q92" s="2">
        <v>102.0</v>
      </c>
      <c r="R92" s="2">
        <v>12.0</v>
      </c>
      <c r="S92" s="2">
        <v>-0.331401687751354</v>
      </c>
      <c r="T92" s="2">
        <v>4.33502517095426</v>
      </c>
      <c r="U92" s="2">
        <v>0.0</v>
      </c>
      <c r="V92" s="2">
        <v>6.0</v>
      </c>
      <c r="W92" s="2">
        <v>1.0</v>
      </c>
      <c r="X92" s="2">
        <v>1.0</v>
      </c>
      <c r="Y92" s="2">
        <v>0.0</v>
      </c>
      <c r="Z92" s="2">
        <v>27.0</v>
      </c>
      <c r="AA92" s="2">
        <v>79.0</v>
      </c>
      <c r="AB92" s="2">
        <v>0.0</v>
      </c>
      <c r="AC92" s="2">
        <v>0.0</v>
      </c>
      <c r="AD92" s="2">
        <v>0.0</v>
      </c>
      <c r="AE92" s="2">
        <v>4.0</v>
      </c>
      <c r="AF92" s="2">
        <v>-8.00912173959659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28.0</v>
      </c>
      <c r="AM92" s="2">
        <v>41.0</v>
      </c>
      <c r="AN92" s="2">
        <v>218.0</v>
      </c>
      <c r="AO92" s="2">
        <v>1.0</v>
      </c>
      <c r="AP92" s="2">
        <v>0.0</v>
      </c>
      <c r="AQ92" s="2">
        <v>0.0</v>
      </c>
      <c r="AR92" s="2">
        <v>347.0</v>
      </c>
      <c r="AS92" s="2">
        <v>102.0</v>
      </c>
      <c r="AT92" s="2">
        <v>12.0</v>
      </c>
      <c r="AU92" s="2">
        <v>0.412995739204048</v>
      </c>
      <c r="AV92" s="2">
        <v>0.0</v>
      </c>
      <c r="AW92" s="2">
        <v>6.0</v>
      </c>
      <c r="AX92" s="2">
        <v>1.0</v>
      </c>
      <c r="AY92" s="2">
        <v>1.0</v>
      </c>
      <c r="AZ92" s="2">
        <v>0.0</v>
      </c>
      <c r="BA92" s="2">
        <v>0.0</v>
      </c>
      <c r="BB92" s="2">
        <v>31.0</v>
      </c>
      <c r="BC92" s="2">
        <v>4.0</v>
      </c>
      <c r="BD92" s="2">
        <v>32.0</v>
      </c>
      <c r="BE92" s="2">
        <v>3.0</v>
      </c>
      <c r="BF92" s="2">
        <v>4.0</v>
      </c>
      <c r="BG92" s="2">
        <v>1.0</v>
      </c>
      <c r="BH92" s="2">
        <v>0.0</v>
      </c>
      <c r="BI92" s="2">
        <v>0.0</v>
      </c>
      <c r="BJ92" s="2">
        <v>2.0</v>
      </c>
      <c r="BK92" s="2">
        <v>0.0</v>
      </c>
      <c r="BL92" s="2">
        <v>0.0</v>
      </c>
      <c r="BM92" s="2">
        <v>2.0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1.0</v>
      </c>
      <c r="BU92" s="2">
        <v>0.0</v>
      </c>
      <c r="BV92" s="2">
        <v>0.0</v>
      </c>
      <c r="BW92" s="2">
        <v>11.0</v>
      </c>
      <c r="BX92" s="2">
        <v>77.0</v>
      </c>
      <c r="BY92" s="2">
        <v>3.0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1.0</v>
      </c>
      <c r="CF92" s="2">
        <v>40.0</v>
      </c>
      <c r="CG92" s="2">
        <v>8.0</v>
      </c>
      <c r="CH92" s="2">
        <v>182.0</v>
      </c>
      <c r="CI92" s="2">
        <v>2.0</v>
      </c>
      <c r="CJ92" s="2">
        <v>3.0</v>
      </c>
      <c r="CK92" s="2">
        <v>1.0</v>
      </c>
      <c r="CL92" s="2">
        <v>0.0</v>
      </c>
      <c r="CM92" s="2">
        <v>27.0</v>
      </c>
      <c r="CN92" s="2">
        <v>0.666666666666667</v>
      </c>
      <c r="CO92" s="2">
        <v>0.0</v>
      </c>
      <c r="CP92" s="2">
        <v>2.0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1.0</v>
      </c>
      <c r="CZ92" s="2">
        <v>0.0</v>
      </c>
      <c r="DA92" s="2" t="s">
        <v>2042</v>
      </c>
      <c r="DB92" s="2" t="s">
        <v>2034</v>
      </c>
      <c r="DD92" s="2">
        <v>50.0</v>
      </c>
      <c r="DE92" s="2">
        <v>52.0</v>
      </c>
      <c r="DF92" s="2">
        <v>0.0</v>
      </c>
      <c r="DG92" s="2">
        <v>1.0</v>
      </c>
      <c r="DH92" s="2">
        <v>1.0</v>
      </c>
      <c r="DI92" s="2">
        <v>0.0</v>
      </c>
      <c r="DJ92" s="2">
        <v>0.0</v>
      </c>
      <c r="DK92" s="2">
        <v>1.0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5.0</v>
      </c>
      <c r="DR92" s="2">
        <v>1.0</v>
      </c>
      <c r="DS92" s="2">
        <v>61.0</v>
      </c>
      <c r="DT92" s="2">
        <v>243.0</v>
      </c>
      <c r="DU92" s="2">
        <v>0.0</v>
      </c>
      <c r="DV92" s="2">
        <v>1.0</v>
      </c>
      <c r="DW92" s="2">
        <v>0.0</v>
      </c>
      <c r="DX92" s="2">
        <v>0.0</v>
      </c>
      <c r="DY92" s="2">
        <v>1.0</v>
      </c>
      <c r="DZ92" s="2">
        <v>3.0</v>
      </c>
      <c r="EA92" s="2">
        <v>114.0</v>
      </c>
      <c r="EB92" s="2">
        <v>1.0</v>
      </c>
      <c r="EC92" s="2">
        <v>129.0</v>
      </c>
      <c r="EE92" s="2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2">
        <v>2025.0</v>
      </c>
      <c r="B93" s="2">
        <v>3.0</v>
      </c>
      <c r="C93" s="2" t="s">
        <v>235</v>
      </c>
      <c r="D93" s="2" t="s">
        <v>390</v>
      </c>
      <c r="E93" s="2" t="s">
        <v>669</v>
      </c>
      <c r="F93" s="2" t="s">
        <v>143</v>
      </c>
      <c r="G93" s="2">
        <v>18.0</v>
      </c>
      <c r="H93" s="2">
        <v>32.0</v>
      </c>
      <c r="I93" s="2">
        <v>160.0</v>
      </c>
      <c r="J93" s="2">
        <v>0.0</v>
      </c>
      <c r="K93" s="2">
        <v>2.0</v>
      </c>
      <c r="L93" s="2">
        <v>2.0</v>
      </c>
      <c r="M93" s="2">
        <v>-9.0</v>
      </c>
      <c r="N93" s="2">
        <v>0.0</v>
      </c>
      <c r="O93" s="2">
        <v>0.0</v>
      </c>
      <c r="P93" s="2">
        <v>284.0</v>
      </c>
      <c r="Q93" s="2">
        <v>96.0</v>
      </c>
      <c r="R93" s="2">
        <v>7.0</v>
      </c>
      <c r="S93" s="2">
        <v>-14.8185249845847</v>
      </c>
      <c r="T93" s="2">
        <v>-4.92689579725266</v>
      </c>
      <c r="U93" s="2">
        <v>0.0</v>
      </c>
      <c r="V93" s="2">
        <v>6.0</v>
      </c>
      <c r="W93" s="2">
        <v>3.0</v>
      </c>
      <c r="X93" s="2">
        <v>2.0</v>
      </c>
      <c r="Y93" s="2">
        <v>0.0</v>
      </c>
      <c r="Z93" s="2">
        <v>27.0</v>
      </c>
      <c r="AA93" s="2">
        <v>130.0</v>
      </c>
      <c r="AB93" s="2">
        <v>1.0</v>
      </c>
      <c r="AC93" s="2">
        <v>0.0</v>
      </c>
      <c r="AD93" s="2">
        <v>0.0</v>
      </c>
      <c r="AE93" s="2">
        <v>8.0</v>
      </c>
      <c r="AF93" s="2">
        <v>-0.422504970704646</v>
      </c>
      <c r="AG93" s="2">
        <v>0.0</v>
      </c>
      <c r="AH93" s="2">
        <v>5.0</v>
      </c>
      <c r="AI93" s="2">
        <v>2.0</v>
      </c>
      <c r="AJ93" s="2">
        <v>0.0</v>
      </c>
      <c r="AK93" s="2">
        <v>0.0</v>
      </c>
      <c r="AL93" s="2">
        <v>18.0</v>
      </c>
      <c r="AM93" s="2">
        <v>30.0</v>
      </c>
      <c r="AN93" s="2">
        <v>160.0</v>
      </c>
      <c r="AO93" s="2">
        <v>0.0</v>
      </c>
      <c r="AP93" s="2">
        <v>0.0</v>
      </c>
      <c r="AQ93" s="2">
        <v>0.0</v>
      </c>
      <c r="AR93" s="2">
        <v>284.0</v>
      </c>
      <c r="AS93" s="2">
        <v>96.0</v>
      </c>
      <c r="AT93" s="2">
        <v>7.0</v>
      </c>
      <c r="AU93" s="2">
        <v>-9.18938162759878</v>
      </c>
      <c r="AV93" s="2">
        <v>0.0</v>
      </c>
      <c r="AW93" s="2">
        <v>6.0</v>
      </c>
      <c r="AX93" s="2">
        <v>3.0</v>
      </c>
      <c r="AY93" s="2">
        <v>2.0</v>
      </c>
      <c r="AZ93" s="2">
        <v>0.0</v>
      </c>
      <c r="BA93" s="2">
        <v>0.0</v>
      </c>
      <c r="BB93" s="2">
        <v>41.0</v>
      </c>
      <c r="BC93" s="2">
        <v>2.0</v>
      </c>
      <c r="BD93" s="2">
        <v>18.0</v>
      </c>
      <c r="BE93" s="2">
        <v>4.0</v>
      </c>
      <c r="BF93" s="2">
        <v>21.0</v>
      </c>
      <c r="BG93" s="2">
        <v>1.0</v>
      </c>
      <c r="BH93" s="2">
        <v>1.0</v>
      </c>
      <c r="BI93" s="2">
        <v>15.0</v>
      </c>
      <c r="BJ93" s="2">
        <v>7.0</v>
      </c>
      <c r="BK93" s="2">
        <v>0.0</v>
      </c>
      <c r="BL93" s="2">
        <v>0.0</v>
      </c>
      <c r="BM93" s="2">
        <v>6.0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7.0</v>
      </c>
      <c r="BX93" s="2">
        <v>82.0</v>
      </c>
      <c r="BY93" s="2">
        <v>7.0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2.0</v>
      </c>
      <c r="CF93" s="2">
        <v>17.0</v>
      </c>
      <c r="CG93" s="2">
        <v>5.0</v>
      </c>
      <c r="CH93" s="2">
        <v>134.0</v>
      </c>
      <c r="CI93" s="2">
        <v>1.0</v>
      </c>
      <c r="CJ93" s="2">
        <v>1.0</v>
      </c>
      <c r="CK93" s="2">
        <v>0.0</v>
      </c>
      <c r="CL93" s="2">
        <v>0.0</v>
      </c>
      <c r="CM93" s="2">
        <v>25.0</v>
      </c>
      <c r="CN93" s="2">
        <v>1.0</v>
      </c>
      <c r="CO93" s="2">
        <v>0.0</v>
      </c>
      <c r="CP93" s="2">
        <v>1.0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 t="s">
        <v>2043</v>
      </c>
      <c r="DD93" s="2">
        <v>25.0</v>
      </c>
      <c r="DE93" s="2">
        <v>0.0</v>
      </c>
      <c r="DF93" s="2">
        <v>0.0</v>
      </c>
      <c r="DG93" s="2">
        <v>0.0</v>
      </c>
      <c r="DH93" s="2">
        <v>1.0</v>
      </c>
      <c r="DI93" s="2">
        <v>0.0</v>
      </c>
      <c r="DJ93" s="2">
        <v>1.0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2.0</v>
      </c>
      <c r="DR93" s="2">
        <v>0.0</v>
      </c>
      <c r="DS93" s="2">
        <v>33.0</v>
      </c>
      <c r="DT93" s="2">
        <v>61.0</v>
      </c>
      <c r="DU93" s="2">
        <v>2.0</v>
      </c>
      <c r="DV93" s="2">
        <v>0.0</v>
      </c>
      <c r="DW93" s="2">
        <v>1.0</v>
      </c>
      <c r="DX93" s="2">
        <v>0.0</v>
      </c>
      <c r="DY93" s="2">
        <v>0.0</v>
      </c>
      <c r="DZ93" s="2">
        <v>1.0</v>
      </c>
      <c r="EA93" s="2">
        <v>4.0</v>
      </c>
      <c r="EB93" s="2">
        <v>0.0</v>
      </c>
      <c r="EC93" s="2">
        <v>57.0</v>
      </c>
      <c r="EE93" s="2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2">
        <v>2025.0</v>
      </c>
      <c r="B94" s="2">
        <v>3.0</v>
      </c>
      <c r="C94" s="2" t="s">
        <v>238</v>
      </c>
      <c r="D94" s="2" t="s">
        <v>390</v>
      </c>
      <c r="E94" s="2" t="s">
        <v>647</v>
      </c>
      <c r="F94" s="2" t="s">
        <v>150</v>
      </c>
      <c r="G94" s="2">
        <v>26.0</v>
      </c>
      <c r="H94" s="2">
        <v>36.0</v>
      </c>
      <c r="I94" s="2">
        <v>197.0</v>
      </c>
      <c r="J94" s="2">
        <v>2.0</v>
      </c>
      <c r="K94" s="2">
        <v>1.0</v>
      </c>
      <c r="L94" s="2">
        <v>4.0</v>
      </c>
      <c r="M94" s="2">
        <v>-29.0</v>
      </c>
      <c r="N94" s="2">
        <v>1.0</v>
      </c>
      <c r="O94" s="2">
        <v>1.0</v>
      </c>
      <c r="P94" s="2">
        <v>161.0</v>
      </c>
      <c r="Q94" s="2">
        <v>106.0</v>
      </c>
      <c r="R94" s="2">
        <v>13.0</v>
      </c>
      <c r="S94" s="2">
        <v>-7.88690156732874</v>
      </c>
      <c r="T94" s="2">
        <v>7.48388017926897</v>
      </c>
      <c r="U94" s="2">
        <v>0.0</v>
      </c>
      <c r="V94" s="2">
        <v>7.0</v>
      </c>
      <c r="W94" s="2">
        <v>2.0</v>
      </c>
      <c r="X94" s="2">
        <v>1.0</v>
      </c>
      <c r="Y94" s="2">
        <v>0.0</v>
      </c>
      <c r="Z94" s="2">
        <v>23.0</v>
      </c>
      <c r="AA94" s="2">
        <v>99.0</v>
      </c>
      <c r="AB94" s="2">
        <v>0.0</v>
      </c>
      <c r="AC94" s="2">
        <v>0.0</v>
      </c>
      <c r="AD94" s="2">
        <v>0.0</v>
      </c>
      <c r="AE94" s="2">
        <v>5.0</v>
      </c>
      <c r="AF94" s="2">
        <v>-3.53839694254566</v>
      </c>
      <c r="AG94" s="2">
        <v>0.0</v>
      </c>
      <c r="AH94" s="2">
        <v>3.0</v>
      </c>
      <c r="AI94" s="2">
        <v>2.0</v>
      </c>
      <c r="AJ94" s="2">
        <v>0.0</v>
      </c>
      <c r="AK94" s="2">
        <v>0.0</v>
      </c>
      <c r="AL94" s="2">
        <v>26.0</v>
      </c>
      <c r="AM94" s="2">
        <v>35.0</v>
      </c>
      <c r="AN94" s="2">
        <v>197.0</v>
      </c>
      <c r="AO94" s="2">
        <v>2.0</v>
      </c>
      <c r="AP94" s="2">
        <v>0.0</v>
      </c>
      <c r="AQ94" s="2">
        <v>0.0</v>
      </c>
      <c r="AR94" s="2">
        <v>161.0</v>
      </c>
      <c r="AS94" s="2">
        <v>106.0</v>
      </c>
      <c r="AT94" s="2">
        <v>13.0</v>
      </c>
      <c r="AU94" s="2">
        <v>-0.415703160501567</v>
      </c>
      <c r="AV94" s="2">
        <v>0.0</v>
      </c>
      <c r="AW94" s="2">
        <v>7.0</v>
      </c>
      <c r="AX94" s="2">
        <v>2.0</v>
      </c>
      <c r="AY94" s="2">
        <v>1.0</v>
      </c>
      <c r="AZ94" s="2">
        <v>0.0</v>
      </c>
      <c r="BA94" s="2">
        <v>1.0</v>
      </c>
      <c r="BB94" s="2">
        <v>39.0</v>
      </c>
      <c r="BC94" s="2">
        <v>3.0</v>
      </c>
      <c r="BD94" s="2">
        <v>37.0</v>
      </c>
      <c r="BE94" s="2">
        <v>7.0</v>
      </c>
      <c r="BF94" s="2">
        <v>21.0</v>
      </c>
      <c r="BG94" s="2">
        <v>1.0</v>
      </c>
      <c r="BH94" s="2">
        <v>1.0</v>
      </c>
      <c r="BI94" s="2">
        <v>8.0</v>
      </c>
      <c r="BJ94" s="2">
        <v>2.0</v>
      </c>
      <c r="BK94" s="2">
        <v>0.0</v>
      </c>
      <c r="BL94" s="2">
        <v>0.0</v>
      </c>
      <c r="BM94" s="2">
        <v>2.0</v>
      </c>
      <c r="BN94" s="2">
        <v>0.0</v>
      </c>
      <c r="BO94" s="2">
        <v>0.0</v>
      </c>
      <c r="BP94" s="2">
        <v>0.0</v>
      </c>
      <c r="BQ94" s="2">
        <v>50.0</v>
      </c>
      <c r="BR94" s="2">
        <v>0.0</v>
      </c>
      <c r="BS94" s="2">
        <v>0.0</v>
      </c>
      <c r="BT94" s="2">
        <v>0.0</v>
      </c>
      <c r="BU94" s="2">
        <v>0.0</v>
      </c>
      <c r="BV94" s="2">
        <v>0.0</v>
      </c>
      <c r="BW94" s="2">
        <v>7.0</v>
      </c>
      <c r="BX94" s="2">
        <v>81.0</v>
      </c>
      <c r="BY94" s="2">
        <v>6.0</v>
      </c>
      <c r="BZ94" s="2">
        <v>1.0</v>
      </c>
      <c r="CA94" s="2">
        <v>0.0</v>
      </c>
      <c r="CB94" s="2">
        <v>0.0</v>
      </c>
      <c r="CC94" s="2">
        <v>1.0</v>
      </c>
      <c r="CD94" s="2">
        <v>1.0</v>
      </c>
      <c r="CE94" s="2">
        <v>0.0</v>
      </c>
      <c r="CF94" s="2">
        <v>0.0</v>
      </c>
      <c r="CG94" s="2">
        <v>6.0</v>
      </c>
      <c r="CH94" s="2">
        <v>157.0</v>
      </c>
      <c r="CI94" s="2">
        <v>2.0</v>
      </c>
      <c r="CJ94" s="2">
        <v>2.0</v>
      </c>
      <c r="CK94" s="2">
        <v>0.0</v>
      </c>
      <c r="CL94" s="2">
        <v>0.0</v>
      </c>
      <c r="CM94" s="2">
        <v>42.0</v>
      </c>
      <c r="CN94" s="2">
        <v>1.0</v>
      </c>
      <c r="CO94" s="2">
        <v>0.0</v>
      </c>
      <c r="CP94" s="2">
        <v>0.0</v>
      </c>
      <c r="CQ94" s="2">
        <v>1.0</v>
      </c>
      <c r="CR94" s="2">
        <v>1.0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 t="s">
        <v>2044</v>
      </c>
      <c r="DD94" s="2">
        <v>80.0</v>
      </c>
      <c r="DE94" s="2">
        <v>0.0</v>
      </c>
      <c r="DF94" s="2">
        <v>0.0</v>
      </c>
      <c r="DG94" s="2">
        <v>3.0</v>
      </c>
      <c r="DH94" s="2">
        <v>3.0</v>
      </c>
      <c r="DI94" s="2">
        <v>0.0</v>
      </c>
      <c r="DJ94" s="2">
        <v>0.0</v>
      </c>
      <c r="DK94" s="2">
        <v>1.0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2.0</v>
      </c>
      <c r="DR94" s="2">
        <v>0.0</v>
      </c>
      <c r="DS94" s="2">
        <v>51.0</v>
      </c>
      <c r="DT94" s="2">
        <v>97.0</v>
      </c>
      <c r="DU94" s="2">
        <v>0.0</v>
      </c>
      <c r="DV94" s="2">
        <v>0.0</v>
      </c>
      <c r="DW94" s="2">
        <v>0.0</v>
      </c>
      <c r="DX94" s="2">
        <v>0.0</v>
      </c>
      <c r="DY94" s="2">
        <v>0.0</v>
      </c>
      <c r="DZ94" s="2">
        <v>2.0</v>
      </c>
      <c r="EA94" s="2">
        <v>-1.0</v>
      </c>
      <c r="EB94" s="2">
        <v>0.0</v>
      </c>
      <c r="EC94" s="2">
        <v>98.0</v>
      </c>
      <c r="EE94" s="2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2">
        <v>2025.0</v>
      </c>
      <c r="B95" s="2">
        <v>3.0</v>
      </c>
      <c r="C95" s="2" t="s">
        <v>147</v>
      </c>
      <c r="D95" s="2" t="s">
        <v>390</v>
      </c>
      <c r="E95" s="2" t="s">
        <v>645</v>
      </c>
      <c r="F95" s="2" t="s">
        <v>142</v>
      </c>
      <c r="G95" s="2">
        <v>21.0</v>
      </c>
      <c r="H95" s="2">
        <v>32.0</v>
      </c>
      <c r="I95" s="2">
        <v>226.0</v>
      </c>
      <c r="J95" s="2">
        <v>3.0</v>
      </c>
      <c r="K95" s="2">
        <v>0.0</v>
      </c>
      <c r="L95" s="2">
        <v>4.0</v>
      </c>
      <c r="M95" s="2">
        <v>-24.0</v>
      </c>
      <c r="N95" s="2">
        <v>1.0</v>
      </c>
      <c r="O95" s="2">
        <v>1.0</v>
      </c>
      <c r="P95" s="2">
        <v>274.0</v>
      </c>
      <c r="Q95" s="2">
        <v>63.0</v>
      </c>
      <c r="R95" s="2">
        <v>9.0</v>
      </c>
      <c r="S95" s="2">
        <v>-0.211598559529986</v>
      </c>
      <c r="T95" s="2">
        <v>5.95618416865667</v>
      </c>
      <c r="U95" s="2">
        <v>0.0</v>
      </c>
      <c r="V95" s="2">
        <v>7.0</v>
      </c>
      <c r="W95" s="2">
        <v>5.0</v>
      </c>
      <c r="X95" s="2">
        <v>4.0</v>
      </c>
      <c r="Y95" s="2">
        <v>0.0</v>
      </c>
      <c r="Z95" s="2">
        <v>27.0</v>
      </c>
      <c r="AA95" s="2">
        <v>86.0</v>
      </c>
      <c r="AB95" s="2">
        <v>1.0</v>
      </c>
      <c r="AC95" s="2">
        <v>0.0</v>
      </c>
      <c r="AD95" s="2">
        <v>0.0</v>
      </c>
      <c r="AE95" s="2">
        <v>8.0</v>
      </c>
      <c r="AF95" s="2">
        <v>1.25986258330522</v>
      </c>
      <c r="AG95" s="2">
        <v>0.0</v>
      </c>
      <c r="AH95" s="2">
        <v>3.0</v>
      </c>
      <c r="AI95" s="2">
        <v>2.0</v>
      </c>
      <c r="AJ95" s="2">
        <v>0.0</v>
      </c>
      <c r="AK95" s="2">
        <v>0.0</v>
      </c>
      <c r="AL95" s="2">
        <v>21.0</v>
      </c>
      <c r="AM95" s="2">
        <v>30.0</v>
      </c>
      <c r="AN95" s="2">
        <v>226.0</v>
      </c>
      <c r="AO95" s="2">
        <v>3.0</v>
      </c>
      <c r="AP95" s="2">
        <v>0.0</v>
      </c>
      <c r="AQ95" s="2">
        <v>0.0</v>
      </c>
      <c r="AR95" s="2">
        <v>274.0</v>
      </c>
      <c r="AS95" s="2">
        <v>63.0</v>
      </c>
      <c r="AT95" s="2">
        <v>9.0</v>
      </c>
      <c r="AU95" s="2">
        <v>11.5801307231742</v>
      </c>
      <c r="AV95" s="2">
        <v>0.0</v>
      </c>
      <c r="AW95" s="2">
        <v>7.0</v>
      </c>
      <c r="AX95" s="2">
        <v>5.0</v>
      </c>
      <c r="AY95" s="2">
        <v>4.0</v>
      </c>
      <c r="AZ95" s="2">
        <v>0.0</v>
      </c>
      <c r="BA95" s="2">
        <v>1.0</v>
      </c>
      <c r="BB95" s="2">
        <v>40.0</v>
      </c>
      <c r="BC95" s="2">
        <v>2.0</v>
      </c>
      <c r="BD95" s="2">
        <v>32.0</v>
      </c>
      <c r="BE95" s="2">
        <v>2.0</v>
      </c>
      <c r="BF95" s="2">
        <v>3.0</v>
      </c>
      <c r="BG95" s="2">
        <v>0.0</v>
      </c>
      <c r="BH95" s="2">
        <v>1.0</v>
      </c>
      <c r="BI95" s="2">
        <v>0.0</v>
      </c>
      <c r="BJ95" s="2">
        <v>7.0</v>
      </c>
      <c r="BK95" s="2">
        <v>1.0</v>
      </c>
      <c r="BL95" s="2">
        <v>0.0</v>
      </c>
      <c r="BM95" s="2">
        <v>4.0</v>
      </c>
      <c r="BN95" s="2">
        <v>0.0</v>
      </c>
      <c r="BO95" s="2">
        <v>0.0</v>
      </c>
      <c r="BP95" s="2">
        <v>0.0</v>
      </c>
      <c r="BQ95" s="2">
        <v>61.0</v>
      </c>
      <c r="BR95" s="2">
        <v>0.0</v>
      </c>
      <c r="BS95" s="2">
        <v>0.0</v>
      </c>
      <c r="BT95" s="2">
        <v>0.0</v>
      </c>
      <c r="BU95" s="2">
        <v>0.0</v>
      </c>
      <c r="BV95" s="2">
        <v>0.0</v>
      </c>
      <c r="BW95" s="2">
        <v>5.0</v>
      </c>
      <c r="BX95" s="2">
        <v>50.0</v>
      </c>
      <c r="BY95" s="2">
        <v>3.0</v>
      </c>
      <c r="BZ95" s="2">
        <v>1.0</v>
      </c>
      <c r="CA95" s="2">
        <v>0.0</v>
      </c>
      <c r="CB95" s="2">
        <v>0.0</v>
      </c>
      <c r="CC95" s="2">
        <v>1.0</v>
      </c>
      <c r="CD95" s="2">
        <v>1.0</v>
      </c>
      <c r="CE95" s="2">
        <v>0.0</v>
      </c>
      <c r="CF95" s="2">
        <v>0.0</v>
      </c>
      <c r="CG95" s="2">
        <v>5.0</v>
      </c>
      <c r="CH95" s="2">
        <v>55.0</v>
      </c>
      <c r="CI95" s="2">
        <v>0.0</v>
      </c>
      <c r="CJ95" s="2">
        <v>0.0</v>
      </c>
      <c r="CK95" s="2">
        <v>0.0</v>
      </c>
      <c r="CL95" s="2">
        <v>0.0</v>
      </c>
      <c r="CO95" s="2">
        <v>0.0</v>
      </c>
      <c r="CP95" s="2">
        <v>0.0</v>
      </c>
      <c r="CQ95" s="2">
        <v>0.0</v>
      </c>
      <c r="CR95" s="2">
        <v>0.0</v>
      </c>
      <c r="CS95" s="2">
        <v>0.0</v>
      </c>
      <c r="CT95" s="2">
        <v>0.0</v>
      </c>
      <c r="CU95" s="2">
        <v>0.0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D95" s="2">
        <v>0.0</v>
      </c>
      <c r="DE95" s="2">
        <v>0.0</v>
      </c>
      <c r="DF95" s="2">
        <v>0.0</v>
      </c>
      <c r="DG95" s="2">
        <v>3.0</v>
      </c>
      <c r="DH95" s="2">
        <v>3.0</v>
      </c>
      <c r="DI95" s="2">
        <v>0.0</v>
      </c>
      <c r="DJ95" s="2">
        <v>0.0</v>
      </c>
      <c r="DK95" s="2">
        <v>1.0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4.0</v>
      </c>
      <c r="DR95" s="2">
        <v>0.0</v>
      </c>
      <c r="DS95" s="2">
        <v>64.0</v>
      </c>
      <c r="DT95" s="2">
        <v>222.0</v>
      </c>
      <c r="DU95" s="2">
        <v>0.0</v>
      </c>
      <c r="DV95" s="2">
        <v>0.0</v>
      </c>
      <c r="DW95" s="2">
        <v>0.0</v>
      </c>
      <c r="DX95" s="2">
        <v>0.0</v>
      </c>
      <c r="DY95" s="2">
        <v>0.0</v>
      </c>
      <c r="DZ95" s="2">
        <v>4.0</v>
      </c>
      <c r="EA95" s="2">
        <v>53.0</v>
      </c>
      <c r="EB95" s="2">
        <v>0.0</v>
      </c>
      <c r="EC95" s="2">
        <v>169.0</v>
      </c>
      <c r="EE95" s="2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2">
        <v>2025.0</v>
      </c>
      <c r="B96" s="2">
        <v>3.0</v>
      </c>
      <c r="C96" s="2" t="s">
        <v>242</v>
      </c>
      <c r="D96" s="2" t="s">
        <v>390</v>
      </c>
      <c r="E96" s="2" t="s">
        <v>643</v>
      </c>
      <c r="F96" s="2" t="s">
        <v>145</v>
      </c>
      <c r="G96" s="2">
        <v>16.0</v>
      </c>
      <c r="H96" s="2">
        <v>23.0</v>
      </c>
      <c r="I96" s="2">
        <v>139.0</v>
      </c>
      <c r="J96" s="2">
        <v>2.0</v>
      </c>
      <c r="K96" s="2">
        <v>1.0</v>
      </c>
      <c r="L96" s="2">
        <v>0.0</v>
      </c>
      <c r="M96" s="2">
        <v>0.0</v>
      </c>
      <c r="N96" s="2">
        <v>0.0</v>
      </c>
      <c r="O96" s="2">
        <v>0.0</v>
      </c>
      <c r="P96" s="2">
        <v>114.0</v>
      </c>
      <c r="Q96" s="2">
        <v>107.0</v>
      </c>
      <c r="R96" s="2">
        <v>5.0</v>
      </c>
      <c r="S96" s="2">
        <v>0.193404949328396</v>
      </c>
      <c r="T96" s="2">
        <v>4.53472110358152</v>
      </c>
      <c r="U96" s="2">
        <v>0.0</v>
      </c>
      <c r="V96" s="2">
        <v>6.0</v>
      </c>
      <c r="W96" s="2">
        <v>2.0</v>
      </c>
      <c r="X96" s="2">
        <v>1.0</v>
      </c>
      <c r="Y96" s="2">
        <v>0.0</v>
      </c>
      <c r="Z96" s="2">
        <v>26.0</v>
      </c>
      <c r="AA96" s="2">
        <v>64.0</v>
      </c>
      <c r="AB96" s="2">
        <v>1.0</v>
      </c>
      <c r="AC96" s="2">
        <v>0.0</v>
      </c>
      <c r="AD96" s="2">
        <v>0.0</v>
      </c>
      <c r="AE96" s="2">
        <v>7.0</v>
      </c>
      <c r="AF96" s="2">
        <v>-2.58974153312738</v>
      </c>
      <c r="AG96" s="2">
        <v>0.0</v>
      </c>
      <c r="AH96" s="2">
        <v>2.0</v>
      </c>
      <c r="AI96" s="2">
        <v>1.0</v>
      </c>
      <c r="AJ96" s="2">
        <v>0.0</v>
      </c>
      <c r="AK96" s="2">
        <v>0.0</v>
      </c>
      <c r="AL96" s="2">
        <v>16.0</v>
      </c>
      <c r="AM96" s="2">
        <v>22.0</v>
      </c>
      <c r="AN96" s="2">
        <v>139.0</v>
      </c>
      <c r="AO96" s="2">
        <v>2.0</v>
      </c>
      <c r="AP96" s="2">
        <v>1.0</v>
      </c>
      <c r="AQ96" s="2">
        <v>0.0</v>
      </c>
      <c r="AR96" s="2">
        <v>114.0</v>
      </c>
      <c r="AS96" s="2">
        <v>107.0</v>
      </c>
      <c r="AT96" s="2">
        <v>5.0</v>
      </c>
      <c r="AU96" s="2">
        <v>0.716829093929846</v>
      </c>
      <c r="AV96" s="2">
        <v>0.0</v>
      </c>
      <c r="AW96" s="2">
        <v>6.0</v>
      </c>
      <c r="AX96" s="2">
        <v>2.0</v>
      </c>
      <c r="AY96" s="2">
        <v>1.0</v>
      </c>
      <c r="AZ96" s="2">
        <v>0.0</v>
      </c>
      <c r="BA96" s="2">
        <v>0.0</v>
      </c>
      <c r="BB96" s="2">
        <v>49.0</v>
      </c>
      <c r="BC96" s="2">
        <v>0.0</v>
      </c>
      <c r="BD96" s="2">
        <v>34.0</v>
      </c>
      <c r="BE96" s="2">
        <v>6.0</v>
      </c>
      <c r="BF96" s="2">
        <v>21.0</v>
      </c>
      <c r="BG96" s="2">
        <v>4.0</v>
      </c>
      <c r="BH96" s="2">
        <v>5.0</v>
      </c>
      <c r="BI96" s="2">
        <v>18.0</v>
      </c>
      <c r="BJ96" s="2">
        <v>8.0</v>
      </c>
      <c r="BK96" s="2">
        <v>1.0</v>
      </c>
      <c r="BL96" s="2">
        <v>0.0</v>
      </c>
      <c r="BM96" s="2">
        <v>5.0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4.0</v>
      </c>
      <c r="BU96" s="2">
        <v>-6.0</v>
      </c>
      <c r="BV96" s="2">
        <v>0.0</v>
      </c>
      <c r="BW96" s="2">
        <v>8.0</v>
      </c>
      <c r="BX96" s="2">
        <v>59.0</v>
      </c>
      <c r="BY96" s="2">
        <v>3.0</v>
      </c>
      <c r="BZ96" s="2">
        <v>1.0</v>
      </c>
      <c r="CA96" s="2">
        <v>0.0</v>
      </c>
      <c r="CB96" s="2">
        <v>1.0</v>
      </c>
      <c r="CC96" s="2">
        <v>1.0</v>
      </c>
      <c r="CD96" s="2">
        <v>0.0</v>
      </c>
      <c r="CE96" s="2">
        <v>0.0</v>
      </c>
      <c r="CF96" s="2">
        <v>0.0</v>
      </c>
      <c r="CG96" s="2">
        <v>1.0</v>
      </c>
      <c r="CH96" s="2">
        <v>27.0</v>
      </c>
      <c r="CI96" s="2">
        <v>0.0</v>
      </c>
      <c r="CJ96" s="2">
        <v>0.0</v>
      </c>
      <c r="CK96" s="2">
        <v>0.0</v>
      </c>
      <c r="CL96" s="2">
        <v>0.0</v>
      </c>
      <c r="CO96" s="2">
        <v>0.0</v>
      </c>
      <c r="CP96" s="2">
        <v>0.0</v>
      </c>
      <c r="CQ96" s="2">
        <v>0.0</v>
      </c>
      <c r="CR96" s="2">
        <v>0.0</v>
      </c>
      <c r="CS96" s="2">
        <v>0.0</v>
      </c>
      <c r="CT96" s="2">
        <v>0.0</v>
      </c>
      <c r="CU96" s="2">
        <v>0.0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D96" s="2">
        <v>0.0</v>
      </c>
      <c r="DE96" s="2">
        <v>0.0</v>
      </c>
      <c r="DF96" s="2">
        <v>0.0</v>
      </c>
      <c r="DG96" s="2">
        <v>3.0</v>
      </c>
      <c r="DH96" s="2">
        <v>3.0</v>
      </c>
      <c r="DI96" s="2">
        <v>0.0</v>
      </c>
      <c r="DJ96" s="2">
        <v>0.0</v>
      </c>
      <c r="DK96" s="2">
        <v>1.0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4.0</v>
      </c>
      <c r="DR96" s="2">
        <v>0.0</v>
      </c>
      <c r="DS96" s="2">
        <v>55.0</v>
      </c>
      <c r="DT96" s="2">
        <v>169.0</v>
      </c>
      <c r="DU96" s="2">
        <v>3.0</v>
      </c>
      <c r="DV96" s="2">
        <v>1.0</v>
      </c>
      <c r="DW96" s="2">
        <v>0.0</v>
      </c>
      <c r="DX96" s="2">
        <v>0.0</v>
      </c>
      <c r="DY96" s="2">
        <v>2.0</v>
      </c>
      <c r="DZ96" s="2">
        <v>1.0</v>
      </c>
      <c r="EA96" s="2">
        <v>11.0</v>
      </c>
      <c r="EB96" s="2">
        <v>0.0</v>
      </c>
      <c r="EC96" s="2">
        <v>158.0</v>
      </c>
      <c r="EE96" s="2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2">
        <v>2025.0</v>
      </c>
      <c r="B97" s="2">
        <v>3.0</v>
      </c>
      <c r="C97" s="2" t="s">
        <v>149</v>
      </c>
      <c r="D97" s="2" t="s">
        <v>390</v>
      </c>
      <c r="E97" s="2" t="s">
        <v>661</v>
      </c>
      <c r="F97" s="2" t="s">
        <v>232</v>
      </c>
      <c r="G97" s="2">
        <v>16.0</v>
      </c>
      <c r="H97" s="2">
        <v>21.0</v>
      </c>
      <c r="I97" s="2">
        <v>233.0</v>
      </c>
      <c r="J97" s="2">
        <v>2.0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163.0</v>
      </c>
      <c r="Q97" s="2">
        <v>79.0</v>
      </c>
      <c r="R97" s="2">
        <v>11.0</v>
      </c>
      <c r="S97" s="2">
        <v>16.0740122994352</v>
      </c>
      <c r="T97" s="2">
        <v>19.1194818913937</v>
      </c>
      <c r="U97" s="2">
        <v>0.0</v>
      </c>
      <c r="V97" s="2">
        <v>10.0</v>
      </c>
      <c r="W97" s="2">
        <v>4.0</v>
      </c>
      <c r="X97" s="2">
        <v>4.0</v>
      </c>
      <c r="Y97" s="2">
        <v>1.0</v>
      </c>
      <c r="Z97" s="2">
        <v>33.0</v>
      </c>
      <c r="AA97" s="2">
        <v>87.0</v>
      </c>
      <c r="AB97" s="2">
        <v>2.0</v>
      </c>
      <c r="AC97" s="2">
        <v>1.0</v>
      </c>
      <c r="AD97" s="2">
        <v>1.0</v>
      </c>
      <c r="AE97" s="2">
        <v>7.0</v>
      </c>
      <c r="AF97" s="2">
        <v>-8.59133141615894</v>
      </c>
      <c r="AG97" s="2">
        <v>0.0</v>
      </c>
      <c r="AH97" s="2">
        <v>3.0</v>
      </c>
      <c r="AI97" s="2">
        <v>0.0</v>
      </c>
      <c r="AJ97" s="2">
        <v>0.0</v>
      </c>
      <c r="AK97" s="2">
        <v>0.0</v>
      </c>
      <c r="AL97" s="2">
        <v>16.0</v>
      </c>
      <c r="AM97" s="2">
        <v>20.0</v>
      </c>
      <c r="AN97" s="2">
        <v>233.0</v>
      </c>
      <c r="AO97" s="2">
        <v>2.0</v>
      </c>
      <c r="AP97" s="2">
        <v>0.0</v>
      </c>
      <c r="AQ97" s="2">
        <v>0.0</v>
      </c>
      <c r="AR97" s="2">
        <v>163.0</v>
      </c>
      <c r="AS97" s="2">
        <v>79.0</v>
      </c>
      <c r="AT97" s="2">
        <v>11.0</v>
      </c>
      <c r="AU97" s="2">
        <v>16.809075804445</v>
      </c>
      <c r="AV97" s="2">
        <v>0.0</v>
      </c>
      <c r="AW97" s="2">
        <v>10.0</v>
      </c>
      <c r="AX97" s="2">
        <v>4.0</v>
      </c>
      <c r="AY97" s="2">
        <v>4.0</v>
      </c>
      <c r="AZ97" s="2">
        <v>1.0</v>
      </c>
      <c r="BA97" s="2">
        <v>1.0</v>
      </c>
      <c r="BB97" s="2">
        <v>51.0</v>
      </c>
      <c r="BC97" s="2">
        <v>2.0</v>
      </c>
      <c r="BD97" s="2">
        <v>24.0</v>
      </c>
      <c r="BE97" s="2">
        <v>4.0</v>
      </c>
      <c r="BF97" s="2">
        <v>13.0</v>
      </c>
      <c r="BG97" s="2">
        <v>0.0</v>
      </c>
      <c r="BH97" s="2">
        <v>2.0</v>
      </c>
      <c r="BI97" s="2">
        <v>13.0</v>
      </c>
      <c r="BJ97" s="2">
        <v>8.0</v>
      </c>
      <c r="BK97" s="2">
        <v>1.0</v>
      </c>
      <c r="BL97" s="2">
        <v>0.0</v>
      </c>
      <c r="BM97" s="2">
        <v>7.0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0.0</v>
      </c>
      <c r="BV97" s="2">
        <v>0.0</v>
      </c>
      <c r="BW97" s="2">
        <v>8.0</v>
      </c>
      <c r="BX97" s="2">
        <v>70.0</v>
      </c>
      <c r="BY97" s="2">
        <v>1.0</v>
      </c>
      <c r="BZ97" s="2">
        <v>1.0</v>
      </c>
      <c r="CA97" s="2">
        <v>0.0</v>
      </c>
      <c r="CB97" s="2">
        <v>0.0</v>
      </c>
      <c r="CC97" s="2">
        <v>1.0</v>
      </c>
      <c r="CD97" s="2">
        <v>1.0</v>
      </c>
      <c r="CE97" s="2">
        <v>3.0</v>
      </c>
      <c r="CF97" s="2">
        <v>114.0</v>
      </c>
      <c r="CG97" s="2">
        <v>2.0</v>
      </c>
      <c r="CH97" s="2">
        <v>92.0</v>
      </c>
      <c r="CI97" s="2">
        <v>3.0</v>
      </c>
      <c r="CJ97" s="2">
        <v>3.0</v>
      </c>
      <c r="CK97" s="2">
        <v>0.0</v>
      </c>
      <c r="CL97" s="2">
        <v>0.0</v>
      </c>
      <c r="CM97" s="2">
        <v>56.0</v>
      </c>
      <c r="CN97" s="2">
        <v>1.0</v>
      </c>
      <c r="CO97" s="2">
        <v>0.0</v>
      </c>
      <c r="CP97" s="2">
        <v>0.0</v>
      </c>
      <c r="CQ97" s="2">
        <v>1.0</v>
      </c>
      <c r="CR97" s="2">
        <v>1.0</v>
      </c>
      <c r="CS97" s="2">
        <v>1.0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 t="s">
        <v>2045</v>
      </c>
      <c r="DD97" s="2">
        <v>139.0</v>
      </c>
      <c r="DE97" s="2">
        <v>0.0</v>
      </c>
      <c r="DF97" s="2">
        <v>0.0</v>
      </c>
      <c r="DG97" s="2">
        <v>5.0</v>
      </c>
      <c r="DH97" s="2">
        <v>5.0</v>
      </c>
      <c r="DI97" s="2">
        <v>0.0</v>
      </c>
      <c r="DJ97" s="2">
        <v>0.0</v>
      </c>
      <c r="DK97" s="2">
        <v>1.0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2.0</v>
      </c>
      <c r="DR97" s="2">
        <v>0.0</v>
      </c>
      <c r="DS97" s="2">
        <v>47.0</v>
      </c>
      <c r="DT97" s="2">
        <v>92.0</v>
      </c>
      <c r="DU97" s="2">
        <v>1.0</v>
      </c>
      <c r="DV97" s="2">
        <v>0.0</v>
      </c>
      <c r="DW97" s="2">
        <v>0.0</v>
      </c>
      <c r="DX97" s="2">
        <v>0.0</v>
      </c>
      <c r="DY97" s="2">
        <v>1.0</v>
      </c>
      <c r="DZ97" s="2">
        <v>1.0</v>
      </c>
      <c r="EA97" s="2">
        <v>40.0</v>
      </c>
      <c r="EB97" s="2">
        <v>0.0</v>
      </c>
      <c r="EC97" s="2">
        <v>52.0</v>
      </c>
      <c r="EE97" s="2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2">
        <v>2025.0</v>
      </c>
      <c r="B98" s="2">
        <v>3.0</v>
      </c>
      <c r="C98" s="2" t="s">
        <v>246</v>
      </c>
      <c r="D98" s="2" t="s">
        <v>390</v>
      </c>
      <c r="E98" s="2" t="s">
        <v>665</v>
      </c>
      <c r="F98" s="2" t="s">
        <v>178</v>
      </c>
      <c r="G98" s="2">
        <v>27.0</v>
      </c>
      <c r="H98" s="2">
        <v>41.0</v>
      </c>
      <c r="I98" s="2">
        <v>284.0</v>
      </c>
      <c r="J98" s="2">
        <v>1.0</v>
      </c>
      <c r="K98" s="2">
        <v>1.0</v>
      </c>
      <c r="L98" s="2">
        <v>1.0</v>
      </c>
      <c r="M98" s="2">
        <v>-2.0</v>
      </c>
      <c r="N98" s="2">
        <v>0.0</v>
      </c>
      <c r="O98" s="2">
        <v>0.0</v>
      </c>
      <c r="P98" s="2">
        <v>309.0</v>
      </c>
      <c r="Q98" s="2">
        <v>101.0</v>
      </c>
      <c r="R98" s="2">
        <v>14.0</v>
      </c>
      <c r="S98" s="2">
        <v>1.50221513184712</v>
      </c>
      <c r="T98" s="2">
        <v>3.25556060201243</v>
      </c>
      <c r="U98" s="2">
        <v>0.0</v>
      </c>
      <c r="V98" s="2">
        <v>12.0</v>
      </c>
      <c r="W98" s="2">
        <v>6.0</v>
      </c>
      <c r="X98" s="2">
        <v>3.0</v>
      </c>
      <c r="Y98" s="2">
        <v>0.0</v>
      </c>
      <c r="Z98" s="2">
        <v>20.0</v>
      </c>
      <c r="AA98" s="2">
        <v>73.0</v>
      </c>
      <c r="AB98" s="2">
        <v>0.0</v>
      </c>
      <c r="AC98" s="2">
        <v>0.0</v>
      </c>
      <c r="AD98" s="2">
        <v>0.0</v>
      </c>
      <c r="AE98" s="2">
        <v>4.0</v>
      </c>
      <c r="AF98" s="2">
        <v>-4.74635050145615</v>
      </c>
      <c r="AG98" s="2">
        <v>0.0</v>
      </c>
      <c r="AH98" s="2">
        <v>3.0</v>
      </c>
      <c r="AI98" s="2">
        <v>2.0</v>
      </c>
      <c r="AJ98" s="2">
        <v>0.0</v>
      </c>
      <c r="AK98" s="2">
        <v>0.0</v>
      </c>
      <c r="AL98" s="2">
        <v>27.0</v>
      </c>
      <c r="AM98" s="2">
        <v>38.0</v>
      </c>
      <c r="AN98" s="2">
        <v>284.0</v>
      </c>
      <c r="AO98" s="2">
        <v>1.0</v>
      </c>
      <c r="AP98" s="2">
        <v>0.0</v>
      </c>
      <c r="AQ98" s="2">
        <v>0.0</v>
      </c>
      <c r="AR98" s="2">
        <v>309.0</v>
      </c>
      <c r="AS98" s="2">
        <v>101.0</v>
      </c>
      <c r="AT98" s="2">
        <v>14.0</v>
      </c>
      <c r="AU98" s="2">
        <v>4.46862476388102</v>
      </c>
      <c r="AV98" s="2">
        <v>0.0</v>
      </c>
      <c r="AW98" s="2">
        <v>12.0</v>
      </c>
      <c r="AX98" s="2">
        <v>6.0</v>
      </c>
      <c r="AY98" s="2">
        <v>3.0</v>
      </c>
      <c r="AZ98" s="2">
        <v>0.0</v>
      </c>
      <c r="BA98" s="2">
        <v>0.0</v>
      </c>
      <c r="BB98" s="2">
        <v>33.0</v>
      </c>
      <c r="BC98" s="2">
        <v>1.0</v>
      </c>
      <c r="BD98" s="2">
        <v>43.0</v>
      </c>
      <c r="BE98" s="2">
        <v>4.0</v>
      </c>
      <c r="BF98" s="2">
        <v>8.0</v>
      </c>
      <c r="BG98" s="2">
        <v>1.0</v>
      </c>
      <c r="BH98" s="2">
        <v>1.0</v>
      </c>
      <c r="BI98" s="2">
        <v>5.0</v>
      </c>
      <c r="BJ98" s="2">
        <v>4.0</v>
      </c>
      <c r="BK98" s="2">
        <v>0.0</v>
      </c>
      <c r="BL98" s="2">
        <v>0.0</v>
      </c>
      <c r="BM98" s="2">
        <v>5.0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0.0</v>
      </c>
      <c r="BV98" s="2">
        <v>0.0</v>
      </c>
      <c r="BW98" s="2">
        <v>5.0</v>
      </c>
      <c r="BX98" s="2">
        <v>69.0</v>
      </c>
      <c r="BY98" s="2">
        <v>5.0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3.0</v>
      </c>
      <c r="CF98" s="2">
        <v>26.0</v>
      </c>
      <c r="CG98" s="2">
        <v>3.0</v>
      </c>
      <c r="CH98" s="2">
        <v>80.0</v>
      </c>
      <c r="CI98" s="2">
        <v>3.0</v>
      </c>
      <c r="CJ98" s="2">
        <v>3.0</v>
      </c>
      <c r="CK98" s="2">
        <v>0.0</v>
      </c>
      <c r="CL98" s="2">
        <v>0.0</v>
      </c>
      <c r="CM98" s="2">
        <v>51.0</v>
      </c>
      <c r="CN98" s="2">
        <v>1.0</v>
      </c>
      <c r="CO98" s="2">
        <v>0.0</v>
      </c>
      <c r="CP98" s="2">
        <v>0.0</v>
      </c>
      <c r="CQ98" s="2">
        <v>2.0</v>
      </c>
      <c r="CR98" s="2">
        <v>0.0</v>
      </c>
      <c r="CS98" s="2">
        <v>1.0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0.0</v>
      </c>
      <c r="DA98" s="2" t="s">
        <v>2046</v>
      </c>
      <c r="DD98" s="2">
        <v>124.0</v>
      </c>
      <c r="DE98" s="2">
        <v>0.0</v>
      </c>
      <c r="DF98" s="2">
        <v>0.0</v>
      </c>
      <c r="DG98" s="2">
        <v>1.0</v>
      </c>
      <c r="DH98" s="2">
        <v>1.0</v>
      </c>
      <c r="DI98" s="2">
        <v>0.0</v>
      </c>
      <c r="DJ98" s="2">
        <v>0.0</v>
      </c>
      <c r="DK98" s="2">
        <v>1.0</v>
      </c>
      <c r="DL98" s="2">
        <v>1.0</v>
      </c>
      <c r="DM98" s="2">
        <v>1.0</v>
      </c>
      <c r="DN98" s="2">
        <v>0.0</v>
      </c>
      <c r="DO98" s="2">
        <v>0.0</v>
      </c>
      <c r="DP98" s="2">
        <v>35.0</v>
      </c>
      <c r="DQ98" s="2">
        <v>3.0</v>
      </c>
      <c r="DR98" s="2">
        <v>0.0</v>
      </c>
      <c r="DS98" s="2">
        <v>48.0</v>
      </c>
      <c r="DT98" s="2">
        <v>128.0</v>
      </c>
      <c r="DU98" s="2">
        <v>2.0</v>
      </c>
      <c r="DV98" s="2">
        <v>0.0</v>
      </c>
      <c r="DW98" s="2">
        <v>0.0</v>
      </c>
      <c r="DX98" s="2">
        <v>0.0</v>
      </c>
      <c r="DY98" s="2">
        <v>2.0</v>
      </c>
      <c r="DZ98" s="2">
        <v>1.0</v>
      </c>
      <c r="EA98" s="2">
        <v>8.0</v>
      </c>
      <c r="EB98" s="2">
        <v>0.0</v>
      </c>
      <c r="EC98" s="2">
        <v>120.0</v>
      </c>
      <c r="EE98" s="2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2">
        <v>2025.0</v>
      </c>
      <c r="B99" s="2">
        <v>3.0</v>
      </c>
      <c r="C99" s="2" t="s">
        <v>150</v>
      </c>
      <c r="D99" s="2" t="s">
        <v>390</v>
      </c>
      <c r="E99" s="2" t="s">
        <v>647</v>
      </c>
      <c r="F99" s="2" t="s">
        <v>238</v>
      </c>
      <c r="G99" s="2">
        <v>19.0</v>
      </c>
      <c r="H99" s="2">
        <v>29.0</v>
      </c>
      <c r="I99" s="2">
        <v>233.0</v>
      </c>
      <c r="J99" s="2">
        <v>1.0</v>
      </c>
      <c r="K99" s="2">
        <v>0.0</v>
      </c>
      <c r="L99" s="2">
        <v>1.0</v>
      </c>
      <c r="M99" s="2">
        <v>-8.0</v>
      </c>
      <c r="N99" s="2">
        <v>1.0</v>
      </c>
      <c r="O99" s="2">
        <v>0.0</v>
      </c>
      <c r="P99" s="2">
        <v>232.0</v>
      </c>
      <c r="Q99" s="2">
        <v>139.0</v>
      </c>
      <c r="R99" s="2">
        <v>12.0</v>
      </c>
      <c r="S99" s="2">
        <v>8.26902235693506</v>
      </c>
      <c r="T99" s="2">
        <v>1.17168190150425</v>
      </c>
      <c r="U99" s="2">
        <v>0.0</v>
      </c>
      <c r="V99" s="2">
        <v>10.0</v>
      </c>
      <c r="W99" s="2">
        <v>7.0</v>
      </c>
      <c r="X99" s="2">
        <v>6.0</v>
      </c>
      <c r="Y99" s="2">
        <v>0.0</v>
      </c>
      <c r="Z99" s="2">
        <v>34.0</v>
      </c>
      <c r="AA99" s="2">
        <v>122.0</v>
      </c>
      <c r="AB99" s="2">
        <v>0.0</v>
      </c>
      <c r="AC99" s="2">
        <v>0.0</v>
      </c>
      <c r="AD99" s="2">
        <v>0.0</v>
      </c>
      <c r="AE99" s="2">
        <v>4.0</v>
      </c>
      <c r="AF99" s="2">
        <v>-6.91463324007844</v>
      </c>
      <c r="AG99" s="2">
        <v>0.0</v>
      </c>
      <c r="AH99" s="2">
        <v>4.0</v>
      </c>
      <c r="AI99" s="2">
        <v>2.0</v>
      </c>
      <c r="AJ99" s="2">
        <v>1.0</v>
      </c>
      <c r="AK99" s="2">
        <v>0.0</v>
      </c>
      <c r="AL99" s="2">
        <v>19.0</v>
      </c>
      <c r="AM99" s="2">
        <v>29.0</v>
      </c>
      <c r="AN99" s="2">
        <v>233.0</v>
      </c>
      <c r="AO99" s="2">
        <v>1.0</v>
      </c>
      <c r="AP99" s="2">
        <v>0.0</v>
      </c>
      <c r="AQ99" s="2">
        <v>0.0</v>
      </c>
      <c r="AR99" s="2">
        <v>232.0</v>
      </c>
      <c r="AS99" s="2">
        <v>139.0</v>
      </c>
      <c r="AT99" s="2">
        <v>12.0</v>
      </c>
      <c r="AU99" s="2">
        <v>9.8240776341243</v>
      </c>
      <c r="AV99" s="2">
        <v>0.0</v>
      </c>
      <c r="AW99" s="2">
        <v>10.0</v>
      </c>
      <c r="AX99" s="2">
        <v>7.0</v>
      </c>
      <c r="AY99" s="2">
        <v>6.0</v>
      </c>
      <c r="AZ99" s="2">
        <v>0.0</v>
      </c>
      <c r="BA99" s="2">
        <v>0.0</v>
      </c>
      <c r="BB99" s="2">
        <v>43.0</v>
      </c>
      <c r="BC99" s="2">
        <v>0.0</v>
      </c>
      <c r="BD99" s="2">
        <v>20.0</v>
      </c>
      <c r="BE99" s="2">
        <v>9.0</v>
      </c>
      <c r="BF99" s="2">
        <v>43.0</v>
      </c>
      <c r="BG99" s="2">
        <v>1.0</v>
      </c>
      <c r="BH99" s="2">
        <v>4.0</v>
      </c>
      <c r="BI99" s="2">
        <v>29.0</v>
      </c>
      <c r="BJ99" s="2">
        <v>10.0</v>
      </c>
      <c r="BK99" s="2">
        <v>1.0</v>
      </c>
      <c r="BL99" s="2">
        <v>55.0</v>
      </c>
      <c r="BM99" s="2">
        <v>4.0</v>
      </c>
      <c r="BN99" s="2">
        <v>1.0</v>
      </c>
      <c r="BO99" s="2">
        <v>0.0</v>
      </c>
      <c r="BP99" s="2">
        <v>0.0</v>
      </c>
      <c r="BQ99" s="2">
        <v>0.0</v>
      </c>
      <c r="BR99" s="2">
        <v>1.0</v>
      </c>
      <c r="BS99" s="2">
        <v>0.0</v>
      </c>
      <c r="BT99" s="2">
        <v>1.0</v>
      </c>
      <c r="BU99" s="2">
        <v>0.0</v>
      </c>
      <c r="BV99" s="2">
        <v>0.0</v>
      </c>
      <c r="BW99" s="2">
        <v>14.0</v>
      </c>
      <c r="BX99" s="2">
        <v>124.0</v>
      </c>
      <c r="BY99" s="2">
        <v>3.0</v>
      </c>
      <c r="BZ99" s="2">
        <v>1.0</v>
      </c>
      <c r="CA99" s="2">
        <v>0.0</v>
      </c>
      <c r="CB99" s="2">
        <v>0.0</v>
      </c>
      <c r="CC99" s="2">
        <v>1.0</v>
      </c>
      <c r="CD99" s="2">
        <v>0.0</v>
      </c>
      <c r="CE99" s="2">
        <v>2.0</v>
      </c>
      <c r="CF99" s="2">
        <v>-1.0</v>
      </c>
      <c r="CG99" s="2">
        <v>5.0</v>
      </c>
      <c r="CH99" s="2">
        <v>124.0</v>
      </c>
      <c r="CI99" s="2">
        <v>5.0</v>
      </c>
      <c r="CJ99" s="2">
        <v>6.0</v>
      </c>
      <c r="CK99" s="2">
        <v>0.0</v>
      </c>
      <c r="CL99" s="2">
        <v>1.0</v>
      </c>
      <c r="CM99" s="2">
        <v>55.0</v>
      </c>
      <c r="CN99" s="2">
        <v>0.833333333333333</v>
      </c>
      <c r="CO99" s="2">
        <v>0.0</v>
      </c>
      <c r="CP99" s="2">
        <v>1.0</v>
      </c>
      <c r="CQ99" s="2">
        <v>2.0</v>
      </c>
      <c r="CR99" s="2">
        <v>0.0</v>
      </c>
      <c r="CS99" s="2">
        <v>2.0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 t="s">
        <v>2047</v>
      </c>
      <c r="DC99" s="2" t="s">
        <v>2033</v>
      </c>
      <c r="DD99" s="2">
        <v>206.0</v>
      </c>
      <c r="DE99" s="2">
        <v>0.0</v>
      </c>
      <c r="DF99" s="2">
        <v>43.0</v>
      </c>
      <c r="DG99" s="2">
        <v>2.0</v>
      </c>
      <c r="DH99" s="2">
        <v>2.0</v>
      </c>
      <c r="DI99" s="2">
        <v>0.0</v>
      </c>
      <c r="DJ99" s="2">
        <v>0.0</v>
      </c>
      <c r="DK99" s="2">
        <v>1.0</v>
      </c>
      <c r="DL99" s="2">
        <v>1.0</v>
      </c>
      <c r="DM99" s="2">
        <v>1.0</v>
      </c>
      <c r="DN99" s="2">
        <v>0.0</v>
      </c>
      <c r="DO99" s="2">
        <v>0.0</v>
      </c>
      <c r="DP99" s="2">
        <v>36.0</v>
      </c>
      <c r="DQ99" s="2">
        <v>4.0</v>
      </c>
      <c r="DR99" s="2">
        <v>0.0</v>
      </c>
      <c r="DS99" s="2">
        <v>60.0</v>
      </c>
      <c r="DT99" s="2">
        <v>162.0</v>
      </c>
      <c r="DU99" s="2">
        <v>1.0</v>
      </c>
      <c r="DV99" s="2">
        <v>1.0</v>
      </c>
      <c r="DW99" s="2">
        <v>0.0</v>
      </c>
      <c r="DX99" s="2">
        <v>1.0</v>
      </c>
      <c r="DY99" s="2">
        <v>2.0</v>
      </c>
      <c r="DZ99" s="2">
        <v>0.0</v>
      </c>
      <c r="EA99" s="2">
        <v>0.0</v>
      </c>
      <c r="EB99" s="2">
        <v>0.0</v>
      </c>
      <c r="EC99" s="2">
        <v>142.0</v>
      </c>
      <c r="EE99" s="2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2">
        <v>2025.0</v>
      </c>
      <c r="B100" s="2">
        <v>3.0</v>
      </c>
      <c r="C100" s="2" t="s">
        <v>250</v>
      </c>
      <c r="D100" s="2" t="s">
        <v>390</v>
      </c>
      <c r="E100" s="2" t="s">
        <v>653</v>
      </c>
      <c r="F100" s="2" t="s">
        <v>210</v>
      </c>
      <c r="G100" s="2">
        <v>23.0</v>
      </c>
      <c r="H100" s="2">
        <v>38.0</v>
      </c>
      <c r="I100" s="2">
        <v>219.0</v>
      </c>
      <c r="J100" s="2">
        <v>1.0</v>
      </c>
      <c r="K100" s="2">
        <v>1.0</v>
      </c>
      <c r="L100" s="2">
        <v>4.0</v>
      </c>
      <c r="M100" s="2">
        <v>-23.0</v>
      </c>
      <c r="N100" s="2">
        <v>0.0</v>
      </c>
      <c r="O100" s="2">
        <v>0.0</v>
      </c>
      <c r="P100" s="2">
        <v>185.0</v>
      </c>
      <c r="Q100" s="2">
        <v>114.0</v>
      </c>
      <c r="R100" s="2">
        <v>11.0</v>
      </c>
      <c r="S100" s="2">
        <v>-12.5244108862288</v>
      </c>
      <c r="T100" s="2">
        <v>-1.38548621359993</v>
      </c>
      <c r="U100" s="2">
        <v>0.0</v>
      </c>
      <c r="V100" s="2">
        <v>11.0</v>
      </c>
      <c r="W100" s="2">
        <v>4.0</v>
      </c>
      <c r="X100" s="2">
        <v>2.0</v>
      </c>
      <c r="Y100" s="2">
        <v>0.0</v>
      </c>
      <c r="Z100" s="2">
        <v>23.0</v>
      </c>
      <c r="AA100" s="2">
        <v>86.0</v>
      </c>
      <c r="AB100" s="2">
        <v>1.0</v>
      </c>
      <c r="AC100" s="2">
        <v>0.0</v>
      </c>
      <c r="AD100" s="2">
        <v>0.0</v>
      </c>
      <c r="AE100" s="2">
        <v>8.0</v>
      </c>
      <c r="AF100" s="2">
        <v>1.31479603296611</v>
      </c>
      <c r="AG100" s="2">
        <v>0.0</v>
      </c>
      <c r="AH100" s="2">
        <v>2.0</v>
      </c>
      <c r="AI100" s="2">
        <v>1.0</v>
      </c>
      <c r="AJ100" s="2">
        <v>1.0</v>
      </c>
      <c r="AK100" s="2">
        <v>0.0</v>
      </c>
      <c r="AL100" s="2">
        <v>23.0</v>
      </c>
      <c r="AM100" s="2">
        <v>34.0</v>
      </c>
      <c r="AN100" s="2">
        <v>219.0</v>
      </c>
      <c r="AO100" s="2">
        <v>1.0</v>
      </c>
      <c r="AP100" s="2">
        <v>0.0</v>
      </c>
      <c r="AQ100" s="2">
        <v>0.0</v>
      </c>
      <c r="AR100" s="2">
        <v>185.0</v>
      </c>
      <c r="AS100" s="2">
        <v>114.0</v>
      </c>
      <c r="AT100" s="2">
        <v>11.0</v>
      </c>
      <c r="AU100" s="2">
        <v>-2.18408397376054</v>
      </c>
      <c r="AV100" s="2">
        <v>0.0</v>
      </c>
      <c r="AW100" s="2">
        <v>11.0</v>
      </c>
      <c r="AX100" s="2">
        <v>4.0</v>
      </c>
      <c r="AY100" s="2">
        <v>2.0</v>
      </c>
      <c r="AZ100" s="2">
        <v>0.0</v>
      </c>
      <c r="BA100" s="2">
        <v>0.0</v>
      </c>
      <c r="BB100" s="2">
        <v>32.0</v>
      </c>
      <c r="BC100" s="2">
        <v>1.0</v>
      </c>
      <c r="BD100" s="2">
        <v>19.0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2.0</v>
      </c>
      <c r="BK100" s="2">
        <v>0.0</v>
      </c>
      <c r="BL100" s="2">
        <v>0.0</v>
      </c>
      <c r="BM100" s="2">
        <v>3.0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8.0</v>
      </c>
      <c r="BX100" s="2">
        <v>68.0</v>
      </c>
      <c r="BY100" s="2">
        <v>1.0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6.0</v>
      </c>
      <c r="CH100" s="2">
        <v>162.0</v>
      </c>
      <c r="CI100" s="2">
        <v>2.0</v>
      </c>
      <c r="CJ100" s="2">
        <v>4.0</v>
      </c>
      <c r="CK100" s="2">
        <v>1.0</v>
      </c>
      <c r="CL100" s="2">
        <v>1.0</v>
      </c>
      <c r="CM100" s="2">
        <v>57.0</v>
      </c>
      <c r="CN100" s="2">
        <v>0.5</v>
      </c>
      <c r="CO100" s="2">
        <v>0.0</v>
      </c>
      <c r="CP100" s="2">
        <v>0.0</v>
      </c>
      <c r="CQ100" s="2">
        <v>0.0</v>
      </c>
      <c r="CR100" s="2">
        <v>1.0</v>
      </c>
      <c r="CS100" s="2">
        <v>1.0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1.0</v>
      </c>
      <c r="DA100" s="2" t="s">
        <v>2048</v>
      </c>
      <c r="DB100" s="2" t="s">
        <v>2049</v>
      </c>
      <c r="DC100" s="2" t="s">
        <v>2050</v>
      </c>
      <c r="DD100" s="2">
        <v>99.0</v>
      </c>
      <c r="DE100" s="2">
        <v>64.0</v>
      </c>
      <c r="DF100" s="2">
        <v>62.0</v>
      </c>
      <c r="DG100" s="2">
        <v>2.0</v>
      </c>
      <c r="DH100" s="2">
        <v>2.0</v>
      </c>
      <c r="DI100" s="2">
        <v>0.0</v>
      </c>
      <c r="DJ100" s="2">
        <v>0.0</v>
      </c>
      <c r="DK100" s="2">
        <v>1.0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1.0</v>
      </c>
      <c r="DR100" s="2">
        <v>0.0</v>
      </c>
      <c r="DS100" s="2">
        <v>52.0</v>
      </c>
      <c r="DT100" s="2">
        <v>52.0</v>
      </c>
      <c r="DU100" s="2">
        <v>0.0</v>
      </c>
      <c r="DV100" s="2">
        <v>0.0</v>
      </c>
      <c r="DW100" s="2">
        <v>0.0</v>
      </c>
      <c r="DX100" s="2">
        <v>0.0</v>
      </c>
      <c r="DY100" s="2">
        <v>1.0</v>
      </c>
      <c r="DZ100" s="2">
        <v>0.0</v>
      </c>
      <c r="EA100" s="2">
        <v>0.0</v>
      </c>
      <c r="EB100" s="2">
        <v>0.0</v>
      </c>
      <c r="EC100" s="2">
        <v>52.0</v>
      </c>
      <c r="EE100" s="2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2">
        <v>2025.0</v>
      </c>
      <c r="B101" s="2">
        <v>3.0</v>
      </c>
      <c r="C101" s="2" t="s">
        <v>253</v>
      </c>
      <c r="D101" s="2" t="s">
        <v>390</v>
      </c>
      <c r="E101" s="2" t="s">
        <v>655</v>
      </c>
      <c r="F101" s="2" t="s">
        <v>222</v>
      </c>
      <c r="G101" s="2">
        <v>15.0</v>
      </c>
      <c r="H101" s="2">
        <v>21.0</v>
      </c>
      <c r="I101" s="2">
        <v>207.0</v>
      </c>
      <c r="J101" s="2">
        <v>1.0</v>
      </c>
      <c r="K101" s="2">
        <v>0.0</v>
      </c>
      <c r="L101" s="2">
        <v>1.0</v>
      </c>
      <c r="M101" s="2">
        <v>-8.0</v>
      </c>
      <c r="N101" s="2">
        <v>0.0</v>
      </c>
      <c r="O101" s="2">
        <v>0.0</v>
      </c>
      <c r="P101" s="2">
        <v>158.0</v>
      </c>
      <c r="Q101" s="2">
        <v>113.0</v>
      </c>
      <c r="R101" s="2">
        <v>7.0</v>
      </c>
      <c r="S101" s="2">
        <v>10.7824500925761</v>
      </c>
      <c r="T101" s="2">
        <v>14.5727589726448</v>
      </c>
      <c r="U101" s="2">
        <v>0.0</v>
      </c>
      <c r="V101" s="2">
        <v>6.0</v>
      </c>
      <c r="W101" s="2">
        <v>3.0</v>
      </c>
      <c r="X101" s="2">
        <v>2.0</v>
      </c>
      <c r="Y101" s="2">
        <v>2.0</v>
      </c>
      <c r="Z101" s="2">
        <v>32.0</v>
      </c>
      <c r="AA101" s="2">
        <v>201.0</v>
      </c>
      <c r="AB101" s="2">
        <v>3.0</v>
      </c>
      <c r="AC101" s="2">
        <v>1.0</v>
      </c>
      <c r="AD101" s="2">
        <v>1.0</v>
      </c>
      <c r="AE101" s="2">
        <v>8.0</v>
      </c>
      <c r="AF101" s="2">
        <v>4.01152036150749</v>
      </c>
      <c r="AG101" s="2">
        <v>0.0</v>
      </c>
      <c r="AH101" s="2">
        <v>5.0</v>
      </c>
      <c r="AI101" s="2">
        <v>4.0</v>
      </c>
      <c r="AJ101" s="2">
        <v>2.0</v>
      </c>
      <c r="AK101" s="2">
        <v>1.0</v>
      </c>
      <c r="AL101" s="2">
        <v>15.0</v>
      </c>
      <c r="AM101" s="2">
        <v>18.0</v>
      </c>
      <c r="AN101" s="2">
        <v>207.0</v>
      </c>
      <c r="AO101" s="2">
        <v>1.0</v>
      </c>
      <c r="AP101" s="2">
        <v>0.0</v>
      </c>
      <c r="AQ101" s="2">
        <v>0.0</v>
      </c>
      <c r="AR101" s="2">
        <v>158.0</v>
      </c>
      <c r="AS101" s="2">
        <v>113.0</v>
      </c>
      <c r="AT101" s="2">
        <v>7.0</v>
      </c>
      <c r="AU101" s="2">
        <v>15.5487791822214</v>
      </c>
      <c r="AV101" s="2">
        <v>0.0</v>
      </c>
      <c r="AW101" s="2">
        <v>6.0</v>
      </c>
      <c r="AX101" s="2">
        <v>3.0</v>
      </c>
      <c r="AY101" s="2">
        <v>2.0</v>
      </c>
      <c r="AZ101" s="2">
        <v>2.0</v>
      </c>
      <c r="BA101" s="2">
        <v>1.0</v>
      </c>
      <c r="BB101" s="2">
        <v>41.0</v>
      </c>
      <c r="BC101" s="2">
        <v>2.0</v>
      </c>
      <c r="BD101" s="2">
        <v>26.0</v>
      </c>
      <c r="BE101" s="2">
        <v>8.0</v>
      </c>
      <c r="BF101" s="2">
        <v>35.0</v>
      </c>
      <c r="BG101" s="2">
        <v>0.0</v>
      </c>
      <c r="BH101" s="2">
        <v>5.0</v>
      </c>
      <c r="BI101" s="2">
        <v>28.0</v>
      </c>
      <c r="BJ101" s="2">
        <v>9.0</v>
      </c>
      <c r="BK101" s="2">
        <v>0.0</v>
      </c>
      <c r="BL101" s="2">
        <v>0.0</v>
      </c>
      <c r="BM101" s="2">
        <v>4.0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0.0</v>
      </c>
      <c r="BW101" s="2">
        <v>7.0</v>
      </c>
      <c r="BX101" s="2">
        <v>54.0</v>
      </c>
      <c r="BY101" s="2">
        <v>5.0</v>
      </c>
      <c r="BZ101" s="2">
        <v>1.0</v>
      </c>
      <c r="CA101" s="2">
        <v>0.0</v>
      </c>
      <c r="CB101" s="2">
        <v>0.0</v>
      </c>
      <c r="CC101" s="2">
        <v>1.0</v>
      </c>
      <c r="CD101" s="2">
        <v>1.0</v>
      </c>
      <c r="CE101" s="2">
        <v>5.0</v>
      </c>
      <c r="CF101" s="2">
        <v>127.0</v>
      </c>
      <c r="CG101" s="2">
        <v>3.0</v>
      </c>
      <c r="CH101" s="2">
        <v>118.0</v>
      </c>
      <c r="CI101" s="2">
        <v>2.0</v>
      </c>
      <c r="CJ101" s="2">
        <v>3.0</v>
      </c>
      <c r="CK101" s="2">
        <v>1.0</v>
      </c>
      <c r="CL101" s="2">
        <v>0.0</v>
      </c>
      <c r="CM101" s="2">
        <v>56.0</v>
      </c>
      <c r="CN101" s="2">
        <v>0.666666666666667</v>
      </c>
      <c r="CO101" s="2">
        <v>0.0</v>
      </c>
      <c r="CP101" s="2">
        <v>0.0</v>
      </c>
      <c r="CQ101" s="2">
        <v>0.0</v>
      </c>
      <c r="CR101" s="2">
        <v>1.0</v>
      </c>
      <c r="CS101" s="2">
        <v>1.0</v>
      </c>
      <c r="CT101" s="2">
        <v>0.0</v>
      </c>
      <c r="CU101" s="2">
        <v>0.0</v>
      </c>
      <c r="CV101" s="2">
        <v>0.0</v>
      </c>
      <c r="CW101" s="2">
        <v>1.0</v>
      </c>
      <c r="CX101" s="2">
        <v>0.0</v>
      </c>
      <c r="CY101" s="2">
        <v>0.0</v>
      </c>
      <c r="CZ101" s="2">
        <v>0.0</v>
      </c>
      <c r="DA101" s="2" t="s">
        <v>2051</v>
      </c>
      <c r="DB101" s="2" t="s">
        <v>1986</v>
      </c>
      <c r="DD101" s="2">
        <v>102.0</v>
      </c>
      <c r="DE101" s="2">
        <v>37.0</v>
      </c>
      <c r="DF101" s="2">
        <v>0.0</v>
      </c>
      <c r="DG101" s="2">
        <v>5.0</v>
      </c>
      <c r="DH101" s="2">
        <v>5.0</v>
      </c>
      <c r="DI101" s="2">
        <v>0.0</v>
      </c>
      <c r="DJ101" s="2">
        <v>0.0</v>
      </c>
      <c r="DK101" s="2">
        <v>1.0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3.0</v>
      </c>
      <c r="DR101" s="2">
        <v>0.0</v>
      </c>
      <c r="DS101" s="2">
        <v>56.0</v>
      </c>
      <c r="DT101" s="2">
        <v>138.0</v>
      </c>
      <c r="DU101" s="2">
        <v>2.0</v>
      </c>
      <c r="DV101" s="2">
        <v>0.0</v>
      </c>
      <c r="DW101" s="2">
        <v>1.0</v>
      </c>
      <c r="DX101" s="2">
        <v>0.0</v>
      </c>
      <c r="DY101" s="2">
        <v>0.0</v>
      </c>
      <c r="DZ101" s="2">
        <v>2.0</v>
      </c>
      <c r="EA101" s="2">
        <v>10.0</v>
      </c>
      <c r="EB101" s="2">
        <v>0.0</v>
      </c>
      <c r="EC101" s="2">
        <v>128.0</v>
      </c>
      <c r="EE101" s="2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2">
        <v>2025.0</v>
      </c>
      <c r="B102" s="2">
        <v>4.0</v>
      </c>
      <c r="C102" s="2" t="s">
        <v>178</v>
      </c>
      <c r="D102" s="2" t="s">
        <v>390</v>
      </c>
      <c r="E102" s="2" t="s">
        <v>674</v>
      </c>
      <c r="F102" s="2" t="s">
        <v>149</v>
      </c>
      <c r="G102" s="2">
        <v>27.0</v>
      </c>
      <c r="H102" s="2">
        <v>41.0</v>
      </c>
      <c r="I102" s="2">
        <v>200.0</v>
      </c>
      <c r="J102" s="2">
        <v>2.0</v>
      </c>
      <c r="K102" s="2">
        <v>2.0</v>
      </c>
      <c r="L102" s="2">
        <v>6.0</v>
      </c>
      <c r="M102" s="2">
        <v>-36.0</v>
      </c>
      <c r="N102" s="2">
        <v>0.0</v>
      </c>
      <c r="O102" s="2">
        <v>0.0</v>
      </c>
      <c r="P102" s="2">
        <v>238.0</v>
      </c>
      <c r="Q102" s="2">
        <v>125.0</v>
      </c>
      <c r="R102" s="2">
        <v>13.0</v>
      </c>
      <c r="S102" s="2">
        <v>-3.30439978422967</v>
      </c>
      <c r="T102" s="2">
        <v>-4.95785750448704</v>
      </c>
      <c r="U102" s="2">
        <v>0.0</v>
      </c>
      <c r="V102" s="2">
        <v>7.0</v>
      </c>
      <c r="W102" s="2">
        <v>4.0</v>
      </c>
      <c r="X102" s="2">
        <v>0.0</v>
      </c>
      <c r="Y102" s="2">
        <v>0.0</v>
      </c>
      <c r="Z102" s="2">
        <v>17.0</v>
      </c>
      <c r="AA102" s="2">
        <v>89.0</v>
      </c>
      <c r="AB102" s="2">
        <v>0.0</v>
      </c>
      <c r="AC102" s="2">
        <v>0.0</v>
      </c>
      <c r="AD102" s="2">
        <v>0.0</v>
      </c>
      <c r="AE102" s="2">
        <v>2.0</v>
      </c>
      <c r="AF102" s="2">
        <v>-1.89903767756186</v>
      </c>
      <c r="AG102" s="2">
        <v>0.0</v>
      </c>
      <c r="AH102" s="2">
        <v>2.0</v>
      </c>
      <c r="AI102" s="2">
        <v>2.0</v>
      </c>
      <c r="AJ102" s="2">
        <v>1.0</v>
      </c>
      <c r="AK102" s="2">
        <v>0.0</v>
      </c>
      <c r="AL102" s="2">
        <v>27.0</v>
      </c>
      <c r="AM102" s="2">
        <v>40.0</v>
      </c>
      <c r="AN102" s="2">
        <v>200.0</v>
      </c>
      <c r="AO102" s="2">
        <v>2.0</v>
      </c>
      <c r="AP102" s="2">
        <v>0.0</v>
      </c>
      <c r="AQ102" s="2">
        <v>0.0</v>
      </c>
      <c r="AR102" s="2">
        <v>238.0</v>
      </c>
      <c r="AS102" s="2">
        <v>125.0</v>
      </c>
      <c r="AT102" s="2">
        <v>13.0</v>
      </c>
      <c r="AU102" s="2">
        <v>5.98342189142111</v>
      </c>
      <c r="AV102" s="2">
        <v>0.0</v>
      </c>
      <c r="AW102" s="2">
        <v>7.0</v>
      </c>
      <c r="AX102" s="2">
        <v>4.0</v>
      </c>
      <c r="AY102" s="2">
        <v>0.0</v>
      </c>
      <c r="AZ102" s="2">
        <v>0.0</v>
      </c>
      <c r="BA102" s="2">
        <v>0.0</v>
      </c>
      <c r="BB102" s="2">
        <v>35.0</v>
      </c>
      <c r="BC102" s="2">
        <v>3.0</v>
      </c>
      <c r="BD102" s="2">
        <v>47.0</v>
      </c>
      <c r="BE102" s="2">
        <v>9.0</v>
      </c>
      <c r="BF102" s="2">
        <v>31.0</v>
      </c>
      <c r="BG102" s="2">
        <v>2.0</v>
      </c>
      <c r="BH102" s="2">
        <v>3.0</v>
      </c>
      <c r="BI102" s="2">
        <v>13.0</v>
      </c>
      <c r="BJ102" s="2">
        <v>3.0</v>
      </c>
      <c r="BK102" s="2">
        <v>0.0</v>
      </c>
      <c r="BL102" s="2">
        <v>0.0</v>
      </c>
      <c r="BM102" s="2">
        <v>2.0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1.0</v>
      </c>
      <c r="BU102" s="2">
        <v>0.0</v>
      </c>
      <c r="BV102" s="2">
        <v>0.0</v>
      </c>
      <c r="BW102" s="2">
        <v>7.0</v>
      </c>
      <c r="BX102" s="2">
        <v>46.0</v>
      </c>
      <c r="BY102" s="2">
        <v>6.0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1.0</v>
      </c>
      <c r="CF102" s="2">
        <v>15.0</v>
      </c>
      <c r="CG102" s="2">
        <v>5.0</v>
      </c>
      <c r="CH102" s="2">
        <v>126.0</v>
      </c>
      <c r="CI102" s="2">
        <v>2.0</v>
      </c>
      <c r="CJ102" s="2">
        <v>2.0</v>
      </c>
      <c r="CK102" s="2">
        <v>0.0</v>
      </c>
      <c r="CL102" s="2">
        <v>0.0</v>
      </c>
      <c r="CM102" s="2">
        <v>57.0</v>
      </c>
      <c r="CN102" s="2">
        <v>1.0</v>
      </c>
      <c r="CO102" s="2">
        <v>0.0</v>
      </c>
      <c r="CP102" s="2">
        <v>0.0</v>
      </c>
      <c r="CQ102" s="2">
        <v>1.0</v>
      </c>
      <c r="CR102" s="2">
        <v>0.0</v>
      </c>
      <c r="CS102" s="2">
        <v>1.0</v>
      </c>
      <c r="CT102" s="2">
        <v>0.0</v>
      </c>
      <c r="CU102" s="2">
        <v>0.0</v>
      </c>
      <c r="CV102" s="2">
        <v>0.0</v>
      </c>
      <c r="CW102" s="2">
        <v>0.0</v>
      </c>
      <c r="CX102" s="2">
        <v>0.0</v>
      </c>
      <c r="CY102" s="2">
        <v>0.0</v>
      </c>
      <c r="CZ102" s="2">
        <v>0.0</v>
      </c>
      <c r="DA102" s="2" t="s">
        <v>2052</v>
      </c>
      <c r="DD102" s="2">
        <v>90.0</v>
      </c>
      <c r="DE102" s="2">
        <v>0.0</v>
      </c>
      <c r="DF102" s="2">
        <v>0.0</v>
      </c>
      <c r="DG102" s="2">
        <v>2.0</v>
      </c>
      <c r="DH102" s="2">
        <v>2.0</v>
      </c>
      <c r="DI102" s="2">
        <v>0.0</v>
      </c>
      <c r="DJ102" s="2">
        <v>0.0</v>
      </c>
      <c r="DK102" s="2">
        <v>1.0</v>
      </c>
      <c r="DL102" s="2">
        <v>0.0</v>
      </c>
      <c r="DM102" s="2">
        <v>0.0</v>
      </c>
      <c r="DN102" s="2">
        <v>0.0</v>
      </c>
      <c r="DO102" s="2">
        <v>0.0</v>
      </c>
      <c r="DP102" s="2">
        <v>0.0</v>
      </c>
      <c r="DQ102" s="2">
        <v>4.0</v>
      </c>
      <c r="DR102" s="2">
        <v>0.0</v>
      </c>
      <c r="DS102" s="2">
        <v>63.0</v>
      </c>
      <c r="DT102" s="2">
        <v>202.0</v>
      </c>
      <c r="DU102" s="2">
        <v>3.0</v>
      </c>
      <c r="DV102" s="2">
        <v>0.0</v>
      </c>
      <c r="DW102" s="2">
        <v>0.0</v>
      </c>
      <c r="DX102" s="2">
        <v>0.0</v>
      </c>
      <c r="DY102" s="2">
        <v>2.0</v>
      </c>
      <c r="DZ102" s="2">
        <v>2.0</v>
      </c>
      <c r="EA102" s="2">
        <v>10.0</v>
      </c>
      <c r="EB102" s="2">
        <v>0.0</v>
      </c>
      <c r="EC102" s="2">
        <v>192.0</v>
      </c>
      <c r="EE102" s="2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2">
        <v>2025.0</v>
      </c>
      <c r="B103" s="2">
        <v>4.0</v>
      </c>
      <c r="C103" s="2" t="s">
        <v>132</v>
      </c>
      <c r="D103" s="2" t="s">
        <v>390</v>
      </c>
      <c r="E103" s="2" t="s">
        <v>681</v>
      </c>
      <c r="F103" s="2" t="s">
        <v>253</v>
      </c>
      <c r="G103" s="2">
        <v>20.0</v>
      </c>
      <c r="H103" s="2">
        <v>26.0</v>
      </c>
      <c r="I103" s="2">
        <v>313.0</v>
      </c>
      <c r="J103" s="2">
        <v>2.0</v>
      </c>
      <c r="K103" s="2">
        <v>1.0</v>
      </c>
      <c r="L103" s="2">
        <v>1.0</v>
      </c>
      <c r="M103" s="2">
        <v>-6.0</v>
      </c>
      <c r="N103" s="2">
        <v>0.0</v>
      </c>
      <c r="O103" s="2">
        <v>0.0</v>
      </c>
      <c r="P103" s="2">
        <v>274.0</v>
      </c>
      <c r="Q103" s="2">
        <v>134.0</v>
      </c>
      <c r="R103" s="2">
        <v>14.0</v>
      </c>
      <c r="S103" s="2">
        <v>18.287676299231</v>
      </c>
      <c r="T103" s="2">
        <v>11.4396501045961</v>
      </c>
      <c r="U103" s="2">
        <v>0.0</v>
      </c>
      <c r="V103" s="2">
        <v>11.0</v>
      </c>
      <c r="W103" s="2">
        <v>6.0</v>
      </c>
      <c r="X103" s="2">
        <v>4.0</v>
      </c>
      <c r="Y103" s="2">
        <v>2.0</v>
      </c>
      <c r="Z103" s="2">
        <v>37.0</v>
      </c>
      <c r="AA103" s="2">
        <v>128.0</v>
      </c>
      <c r="AB103" s="2">
        <v>2.0</v>
      </c>
      <c r="AC103" s="2">
        <v>1.0</v>
      </c>
      <c r="AD103" s="2">
        <v>0.0</v>
      </c>
      <c r="AE103" s="2">
        <v>9.0</v>
      </c>
      <c r="AF103" s="2">
        <v>-3.57524065361198</v>
      </c>
      <c r="AG103" s="2">
        <v>0.0</v>
      </c>
      <c r="AH103" s="2">
        <v>4.0</v>
      </c>
      <c r="AI103" s="2">
        <v>3.0</v>
      </c>
      <c r="AJ103" s="2">
        <v>0.0</v>
      </c>
      <c r="AK103" s="2">
        <v>0.0</v>
      </c>
      <c r="AL103" s="2">
        <v>20.0</v>
      </c>
      <c r="AM103" s="2">
        <v>26.0</v>
      </c>
      <c r="AN103" s="2">
        <v>313.0</v>
      </c>
      <c r="AO103" s="2">
        <v>2.0</v>
      </c>
      <c r="AP103" s="2">
        <v>0.0</v>
      </c>
      <c r="AQ103" s="2">
        <v>0.0</v>
      </c>
      <c r="AR103" s="2">
        <v>274.0</v>
      </c>
      <c r="AS103" s="2">
        <v>134.0</v>
      </c>
      <c r="AT103" s="2">
        <v>14.0</v>
      </c>
      <c r="AU103" s="2">
        <v>19.5942660197689</v>
      </c>
      <c r="AV103" s="2">
        <v>0.0</v>
      </c>
      <c r="AW103" s="2">
        <v>11.0</v>
      </c>
      <c r="AX103" s="2">
        <v>6.0</v>
      </c>
      <c r="AY103" s="2">
        <v>4.0</v>
      </c>
      <c r="AZ103" s="2">
        <v>2.0</v>
      </c>
      <c r="BA103" s="2">
        <v>0.0</v>
      </c>
      <c r="BB103" s="2">
        <v>31.0</v>
      </c>
      <c r="BC103" s="2">
        <v>1.0</v>
      </c>
      <c r="BD103" s="2">
        <v>29.0</v>
      </c>
      <c r="BE103" s="2">
        <v>4.0</v>
      </c>
      <c r="BF103" s="2">
        <v>10.0</v>
      </c>
      <c r="BG103" s="2">
        <v>2.0</v>
      </c>
      <c r="BH103" s="2">
        <v>2.0</v>
      </c>
      <c r="BI103" s="2">
        <v>9.0</v>
      </c>
      <c r="BJ103" s="2">
        <v>6.0</v>
      </c>
      <c r="BK103" s="2">
        <v>1.0</v>
      </c>
      <c r="BL103" s="2">
        <v>0.0</v>
      </c>
      <c r="BM103" s="2">
        <v>3.0</v>
      </c>
      <c r="BN103" s="2">
        <v>0.0</v>
      </c>
      <c r="BO103" s="2">
        <v>0.0</v>
      </c>
      <c r="BP103" s="2">
        <v>0.0</v>
      </c>
      <c r="BQ103" s="2">
        <v>0.0</v>
      </c>
      <c r="BR103" s="2">
        <v>2.0</v>
      </c>
      <c r="BS103" s="2">
        <v>0.0</v>
      </c>
      <c r="BT103" s="2">
        <v>0.0</v>
      </c>
      <c r="BU103" s="2">
        <v>0.0</v>
      </c>
      <c r="BV103" s="2">
        <v>0.0</v>
      </c>
      <c r="BW103" s="2">
        <v>5.0</v>
      </c>
      <c r="BX103" s="2">
        <v>45.0</v>
      </c>
      <c r="BY103" s="2">
        <v>2.0</v>
      </c>
      <c r="BZ103" s="2">
        <v>2.0</v>
      </c>
      <c r="CA103" s="2">
        <v>0.0</v>
      </c>
      <c r="CB103" s="2">
        <v>0.0</v>
      </c>
      <c r="CC103" s="2">
        <v>2.0</v>
      </c>
      <c r="CD103" s="2">
        <v>0.0</v>
      </c>
      <c r="CE103" s="2">
        <v>1.0</v>
      </c>
      <c r="CF103" s="2">
        <v>0.0</v>
      </c>
      <c r="CG103" s="2">
        <v>5.0</v>
      </c>
      <c r="CH103" s="2">
        <v>128.0</v>
      </c>
      <c r="CI103" s="2">
        <v>2.0</v>
      </c>
      <c r="CJ103" s="2">
        <v>2.0</v>
      </c>
      <c r="CK103" s="2">
        <v>0.0</v>
      </c>
      <c r="CL103" s="2">
        <v>0.0</v>
      </c>
      <c r="CM103" s="2">
        <v>38.0</v>
      </c>
      <c r="CN103" s="2">
        <v>1.0</v>
      </c>
      <c r="CO103" s="2">
        <v>0.0</v>
      </c>
      <c r="CP103" s="2">
        <v>1.0</v>
      </c>
      <c r="CQ103" s="2">
        <v>1.0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 t="s">
        <v>2053</v>
      </c>
      <c r="DD103" s="2">
        <v>64.0</v>
      </c>
      <c r="DE103" s="2">
        <v>0.0</v>
      </c>
      <c r="DF103" s="2">
        <v>0.0</v>
      </c>
      <c r="DG103" s="2">
        <v>4.0</v>
      </c>
      <c r="DH103" s="2">
        <v>4.0</v>
      </c>
      <c r="DI103" s="2">
        <v>0.0</v>
      </c>
      <c r="DJ103" s="2">
        <v>0.0</v>
      </c>
      <c r="DK103" s="2">
        <v>1.0</v>
      </c>
      <c r="DL103" s="2">
        <v>0.0</v>
      </c>
      <c r="DM103" s="2">
        <v>0.0</v>
      </c>
      <c r="DN103" s="2">
        <v>0.0</v>
      </c>
      <c r="DO103" s="2">
        <v>0.0</v>
      </c>
      <c r="DP103" s="2">
        <v>0.0</v>
      </c>
      <c r="DQ103" s="2">
        <v>2.0</v>
      </c>
      <c r="DR103" s="2">
        <v>0.0</v>
      </c>
      <c r="DS103" s="2">
        <v>48.0</v>
      </c>
      <c r="DT103" s="2">
        <v>92.0</v>
      </c>
      <c r="DU103" s="2">
        <v>1.0</v>
      </c>
      <c r="DV103" s="2">
        <v>0.0</v>
      </c>
      <c r="DW103" s="2">
        <v>0.0</v>
      </c>
      <c r="DX103" s="2">
        <v>0.0</v>
      </c>
      <c r="DY103" s="2">
        <v>0.0</v>
      </c>
      <c r="DZ103" s="2">
        <v>2.0</v>
      </c>
      <c r="EA103" s="2">
        <v>0.0</v>
      </c>
      <c r="EB103" s="2">
        <v>0.0</v>
      </c>
      <c r="EC103" s="2">
        <v>92.0</v>
      </c>
      <c r="EE103" s="2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2">
        <v>2025.0</v>
      </c>
      <c r="B104" s="2">
        <v>4.0</v>
      </c>
      <c r="C104" s="2" t="s">
        <v>148</v>
      </c>
      <c r="D104" s="2" t="s">
        <v>390</v>
      </c>
      <c r="E104" s="2" t="s">
        <v>700</v>
      </c>
      <c r="F104" s="2" t="s">
        <v>143</v>
      </c>
      <c r="G104" s="2">
        <v>23.0</v>
      </c>
      <c r="H104" s="2">
        <v>33.0</v>
      </c>
      <c r="I104" s="2">
        <v>199.0</v>
      </c>
      <c r="J104" s="2">
        <v>1.0</v>
      </c>
      <c r="K104" s="2">
        <v>1.0</v>
      </c>
      <c r="L104" s="2">
        <v>3.0</v>
      </c>
      <c r="M104" s="2">
        <v>-5.0</v>
      </c>
      <c r="N104" s="2">
        <v>1.0</v>
      </c>
      <c r="O104" s="2">
        <v>1.0</v>
      </c>
      <c r="P104" s="2">
        <v>158.0</v>
      </c>
      <c r="Q104" s="2">
        <v>101.0</v>
      </c>
      <c r="R104" s="2">
        <v>10.0</v>
      </c>
      <c r="S104" s="2">
        <v>-11.0689640088745</v>
      </c>
      <c r="T104" s="2">
        <v>6.86809559663137</v>
      </c>
      <c r="U104" s="2">
        <v>0.0</v>
      </c>
      <c r="V104" s="2">
        <v>9.0</v>
      </c>
      <c r="W104" s="2">
        <v>3.0</v>
      </c>
      <c r="X104" s="2">
        <v>2.0</v>
      </c>
      <c r="Y104" s="2">
        <v>0.0</v>
      </c>
      <c r="Z104" s="2">
        <v>17.0</v>
      </c>
      <c r="AA104" s="2">
        <v>166.0</v>
      </c>
      <c r="AB104" s="2">
        <v>1.0</v>
      </c>
      <c r="AC104" s="2">
        <v>0.0</v>
      </c>
      <c r="AD104" s="2">
        <v>0.0</v>
      </c>
      <c r="AE104" s="2">
        <v>7.0</v>
      </c>
      <c r="AF104" s="2">
        <v>7.75533899688162</v>
      </c>
      <c r="AG104" s="2">
        <v>0.0</v>
      </c>
      <c r="AH104" s="2">
        <v>5.0</v>
      </c>
      <c r="AI104" s="2">
        <v>4.0</v>
      </c>
      <c r="AJ104" s="2">
        <v>1.0</v>
      </c>
      <c r="AK104" s="2">
        <v>1.0</v>
      </c>
      <c r="AL104" s="2">
        <v>23.0</v>
      </c>
      <c r="AM104" s="2">
        <v>30.0</v>
      </c>
      <c r="AN104" s="2">
        <v>199.0</v>
      </c>
      <c r="AO104" s="2">
        <v>1.0</v>
      </c>
      <c r="AP104" s="2">
        <v>0.0</v>
      </c>
      <c r="AQ104" s="2">
        <v>0.0</v>
      </c>
      <c r="AR104" s="2">
        <v>158.0</v>
      </c>
      <c r="AS104" s="2">
        <v>101.0</v>
      </c>
      <c r="AT104" s="2">
        <v>10.0</v>
      </c>
      <c r="AU104" s="2">
        <v>3.57406624229036</v>
      </c>
      <c r="AV104" s="2">
        <v>0.0</v>
      </c>
      <c r="AW104" s="2">
        <v>9.0</v>
      </c>
      <c r="AX104" s="2">
        <v>3.0</v>
      </c>
      <c r="AY104" s="2">
        <v>2.0</v>
      </c>
      <c r="AZ104" s="2">
        <v>0.0</v>
      </c>
      <c r="BA104" s="2">
        <v>0.0</v>
      </c>
      <c r="BB104" s="2">
        <v>41.0</v>
      </c>
      <c r="BC104" s="2">
        <v>0.0</v>
      </c>
      <c r="BD104" s="2">
        <v>32.0</v>
      </c>
      <c r="BE104" s="2">
        <v>2.0</v>
      </c>
      <c r="BF104" s="2">
        <v>7.0</v>
      </c>
      <c r="BG104" s="2">
        <v>0.0</v>
      </c>
      <c r="BH104" s="2">
        <v>1.0</v>
      </c>
      <c r="BI104" s="2">
        <v>6.0</v>
      </c>
      <c r="BJ104" s="2">
        <v>3.0</v>
      </c>
      <c r="BK104" s="2">
        <v>0.0</v>
      </c>
      <c r="BL104" s="2">
        <v>0.0</v>
      </c>
      <c r="BM104" s="2">
        <v>2.0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6.0</v>
      </c>
      <c r="BX104" s="2">
        <v>56.0</v>
      </c>
      <c r="BY104" s="2">
        <v>3.0</v>
      </c>
      <c r="BZ104" s="2">
        <v>0.0</v>
      </c>
      <c r="CA104" s="2">
        <v>1.0</v>
      </c>
      <c r="CB104" s="2">
        <v>0.0</v>
      </c>
      <c r="CC104" s="2">
        <v>1.0</v>
      </c>
      <c r="CD104" s="2">
        <v>1.0</v>
      </c>
      <c r="CE104" s="2">
        <v>0.0</v>
      </c>
      <c r="CF104" s="2">
        <v>0.0</v>
      </c>
      <c r="CG104" s="2">
        <v>7.0</v>
      </c>
      <c r="CH104" s="2">
        <v>164.0</v>
      </c>
      <c r="CI104" s="2">
        <v>2.0</v>
      </c>
      <c r="CJ104" s="2">
        <v>2.0</v>
      </c>
      <c r="CK104" s="2">
        <v>0.0</v>
      </c>
      <c r="CL104" s="2">
        <v>0.0</v>
      </c>
      <c r="CM104" s="2">
        <v>43.0</v>
      </c>
      <c r="CN104" s="2">
        <v>1.0</v>
      </c>
      <c r="CO104" s="2">
        <v>0.0</v>
      </c>
      <c r="CP104" s="2">
        <v>0.0</v>
      </c>
      <c r="CQ104" s="2">
        <v>1.0</v>
      </c>
      <c r="CR104" s="2">
        <v>1.0</v>
      </c>
      <c r="CS104" s="2">
        <v>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 t="s">
        <v>1996</v>
      </c>
      <c r="DD104" s="2">
        <v>75.0</v>
      </c>
      <c r="DE104" s="2">
        <v>0.0</v>
      </c>
      <c r="DF104" s="2">
        <v>0.0</v>
      </c>
      <c r="DG104" s="2">
        <v>2.0</v>
      </c>
      <c r="DH104" s="2">
        <v>2.0</v>
      </c>
      <c r="DI104" s="2">
        <v>0.0</v>
      </c>
      <c r="DJ104" s="2">
        <v>0.0</v>
      </c>
      <c r="DK104" s="2">
        <v>1.0</v>
      </c>
      <c r="DL104" s="2">
        <v>0.0</v>
      </c>
      <c r="DM104" s="2">
        <v>0.0</v>
      </c>
      <c r="DN104" s="2">
        <v>0.0</v>
      </c>
      <c r="DO104" s="2">
        <v>0.0</v>
      </c>
      <c r="DP104" s="2">
        <v>0.0</v>
      </c>
      <c r="DQ104" s="2">
        <v>1.0</v>
      </c>
      <c r="DR104" s="2">
        <v>0.0</v>
      </c>
      <c r="DS104" s="2">
        <v>50.0</v>
      </c>
      <c r="DT104" s="2">
        <v>50.0</v>
      </c>
      <c r="DU104" s="2">
        <v>0.0</v>
      </c>
      <c r="DV104" s="2">
        <v>0.0</v>
      </c>
      <c r="DW104" s="2">
        <v>0.0</v>
      </c>
      <c r="DX104" s="2">
        <v>0.0</v>
      </c>
      <c r="DY104" s="2">
        <v>0.0</v>
      </c>
      <c r="DZ104" s="2">
        <v>1.0</v>
      </c>
      <c r="EA104" s="2">
        <v>15.0</v>
      </c>
      <c r="EB104" s="2">
        <v>0.0</v>
      </c>
      <c r="EC104" s="2">
        <v>35.0</v>
      </c>
      <c r="EE104" s="2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2">
        <v>2025.0</v>
      </c>
      <c r="B105" s="2">
        <v>4.0</v>
      </c>
      <c r="C105" s="2" t="s">
        <v>136</v>
      </c>
      <c r="D105" s="2" t="s">
        <v>390</v>
      </c>
      <c r="E105" s="2" t="s">
        <v>683</v>
      </c>
      <c r="F105" s="2" t="s">
        <v>232</v>
      </c>
      <c r="G105" s="2">
        <v>16.0</v>
      </c>
      <c r="H105" s="2">
        <v>22.0</v>
      </c>
      <c r="I105" s="2">
        <v>209.0</v>
      </c>
      <c r="J105" s="2">
        <v>2.0</v>
      </c>
      <c r="K105" s="2">
        <v>1.0</v>
      </c>
      <c r="L105" s="2">
        <v>3.0</v>
      </c>
      <c r="M105" s="2">
        <v>-18.0</v>
      </c>
      <c r="N105" s="2">
        <v>0.0</v>
      </c>
      <c r="O105" s="2">
        <v>0.0</v>
      </c>
      <c r="P105" s="2">
        <v>224.0</v>
      </c>
      <c r="Q105" s="2">
        <v>123.0</v>
      </c>
      <c r="R105" s="2">
        <v>10.0</v>
      </c>
      <c r="S105" s="2">
        <v>4.91718479604083</v>
      </c>
      <c r="T105" s="2">
        <v>9.25322127613154</v>
      </c>
      <c r="U105" s="2">
        <v>0.0</v>
      </c>
      <c r="V105" s="2">
        <v>9.0</v>
      </c>
      <c r="W105" s="2">
        <v>5.0</v>
      </c>
      <c r="X105" s="2">
        <v>3.0</v>
      </c>
      <c r="Y105" s="2">
        <v>1.0</v>
      </c>
      <c r="Z105" s="2">
        <v>32.0</v>
      </c>
      <c r="AA105" s="2">
        <v>165.0</v>
      </c>
      <c r="AB105" s="2">
        <v>2.0</v>
      </c>
      <c r="AC105" s="2">
        <v>0.0</v>
      </c>
      <c r="AD105" s="2">
        <v>0.0</v>
      </c>
      <c r="AE105" s="2">
        <v>9.0</v>
      </c>
      <c r="AF105" s="2">
        <v>3.62611436122097</v>
      </c>
      <c r="AG105" s="2">
        <v>0.0</v>
      </c>
      <c r="AH105" s="2">
        <v>5.0</v>
      </c>
      <c r="AI105" s="2">
        <v>3.0</v>
      </c>
      <c r="AJ105" s="2">
        <v>1.0</v>
      </c>
      <c r="AK105" s="2">
        <v>0.0</v>
      </c>
      <c r="AL105" s="2">
        <v>16.0</v>
      </c>
      <c r="AM105" s="2">
        <v>22.0</v>
      </c>
      <c r="AN105" s="2">
        <v>209.0</v>
      </c>
      <c r="AO105" s="2">
        <v>2.0</v>
      </c>
      <c r="AP105" s="2">
        <v>0.0</v>
      </c>
      <c r="AQ105" s="2">
        <v>0.0</v>
      </c>
      <c r="AR105" s="2">
        <v>224.0</v>
      </c>
      <c r="AS105" s="2">
        <v>123.0</v>
      </c>
      <c r="AT105" s="2">
        <v>10.0</v>
      </c>
      <c r="AU105" s="2">
        <v>8.6413104567639</v>
      </c>
      <c r="AV105" s="2">
        <v>0.0</v>
      </c>
      <c r="AW105" s="2">
        <v>9.0</v>
      </c>
      <c r="AX105" s="2">
        <v>5.0</v>
      </c>
      <c r="AY105" s="2">
        <v>3.0</v>
      </c>
      <c r="AZ105" s="2">
        <v>1.0</v>
      </c>
      <c r="BA105" s="2">
        <v>0.0</v>
      </c>
      <c r="BB105" s="2">
        <v>47.0</v>
      </c>
      <c r="BC105" s="2">
        <v>1.0</v>
      </c>
      <c r="BD105" s="2">
        <v>21.0</v>
      </c>
      <c r="BE105" s="2">
        <v>5.0</v>
      </c>
      <c r="BF105" s="2">
        <v>22.0</v>
      </c>
      <c r="BG105" s="2">
        <v>1.0</v>
      </c>
      <c r="BH105" s="2">
        <v>3.0</v>
      </c>
      <c r="BI105" s="2">
        <v>17.0</v>
      </c>
      <c r="BJ105" s="2">
        <v>4.0</v>
      </c>
      <c r="BK105" s="2">
        <v>1.0</v>
      </c>
      <c r="BL105" s="2">
        <v>4.0</v>
      </c>
      <c r="BM105" s="2">
        <v>2.0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11.0</v>
      </c>
      <c r="BX105" s="2">
        <v>55.0</v>
      </c>
      <c r="BY105" s="2">
        <v>6.0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1.0</v>
      </c>
      <c r="CF105" s="2">
        <v>6.0</v>
      </c>
      <c r="CG105" s="2">
        <v>4.0</v>
      </c>
      <c r="CH105" s="2">
        <v>95.0</v>
      </c>
      <c r="CI105" s="2">
        <v>1.0</v>
      </c>
      <c r="CJ105" s="2">
        <v>1.0</v>
      </c>
      <c r="CK105" s="2">
        <v>0.0</v>
      </c>
      <c r="CL105" s="2">
        <v>0.0</v>
      </c>
      <c r="CM105" s="2">
        <v>35.0</v>
      </c>
      <c r="CN105" s="2">
        <v>1.0</v>
      </c>
      <c r="CO105" s="2">
        <v>0.0</v>
      </c>
      <c r="CP105" s="2">
        <v>0.0</v>
      </c>
      <c r="CQ105" s="2">
        <v>1.0</v>
      </c>
      <c r="CR105" s="2">
        <v>0.0</v>
      </c>
      <c r="CS105" s="2">
        <v>0.0</v>
      </c>
      <c r="CT105" s="2">
        <v>0.0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0.0</v>
      </c>
      <c r="DA105" s="2" t="s">
        <v>1968</v>
      </c>
      <c r="DD105" s="2">
        <v>35.0</v>
      </c>
      <c r="DE105" s="2">
        <v>0.0</v>
      </c>
      <c r="DF105" s="2">
        <v>0.0</v>
      </c>
      <c r="DG105" s="2">
        <v>4.0</v>
      </c>
      <c r="DH105" s="2">
        <v>4.0</v>
      </c>
      <c r="DI105" s="2">
        <v>0.0</v>
      </c>
      <c r="DJ105" s="2">
        <v>0.0</v>
      </c>
      <c r="DK105" s="2">
        <v>1.0</v>
      </c>
      <c r="DL105" s="2">
        <v>0.0</v>
      </c>
      <c r="DM105" s="2">
        <v>0.0</v>
      </c>
      <c r="DN105" s="2">
        <v>0.0</v>
      </c>
      <c r="DO105" s="2">
        <v>0.0</v>
      </c>
      <c r="DP105" s="2">
        <v>0.0</v>
      </c>
      <c r="DQ105" s="2">
        <v>2.0</v>
      </c>
      <c r="DR105" s="2">
        <v>0.0</v>
      </c>
      <c r="DS105" s="2">
        <v>43.0</v>
      </c>
      <c r="DT105" s="2">
        <v>83.0</v>
      </c>
      <c r="DU105" s="2">
        <v>0.0</v>
      </c>
      <c r="DV105" s="2">
        <v>0.0</v>
      </c>
      <c r="DW105" s="2">
        <v>0.0</v>
      </c>
      <c r="DX105" s="2">
        <v>0.0</v>
      </c>
      <c r="DY105" s="2">
        <v>1.0</v>
      </c>
      <c r="DZ105" s="2">
        <v>1.0</v>
      </c>
      <c r="EA105" s="2">
        <v>10.0</v>
      </c>
      <c r="EB105" s="2">
        <v>0.0</v>
      </c>
      <c r="EC105" s="2">
        <v>73.0</v>
      </c>
      <c r="EE105" s="2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2">
        <v>2025.0</v>
      </c>
      <c r="B106" s="2">
        <v>4.0</v>
      </c>
      <c r="C106" s="2" t="s">
        <v>189</v>
      </c>
      <c r="D106" s="2" t="s">
        <v>390</v>
      </c>
      <c r="E106" s="2" t="s">
        <v>689</v>
      </c>
      <c r="F106" s="2" t="s">
        <v>145</v>
      </c>
      <c r="G106" s="2">
        <v>23.0</v>
      </c>
      <c r="H106" s="2">
        <v>36.0</v>
      </c>
      <c r="I106" s="2">
        <v>208.0</v>
      </c>
      <c r="J106" s="2">
        <v>2.0</v>
      </c>
      <c r="K106" s="2">
        <v>0.0</v>
      </c>
      <c r="L106" s="2">
        <v>1.0</v>
      </c>
      <c r="M106" s="2">
        <v>-11.0</v>
      </c>
      <c r="N106" s="2">
        <v>0.0</v>
      </c>
      <c r="O106" s="2">
        <v>0.0</v>
      </c>
      <c r="P106" s="2">
        <v>199.0</v>
      </c>
      <c r="Q106" s="2">
        <v>130.0</v>
      </c>
      <c r="R106" s="2">
        <v>11.0</v>
      </c>
      <c r="S106" s="2">
        <v>0.977362909953358</v>
      </c>
      <c r="T106" s="2">
        <v>4.04747575521469</v>
      </c>
      <c r="U106" s="2">
        <v>0.0</v>
      </c>
      <c r="V106" s="2">
        <v>7.0</v>
      </c>
      <c r="W106" s="2">
        <v>4.0</v>
      </c>
      <c r="X106" s="2">
        <v>2.0</v>
      </c>
      <c r="Y106" s="2">
        <v>0.0</v>
      </c>
      <c r="Z106" s="2">
        <v>28.0</v>
      </c>
      <c r="AA106" s="2">
        <v>129.0</v>
      </c>
      <c r="AB106" s="2">
        <v>0.0</v>
      </c>
      <c r="AC106" s="2">
        <v>0.0</v>
      </c>
      <c r="AD106" s="2">
        <v>0.0</v>
      </c>
      <c r="AE106" s="2">
        <v>8.0</v>
      </c>
      <c r="AF106" s="2">
        <v>-2.55946973740356</v>
      </c>
      <c r="AG106" s="2">
        <v>0.0</v>
      </c>
      <c r="AH106" s="2">
        <v>4.0</v>
      </c>
      <c r="AI106" s="2">
        <v>2.0</v>
      </c>
      <c r="AJ106" s="2">
        <v>1.0</v>
      </c>
      <c r="AK106" s="2">
        <v>0.0</v>
      </c>
      <c r="AL106" s="2">
        <v>23.0</v>
      </c>
      <c r="AM106" s="2">
        <v>32.0</v>
      </c>
      <c r="AN106" s="2">
        <v>208.0</v>
      </c>
      <c r="AO106" s="2">
        <v>2.0</v>
      </c>
      <c r="AP106" s="2">
        <v>1.0</v>
      </c>
      <c r="AQ106" s="2">
        <v>0.0</v>
      </c>
      <c r="AR106" s="2">
        <v>199.0</v>
      </c>
      <c r="AS106" s="2">
        <v>130.0</v>
      </c>
      <c r="AT106" s="2">
        <v>11.0</v>
      </c>
      <c r="AU106" s="2">
        <v>8.37527396077594</v>
      </c>
      <c r="AV106" s="2">
        <v>0.0</v>
      </c>
      <c r="AW106" s="2">
        <v>7.0</v>
      </c>
      <c r="AX106" s="2">
        <v>4.0</v>
      </c>
      <c r="AY106" s="2">
        <v>2.0</v>
      </c>
      <c r="AZ106" s="2">
        <v>0.0</v>
      </c>
      <c r="BA106" s="2">
        <v>0.0</v>
      </c>
      <c r="BB106" s="2">
        <v>23.0</v>
      </c>
      <c r="BC106" s="2">
        <v>1.0</v>
      </c>
      <c r="BD106" s="2">
        <v>33.0</v>
      </c>
      <c r="BE106" s="2">
        <v>1.0</v>
      </c>
      <c r="BF106" s="2">
        <v>2.0</v>
      </c>
      <c r="BG106" s="2">
        <v>0.0</v>
      </c>
      <c r="BH106" s="2">
        <v>1.0</v>
      </c>
      <c r="BI106" s="2">
        <v>0.0</v>
      </c>
      <c r="BJ106" s="2">
        <v>1.0</v>
      </c>
      <c r="BK106" s="2">
        <v>0.0</v>
      </c>
      <c r="BL106" s="2">
        <v>0.0</v>
      </c>
      <c r="BM106" s="2">
        <v>2.0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5.0</v>
      </c>
      <c r="BX106" s="2">
        <v>29.0</v>
      </c>
      <c r="BY106" s="2">
        <v>3.0</v>
      </c>
      <c r="BZ106" s="2">
        <v>1.0</v>
      </c>
      <c r="CA106" s="2">
        <v>0.0</v>
      </c>
      <c r="CB106" s="2">
        <v>1.0</v>
      </c>
      <c r="CC106" s="2">
        <v>1.0</v>
      </c>
      <c r="CD106" s="2">
        <v>0.0</v>
      </c>
      <c r="CE106" s="2">
        <v>3.0</v>
      </c>
      <c r="CF106" s="2">
        <v>19.0</v>
      </c>
      <c r="CG106" s="2">
        <v>6.0</v>
      </c>
      <c r="CH106" s="2">
        <v>139.0</v>
      </c>
      <c r="CI106" s="2">
        <v>0.0</v>
      </c>
      <c r="CJ106" s="2">
        <v>1.0</v>
      </c>
      <c r="CK106" s="2">
        <v>1.0</v>
      </c>
      <c r="CL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1.0</v>
      </c>
      <c r="CZ106" s="2">
        <v>0.0</v>
      </c>
      <c r="DB106" s="2" t="s">
        <v>2002</v>
      </c>
      <c r="DD106" s="2">
        <v>0.0</v>
      </c>
      <c r="DE106" s="2">
        <v>55.0</v>
      </c>
      <c r="DF106" s="2">
        <v>0.0</v>
      </c>
      <c r="DG106" s="2">
        <v>1.0</v>
      </c>
      <c r="DH106" s="2">
        <v>2.0</v>
      </c>
      <c r="DI106" s="2">
        <v>1.0</v>
      </c>
      <c r="DJ106" s="2">
        <v>0.0</v>
      </c>
      <c r="DK106" s="2">
        <v>0.5</v>
      </c>
      <c r="DL106" s="2">
        <v>0.0</v>
      </c>
      <c r="DM106" s="2">
        <v>0.0</v>
      </c>
      <c r="DN106" s="2">
        <v>0.0</v>
      </c>
      <c r="DO106" s="2">
        <v>0.0</v>
      </c>
      <c r="DP106" s="2">
        <v>0.0</v>
      </c>
      <c r="DQ106" s="2">
        <v>5.0</v>
      </c>
      <c r="DR106" s="2">
        <v>0.0</v>
      </c>
      <c r="DS106" s="2">
        <v>55.0</v>
      </c>
      <c r="DT106" s="2">
        <v>231.0</v>
      </c>
      <c r="DU106" s="2">
        <v>1.0</v>
      </c>
      <c r="DV106" s="2">
        <v>1.0</v>
      </c>
      <c r="DW106" s="2">
        <v>0.0</v>
      </c>
      <c r="DX106" s="2">
        <v>1.0</v>
      </c>
      <c r="DY106" s="2">
        <v>0.0</v>
      </c>
      <c r="DZ106" s="2">
        <v>3.0</v>
      </c>
      <c r="EA106" s="2">
        <v>167.0</v>
      </c>
      <c r="EB106" s="2">
        <v>1.0</v>
      </c>
      <c r="EC106" s="2">
        <v>44.0</v>
      </c>
      <c r="EE106" s="2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2">
        <v>2025.0</v>
      </c>
      <c r="B107" s="2">
        <v>4.0</v>
      </c>
      <c r="C107" s="2" t="s">
        <v>137</v>
      </c>
      <c r="D107" s="2" t="s">
        <v>390</v>
      </c>
      <c r="E107" s="2" t="s">
        <v>702</v>
      </c>
      <c r="F107" s="2" t="s">
        <v>222</v>
      </c>
      <c r="G107" s="2">
        <v>22.0</v>
      </c>
      <c r="H107" s="2">
        <v>37.0</v>
      </c>
      <c r="I107" s="2">
        <v>212.0</v>
      </c>
      <c r="J107" s="2">
        <v>1.0</v>
      </c>
      <c r="K107" s="2">
        <v>1.0</v>
      </c>
      <c r="L107" s="2">
        <v>1.0</v>
      </c>
      <c r="M107" s="2">
        <v>-10.0</v>
      </c>
      <c r="N107" s="2">
        <v>0.0</v>
      </c>
      <c r="O107" s="2">
        <v>0.0</v>
      </c>
      <c r="P107" s="2">
        <v>246.0</v>
      </c>
      <c r="Q107" s="2">
        <v>99.0</v>
      </c>
      <c r="R107" s="2">
        <v>10.0</v>
      </c>
      <c r="S107" s="2">
        <v>-1.12095801730195</v>
      </c>
      <c r="T107" s="2">
        <v>-11.366076187955</v>
      </c>
      <c r="U107" s="2">
        <v>0.0</v>
      </c>
      <c r="V107" s="2">
        <v>10.0</v>
      </c>
      <c r="W107" s="2">
        <v>4.0</v>
      </c>
      <c r="X107" s="2">
        <v>2.0</v>
      </c>
      <c r="Y107" s="2">
        <v>0.0</v>
      </c>
      <c r="Z107" s="2">
        <v>26.0</v>
      </c>
      <c r="AA107" s="2">
        <v>69.0</v>
      </c>
      <c r="AB107" s="2">
        <v>1.0</v>
      </c>
      <c r="AC107" s="2">
        <v>2.0</v>
      </c>
      <c r="AD107" s="2">
        <v>0.0</v>
      </c>
      <c r="AE107" s="2">
        <v>5.0</v>
      </c>
      <c r="AF107" s="2">
        <v>-6.59560730668724</v>
      </c>
      <c r="AG107" s="2">
        <v>0.0</v>
      </c>
      <c r="AH107" s="2">
        <v>2.0</v>
      </c>
      <c r="AI107" s="2">
        <v>2.0</v>
      </c>
      <c r="AJ107" s="2">
        <v>0.0</v>
      </c>
      <c r="AK107" s="2">
        <v>0.0</v>
      </c>
      <c r="AL107" s="2">
        <v>22.0</v>
      </c>
      <c r="AM107" s="2">
        <v>36.0</v>
      </c>
      <c r="AN107" s="2">
        <v>212.0</v>
      </c>
      <c r="AO107" s="2">
        <v>1.0</v>
      </c>
      <c r="AP107" s="2">
        <v>0.0</v>
      </c>
      <c r="AQ107" s="2">
        <v>0.0</v>
      </c>
      <c r="AR107" s="2">
        <v>246.0</v>
      </c>
      <c r="AS107" s="2">
        <v>99.0</v>
      </c>
      <c r="AT107" s="2">
        <v>10.0</v>
      </c>
      <c r="AU107" s="2">
        <v>1.62864747643451</v>
      </c>
      <c r="AV107" s="2">
        <v>0.0</v>
      </c>
      <c r="AW107" s="2">
        <v>10.0</v>
      </c>
      <c r="AX107" s="2">
        <v>4.0</v>
      </c>
      <c r="AY107" s="2">
        <v>2.0</v>
      </c>
      <c r="AZ107" s="2">
        <v>0.0</v>
      </c>
      <c r="BA107" s="2">
        <v>0.0</v>
      </c>
      <c r="BB107" s="2">
        <v>35.0</v>
      </c>
      <c r="BC107" s="2">
        <v>3.0</v>
      </c>
      <c r="BD107" s="2">
        <v>29.0</v>
      </c>
      <c r="BE107" s="2">
        <v>5.0</v>
      </c>
      <c r="BF107" s="2">
        <v>17.0</v>
      </c>
      <c r="BG107" s="2">
        <v>1.0</v>
      </c>
      <c r="BH107" s="2">
        <v>0.0</v>
      </c>
      <c r="BI107" s="2">
        <v>0.0</v>
      </c>
      <c r="BJ107" s="2">
        <v>1.0</v>
      </c>
      <c r="BK107" s="2">
        <v>3.0</v>
      </c>
      <c r="BL107" s="2">
        <v>50.0</v>
      </c>
      <c r="BM107" s="2">
        <v>4.0</v>
      </c>
      <c r="BN107" s="2">
        <v>0.0</v>
      </c>
      <c r="BO107" s="2">
        <v>0.0</v>
      </c>
      <c r="BP107" s="2">
        <v>0.0</v>
      </c>
      <c r="BQ107" s="2">
        <v>0.0</v>
      </c>
      <c r="BR107" s="2">
        <v>2.0</v>
      </c>
      <c r="BS107" s="2">
        <v>-19.0</v>
      </c>
      <c r="BT107" s="2">
        <v>1.0</v>
      </c>
      <c r="BU107" s="2">
        <v>0.0</v>
      </c>
      <c r="BV107" s="2">
        <v>0.0</v>
      </c>
      <c r="BW107" s="2">
        <v>8.0</v>
      </c>
      <c r="BX107" s="2">
        <v>60.0</v>
      </c>
      <c r="BY107" s="2">
        <v>4.0</v>
      </c>
      <c r="BZ107" s="2">
        <v>1.0</v>
      </c>
      <c r="CA107" s="2">
        <v>1.0</v>
      </c>
      <c r="CB107" s="2">
        <v>0.0</v>
      </c>
      <c r="CC107" s="2">
        <v>2.0</v>
      </c>
      <c r="CD107" s="2">
        <v>0.0</v>
      </c>
      <c r="CE107" s="2">
        <v>1.0</v>
      </c>
      <c r="CF107" s="2">
        <v>19.0</v>
      </c>
      <c r="CG107" s="2">
        <v>5.0</v>
      </c>
      <c r="CH107" s="2">
        <v>122.0</v>
      </c>
      <c r="CI107" s="2">
        <v>4.0</v>
      </c>
      <c r="CJ107" s="2">
        <v>4.0</v>
      </c>
      <c r="CK107" s="2">
        <v>0.0</v>
      </c>
      <c r="CL107" s="2">
        <v>0.0</v>
      </c>
      <c r="CM107" s="2">
        <v>52.0</v>
      </c>
      <c r="CN107" s="2">
        <v>1.0</v>
      </c>
      <c r="CO107" s="2">
        <v>0.0</v>
      </c>
      <c r="CP107" s="2">
        <v>0.0</v>
      </c>
      <c r="CQ107" s="2">
        <v>0.0</v>
      </c>
      <c r="CR107" s="2">
        <v>2.0</v>
      </c>
      <c r="CS107" s="2">
        <v>2.0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 t="s">
        <v>2054</v>
      </c>
      <c r="DD107" s="2">
        <v>192.0</v>
      </c>
      <c r="DE107" s="2">
        <v>0.0</v>
      </c>
      <c r="DF107" s="2">
        <v>0.0</v>
      </c>
      <c r="DG107" s="2">
        <v>1.0</v>
      </c>
      <c r="DH107" s="2">
        <v>1.0</v>
      </c>
      <c r="DI107" s="2">
        <v>0.0</v>
      </c>
      <c r="DJ107" s="2">
        <v>0.0</v>
      </c>
      <c r="DK107" s="2">
        <v>1.0</v>
      </c>
      <c r="DL107" s="2">
        <v>0.0</v>
      </c>
      <c r="DM107" s="2">
        <v>0.0</v>
      </c>
      <c r="DN107" s="2">
        <v>0.0</v>
      </c>
      <c r="DO107" s="2">
        <v>0.0</v>
      </c>
      <c r="DP107" s="2">
        <v>0.0</v>
      </c>
      <c r="DQ107" s="2">
        <v>3.0</v>
      </c>
      <c r="DR107" s="2">
        <v>0.0</v>
      </c>
      <c r="DS107" s="2">
        <v>62.0</v>
      </c>
      <c r="DT107" s="2">
        <v>148.0</v>
      </c>
      <c r="DU107" s="2">
        <v>1.0</v>
      </c>
      <c r="DV107" s="2">
        <v>0.0</v>
      </c>
      <c r="DW107" s="2">
        <v>1.0</v>
      </c>
      <c r="DX107" s="2">
        <v>1.0</v>
      </c>
      <c r="DY107" s="2">
        <v>0.0</v>
      </c>
      <c r="DZ107" s="2">
        <v>1.0</v>
      </c>
      <c r="EA107" s="2">
        <v>7.0</v>
      </c>
      <c r="EB107" s="2">
        <v>0.0</v>
      </c>
      <c r="EC107" s="2">
        <v>121.0</v>
      </c>
      <c r="EE107" s="2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2">
        <v>2025.0</v>
      </c>
      <c r="B108" s="2">
        <v>4.0</v>
      </c>
      <c r="C108" s="2" t="s">
        <v>138</v>
      </c>
      <c r="D108" s="2" t="s">
        <v>390</v>
      </c>
      <c r="E108" s="2" t="s">
        <v>710</v>
      </c>
      <c r="F108" s="2" t="s">
        <v>139</v>
      </c>
      <c r="G108" s="2">
        <v>14.0</v>
      </c>
      <c r="H108" s="2">
        <v>25.0</v>
      </c>
      <c r="I108" s="2">
        <v>125.0</v>
      </c>
      <c r="J108" s="2">
        <v>0.0</v>
      </c>
      <c r="K108" s="2">
        <v>0.0</v>
      </c>
      <c r="L108" s="2">
        <v>3.0</v>
      </c>
      <c r="M108" s="2">
        <v>-19.0</v>
      </c>
      <c r="N108" s="2">
        <v>0.0</v>
      </c>
      <c r="O108" s="2">
        <v>0.0</v>
      </c>
      <c r="P108" s="2">
        <v>200.0</v>
      </c>
      <c r="Q108" s="2">
        <v>68.0</v>
      </c>
      <c r="R108" s="2">
        <v>3.0</v>
      </c>
      <c r="S108" s="2">
        <v>-10.3546775998008</v>
      </c>
      <c r="T108" s="2">
        <v>-4.89571013233878</v>
      </c>
      <c r="U108" s="2">
        <v>0.0</v>
      </c>
      <c r="V108" s="2">
        <v>5.0</v>
      </c>
      <c r="W108" s="2">
        <v>2.0</v>
      </c>
      <c r="X108" s="2">
        <v>1.0</v>
      </c>
      <c r="Y108" s="2">
        <v>0.0</v>
      </c>
      <c r="Z108" s="2">
        <v>15.0</v>
      </c>
      <c r="AA108" s="2">
        <v>53.0</v>
      </c>
      <c r="AB108" s="2">
        <v>0.0</v>
      </c>
      <c r="AC108" s="2">
        <v>0.0</v>
      </c>
      <c r="AD108" s="2">
        <v>0.0</v>
      </c>
      <c r="AE108" s="2">
        <v>3.0</v>
      </c>
      <c r="AF108" s="2">
        <v>-0.412646671000402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14.0</v>
      </c>
      <c r="AM108" s="2">
        <v>22.0</v>
      </c>
      <c r="AN108" s="2">
        <v>125.0</v>
      </c>
      <c r="AO108" s="2">
        <v>0.0</v>
      </c>
      <c r="AP108" s="2">
        <v>0.0</v>
      </c>
      <c r="AQ108" s="2">
        <v>0.0</v>
      </c>
      <c r="AR108" s="2">
        <v>200.0</v>
      </c>
      <c r="AS108" s="2">
        <v>68.0</v>
      </c>
      <c r="AT108" s="2">
        <v>3.0</v>
      </c>
      <c r="AU108" s="2">
        <v>-3.41827813344265</v>
      </c>
      <c r="AV108" s="2">
        <v>0.0</v>
      </c>
      <c r="AW108" s="2">
        <v>5.0</v>
      </c>
      <c r="AX108" s="2">
        <v>2.0</v>
      </c>
      <c r="AY108" s="2">
        <v>1.0</v>
      </c>
      <c r="AZ108" s="2">
        <v>0.0</v>
      </c>
      <c r="BA108" s="2">
        <v>0.0</v>
      </c>
      <c r="BB108" s="2">
        <v>42.0</v>
      </c>
      <c r="BC108" s="2">
        <v>1.0</v>
      </c>
      <c r="BD108" s="2">
        <v>45.0</v>
      </c>
      <c r="BE108" s="2">
        <v>1.0</v>
      </c>
      <c r="BF108" s="2">
        <v>2.0</v>
      </c>
      <c r="BG108" s="2">
        <v>0.0</v>
      </c>
      <c r="BH108" s="2">
        <v>0.0</v>
      </c>
      <c r="BI108" s="2">
        <v>0.0</v>
      </c>
      <c r="BJ108" s="2">
        <v>1.0</v>
      </c>
      <c r="BK108" s="2">
        <v>1.0</v>
      </c>
      <c r="BL108" s="2">
        <v>0.0</v>
      </c>
      <c r="BM108" s="2">
        <v>2.0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11.0</v>
      </c>
      <c r="BX108" s="2">
        <v>65.0</v>
      </c>
      <c r="BY108" s="2">
        <v>1.0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1.0</v>
      </c>
      <c r="CF108" s="2">
        <v>16.0</v>
      </c>
      <c r="CG108" s="2">
        <v>2.0</v>
      </c>
      <c r="CH108" s="2">
        <v>48.0</v>
      </c>
      <c r="CI108" s="2">
        <v>1.0</v>
      </c>
      <c r="CJ108" s="2">
        <v>1.0</v>
      </c>
      <c r="CK108" s="2">
        <v>0.0</v>
      </c>
      <c r="CL108" s="2">
        <v>0.0</v>
      </c>
      <c r="CM108" s="2">
        <v>26.0</v>
      </c>
      <c r="CN108" s="2">
        <v>1.0</v>
      </c>
      <c r="CO108" s="2">
        <v>0.0</v>
      </c>
      <c r="CP108" s="2">
        <v>1.0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 t="s">
        <v>2055</v>
      </c>
      <c r="DD108" s="2">
        <v>26.0</v>
      </c>
      <c r="DE108" s="2">
        <v>0.0</v>
      </c>
      <c r="DF108" s="2">
        <v>0.0</v>
      </c>
      <c r="DG108" s="2">
        <v>0.0</v>
      </c>
      <c r="DH108" s="2">
        <v>0.0</v>
      </c>
      <c r="DI108" s="2">
        <v>0.0</v>
      </c>
      <c r="DJ108" s="2">
        <v>0.0</v>
      </c>
      <c r="DL108" s="2">
        <v>0.0</v>
      </c>
      <c r="DM108" s="2">
        <v>0.0</v>
      </c>
      <c r="DN108" s="2">
        <v>0.0</v>
      </c>
      <c r="DO108" s="2">
        <v>0.0</v>
      </c>
      <c r="DP108" s="2">
        <v>0.0</v>
      </c>
      <c r="DQ108" s="2">
        <v>8.0</v>
      </c>
      <c r="DR108" s="2">
        <v>0.0</v>
      </c>
      <c r="DS108" s="2">
        <v>69.0</v>
      </c>
      <c r="DT108" s="2">
        <v>403.0</v>
      </c>
      <c r="DU108" s="2">
        <v>3.0</v>
      </c>
      <c r="DV108" s="2">
        <v>2.0</v>
      </c>
      <c r="DW108" s="2">
        <v>0.0</v>
      </c>
      <c r="DX108" s="2">
        <v>1.0</v>
      </c>
      <c r="DY108" s="2">
        <v>2.0</v>
      </c>
      <c r="DZ108" s="2">
        <v>3.0</v>
      </c>
      <c r="EA108" s="2">
        <v>24.0</v>
      </c>
      <c r="EB108" s="2">
        <v>0.0</v>
      </c>
      <c r="EC108" s="2">
        <v>359.0</v>
      </c>
      <c r="EE108" s="2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2">
        <v>2025.0</v>
      </c>
      <c r="B109" s="2">
        <v>4.0</v>
      </c>
      <c r="C109" s="2" t="s">
        <v>196</v>
      </c>
      <c r="D109" s="2" t="s">
        <v>390</v>
      </c>
      <c r="E109" s="2" t="s">
        <v>685</v>
      </c>
      <c r="F109" s="2" t="s">
        <v>202</v>
      </c>
      <c r="G109" s="2">
        <v>16.0</v>
      </c>
      <c r="H109" s="2">
        <v>35.0</v>
      </c>
      <c r="I109" s="2">
        <v>184.0</v>
      </c>
      <c r="J109" s="2">
        <v>0.0</v>
      </c>
      <c r="K109" s="2">
        <v>2.0</v>
      </c>
      <c r="L109" s="2">
        <v>3.0</v>
      </c>
      <c r="M109" s="2">
        <v>-14.0</v>
      </c>
      <c r="N109" s="2">
        <v>1.0</v>
      </c>
      <c r="O109" s="2">
        <v>1.0</v>
      </c>
      <c r="P109" s="2">
        <v>347.0</v>
      </c>
      <c r="Q109" s="2">
        <v>79.0</v>
      </c>
      <c r="R109" s="2">
        <v>8.0</v>
      </c>
      <c r="S109" s="2">
        <v>-21.1603039430681</v>
      </c>
      <c r="T109" s="2">
        <v>-16.3890133885776</v>
      </c>
      <c r="U109" s="2">
        <v>0.0</v>
      </c>
      <c r="V109" s="2">
        <v>8.0</v>
      </c>
      <c r="W109" s="2">
        <v>4.0</v>
      </c>
      <c r="X109" s="2">
        <v>2.0</v>
      </c>
      <c r="Y109" s="2">
        <v>0.0</v>
      </c>
      <c r="Z109" s="2">
        <v>27.0</v>
      </c>
      <c r="AA109" s="2">
        <v>79.0</v>
      </c>
      <c r="AB109" s="2">
        <v>1.0</v>
      </c>
      <c r="AC109" s="2">
        <v>0.0</v>
      </c>
      <c r="AD109" s="2">
        <v>0.0</v>
      </c>
      <c r="AE109" s="2">
        <v>7.0</v>
      </c>
      <c r="AF109" s="2">
        <v>-2.07442968443502</v>
      </c>
      <c r="AG109" s="2">
        <v>0.0</v>
      </c>
      <c r="AH109" s="2">
        <v>2.0</v>
      </c>
      <c r="AI109" s="2">
        <v>0.0</v>
      </c>
      <c r="AJ109" s="2">
        <v>0.0</v>
      </c>
      <c r="AK109" s="2">
        <v>0.0</v>
      </c>
      <c r="AL109" s="2">
        <v>16.0</v>
      </c>
      <c r="AM109" s="2">
        <v>34.0</v>
      </c>
      <c r="AN109" s="2">
        <v>184.0</v>
      </c>
      <c r="AO109" s="2">
        <v>0.0</v>
      </c>
      <c r="AP109" s="2">
        <v>0.0</v>
      </c>
      <c r="AQ109" s="2">
        <v>0.0</v>
      </c>
      <c r="AR109" s="2">
        <v>347.0</v>
      </c>
      <c r="AS109" s="2">
        <v>79.0</v>
      </c>
      <c r="AT109" s="2">
        <v>8.0</v>
      </c>
      <c r="AU109" s="2">
        <v>-13.1243543899379</v>
      </c>
      <c r="AV109" s="2">
        <v>0.0</v>
      </c>
      <c r="AW109" s="2">
        <v>8.0</v>
      </c>
      <c r="AX109" s="2">
        <v>4.0</v>
      </c>
      <c r="AY109" s="2">
        <v>2.0</v>
      </c>
      <c r="AZ109" s="2">
        <v>0.0</v>
      </c>
      <c r="BA109" s="2">
        <v>0.0</v>
      </c>
      <c r="BB109" s="2">
        <v>29.0</v>
      </c>
      <c r="BC109" s="2">
        <v>2.0</v>
      </c>
      <c r="BD109" s="2">
        <v>32.0</v>
      </c>
      <c r="BE109" s="2">
        <v>4.0</v>
      </c>
      <c r="BF109" s="2">
        <v>8.0</v>
      </c>
      <c r="BG109" s="2">
        <v>0.0</v>
      </c>
      <c r="BH109" s="2">
        <v>0.0</v>
      </c>
      <c r="BI109" s="2">
        <v>0.0</v>
      </c>
      <c r="BJ109" s="2">
        <v>5.0</v>
      </c>
      <c r="BK109" s="2">
        <v>1.0</v>
      </c>
      <c r="BL109" s="2">
        <v>13.0</v>
      </c>
      <c r="BM109" s="2">
        <v>1.0</v>
      </c>
      <c r="BN109" s="2">
        <v>0.0</v>
      </c>
      <c r="BO109" s="2">
        <v>1.0</v>
      </c>
      <c r="BP109" s="2">
        <v>0.0</v>
      </c>
      <c r="BQ109" s="2">
        <v>0.0</v>
      </c>
      <c r="BR109" s="2">
        <v>1.0</v>
      </c>
      <c r="BS109" s="2">
        <v>0.0</v>
      </c>
      <c r="BT109" s="2">
        <v>0.0</v>
      </c>
      <c r="BU109" s="2">
        <v>0.0</v>
      </c>
      <c r="BV109" s="2">
        <v>0.0</v>
      </c>
      <c r="BW109" s="2">
        <v>6.0</v>
      </c>
      <c r="BX109" s="2">
        <v>44.0</v>
      </c>
      <c r="BY109" s="2">
        <v>1.0</v>
      </c>
      <c r="BZ109" s="2">
        <v>1.0</v>
      </c>
      <c r="CA109" s="2">
        <v>1.0</v>
      </c>
      <c r="CB109" s="2">
        <v>0.0</v>
      </c>
      <c r="CC109" s="2">
        <v>2.0</v>
      </c>
      <c r="CD109" s="2">
        <v>1.0</v>
      </c>
      <c r="CE109" s="2">
        <v>1.0</v>
      </c>
      <c r="CF109" s="2">
        <v>0.0</v>
      </c>
      <c r="CG109" s="2">
        <v>5.0</v>
      </c>
      <c r="CH109" s="2">
        <v>129.0</v>
      </c>
      <c r="CI109" s="2">
        <v>1.0</v>
      </c>
      <c r="CJ109" s="2">
        <v>2.0</v>
      </c>
      <c r="CK109" s="2">
        <v>1.0</v>
      </c>
      <c r="CL109" s="2">
        <v>0.0</v>
      </c>
      <c r="CM109" s="2">
        <v>33.0</v>
      </c>
      <c r="CN109" s="2">
        <v>0.5</v>
      </c>
      <c r="CO109" s="2">
        <v>0.0</v>
      </c>
      <c r="CP109" s="2">
        <v>0.0</v>
      </c>
      <c r="CQ109" s="2">
        <v>1.0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1.0</v>
      </c>
      <c r="CZ109" s="2">
        <v>0.0</v>
      </c>
      <c r="DA109" s="2" t="s">
        <v>2056</v>
      </c>
      <c r="DB109" s="2" t="s">
        <v>2007</v>
      </c>
      <c r="DD109" s="2">
        <v>33.0</v>
      </c>
      <c r="DE109" s="2">
        <v>56.0</v>
      </c>
      <c r="DF109" s="2">
        <v>0.0</v>
      </c>
      <c r="DG109" s="2">
        <v>1.0</v>
      </c>
      <c r="DH109" s="2">
        <v>1.0</v>
      </c>
      <c r="DI109" s="2">
        <v>0.0</v>
      </c>
      <c r="DJ109" s="2">
        <v>0.0</v>
      </c>
      <c r="DK109" s="2">
        <v>1.0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7.0</v>
      </c>
      <c r="DR109" s="2">
        <v>0.0</v>
      </c>
      <c r="DS109" s="2">
        <v>47.0</v>
      </c>
      <c r="DT109" s="2">
        <v>314.0</v>
      </c>
      <c r="DU109" s="2">
        <v>4.0</v>
      </c>
      <c r="DV109" s="2">
        <v>1.0</v>
      </c>
      <c r="DW109" s="2">
        <v>0.0</v>
      </c>
      <c r="DX109" s="2">
        <v>0.0</v>
      </c>
      <c r="DY109" s="2">
        <v>1.0</v>
      </c>
      <c r="DZ109" s="2">
        <v>5.0</v>
      </c>
      <c r="EA109" s="2">
        <v>76.0</v>
      </c>
      <c r="EB109" s="2">
        <v>1.0</v>
      </c>
      <c r="EC109" s="2">
        <v>238.0</v>
      </c>
      <c r="EE109" s="2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2">
        <v>2025.0</v>
      </c>
      <c r="B110" s="2">
        <v>4.0</v>
      </c>
      <c r="C110" s="2" t="s">
        <v>146</v>
      </c>
      <c r="D110" s="2" t="s">
        <v>390</v>
      </c>
      <c r="E110" s="2" t="s">
        <v>704</v>
      </c>
      <c r="F110" s="2" t="s">
        <v>205</v>
      </c>
      <c r="G110" s="2">
        <v>31.0</v>
      </c>
      <c r="H110" s="2">
        <v>40.0</v>
      </c>
      <c r="I110" s="2">
        <v>319.0</v>
      </c>
      <c r="J110" s="2">
        <v>3.0</v>
      </c>
      <c r="K110" s="2">
        <v>0.0</v>
      </c>
      <c r="L110" s="2">
        <v>1.0</v>
      </c>
      <c r="M110" s="2">
        <v>0.0</v>
      </c>
      <c r="N110" s="2">
        <v>0.0</v>
      </c>
      <c r="O110" s="2">
        <v>0.0</v>
      </c>
      <c r="P110" s="2">
        <v>327.0</v>
      </c>
      <c r="Q110" s="2">
        <v>136.0</v>
      </c>
      <c r="R110" s="2">
        <v>17.0</v>
      </c>
      <c r="S110" s="2">
        <v>22.4308833907435</v>
      </c>
      <c r="T110" s="2">
        <v>13.1012120529225</v>
      </c>
      <c r="U110" s="2">
        <v>0.0</v>
      </c>
      <c r="V110" s="2">
        <v>13.0</v>
      </c>
      <c r="W110" s="2">
        <v>5.0</v>
      </c>
      <c r="X110" s="2">
        <v>4.0</v>
      </c>
      <c r="Y110" s="2">
        <v>0.0</v>
      </c>
      <c r="Z110" s="2">
        <v>26.0</v>
      </c>
      <c r="AA110" s="2">
        <v>117.0</v>
      </c>
      <c r="AB110" s="2">
        <v>2.0</v>
      </c>
      <c r="AC110" s="2">
        <v>0.0</v>
      </c>
      <c r="AD110" s="2">
        <v>0.0</v>
      </c>
      <c r="AE110" s="2">
        <v>8.0</v>
      </c>
      <c r="AF110" s="2">
        <v>1.55951230740175</v>
      </c>
      <c r="AG110" s="2">
        <v>0.0</v>
      </c>
      <c r="AH110" s="2">
        <v>3.0</v>
      </c>
      <c r="AI110" s="2">
        <v>2.0</v>
      </c>
      <c r="AJ110" s="2">
        <v>0.0</v>
      </c>
      <c r="AK110" s="2">
        <v>0.0</v>
      </c>
      <c r="AL110" s="2">
        <v>31.0</v>
      </c>
      <c r="AM110" s="2">
        <v>38.0</v>
      </c>
      <c r="AN110" s="2">
        <v>319.0</v>
      </c>
      <c r="AO110" s="2">
        <v>3.0</v>
      </c>
      <c r="AP110" s="2">
        <v>0.0</v>
      </c>
      <c r="AQ110" s="2">
        <v>0.0</v>
      </c>
      <c r="AR110" s="2">
        <v>327.0</v>
      </c>
      <c r="AS110" s="2">
        <v>136.0</v>
      </c>
      <c r="AT110" s="2">
        <v>17.0</v>
      </c>
      <c r="AU110" s="2">
        <v>25.3144821299356</v>
      </c>
      <c r="AV110" s="2">
        <v>0.0</v>
      </c>
      <c r="AW110" s="2">
        <v>13.0</v>
      </c>
      <c r="AX110" s="2">
        <v>5.0</v>
      </c>
      <c r="AY110" s="2">
        <v>4.0</v>
      </c>
      <c r="AZ110" s="2">
        <v>0.0</v>
      </c>
      <c r="BA110" s="2">
        <v>0.0</v>
      </c>
      <c r="BB110" s="2">
        <v>51.0</v>
      </c>
      <c r="BC110" s="2">
        <v>1.0</v>
      </c>
      <c r="BD110" s="2">
        <v>31.0</v>
      </c>
      <c r="BE110" s="2">
        <v>7.0</v>
      </c>
      <c r="BF110" s="2">
        <v>30.0</v>
      </c>
      <c r="BG110" s="2">
        <v>1.0</v>
      </c>
      <c r="BH110" s="2">
        <v>1.0</v>
      </c>
      <c r="BI110" s="2">
        <v>12.0</v>
      </c>
      <c r="BJ110" s="2">
        <v>4.0</v>
      </c>
      <c r="BK110" s="2">
        <v>0.0</v>
      </c>
      <c r="BL110" s="2">
        <v>0.0</v>
      </c>
      <c r="BM110" s="2">
        <v>1.0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1.0</v>
      </c>
      <c r="BU110" s="2">
        <v>0.0</v>
      </c>
      <c r="BV110" s="2">
        <v>0.0</v>
      </c>
      <c r="BW110" s="2">
        <v>11.0</v>
      </c>
      <c r="BX110" s="2">
        <v>95.0</v>
      </c>
      <c r="BY110" s="2">
        <v>6.0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6.0</v>
      </c>
      <c r="CH110" s="2">
        <v>175.0</v>
      </c>
      <c r="CI110" s="2">
        <v>1.0</v>
      </c>
      <c r="CJ110" s="2">
        <v>1.0</v>
      </c>
      <c r="CK110" s="2">
        <v>0.0</v>
      </c>
      <c r="CL110" s="2">
        <v>0.0</v>
      </c>
      <c r="CM110" s="2">
        <v>22.0</v>
      </c>
      <c r="CN110" s="2">
        <v>1.0</v>
      </c>
      <c r="CO110" s="2">
        <v>0.0</v>
      </c>
      <c r="CP110" s="2">
        <v>1.0</v>
      </c>
      <c r="CQ110" s="2">
        <v>0.0</v>
      </c>
      <c r="CR110" s="2">
        <v>0.0</v>
      </c>
      <c r="CS110" s="2">
        <v>0.0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0.0</v>
      </c>
      <c r="DA110" s="2" t="s">
        <v>2057</v>
      </c>
      <c r="DD110" s="2">
        <v>22.0</v>
      </c>
      <c r="DE110" s="2">
        <v>0.0</v>
      </c>
      <c r="DF110" s="2">
        <v>0.0</v>
      </c>
      <c r="DG110" s="2">
        <v>5.0</v>
      </c>
      <c r="DH110" s="2">
        <v>5.0</v>
      </c>
      <c r="DI110" s="2">
        <v>0.0</v>
      </c>
      <c r="DJ110" s="2">
        <v>0.0</v>
      </c>
      <c r="DK110" s="2">
        <v>1.0</v>
      </c>
      <c r="DL110" s="2">
        <v>0.0</v>
      </c>
      <c r="DM110" s="2">
        <v>0.0</v>
      </c>
      <c r="DN110" s="2">
        <v>0.0</v>
      </c>
      <c r="DO110" s="2">
        <v>0.0</v>
      </c>
      <c r="DP110" s="2">
        <v>0.0</v>
      </c>
      <c r="DQ110" s="2">
        <v>4.0</v>
      </c>
      <c r="DR110" s="2">
        <v>0.0</v>
      </c>
      <c r="DS110" s="2">
        <v>51.0</v>
      </c>
      <c r="DT110" s="2">
        <v>190.0</v>
      </c>
      <c r="DU110" s="2">
        <v>1.0</v>
      </c>
      <c r="DV110" s="2">
        <v>0.0</v>
      </c>
      <c r="DW110" s="2">
        <v>0.0</v>
      </c>
      <c r="DX110" s="2">
        <v>0.0</v>
      </c>
      <c r="DY110" s="2">
        <v>1.0</v>
      </c>
      <c r="DZ110" s="2">
        <v>3.0</v>
      </c>
      <c r="EA110" s="2">
        <v>16.0</v>
      </c>
      <c r="EB110" s="2">
        <v>0.0</v>
      </c>
      <c r="EC110" s="2">
        <v>174.0</v>
      </c>
      <c r="EE110" s="2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2">
        <v>2025.0</v>
      </c>
      <c r="B111" s="2">
        <v>4.0</v>
      </c>
      <c r="C111" s="2" t="s">
        <v>139</v>
      </c>
      <c r="D111" s="2" t="s">
        <v>390</v>
      </c>
      <c r="E111" s="2" t="s">
        <v>710</v>
      </c>
      <c r="F111" s="2" t="s">
        <v>138</v>
      </c>
      <c r="G111" s="2">
        <v>29.0</v>
      </c>
      <c r="H111" s="2">
        <v>42.0</v>
      </c>
      <c r="I111" s="2">
        <v>326.0</v>
      </c>
      <c r="J111" s="2">
        <v>2.0</v>
      </c>
      <c r="K111" s="2">
        <v>1.0</v>
      </c>
      <c r="L111" s="2">
        <v>0.0</v>
      </c>
      <c r="M111" s="2">
        <v>0.0</v>
      </c>
      <c r="N111" s="2">
        <v>0.0</v>
      </c>
      <c r="O111" s="2">
        <v>0.0</v>
      </c>
      <c r="P111" s="2">
        <v>280.0</v>
      </c>
      <c r="Q111" s="2">
        <v>225.0</v>
      </c>
      <c r="R111" s="2">
        <v>17.0</v>
      </c>
      <c r="S111" s="2">
        <v>13.2797961980687</v>
      </c>
      <c r="T111" s="2">
        <v>-2.15494611433574</v>
      </c>
      <c r="U111" s="2">
        <v>0.0</v>
      </c>
      <c r="V111" s="2">
        <v>16.0</v>
      </c>
      <c r="W111" s="2">
        <v>6.0</v>
      </c>
      <c r="X111" s="2">
        <v>5.0</v>
      </c>
      <c r="Y111" s="2">
        <v>0.0</v>
      </c>
      <c r="Z111" s="2">
        <v>38.0</v>
      </c>
      <c r="AA111" s="2">
        <v>186.0</v>
      </c>
      <c r="AB111" s="2">
        <v>2.0</v>
      </c>
      <c r="AC111" s="2">
        <v>0.0</v>
      </c>
      <c r="AD111" s="2">
        <v>0.0</v>
      </c>
      <c r="AE111" s="2">
        <v>11.0</v>
      </c>
      <c r="AF111" s="2">
        <v>3.94884687842568</v>
      </c>
      <c r="AG111" s="2">
        <v>0.0</v>
      </c>
      <c r="AH111" s="2">
        <v>5.0</v>
      </c>
      <c r="AI111" s="2">
        <v>3.0</v>
      </c>
      <c r="AJ111" s="2">
        <v>0.0</v>
      </c>
      <c r="AK111" s="2">
        <v>0.0</v>
      </c>
      <c r="AL111" s="2">
        <v>29.0</v>
      </c>
      <c r="AM111" s="2">
        <v>42.0</v>
      </c>
      <c r="AN111" s="2">
        <v>326.0</v>
      </c>
      <c r="AO111" s="2">
        <v>2.0</v>
      </c>
      <c r="AP111" s="2">
        <v>0.0</v>
      </c>
      <c r="AQ111" s="2">
        <v>0.0</v>
      </c>
      <c r="AR111" s="2">
        <v>280.0</v>
      </c>
      <c r="AS111" s="2">
        <v>225.0</v>
      </c>
      <c r="AT111" s="2">
        <v>17.0</v>
      </c>
      <c r="AU111" s="2">
        <v>13.2797961980687</v>
      </c>
      <c r="AV111" s="2">
        <v>0.0</v>
      </c>
      <c r="AW111" s="2">
        <v>16.0</v>
      </c>
      <c r="AX111" s="2">
        <v>6.0</v>
      </c>
      <c r="AY111" s="2">
        <v>5.0</v>
      </c>
      <c r="AZ111" s="2">
        <v>0.0</v>
      </c>
      <c r="BA111" s="2">
        <v>0.0</v>
      </c>
      <c r="BB111" s="2">
        <v>23.0</v>
      </c>
      <c r="BC111" s="2">
        <v>0.0</v>
      </c>
      <c r="BD111" s="2">
        <v>22.0</v>
      </c>
      <c r="BE111" s="2">
        <v>2.0</v>
      </c>
      <c r="BF111" s="2">
        <v>13.0</v>
      </c>
      <c r="BG111" s="2">
        <v>0.0</v>
      </c>
      <c r="BH111" s="2">
        <v>3.0</v>
      </c>
      <c r="BI111" s="2">
        <v>19.0</v>
      </c>
      <c r="BJ111" s="2">
        <v>6.0</v>
      </c>
      <c r="BK111" s="2">
        <v>0.0</v>
      </c>
      <c r="BL111" s="2">
        <v>0.0</v>
      </c>
      <c r="BM111" s="2">
        <v>2.0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0.0</v>
      </c>
      <c r="BW111" s="2">
        <v>7.0</v>
      </c>
      <c r="BX111" s="2">
        <v>72.0</v>
      </c>
      <c r="BY111" s="2">
        <v>4.0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3.0</v>
      </c>
      <c r="CF111" s="2">
        <v>24.0</v>
      </c>
      <c r="CG111" s="2">
        <v>2.0</v>
      </c>
      <c r="CH111" s="2">
        <v>58.0</v>
      </c>
      <c r="CI111" s="2">
        <v>0.0</v>
      </c>
      <c r="CJ111" s="2">
        <v>0.0</v>
      </c>
      <c r="CK111" s="2">
        <v>0.0</v>
      </c>
      <c r="CL111" s="2">
        <v>0.0</v>
      </c>
      <c r="CO111" s="2">
        <v>0.0</v>
      </c>
      <c r="CP111" s="2">
        <v>0.0</v>
      </c>
      <c r="CQ111" s="2">
        <v>0.0</v>
      </c>
      <c r="CR111" s="2">
        <v>0.0</v>
      </c>
      <c r="CS111" s="2">
        <v>0.0</v>
      </c>
      <c r="CT111" s="2">
        <v>0.0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D111" s="2">
        <v>0.0</v>
      </c>
      <c r="DE111" s="2">
        <v>0.0</v>
      </c>
      <c r="DF111" s="2">
        <v>0.0</v>
      </c>
      <c r="DG111" s="2">
        <v>4.0</v>
      </c>
      <c r="DH111" s="2">
        <v>4.0</v>
      </c>
      <c r="DI111" s="2">
        <v>0.0</v>
      </c>
      <c r="DJ111" s="2">
        <v>0.0</v>
      </c>
      <c r="DK111" s="2">
        <v>1.0</v>
      </c>
      <c r="DL111" s="2">
        <v>0.0</v>
      </c>
      <c r="DM111" s="2">
        <v>0.0</v>
      </c>
      <c r="DN111" s="2">
        <v>0.0</v>
      </c>
      <c r="DO111" s="2">
        <v>0.0</v>
      </c>
      <c r="DP111" s="2">
        <v>0.0</v>
      </c>
      <c r="DQ111" s="2">
        <v>4.0</v>
      </c>
      <c r="DR111" s="2">
        <v>0.0</v>
      </c>
      <c r="DS111" s="2">
        <v>62.0</v>
      </c>
      <c r="DT111" s="2">
        <v>199.0</v>
      </c>
      <c r="DU111" s="2">
        <v>1.0</v>
      </c>
      <c r="DV111" s="2">
        <v>0.0</v>
      </c>
      <c r="DW111" s="2">
        <v>0.0</v>
      </c>
      <c r="DX111" s="2">
        <v>2.0</v>
      </c>
      <c r="DY111" s="2">
        <v>1.0</v>
      </c>
      <c r="DZ111" s="2">
        <v>1.0</v>
      </c>
      <c r="EA111" s="2">
        <v>16.0</v>
      </c>
      <c r="EB111" s="2">
        <v>0.0</v>
      </c>
      <c r="EC111" s="2">
        <v>143.0</v>
      </c>
      <c r="EE111" s="2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2">
        <v>2025.0</v>
      </c>
      <c r="B112" s="2">
        <v>4.0</v>
      </c>
      <c r="C112" s="2" t="s">
        <v>202</v>
      </c>
      <c r="D112" s="2" t="s">
        <v>390</v>
      </c>
      <c r="E112" s="2" t="s">
        <v>685</v>
      </c>
      <c r="F112" s="2" t="s">
        <v>196</v>
      </c>
      <c r="G112" s="2">
        <v>16.0</v>
      </c>
      <c r="H112" s="2">
        <v>27.0</v>
      </c>
      <c r="I112" s="2">
        <v>168.0</v>
      </c>
      <c r="J112" s="2">
        <v>2.0</v>
      </c>
      <c r="K112" s="2">
        <v>1.0</v>
      </c>
      <c r="L112" s="2">
        <v>0.0</v>
      </c>
      <c r="M112" s="2">
        <v>0.0</v>
      </c>
      <c r="N112" s="2">
        <v>0.0</v>
      </c>
      <c r="O112" s="2">
        <v>0.0</v>
      </c>
      <c r="P112" s="2">
        <v>313.0</v>
      </c>
      <c r="Q112" s="2">
        <v>76.0</v>
      </c>
      <c r="R112" s="2">
        <v>8.0</v>
      </c>
      <c r="S112" s="2">
        <v>-1.0221093465404</v>
      </c>
      <c r="T112" s="2">
        <v>-0.491202712059021</v>
      </c>
      <c r="U112" s="2">
        <v>0.0</v>
      </c>
      <c r="V112" s="2">
        <v>5.0</v>
      </c>
      <c r="W112" s="2">
        <v>3.0</v>
      </c>
      <c r="X112" s="2">
        <v>3.0</v>
      </c>
      <c r="Y112" s="2">
        <v>0.0</v>
      </c>
      <c r="Z112" s="2">
        <v>29.0</v>
      </c>
      <c r="AA112" s="2">
        <v>109.0</v>
      </c>
      <c r="AB112" s="2">
        <v>1.0</v>
      </c>
      <c r="AC112" s="2">
        <v>0.0</v>
      </c>
      <c r="AD112" s="2">
        <v>0.0</v>
      </c>
      <c r="AE112" s="2">
        <v>6.0</v>
      </c>
      <c r="AF112" s="2">
        <v>-5.87915402351064</v>
      </c>
      <c r="AG112" s="2">
        <v>0.0</v>
      </c>
      <c r="AH112" s="2">
        <v>2.0</v>
      </c>
      <c r="AI112" s="2">
        <v>2.0</v>
      </c>
      <c r="AJ112" s="2">
        <v>2.0</v>
      </c>
      <c r="AK112" s="2">
        <v>0.0</v>
      </c>
      <c r="AL112" s="2">
        <v>16.0</v>
      </c>
      <c r="AM112" s="2">
        <v>25.0</v>
      </c>
      <c r="AN112" s="2">
        <v>168.0</v>
      </c>
      <c r="AO112" s="2">
        <v>2.0</v>
      </c>
      <c r="AP112" s="2">
        <v>0.0</v>
      </c>
      <c r="AQ112" s="2">
        <v>0.0</v>
      </c>
      <c r="AR112" s="2">
        <v>313.0</v>
      </c>
      <c r="AS112" s="2">
        <v>76.0</v>
      </c>
      <c r="AT112" s="2">
        <v>8.0</v>
      </c>
      <c r="AU112" s="2">
        <v>0.079800092073407</v>
      </c>
      <c r="AV112" s="2">
        <v>0.0</v>
      </c>
      <c r="AW112" s="2">
        <v>5.0</v>
      </c>
      <c r="AX112" s="2">
        <v>3.0</v>
      </c>
      <c r="AY112" s="2">
        <v>3.0</v>
      </c>
      <c r="AZ112" s="2">
        <v>0.0</v>
      </c>
      <c r="BA112" s="2">
        <v>1.0</v>
      </c>
      <c r="BB112" s="2">
        <v>35.0</v>
      </c>
      <c r="BC112" s="2">
        <v>2.0</v>
      </c>
      <c r="BD112" s="2">
        <v>28.0</v>
      </c>
      <c r="BE112" s="2">
        <v>4.0</v>
      </c>
      <c r="BF112" s="2">
        <v>17.0</v>
      </c>
      <c r="BG112" s="2">
        <v>1.0</v>
      </c>
      <c r="BH112" s="2">
        <v>3.0</v>
      </c>
      <c r="BI112" s="2">
        <v>14.0</v>
      </c>
      <c r="BJ112" s="2">
        <v>9.0</v>
      </c>
      <c r="BK112" s="2">
        <v>2.0</v>
      </c>
      <c r="BL112" s="2">
        <v>34.0</v>
      </c>
      <c r="BM112" s="2">
        <v>10.0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1.0</v>
      </c>
      <c r="BU112" s="2">
        <v>0.0</v>
      </c>
      <c r="BV112" s="2">
        <v>0.0</v>
      </c>
      <c r="BW112" s="2">
        <v>6.0</v>
      </c>
      <c r="BX112" s="2">
        <v>35.0</v>
      </c>
      <c r="BY112" s="2">
        <v>2.0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5.0</v>
      </c>
      <c r="CF112" s="2">
        <v>76.0</v>
      </c>
      <c r="CG112" s="2">
        <v>3.0</v>
      </c>
      <c r="CH112" s="2">
        <v>81.0</v>
      </c>
      <c r="CI112" s="2">
        <v>2.0</v>
      </c>
      <c r="CJ112" s="2">
        <v>2.0</v>
      </c>
      <c r="CK112" s="2">
        <v>0.0</v>
      </c>
      <c r="CL112" s="2">
        <v>0.0</v>
      </c>
      <c r="CM112" s="2">
        <v>58.0</v>
      </c>
      <c r="CN112" s="2">
        <v>1.0</v>
      </c>
      <c r="CO112" s="2">
        <v>0.0</v>
      </c>
      <c r="CP112" s="2">
        <v>0.0</v>
      </c>
      <c r="CQ112" s="2">
        <v>0.0</v>
      </c>
      <c r="CR112" s="2">
        <v>1.0</v>
      </c>
      <c r="CS112" s="2">
        <v>1.0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 t="s">
        <v>2058</v>
      </c>
      <c r="DD112" s="2">
        <v>106.0</v>
      </c>
      <c r="DE112" s="2">
        <v>0.0</v>
      </c>
      <c r="DF112" s="2">
        <v>0.0</v>
      </c>
      <c r="DG112" s="2">
        <v>4.0</v>
      </c>
      <c r="DH112" s="2">
        <v>4.0</v>
      </c>
      <c r="DI112" s="2">
        <v>0.0</v>
      </c>
      <c r="DJ112" s="2">
        <v>0.0</v>
      </c>
      <c r="DK112" s="2">
        <v>1.0</v>
      </c>
      <c r="DL112" s="2">
        <v>0.0</v>
      </c>
      <c r="DM112" s="2">
        <v>0.0</v>
      </c>
      <c r="DN112" s="2">
        <v>0.0</v>
      </c>
      <c r="DO112" s="2">
        <v>0.0</v>
      </c>
      <c r="DP112" s="2">
        <v>0.0</v>
      </c>
      <c r="DQ112" s="2">
        <v>5.0</v>
      </c>
      <c r="DR112" s="2">
        <v>0.0</v>
      </c>
      <c r="DS112" s="2">
        <v>53.0</v>
      </c>
      <c r="DT112" s="2">
        <v>221.0</v>
      </c>
      <c r="DU112" s="2">
        <v>5.0</v>
      </c>
      <c r="DV112" s="2">
        <v>1.0</v>
      </c>
      <c r="DW112" s="2">
        <v>0.0</v>
      </c>
      <c r="DX112" s="2">
        <v>0.0</v>
      </c>
      <c r="DY112" s="2">
        <v>3.0</v>
      </c>
      <c r="DZ112" s="2">
        <v>1.0</v>
      </c>
      <c r="EA112" s="2">
        <v>0.0</v>
      </c>
      <c r="EB112" s="2">
        <v>0.0</v>
      </c>
      <c r="EC112" s="2">
        <v>221.0</v>
      </c>
      <c r="EE112" s="2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2">
        <v>2025.0</v>
      </c>
      <c r="B113" s="2">
        <v>4.0</v>
      </c>
      <c r="C113" s="2" t="s">
        <v>205</v>
      </c>
      <c r="D113" s="2" t="s">
        <v>390</v>
      </c>
      <c r="E113" s="2" t="s">
        <v>704</v>
      </c>
      <c r="F113" s="2" t="s">
        <v>146</v>
      </c>
      <c r="G113" s="2">
        <v>31.0</v>
      </c>
      <c r="H113" s="2">
        <v>43.0</v>
      </c>
      <c r="I113" s="2">
        <v>337.0</v>
      </c>
      <c r="J113" s="2">
        <v>3.0</v>
      </c>
      <c r="K113" s="2">
        <v>0.0</v>
      </c>
      <c r="L113" s="2">
        <v>1.0</v>
      </c>
      <c r="M113" s="2">
        <v>-12.0</v>
      </c>
      <c r="N113" s="2">
        <v>1.0</v>
      </c>
      <c r="O113" s="2">
        <v>1.0</v>
      </c>
      <c r="P113" s="2">
        <v>255.0</v>
      </c>
      <c r="Q113" s="2">
        <v>252.0</v>
      </c>
      <c r="R113" s="2">
        <v>16.0</v>
      </c>
      <c r="S113" s="2">
        <v>21.4509742950869</v>
      </c>
      <c r="T113" s="2">
        <v>15.0242386592759</v>
      </c>
      <c r="U113" s="2">
        <v>0.0</v>
      </c>
      <c r="V113" s="2">
        <v>15.0</v>
      </c>
      <c r="W113" s="2">
        <v>8.0</v>
      </c>
      <c r="X113" s="2">
        <v>4.0</v>
      </c>
      <c r="Y113" s="2">
        <v>1.0</v>
      </c>
      <c r="Z113" s="2">
        <v>35.0</v>
      </c>
      <c r="AA113" s="2">
        <v>164.0</v>
      </c>
      <c r="AB113" s="2">
        <v>2.0</v>
      </c>
      <c r="AC113" s="2">
        <v>0.0</v>
      </c>
      <c r="AD113" s="2">
        <v>0.0</v>
      </c>
      <c r="AE113" s="2">
        <v>11.0</v>
      </c>
      <c r="AF113" s="2">
        <v>5.17273958428996</v>
      </c>
      <c r="AG113" s="2">
        <v>0.0</v>
      </c>
      <c r="AH113" s="2">
        <v>5.0</v>
      </c>
      <c r="AI113" s="2">
        <v>5.0</v>
      </c>
      <c r="AJ113" s="2">
        <v>1.0</v>
      </c>
      <c r="AK113" s="2">
        <v>0.0</v>
      </c>
      <c r="AL113" s="2">
        <v>31.0</v>
      </c>
      <c r="AM113" s="2">
        <v>36.0</v>
      </c>
      <c r="AN113" s="2">
        <v>337.0</v>
      </c>
      <c r="AO113" s="2">
        <v>3.0</v>
      </c>
      <c r="AP113" s="2">
        <v>0.0</v>
      </c>
      <c r="AQ113" s="2">
        <v>0.0</v>
      </c>
      <c r="AR113" s="2">
        <v>255.0</v>
      </c>
      <c r="AS113" s="2">
        <v>252.0</v>
      </c>
      <c r="AT113" s="2">
        <v>16.0</v>
      </c>
      <c r="AU113" s="2">
        <v>26.7926987653642</v>
      </c>
      <c r="AV113" s="2">
        <v>0.0</v>
      </c>
      <c r="AW113" s="2">
        <v>15.0</v>
      </c>
      <c r="AX113" s="2">
        <v>8.0</v>
      </c>
      <c r="AY113" s="2">
        <v>4.0</v>
      </c>
      <c r="AZ113" s="2">
        <v>1.0</v>
      </c>
      <c r="BA113" s="2">
        <v>0.0</v>
      </c>
      <c r="BB113" s="2">
        <v>39.0</v>
      </c>
      <c r="BC113" s="2">
        <v>1.0</v>
      </c>
      <c r="BD113" s="2">
        <v>35.0</v>
      </c>
      <c r="BE113" s="2">
        <v>1.0</v>
      </c>
      <c r="BF113" s="2">
        <v>1.0</v>
      </c>
      <c r="BG113" s="2">
        <v>0.0</v>
      </c>
      <c r="BH113" s="2">
        <v>1.0</v>
      </c>
      <c r="BI113" s="2">
        <v>0.0</v>
      </c>
      <c r="BJ113" s="2">
        <v>4.0</v>
      </c>
      <c r="BK113" s="2">
        <v>0.0</v>
      </c>
      <c r="BL113" s="2">
        <v>0.0</v>
      </c>
      <c r="BM113" s="2">
        <v>4.0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</v>
      </c>
      <c r="BV113" s="2">
        <v>0.0</v>
      </c>
      <c r="BW113" s="2">
        <v>7.0</v>
      </c>
      <c r="BX113" s="2">
        <v>53.0</v>
      </c>
      <c r="BY113" s="2">
        <v>7.0</v>
      </c>
      <c r="BZ113" s="2">
        <v>1.0</v>
      </c>
      <c r="CA113" s="2">
        <v>0.0</v>
      </c>
      <c r="CB113" s="2">
        <v>0.0</v>
      </c>
      <c r="CC113" s="2">
        <v>1.0</v>
      </c>
      <c r="CD113" s="2">
        <v>1.0</v>
      </c>
      <c r="CE113" s="2">
        <v>3.0</v>
      </c>
      <c r="CF113" s="2">
        <v>16.0</v>
      </c>
      <c r="CG113" s="2">
        <v>3.0</v>
      </c>
      <c r="CH113" s="2">
        <v>84.0</v>
      </c>
      <c r="CI113" s="2">
        <v>2.0</v>
      </c>
      <c r="CJ113" s="2">
        <v>2.0</v>
      </c>
      <c r="CK113" s="2">
        <v>0.0</v>
      </c>
      <c r="CL113" s="2">
        <v>0.0</v>
      </c>
      <c r="CM113" s="2">
        <v>53.0</v>
      </c>
      <c r="CN113" s="2">
        <v>1.0</v>
      </c>
      <c r="CO113" s="2">
        <v>0.0</v>
      </c>
      <c r="CP113" s="2">
        <v>0.0</v>
      </c>
      <c r="CQ113" s="2">
        <v>1.0</v>
      </c>
      <c r="CR113" s="2">
        <v>0.0</v>
      </c>
      <c r="CS113" s="2">
        <v>1.0</v>
      </c>
      <c r="CT113" s="2">
        <v>0.0</v>
      </c>
      <c r="CU113" s="2">
        <v>0.0</v>
      </c>
      <c r="CV113" s="2">
        <v>0.0</v>
      </c>
      <c r="CW113" s="2">
        <v>0.0</v>
      </c>
      <c r="CX113" s="2">
        <v>0.0</v>
      </c>
      <c r="CY113" s="2">
        <v>0.0</v>
      </c>
      <c r="CZ113" s="2">
        <v>0.0</v>
      </c>
      <c r="DA113" s="2" t="s">
        <v>2059</v>
      </c>
      <c r="DD113" s="2">
        <v>87.0</v>
      </c>
      <c r="DE113" s="2">
        <v>0.0</v>
      </c>
      <c r="DF113" s="2">
        <v>0.0</v>
      </c>
      <c r="DG113" s="2">
        <v>4.0</v>
      </c>
      <c r="DH113" s="2">
        <v>5.0</v>
      </c>
      <c r="DI113" s="2">
        <v>0.0</v>
      </c>
      <c r="DJ113" s="2">
        <v>1.0</v>
      </c>
      <c r="DK113" s="2">
        <v>0.8</v>
      </c>
      <c r="DL113" s="2">
        <v>0.0</v>
      </c>
      <c r="DM113" s="2">
        <v>0.0</v>
      </c>
      <c r="DN113" s="2">
        <v>0.0</v>
      </c>
      <c r="DO113" s="2">
        <v>0.0</v>
      </c>
      <c r="DP113" s="2">
        <v>0.0</v>
      </c>
      <c r="DQ113" s="2">
        <v>2.0</v>
      </c>
      <c r="DR113" s="2">
        <v>0.0</v>
      </c>
      <c r="DS113" s="2">
        <v>43.0</v>
      </c>
      <c r="DT113" s="2">
        <v>83.0</v>
      </c>
      <c r="DU113" s="2">
        <v>2.0</v>
      </c>
      <c r="DV113" s="2">
        <v>0.0</v>
      </c>
      <c r="DW113" s="2">
        <v>1.0</v>
      </c>
      <c r="DX113" s="2">
        <v>0.0</v>
      </c>
      <c r="DY113" s="2">
        <v>1.0</v>
      </c>
      <c r="DZ113" s="2">
        <v>0.0</v>
      </c>
      <c r="EA113" s="2">
        <v>0.0</v>
      </c>
      <c r="EB113" s="2">
        <v>0.0</v>
      </c>
      <c r="EC113" s="2">
        <v>83.0</v>
      </c>
      <c r="EE113" s="2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2">
        <v>2025.0</v>
      </c>
      <c r="B114" s="2">
        <v>4.0</v>
      </c>
      <c r="C114" s="2" t="s">
        <v>140</v>
      </c>
      <c r="D114" s="2" t="s">
        <v>390</v>
      </c>
      <c r="E114" s="2" t="s">
        <v>687</v>
      </c>
      <c r="F114" s="2" t="s">
        <v>250</v>
      </c>
      <c r="G114" s="2">
        <v>22.0</v>
      </c>
      <c r="H114" s="2">
        <v>28.0</v>
      </c>
      <c r="I114" s="2">
        <v>233.0</v>
      </c>
      <c r="J114" s="2">
        <v>2.0</v>
      </c>
      <c r="K114" s="2">
        <v>0.0</v>
      </c>
      <c r="L114" s="2">
        <v>2.0</v>
      </c>
      <c r="M114" s="2">
        <v>-9.0</v>
      </c>
      <c r="N114" s="2">
        <v>0.0</v>
      </c>
      <c r="O114" s="2">
        <v>0.0</v>
      </c>
      <c r="P114" s="2">
        <v>182.0</v>
      </c>
      <c r="Q114" s="2">
        <v>109.0</v>
      </c>
      <c r="R114" s="2">
        <v>9.0</v>
      </c>
      <c r="S114" s="2">
        <v>8.21145043249387</v>
      </c>
      <c r="T114" s="2">
        <v>8.14250324453626</v>
      </c>
      <c r="U114" s="2">
        <v>0.0</v>
      </c>
      <c r="V114" s="2">
        <v>7.0</v>
      </c>
      <c r="W114" s="2">
        <v>5.0</v>
      </c>
      <c r="X114" s="2">
        <v>4.0</v>
      </c>
      <c r="Y114" s="2">
        <v>0.0</v>
      </c>
      <c r="Z114" s="2">
        <v>35.0</v>
      </c>
      <c r="AA114" s="2">
        <v>129.0</v>
      </c>
      <c r="AB114" s="2">
        <v>1.0</v>
      </c>
      <c r="AC114" s="2">
        <v>0.0</v>
      </c>
      <c r="AD114" s="2">
        <v>0.0</v>
      </c>
      <c r="AE114" s="2">
        <v>10.0</v>
      </c>
      <c r="AF114" s="2">
        <v>1.6865984231253</v>
      </c>
      <c r="AG114" s="2">
        <v>0.0</v>
      </c>
      <c r="AH114" s="2">
        <v>3.0</v>
      </c>
      <c r="AI114" s="2">
        <v>2.0</v>
      </c>
      <c r="AJ114" s="2">
        <v>0.0</v>
      </c>
      <c r="AK114" s="2">
        <v>0.0</v>
      </c>
      <c r="AL114" s="2">
        <v>22.0</v>
      </c>
      <c r="AM114" s="2">
        <v>28.0</v>
      </c>
      <c r="AN114" s="2">
        <v>233.0</v>
      </c>
      <c r="AO114" s="2">
        <v>2.0</v>
      </c>
      <c r="AP114" s="2">
        <v>0.0</v>
      </c>
      <c r="AQ114" s="2">
        <v>0.0</v>
      </c>
      <c r="AR114" s="2">
        <v>182.0</v>
      </c>
      <c r="AS114" s="2">
        <v>109.0</v>
      </c>
      <c r="AT114" s="2">
        <v>9.0</v>
      </c>
      <c r="AU114" s="2">
        <v>10.4038411359154</v>
      </c>
      <c r="AV114" s="2">
        <v>0.0</v>
      </c>
      <c r="AW114" s="2">
        <v>7.0</v>
      </c>
      <c r="AX114" s="2">
        <v>5.0</v>
      </c>
      <c r="AY114" s="2">
        <v>4.0</v>
      </c>
      <c r="AZ114" s="2">
        <v>0.0</v>
      </c>
      <c r="BA114" s="2">
        <v>0.0</v>
      </c>
      <c r="BB114" s="2">
        <v>26.0</v>
      </c>
      <c r="BC114" s="2">
        <v>0.0</v>
      </c>
      <c r="BD114" s="2">
        <v>20.0</v>
      </c>
      <c r="BE114" s="2">
        <v>6.0</v>
      </c>
      <c r="BF114" s="2">
        <v>23.0</v>
      </c>
      <c r="BG114" s="2">
        <v>0.0</v>
      </c>
      <c r="BH114" s="2">
        <v>2.0</v>
      </c>
      <c r="BI114" s="2">
        <v>15.0</v>
      </c>
      <c r="BJ114" s="2">
        <v>7.0</v>
      </c>
      <c r="BK114" s="2">
        <v>1.0</v>
      </c>
      <c r="BL114" s="2">
        <v>20.0</v>
      </c>
      <c r="BM114" s="2">
        <v>7.0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6.0</v>
      </c>
      <c r="BX114" s="2">
        <v>50.0</v>
      </c>
      <c r="BY114" s="2">
        <v>2.0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3.0</v>
      </c>
      <c r="CF114" s="2">
        <v>15.0</v>
      </c>
      <c r="CG114" s="2">
        <v>1.0</v>
      </c>
      <c r="CH114" s="2">
        <v>26.0</v>
      </c>
      <c r="CI114" s="2">
        <v>2.0</v>
      </c>
      <c r="CJ114" s="2">
        <v>3.0</v>
      </c>
      <c r="CK114" s="2">
        <v>1.0</v>
      </c>
      <c r="CL114" s="2">
        <v>0.0</v>
      </c>
      <c r="CM114" s="2">
        <v>47.0</v>
      </c>
      <c r="CN114" s="2">
        <v>0.666666666666667</v>
      </c>
      <c r="CO114" s="2">
        <v>0.0</v>
      </c>
      <c r="CP114" s="2">
        <v>0.0</v>
      </c>
      <c r="CQ114" s="2">
        <v>0.0</v>
      </c>
      <c r="CR114" s="2">
        <v>2.0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1.0</v>
      </c>
      <c r="CZ114" s="2">
        <v>0.0</v>
      </c>
      <c r="DA114" s="2" t="s">
        <v>2060</v>
      </c>
      <c r="DB114" s="2" t="s">
        <v>2018</v>
      </c>
      <c r="DD114" s="2">
        <v>90.0</v>
      </c>
      <c r="DE114" s="2">
        <v>54.0</v>
      </c>
      <c r="DF114" s="2">
        <v>0.0</v>
      </c>
      <c r="DG114" s="2">
        <v>2.0</v>
      </c>
      <c r="DH114" s="2">
        <v>2.0</v>
      </c>
      <c r="DI114" s="2">
        <v>0.0</v>
      </c>
      <c r="DJ114" s="2">
        <v>0.0</v>
      </c>
      <c r="DK114" s="2">
        <v>1.0</v>
      </c>
      <c r="DL114" s="2">
        <v>0.0</v>
      </c>
      <c r="DM114" s="2">
        <v>0.0</v>
      </c>
      <c r="DN114" s="2">
        <v>0.0</v>
      </c>
      <c r="DO114" s="2">
        <v>0.0</v>
      </c>
      <c r="DP114" s="2">
        <v>0.0</v>
      </c>
      <c r="DQ114" s="2">
        <v>3.0</v>
      </c>
      <c r="DR114" s="2">
        <v>0.0</v>
      </c>
      <c r="DS114" s="2">
        <v>64.0</v>
      </c>
      <c r="DT114" s="2">
        <v>132.0</v>
      </c>
      <c r="DU114" s="2">
        <v>2.0</v>
      </c>
      <c r="DV114" s="2">
        <v>2.0</v>
      </c>
      <c r="DW114" s="2">
        <v>1.0</v>
      </c>
      <c r="DX114" s="2">
        <v>0.0</v>
      </c>
      <c r="DY114" s="2">
        <v>0.0</v>
      </c>
      <c r="DZ114" s="2">
        <v>0.0</v>
      </c>
      <c r="EA114" s="2">
        <v>0.0</v>
      </c>
      <c r="EB114" s="2">
        <v>0.0</v>
      </c>
      <c r="EC114" s="2">
        <v>132.0</v>
      </c>
      <c r="EE114" s="2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2">
        <v>2025.0</v>
      </c>
      <c r="B115" s="2">
        <v>4.0</v>
      </c>
      <c r="C115" s="2" t="s">
        <v>210</v>
      </c>
      <c r="D115" s="2" t="s">
        <v>390</v>
      </c>
      <c r="E115" s="2" t="s">
        <v>696</v>
      </c>
      <c r="F115" s="2" t="s">
        <v>142</v>
      </c>
      <c r="G115" s="2">
        <v>24.0</v>
      </c>
      <c r="H115" s="2">
        <v>33.0</v>
      </c>
      <c r="I115" s="2">
        <v>262.0</v>
      </c>
      <c r="J115" s="2">
        <v>1.0</v>
      </c>
      <c r="K115" s="2">
        <v>2.0</v>
      </c>
      <c r="L115" s="2">
        <v>2.0</v>
      </c>
      <c r="M115" s="2">
        <v>-14.0</v>
      </c>
      <c r="N115" s="2">
        <v>1.0</v>
      </c>
      <c r="O115" s="2">
        <v>0.0</v>
      </c>
      <c r="P115" s="2">
        <v>313.0</v>
      </c>
      <c r="Q115" s="2">
        <v>127.0</v>
      </c>
      <c r="R115" s="2">
        <v>11.0</v>
      </c>
      <c r="S115" s="2">
        <v>4.14326817966179</v>
      </c>
      <c r="T115" s="2">
        <v>7.55080757662654</v>
      </c>
      <c r="U115" s="2">
        <v>0.0</v>
      </c>
      <c r="V115" s="2">
        <v>9.0</v>
      </c>
      <c r="W115" s="2">
        <v>5.0</v>
      </c>
      <c r="X115" s="2">
        <v>3.0</v>
      </c>
      <c r="Y115" s="2">
        <v>1.0</v>
      </c>
      <c r="Z115" s="2">
        <v>21.0</v>
      </c>
      <c r="AA115" s="2">
        <v>85.0</v>
      </c>
      <c r="AB115" s="2">
        <v>1.0</v>
      </c>
      <c r="AC115" s="2">
        <v>0.0</v>
      </c>
      <c r="AD115" s="2">
        <v>0.0</v>
      </c>
      <c r="AE115" s="2">
        <v>4.0</v>
      </c>
      <c r="AF115" s="2">
        <v>-1.48844343168001</v>
      </c>
      <c r="AG115" s="2">
        <v>0.0</v>
      </c>
      <c r="AH115" s="2">
        <v>2.0</v>
      </c>
      <c r="AI115" s="2">
        <v>1.0</v>
      </c>
      <c r="AJ115" s="2">
        <v>0.0</v>
      </c>
      <c r="AK115" s="2">
        <v>0.0</v>
      </c>
      <c r="AL115" s="2">
        <v>24.0</v>
      </c>
      <c r="AM115" s="2">
        <v>32.0</v>
      </c>
      <c r="AN115" s="2">
        <v>262.0</v>
      </c>
      <c r="AO115" s="2">
        <v>1.0</v>
      </c>
      <c r="AP115" s="2">
        <v>1.0</v>
      </c>
      <c r="AQ115" s="2">
        <v>1.0</v>
      </c>
      <c r="AR115" s="2">
        <v>313.0</v>
      </c>
      <c r="AS115" s="2">
        <v>127.0</v>
      </c>
      <c r="AT115" s="2">
        <v>11.0</v>
      </c>
      <c r="AU115" s="2">
        <v>0.0517958814056718</v>
      </c>
      <c r="AV115" s="2">
        <v>0.0</v>
      </c>
      <c r="AW115" s="2">
        <v>9.0</v>
      </c>
      <c r="AX115" s="2">
        <v>5.0</v>
      </c>
      <c r="AY115" s="2">
        <v>3.0</v>
      </c>
      <c r="AZ115" s="2">
        <v>1.0</v>
      </c>
      <c r="BA115" s="2">
        <v>0.0</v>
      </c>
      <c r="BB115" s="2">
        <v>37.0</v>
      </c>
      <c r="BC115" s="2">
        <v>1.0</v>
      </c>
      <c r="BD115" s="2">
        <v>45.0</v>
      </c>
      <c r="BE115" s="2">
        <v>4.0</v>
      </c>
      <c r="BF115" s="2">
        <v>24.0</v>
      </c>
      <c r="BG115" s="2">
        <v>1.0</v>
      </c>
      <c r="BH115" s="2">
        <v>3.0</v>
      </c>
      <c r="BI115" s="2">
        <v>15.0</v>
      </c>
      <c r="BJ115" s="2">
        <v>9.0</v>
      </c>
      <c r="BK115" s="2">
        <v>0.0</v>
      </c>
      <c r="BL115" s="2">
        <v>0.0</v>
      </c>
      <c r="BM115" s="2">
        <v>4.0</v>
      </c>
      <c r="BN115" s="2">
        <v>0.0</v>
      </c>
      <c r="BO115" s="2">
        <v>0.0</v>
      </c>
      <c r="BP115" s="2">
        <v>0.0</v>
      </c>
      <c r="BQ115" s="2">
        <v>0.0</v>
      </c>
      <c r="BR115" s="2">
        <v>1.0</v>
      </c>
      <c r="BS115" s="2">
        <v>0.0</v>
      </c>
      <c r="BT115" s="2">
        <v>1.0</v>
      </c>
      <c r="BU115" s="2">
        <v>0.0</v>
      </c>
      <c r="BV115" s="2">
        <v>0.0</v>
      </c>
      <c r="BW115" s="2">
        <v>11.0</v>
      </c>
      <c r="BX115" s="2">
        <v>88.0</v>
      </c>
      <c r="BY115" s="2">
        <v>3.0</v>
      </c>
      <c r="BZ115" s="2">
        <v>1.0</v>
      </c>
      <c r="CA115" s="2">
        <v>1.0</v>
      </c>
      <c r="CB115" s="2">
        <v>1.0</v>
      </c>
      <c r="CC115" s="2">
        <v>2.0</v>
      </c>
      <c r="CD115" s="2">
        <v>1.0</v>
      </c>
      <c r="CE115" s="2">
        <v>2.0</v>
      </c>
      <c r="CF115" s="2">
        <v>31.0</v>
      </c>
      <c r="CG115" s="2">
        <v>4.0</v>
      </c>
      <c r="CH115" s="2">
        <v>91.0</v>
      </c>
      <c r="CI115" s="2">
        <v>2.0</v>
      </c>
      <c r="CJ115" s="2">
        <v>2.0</v>
      </c>
      <c r="CK115" s="2">
        <v>0.0</v>
      </c>
      <c r="CL115" s="2">
        <v>0.0</v>
      </c>
      <c r="CM115" s="2">
        <v>52.0</v>
      </c>
      <c r="CN115" s="2">
        <v>1.0</v>
      </c>
      <c r="CO115" s="2">
        <v>0.0</v>
      </c>
      <c r="CP115" s="2">
        <v>0.0</v>
      </c>
      <c r="CQ115" s="2">
        <v>1.0</v>
      </c>
      <c r="CR115" s="2">
        <v>0.0</v>
      </c>
      <c r="CS115" s="2">
        <v>1.0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 t="s">
        <v>2061</v>
      </c>
      <c r="DD115" s="2">
        <v>90.0</v>
      </c>
      <c r="DE115" s="2">
        <v>0.0</v>
      </c>
      <c r="DF115" s="2">
        <v>0.0</v>
      </c>
      <c r="DG115" s="2">
        <v>2.0</v>
      </c>
      <c r="DH115" s="2">
        <v>2.0</v>
      </c>
      <c r="DI115" s="2">
        <v>0.0</v>
      </c>
      <c r="DJ115" s="2">
        <v>0.0</v>
      </c>
      <c r="DK115" s="2">
        <v>1.0</v>
      </c>
      <c r="DL115" s="2">
        <v>0.0</v>
      </c>
      <c r="DM115" s="2">
        <v>0.0</v>
      </c>
      <c r="DN115" s="2">
        <v>0.0</v>
      </c>
      <c r="DO115" s="2">
        <v>0.0</v>
      </c>
      <c r="DP115" s="2">
        <v>0.0</v>
      </c>
      <c r="DQ115" s="2">
        <v>4.0</v>
      </c>
      <c r="DR115" s="2">
        <v>0.0</v>
      </c>
      <c r="DS115" s="2">
        <v>56.0</v>
      </c>
      <c r="DT115" s="2">
        <v>209.0</v>
      </c>
      <c r="DU115" s="2">
        <v>2.0</v>
      </c>
      <c r="DV115" s="2">
        <v>1.0</v>
      </c>
      <c r="DW115" s="2">
        <v>0.0</v>
      </c>
      <c r="DX115" s="2">
        <v>0.0</v>
      </c>
      <c r="DY115" s="2">
        <v>2.0</v>
      </c>
      <c r="DZ115" s="2">
        <v>1.0</v>
      </c>
      <c r="EA115" s="2">
        <v>0.0</v>
      </c>
      <c r="EB115" s="2">
        <v>0.0</v>
      </c>
      <c r="EC115" s="2">
        <v>209.0</v>
      </c>
      <c r="EE115" s="2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2">
        <v>2025.0</v>
      </c>
      <c r="B116" s="2">
        <v>4.0</v>
      </c>
      <c r="C116" s="2" t="s">
        <v>141</v>
      </c>
      <c r="D116" s="2" t="s">
        <v>390</v>
      </c>
      <c r="E116" s="2" t="s">
        <v>698</v>
      </c>
      <c r="F116" s="2" t="s">
        <v>246</v>
      </c>
      <c r="G116" s="2">
        <v>21.0</v>
      </c>
      <c r="H116" s="2">
        <v>31.0</v>
      </c>
      <c r="I116" s="2">
        <v>174.0</v>
      </c>
      <c r="J116" s="2">
        <v>1.0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196.0</v>
      </c>
      <c r="Q116" s="2">
        <v>61.0</v>
      </c>
      <c r="R116" s="2">
        <v>8.0</v>
      </c>
      <c r="S116" s="2">
        <v>5.53223884933763</v>
      </c>
      <c r="T116" s="2">
        <v>0.93662162621816</v>
      </c>
      <c r="U116" s="2">
        <v>0.0</v>
      </c>
      <c r="V116" s="2">
        <v>6.0</v>
      </c>
      <c r="W116" s="2">
        <v>1.0</v>
      </c>
      <c r="X116" s="2">
        <v>1.0</v>
      </c>
      <c r="Y116" s="2">
        <v>0.0</v>
      </c>
      <c r="Z116" s="2">
        <v>32.0</v>
      </c>
      <c r="AA116" s="2">
        <v>151.0</v>
      </c>
      <c r="AB116" s="2">
        <v>1.0</v>
      </c>
      <c r="AC116" s="2">
        <v>0.0</v>
      </c>
      <c r="AD116" s="2">
        <v>0.0</v>
      </c>
      <c r="AE116" s="2">
        <v>8.0</v>
      </c>
      <c r="AF116" s="2">
        <v>-2.40596433787141</v>
      </c>
      <c r="AG116" s="2">
        <v>0.0</v>
      </c>
      <c r="AH116" s="2">
        <v>4.0</v>
      </c>
      <c r="AI116" s="2">
        <v>2.0</v>
      </c>
      <c r="AJ116" s="2">
        <v>1.0</v>
      </c>
      <c r="AK116" s="2">
        <v>1.0</v>
      </c>
      <c r="AL116" s="2">
        <v>21.0</v>
      </c>
      <c r="AM116" s="2">
        <v>30.0</v>
      </c>
      <c r="AN116" s="2">
        <v>174.0</v>
      </c>
      <c r="AO116" s="2">
        <v>1.0</v>
      </c>
      <c r="AP116" s="2">
        <v>1.0</v>
      </c>
      <c r="AQ116" s="2">
        <v>0.0</v>
      </c>
      <c r="AR116" s="2">
        <v>196.0</v>
      </c>
      <c r="AS116" s="2">
        <v>61.0</v>
      </c>
      <c r="AT116" s="2">
        <v>8.0</v>
      </c>
      <c r="AU116" s="2">
        <v>5.34880394194647</v>
      </c>
      <c r="AV116" s="2">
        <v>0.0</v>
      </c>
      <c r="AW116" s="2">
        <v>6.0</v>
      </c>
      <c r="AX116" s="2">
        <v>1.0</v>
      </c>
      <c r="AY116" s="2">
        <v>1.0</v>
      </c>
      <c r="AZ116" s="2">
        <v>0.0</v>
      </c>
      <c r="BA116" s="2">
        <v>1.0</v>
      </c>
      <c r="BB116" s="2">
        <v>32.0</v>
      </c>
      <c r="BC116" s="2">
        <v>2.0</v>
      </c>
      <c r="BD116" s="2">
        <v>32.0</v>
      </c>
      <c r="BE116" s="2">
        <v>3.0</v>
      </c>
      <c r="BF116" s="2">
        <v>5.0</v>
      </c>
      <c r="BG116" s="2">
        <v>3.0</v>
      </c>
      <c r="BH116" s="2">
        <v>1.0</v>
      </c>
      <c r="BI116" s="2">
        <v>3.0</v>
      </c>
      <c r="BJ116" s="2">
        <v>3.0</v>
      </c>
      <c r="BK116" s="2">
        <v>2.0</v>
      </c>
      <c r="BL116" s="2">
        <v>8.0</v>
      </c>
      <c r="BM116" s="2">
        <v>4.0</v>
      </c>
      <c r="BN116" s="2">
        <v>0.0</v>
      </c>
      <c r="BO116" s="2">
        <v>0.0</v>
      </c>
      <c r="BP116" s="2">
        <v>0.0</v>
      </c>
      <c r="BQ116" s="2">
        <v>0.0</v>
      </c>
      <c r="BR116" s="2">
        <v>1.0</v>
      </c>
      <c r="BS116" s="2">
        <v>0.0</v>
      </c>
      <c r="BT116" s="2">
        <v>2.0</v>
      </c>
      <c r="BU116" s="2">
        <v>0.0</v>
      </c>
      <c r="BV116" s="2">
        <v>0.0</v>
      </c>
      <c r="BW116" s="2">
        <v>12.0</v>
      </c>
      <c r="BX116" s="2">
        <v>90.0</v>
      </c>
      <c r="BY116" s="2">
        <v>3.0</v>
      </c>
      <c r="BZ116" s="2">
        <v>1.0</v>
      </c>
      <c r="CA116" s="2">
        <v>0.0</v>
      </c>
      <c r="CB116" s="2">
        <v>0.0</v>
      </c>
      <c r="CC116" s="2">
        <v>1.0</v>
      </c>
      <c r="CD116" s="2">
        <v>0.0</v>
      </c>
      <c r="CE116" s="2">
        <v>1.0</v>
      </c>
      <c r="CF116" s="2">
        <v>87.0</v>
      </c>
      <c r="CG116" s="2">
        <v>4.0</v>
      </c>
      <c r="CH116" s="2">
        <v>103.0</v>
      </c>
      <c r="CI116" s="2">
        <v>2.0</v>
      </c>
      <c r="CJ116" s="2">
        <v>3.0</v>
      </c>
      <c r="CK116" s="2">
        <v>1.0</v>
      </c>
      <c r="CL116" s="2">
        <v>0.0</v>
      </c>
      <c r="CM116" s="2">
        <v>44.0</v>
      </c>
      <c r="CN116" s="2">
        <v>0.666666666666667</v>
      </c>
      <c r="CO116" s="2">
        <v>0.0</v>
      </c>
      <c r="CP116" s="2">
        <v>1.0</v>
      </c>
      <c r="CQ116" s="2">
        <v>0.0</v>
      </c>
      <c r="CR116" s="2">
        <v>1.0</v>
      </c>
      <c r="CS116" s="2">
        <v>0.0</v>
      </c>
      <c r="CT116" s="2">
        <v>0.0</v>
      </c>
      <c r="CU116" s="2">
        <v>0.0</v>
      </c>
      <c r="CV116" s="2">
        <v>0.0</v>
      </c>
      <c r="CW116" s="2">
        <v>0.0</v>
      </c>
      <c r="CX116" s="2">
        <v>1.0</v>
      </c>
      <c r="CY116" s="2">
        <v>0.0</v>
      </c>
      <c r="CZ116" s="2">
        <v>0.0</v>
      </c>
      <c r="DA116" s="2" t="s">
        <v>2062</v>
      </c>
      <c r="DB116" s="2" t="s">
        <v>2036</v>
      </c>
      <c r="DD116" s="2">
        <v>70.0</v>
      </c>
      <c r="DE116" s="2">
        <v>47.0</v>
      </c>
      <c r="DF116" s="2">
        <v>0.0</v>
      </c>
      <c r="DG116" s="2">
        <v>2.0</v>
      </c>
      <c r="DH116" s="2">
        <v>2.0</v>
      </c>
      <c r="DI116" s="2">
        <v>0.0</v>
      </c>
      <c r="DJ116" s="2">
        <v>0.0</v>
      </c>
      <c r="DK116" s="2">
        <v>1.0</v>
      </c>
      <c r="DL116" s="2">
        <v>0.0</v>
      </c>
      <c r="DM116" s="2">
        <v>0.0</v>
      </c>
      <c r="DN116" s="2">
        <v>0.0</v>
      </c>
      <c r="DO116" s="2">
        <v>0.0</v>
      </c>
      <c r="DP116" s="2">
        <v>0.0</v>
      </c>
      <c r="DQ116" s="2">
        <v>5.0</v>
      </c>
      <c r="DR116" s="2">
        <v>0.0</v>
      </c>
      <c r="DS116" s="2">
        <v>58.0</v>
      </c>
      <c r="DT116" s="2">
        <v>237.0</v>
      </c>
      <c r="DU116" s="2">
        <v>1.0</v>
      </c>
      <c r="DV116" s="2">
        <v>1.0</v>
      </c>
      <c r="DW116" s="2">
        <v>1.0</v>
      </c>
      <c r="DX116" s="2">
        <v>2.0</v>
      </c>
      <c r="DY116" s="2">
        <v>0.0</v>
      </c>
      <c r="DZ116" s="2">
        <v>1.0</v>
      </c>
      <c r="EA116" s="2">
        <v>16.0</v>
      </c>
      <c r="EB116" s="2">
        <v>0.0</v>
      </c>
      <c r="EC116" s="2">
        <v>181.0</v>
      </c>
      <c r="EE116" s="2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2">
        <v>2025.0</v>
      </c>
      <c r="B117" s="2">
        <v>4.0</v>
      </c>
      <c r="C117" s="2" t="s">
        <v>143</v>
      </c>
      <c r="D117" s="2" t="s">
        <v>390</v>
      </c>
      <c r="E117" s="2" t="s">
        <v>700</v>
      </c>
      <c r="F117" s="2" t="s">
        <v>148</v>
      </c>
      <c r="G117" s="2">
        <v>25.0</v>
      </c>
      <c r="H117" s="2">
        <v>37.0</v>
      </c>
      <c r="I117" s="2">
        <v>270.0</v>
      </c>
      <c r="J117" s="2">
        <v>4.0</v>
      </c>
      <c r="K117" s="2">
        <v>0.0</v>
      </c>
      <c r="L117" s="2">
        <v>1.0</v>
      </c>
      <c r="M117" s="2">
        <v>-6.0</v>
      </c>
      <c r="N117" s="2">
        <v>0.0</v>
      </c>
      <c r="O117" s="2">
        <v>0.0</v>
      </c>
      <c r="P117" s="2">
        <v>259.0</v>
      </c>
      <c r="Q117" s="2">
        <v>158.0</v>
      </c>
      <c r="R117" s="2">
        <v>15.0</v>
      </c>
      <c r="S117" s="2">
        <v>16.1889583691129</v>
      </c>
      <c r="T117" s="2">
        <v>5.8575758763722</v>
      </c>
      <c r="U117" s="2">
        <v>0.0</v>
      </c>
      <c r="V117" s="2">
        <v>11.0</v>
      </c>
      <c r="W117" s="2">
        <v>4.0</v>
      </c>
      <c r="X117" s="2">
        <v>2.0</v>
      </c>
      <c r="Y117" s="2">
        <v>0.0</v>
      </c>
      <c r="Z117" s="2">
        <v>32.0</v>
      </c>
      <c r="AA117" s="2">
        <v>118.0</v>
      </c>
      <c r="AB117" s="2">
        <v>0.0</v>
      </c>
      <c r="AC117" s="2">
        <v>0.0</v>
      </c>
      <c r="AD117" s="2">
        <v>0.0</v>
      </c>
      <c r="AE117" s="2">
        <v>8.0</v>
      </c>
      <c r="AF117" s="2">
        <v>-0.507870008761529</v>
      </c>
      <c r="AG117" s="2">
        <v>0.0</v>
      </c>
      <c r="AH117" s="2">
        <v>2.0</v>
      </c>
      <c r="AI117" s="2">
        <v>2.0</v>
      </c>
      <c r="AJ117" s="2">
        <v>1.0</v>
      </c>
      <c r="AK117" s="2">
        <v>0.0</v>
      </c>
      <c r="AL117" s="2">
        <v>25.0</v>
      </c>
      <c r="AM117" s="2">
        <v>35.0</v>
      </c>
      <c r="AN117" s="2">
        <v>270.0</v>
      </c>
      <c r="AO117" s="2">
        <v>4.0</v>
      </c>
      <c r="AP117" s="2">
        <v>0.0</v>
      </c>
      <c r="AQ117" s="2">
        <v>0.0</v>
      </c>
      <c r="AR117" s="2">
        <v>259.0</v>
      </c>
      <c r="AS117" s="2">
        <v>158.0</v>
      </c>
      <c r="AT117" s="2">
        <v>15.0</v>
      </c>
      <c r="AU117" s="2">
        <v>18.7770246823676</v>
      </c>
      <c r="AV117" s="2">
        <v>0.0</v>
      </c>
      <c r="AW117" s="2">
        <v>11.0</v>
      </c>
      <c r="AX117" s="2">
        <v>4.0</v>
      </c>
      <c r="AY117" s="2">
        <v>2.0</v>
      </c>
      <c r="AZ117" s="2">
        <v>0.0</v>
      </c>
      <c r="BA117" s="2">
        <v>0.0</v>
      </c>
      <c r="BB117" s="2">
        <v>41.0</v>
      </c>
      <c r="BC117" s="2">
        <v>1.0</v>
      </c>
      <c r="BD117" s="2">
        <v>11.0</v>
      </c>
      <c r="BE117" s="2">
        <v>3.0</v>
      </c>
      <c r="BF117" s="2">
        <v>6.0</v>
      </c>
      <c r="BG117" s="2">
        <v>0.0</v>
      </c>
      <c r="BH117" s="2">
        <v>2.0</v>
      </c>
      <c r="BI117" s="2">
        <v>5.0</v>
      </c>
      <c r="BJ117" s="2">
        <v>8.0</v>
      </c>
      <c r="BK117" s="2">
        <v>1.0</v>
      </c>
      <c r="BL117" s="2">
        <v>0.0</v>
      </c>
      <c r="BM117" s="2">
        <v>4.0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1.0</v>
      </c>
      <c r="BU117" s="2">
        <v>0.0</v>
      </c>
      <c r="BV117" s="2">
        <v>0.0</v>
      </c>
      <c r="BW117" s="2">
        <v>5.0</v>
      </c>
      <c r="BX117" s="2">
        <v>40.0</v>
      </c>
      <c r="BY117" s="2">
        <v>4.0</v>
      </c>
      <c r="BZ117" s="2">
        <v>0.0</v>
      </c>
      <c r="CA117" s="2">
        <v>0.0</v>
      </c>
      <c r="CB117" s="2">
        <v>0.0</v>
      </c>
      <c r="CC117" s="2">
        <v>0.0</v>
      </c>
      <c r="CD117" s="2">
        <v>0.0</v>
      </c>
      <c r="CE117" s="2">
        <v>1.0</v>
      </c>
      <c r="CF117" s="2">
        <v>15.0</v>
      </c>
      <c r="CG117" s="2">
        <v>4.0</v>
      </c>
      <c r="CH117" s="2">
        <v>132.0</v>
      </c>
      <c r="CI117" s="2">
        <v>3.0</v>
      </c>
      <c r="CJ117" s="2">
        <v>4.0</v>
      </c>
      <c r="CK117" s="2">
        <v>1.0</v>
      </c>
      <c r="CL117" s="2">
        <v>0.0</v>
      </c>
      <c r="CM117" s="2">
        <v>38.0</v>
      </c>
      <c r="CN117" s="2">
        <v>0.75</v>
      </c>
      <c r="CO117" s="2">
        <v>0.0</v>
      </c>
      <c r="CP117" s="2">
        <v>1.0</v>
      </c>
      <c r="CQ117" s="2">
        <v>2.0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1.0</v>
      </c>
      <c r="CZ117" s="2">
        <v>0.0</v>
      </c>
      <c r="DA117" s="2" t="s">
        <v>2063</v>
      </c>
      <c r="DB117" s="2" t="s">
        <v>2007</v>
      </c>
      <c r="DD117" s="2">
        <v>92.0</v>
      </c>
      <c r="DE117" s="2">
        <v>56.0</v>
      </c>
      <c r="DF117" s="2">
        <v>0.0</v>
      </c>
      <c r="DG117" s="2">
        <v>4.0</v>
      </c>
      <c r="DH117" s="2">
        <v>4.0</v>
      </c>
      <c r="DI117" s="2">
        <v>0.0</v>
      </c>
      <c r="DJ117" s="2">
        <v>0.0</v>
      </c>
      <c r="DK117" s="2">
        <v>1.0</v>
      </c>
      <c r="DL117" s="2">
        <v>0.0</v>
      </c>
      <c r="DM117" s="2">
        <v>0.0</v>
      </c>
      <c r="DN117" s="2">
        <v>0.0</v>
      </c>
      <c r="DO117" s="2">
        <v>0.0</v>
      </c>
      <c r="DP117" s="2">
        <v>0.0</v>
      </c>
      <c r="DQ117" s="2">
        <v>1.0</v>
      </c>
      <c r="DR117" s="2">
        <v>0.0</v>
      </c>
      <c r="DS117" s="2">
        <v>37.0</v>
      </c>
      <c r="DT117" s="2">
        <v>37.0</v>
      </c>
      <c r="DU117" s="2">
        <v>1.0</v>
      </c>
      <c r="DV117" s="2">
        <v>1.0</v>
      </c>
      <c r="DW117" s="2">
        <v>0.0</v>
      </c>
      <c r="DX117" s="2">
        <v>0.0</v>
      </c>
      <c r="DY117" s="2">
        <v>0.0</v>
      </c>
      <c r="DZ117" s="2">
        <v>0.0</v>
      </c>
      <c r="EA117" s="2">
        <v>0.0</v>
      </c>
      <c r="EB117" s="2">
        <v>0.0</v>
      </c>
      <c r="EC117" s="2">
        <v>37.0</v>
      </c>
      <c r="EE117" s="2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2">
        <v>2025.0</v>
      </c>
      <c r="B118" s="2">
        <v>4.0</v>
      </c>
      <c r="C118" s="2" t="s">
        <v>142</v>
      </c>
      <c r="D118" s="2" t="s">
        <v>390</v>
      </c>
      <c r="E118" s="2" t="s">
        <v>696</v>
      </c>
      <c r="F118" s="2" t="s">
        <v>210</v>
      </c>
      <c r="G118" s="2">
        <v>29.0</v>
      </c>
      <c r="H118" s="2">
        <v>41.0</v>
      </c>
      <c r="I118" s="2">
        <v>375.0</v>
      </c>
      <c r="J118" s="2">
        <v>3.0</v>
      </c>
      <c r="K118" s="2">
        <v>0.0</v>
      </c>
      <c r="L118" s="2">
        <v>3.0</v>
      </c>
      <c r="M118" s="2">
        <v>-15.0</v>
      </c>
      <c r="N118" s="2">
        <v>0.0</v>
      </c>
      <c r="O118" s="2">
        <v>0.0</v>
      </c>
      <c r="P118" s="2">
        <v>342.0</v>
      </c>
      <c r="Q118" s="2">
        <v>155.0</v>
      </c>
      <c r="R118" s="2">
        <v>15.0</v>
      </c>
      <c r="S118" s="2">
        <v>14.2937642066039</v>
      </c>
      <c r="T118" s="2">
        <v>5.44749759137631</v>
      </c>
      <c r="U118" s="2">
        <v>0.0</v>
      </c>
      <c r="V118" s="2">
        <v>14.0</v>
      </c>
      <c r="W118" s="2">
        <v>8.0</v>
      </c>
      <c r="X118" s="2">
        <v>4.0</v>
      </c>
      <c r="Y118" s="2">
        <v>1.0</v>
      </c>
      <c r="Z118" s="2">
        <v>26.0</v>
      </c>
      <c r="AA118" s="2">
        <v>102.0</v>
      </c>
      <c r="AB118" s="2">
        <v>0.0</v>
      </c>
      <c r="AC118" s="2">
        <v>1.0</v>
      </c>
      <c r="AD118" s="2">
        <v>1.0</v>
      </c>
      <c r="AE118" s="2">
        <v>7.0</v>
      </c>
      <c r="AF118" s="2">
        <v>-11.3359547577483</v>
      </c>
      <c r="AG118" s="2">
        <v>0.0</v>
      </c>
      <c r="AH118" s="2">
        <v>4.0</v>
      </c>
      <c r="AI118" s="2">
        <v>0.0</v>
      </c>
      <c r="AJ118" s="2">
        <v>0.0</v>
      </c>
      <c r="AK118" s="2">
        <v>0.0</v>
      </c>
      <c r="AL118" s="2">
        <v>29.0</v>
      </c>
      <c r="AM118" s="2">
        <v>40.0</v>
      </c>
      <c r="AN118" s="2">
        <v>375.0</v>
      </c>
      <c r="AO118" s="2">
        <v>3.0</v>
      </c>
      <c r="AP118" s="2">
        <v>0.0</v>
      </c>
      <c r="AQ118" s="2">
        <v>0.0</v>
      </c>
      <c r="AR118" s="2">
        <v>342.0</v>
      </c>
      <c r="AS118" s="2">
        <v>155.0</v>
      </c>
      <c r="AT118" s="2">
        <v>15.0</v>
      </c>
      <c r="AU118" s="2">
        <v>18.3072952948509</v>
      </c>
      <c r="AV118" s="2">
        <v>0.0</v>
      </c>
      <c r="AW118" s="2">
        <v>14.0</v>
      </c>
      <c r="AX118" s="2">
        <v>8.0</v>
      </c>
      <c r="AY118" s="2">
        <v>4.0</v>
      </c>
      <c r="AZ118" s="2">
        <v>1.0</v>
      </c>
      <c r="BA118" s="2">
        <v>0.0</v>
      </c>
      <c r="BB118" s="2">
        <v>32.0</v>
      </c>
      <c r="BC118" s="2">
        <v>2.0</v>
      </c>
      <c r="BD118" s="2">
        <v>30.0</v>
      </c>
      <c r="BE118" s="2">
        <v>4.0</v>
      </c>
      <c r="BF118" s="2">
        <v>22.0</v>
      </c>
      <c r="BG118" s="2">
        <v>1.0</v>
      </c>
      <c r="BH118" s="2">
        <v>2.0</v>
      </c>
      <c r="BI118" s="2">
        <v>14.0</v>
      </c>
      <c r="BJ118" s="2">
        <v>7.0</v>
      </c>
      <c r="BK118" s="2">
        <v>2.0</v>
      </c>
      <c r="BL118" s="2">
        <v>0.0</v>
      </c>
      <c r="BM118" s="2">
        <v>5.0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7.0</v>
      </c>
      <c r="BX118" s="2">
        <v>63.0</v>
      </c>
      <c r="BY118" s="2">
        <v>4.0</v>
      </c>
      <c r="BZ118" s="2">
        <v>1.0</v>
      </c>
      <c r="CA118" s="2">
        <v>0.0</v>
      </c>
      <c r="CB118" s="2">
        <v>0.0</v>
      </c>
      <c r="CC118" s="2">
        <v>1.0</v>
      </c>
      <c r="CD118" s="2">
        <v>1.0</v>
      </c>
      <c r="CE118" s="2">
        <v>1.0</v>
      </c>
      <c r="CF118" s="2">
        <v>0.0</v>
      </c>
      <c r="CG118" s="2">
        <v>5.0</v>
      </c>
      <c r="CH118" s="2">
        <v>122.0</v>
      </c>
      <c r="CI118" s="2">
        <v>2.0</v>
      </c>
      <c r="CJ118" s="2">
        <v>2.0</v>
      </c>
      <c r="CK118" s="2">
        <v>0.0</v>
      </c>
      <c r="CL118" s="2">
        <v>0.0</v>
      </c>
      <c r="CM118" s="2">
        <v>42.0</v>
      </c>
      <c r="CN118" s="2">
        <v>1.0</v>
      </c>
      <c r="CO118" s="2">
        <v>0.0</v>
      </c>
      <c r="CP118" s="2">
        <v>0.0</v>
      </c>
      <c r="CQ118" s="2">
        <v>1.0</v>
      </c>
      <c r="CR118" s="2">
        <v>1.0</v>
      </c>
      <c r="CS118" s="2">
        <v>0.0</v>
      </c>
      <c r="CT118" s="2">
        <v>0.0</v>
      </c>
      <c r="CU118" s="2">
        <v>0.0</v>
      </c>
      <c r="CV118" s="2">
        <v>0.0</v>
      </c>
      <c r="CW118" s="2">
        <v>0.0</v>
      </c>
      <c r="CX118" s="2">
        <v>0.0</v>
      </c>
      <c r="CY118" s="2">
        <v>0.0</v>
      </c>
      <c r="CZ118" s="2">
        <v>0.0</v>
      </c>
      <c r="DA118" s="2" t="s">
        <v>2064</v>
      </c>
      <c r="DD118" s="2">
        <v>79.0</v>
      </c>
      <c r="DE118" s="2">
        <v>0.0</v>
      </c>
      <c r="DF118" s="2">
        <v>0.0</v>
      </c>
      <c r="DG118" s="2">
        <v>3.0</v>
      </c>
      <c r="DH118" s="2">
        <v>3.0</v>
      </c>
      <c r="DI118" s="2">
        <v>0.0</v>
      </c>
      <c r="DJ118" s="2">
        <v>0.0</v>
      </c>
      <c r="DK118" s="2">
        <v>1.0</v>
      </c>
      <c r="DL118" s="2">
        <v>0.0</v>
      </c>
      <c r="DM118" s="2">
        <v>0.0</v>
      </c>
      <c r="DN118" s="2">
        <v>0.0</v>
      </c>
      <c r="DO118" s="2">
        <v>0.0</v>
      </c>
      <c r="DP118" s="2">
        <v>0.0</v>
      </c>
      <c r="DQ118" s="2">
        <v>4.0</v>
      </c>
      <c r="DR118" s="2">
        <v>0.0</v>
      </c>
      <c r="DS118" s="2">
        <v>68.0</v>
      </c>
      <c r="DT118" s="2">
        <v>211.0</v>
      </c>
      <c r="DU118" s="2">
        <v>3.0</v>
      </c>
      <c r="DV118" s="2">
        <v>1.0</v>
      </c>
      <c r="DW118" s="2">
        <v>0.0</v>
      </c>
      <c r="DX118" s="2">
        <v>0.0</v>
      </c>
      <c r="DY118" s="2">
        <v>1.0</v>
      </c>
      <c r="DZ118" s="2">
        <v>2.0</v>
      </c>
      <c r="EA118" s="2">
        <v>31.0</v>
      </c>
      <c r="EB118" s="2">
        <v>0.0</v>
      </c>
      <c r="EC118" s="2">
        <v>180.0</v>
      </c>
      <c r="EE118" s="2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2">
        <v>2025.0</v>
      </c>
      <c r="B119" s="2">
        <v>4.0</v>
      </c>
      <c r="C119" s="2" t="s">
        <v>220</v>
      </c>
      <c r="D119" s="2" t="s">
        <v>390</v>
      </c>
      <c r="E119" s="2" t="s">
        <v>691</v>
      </c>
      <c r="F119" s="2" t="s">
        <v>235</v>
      </c>
      <c r="G119" s="2">
        <v>23.0</v>
      </c>
      <c r="H119" s="2">
        <v>41.0</v>
      </c>
      <c r="I119" s="2">
        <v>203.0</v>
      </c>
      <c r="J119" s="2">
        <v>1.0</v>
      </c>
      <c r="K119" s="2">
        <v>2.0</v>
      </c>
      <c r="L119" s="2">
        <v>2.0</v>
      </c>
      <c r="M119" s="2">
        <v>-17.0</v>
      </c>
      <c r="N119" s="2">
        <v>0.0</v>
      </c>
      <c r="O119" s="2">
        <v>0.0</v>
      </c>
      <c r="P119" s="2">
        <v>265.0</v>
      </c>
      <c r="Q119" s="2">
        <v>81.0</v>
      </c>
      <c r="R119" s="2">
        <v>8.0</v>
      </c>
      <c r="S119" s="2">
        <v>-21.1217965234946</v>
      </c>
      <c r="T119" s="2">
        <v>-5.67707246855686</v>
      </c>
      <c r="U119" s="2">
        <v>0.0</v>
      </c>
      <c r="V119" s="2">
        <v>8.0</v>
      </c>
      <c r="W119" s="2">
        <v>3.0</v>
      </c>
      <c r="X119" s="2">
        <v>2.0</v>
      </c>
      <c r="Y119" s="2">
        <v>0.0</v>
      </c>
      <c r="Z119" s="2">
        <v>13.0</v>
      </c>
      <c r="AA119" s="2">
        <v>152.0</v>
      </c>
      <c r="AB119" s="2">
        <v>1.0</v>
      </c>
      <c r="AC119" s="2">
        <v>0.0</v>
      </c>
      <c r="AD119" s="2">
        <v>0.0</v>
      </c>
      <c r="AE119" s="2">
        <v>6.0</v>
      </c>
      <c r="AF119" s="2">
        <v>11.6018629931351</v>
      </c>
      <c r="AG119" s="2">
        <v>1.0</v>
      </c>
      <c r="AH119" s="2">
        <v>4.0</v>
      </c>
      <c r="AI119" s="2">
        <v>4.0</v>
      </c>
      <c r="AJ119" s="2">
        <v>3.0</v>
      </c>
      <c r="AK119" s="2">
        <v>1.0</v>
      </c>
      <c r="AL119" s="2">
        <v>23.0</v>
      </c>
      <c r="AM119" s="2">
        <v>38.0</v>
      </c>
      <c r="AN119" s="2">
        <v>203.0</v>
      </c>
      <c r="AO119" s="2">
        <v>1.0</v>
      </c>
      <c r="AP119" s="2">
        <v>0.0</v>
      </c>
      <c r="AQ119" s="2">
        <v>0.0</v>
      </c>
      <c r="AR119" s="2">
        <v>265.0</v>
      </c>
      <c r="AS119" s="2">
        <v>81.0</v>
      </c>
      <c r="AT119" s="2">
        <v>8.0</v>
      </c>
      <c r="AU119" s="2">
        <v>-15.6705325635849</v>
      </c>
      <c r="AV119" s="2">
        <v>0.0</v>
      </c>
      <c r="AW119" s="2">
        <v>8.0</v>
      </c>
      <c r="AX119" s="2">
        <v>3.0</v>
      </c>
      <c r="AY119" s="2">
        <v>2.0</v>
      </c>
      <c r="AZ119" s="2">
        <v>0.0</v>
      </c>
      <c r="BA119" s="2">
        <v>0.0</v>
      </c>
      <c r="BB119" s="2">
        <v>44.0</v>
      </c>
      <c r="BC119" s="2">
        <v>3.0</v>
      </c>
      <c r="BD119" s="2">
        <v>43.0</v>
      </c>
      <c r="BE119" s="2">
        <v>8.0</v>
      </c>
      <c r="BF119" s="2">
        <v>30.0</v>
      </c>
      <c r="BG119" s="2">
        <v>1.0</v>
      </c>
      <c r="BH119" s="2">
        <v>6.0</v>
      </c>
      <c r="BI119" s="2">
        <v>30.0</v>
      </c>
      <c r="BJ119" s="2">
        <v>9.0</v>
      </c>
      <c r="BK119" s="2">
        <v>0.0</v>
      </c>
      <c r="BL119" s="2">
        <v>0.0</v>
      </c>
      <c r="BM119" s="2">
        <v>2.0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0.0</v>
      </c>
      <c r="BU119" s="2">
        <v>0.0</v>
      </c>
      <c r="BV119" s="2">
        <v>0.0</v>
      </c>
      <c r="BW119" s="2">
        <v>14.0</v>
      </c>
      <c r="BX119" s="2">
        <v>107.0</v>
      </c>
      <c r="BY119" s="2">
        <v>4.0</v>
      </c>
      <c r="BZ119" s="2">
        <v>0.0</v>
      </c>
      <c r="CA119" s="2">
        <v>0.0</v>
      </c>
      <c r="CB119" s="2">
        <v>0.0</v>
      </c>
      <c r="CC119" s="2">
        <v>0.0</v>
      </c>
      <c r="CD119" s="2">
        <v>0.0</v>
      </c>
      <c r="CE119" s="2">
        <v>4.0</v>
      </c>
      <c r="CF119" s="2">
        <v>25.0</v>
      </c>
      <c r="CG119" s="2">
        <v>3.0</v>
      </c>
      <c r="CH119" s="2">
        <v>73.0</v>
      </c>
      <c r="CI119" s="2">
        <v>1.0</v>
      </c>
      <c r="CJ119" s="2">
        <v>1.0</v>
      </c>
      <c r="CK119" s="2">
        <v>0.0</v>
      </c>
      <c r="CL119" s="2">
        <v>0.0</v>
      </c>
      <c r="CM119" s="2">
        <v>43.0</v>
      </c>
      <c r="CN119" s="2">
        <v>1.0</v>
      </c>
      <c r="CO119" s="2">
        <v>0.0</v>
      </c>
      <c r="CP119" s="2">
        <v>0.0</v>
      </c>
      <c r="CQ119" s="2">
        <v>0.0</v>
      </c>
      <c r="CR119" s="2">
        <v>1.0</v>
      </c>
      <c r="CS119" s="2">
        <v>0.0</v>
      </c>
      <c r="CT119" s="2">
        <v>0.0</v>
      </c>
      <c r="CU119" s="2">
        <v>0.0</v>
      </c>
      <c r="CV119" s="2">
        <v>0.0</v>
      </c>
      <c r="CW119" s="2">
        <v>0.0</v>
      </c>
      <c r="CX119" s="2">
        <v>0.0</v>
      </c>
      <c r="CY119" s="2">
        <v>0.0</v>
      </c>
      <c r="CZ119" s="2">
        <v>0.0</v>
      </c>
      <c r="DA119" s="2" t="s">
        <v>2033</v>
      </c>
      <c r="DD119" s="2">
        <v>43.0</v>
      </c>
      <c r="DE119" s="2">
        <v>0.0</v>
      </c>
      <c r="DF119" s="2">
        <v>0.0</v>
      </c>
      <c r="DG119" s="2">
        <v>1.0</v>
      </c>
      <c r="DH119" s="2">
        <v>1.0</v>
      </c>
      <c r="DI119" s="2">
        <v>0.0</v>
      </c>
      <c r="DJ119" s="2">
        <v>0.0</v>
      </c>
      <c r="DK119" s="2">
        <v>1.0</v>
      </c>
      <c r="DL119" s="2">
        <v>0.0</v>
      </c>
      <c r="DM119" s="2">
        <v>0.0</v>
      </c>
      <c r="DN119" s="2">
        <v>0.0</v>
      </c>
      <c r="DO119" s="2">
        <v>0.0</v>
      </c>
      <c r="DP119" s="2">
        <v>0.0</v>
      </c>
      <c r="DQ119" s="2">
        <v>5.0</v>
      </c>
      <c r="DR119" s="2">
        <v>0.0</v>
      </c>
      <c r="DS119" s="2">
        <v>60.0</v>
      </c>
      <c r="DT119" s="2">
        <v>244.0</v>
      </c>
      <c r="DU119" s="2">
        <v>3.0</v>
      </c>
      <c r="DV119" s="2">
        <v>1.0</v>
      </c>
      <c r="DW119" s="2">
        <v>1.0</v>
      </c>
      <c r="DX119" s="2">
        <v>0.0</v>
      </c>
      <c r="DY119" s="2">
        <v>1.0</v>
      </c>
      <c r="DZ119" s="2">
        <v>2.0</v>
      </c>
      <c r="EA119" s="2">
        <v>14.0</v>
      </c>
      <c r="EB119" s="2">
        <v>0.0</v>
      </c>
      <c r="EC119" s="2">
        <v>230.0</v>
      </c>
      <c r="EE119" s="2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2">
        <v>2025.0</v>
      </c>
      <c r="B120" s="2">
        <v>4.0</v>
      </c>
      <c r="C120" s="2" t="s">
        <v>222</v>
      </c>
      <c r="D120" s="2" t="s">
        <v>390</v>
      </c>
      <c r="E120" s="2" t="s">
        <v>702</v>
      </c>
      <c r="F120" s="2" t="s">
        <v>137</v>
      </c>
      <c r="G120" s="2">
        <v>14.0</v>
      </c>
      <c r="H120" s="2">
        <v>21.0</v>
      </c>
      <c r="I120" s="2">
        <v>117.0</v>
      </c>
      <c r="J120" s="2">
        <v>2.0</v>
      </c>
      <c r="K120" s="2">
        <v>3.0</v>
      </c>
      <c r="L120" s="2">
        <v>0.0</v>
      </c>
      <c r="M120" s="2">
        <v>0.0</v>
      </c>
      <c r="N120" s="2">
        <v>0.0</v>
      </c>
      <c r="O120" s="2">
        <v>0.0</v>
      </c>
      <c r="P120" s="2">
        <v>97.0</v>
      </c>
      <c r="Q120" s="2">
        <v>92.0</v>
      </c>
      <c r="R120" s="2">
        <v>6.0</v>
      </c>
      <c r="S120" s="2">
        <v>-9.61362926253443</v>
      </c>
      <c r="T120" s="2">
        <v>-3.58319133520126</v>
      </c>
      <c r="U120" s="2">
        <v>0.0</v>
      </c>
      <c r="V120" s="2">
        <v>3.0</v>
      </c>
      <c r="W120" s="2">
        <v>1.0</v>
      </c>
      <c r="X120" s="2">
        <v>0.0</v>
      </c>
      <c r="Y120" s="2">
        <v>0.0</v>
      </c>
      <c r="Z120" s="2">
        <v>31.0</v>
      </c>
      <c r="AA120" s="2">
        <v>240.0</v>
      </c>
      <c r="AB120" s="2">
        <v>1.0</v>
      </c>
      <c r="AC120" s="2">
        <v>1.0</v>
      </c>
      <c r="AD120" s="2">
        <v>1.0</v>
      </c>
      <c r="AE120" s="2">
        <v>10.0</v>
      </c>
      <c r="AF120" s="2">
        <v>-0.381613336885322</v>
      </c>
      <c r="AG120" s="2">
        <v>0.0</v>
      </c>
      <c r="AH120" s="2">
        <v>9.0</v>
      </c>
      <c r="AI120" s="2">
        <v>7.0</v>
      </c>
      <c r="AJ120" s="2">
        <v>3.0</v>
      </c>
      <c r="AK120" s="2">
        <v>1.0</v>
      </c>
      <c r="AL120" s="2">
        <v>14.0</v>
      </c>
      <c r="AM120" s="2">
        <v>20.0</v>
      </c>
      <c r="AN120" s="2">
        <v>117.0</v>
      </c>
      <c r="AO120" s="2">
        <v>2.0</v>
      </c>
      <c r="AP120" s="2">
        <v>0.0</v>
      </c>
      <c r="AQ120" s="2">
        <v>0.0</v>
      </c>
      <c r="AR120" s="2">
        <v>97.0</v>
      </c>
      <c r="AS120" s="2">
        <v>92.0</v>
      </c>
      <c r="AT120" s="2">
        <v>6.0</v>
      </c>
      <c r="AU120" s="2">
        <v>-9.60218352375179</v>
      </c>
      <c r="AV120" s="2">
        <v>0.0</v>
      </c>
      <c r="AW120" s="2">
        <v>3.0</v>
      </c>
      <c r="AX120" s="2">
        <v>1.0</v>
      </c>
      <c r="AY120" s="2">
        <v>0.0</v>
      </c>
      <c r="AZ120" s="2">
        <v>0.0</v>
      </c>
      <c r="BA120" s="2">
        <v>0.0</v>
      </c>
      <c r="BB120" s="2">
        <v>39.0</v>
      </c>
      <c r="BC120" s="2">
        <v>0.0</v>
      </c>
      <c r="BD120" s="2">
        <v>28.0</v>
      </c>
      <c r="BE120" s="2">
        <v>8.0</v>
      </c>
      <c r="BF120" s="2">
        <v>33.0</v>
      </c>
      <c r="BG120" s="2">
        <v>1.0</v>
      </c>
      <c r="BH120" s="2">
        <v>1.0</v>
      </c>
      <c r="BI120" s="2">
        <v>10.0</v>
      </c>
      <c r="BJ120" s="2">
        <v>2.0</v>
      </c>
      <c r="BK120" s="2">
        <v>1.0</v>
      </c>
      <c r="BL120" s="2">
        <v>19.0</v>
      </c>
      <c r="BM120" s="2">
        <v>6.0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</v>
      </c>
      <c r="BV120" s="2">
        <v>0.0</v>
      </c>
      <c r="BW120" s="2">
        <v>5.0</v>
      </c>
      <c r="BX120" s="2">
        <v>36.0</v>
      </c>
      <c r="BY120" s="2">
        <v>5.0</v>
      </c>
      <c r="BZ120" s="2">
        <v>1.0</v>
      </c>
      <c r="CA120" s="2">
        <v>0.0</v>
      </c>
      <c r="CB120" s="2">
        <v>0.0</v>
      </c>
      <c r="CC120" s="2">
        <v>1.0</v>
      </c>
      <c r="CD120" s="2">
        <v>1.0</v>
      </c>
      <c r="CE120" s="2">
        <v>1.0</v>
      </c>
      <c r="CF120" s="2">
        <v>7.0</v>
      </c>
      <c r="CG120" s="2">
        <v>7.0</v>
      </c>
      <c r="CH120" s="2">
        <v>190.0</v>
      </c>
      <c r="CI120" s="2">
        <v>1.0</v>
      </c>
      <c r="CJ120" s="2">
        <v>2.0</v>
      </c>
      <c r="CK120" s="2">
        <v>0.0</v>
      </c>
      <c r="CL120" s="2">
        <v>1.0</v>
      </c>
      <c r="CM120" s="2">
        <v>29.0</v>
      </c>
      <c r="CN120" s="2">
        <v>0.5</v>
      </c>
      <c r="CO120" s="2">
        <v>0.0</v>
      </c>
      <c r="CP120" s="2">
        <v>1.0</v>
      </c>
      <c r="CQ120" s="2">
        <v>0.0</v>
      </c>
      <c r="CR120" s="2">
        <v>0.0</v>
      </c>
      <c r="CS120" s="2">
        <v>0.0</v>
      </c>
      <c r="CT120" s="2">
        <v>0.0</v>
      </c>
      <c r="CU120" s="2">
        <v>0.0</v>
      </c>
      <c r="CV120" s="2">
        <v>0.0</v>
      </c>
      <c r="CW120" s="2">
        <v>0.0</v>
      </c>
      <c r="CX120" s="2">
        <v>0.0</v>
      </c>
      <c r="CY120" s="2">
        <v>0.0</v>
      </c>
      <c r="CZ120" s="2">
        <v>0.0</v>
      </c>
      <c r="DA120" s="2" t="s">
        <v>2065</v>
      </c>
      <c r="DC120" s="2" t="s">
        <v>2018</v>
      </c>
      <c r="DD120" s="2">
        <v>29.0</v>
      </c>
      <c r="DE120" s="2">
        <v>0.0</v>
      </c>
      <c r="DF120" s="2">
        <v>54.0</v>
      </c>
      <c r="DG120" s="2">
        <v>3.0</v>
      </c>
      <c r="DH120" s="2">
        <v>3.0</v>
      </c>
      <c r="DI120" s="2">
        <v>0.0</v>
      </c>
      <c r="DJ120" s="2">
        <v>0.0</v>
      </c>
      <c r="DK120" s="2">
        <v>1.0</v>
      </c>
      <c r="DL120" s="2">
        <v>0.0</v>
      </c>
      <c r="DM120" s="2">
        <v>1.0</v>
      </c>
      <c r="DN120" s="2">
        <v>0.0</v>
      </c>
      <c r="DO120" s="2">
        <v>1.0</v>
      </c>
      <c r="DP120" s="2">
        <v>54.0</v>
      </c>
      <c r="DQ120" s="2">
        <v>1.0</v>
      </c>
      <c r="DR120" s="2">
        <v>0.0</v>
      </c>
      <c r="DS120" s="2">
        <v>60.0</v>
      </c>
      <c r="DT120" s="2">
        <v>60.0</v>
      </c>
      <c r="DU120" s="2">
        <v>0.0</v>
      </c>
      <c r="DV120" s="2">
        <v>0.0</v>
      </c>
      <c r="DW120" s="2">
        <v>0.0</v>
      </c>
      <c r="DX120" s="2">
        <v>0.0</v>
      </c>
      <c r="DY120" s="2">
        <v>0.0</v>
      </c>
      <c r="DZ120" s="2">
        <v>1.0</v>
      </c>
      <c r="EA120" s="2">
        <v>19.0</v>
      </c>
      <c r="EB120" s="2">
        <v>0.0</v>
      </c>
      <c r="EC120" s="2">
        <v>41.0</v>
      </c>
      <c r="EE120" s="2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2">
        <v>2025.0</v>
      </c>
      <c r="B121" s="2">
        <v>4.0</v>
      </c>
      <c r="C121" s="2" t="s">
        <v>225</v>
      </c>
      <c r="D121" s="2" t="s">
        <v>390</v>
      </c>
      <c r="E121" s="2" t="s">
        <v>706</v>
      </c>
      <c r="F121" s="2" t="s">
        <v>238</v>
      </c>
      <c r="G121" s="2">
        <v>17.0</v>
      </c>
      <c r="H121" s="2">
        <v>25.0</v>
      </c>
      <c r="I121" s="2">
        <v>177.0</v>
      </c>
      <c r="J121" s="2">
        <v>2.0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137.0</v>
      </c>
      <c r="Q121" s="2">
        <v>90.0</v>
      </c>
      <c r="R121" s="2">
        <v>12.0</v>
      </c>
      <c r="S121" s="2">
        <v>10.3779438983335</v>
      </c>
      <c r="T121" s="2">
        <v>-1.6991593837738</v>
      </c>
      <c r="U121" s="2">
        <v>0.0</v>
      </c>
      <c r="V121" s="2">
        <v>7.0</v>
      </c>
      <c r="W121" s="2">
        <v>4.0</v>
      </c>
      <c r="X121" s="2">
        <v>2.0</v>
      </c>
      <c r="Y121" s="2">
        <v>0.0</v>
      </c>
      <c r="Z121" s="2">
        <v>31.0</v>
      </c>
      <c r="AA121" s="2">
        <v>123.0</v>
      </c>
      <c r="AB121" s="2">
        <v>1.0</v>
      </c>
      <c r="AC121" s="2">
        <v>2.0</v>
      </c>
      <c r="AD121" s="2">
        <v>0.0</v>
      </c>
      <c r="AE121" s="2">
        <v>5.0</v>
      </c>
      <c r="AF121" s="2">
        <v>-3.11548017388682</v>
      </c>
      <c r="AG121" s="2">
        <v>0.0</v>
      </c>
      <c r="AH121" s="2">
        <v>3.0</v>
      </c>
      <c r="AI121" s="2">
        <v>2.0</v>
      </c>
      <c r="AJ121" s="2">
        <v>1.0</v>
      </c>
      <c r="AK121" s="2">
        <v>0.0</v>
      </c>
      <c r="AL121" s="2">
        <v>17.0</v>
      </c>
      <c r="AM121" s="2">
        <v>25.0</v>
      </c>
      <c r="AN121" s="2">
        <v>177.0</v>
      </c>
      <c r="AO121" s="2">
        <v>2.0</v>
      </c>
      <c r="AP121" s="2">
        <v>0.0</v>
      </c>
      <c r="AQ121" s="2">
        <v>0.0</v>
      </c>
      <c r="AR121" s="2">
        <v>137.0</v>
      </c>
      <c r="AS121" s="2">
        <v>90.0</v>
      </c>
      <c r="AT121" s="2">
        <v>12.0</v>
      </c>
      <c r="AU121" s="2">
        <v>10.3779438983335</v>
      </c>
      <c r="AV121" s="2">
        <v>0.0</v>
      </c>
      <c r="AW121" s="2">
        <v>7.0</v>
      </c>
      <c r="AX121" s="2">
        <v>4.0</v>
      </c>
      <c r="AY121" s="2">
        <v>2.0</v>
      </c>
      <c r="AZ121" s="2">
        <v>0.0</v>
      </c>
      <c r="BA121" s="2">
        <v>0.0</v>
      </c>
      <c r="BB121" s="2">
        <v>42.0</v>
      </c>
      <c r="BC121" s="2">
        <v>1.0</v>
      </c>
      <c r="BD121" s="2">
        <v>19.0</v>
      </c>
      <c r="BE121" s="2">
        <v>5.0</v>
      </c>
      <c r="BF121" s="2">
        <v>22.0</v>
      </c>
      <c r="BG121" s="2">
        <v>3.0</v>
      </c>
      <c r="BH121" s="2">
        <v>2.0</v>
      </c>
      <c r="BI121" s="2">
        <v>19.0</v>
      </c>
      <c r="BJ121" s="2">
        <v>3.0</v>
      </c>
      <c r="BK121" s="2">
        <v>0.0</v>
      </c>
      <c r="BL121" s="2">
        <v>0.0</v>
      </c>
      <c r="BM121" s="2">
        <v>3.0</v>
      </c>
      <c r="BN121" s="2">
        <v>0.0</v>
      </c>
      <c r="BO121" s="2">
        <v>0.0</v>
      </c>
      <c r="BP121" s="2">
        <v>0.0</v>
      </c>
      <c r="BQ121" s="2">
        <v>0.0</v>
      </c>
      <c r="BR121" s="2">
        <v>2.0</v>
      </c>
      <c r="BS121" s="2">
        <v>-6.0</v>
      </c>
      <c r="BT121" s="2">
        <v>3.0</v>
      </c>
      <c r="BU121" s="2">
        <v>4.0</v>
      </c>
      <c r="BV121" s="2">
        <v>0.0</v>
      </c>
      <c r="BW121" s="2">
        <v>6.0</v>
      </c>
      <c r="BX121" s="2">
        <v>40.0</v>
      </c>
      <c r="BY121" s="2">
        <v>5.0</v>
      </c>
      <c r="BZ121" s="2">
        <v>1.0</v>
      </c>
      <c r="CA121" s="2">
        <v>1.0</v>
      </c>
      <c r="CB121" s="2">
        <v>0.0</v>
      </c>
      <c r="CC121" s="2">
        <v>2.0</v>
      </c>
      <c r="CD121" s="2">
        <v>0.0</v>
      </c>
      <c r="CE121" s="2">
        <v>0.0</v>
      </c>
      <c r="CF121" s="2">
        <v>0.0</v>
      </c>
      <c r="CG121" s="2">
        <v>3.0</v>
      </c>
      <c r="CH121" s="2">
        <v>96.0</v>
      </c>
      <c r="CI121" s="2">
        <v>2.0</v>
      </c>
      <c r="CJ121" s="2">
        <v>2.0</v>
      </c>
      <c r="CK121" s="2">
        <v>0.0</v>
      </c>
      <c r="CL121" s="2">
        <v>0.0</v>
      </c>
      <c r="CM121" s="2">
        <v>47.0</v>
      </c>
      <c r="CN121" s="2">
        <v>1.0</v>
      </c>
      <c r="CO121" s="2">
        <v>0.0</v>
      </c>
      <c r="CP121" s="2">
        <v>0.0</v>
      </c>
      <c r="CQ121" s="2">
        <v>1.0</v>
      </c>
      <c r="CR121" s="2">
        <v>1.0</v>
      </c>
      <c r="CS121" s="2">
        <v>0.0</v>
      </c>
      <c r="CT121" s="2">
        <v>0.0</v>
      </c>
      <c r="CU121" s="2">
        <v>0.0</v>
      </c>
      <c r="CV121" s="2">
        <v>0.0</v>
      </c>
      <c r="CW121" s="2">
        <v>0.0</v>
      </c>
      <c r="CX121" s="2">
        <v>0.0</v>
      </c>
      <c r="CY121" s="2">
        <v>0.0</v>
      </c>
      <c r="CZ121" s="2">
        <v>0.0</v>
      </c>
      <c r="DA121" s="2" t="s">
        <v>2066</v>
      </c>
      <c r="DD121" s="2">
        <v>83.0</v>
      </c>
      <c r="DE121" s="2">
        <v>0.0</v>
      </c>
      <c r="DF121" s="2">
        <v>0.0</v>
      </c>
      <c r="DG121" s="2">
        <v>3.0</v>
      </c>
      <c r="DH121" s="2">
        <v>3.0</v>
      </c>
      <c r="DI121" s="2">
        <v>0.0</v>
      </c>
      <c r="DJ121" s="2">
        <v>0.0</v>
      </c>
      <c r="DK121" s="2">
        <v>1.0</v>
      </c>
      <c r="DL121" s="2">
        <v>0.0</v>
      </c>
      <c r="DM121" s="2">
        <v>0.0</v>
      </c>
      <c r="DN121" s="2">
        <v>0.0</v>
      </c>
      <c r="DO121" s="2">
        <v>0.0</v>
      </c>
      <c r="DP121" s="2">
        <v>0.0</v>
      </c>
      <c r="DQ121" s="2">
        <v>4.0</v>
      </c>
      <c r="DR121" s="2">
        <v>0.0</v>
      </c>
      <c r="DS121" s="2">
        <v>64.0</v>
      </c>
      <c r="DT121" s="2">
        <v>192.0</v>
      </c>
      <c r="DU121" s="2">
        <v>3.0</v>
      </c>
      <c r="DV121" s="2">
        <v>1.0</v>
      </c>
      <c r="DW121" s="2">
        <v>1.0</v>
      </c>
      <c r="DX121" s="2">
        <v>0.0</v>
      </c>
      <c r="DY121" s="2">
        <v>1.0</v>
      </c>
      <c r="DZ121" s="2">
        <v>1.0</v>
      </c>
      <c r="EA121" s="2">
        <v>18.0</v>
      </c>
      <c r="EB121" s="2">
        <v>0.0</v>
      </c>
      <c r="EC121" s="2">
        <v>174.0</v>
      </c>
      <c r="EE121" s="2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2">
        <v>2025.0</v>
      </c>
      <c r="B122" s="2">
        <v>4.0</v>
      </c>
      <c r="C122" s="2" t="s">
        <v>144</v>
      </c>
      <c r="D122" s="2" t="s">
        <v>390</v>
      </c>
      <c r="E122" s="2" t="s">
        <v>677</v>
      </c>
      <c r="F122" s="2" t="s">
        <v>242</v>
      </c>
      <c r="G122" s="2">
        <v>30.0</v>
      </c>
      <c r="H122" s="2">
        <v>46.0</v>
      </c>
      <c r="I122" s="2">
        <v>350.0</v>
      </c>
      <c r="J122" s="2">
        <v>2.0</v>
      </c>
      <c r="K122" s="2">
        <v>2.0</v>
      </c>
      <c r="L122" s="2">
        <v>6.0</v>
      </c>
      <c r="M122" s="2">
        <v>-48.0</v>
      </c>
      <c r="N122" s="2">
        <v>1.0</v>
      </c>
      <c r="O122" s="2">
        <v>0.0</v>
      </c>
      <c r="P122" s="2">
        <v>335.0</v>
      </c>
      <c r="Q122" s="2">
        <v>160.0</v>
      </c>
      <c r="R122" s="2">
        <v>15.0</v>
      </c>
      <c r="S122" s="2">
        <v>3.17431222650179</v>
      </c>
      <c r="T122" s="2">
        <v>5.2042658839907</v>
      </c>
      <c r="U122" s="2">
        <v>1.0</v>
      </c>
      <c r="V122" s="2">
        <v>12.0</v>
      </c>
      <c r="W122" s="2">
        <v>7.0</v>
      </c>
      <c r="X122" s="2">
        <v>4.0</v>
      </c>
      <c r="Y122" s="2">
        <v>1.0</v>
      </c>
      <c r="Z122" s="2">
        <v>20.0</v>
      </c>
      <c r="AA122" s="2">
        <v>70.0</v>
      </c>
      <c r="AB122" s="2">
        <v>0.0</v>
      </c>
      <c r="AC122" s="2">
        <v>1.0</v>
      </c>
      <c r="AD122" s="2">
        <v>0.0</v>
      </c>
      <c r="AE122" s="2">
        <v>6.0</v>
      </c>
      <c r="AF122" s="2">
        <v>-0.0594359996903222</v>
      </c>
      <c r="AG122" s="2">
        <v>0.0</v>
      </c>
      <c r="AH122" s="2">
        <v>1.0</v>
      </c>
      <c r="AI122" s="2">
        <v>0.0</v>
      </c>
      <c r="AJ122" s="2">
        <v>0.0</v>
      </c>
      <c r="AK122" s="2">
        <v>0.0</v>
      </c>
      <c r="AL122" s="2">
        <v>30.0</v>
      </c>
      <c r="AM122" s="2">
        <v>42.0</v>
      </c>
      <c r="AN122" s="2">
        <v>350.0</v>
      </c>
      <c r="AO122" s="2">
        <v>2.0</v>
      </c>
      <c r="AP122" s="2">
        <v>0.0</v>
      </c>
      <c r="AQ122" s="2">
        <v>0.0</v>
      </c>
      <c r="AR122" s="2">
        <v>335.0</v>
      </c>
      <c r="AS122" s="2">
        <v>160.0</v>
      </c>
      <c r="AT122" s="2">
        <v>15.0</v>
      </c>
      <c r="AU122" s="2">
        <v>13.5360176319229</v>
      </c>
      <c r="AV122" s="2">
        <v>1.0</v>
      </c>
      <c r="AW122" s="2">
        <v>12.0</v>
      </c>
      <c r="AX122" s="2">
        <v>7.0</v>
      </c>
      <c r="AY122" s="2">
        <v>4.0</v>
      </c>
      <c r="AZ122" s="2">
        <v>1.0</v>
      </c>
      <c r="BA122" s="2">
        <v>0.0</v>
      </c>
      <c r="BB122" s="2">
        <v>37.0</v>
      </c>
      <c r="BC122" s="2">
        <v>0.0</v>
      </c>
      <c r="BD122" s="2">
        <v>32.0</v>
      </c>
      <c r="BE122" s="2">
        <v>4.0</v>
      </c>
      <c r="BF122" s="2">
        <v>21.0</v>
      </c>
      <c r="BG122" s="2">
        <v>1.0</v>
      </c>
      <c r="BH122" s="2">
        <v>2.0</v>
      </c>
      <c r="BI122" s="2">
        <v>18.0</v>
      </c>
      <c r="BJ122" s="2">
        <v>3.0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1.0</v>
      </c>
      <c r="BS122" s="2">
        <v>0.0</v>
      </c>
      <c r="BT122" s="2">
        <v>0.0</v>
      </c>
      <c r="BU122" s="2">
        <v>0.0</v>
      </c>
      <c r="BV122" s="2">
        <v>0.0</v>
      </c>
      <c r="BW122" s="2">
        <v>8.0</v>
      </c>
      <c r="BX122" s="2">
        <v>82.0</v>
      </c>
      <c r="BY122" s="2">
        <v>6.0</v>
      </c>
      <c r="BZ122" s="2">
        <v>2.0</v>
      </c>
      <c r="CA122" s="2">
        <v>0.0</v>
      </c>
      <c r="CB122" s="2">
        <v>1.0</v>
      </c>
      <c r="CC122" s="2">
        <v>2.0</v>
      </c>
      <c r="CD122" s="2">
        <v>0.0</v>
      </c>
      <c r="CE122" s="2">
        <v>2.0</v>
      </c>
      <c r="CF122" s="2">
        <v>13.0</v>
      </c>
      <c r="CG122" s="2">
        <v>5.0</v>
      </c>
      <c r="CH122" s="2">
        <v>124.0</v>
      </c>
      <c r="CI122" s="2">
        <v>2.0</v>
      </c>
      <c r="CJ122" s="2">
        <v>2.0</v>
      </c>
      <c r="CK122" s="2">
        <v>0.0</v>
      </c>
      <c r="CL122" s="2">
        <v>0.0</v>
      </c>
      <c r="CM122" s="2">
        <v>41.0</v>
      </c>
      <c r="CN122" s="2">
        <v>1.0</v>
      </c>
      <c r="CO122" s="2">
        <v>0.0</v>
      </c>
      <c r="CP122" s="2">
        <v>1.0</v>
      </c>
      <c r="CQ122" s="2">
        <v>0.0</v>
      </c>
      <c r="CR122" s="2">
        <v>1.0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 t="s">
        <v>2067</v>
      </c>
      <c r="DD122" s="2">
        <v>69.0</v>
      </c>
      <c r="DE122" s="2">
        <v>0.0</v>
      </c>
      <c r="DF122" s="2">
        <v>0.0</v>
      </c>
      <c r="DG122" s="2">
        <v>1.0</v>
      </c>
      <c r="DH122" s="2">
        <v>1.0</v>
      </c>
      <c r="DI122" s="2">
        <v>0.0</v>
      </c>
      <c r="DJ122" s="2">
        <v>0.0</v>
      </c>
      <c r="DK122" s="2">
        <v>1.0</v>
      </c>
      <c r="DL122" s="2">
        <v>0.0</v>
      </c>
      <c r="DM122" s="2">
        <v>0.0</v>
      </c>
      <c r="DN122" s="2">
        <v>0.0</v>
      </c>
      <c r="DO122" s="2">
        <v>0.0</v>
      </c>
      <c r="DP122" s="2">
        <v>0.0</v>
      </c>
      <c r="DQ122" s="2">
        <v>3.0</v>
      </c>
      <c r="DR122" s="2">
        <v>0.0</v>
      </c>
      <c r="DS122" s="2">
        <v>49.0</v>
      </c>
      <c r="DT122" s="2">
        <v>136.0</v>
      </c>
      <c r="DU122" s="2">
        <v>0.0</v>
      </c>
      <c r="DV122" s="2">
        <v>0.0</v>
      </c>
      <c r="DW122" s="2">
        <v>1.0</v>
      </c>
      <c r="DX122" s="2">
        <v>0.0</v>
      </c>
      <c r="DY122" s="2">
        <v>0.0</v>
      </c>
      <c r="DZ122" s="2">
        <v>2.0</v>
      </c>
      <c r="EA122" s="2">
        <v>9.0</v>
      </c>
      <c r="EB122" s="2">
        <v>0.0</v>
      </c>
      <c r="EC122" s="2">
        <v>127.0</v>
      </c>
      <c r="EE122" s="2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2">
        <v>2025.0</v>
      </c>
      <c r="B123" s="2">
        <v>4.0</v>
      </c>
      <c r="C123" s="2" t="s">
        <v>145</v>
      </c>
      <c r="D123" s="2" t="s">
        <v>390</v>
      </c>
      <c r="E123" s="2" t="s">
        <v>689</v>
      </c>
      <c r="F123" s="2" t="s">
        <v>189</v>
      </c>
      <c r="G123" s="2">
        <v>14.0</v>
      </c>
      <c r="H123" s="2">
        <v>18.0</v>
      </c>
      <c r="I123" s="2">
        <v>203.0</v>
      </c>
      <c r="J123" s="2">
        <v>2.0</v>
      </c>
      <c r="K123" s="2">
        <v>0.0</v>
      </c>
      <c r="L123" s="2">
        <v>1.0</v>
      </c>
      <c r="M123" s="2">
        <v>0.0</v>
      </c>
      <c r="N123" s="2">
        <v>0.0</v>
      </c>
      <c r="O123" s="2">
        <v>0.0</v>
      </c>
      <c r="P123" s="2">
        <v>151.0</v>
      </c>
      <c r="Q123" s="2">
        <v>110.0</v>
      </c>
      <c r="R123" s="2">
        <v>8.0</v>
      </c>
      <c r="S123" s="2">
        <v>18.4210037647572</v>
      </c>
      <c r="T123" s="2">
        <v>15.8898442983627</v>
      </c>
      <c r="U123" s="2">
        <v>0.0</v>
      </c>
      <c r="V123" s="2">
        <v>6.0</v>
      </c>
      <c r="W123" s="2">
        <v>6.0</v>
      </c>
      <c r="X123" s="2">
        <v>5.0</v>
      </c>
      <c r="Y123" s="2">
        <v>0.0</v>
      </c>
      <c r="Z123" s="2">
        <v>29.0</v>
      </c>
      <c r="AA123" s="2">
        <v>104.0</v>
      </c>
      <c r="AB123" s="2">
        <v>3.0</v>
      </c>
      <c r="AC123" s="2">
        <v>0.0</v>
      </c>
      <c r="AD123" s="2">
        <v>0.0</v>
      </c>
      <c r="AE123" s="2">
        <v>7.0</v>
      </c>
      <c r="AF123" s="2">
        <v>-0.778808911360102</v>
      </c>
      <c r="AG123" s="2">
        <v>0.0</v>
      </c>
      <c r="AH123" s="2">
        <v>3.0</v>
      </c>
      <c r="AI123" s="2">
        <v>2.0</v>
      </c>
      <c r="AJ123" s="2">
        <v>2.0</v>
      </c>
      <c r="AK123" s="2">
        <v>0.0</v>
      </c>
      <c r="AL123" s="2">
        <v>14.0</v>
      </c>
      <c r="AM123" s="2">
        <v>17.0</v>
      </c>
      <c r="AN123" s="2">
        <v>203.0</v>
      </c>
      <c r="AO123" s="2">
        <v>2.0</v>
      </c>
      <c r="AP123" s="2">
        <v>0.0</v>
      </c>
      <c r="AQ123" s="2">
        <v>0.0</v>
      </c>
      <c r="AR123" s="2">
        <v>151.0</v>
      </c>
      <c r="AS123" s="2">
        <v>110.0</v>
      </c>
      <c r="AT123" s="2">
        <v>8.0</v>
      </c>
      <c r="AU123" s="2">
        <v>19.9353714334138</v>
      </c>
      <c r="AV123" s="2">
        <v>0.0</v>
      </c>
      <c r="AW123" s="2">
        <v>6.0</v>
      </c>
      <c r="AX123" s="2">
        <v>6.0</v>
      </c>
      <c r="AY123" s="2">
        <v>5.0</v>
      </c>
      <c r="AZ123" s="2">
        <v>0.0</v>
      </c>
      <c r="BA123" s="2">
        <v>1.0</v>
      </c>
      <c r="BB123" s="2">
        <v>41.0</v>
      </c>
      <c r="BC123" s="2">
        <v>2.0</v>
      </c>
      <c r="BD123" s="2">
        <v>32.0</v>
      </c>
      <c r="BE123" s="2">
        <v>5.0</v>
      </c>
      <c r="BF123" s="2">
        <v>16.0</v>
      </c>
      <c r="BG123" s="2">
        <v>1.0</v>
      </c>
      <c r="BH123" s="2">
        <v>1.0</v>
      </c>
      <c r="BI123" s="2">
        <v>11.0</v>
      </c>
      <c r="BJ123" s="2">
        <v>4.0</v>
      </c>
      <c r="BK123" s="2">
        <v>0.0</v>
      </c>
      <c r="BL123" s="2">
        <v>0.0</v>
      </c>
      <c r="BM123" s="2">
        <v>2.0</v>
      </c>
      <c r="BN123" s="2">
        <v>0.0</v>
      </c>
      <c r="BO123" s="2">
        <v>0.0</v>
      </c>
      <c r="BP123" s="2">
        <v>0.0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7.0</v>
      </c>
      <c r="BX123" s="2">
        <v>54.0</v>
      </c>
      <c r="BY123" s="2">
        <v>2.0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3.0</v>
      </c>
      <c r="CF123" s="2">
        <v>167.0</v>
      </c>
      <c r="CG123" s="2">
        <v>2.0</v>
      </c>
      <c r="CH123" s="2">
        <v>48.0</v>
      </c>
      <c r="CI123" s="2">
        <v>0.0</v>
      </c>
      <c r="CJ123" s="2">
        <v>0.0</v>
      </c>
      <c r="CK123" s="2">
        <v>0.0</v>
      </c>
      <c r="CL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0.0</v>
      </c>
      <c r="CU123" s="2">
        <v>0.0</v>
      </c>
      <c r="CV123" s="2">
        <v>0.0</v>
      </c>
      <c r="CW123" s="2">
        <v>0.0</v>
      </c>
      <c r="CX123" s="2">
        <v>0.0</v>
      </c>
      <c r="CY123" s="2">
        <v>0.0</v>
      </c>
      <c r="CZ123" s="2">
        <v>0.0</v>
      </c>
      <c r="DD123" s="2">
        <v>0.0</v>
      </c>
      <c r="DE123" s="2">
        <v>0.0</v>
      </c>
      <c r="DF123" s="2">
        <v>0.0</v>
      </c>
      <c r="DG123" s="2">
        <v>6.0</v>
      </c>
      <c r="DH123" s="2">
        <v>6.0</v>
      </c>
      <c r="DI123" s="2">
        <v>0.0</v>
      </c>
      <c r="DJ123" s="2">
        <v>0.0</v>
      </c>
      <c r="DK123" s="2">
        <v>1.0</v>
      </c>
      <c r="DL123" s="2">
        <v>0.0</v>
      </c>
      <c r="DM123" s="2">
        <v>0.0</v>
      </c>
      <c r="DN123" s="2">
        <v>0.0</v>
      </c>
      <c r="DO123" s="2">
        <v>0.0</v>
      </c>
      <c r="DP123" s="2">
        <v>0.0</v>
      </c>
      <c r="DQ123" s="2">
        <v>4.0</v>
      </c>
      <c r="DR123" s="2">
        <v>0.0</v>
      </c>
      <c r="DS123" s="2">
        <v>59.0</v>
      </c>
      <c r="DT123" s="2">
        <v>205.0</v>
      </c>
      <c r="DU123" s="2">
        <v>2.0</v>
      </c>
      <c r="DV123" s="2">
        <v>0.0</v>
      </c>
      <c r="DW123" s="2">
        <v>0.0</v>
      </c>
      <c r="DX123" s="2">
        <v>0.0</v>
      </c>
      <c r="DY123" s="2">
        <v>1.0</v>
      </c>
      <c r="DZ123" s="2">
        <v>3.0</v>
      </c>
      <c r="EA123" s="2">
        <v>19.0</v>
      </c>
      <c r="EB123" s="2">
        <v>0.0</v>
      </c>
      <c r="EC123" s="2">
        <v>186.0</v>
      </c>
      <c r="EE123" s="2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2">
        <v>2025.0</v>
      </c>
      <c r="B124" s="2">
        <v>4.0</v>
      </c>
      <c r="C124" s="2" t="s">
        <v>232</v>
      </c>
      <c r="D124" s="2" t="s">
        <v>390</v>
      </c>
      <c r="E124" s="2" t="s">
        <v>683</v>
      </c>
      <c r="F124" s="2" t="s">
        <v>136</v>
      </c>
      <c r="G124" s="2">
        <v>18.0</v>
      </c>
      <c r="H124" s="2">
        <v>28.0</v>
      </c>
      <c r="I124" s="2">
        <v>126.0</v>
      </c>
      <c r="J124" s="2">
        <v>1.0</v>
      </c>
      <c r="K124" s="2">
        <v>1.0</v>
      </c>
      <c r="L124" s="2">
        <v>3.0</v>
      </c>
      <c r="M124" s="2">
        <v>-17.0</v>
      </c>
      <c r="N124" s="2">
        <v>1.0</v>
      </c>
      <c r="O124" s="2">
        <v>0.0</v>
      </c>
      <c r="P124" s="2">
        <v>124.0</v>
      </c>
      <c r="Q124" s="2">
        <v>43.0</v>
      </c>
      <c r="R124" s="2">
        <v>7.0</v>
      </c>
      <c r="S124" s="2">
        <v>-12.0050723844046</v>
      </c>
      <c r="T124" s="2">
        <v>4.60800576210022</v>
      </c>
      <c r="U124" s="2">
        <v>0.0</v>
      </c>
      <c r="V124" s="2">
        <v>5.0</v>
      </c>
      <c r="W124" s="2">
        <v>1.0</v>
      </c>
      <c r="X124" s="2">
        <v>0.0</v>
      </c>
      <c r="Y124" s="2">
        <v>0.0</v>
      </c>
      <c r="Z124" s="2">
        <v>34.0</v>
      </c>
      <c r="AA124" s="2">
        <v>189.0</v>
      </c>
      <c r="AB124" s="2">
        <v>1.0</v>
      </c>
      <c r="AC124" s="2">
        <v>0.0</v>
      </c>
      <c r="AD124" s="2">
        <v>0.0</v>
      </c>
      <c r="AE124" s="2">
        <v>14.0</v>
      </c>
      <c r="AF124" s="2">
        <v>5.82719936993209</v>
      </c>
      <c r="AG124" s="2">
        <v>0.0</v>
      </c>
      <c r="AH124" s="2">
        <v>8.0</v>
      </c>
      <c r="AI124" s="2">
        <v>7.0</v>
      </c>
      <c r="AJ124" s="2">
        <v>0.0</v>
      </c>
      <c r="AK124" s="2">
        <v>0.0</v>
      </c>
      <c r="AL124" s="2">
        <v>18.0</v>
      </c>
      <c r="AM124" s="2">
        <v>25.0</v>
      </c>
      <c r="AN124" s="2">
        <v>126.0</v>
      </c>
      <c r="AO124" s="2">
        <v>1.0</v>
      </c>
      <c r="AP124" s="2">
        <v>0.0</v>
      </c>
      <c r="AQ124" s="2">
        <v>0.0</v>
      </c>
      <c r="AR124" s="2">
        <v>124.0</v>
      </c>
      <c r="AS124" s="2">
        <v>43.0</v>
      </c>
      <c r="AT124" s="2">
        <v>7.0</v>
      </c>
      <c r="AU124" s="2">
        <v>-4.6031863771799</v>
      </c>
      <c r="AV124" s="2">
        <v>0.0</v>
      </c>
      <c r="AW124" s="2">
        <v>5.0</v>
      </c>
      <c r="AX124" s="2">
        <v>1.0</v>
      </c>
      <c r="AY124" s="2">
        <v>0.0</v>
      </c>
      <c r="AZ124" s="2">
        <v>0.0</v>
      </c>
      <c r="BA124" s="2">
        <v>0.0</v>
      </c>
      <c r="BB124" s="2">
        <v>41.0</v>
      </c>
      <c r="BC124" s="2">
        <v>3.0</v>
      </c>
      <c r="BD124" s="2">
        <v>15.0</v>
      </c>
      <c r="BE124" s="2">
        <v>5.0</v>
      </c>
      <c r="BF124" s="2">
        <v>20.0</v>
      </c>
      <c r="BG124" s="2">
        <v>0.0</v>
      </c>
      <c r="BH124" s="2">
        <v>3.0</v>
      </c>
      <c r="BI124" s="2">
        <v>18.0</v>
      </c>
      <c r="BJ124" s="2">
        <v>7.0</v>
      </c>
      <c r="BK124" s="2">
        <v>1.0</v>
      </c>
      <c r="BL124" s="2">
        <v>0.0</v>
      </c>
      <c r="BM124" s="2">
        <v>4.0</v>
      </c>
      <c r="BN124" s="2">
        <v>0.0</v>
      </c>
      <c r="BO124" s="2">
        <v>0.0</v>
      </c>
      <c r="BP124" s="2">
        <v>0.0</v>
      </c>
      <c r="BQ124" s="2">
        <v>0.0</v>
      </c>
      <c r="BR124" s="2">
        <v>1.0</v>
      </c>
      <c r="BS124" s="2">
        <v>0.0</v>
      </c>
      <c r="BT124" s="2">
        <v>0.0</v>
      </c>
      <c r="BU124" s="2">
        <v>0.0</v>
      </c>
      <c r="BV124" s="2">
        <v>0.0</v>
      </c>
      <c r="BW124" s="2">
        <v>4.0</v>
      </c>
      <c r="BX124" s="2">
        <v>41.0</v>
      </c>
      <c r="BY124" s="2">
        <v>5.0</v>
      </c>
      <c r="BZ124" s="2">
        <v>1.0</v>
      </c>
      <c r="CA124" s="2">
        <v>0.0</v>
      </c>
      <c r="CB124" s="2">
        <v>0.0</v>
      </c>
      <c r="CC124" s="2">
        <v>1.0</v>
      </c>
      <c r="CD124" s="2">
        <v>0.0</v>
      </c>
      <c r="CE124" s="2">
        <v>1.0</v>
      </c>
      <c r="CF124" s="2">
        <v>10.0</v>
      </c>
      <c r="CG124" s="2">
        <v>5.0</v>
      </c>
      <c r="CH124" s="2">
        <v>134.0</v>
      </c>
      <c r="CI124" s="2">
        <v>2.0</v>
      </c>
      <c r="CJ124" s="2">
        <v>2.0</v>
      </c>
      <c r="CK124" s="2">
        <v>0.0</v>
      </c>
      <c r="CL124" s="2">
        <v>0.0</v>
      </c>
      <c r="CM124" s="2">
        <v>54.0</v>
      </c>
      <c r="CN124" s="2">
        <v>1.0</v>
      </c>
      <c r="CO124" s="2">
        <v>0.0</v>
      </c>
      <c r="CP124" s="2">
        <v>0.0</v>
      </c>
      <c r="CQ124" s="2">
        <v>1.0</v>
      </c>
      <c r="CR124" s="2">
        <v>0.0</v>
      </c>
      <c r="CS124" s="2">
        <v>1.0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 t="s">
        <v>2068</v>
      </c>
      <c r="DD124" s="2">
        <v>89.0</v>
      </c>
      <c r="DE124" s="2">
        <v>0.0</v>
      </c>
      <c r="DF124" s="2">
        <v>0.0</v>
      </c>
      <c r="DG124" s="2">
        <v>1.0</v>
      </c>
      <c r="DH124" s="2">
        <v>1.0</v>
      </c>
      <c r="DI124" s="2">
        <v>0.0</v>
      </c>
      <c r="DJ124" s="2">
        <v>0.0</v>
      </c>
      <c r="DK124" s="2">
        <v>1.0</v>
      </c>
      <c r="DL124" s="2">
        <v>0.0</v>
      </c>
      <c r="DM124" s="2">
        <v>0.0</v>
      </c>
      <c r="DN124" s="2">
        <v>0.0</v>
      </c>
      <c r="DO124" s="2">
        <v>0.0</v>
      </c>
      <c r="DP124" s="2">
        <v>0.0</v>
      </c>
      <c r="DQ124" s="2">
        <v>3.0</v>
      </c>
      <c r="DR124" s="2">
        <v>0.0</v>
      </c>
      <c r="DS124" s="2">
        <v>49.0</v>
      </c>
      <c r="DT124" s="2">
        <v>142.0</v>
      </c>
      <c r="DU124" s="2">
        <v>2.0</v>
      </c>
      <c r="DV124" s="2">
        <v>0.0</v>
      </c>
      <c r="DW124" s="2">
        <v>1.0</v>
      </c>
      <c r="DX124" s="2">
        <v>1.0</v>
      </c>
      <c r="DY124" s="2">
        <v>0.0</v>
      </c>
      <c r="DZ124" s="2">
        <v>1.0</v>
      </c>
      <c r="EA124" s="2">
        <v>6.0</v>
      </c>
      <c r="EB124" s="2">
        <v>0.0</v>
      </c>
      <c r="EC124" s="2">
        <v>116.0</v>
      </c>
      <c r="EE124" s="2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2">
        <v>2025.0</v>
      </c>
      <c r="B125" s="2">
        <v>4.0</v>
      </c>
      <c r="C125" s="2" t="s">
        <v>235</v>
      </c>
      <c r="D125" s="2" t="s">
        <v>390</v>
      </c>
      <c r="E125" s="2" t="s">
        <v>691</v>
      </c>
      <c r="F125" s="2" t="s">
        <v>220</v>
      </c>
      <c r="G125" s="2">
        <v>14.0</v>
      </c>
      <c r="H125" s="2">
        <v>21.0</v>
      </c>
      <c r="I125" s="2">
        <v>119.0</v>
      </c>
      <c r="J125" s="2">
        <v>1.0</v>
      </c>
      <c r="K125" s="2">
        <v>0.0</v>
      </c>
      <c r="L125" s="2">
        <v>6.0</v>
      </c>
      <c r="M125" s="2">
        <v>-30.0</v>
      </c>
      <c r="N125" s="2">
        <v>1.0</v>
      </c>
      <c r="O125" s="2">
        <v>0.0</v>
      </c>
      <c r="P125" s="2">
        <v>122.0</v>
      </c>
      <c r="Q125" s="2">
        <v>79.0</v>
      </c>
      <c r="R125" s="2">
        <v>6.0</v>
      </c>
      <c r="S125" s="2">
        <v>-6.70552748370217</v>
      </c>
      <c r="T125" s="2">
        <v>0.183735191822052</v>
      </c>
      <c r="U125" s="2">
        <v>0.0</v>
      </c>
      <c r="V125" s="2">
        <v>5.0</v>
      </c>
      <c r="W125" s="2">
        <v>2.0</v>
      </c>
      <c r="X125" s="2">
        <v>0.0</v>
      </c>
      <c r="Y125" s="2">
        <v>0.0</v>
      </c>
      <c r="Z125" s="2">
        <v>42.0</v>
      </c>
      <c r="AA125" s="2">
        <v>161.0</v>
      </c>
      <c r="AB125" s="2">
        <v>1.0</v>
      </c>
      <c r="AC125" s="2">
        <v>1.0</v>
      </c>
      <c r="AD125" s="2">
        <v>0.0</v>
      </c>
      <c r="AE125" s="2">
        <v>11.0</v>
      </c>
      <c r="AF125" s="2">
        <v>-3.46593054977432</v>
      </c>
      <c r="AG125" s="2">
        <v>1.0</v>
      </c>
      <c r="AH125" s="2">
        <v>4.0</v>
      </c>
      <c r="AI125" s="2">
        <v>2.0</v>
      </c>
      <c r="AJ125" s="2">
        <v>0.0</v>
      </c>
      <c r="AK125" s="2">
        <v>0.0</v>
      </c>
      <c r="AL125" s="2">
        <v>14.0</v>
      </c>
      <c r="AM125" s="2">
        <v>20.0</v>
      </c>
      <c r="AN125" s="2">
        <v>119.0</v>
      </c>
      <c r="AO125" s="2">
        <v>1.0</v>
      </c>
      <c r="AP125" s="2">
        <v>0.0</v>
      </c>
      <c r="AQ125" s="2">
        <v>0.0</v>
      </c>
      <c r="AR125" s="2">
        <v>122.0</v>
      </c>
      <c r="AS125" s="2">
        <v>79.0</v>
      </c>
      <c r="AT125" s="2">
        <v>6.0</v>
      </c>
      <c r="AU125" s="2">
        <v>2.62670130375773</v>
      </c>
      <c r="AV125" s="2">
        <v>0.0</v>
      </c>
      <c r="AW125" s="2">
        <v>5.0</v>
      </c>
      <c r="AX125" s="2">
        <v>2.0</v>
      </c>
      <c r="AY125" s="2">
        <v>0.0</v>
      </c>
      <c r="AZ125" s="2">
        <v>0.0</v>
      </c>
      <c r="BA125" s="2">
        <v>0.0</v>
      </c>
      <c r="BB125" s="2">
        <v>34.0</v>
      </c>
      <c r="BC125" s="2">
        <v>1.0</v>
      </c>
      <c r="BD125" s="2">
        <v>17.0</v>
      </c>
      <c r="BE125" s="2">
        <v>4.0</v>
      </c>
      <c r="BF125" s="2">
        <v>22.0</v>
      </c>
      <c r="BG125" s="2">
        <v>0.0</v>
      </c>
      <c r="BH125" s="2">
        <v>2.0</v>
      </c>
      <c r="BI125" s="2">
        <v>17.0</v>
      </c>
      <c r="BJ125" s="2">
        <v>12.0</v>
      </c>
      <c r="BK125" s="2">
        <v>2.0</v>
      </c>
      <c r="BL125" s="2">
        <v>93.0</v>
      </c>
      <c r="BM125" s="2">
        <v>7.0</v>
      </c>
      <c r="BN125" s="2">
        <v>0.0</v>
      </c>
      <c r="BO125" s="2">
        <v>0.0</v>
      </c>
      <c r="BP125" s="2">
        <v>0.0</v>
      </c>
      <c r="BQ125" s="2">
        <v>0.0</v>
      </c>
      <c r="BR125" s="2">
        <v>2.0</v>
      </c>
      <c r="BS125" s="2">
        <v>-4.0</v>
      </c>
      <c r="BT125" s="2">
        <v>0.0</v>
      </c>
      <c r="BU125" s="2">
        <v>0.0</v>
      </c>
      <c r="BV125" s="2">
        <v>0.0</v>
      </c>
      <c r="BW125" s="2">
        <v>8.0</v>
      </c>
      <c r="BX125" s="2">
        <v>43.0</v>
      </c>
      <c r="BY125" s="2">
        <v>5.0</v>
      </c>
      <c r="BZ125" s="2">
        <v>1.0</v>
      </c>
      <c r="CA125" s="2">
        <v>1.0</v>
      </c>
      <c r="CB125" s="2">
        <v>0.0</v>
      </c>
      <c r="CC125" s="2">
        <v>2.0</v>
      </c>
      <c r="CD125" s="2">
        <v>0.0</v>
      </c>
      <c r="CE125" s="2">
        <v>2.0</v>
      </c>
      <c r="CF125" s="2">
        <v>14.0</v>
      </c>
      <c r="CG125" s="2">
        <v>4.0</v>
      </c>
      <c r="CH125" s="2">
        <v>107.0</v>
      </c>
      <c r="CI125" s="2">
        <v>2.0</v>
      </c>
      <c r="CJ125" s="2">
        <v>2.0</v>
      </c>
      <c r="CK125" s="2">
        <v>0.0</v>
      </c>
      <c r="CL125" s="2">
        <v>0.0</v>
      </c>
      <c r="CM125" s="2">
        <v>31.0</v>
      </c>
      <c r="CN125" s="2">
        <v>1.0</v>
      </c>
      <c r="CO125" s="2">
        <v>0.0</v>
      </c>
      <c r="CP125" s="2">
        <v>1.0</v>
      </c>
      <c r="CQ125" s="2">
        <v>1.0</v>
      </c>
      <c r="CR125" s="2">
        <v>0.0</v>
      </c>
      <c r="CS125" s="2">
        <v>0.0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 t="s">
        <v>2069</v>
      </c>
      <c r="DD125" s="2">
        <v>53.0</v>
      </c>
      <c r="DE125" s="2">
        <v>0.0</v>
      </c>
      <c r="DF125" s="2">
        <v>0.0</v>
      </c>
      <c r="DG125" s="2">
        <v>1.0</v>
      </c>
      <c r="DH125" s="2">
        <v>1.0</v>
      </c>
      <c r="DI125" s="2">
        <v>0.0</v>
      </c>
      <c r="DJ125" s="2">
        <v>0.0</v>
      </c>
      <c r="DK125" s="2">
        <v>1.0</v>
      </c>
      <c r="DL125" s="2">
        <v>0.0</v>
      </c>
      <c r="DM125" s="2">
        <v>0.0</v>
      </c>
      <c r="DN125" s="2">
        <v>0.0</v>
      </c>
      <c r="DO125" s="2">
        <v>0.0</v>
      </c>
      <c r="DP125" s="2">
        <v>0.0</v>
      </c>
      <c r="DQ125" s="2">
        <v>5.0</v>
      </c>
      <c r="DR125" s="2">
        <v>0.0</v>
      </c>
      <c r="DS125" s="2">
        <v>69.0</v>
      </c>
      <c r="DT125" s="2">
        <v>244.0</v>
      </c>
      <c r="DU125" s="2">
        <v>3.0</v>
      </c>
      <c r="DV125" s="2">
        <v>0.0</v>
      </c>
      <c r="DW125" s="2">
        <v>0.0</v>
      </c>
      <c r="DX125" s="2">
        <v>0.0</v>
      </c>
      <c r="DY125" s="2">
        <v>1.0</v>
      </c>
      <c r="DZ125" s="2">
        <v>4.0</v>
      </c>
      <c r="EA125" s="2">
        <v>25.0</v>
      </c>
      <c r="EB125" s="2">
        <v>0.0</v>
      </c>
      <c r="EC125" s="2">
        <v>219.0</v>
      </c>
      <c r="EE125" s="2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2">
        <v>2025.0</v>
      </c>
      <c r="B126" s="2">
        <v>4.0</v>
      </c>
      <c r="C126" s="2" t="s">
        <v>238</v>
      </c>
      <c r="D126" s="2" t="s">
        <v>390</v>
      </c>
      <c r="E126" s="2" t="s">
        <v>706</v>
      </c>
      <c r="F126" s="2" t="s">
        <v>225</v>
      </c>
      <c r="G126" s="2">
        <v>20.0</v>
      </c>
      <c r="H126" s="2">
        <v>27.0</v>
      </c>
      <c r="I126" s="2">
        <v>226.0</v>
      </c>
      <c r="J126" s="2">
        <v>1.0</v>
      </c>
      <c r="K126" s="2">
        <v>0.0</v>
      </c>
      <c r="L126" s="2">
        <v>2.0</v>
      </c>
      <c r="M126" s="2">
        <v>-19.0</v>
      </c>
      <c r="N126" s="2">
        <v>1.0</v>
      </c>
      <c r="O126" s="2">
        <v>1.0</v>
      </c>
      <c r="P126" s="2">
        <v>205.0</v>
      </c>
      <c r="Q126" s="2">
        <v>86.0</v>
      </c>
      <c r="R126" s="2">
        <v>12.0</v>
      </c>
      <c r="S126" s="2">
        <v>5.60872867804978</v>
      </c>
      <c r="T126" s="2">
        <v>5.08604866487009</v>
      </c>
      <c r="U126" s="2">
        <v>0.0</v>
      </c>
      <c r="V126" s="2">
        <v>9.0</v>
      </c>
      <c r="W126" s="2">
        <v>4.0</v>
      </c>
      <c r="X126" s="2">
        <v>3.0</v>
      </c>
      <c r="Y126" s="2">
        <v>0.0</v>
      </c>
      <c r="Z126" s="2">
        <v>28.0</v>
      </c>
      <c r="AA126" s="2">
        <v>197.0</v>
      </c>
      <c r="AB126" s="2">
        <v>1.0</v>
      </c>
      <c r="AC126" s="2">
        <v>1.0</v>
      </c>
      <c r="AD126" s="2">
        <v>1.0</v>
      </c>
      <c r="AE126" s="2">
        <v>9.0</v>
      </c>
      <c r="AF126" s="2">
        <v>3.60391339495266</v>
      </c>
      <c r="AG126" s="2">
        <v>1.0</v>
      </c>
      <c r="AH126" s="2">
        <v>5.0</v>
      </c>
      <c r="AI126" s="2">
        <v>5.0</v>
      </c>
      <c r="AJ126" s="2">
        <v>2.0</v>
      </c>
      <c r="AK126" s="2">
        <v>1.0</v>
      </c>
      <c r="AL126" s="2">
        <v>20.0</v>
      </c>
      <c r="AM126" s="2">
        <v>27.0</v>
      </c>
      <c r="AN126" s="2">
        <v>226.0</v>
      </c>
      <c r="AO126" s="2">
        <v>1.0</v>
      </c>
      <c r="AP126" s="2">
        <v>0.0</v>
      </c>
      <c r="AQ126" s="2">
        <v>0.0</v>
      </c>
      <c r="AR126" s="2">
        <v>205.0</v>
      </c>
      <c r="AS126" s="2">
        <v>86.0</v>
      </c>
      <c r="AT126" s="2">
        <v>12.0</v>
      </c>
      <c r="AU126" s="2">
        <v>10.4048846670452</v>
      </c>
      <c r="AV126" s="2">
        <v>0.0</v>
      </c>
      <c r="AW126" s="2">
        <v>10.0</v>
      </c>
      <c r="AX126" s="2">
        <v>4.0</v>
      </c>
      <c r="AY126" s="2">
        <v>2.0</v>
      </c>
      <c r="AZ126" s="2">
        <v>0.0</v>
      </c>
      <c r="BA126" s="2">
        <v>0.0</v>
      </c>
      <c r="BB126" s="2">
        <v>31.0</v>
      </c>
      <c r="BC126" s="2">
        <v>1.0</v>
      </c>
      <c r="BD126" s="2">
        <v>33.0</v>
      </c>
      <c r="BE126" s="2">
        <v>2.0</v>
      </c>
      <c r="BF126" s="2">
        <v>5.0</v>
      </c>
      <c r="BG126" s="2">
        <v>1.0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3.0</v>
      </c>
      <c r="BN126" s="2">
        <v>0.0</v>
      </c>
      <c r="BO126" s="2">
        <v>0.0</v>
      </c>
      <c r="BP126" s="2">
        <v>0.0</v>
      </c>
      <c r="BQ126" s="2">
        <v>0.0</v>
      </c>
      <c r="BR126" s="2">
        <v>0.0</v>
      </c>
      <c r="BS126" s="2">
        <v>0.0</v>
      </c>
      <c r="BT126" s="2">
        <v>0.0</v>
      </c>
      <c r="BU126" s="2">
        <v>0.0</v>
      </c>
      <c r="BV126" s="2">
        <v>0.0</v>
      </c>
      <c r="BW126" s="2">
        <v>13.0</v>
      </c>
      <c r="BX126" s="2">
        <v>101.0</v>
      </c>
      <c r="BY126" s="2">
        <v>5.0</v>
      </c>
      <c r="BZ126" s="2">
        <v>3.0</v>
      </c>
      <c r="CA126" s="2">
        <v>0.0</v>
      </c>
      <c r="CB126" s="2">
        <v>0.0</v>
      </c>
      <c r="CC126" s="2">
        <v>3.0</v>
      </c>
      <c r="CD126" s="2">
        <v>3.0</v>
      </c>
      <c r="CE126" s="2">
        <v>1.0</v>
      </c>
      <c r="CF126" s="2">
        <v>18.0</v>
      </c>
      <c r="CG126" s="2">
        <v>5.0</v>
      </c>
      <c r="CH126" s="2">
        <v>162.0</v>
      </c>
      <c r="CI126" s="2">
        <v>2.0</v>
      </c>
      <c r="CJ126" s="2">
        <v>2.0</v>
      </c>
      <c r="CK126" s="2">
        <v>0.0</v>
      </c>
      <c r="CL126" s="2">
        <v>0.0</v>
      </c>
      <c r="CM126" s="2">
        <v>58.0</v>
      </c>
      <c r="CN126" s="2">
        <v>1.0</v>
      </c>
      <c r="CO126" s="2">
        <v>0.0</v>
      </c>
      <c r="CP126" s="2">
        <v>0.0</v>
      </c>
      <c r="CQ126" s="2">
        <v>0.0</v>
      </c>
      <c r="CR126" s="2">
        <v>0.0</v>
      </c>
      <c r="CS126" s="2">
        <v>2.0</v>
      </c>
      <c r="CT126" s="2">
        <v>0.0</v>
      </c>
      <c r="CU126" s="2">
        <v>0.0</v>
      </c>
      <c r="CV126" s="2">
        <v>0.0</v>
      </c>
      <c r="CW126" s="2">
        <v>0.0</v>
      </c>
      <c r="CX126" s="2">
        <v>0.0</v>
      </c>
      <c r="CY126" s="2">
        <v>0.0</v>
      </c>
      <c r="CZ126" s="2">
        <v>0.0</v>
      </c>
      <c r="DA126" s="2" t="s">
        <v>2070</v>
      </c>
      <c r="DD126" s="2">
        <v>108.0</v>
      </c>
      <c r="DE126" s="2">
        <v>0.0</v>
      </c>
      <c r="DF126" s="2">
        <v>0.0</v>
      </c>
      <c r="DG126" s="2">
        <v>1.0</v>
      </c>
      <c r="DH126" s="2">
        <v>1.0</v>
      </c>
      <c r="DI126" s="2">
        <v>0.0</v>
      </c>
      <c r="DJ126" s="2">
        <v>0.0</v>
      </c>
      <c r="DK126" s="2">
        <v>1.0</v>
      </c>
      <c r="DL126" s="2">
        <v>0.0</v>
      </c>
      <c r="DM126" s="2">
        <v>0.0</v>
      </c>
      <c r="DN126" s="2">
        <v>0.0</v>
      </c>
      <c r="DO126" s="2">
        <v>0.0</v>
      </c>
      <c r="DP126" s="2">
        <v>0.0</v>
      </c>
      <c r="DQ126" s="2">
        <v>2.0</v>
      </c>
      <c r="DR126" s="2">
        <v>0.0</v>
      </c>
      <c r="DS126" s="2">
        <v>43.0</v>
      </c>
      <c r="DT126" s="2">
        <v>84.0</v>
      </c>
      <c r="DU126" s="2">
        <v>1.0</v>
      </c>
      <c r="DV126" s="2">
        <v>0.0</v>
      </c>
      <c r="DW126" s="2">
        <v>1.0</v>
      </c>
      <c r="DX126" s="2">
        <v>0.0</v>
      </c>
      <c r="DY126" s="2">
        <v>1.0</v>
      </c>
      <c r="DZ126" s="2">
        <v>0.0</v>
      </c>
      <c r="EA126" s="2">
        <v>0.0</v>
      </c>
      <c r="EB126" s="2">
        <v>0.0</v>
      </c>
      <c r="EC126" s="2">
        <v>84.0</v>
      </c>
      <c r="EE126" s="2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2">
        <v>2025.0</v>
      </c>
      <c r="B127" s="2">
        <v>4.0</v>
      </c>
      <c r="C127" s="2" t="s">
        <v>147</v>
      </c>
      <c r="D127" s="2" t="s">
        <v>390</v>
      </c>
      <c r="E127" s="2" t="s">
        <v>694</v>
      </c>
      <c r="F127" s="2" t="s">
        <v>150</v>
      </c>
      <c r="G127" s="2">
        <v>15.0</v>
      </c>
      <c r="H127" s="2">
        <v>24.0</v>
      </c>
      <c r="I127" s="2">
        <v>130.0</v>
      </c>
      <c r="J127" s="2">
        <v>2.0</v>
      </c>
      <c r="K127" s="2">
        <v>0.0</v>
      </c>
      <c r="L127" s="2">
        <v>2.0</v>
      </c>
      <c r="M127" s="2">
        <v>-18.0</v>
      </c>
      <c r="N127" s="2">
        <v>0.0</v>
      </c>
      <c r="O127" s="2">
        <v>0.0</v>
      </c>
      <c r="P127" s="2">
        <v>167.0</v>
      </c>
      <c r="Q127" s="2">
        <v>82.0</v>
      </c>
      <c r="R127" s="2">
        <v>10.0</v>
      </c>
      <c r="S127" s="2">
        <v>-1.29286404850427</v>
      </c>
      <c r="T127" s="2">
        <v>-4.99703461925189</v>
      </c>
      <c r="U127" s="2">
        <v>0.0</v>
      </c>
      <c r="V127" s="2">
        <v>5.0</v>
      </c>
      <c r="W127" s="2">
        <v>3.0</v>
      </c>
      <c r="X127" s="2">
        <v>2.0</v>
      </c>
      <c r="Y127" s="2">
        <v>0.0</v>
      </c>
      <c r="Z127" s="2">
        <v>32.0</v>
      </c>
      <c r="AA127" s="2">
        <v>88.0</v>
      </c>
      <c r="AB127" s="2">
        <v>1.0</v>
      </c>
      <c r="AC127" s="2">
        <v>1.0</v>
      </c>
      <c r="AD127" s="2">
        <v>0.0</v>
      </c>
      <c r="AE127" s="2">
        <v>5.0</v>
      </c>
      <c r="AF127" s="2">
        <v>-2.99255943497175</v>
      </c>
      <c r="AG127" s="2">
        <v>0.0</v>
      </c>
      <c r="AH127" s="2">
        <v>3.0</v>
      </c>
      <c r="AI127" s="2">
        <v>1.0</v>
      </c>
      <c r="AJ127" s="2">
        <v>1.0</v>
      </c>
      <c r="AK127" s="2">
        <v>0.0</v>
      </c>
      <c r="AL127" s="2">
        <v>15.0</v>
      </c>
      <c r="AM127" s="2">
        <v>24.0</v>
      </c>
      <c r="AN127" s="2">
        <v>130.0</v>
      </c>
      <c r="AO127" s="2">
        <v>2.0</v>
      </c>
      <c r="AP127" s="2">
        <v>0.0</v>
      </c>
      <c r="AQ127" s="2">
        <v>0.0</v>
      </c>
      <c r="AR127" s="2">
        <v>167.0</v>
      </c>
      <c r="AS127" s="2">
        <v>82.0</v>
      </c>
      <c r="AT127" s="2">
        <v>10.0</v>
      </c>
      <c r="AU127" s="2">
        <v>2.1934821679024</v>
      </c>
      <c r="AV127" s="2">
        <v>0.0</v>
      </c>
      <c r="AW127" s="2">
        <v>5.0</v>
      </c>
      <c r="AX127" s="2">
        <v>3.0</v>
      </c>
      <c r="AY127" s="2">
        <v>2.0</v>
      </c>
      <c r="AZ127" s="2">
        <v>0.0</v>
      </c>
      <c r="BA127" s="2">
        <v>1.0</v>
      </c>
      <c r="BB127" s="2">
        <v>46.0</v>
      </c>
      <c r="BC127" s="2">
        <v>1.0</v>
      </c>
      <c r="BD127" s="2">
        <v>23.0</v>
      </c>
      <c r="BE127" s="2">
        <v>4.0</v>
      </c>
      <c r="BF127" s="2">
        <v>19.0</v>
      </c>
      <c r="BG127" s="2">
        <v>2.0</v>
      </c>
      <c r="BH127" s="2">
        <v>2.0</v>
      </c>
      <c r="BI127" s="2">
        <v>17.0</v>
      </c>
      <c r="BJ127" s="2">
        <v>1.0</v>
      </c>
      <c r="BK127" s="2">
        <v>1.0</v>
      </c>
      <c r="BL127" s="2">
        <v>0.0</v>
      </c>
      <c r="BM127" s="2">
        <v>13.0</v>
      </c>
      <c r="BN127" s="2">
        <v>0.0</v>
      </c>
      <c r="BO127" s="2">
        <v>0.0</v>
      </c>
      <c r="BP127" s="2">
        <v>0.0</v>
      </c>
      <c r="BQ127" s="2">
        <v>35.0</v>
      </c>
      <c r="BR127" s="2">
        <v>1.0</v>
      </c>
      <c r="BS127" s="2">
        <v>-15.0</v>
      </c>
      <c r="BT127" s="2">
        <v>1.0</v>
      </c>
      <c r="BU127" s="2">
        <v>0.0</v>
      </c>
      <c r="BV127" s="2">
        <v>0.0</v>
      </c>
      <c r="BW127" s="2">
        <v>8.0</v>
      </c>
      <c r="BX127" s="2">
        <v>83.0</v>
      </c>
      <c r="BY127" s="2">
        <v>4.0</v>
      </c>
      <c r="BZ127" s="2">
        <v>1.0</v>
      </c>
      <c r="CA127" s="2">
        <v>1.0</v>
      </c>
      <c r="CB127" s="2">
        <v>1.0</v>
      </c>
      <c r="CC127" s="2">
        <v>2.0</v>
      </c>
      <c r="CD127" s="2">
        <v>0.0</v>
      </c>
      <c r="CE127" s="2">
        <v>1.0</v>
      </c>
      <c r="CF127" s="2">
        <v>3.0</v>
      </c>
      <c r="CG127" s="2">
        <v>5.0</v>
      </c>
      <c r="CH127" s="2">
        <v>148.0</v>
      </c>
      <c r="CI127" s="2">
        <v>1.0</v>
      </c>
      <c r="CJ127" s="2">
        <v>1.0</v>
      </c>
      <c r="CK127" s="2">
        <v>0.0</v>
      </c>
      <c r="CL127" s="2">
        <v>0.0</v>
      </c>
      <c r="CM127" s="2">
        <v>39.0</v>
      </c>
      <c r="CN127" s="2">
        <v>1.0</v>
      </c>
      <c r="CO127" s="2">
        <v>0.0</v>
      </c>
      <c r="CP127" s="2">
        <v>0.0</v>
      </c>
      <c r="CQ127" s="2">
        <v>1.0</v>
      </c>
      <c r="CR127" s="2">
        <v>0.0</v>
      </c>
      <c r="CS127" s="2">
        <v>0.0</v>
      </c>
      <c r="CT127" s="2">
        <v>0.0</v>
      </c>
      <c r="CU127" s="2">
        <v>0.0</v>
      </c>
      <c r="CV127" s="2">
        <v>0.0</v>
      </c>
      <c r="CW127" s="2">
        <v>0.0</v>
      </c>
      <c r="CX127" s="2">
        <v>0.0</v>
      </c>
      <c r="CY127" s="2">
        <v>0.0</v>
      </c>
      <c r="CZ127" s="2">
        <v>0.0</v>
      </c>
      <c r="DA127" s="2" t="s">
        <v>2026</v>
      </c>
      <c r="DD127" s="2">
        <v>39.0</v>
      </c>
      <c r="DE127" s="2">
        <v>0.0</v>
      </c>
      <c r="DF127" s="2">
        <v>0.0</v>
      </c>
      <c r="DG127" s="2">
        <v>4.0</v>
      </c>
      <c r="DH127" s="2">
        <v>4.0</v>
      </c>
      <c r="DI127" s="2">
        <v>0.0</v>
      </c>
      <c r="DJ127" s="2">
        <v>0.0</v>
      </c>
      <c r="DK127" s="2">
        <v>1.0</v>
      </c>
      <c r="DL127" s="2">
        <v>0.0</v>
      </c>
      <c r="DM127" s="2">
        <v>0.0</v>
      </c>
      <c r="DN127" s="2">
        <v>0.0</v>
      </c>
      <c r="DO127" s="2">
        <v>0.0</v>
      </c>
      <c r="DP127" s="2">
        <v>0.0</v>
      </c>
      <c r="DQ127" s="2">
        <v>7.0</v>
      </c>
      <c r="DR127" s="2">
        <v>0.0</v>
      </c>
      <c r="DS127" s="2">
        <v>63.0</v>
      </c>
      <c r="DT127" s="2">
        <v>363.0</v>
      </c>
      <c r="DU127" s="2">
        <v>2.0</v>
      </c>
      <c r="DV127" s="2">
        <v>1.0</v>
      </c>
      <c r="DW127" s="2">
        <v>0.0</v>
      </c>
      <c r="DX127" s="2">
        <v>0.0</v>
      </c>
      <c r="DY127" s="2">
        <v>0.0</v>
      </c>
      <c r="DZ127" s="2">
        <v>6.0</v>
      </c>
      <c r="EA127" s="2">
        <v>100.0</v>
      </c>
      <c r="EB127" s="2">
        <v>0.0</v>
      </c>
      <c r="EC127" s="2">
        <v>263.0</v>
      </c>
      <c r="EE127" s="2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2">
        <v>2025.0</v>
      </c>
      <c r="B128" s="2">
        <v>4.0</v>
      </c>
      <c r="C128" s="2" t="s">
        <v>242</v>
      </c>
      <c r="D128" s="2" t="s">
        <v>390</v>
      </c>
      <c r="E128" s="2" t="s">
        <v>677</v>
      </c>
      <c r="F128" s="2" t="s">
        <v>144</v>
      </c>
      <c r="G128" s="2">
        <v>18.0</v>
      </c>
      <c r="H128" s="2">
        <v>22.0</v>
      </c>
      <c r="I128" s="2">
        <v>200.0</v>
      </c>
      <c r="J128" s="2">
        <v>1.0</v>
      </c>
      <c r="K128" s="2">
        <v>0.0</v>
      </c>
      <c r="L128" s="2">
        <v>2.0</v>
      </c>
      <c r="M128" s="2">
        <v>-18.0</v>
      </c>
      <c r="N128" s="2">
        <v>0.0</v>
      </c>
      <c r="O128" s="2">
        <v>0.0</v>
      </c>
      <c r="P128" s="2">
        <v>73.0</v>
      </c>
      <c r="Q128" s="2">
        <v>146.0</v>
      </c>
      <c r="R128" s="2">
        <v>6.0</v>
      </c>
      <c r="S128" s="2">
        <v>3.79973275983497</v>
      </c>
      <c r="T128" s="2">
        <v>9.5908369530331</v>
      </c>
      <c r="U128" s="2">
        <v>0.0</v>
      </c>
      <c r="V128" s="2">
        <v>4.0</v>
      </c>
      <c r="W128" s="2">
        <v>2.0</v>
      </c>
      <c r="X128" s="2">
        <v>1.0</v>
      </c>
      <c r="Y128" s="2">
        <v>1.0</v>
      </c>
      <c r="Z128" s="2">
        <v>29.0</v>
      </c>
      <c r="AA128" s="2">
        <v>131.0</v>
      </c>
      <c r="AB128" s="2">
        <v>2.0</v>
      </c>
      <c r="AC128" s="2">
        <v>1.0</v>
      </c>
      <c r="AD128" s="2">
        <v>0.0</v>
      </c>
      <c r="AE128" s="2">
        <v>11.0</v>
      </c>
      <c r="AF128" s="2">
        <v>4.94814664270962</v>
      </c>
      <c r="AG128" s="2">
        <v>0.0</v>
      </c>
      <c r="AH128" s="2">
        <v>4.0</v>
      </c>
      <c r="AI128" s="2">
        <v>2.0</v>
      </c>
      <c r="AJ128" s="2">
        <v>0.0</v>
      </c>
      <c r="AK128" s="2">
        <v>0.0</v>
      </c>
      <c r="AL128" s="2">
        <v>18.0</v>
      </c>
      <c r="AM128" s="2">
        <v>22.0</v>
      </c>
      <c r="AN128" s="2">
        <v>200.0</v>
      </c>
      <c r="AO128" s="2">
        <v>1.0</v>
      </c>
      <c r="AP128" s="2">
        <v>0.0</v>
      </c>
      <c r="AQ128" s="2">
        <v>0.0</v>
      </c>
      <c r="AR128" s="2">
        <v>73.0</v>
      </c>
      <c r="AS128" s="2">
        <v>146.0</v>
      </c>
      <c r="AT128" s="2">
        <v>6.0</v>
      </c>
      <c r="AU128" s="2">
        <v>6.91588354821573</v>
      </c>
      <c r="AV128" s="2">
        <v>0.0</v>
      </c>
      <c r="AW128" s="2">
        <v>4.0</v>
      </c>
      <c r="AX128" s="2">
        <v>2.0</v>
      </c>
      <c r="AY128" s="2">
        <v>1.0</v>
      </c>
      <c r="AZ128" s="2">
        <v>1.0</v>
      </c>
      <c r="BA128" s="2">
        <v>0.0</v>
      </c>
      <c r="BB128" s="2">
        <v>47.0</v>
      </c>
      <c r="BC128" s="2">
        <v>0.0</v>
      </c>
      <c r="BD128" s="2">
        <v>28.0</v>
      </c>
      <c r="BE128" s="2">
        <v>10.0</v>
      </c>
      <c r="BF128" s="2">
        <v>43.0</v>
      </c>
      <c r="BG128" s="2">
        <v>2.0</v>
      </c>
      <c r="BH128" s="2">
        <v>6.0</v>
      </c>
      <c r="BI128" s="2">
        <v>48.0</v>
      </c>
      <c r="BJ128" s="2">
        <v>14.0</v>
      </c>
      <c r="BK128" s="2">
        <v>2.0</v>
      </c>
      <c r="BL128" s="2">
        <v>9.0</v>
      </c>
      <c r="BM128" s="2">
        <v>8.0</v>
      </c>
      <c r="BN128" s="2">
        <v>0.0</v>
      </c>
      <c r="BO128" s="2">
        <v>0.0</v>
      </c>
      <c r="BP128" s="2">
        <v>0.0</v>
      </c>
      <c r="BQ128" s="2">
        <v>0.0</v>
      </c>
      <c r="BR128" s="2">
        <v>1.0</v>
      </c>
      <c r="BS128" s="2">
        <v>6.0</v>
      </c>
      <c r="BT128" s="2">
        <v>0.0</v>
      </c>
      <c r="BU128" s="2">
        <v>0.0</v>
      </c>
      <c r="BV128" s="2">
        <v>0.0</v>
      </c>
      <c r="BW128" s="2">
        <v>5.0</v>
      </c>
      <c r="BX128" s="2">
        <v>35.0</v>
      </c>
      <c r="BY128" s="2">
        <v>4.0</v>
      </c>
      <c r="BZ128" s="2">
        <v>1.0</v>
      </c>
      <c r="CA128" s="2">
        <v>0.0</v>
      </c>
      <c r="CB128" s="2">
        <v>0.0</v>
      </c>
      <c r="CC128" s="2">
        <v>1.0</v>
      </c>
      <c r="CD128" s="2">
        <v>0.0</v>
      </c>
      <c r="CE128" s="2">
        <v>2.0</v>
      </c>
      <c r="CF128" s="2">
        <v>9.0</v>
      </c>
      <c r="CG128" s="2">
        <v>4.0</v>
      </c>
      <c r="CH128" s="2">
        <v>100.0</v>
      </c>
      <c r="CI128" s="2">
        <v>1.0</v>
      </c>
      <c r="CJ128" s="2">
        <v>2.0</v>
      </c>
      <c r="CK128" s="2">
        <v>0.0</v>
      </c>
      <c r="CL128" s="2">
        <v>1.0</v>
      </c>
      <c r="CM128" s="2">
        <v>33.0</v>
      </c>
      <c r="CN128" s="2">
        <v>0.5</v>
      </c>
      <c r="CO128" s="2">
        <v>0.0</v>
      </c>
      <c r="CP128" s="2">
        <v>0.0</v>
      </c>
      <c r="CQ128" s="2">
        <v>1.0</v>
      </c>
      <c r="CR128" s="2">
        <v>0.0</v>
      </c>
      <c r="CS128" s="2">
        <v>0.0</v>
      </c>
      <c r="CT128" s="2">
        <v>0.0</v>
      </c>
      <c r="CU128" s="2">
        <v>0.0</v>
      </c>
      <c r="CV128" s="2">
        <v>0.0</v>
      </c>
      <c r="CW128" s="2">
        <v>0.0</v>
      </c>
      <c r="CX128" s="2">
        <v>0.0</v>
      </c>
      <c r="CY128" s="2">
        <v>0.0</v>
      </c>
      <c r="CZ128" s="2">
        <v>0.0</v>
      </c>
      <c r="DA128" s="2" t="s">
        <v>2056</v>
      </c>
      <c r="DC128" s="2" t="s">
        <v>2028</v>
      </c>
      <c r="DD128" s="2">
        <v>33.0</v>
      </c>
      <c r="DE128" s="2">
        <v>0.0</v>
      </c>
      <c r="DF128" s="2">
        <v>30.0</v>
      </c>
      <c r="DG128" s="2">
        <v>3.0</v>
      </c>
      <c r="DH128" s="2">
        <v>3.0</v>
      </c>
      <c r="DI128" s="2">
        <v>0.0</v>
      </c>
      <c r="DJ128" s="2">
        <v>0.0</v>
      </c>
      <c r="DK128" s="2">
        <v>1.0</v>
      </c>
      <c r="DL128" s="2">
        <v>0.0</v>
      </c>
      <c r="DM128" s="2">
        <v>0.0</v>
      </c>
      <c r="DN128" s="2">
        <v>0.0</v>
      </c>
      <c r="DO128" s="2">
        <v>0.0</v>
      </c>
      <c r="DP128" s="2">
        <v>0.0</v>
      </c>
      <c r="DQ128" s="2">
        <v>3.0</v>
      </c>
      <c r="DR128" s="2">
        <v>0.0</v>
      </c>
      <c r="DS128" s="2">
        <v>54.0</v>
      </c>
      <c r="DT128" s="2">
        <v>146.0</v>
      </c>
      <c r="DU128" s="2">
        <v>0.0</v>
      </c>
      <c r="DV128" s="2">
        <v>0.0</v>
      </c>
      <c r="DW128" s="2">
        <v>0.0</v>
      </c>
      <c r="DX128" s="2">
        <v>1.0</v>
      </c>
      <c r="DY128" s="2">
        <v>0.0</v>
      </c>
      <c r="DZ128" s="2">
        <v>2.0</v>
      </c>
      <c r="EA128" s="2">
        <v>13.0</v>
      </c>
      <c r="EB128" s="2">
        <v>0.0</v>
      </c>
      <c r="EC128" s="2">
        <v>113.0</v>
      </c>
      <c r="EE128" s="2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2">
        <v>2025.0</v>
      </c>
      <c r="B129" s="2">
        <v>4.0</v>
      </c>
      <c r="C129" s="2" t="s">
        <v>149</v>
      </c>
      <c r="D129" s="2" t="s">
        <v>390</v>
      </c>
      <c r="E129" s="2" t="s">
        <v>674</v>
      </c>
      <c r="F129" s="2" t="s">
        <v>178</v>
      </c>
      <c r="G129" s="2">
        <v>18.0</v>
      </c>
      <c r="H129" s="2">
        <v>26.0</v>
      </c>
      <c r="I129" s="2">
        <v>242.0</v>
      </c>
      <c r="J129" s="2">
        <v>1.0</v>
      </c>
      <c r="K129" s="2">
        <v>0.0</v>
      </c>
      <c r="L129" s="2">
        <v>3.0</v>
      </c>
      <c r="M129" s="2">
        <v>-13.0</v>
      </c>
      <c r="N129" s="2">
        <v>1.0</v>
      </c>
      <c r="O129" s="2">
        <v>0.0</v>
      </c>
      <c r="P129" s="2">
        <v>237.0</v>
      </c>
      <c r="Q129" s="2">
        <v>97.0</v>
      </c>
      <c r="R129" s="2">
        <v>11.0</v>
      </c>
      <c r="S129" s="2">
        <v>9.92136531109626</v>
      </c>
      <c r="T129" s="2">
        <v>6.9290438046058</v>
      </c>
      <c r="U129" s="2">
        <v>0.0</v>
      </c>
      <c r="V129" s="2">
        <v>13.0</v>
      </c>
      <c r="W129" s="2">
        <v>6.0</v>
      </c>
      <c r="X129" s="2">
        <v>4.0</v>
      </c>
      <c r="Y129" s="2">
        <v>0.0</v>
      </c>
      <c r="Z129" s="2">
        <v>35.0</v>
      </c>
      <c r="AA129" s="2">
        <v>155.0</v>
      </c>
      <c r="AB129" s="2">
        <v>1.0</v>
      </c>
      <c r="AC129" s="2">
        <v>0.0</v>
      </c>
      <c r="AD129" s="2">
        <v>0.0</v>
      </c>
      <c r="AE129" s="2">
        <v>6.0</v>
      </c>
      <c r="AF129" s="2">
        <v>-6.38365318728855</v>
      </c>
      <c r="AG129" s="2">
        <v>0.0</v>
      </c>
      <c r="AH129" s="2">
        <v>5.0</v>
      </c>
      <c r="AI129" s="2">
        <v>4.0</v>
      </c>
      <c r="AJ129" s="2">
        <v>3.0</v>
      </c>
      <c r="AK129" s="2">
        <v>0.0</v>
      </c>
      <c r="AL129" s="2">
        <v>18.0</v>
      </c>
      <c r="AM129" s="2">
        <v>24.0</v>
      </c>
      <c r="AN129" s="2">
        <v>242.0</v>
      </c>
      <c r="AO129" s="2">
        <v>1.0</v>
      </c>
      <c r="AP129" s="2">
        <v>0.0</v>
      </c>
      <c r="AQ129" s="2">
        <v>0.0</v>
      </c>
      <c r="AR129" s="2">
        <v>237.0</v>
      </c>
      <c r="AS129" s="2">
        <v>97.0</v>
      </c>
      <c r="AT129" s="2">
        <v>11.0</v>
      </c>
      <c r="AU129" s="2">
        <v>14.1178276856843</v>
      </c>
      <c r="AV129" s="2">
        <v>0.0</v>
      </c>
      <c r="AW129" s="2">
        <v>13.0</v>
      </c>
      <c r="AX129" s="2">
        <v>6.0</v>
      </c>
      <c r="AY129" s="2">
        <v>4.0</v>
      </c>
      <c r="AZ129" s="2">
        <v>0.0</v>
      </c>
      <c r="BA129" s="2">
        <v>0.0</v>
      </c>
      <c r="BB129" s="2">
        <v>41.0</v>
      </c>
      <c r="BC129" s="2">
        <v>0.0</v>
      </c>
      <c r="BD129" s="2">
        <v>26.0</v>
      </c>
      <c r="BE129" s="2">
        <v>5.0</v>
      </c>
      <c r="BF129" s="2">
        <v>30.0</v>
      </c>
      <c r="BG129" s="2">
        <v>0.0</v>
      </c>
      <c r="BH129" s="2">
        <v>6.0</v>
      </c>
      <c r="BI129" s="2">
        <v>36.0</v>
      </c>
      <c r="BJ129" s="2">
        <v>7.0</v>
      </c>
      <c r="BK129" s="2">
        <v>2.0</v>
      </c>
      <c r="BL129" s="2">
        <v>44.0</v>
      </c>
      <c r="BM129" s="2">
        <v>8.0</v>
      </c>
      <c r="BN129" s="2">
        <v>0.0</v>
      </c>
      <c r="BO129" s="2">
        <v>1.0</v>
      </c>
      <c r="BP129" s="2">
        <v>0.0</v>
      </c>
      <c r="BQ129" s="2">
        <v>0.0</v>
      </c>
      <c r="BR129" s="2">
        <v>1.0</v>
      </c>
      <c r="BS129" s="2">
        <v>0.0</v>
      </c>
      <c r="BT129" s="2">
        <v>0.0</v>
      </c>
      <c r="BU129" s="2">
        <v>0.0</v>
      </c>
      <c r="BV129" s="2">
        <v>0.0</v>
      </c>
      <c r="BW129" s="2">
        <v>6.0</v>
      </c>
      <c r="BX129" s="2">
        <v>74.0</v>
      </c>
      <c r="BY129" s="2">
        <v>5.0</v>
      </c>
      <c r="BZ129" s="2">
        <v>2.0</v>
      </c>
      <c r="CA129" s="2">
        <v>0.0</v>
      </c>
      <c r="CB129" s="2">
        <v>0.0</v>
      </c>
      <c r="CC129" s="2">
        <v>2.0</v>
      </c>
      <c r="CD129" s="2">
        <v>1.0</v>
      </c>
      <c r="CE129" s="2">
        <v>2.0</v>
      </c>
      <c r="CF129" s="2">
        <v>10.0</v>
      </c>
      <c r="CG129" s="2">
        <v>4.0</v>
      </c>
      <c r="CH129" s="2">
        <v>103.0</v>
      </c>
      <c r="CI129" s="2">
        <v>3.0</v>
      </c>
      <c r="CJ129" s="2">
        <v>4.0</v>
      </c>
      <c r="CK129" s="2">
        <v>1.0</v>
      </c>
      <c r="CL129" s="2">
        <v>0.0</v>
      </c>
      <c r="CM129" s="2">
        <v>52.0</v>
      </c>
      <c r="CN129" s="2">
        <v>0.75</v>
      </c>
      <c r="CO129" s="2">
        <v>0.0</v>
      </c>
      <c r="CP129" s="2">
        <v>0.0</v>
      </c>
      <c r="CQ129" s="2">
        <v>1.0</v>
      </c>
      <c r="CR129" s="2">
        <v>1.0</v>
      </c>
      <c r="CS129" s="2">
        <v>1.0</v>
      </c>
      <c r="CT129" s="2">
        <v>0.0</v>
      </c>
      <c r="CU129" s="2">
        <v>0.0</v>
      </c>
      <c r="CV129" s="2">
        <v>0.0</v>
      </c>
      <c r="CW129" s="2">
        <v>0.0</v>
      </c>
      <c r="CX129" s="2">
        <v>0.0</v>
      </c>
      <c r="CY129" s="2">
        <v>1.0</v>
      </c>
      <c r="CZ129" s="2">
        <v>0.0</v>
      </c>
      <c r="DA129" s="2" t="s">
        <v>2071</v>
      </c>
      <c r="DB129" s="2" t="s">
        <v>2072</v>
      </c>
      <c r="DD129" s="2">
        <v>127.0</v>
      </c>
      <c r="DE129" s="2">
        <v>53.0</v>
      </c>
      <c r="DF129" s="2">
        <v>0.0</v>
      </c>
      <c r="DG129" s="2">
        <v>2.0</v>
      </c>
      <c r="DH129" s="2">
        <v>2.0</v>
      </c>
      <c r="DI129" s="2">
        <v>0.0</v>
      </c>
      <c r="DJ129" s="2">
        <v>0.0</v>
      </c>
      <c r="DK129" s="2">
        <v>1.0</v>
      </c>
      <c r="DL129" s="2">
        <v>1.0</v>
      </c>
      <c r="DM129" s="2">
        <v>1.0</v>
      </c>
      <c r="DN129" s="2">
        <v>0.0</v>
      </c>
      <c r="DO129" s="2">
        <v>0.0</v>
      </c>
      <c r="DP129" s="2">
        <v>52.0</v>
      </c>
      <c r="DQ129" s="2">
        <v>3.0</v>
      </c>
      <c r="DR129" s="2">
        <v>0.0</v>
      </c>
      <c r="DS129" s="2">
        <v>54.0</v>
      </c>
      <c r="DT129" s="2">
        <v>147.0</v>
      </c>
      <c r="DU129" s="2">
        <v>0.0</v>
      </c>
      <c r="DV129" s="2">
        <v>1.0</v>
      </c>
      <c r="DW129" s="2">
        <v>0.0</v>
      </c>
      <c r="DX129" s="2">
        <v>1.0</v>
      </c>
      <c r="DY129" s="2">
        <v>0.0</v>
      </c>
      <c r="DZ129" s="2">
        <v>1.0</v>
      </c>
      <c r="EA129" s="2">
        <v>15.0</v>
      </c>
      <c r="EB129" s="2">
        <v>0.0</v>
      </c>
      <c r="EC129" s="2">
        <v>112.0</v>
      </c>
      <c r="EE129" s="2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2">
        <v>2025.0</v>
      </c>
      <c r="B130" s="2">
        <v>4.0</v>
      </c>
      <c r="C130" s="2" t="s">
        <v>246</v>
      </c>
      <c r="D130" s="2" t="s">
        <v>390</v>
      </c>
      <c r="E130" s="2" t="s">
        <v>698</v>
      </c>
      <c r="F130" s="2" t="s">
        <v>141</v>
      </c>
      <c r="G130" s="2">
        <v>22.0</v>
      </c>
      <c r="H130" s="2">
        <v>38.0</v>
      </c>
      <c r="I130" s="2">
        <v>309.0</v>
      </c>
      <c r="J130" s="2">
        <v>2.0</v>
      </c>
      <c r="K130" s="2">
        <v>2.0</v>
      </c>
      <c r="L130" s="2">
        <v>1.0</v>
      </c>
      <c r="M130" s="2">
        <v>-3.0</v>
      </c>
      <c r="N130" s="2">
        <v>1.0</v>
      </c>
      <c r="O130" s="2">
        <v>1.0</v>
      </c>
      <c r="P130" s="2">
        <v>306.0</v>
      </c>
      <c r="Q130" s="2">
        <v>138.0</v>
      </c>
      <c r="R130" s="2">
        <v>17.0</v>
      </c>
      <c r="S130" s="2">
        <v>3.37196763581114</v>
      </c>
      <c r="T130" s="2">
        <v>-8.32910666594634</v>
      </c>
      <c r="U130" s="2">
        <v>1.0</v>
      </c>
      <c r="V130" s="2">
        <v>15.0</v>
      </c>
      <c r="W130" s="2">
        <v>8.0</v>
      </c>
      <c r="X130" s="2">
        <v>6.0</v>
      </c>
      <c r="Y130" s="2">
        <v>0.0</v>
      </c>
      <c r="Z130" s="2">
        <v>24.0</v>
      </c>
      <c r="AA130" s="2">
        <v>83.0</v>
      </c>
      <c r="AB130" s="2">
        <v>0.0</v>
      </c>
      <c r="AC130" s="2">
        <v>0.0</v>
      </c>
      <c r="AD130" s="2">
        <v>0.0</v>
      </c>
      <c r="AE130" s="2">
        <v>3.0</v>
      </c>
      <c r="AF130" s="2">
        <v>-2.64133586810203</v>
      </c>
      <c r="AG130" s="2">
        <v>0.0</v>
      </c>
      <c r="AH130" s="2">
        <v>2.0</v>
      </c>
      <c r="AI130" s="2">
        <v>0.0</v>
      </c>
      <c r="AJ130" s="2">
        <v>0.0</v>
      </c>
      <c r="AK130" s="2">
        <v>0.0</v>
      </c>
      <c r="AL130" s="2">
        <v>22.0</v>
      </c>
      <c r="AM130" s="2">
        <v>37.0</v>
      </c>
      <c r="AN130" s="2">
        <v>309.0</v>
      </c>
      <c r="AO130" s="2">
        <v>2.0</v>
      </c>
      <c r="AP130" s="2">
        <v>2.0</v>
      </c>
      <c r="AQ130" s="2">
        <v>1.0</v>
      </c>
      <c r="AR130" s="2">
        <v>306.0</v>
      </c>
      <c r="AS130" s="2">
        <v>138.0</v>
      </c>
      <c r="AT130" s="2">
        <v>17.0</v>
      </c>
      <c r="AU130" s="2">
        <v>3.53000845348216</v>
      </c>
      <c r="AV130" s="2">
        <v>1.0</v>
      </c>
      <c r="AW130" s="2">
        <v>15.0</v>
      </c>
      <c r="AX130" s="2">
        <v>8.0</v>
      </c>
      <c r="AY130" s="2">
        <v>6.0</v>
      </c>
      <c r="AZ130" s="2">
        <v>0.0</v>
      </c>
      <c r="BA130" s="2">
        <v>0.0</v>
      </c>
      <c r="BB130" s="2">
        <v>38.0</v>
      </c>
      <c r="BC130" s="2">
        <v>2.0</v>
      </c>
      <c r="BD130" s="2">
        <v>26.0</v>
      </c>
      <c r="BE130" s="2">
        <v>6.0</v>
      </c>
      <c r="BF130" s="2">
        <v>8.0</v>
      </c>
      <c r="BG130" s="2">
        <v>1.0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2.0</v>
      </c>
      <c r="BN130" s="2">
        <v>0.0</v>
      </c>
      <c r="BO130" s="2">
        <v>0.0</v>
      </c>
      <c r="BP130" s="2">
        <v>0.0</v>
      </c>
      <c r="BQ130" s="2">
        <v>0.0</v>
      </c>
      <c r="BR130" s="2">
        <v>1.0</v>
      </c>
      <c r="BS130" s="2">
        <v>0.0</v>
      </c>
      <c r="BT130" s="2">
        <v>0.0</v>
      </c>
      <c r="BU130" s="2">
        <v>0.0</v>
      </c>
      <c r="BV130" s="2">
        <v>0.0</v>
      </c>
      <c r="BW130" s="2">
        <v>5.0</v>
      </c>
      <c r="BX130" s="2">
        <v>54.0</v>
      </c>
      <c r="BY130" s="2">
        <v>5.0</v>
      </c>
      <c r="BZ130" s="2">
        <v>3.0</v>
      </c>
      <c r="CA130" s="2">
        <v>0.0</v>
      </c>
      <c r="CB130" s="2">
        <v>0.0</v>
      </c>
      <c r="CC130" s="2">
        <v>3.0</v>
      </c>
      <c r="CD130" s="2">
        <v>2.0</v>
      </c>
      <c r="CE130" s="2">
        <v>1.0</v>
      </c>
      <c r="CF130" s="2">
        <v>16.0</v>
      </c>
      <c r="CG130" s="2">
        <v>3.0</v>
      </c>
      <c r="CH130" s="2">
        <v>80.0</v>
      </c>
      <c r="CI130" s="2">
        <v>2.0</v>
      </c>
      <c r="CJ130" s="2">
        <v>2.0</v>
      </c>
      <c r="CK130" s="2">
        <v>0.0</v>
      </c>
      <c r="CL130" s="2">
        <v>0.0</v>
      </c>
      <c r="CM130" s="2">
        <v>26.0</v>
      </c>
      <c r="CN130" s="2">
        <v>1.0</v>
      </c>
      <c r="CO130" s="2">
        <v>0.0</v>
      </c>
      <c r="CP130" s="2">
        <v>2.0</v>
      </c>
      <c r="CQ130" s="2">
        <v>0.0</v>
      </c>
      <c r="CR130" s="2">
        <v>0.0</v>
      </c>
      <c r="CS130" s="2">
        <v>0.0</v>
      </c>
      <c r="CT130" s="2">
        <v>0.0</v>
      </c>
      <c r="CU130" s="2">
        <v>0.0</v>
      </c>
      <c r="CV130" s="2">
        <v>0.0</v>
      </c>
      <c r="CW130" s="2">
        <v>0.0</v>
      </c>
      <c r="CX130" s="2">
        <v>0.0</v>
      </c>
      <c r="CY130" s="2">
        <v>0.0</v>
      </c>
      <c r="CZ130" s="2">
        <v>0.0</v>
      </c>
      <c r="DA130" s="2" t="s">
        <v>2073</v>
      </c>
      <c r="DD130" s="2">
        <v>49.0</v>
      </c>
      <c r="DE130" s="2">
        <v>0.0</v>
      </c>
      <c r="DF130" s="2">
        <v>0.0</v>
      </c>
      <c r="DG130" s="2">
        <v>1.0</v>
      </c>
      <c r="DH130" s="2">
        <v>1.0</v>
      </c>
      <c r="DI130" s="2">
        <v>0.0</v>
      </c>
      <c r="DJ130" s="2">
        <v>0.0</v>
      </c>
      <c r="DK130" s="2">
        <v>1.0</v>
      </c>
      <c r="DL130" s="2">
        <v>0.0</v>
      </c>
      <c r="DM130" s="2">
        <v>0.0</v>
      </c>
      <c r="DN130" s="2">
        <v>0.0</v>
      </c>
      <c r="DO130" s="2">
        <v>0.0</v>
      </c>
      <c r="DP130" s="2">
        <v>0.0</v>
      </c>
      <c r="DQ130" s="2">
        <v>2.0</v>
      </c>
      <c r="DR130" s="2">
        <v>0.0</v>
      </c>
      <c r="DS130" s="2">
        <v>51.0</v>
      </c>
      <c r="DT130" s="2">
        <v>91.0</v>
      </c>
      <c r="DU130" s="2">
        <v>0.0</v>
      </c>
      <c r="DV130" s="2">
        <v>0.0</v>
      </c>
      <c r="DW130" s="2">
        <v>0.0</v>
      </c>
      <c r="DX130" s="2">
        <v>0.0</v>
      </c>
      <c r="DY130" s="2">
        <v>1.0</v>
      </c>
      <c r="DZ130" s="2">
        <v>1.0</v>
      </c>
      <c r="EA130" s="2">
        <v>87.0</v>
      </c>
      <c r="EB130" s="2">
        <v>1.0</v>
      </c>
      <c r="EC130" s="2">
        <v>4.0</v>
      </c>
      <c r="EE130" s="2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2">
        <v>2025.0</v>
      </c>
      <c r="B131" s="2">
        <v>4.0</v>
      </c>
      <c r="C131" s="2" t="s">
        <v>150</v>
      </c>
      <c r="D131" s="2" t="s">
        <v>390</v>
      </c>
      <c r="E131" s="2" t="s">
        <v>694</v>
      </c>
      <c r="F131" s="2" t="s">
        <v>147</v>
      </c>
      <c r="G131" s="2">
        <v>22.0</v>
      </c>
      <c r="H131" s="2">
        <v>40.0</v>
      </c>
      <c r="I131" s="2">
        <v>289.0</v>
      </c>
      <c r="J131" s="2">
        <v>2.0</v>
      </c>
      <c r="K131" s="2">
        <v>1.0</v>
      </c>
      <c r="L131" s="2">
        <v>2.0</v>
      </c>
      <c r="M131" s="2">
        <v>-17.0</v>
      </c>
      <c r="N131" s="2">
        <v>1.0</v>
      </c>
      <c r="O131" s="2">
        <v>0.0</v>
      </c>
      <c r="P131" s="2">
        <v>319.0</v>
      </c>
      <c r="Q131" s="2">
        <v>199.0</v>
      </c>
      <c r="R131" s="2">
        <v>7.0</v>
      </c>
      <c r="S131" s="2">
        <v>-5.43932639227223</v>
      </c>
      <c r="T131" s="2">
        <v>-10.1719166223819</v>
      </c>
      <c r="U131" s="2">
        <v>0.0</v>
      </c>
      <c r="V131" s="2">
        <v>7.0</v>
      </c>
      <c r="W131" s="2">
        <v>4.0</v>
      </c>
      <c r="X131" s="2">
        <v>2.0</v>
      </c>
      <c r="Y131" s="2">
        <v>2.0</v>
      </c>
      <c r="Z131" s="2">
        <v>26.0</v>
      </c>
      <c r="AA131" s="2">
        <v>104.0</v>
      </c>
      <c r="AB131" s="2">
        <v>0.0</v>
      </c>
      <c r="AC131" s="2">
        <v>1.0</v>
      </c>
      <c r="AD131" s="2">
        <v>1.0</v>
      </c>
      <c r="AE131" s="2">
        <v>5.0</v>
      </c>
      <c r="AF131" s="2">
        <v>-4.50552844302729</v>
      </c>
      <c r="AG131" s="2">
        <v>0.0</v>
      </c>
      <c r="AH131" s="2">
        <v>1.0</v>
      </c>
      <c r="AI131" s="2">
        <v>1.0</v>
      </c>
      <c r="AJ131" s="2">
        <v>0.0</v>
      </c>
      <c r="AK131" s="2">
        <v>0.0</v>
      </c>
      <c r="AL131" s="2">
        <v>22.0</v>
      </c>
      <c r="AM131" s="2">
        <v>39.0</v>
      </c>
      <c r="AN131" s="2">
        <v>289.0</v>
      </c>
      <c r="AO131" s="2">
        <v>2.0</v>
      </c>
      <c r="AP131" s="2">
        <v>0.0</v>
      </c>
      <c r="AQ131" s="2">
        <v>0.0</v>
      </c>
      <c r="AR131" s="2">
        <v>319.0</v>
      </c>
      <c r="AS131" s="2">
        <v>199.0</v>
      </c>
      <c r="AT131" s="2">
        <v>7.0</v>
      </c>
      <c r="AU131" s="2">
        <v>-2.43905412608997</v>
      </c>
      <c r="AV131" s="2">
        <v>0.0</v>
      </c>
      <c r="AW131" s="2">
        <v>7.0</v>
      </c>
      <c r="AX131" s="2">
        <v>4.0</v>
      </c>
      <c r="AY131" s="2">
        <v>2.0</v>
      </c>
      <c r="AZ131" s="2">
        <v>2.0</v>
      </c>
      <c r="BA131" s="2">
        <v>0.0</v>
      </c>
      <c r="BB131" s="2">
        <v>43.0</v>
      </c>
      <c r="BC131" s="2">
        <v>2.0</v>
      </c>
      <c r="BD131" s="2">
        <v>16.0</v>
      </c>
      <c r="BE131" s="2">
        <v>11.0</v>
      </c>
      <c r="BF131" s="2">
        <v>84.0</v>
      </c>
      <c r="BG131" s="2">
        <v>1.0</v>
      </c>
      <c r="BH131" s="2">
        <v>2.0</v>
      </c>
      <c r="BI131" s="2">
        <v>18.0</v>
      </c>
      <c r="BJ131" s="2">
        <v>3.0</v>
      </c>
      <c r="BK131" s="2">
        <v>0.0</v>
      </c>
      <c r="BL131" s="2">
        <v>0.0</v>
      </c>
      <c r="BM131" s="2">
        <v>5.0</v>
      </c>
      <c r="BN131" s="2">
        <v>0.0</v>
      </c>
      <c r="BO131" s="2">
        <v>0.0</v>
      </c>
      <c r="BP131" s="2">
        <v>1.0</v>
      </c>
      <c r="BQ131" s="2">
        <v>0.0</v>
      </c>
      <c r="BR131" s="2">
        <v>1.0</v>
      </c>
      <c r="BS131" s="2">
        <v>0.0</v>
      </c>
      <c r="BT131" s="2">
        <v>0.0</v>
      </c>
      <c r="BU131" s="2">
        <v>0.0</v>
      </c>
      <c r="BV131" s="2">
        <v>0.0</v>
      </c>
      <c r="BW131" s="2">
        <v>5.0</v>
      </c>
      <c r="BX131" s="2">
        <v>40.0</v>
      </c>
      <c r="BY131" s="2">
        <v>6.0</v>
      </c>
      <c r="BZ131" s="2">
        <v>2.0</v>
      </c>
      <c r="CA131" s="2">
        <v>0.0</v>
      </c>
      <c r="CB131" s="2">
        <v>0.0</v>
      </c>
      <c r="CC131" s="2">
        <v>2.0</v>
      </c>
      <c r="CD131" s="2">
        <v>1.0</v>
      </c>
      <c r="CE131" s="2">
        <v>6.0</v>
      </c>
      <c r="CF131" s="2">
        <v>100.0</v>
      </c>
      <c r="CG131" s="2">
        <v>5.0</v>
      </c>
      <c r="CH131" s="2">
        <v>96.0</v>
      </c>
      <c r="CI131" s="2">
        <v>3.0</v>
      </c>
      <c r="CJ131" s="2">
        <v>3.0</v>
      </c>
      <c r="CK131" s="2">
        <v>0.0</v>
      </c>
      <c r="CL131" s="2">
        <v>0.0</v>
      </c>
      <c r="CM131" s="2">
        <v>65.0</v>
      </c>
      <c r="CN131" s="2">
        <v>1.0</v>
      </c>
      <c r="CO131" s="2">
        <v>0.0</v>
      </c>
      <c r="CP131" s="2">
        <v>0.0</v>
      </c>
      <c r="CQ131" s="2">
        <v>0.0</v>
      </c>
      <c r="CR131" s="2">
        <v>1.0</v>
      </c>
      <c r="CS131" s="2">
        <v>1.0</v>
      </c>
      <c r="CT131" s="2">
        <v>1.0</v>
      </c>
      <c r="CU131" s="2">
        <v>0.0</v>
      </c>
      <c r="CV131" s="2">
        <v>0.0</v>
      </c>
      <c r="CW131" s="2">
        <v>0.0</v>
      </c>
      <c r="CX131" s="2">
        <v>0.0</v>
      </c>
      <c r="CY131" s="2">
        <v>0.0</v>
      </c>
      <c r="CZ131" s="2">
        <v>0.0</v>
      </c>
      <c r="DA131" s="2" t="s">
        <v>2074</v>
      </c>
      <c r="DD131" s="2">
        <v>165.0</v>
      </c>
      <c r="DE131" s="2">
        <v>0.0</v>
      </c>
      <c r="DF131" s="2">
        <v>0.0</v>
      </c>
      <c r="DG131" s="2">
        <v>2.0</v>
      </c>
      <c r="DH131" s="2">
        <v>2.0</v>
      </c>
      <c r="DI131" s="2">
        <v>0.0</v>
      </c>
      <c r="DJ131" s="2">
        <v>0.0</v>
      </c>
      <c r="DK131" s="2">
        <v>1.0</v>
      </c>
      <c r="DL131" s="2">
        <v>0.0</v>
      </c>
      <c r="DM131" s="2">
        <v>0.0</v>
      </c>
      <c r="DN131" s="2">
        <v>0.0</v>
      </c>
      <c r="DO131" s="2">
        <v>0.0</v>
      </c>
      <c r="DP131" s="2">
        <v>0.0</v>
      </c>
      <c r="DQ131" s="2">
        <v>3.0</v>
      </c>
      <c r="DR131" s="2">
        <v>1.0</v>
      </c>
      <c r="DS131" s="2">
        <v>52.0</v>
      </c>
      <c r="DT131" s="2">
        <v>110.0</v>
      </c>
      <c r="DU131" s="2">
        <v>0.0</v>
      </c>
      <c r="DV131" s="2">
        <v>1.0</v>
      </c>
      <c r="DW131" s="2">
        <v>0.0</v>
      </c>
      <c r="DX131" s="2">
        <v>0.0</v>
      </c>
      <c r="DY131" s="2">
        <v>1.0</v>
      </c>
      <c r="DZ131" s="2">
        <v>1.0</v>
      </c>
      <c r="EA131" s="2">
        <v>3.0</v>
      </c>
      <c r="EB131" s="2">
        <v>0.0</v>
      </c>
      <c r="EC131" s="2">
        <v>107.0</v>
      </c>
      <c r="EE131" s="2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2">
        <v>2025.0</v>
      </c>
      <c r="B132" s="2">
        <v>4.0</v>
      </c>
      <c r="C132" s="2" t="s">
        <v>250</v>
      </c>
      <c r="D132" s="2" t="s">
        <v>390</v>
      </c>
      <c r="E132" s="2" t="s">
        <v>687</v>
      </c>
      <c r="F132" s="2" t="s">
        <v>140</v>
      </c>
      <c r="G132" s="2">
        <v>10.0</v>
      </c>
      <c r="H132" s="2">
        <v>26.0</v>
      </c>
      <c r="I132" s="2">
        <v>108.0</v>
      </c>
      <c r="J132" s="2">
        <v>0.0</v>
      </c>
      <c r="K132" s="2">
        <v>1.0</v>
      </c>
      <c r="L132" s="2">
        <v>2.0</v>
      </c>
      <c r="M132" s="2">
        <v>-15.0</v>
      </c>
      <c r="N132" s="2">
        <v>0.0</v>
      </c>
      <c r="O132" s="2">
        <v>0.0</v>
      </c>
      <c r="P132" s="2">
        <v>190.0</v>
      </c>
      <c r="Q132" s="2">
        <v>41.0</v>
      </c>
      <c r="R132" s="2">
        <v>5.0</v>
      </c>
      <c r="S132" s="2">
        <v>-16.6035952671899</v>
      </c>
      <c r="T132" s="2">
        <v>-24.4982151881508</v>
      </c>
      <c r="U132" s="2">
        <v>0.0</v>
      </c>
      <c r="V132" s="2">
        <v>4.0</v>
      </c>
      <c r="W132" s="2">
        <v>2.0</v>
      </c>
      <c r="X132" s="2">
        <v>2.0</v>
      </c>
      <c r="Y132" s="2">
        <v>0.0</v>
      </c>
      <c r="Z132" s="2">
        <v>18.0</v>
      </c>
      <c r="AA132" s="2">
        <v>82.0</v>
      </c>
      <c r="AB132" s="2">
        <v>0.0</v>
      </c>
      <c r="AC132" s="2">
        <v>0.0</v>
      </c>
      <c r="AD132" s="2">
        <v>0.0</v>
      </c>
      <c r="AE132" s="2">
        <v>3.0</v>
      </c>
      <c r="AF132" s="2">
        <v>1.15873321433826</v>
      </c>
      <c r="AG132" s="2">
        <v>0.0</v>
      </c>
      <c r="AH132" s="2">
        <v>4.0</v>
      </c>
      <c r="AI132" s="2">
        <v>2.0</v>
      </c>
      <c r="AJ132" s="2">
        <v>1.0</v>
      </c>
      <c r="AK132" s="2">
        <v>0.0</v>
      </c>
      <c r="AL132" s="2">
        <v>10.0</v>
      </c>
      <c r="AM132" s="2">
        <v>23.0</v>
      </c>
      <c r="AN132" s="2">
        <v>108.0</v>
      </c>
      <c r="AO132" s="2">
        <v>0.0</v>
      </c>
      <c r="AP132" s="2">
        <v>0.0</v>
      </c>
      <c r="AQ132" s="2">
        <v>0.0</v>
      </c>
      <c r="AR132" s="2">
        <v>190.0</v>
      </c>
      <c r="AS132" s="2">
        <v>41.0</v>
      </c>
      <c r="AT132" s="2">
        <v>5.0</v>
      </c>
      <c r="AU132" s="2">
        <v>-11.8127013587745</v>
      </c>
      <c r="AV132" s="2">
        <v>0.0</v>
      </c>
      <c r="AW132" s="2">
        <v>4.0</v>
      </c>
      <c r="AX132" s="2">
        <v>2.0</v>
      </c>
      <c r="AY132" s="2">
        <v>2.0</v>
      </c>
      <c r="AZ132" s="2">
        <v>0.0</v>
      </c>
      <c r="BA132" s="2">
        <v>0.0</v>
      </c>
      <c r="BB132" s="2">
        <v>40.0</v>
      </c>
      <c r="BC132" s="2">
        <v>7.0</v>
      </c>
      <c r="BD132" s="2">
        <v>33.0</v>
      </c>
      <c r="BE132" s="2">
        <v>6.0</v>
      </c>
      <c r="BF132" s="2">
        <v>17.0</v>
      </c>
      <c r="BG132" s="2">
        <v>0.0</v>
      </c>
      <c r="BH132" s="2">
        <v>2.0</v>
      </c>
      <c r="BI132" s="2">
        <v>9.0</v>
      </c>
      <c r="BJ132" s="2">
        <v>5.0</v>
      </c>
      <c r="BK132" s="2">
        <v>0.0</v>
      </c>
      <c r="BL132" s="2">
        <v>0.0</v>
      </c>
      <c r="BM132" s="2">
        <v>1.0</v>
      </c>
      <c r="BN132" s="2">
        <v>0.0</v>
      </c>
      <c r="BO132" s="2">
        <v>0.0</v>
      </c>
      <c r="BP132" s="2">
        <v>0.0</v>
      </c>
      <c r="BQ132" s="2">
        <v>0.0</v>
      </c>
      <c r="BR132" s="2">
        <v>0.0</v>
      </c>
      <c r="BS132" s="2">
        <v>0.0</v>
      </c>
      <c r="BT132" s="2">
        <v>0.0</v>
      </c>
      <c r="BU132" s="2">
        <v>0.0</v>
      </c>
      <c r="BV132" s="2">
        <v>0.0</v>
      </c>
      <c r="BW132" s="2">
        <v>4.0</v>
      </c>
      <c r="BX132" s="2">
        <v>35.0</v>
      </c>
      <c r="BY132" s="2">
        <v>3.0</v>
      </c>
      <c r="BZ132" s="2">
        <v>0.0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6.0</v>
      </c>
      <c r="CH132" s="2">
        <v>141.0</v>
      </c>
      <c r="CI132" s="2">
        <v>0.0</v>
      </c>
      <c r="CJ132" s="2">
        <v>2.0</v>
      </c>
      <c r="CK132" s="2">
        <v>2.0</v>
      </c>
      <c r="CL132" s="2">
        <v>0.0</v>
      </c>
      <c r="CN132" s="2">
        <v>0.0</v>
      </c>
      <c r="CO132" s="2">
        <v>0.0</v>
      </c>
      <c r="CP132" s="2">
        <v>0.0</v>
      </c>
      <c r="CQ132" s="2">
        <v>0.0</v>
      </c>
      <c r="CR132" s="2">
        <v>0.0</v>
      </c>
      <c r="CS132" s="2">
        <v>0.0</v>
      </c>
      <c r="CT132" s="2">
        <v>0.0</v>
      </c>
      <c r="CU132" s="2">
        <v>0.0</v>
      </c>
      <c r="CV132" s="2">
        <v>0.0</v>
      </c>
      <c r="CW132" s="2">
        <v>0.0</v>
      </c>
      <c r="CX132" s="2">
        <v>2.0</v>
      </c>
      <c r="CY132" s="2">
        <v>0.0</v>
      </c>
      <c r="CZ132" s="2">
        <v>0.0</v>
      </c>
      <c r="DB132" s="2" t="s">
        <v>2075</v>
      </c>
      <c r="DD132" s="2">
        <v>0.0</v>
      </c>
      <c r="DE132" s="2">
        <v>84.0</v>
      </c>
      <c r="DF132" s="2">
        <v>0.0</v>
      </c>
      <c r="DG132" s="2">
        <v>0.0</v>
      </c>
      <c r="DH132" s="2">
        <v>0.0</v>
      </c>
      <c r="DI132" s="2">
        <v>0.0</v>
      </c>
      <c r="DJ132" s="2">
        <v>0.0</v>
      </c>
      <c r="DL132" s="2">
        <v>0.0</v>
      </c>
      <c r="DM132" s="2">
        <v>0.0</v>
      </c>
      <c r="DN132" s="2">
        <v>0.0</v>
      </c>
      <c r="DO132" s="2">
        <v>0.0</v>
      </c>
      <c r="DP132" s="2">
        <v>0.0</v>
      </c>
      <c r="DQ132" s="2">
        <v>5.0</v>
      </c>
      <c r="DR132" s="2">
        <v>0.0</v>
      </c>
      <c r="DS132" s="2">
        <v>50.0</v>
      </c>
      <c r="DT132" s="2">
        <v>213.0</v>
      </c>
      <c r="DU132" s="2">
        <v>2.0</v>
      </c>
      <c r="DV132" s="2">
        <v>0.0</v>
      </c>
      <c r="DW132" s="2">
        <v>0.0</v>
      </c>
      <c r="DX132" s="2">
        <v>0.0</v>
      </c>
      <c r="DY132" s="2">
        <v>2.0</v>
      </c>
      <c r="DZ132" s="2">
        <v>3.0</v>
      </c>
      <c r="EA132" s="2">
        <v>15.0</v>
      </c>
      <c r="EB132" s="2">
        <v>0.0</v>
      </c>
      <c r="EC132" s="2">
        <v>198.0</v>
      </c>
      <c r="EE132" s="2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2">
        <v>2025.0</v>
      </c>
      <c r="B133" s="2">
        <v>4.0</v>
      </c>
      <c r="C133" s="2" t="s">
        <v>253</v>
      </c>
      <c r="D133" s="2" t="s">
        <v>390</v>
      </c>
      <c r="E133" s="2" t="s">
        <v>681</v>
      </c>
      <c r="F133" s="2" t="s">
        <v>132</v>
      </c>
      <c r="G133" s="2">
        <v>16.0</v>
      </c>
      <c r="H133" s="2">
        <v>27.0</v>
      </c>
      <c r="I133" s="2">
        <v>156.0</v>
      </c>
      <c r="J133" s="2">
        <v>2.0</v>
      </c>
      <c r="K133" s="2">
        <v>1.0</v>
      </c>
      <c r="L133" s="2">
        <v>2.0</v>
      </c>
      <c r="M133" s="2">
        <v>-9.0</v>
      </c>
      <c r="N133" s="2">
        <v>0.0</v>
      </c>
      <c r="O133" s="2">
        <v>0.0</v>
      </c>
      <c r="P133" s="2">
        <v>286.0</v>
      </c>
      <c r="Q133" s="2">
        <v>23.0</v>
      </c>
      <c r="R133" s="2">
        <v>8.0</v>
      </c>
      <c r="S133" s="2">
        <v>-0.0464042552249568</v>
      </c>
      <c r="T133" s="2">
        <v>3.14320810139179</v>
      </c>
      <c r="U133" s="2">
        <v>1.0</v>
      </c>
      <c r="V133" s="2">
        <v>8.0</v>
      </c>
      <c r="W133" s="2">
        <v>3.0</v>
      </c>
      <c r="X133" s="2">
        <v>1.0</v>
      </c>
      <c r="Y133" s="2">
        <v>0.0</v>
      </c>
      <c r="Z133" s="2">
        <v>22.0</v>
      </c>
      <c r="AA133" s="2">
        <v>147.0</v>
      </c>
      <c r="AB133" s="2">
        <v>0.0</v>
      </c>
      <c r="AC133" s="2">
        <v>0.0</v>
      </c>
      <c r="AD133" s="2">
        <v>0.0</v>
      </c>
      <c r="AE133" s="2">
        <v>7.0</v>
      </c>
      <c r="AF133" s="2">
        <v>4.78420887200628</v>
      </c>
      <c r="AG133" s="2">
        <v>0.0</v>
      </c>
      <c r="AH133" s="2">
        <v>3.0</v>
      </c>
      <c r="AI133" s="2">
        <v>3.0</v>
      </c>
      <c r="AJ133" s="2">
        <v>2.0</v>
      </c>
      <c r="AK133" s="2">
        <v>1.0</v>
      </c>
      <c r="AL133" s="2">
        <v>16.0</v>
      </c>
      <c r="AM133" s="2">
        <v>24.0</v>
      </c>
      <c r="AN133" s="2">
        <v>156.0</v>
      </c>
      <c r="AO133" s="2">
        <v>2.0</v>
      </c>
      <c r="AP133" s="2">
        <v>2.0</v>
      </c>
      <c r="AQ133" s="2">
        <v>0.0</v>
      </c>
      <c r="AR133" s="2">
        <v>286.0</v>
      </c>
      <c r="AS133" s="2">
        <v>23.0</v>
      </c>
      <c r="AT133" s="2">
        <v>8.0</v>
      </c>
      <c r="AU133" s="2">
        <v>5.75091391070941</v>
      </c>
      <c r="AV133" s="2">
        <v>1.0</v>
      </c>
      <c r="AW133" s="2">
        <v>8.0</v>
      </c>
      <c r="AX133" s="2">
        <v>3.0</v>
      </c>
      <c r="AY133" s="2">
        <v>1.0</v>
      </c>
      <c r="AZ133" s="2">
        <v>0.0</v>
      </c>
      <c r="BA133" s="2">
        <v>0.0</v>
      </c>
      <c r="BB133" s="2">
        <v>31.0</v>
      </c>
      <c r="BC133" s="2">
        <v>4.0</v>
      </c>
      <c r="BD133" s="2">
        <v>42.0</v>
      </c>
      <c r="BE133" s="2">
        <v>7.0</v>
      </c>
      <c r="BF133" s="2">
        <v>27.0</v>
      </c>
      <c r="BG133" s="2">
        <v>2.0</v>
      </c>
      <c r="BH133" s="2">
        <v>1.0</v>
      </c>
      <c r="BI133" s="2">
        <v>6.0</v>
      </c>
      <c r="BJ133" s="2">
        <v>2.0</v>
      </c>
      <c r="BK133" s="2">
        <v>1.0</v>
      </c>
      <c r="BL133" s="2">
        <v>23.0</v>
      </c>
      <c r="BM133" s="2">
        <v>1.0</v>
      </c>
      <c r="BN133" s="2">
        <v>0.0</v>
      </c>
      <c r="BO133" s="2">
        <v>2.0</v>
      </c>
      <c r="BP133" s="2">
        <v>0.0</v>
      </c>
      <c r="BQ133" s="2">
        <v>0.0</v>
      </c>
      <c r="BR133" s="2">
        <v>3.0</v>
      </c>
      <c r="BS133" s="2">
        <v>3.0</v>
      </c>
      <c r="BT133" s="2">
        <v>0.0</v>
      </c>
      <c r="BU133" s="2">
        <v>0.0</v>
      </c>
      <c r="BV133" s="2">
        <v>0.0</v>
      </c>
      <c r="BW133" s="2">
        <v>6.0</v>
      </c>
      <c r="BX133" s="2">
        <v>50.0</v>
      </c>
      <c r="BY133" s="2">
        <v>4.0</v>
      </c>
      <c r="BZ133" s="2">
        <v>2.0</v>
      </c>
      <c r="CA133" s="2">
        <v>2.0</v>
      </c>
      <c r="CB133" s="2">
        <v>1.0</v>
      </c>
      <c r="CC133" s="2">
        <v>4.0</v>
      </c>
      <c r="CD133" s="2">
        <v>0.0</v>
      </c>
      <c r="CE133" s="2">
        <v>2.0</v>
      </c>
      <c r="CF133" s="2">
        <v>0.0</v>
      </c>
      <c r="CG133" s="2">
        <v>6.0</v>
      </c>
      <c r="CH133" s="2">
        <v>199.0</v>
      </c>
      <c r="CI133" s="2">
        <v>4.0</v>
      </c>
      <c r="CJ133" s="2">
        <v>4.0</v>
      </c>
      <c r="CK133" s="2">
        <v>0.0</v>
      </c>
      <c r="CL133" s="2">
        <v>0.0</v>
      </c>
      <c r="CM133" s="2">
        <v>52.0</v>
      </c>
      <c r="CN133" s="2">
        <v>1.0</v>
      </c>
      <c r="CO133" s="2">
        <v>0.0</v>
      </c>
      <c r="CP133" s="2">
        <v>0.0</v>
      </c>
      <c r="CQ133" s="2">
        <v>0.0</v>
      </c>
      <c r="CR133" s="2">
        <v>3.0</v>
      </c>
      <c r="CS133" s="2">
        <v>1.0</v>
      </c>
      <c r="CT133" s="2">
        <v>0.0</v>
      </c>
      <c r="CU133" s="2">
        <v>0.0</v>
      </c>
      <c r="CV133" s="2">
        <v>0.0</v>
      </c>
      <c r="CW133" s="2">
        <v>0.0</v>
      </c>
      <c r="CX133" s="2">
        <v>0.0</v>
      </c>
      <c r="CY133" s="2">
        <v>0.0</v>
      </c>
      <c r="CZ133" s="2">
        <v>0.0</v>
      </c>
      <c r="DA133" s="2" t="s">
        <v>2076</v>
      </c>
      <c r="DD133" s="2">
        <v>178.0</v>
      </c>
      <c r="DE133" s="2">
        <v>0.0</v>
      </c>
      <c r="DF133" s="2">
        <v>0.0</v>
      </c>
      <c r="DG133" s="2">
        <v>1.0</v>
      </c>
      <c r="DH133" s="2">
        <v>1.0</v>
      </c>
      <c r="DI133" s="2">
        <v>0.0</v>
      </c>
      <c r="DJ133" s="2">
        <v>0.0</v>
      </c>
      <c r="DK133" s="2">
        <v>1.0</v>
      </c>
      <c r="DL133" s="2">
        <v>0.0</v>
      </c>
      <c r="DM133" s="2">
        <v>0.0</v>
      </c>
      <c r="DN133" s="2">
        <v>0.0</v>
      </c>
      <c r="DO133" s="2">
        <v>0.0</v>
      </c>
      <c r="DP133" s="2">
        <v>0.0</v>
      </c>
      <c r="DQ133" s="2">
        <v>2.0</v>
      </c>
      <c r="DR133" s="2">
        <v>0.0</v>
      </c>
      <c r="DS133" s="2">
        <v>47.0</v>
      </c>
      <c r="DT133" s="2">
        <v>89.0</v>
      </c>
      <c r="DU133" s="2">
        <v>0.0</v>
      </c>
      <c r="DV133" s="2">
        <v>0.0</v>
      </c>
      <c r="DW133" s="2">
        <v>0.0</v>
      </c>
      <c r="DX133" s="2">
        <v>0.0</v>
      </c>
      <c r="DY133" s="2">
        <v>1.0</v>
      </c>
      <c r="DZ133" s="2">
        <v>1.0</v>
      </c>
      <c r="EA133" s="2">
        <v>0.0</v>
      </c>
      <c r="EB133" s="2">
        <v>0.0</v>
      </c>
      <c r="EC133" s="2">
        <v>89.0</v>
      </c>
      <c r="EE133" s="2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2">
        <v>2025.0</v>
      </c>
      <c r="B134" s="2">
        <v>5.0</v>
      </c>
      <c r="C134" s="2" t="s">
        <v>178</v>
      </c>
      <c r="D134" s="2" t="s">
        <v>390</v>
      </c>
      <c r="E134" s="2" t="s">
        <v>734</v>
      </c>
      <c r="F134" s="2" t="s">
        <v>250</v>
      </c>
      <c r="G134" s="2">
        <v>23.0</v>
      </c>
      <c r="H134" s="2">
        <v>32.0</v>
      </c>
      <c r="I134" s="2">
        <v>220.0</v>
      </c>
      <c r="J134" s="2">
        <v>0.0</v>
      </c>
      <c r="K134" s="2">
        <v>0.0</v>
      </c>
      <c r="L134" s="2">
        <v>3.0</v>
      </c>
      <c r="M134" s="2">
        <v>-28.0</v>
      </c>
      <c r="N134" s="2">
        <v>0.0</v>
      </c>
      <c r="O134" s="2">
        <v>0.0</v>
      </c>
      <c r="P134" s="2">
        <v>209.0</v>
      </c>
      <c r="Q134" s="2">
        <v>115.0</v>
      </c>
      <c r="R134" s="2">
        <v>8.0</v>
      </c>
      <c r="S134" s="2">
        <v>1.19990483112633</v>
      </c>
      <c r="T134" s="2">
        <v>5.62354405721029</v>
      </c>
      <c r="U134" s="2">
        <v>0.0</v>
      </c>
      <c r="V134" s="2">
        <v>9.0</v>
      </c>
      <c r="W134" s="2">
        <v>4.0</v>
      </c>
      <c r="X134" s="2">
        <v>2.0</v>
      </c>
      <c r="Y134" s="2">
        <v>1.0</v>
      </c>
      <c r="Z134" s="2">
        <v>29.0</v>
      </c>
      <c r="AA134" s="2">
        <v>168.0</v>
      </c>
      <c r="AB134" s="2">
        <v>3.0</v>
      </c>
      <c r="AC134" s="2">
        <v>2.0</v>
      </c>
      <c r="AD134" s="2">
        <v>2.0</v>
      </c>
      <c r="AE134" s="2">
        <v>7.0</v>
      </c>
      <c r="AF134" s="2">
        <v>-5.9528874795069</v>
      </c>
      <c r="AG134" s="2">
        <v>0.0</v>
      </c>
      <c r="AH134" s="2">
        <v>5.0</v>
      </c>
      <c r="AI134" s="2">
        <v>2.0</v>
      </c>
      <c r="AJ134" s="2">
        <v>1.0</v>
      </c>
      <c r="AK134" s="2">
        <v>1.0</v>
      </c>
      <c r="AL134" s="2">
        <v>23.0</v>
      </c>
      <c r="AM134" s="2">
        <v>30.0</v>
      </c>
      <c r="AN134" s="2">
        <v>220.0</v>
      </c>
      <c r="AO134" s="2">
        <v>0.0</v>
      </c>
      <c r="AP134" s="2">
        <v>0.0</v>
      </c>
      <c r="AQ134" s="2">
        <v>0.0</v>
      </c>
      <c r="AR134" s="2">
        <v>209.0</v>
      </c>
      <c r="AS134" s="2">
        <v>115.0</v>
      </c>
      <c r="AT134" s="2">
        <v>8.0</v>
      </c>
      <c r="AU134" s="2">
        <v>8.77500418707496</v>
      </c>
      <c r="AV134" s="2">
        <v>0.0</v>
      </c>
      <c r="AW134" s="2">
        <v>9.0</v>
      </c>
      <c r="AX134" s="2">
        <v>4.0</v>
      </c>
      <c r="AY134" s="2">
        <v>2.0</v>
      </c>
      <c r="AZ134" s="2">
        <v>1.0</v>
      </c>
      <c r="BA134" s="2">
        <v>0.0</v>
      </c>
      <c r="BB134" s="2">
        <v>36.0</v>
      </c>
      <c r="BC134" s="2">
        <v>0.0</v>
      </c>
      <c r="BD134" s="2">
        <v>22.0</v>
      </c>
      <c r="BE134" s="2">
        <v>4.0</v>
      </c>
      <c r="BF134" s="2">
        <v>19.0</v>
      </c>
      <c r="BG134" s="2">
        <v>1.0</v>
      </c>
      <c r="BH134" s="2">
        <v>2.0</v>
      </c>
      <c r="BI134" s="2">
        <v>16.0</v>
      </c>
      <c r="BJ134" s="2">
        <v>4.0</v>
      </c>
      <c r="BK134" s="2">
        <v>1.0</v>
      </c>
      <c r="BL134" s="2">
        <v>0.0</v>
      </c>
      <c r="BM134" s="2">
        <v>8.0</v>
      </c>
      <c r="BN134" s="2">
        <v>0.0</v>
      </c>
      <c r="BO134" s="2">
        <v>1.0</v>
      </c>
      <c r="BP134" s="2">
        <v>0.0</v>
      </c>
      <c r="BQ134" s="2">
        <v>0.0</v>
      </c>
      <c r="BR134" s="2">
        <v>0.0</v>
      </c>
      <c r="BS134" s="2">
        <v>-4.0</v>
      </c>
      <c r="BT134" s="2">
        <v>1.0</v>
      </c>
      <c r="BU134" s="2">
        <v>0.0</v>
      </c>
      <c r="BV134" s="2">
        <v>0.0</v>
      </c>
      <c r="BW134" s="2">
        <v>8.0</v>
      </c>
      <c r="BX134" s="2">
        <v>47.0</v>
      </c>
      <c r="BY134" s="2">
        <v>4.0</v>
      </c>
      <c r="BZ134" s="2">
        <v>0.0</v>
      </c>
      <c r="CA134" s="2">
        <v>3.0</v>
      </c>
      <c r="CB134" s="2">
        <v>1.0</v>
      </c>
      <c r="CC134" s="2">
        <v>3.0</v>
      </c>
      <c r="CD134" s="2">
        <v>3.0</v>
      </c>
      <c r="CE134" s="2">
        <v>2.0</v>
      </c>
      <c r="CF134" s="2">
        <v>16.0</v>
      </c>
      <c r="CG134" s="2">
        <v>4.0</v>
      </c>
      <c r="CH134" s="2">
        <v>90.0</v>
      </c>
      <c r="CI134" s="2">
        <v>0.0</v>
      </c>
      <c r="CJ134" s="2">
        <v>0.0</v>
      </c>
      <c r="CK134" s="2">
        <v>0.0</v>
      </c>
      <c r="CL134" s="2">
        <v>0.0</v>
      </c>
      <c r="CO134" s="2">
        <v>0.0</v>
      </c>
      <c r="CP134" s="2">
        <v>0.0</v>
      </c>
      <c r="CQ134" s="2">
        <v>0.0</v>
      </c>
      <c r="CR134" s="2">
        <v>0.0</v>
      </c>
      <c r="CS134" s="2">
        <v>0.0</v>
      </c>
      <c r="CT134" s="2">
        <v>0.0</v>
      </c>
      <c r="CU134" s="2">
        <v>0.0</v>
      </c>
      <c r="CV134" s="2">
        <v>0.0</v>
      </c>
      <c r="CW134" s="2">
        <v>0.0</v>
      </c>
      <c r="CX134" s="2">
        <v>0.0</v>
      </c>
      <c r="CY134" s="2">
        <v>0.0</v>
      </c>
      <c r="CZ134" s="2">
        <v>0.0</v>
      </c>
      <c r="DD134" s="2">
        <v>0.0</v>
      </c>
      <c r="DE134" s="2">
        <v>0.0</v>
      </c>
      <c r="DF134" s="2">
        <v>0.0</v>
      </c>
      <c r="DG134" s="2">
        <v>3.0</v>
      </c>
      <c r="DH134" s="2">
        <v>3.0</v>
      </c>
      <c r="DI134" s="2">
        <v>0.0</v>
      </c>
      <c r="DJ134" s="2">
        <v>0.0</v>
      </c>
      <c r="DK134" s="2">
        <v>1.0</v>
      </c>
      <c r="DL134" s="2">
        <v>0.0</v>
      </c>
      <c r="DM134" s="2">
        <v>0.0</v>
      </c>
      <c r="DN134" s="2">
        <v>0.0</v>
      </c>
      <c r="DO134" s="2">
        <v>0.0</v>
      </c>
      <c r="DP134" s="2">
        <v>0.0</v>
      </c>
      <c r="DQ134" s="2">
        <v>7.0</v>
      </c>
      <c r="DR134" s="2">
        <v>0.0</v>
      </c>
      <c r="DS134" s="2">
        <v>63.0</v>
      </c>
      <c r="DT134" s="2">
        <v>367.0</v>
      </c>
      <c r="DU134" s="2">
        <v>2.0</v>
      </c>
      <c r="DV134" s="2">
        <v>0.0</v>
      </c>
      <c r="DW134" s="2">
        <v>0.0</v>
      </c>
      <c r="DX134" s="2">
        <v>1.0</v>
      </c>
      <c r="DY134" s="2">
        <v>3.0</v>
      </c>
      <c r="DZ134" s="2">
        <v>3.0</v>
      </c>
      <c r="EA134" s="2">
        <v>33.0</v>
      </c>
      <c r="EB134" s="2">
        <v>0.0</v>
      </c>
      <c r="EC134" s="2">
        <v>314.0</v>
      </c>
      <c r="EE134" s="2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2">
        <v>2025.0</v>
      </c>
      <c r="B135" s="2">
        <v>5.0</v>
      </c>
      <c r="C135" s="2" t="s">
        <v>148</v>
      </c>
      <c r="D135" s="2" t="s">
        <v>390</v>
      </c>
      <c r="E135" s="2" t="s">
        <v>720</v>
      </c>
      <c r="F135" s="2" t="s">
        <v>140</v>
      </c>
      <c r="G135" s="2">
        <v>14.0</v>
      </c>
      <c r="H135" s="2">
        <v>20.0</v>
      </c>
      <c r="I135" s="2">
        <v>179.0</v>
      </c>
      <c r="J135" s="2">
        <v>0.0</v>
      </c>
      <c r="K135" s="2">
        <v>3.0</v>
      </c>
      <c r="L135" s="2">
        <v>1.0</v>
      </c>
      <c r="M135" s="2">
        <v>-16.0</v>
      </c>
      <c r="N135" s="2">
        <v>0.0</v>
      </c>
      <c r="O135" s="2">
        <v>0.0</v>
      </c>
      <c r="P135" s="2">
        <v>163.0</v>
      </c>
      <c r="Q135" s="2">
        <v>83.0</v>
      </c>
      <c r="R135" s="2">
        <v>7.0</v>
      </c>
      <c r="S135" s="2">
        <v>-7.89495649192291</v>
      </c>
      <c r="T135" s="2">
        <v>-0.317712277173996</v>
      </c>
      <c r="U135" s="2">
        <v>0.0</v>
      </c>
      <c r="V135" s="2">
        <v>7.0</v>
      </c>
      <c r="W135" s="2">
        <v>3.0</v>
      </c>
      <c r="X135" s="2">
        <v>2.0</v>
      </c>
      <c r="Y135" s="2">
        <v>1.0</v>
      </c>
      <c r="Z135" s="2">
        <v>19.0</v>
      </c>
      <c r="AA135" s="2">
        <v>44.0</v>
      </c>
      <c r="AB135" s="2">
        <v>1.0</v>
      </c>
      <c r="AC135" s="2">
        <v>0.0</v>
      </c>
      <c r="AD135" s="2">
        <v>0.0</v>
      </c>
      <c r="AE135" s="2">
        <v>4.0</v>
      </c>
      <c r="AF135" s="2">
        <v>-5.53475566243287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14.0</v>
      </c>
      <c r="AM135" s="2">
        <v>20.0</v>
      </c>
      <c r="AN135" s="2">
        <v>179.0</v>
      </c>
      <c r="AO135" s="2">
        <v>0.0</v>
      </c>
      <c r="AP135" s="2">
        <v>0.0</v>
      </c>
      <c r="AQ135" s="2">
        <v>0.0</v>
      </c>
      <c r="AR135" s="2">
        <v>163.0</v>
      </c>
      <c r="AS135" s="2">
        <v>83.0</v>
      </c>
      <c r="AT135" s="2">
        <v>7.0</v>
      </c>
      <c r="AU135" s="2">
        <v>-5.51874842451694</v>
      </c>
      <c r="AV135" s="2">
        <v>0.0</v>
      </c>
      <c r="AW135" s="2">
        <v>7.0</v>
      </c>
      <c r="AX135" s="2">
        <v>3.0</v>
      </c>
      <c r="AY135" s="2">
        <v>2.0</v>
      </c>
      <c r="AZ135" s="2">
        <v>1.0</v>
      </c>
      <c r="BA135" s="2">
        <v>0.0</v>
      </c>
      <c r="BB135" s="2">
        <v>36.0</v>
      </c>
      <c r="BC135" s="2">
        <v>3.0</v>
      </c>
      <c r="BD135" s="2">
        <v>43.0</v>
      </c>
      <c r="BE135" s="2">
        <v>5.0</v>
      </c>
      <c r="BF135" s="2">
        <v>22.0</v>
      </c>
      <c r="BG135" s="2">
        <v>0.0</v>
      </c>
      <c r="BH135" s="2">
        <v>2.0</v>
      </c>
      <c r="BI135" s="2">
        <v>17.0</v>
      </c>
      <c r="BJ135" s="2">
        <v>4.0</v>
      </c>
      <c r="BK135" s="2">
        <v>0.0</v>
      </c>
      <c r="BL135" s="2">
        <v>0.0</v>
      </c>
      <c r="BM135" s="2">
        <v>0.0</v>
      </c>
      <c r="BN135" s="2">
        <v>0.0</v>
      </c>
      <c r="BO135" s="2">
        <v>0.0</v>
      </c>
      <c r="BP135" s="2">
        <v>0.0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0.0</v>
      </c>
      <c r="BW135" s="2">
        <v>9.0</v>
      </c>
      <c r="BX135" s="2">
        <v>49.0</v>
      </c>
      <c r="BY135" s="2">
        <v>3.0</v>
      </c>
      <c r="BZ135" s="2">
        <v>0.0</v>
      </c>
      <c r="CA135" s="2">
        <v>0.0</v>
      </c>
      <c r="CB135" s="2">
        <v>0.0</v>
      </c>
      <c r="CC135" s="2">
        <v>0.0</v>
      </c>
      <c r="CD135" s="2">
        <v>0.0</v>
      </c>
      <c r="CE135" s="2">
        <v>1.0</v>
      </c>
      <c r="CF135" s="2">
        <v>16.0</v>
      </c>
      <c r="CG135" s="2">
        <v>8.0</v>
      </c>
      <c r="CH135" s="2">
        <v>186.0</v>
      </c>
      <c r="CI135" s="2">
        <v>1.0</v>
      </c>
      <c r="CJ135" s="2">
        <v>2.0</v>
      </c>
      <c r="CK135" s="2">
        <v>1.0</v>
      </c>
      <c r="CL135" s="2">
        <v>0.0</v>
      </c>
      <c r="CM135" s="2">
        <v>27.0</v>
      </c>
      <c r="CN135" s="2">
        <v>0.5</v>
      </c>
      <c r="CO135" s="2">
        <v>0.0</v>
      </c>
      <c r="CP135" s="2">
        <v>1.0</v>
      </c>
      <c r="CQ135" s="2">
        <v>0.0</v>
      </c>
      <c r="CR135" s="2">
        <v>0.0</v>
      </c>
      <c r="CS135" s="2">
        <v>0.0</v>
      </c>
      <c r="CT135" s="2">
        <v>0.0</v>
      </c>
      <c r="CU135" s="2">
        <v>0.0</v>
      </c>
      <c r="CV135" s="2">
        <v>0.0</v>
      </c>
      <c r="CW135" s="2">
        <v>0.0</v>
      </c>
      <c r="CX135" s="2">
        <v>0.0</v>
      </c>
      <c r="CY135" s="2">
        <v>1.0</v>
      </c>
      <c r="CZ135" s="2">
        <v>0.0</v>
      </c>
      <c r="DA135" s="2" t="s">
        <v>1992</v>
      </c>
      <c r="DB135" s="2" t="s">
        <v>2002</v>
      </c>
      <c r="DD135" s="2">
        <v>27.0</v>
      </c>
      <c r="DE135" s="2">
        <v>55.0</v>
      </c>
      <c r="DF135" s="2">
        <v>0.0</v>
      </c>
      <c r="DG135" s="2">
        <v>1.0</v>
      </c>
      <c r="DH135" s="2">
        <v>1.0</v>
      </c>
      <c r="DI135" s="2">
        <v>0.0</v>
      </c>
      <c r="DJ135" s="2">
        <v>0.0</v>
      </c>
      <c r="DK135" s="2">
        <v>1.0</v>
      </c>
      <c r="DL135" s="2">
        <v>0.0</v>
      </c>
      <c r="DM135" s="2">
        <v>0.0</v>
      </c>
      <c r="DN135" s="2">
        <v>0.0</v>
      </c>
      <c r="DO135" s="2">
        <v>0.0</v>
      </c>
      <c r="DP135" s="2">
        <v>0.0</v>
      </c>
      <c r="DQ135" s="2">
        <v>4.0</v>
      </c>
      <c r="DR135" s="2">
        <v>0.0</v>
      </c>
      <c r="DS135" s="2">
        <v>60.0</v>
      </c>
      <c r="DT135" s="2">
        <v>182.0</v>
      </c>
      <c r="DU135" s="2">
        <v>1.0</v>
      </c>
      <c r="DV135" s="2">
        <v>0.0</v>
      </c>
      <c r="DW135" s="2">
        <v>2.0</v>
      </c>
      <c r="DX135" s="2">
        <v>0.0</v>
      </c>
      <c r="DY135" s="2">
        <v>1.0</v>
      </c>
      <c r="DZ135" s="2">
        <v>1.0</v>
      </c>
      <c r="EA135" s="2">
        <v>12.0</v>
      </c>
      <c r="EB135" s="2">
        <v>0.0</v>
      </c>
      <c r="EC135" s="2">
        <v>170.0</v>
      </c>
      <c r="EE135" s="2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2">
        <v>2025.0</v>
      </c>
      <c r="B136" s="2">
        <v>5.0</v>
      </c>
      <c r="C136" s="2" t="s">
        <v>136</v>
      </c>
      <c r="D136" s="2" t="s">
        <v>390</v>
      </c>
      <c r="E136" s="2" t="s">
        <v>742</v>
      </c>
      <c r="F136" s="2" t="s">
        <v>145</v>
      </c>
      <c r="G136" s="2">
        <v>22.0</v>
      </c>
      <c r="H136" s="2">
        <v>31.0</v>
      </c>
      <c r="I136" s="2">
        <v>253.0</v>
      </c>
      <c r="J136" s="2">
        <v>2.0</v>
      </c>
      <c r="K136" s="2">
        <v>1.0</v>
      </c>
      <c r="L136" s="2">
        <v>1.0</v>
      </c>
      <c r="M136" s="2">
        <v>-8.0</v>
      </c>
      <c r="N136" s="2">
        <v>0.0</v>
      </c>
      <c r="O136" s="2">
        <v>0.0</v>
      </c>
      <c r="P136" s="2">
        <v>246.0</v>
      </c>
      <c r="Q136" s="2">
        <v>99.0</v>
      </c>
      <c r="R136" s="2">
        <v>16.0</v>
      </c>
      <c r="S136" s="2">
        <v>10.6458982455955</v>
      </c>
      <c r="T136" s="2">
        <v>5.94098175565402</v>
      </c>
      <c r="U136" s="2">
        <v>0.0</v>
      </c>
      <c r="V136" s="2">
        <v>12.0</v>
      </c>
      <c r="W136" s="2">
        <v>7.0</v>
      </c>
      <c r="X136" s="2">
        <v>5.0</v>
      </c>
      <c r="Y136" s="2">
        <v>0.0</v>
      </c>
      <c r="Z136" s="2">
        <v>29.0</v>
      </c>
      <c r="AA136" s="2">
        <v>118.0</v>
      </c>
      <c r="AB136" s="2">
        <v>0.0</v>
      </c>
      <c r="AC136" s="2">
        <v>1.0</v>
      </c>
      <c r="AD136" s="2">
        <v>1.0</v>
      </c>
      <c r="AE136" s="2">
        <v>5.0</v>
      </c>
      <c r="AF136" s="2">
        <v>-3.98307786282385</v>
      </c>
      <c r="AG136" s="2">
        <v>0.0</v>
      </c>
      <c r="AH136" s="2">
        <v>2.0</v>
      </c>
      <c r="AI136" s="2">
        <v>1.0</v>
      </c>
      <c r="AJ136" s="2">
        <v>0.0</v>
      </c>
      <c r="AK136" s="2">
        <v>0.0</v>
      </c>
      <c r="AL136" s="2">
        <v>22.0</v>
      </c>
      <c r="AM136" s="2">
        <v>30.0</v>
      </c>
      <c r="AN136" s="2">
        <v>253.0</v>
      </c>
      <c r="AO136" s="2">
        <v>2.0</v>
      </c>
      <c r="AP136" s="2">
        <v>1.0</v>
      </c>
      <c r="AQ136" s="2">
        <v>1.0</v>
      </c>
      <c r="AR136" s="2">
        <v>246.0</v>
      </c>
      <c r="AS136" s="2">
        <v>99.0</v>
      </c>
      <c r="AT136" s="2">
        <v>16.0</v>
      </c>
      <c r="AU136" s="2">
        <v>8.26993633960986</v>
      </c>
      <c r="AV136" s="2">
        <v>0.0</v>
      </c>
      <c r="AW136" s="2">
        <v>12.0</v>
      </c>
      <c r="AX136" s="2">
        <v>7.0</v>
      </c>
      <c r="AY136" s="2">
        <v>5.0</v>
      </c>
      <c r="AZ136" s="2">
        <v>0.0</v>
      </c>
      <c r="BA136" s="2">
        <v>0.0</v>
      </c>
      <c r="BB136" s="2">
        <v>44.0</v>
      </c>
      <c r="BC136" s="2">
        <v>1.0</v>
      </c>
      <c r="BD136" s="2">
        <v>13.0</v>
      </c>
      <c r="BE136" s="2">
        <v>6.0</v>
      </c>
      <c r="BF136" s="2">
        <v>9.0</v>
      </c>
      <c r="BG136" s="2">
        <v>2.0</v>
      </c>
      <c r="BH136" s="2">
        <v>4.0</v>
      </c>
      <c r="BI136" s="2">
        <v>6.0</v>
      </c>
      <c r="BJ136" s="2">
        <v>8.0</v>
      </c>
      <c r="BK136" s="2">
        <v>0.0</v>
      </c>
      <c r="BL136" s="2">
        <v>0.0</v>
      </c>
      <c r="BM136" s="2">
        <v>1.0</v>
      </c>
      <c r="BN136" s="2">
        <v>0.0</v>
      </c>
      <c r="BO136" s="2">
        <v>0.0</v>
      </c>
      <c r="BP136" s="2">
        <v>0.0</v>
      </c>
      <c r="BQ136" s="2">
        <v>0.0</v>
      </c>
      <c r="BR136" s="2">
        <v>0.0</v>
      </c>
      <c r="BS136" s="2">
        <v>-6.0</v>
      </c>
      <c r="BT136" s="2">
        <v>1.0</v>
      </c>
      <c r="BU136" s="2">
        <v>0.0</v>
      </c>
      <c r="BV136" s="2">
        <v>0.0</v>
      </c>
      <c r="BW136" s="2">
        <v>11.0</v>
      </c>
      <c r="BX136" s="2">
        <v>90.0</v>
      </c>
      <c r="BY136" s="2">
        <v>6.0</v>
      </c>
      <c r="BZ136" s="2">
        <v>1.0</v>
      </c>
      <c r="CA136" s="2">
        <v>1.0</v>
      </c>
      <c r="CB136" s="2">
        <v>0.0</v>
      </c>
      <c r="CC136" s="2">
        <v>2.0</v>
      </c>
      <c r="CD136" s="2">
        <v>2.0</v>
      </c>
      <c r="CE136" s="2">
        <v>0.0</v>
      </c>
      <c r="CF136" s="2">
        <v>0.0</v>
      </c>
      <c r="CG136" s="2">
        <v>5.0</v>
      </c>
      <c r="CH136" s="2">
        <v>127.0</v>
      </c>
      <c r="CI136" s="2">
        <v>2.0</v>
      </c>
      <c r="CJ136" s="2">
        <v>2.0</v>
      </c>
      <c r="CK136" s="2">
        <v>0.0</v>
      </c>
      <c r="CL136" s="2">
        <v>0.0</v>
      </c>
      <c r="CM136" s="2">
        <v>45.0</v>
      </c>
      <c r="CN136" s="2">
        <v>1.0</v>
      </c>
      <c r="CO136" s="2">
        <v>0.0</v>
      </c>
      <c r="CP136" s="2">
        <v>0.0</v>
      </c>
      <c r="CQ136" s="2">
        <v>1.0</v>
      </c>
      <c r="CR136" s="2">
        <v>1.0</v>
      </c>
      <c r="CS136" s="2">
        <v>0.0</v>
      </c>
      <c r="CT136" s="2">
        <v>0.0</v>
      </c>
      <c r="CU136" s="2">
        <v>0.0</v>
      </c>
      <c r="CV136" s="2">
        <v>0.0</v>
      </c>
      <c r="CW136" s="2">
        <v>0.0</v>
      </c>
      <c r="CX136" s="2">
        <v>0.0</v>
      </c>
      <c r="CY136" s="2">
        <v>0.0</v>
      </c>
      <c r="CZ136" s="2">
        <v>0.0</v>
      </c>
      <c r="DA136" s="2" t="s">
        <v>2077</v>
      </c>
      <c r="DD136" s="2">
        <v>76.0</v>
      </c>
      <c r="DE136" s="2">
        <v>0.0</v>
      </c>
      <c r="DF136" s="2">
        <v>0.0</v>
      </c>
      <c r="DG136" s="2">
        <v>2.0</v>
      </c>
      <c r="DH136" s="2">
        <v>2.0</v>
      </c>
      <c r="DI136" s="2">
        <v>0.0</v>
      </c>
      <c r="DJ136" s="2">
        <v>0.0</v>
      </c>
      <c r="DK136" s="2">
        <v>1.0</v>
      </c>
      <c r="DL136" s="2">
        <v>0.0</v>
      </c>
      <c r="DM136" s="2">
        <v>0.0</v>
      </c>
      <c r="DN136" s="2">
        <v>0.0</v>
      </c>
      <c r="DO136" s="2">
        <v>0.0</v>
      </c>
      <c r="DP136" s="2">
        <v>0.0</v>
      </c>
      <c r="DQ136" s="2">
        <v>2.0</v>
      </c>
      <c r="DR136" s="2">
        <v>0.0</v>
      </c>
      <c r="DS136" s="2">
        <v>43.0</v>
      </c>
      <c r="DT136" s="2">
        <v>70.0</v>
      </c>
      <c r="DU136" s="2">
        <v>1.0</v>
      </c>
      <c r="DV136" s="2">
        <v>1.0</v>
      </c>
      <c r="DW136" s="2">
        <v>0.0</v>
      </c>
      <c r="DX136" s="2">
        <v>0.0</v>
      </c>
      <c r="DY136" s="2">
        <v>0.0</v>
      </c>
      <c r="DZ136" s="2">
        <v>1.0</v>
      </c>
      <c r="EA136" s="2">
        <v>0.0</v>
      </c>
      <c r="EB136" s="2">
        <v>0.0</v>
      </c>
      <c r="EC136" s="2">
        <v>70.0</v>
      </c>
      <c r="EE136" s="2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2">
        <v>2025.0</v>
      </c>
      <c r="B137" s="2">
        <v>5.0</v>
      </c>
      <c r="C137" s="2" t="s">
        <v>189</v>
      </c>
      <c r="D137" s="2" t="s">
        <v>390</v>
      </c>
      <c r="E137" s="2" t="s">
        <v>724</v>
      </c>
      <c r="F137" s="2" t="s">
        <v>225</v>
      </c>
      <c r="G137" s="2">
        <v>19.0</v>
      </c>
      <c r="H137" s="2">
        <v>30.0</v>
      </c>
      <c r="I137" s="2">
        <v>198.0</v>
      </c>
      <c r="J137" s="2">
        <v>2.0</v>
      </c>
      <c r="K137" s="2">
        <v>1.0</v>
      </c>
      <c r="L137" s="2">
        <v>3.0</v>
      </c>
      <c r="M137" s="2">
        <v>-19.0</v>
      </c>
      <c r="N137" s="2">
        <v>1.0</v>
      </c>
      <c r="O137" s="2">
        <v>1.0</v>
      </c>
      <c r="P137" s="2">
        <v>244.0</v>
      </c>
      <c r="Q137" s="2">
        <v>73.0</v>
      </c>
      <c r="R137" s="2">
        <v>12.0</v>
      </c>
      <c r="S137" s="2">
        <v>-1.3048395836656</v>
      </c>
      <c r="T137" s="2">
        <v>8.68822623182226</v>
      </c>
      <c r="U137" s="2">
        <v>0.0</v>
      </c>
      <c r="V137" s="2">
        <v>8.0</v>
      </c>
      <c r="W137" s="2">
        <v>4.0</v>
      </c>
      <c r="X137" s="2">
        <v>3.0</v>
      </c>
      <c r="Y137" s="2">
        <v>0.0</v>
      </c>
      <c r="Z137" s="2">
        <v>32.0</v>
      </c>
      <c r="AA137" s="2">
        <v>239.0</v>
      </c>
      <c r="AB137" s="2">
        <v>1.0</v>
      </c>
      <c r="AC137" s="2">
        <v>0.0</v>
      </c>
      <c r="AD137" s="2">
        <v>0.0</v>
      </c>
      <c r="AE137" s="2">
        <v>8.0</v>
      </c>
      <c r="AF137" s="2">
        <v>10.9338183817745</v>
      </c>
      <c r="AG137" s="2">
        <v>0.0</v>
      </c>
      <c r="AH137" s="2">
        <v>7.0</v>
      </c>
      <c r="AI137" s="2">
        <v>6.0</v>
      </c>
      <c r="AJ137" s="2">
        <v>3.0</v>
      </c>
      <c r="AK137" s="2">
        <v>2.0</v>
      </c>
      <c r="AL137" s="2">
        <v>19.0</v>
      </c>
      <c r="AM137" s="2">
        <v>27.0</v>
      </c>
      <c r="AN137" s="2">
        <v>198.0</v>
      </c>
      <c r="AO137" s="2">
        <v>2.0</v>
      </c>
      <c r="AP137" s="2">
        <v>0.0</v>
      </c>
      <c r="AQ137" s="2">
        <v>0.0</v>
      </c>
      <c r="AR137" s="2">
        <v>244.0</v>
      </c>
      <c r="AS137" s="2">
        <v>73.0</v>
      </c>
      <c r="AT137" s="2">
        <v>12.0</v>
      </c>
      <c r="AU137" s="2">
        <v>10.2215851244732</v>
      </c>
      <c r="AV137" s="2">
        <v>0.0</v>
      </c>
      <c r="AW137" s="2">
        <v>8.0</v>
      </c>
      <c r="AX137" s="2">
        <v>4.0</v>
      </c>
      <c r="AY137" s="2">
        <v>3.0</v>
      </c>
      <c r="AZ137" s="2">
        <v>0.0</v>
      </c>
      <c r="BA137" s="2">
        <v>0.0</v>
      </c>
      <c r="BB137" s="2">
        <v>37.0</v>
      </c>
      <c r="BC137" s="2">
        <v>2.0</v>
      </c>
      <c r="BD137" s="2">
        <v>26.0</v>
      </c>
      <c r="BE137" s="2">
        <v>9.0</v>
      </c>
      <c r="BF137" s="2">
        <v>42.0</v>
      </c>
      <c r="BG137" s="2">
        <v>0.0</v>
      </c>
      <c r="BH137" s="2">
        <v>3.0</v>
      </c>
      <c r="BI137" s="2">
        <v>27.0</v>
      </c>
      <c r="BJ137" s="2">
        <v>3.0</v>
      </c>
      <c r="BK137" s="2">
        <v>0.0</v>
      </c>
      <c r="BL137" s="2">
        <v>0.0</v>
      </c>
      <c r="BM137" s="2">
        <v>1.0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0.0</v>
      </c>
      <c r="BU137" s="2">
        <v>0.0</v>
      </c>
      <c r="BV137" s="2">
        <v>0.0</v>
      </c>
      <c r="BW137" s="2">
        <v>8.0</v>
      </c>
      <c r="BX137" s="2">
        <v>46.0</v>
      </c>
      <c r="BY137" s="2">
        <v>4.0</v>
      </c>
      <c r="BZ137" s="2">
        <v>1.0</v>
      </c>
      <c r="CA137" s="2">
        <v>0.0</v>
      </c>
      <c r="CB137" s="2">
        <v>0.0</v>
      </c>
      <c r="CC137" s="2">
        <v>1.0</v>
      </c>
      <c r="CD137" s="2">
        <v>1.0</v>
      </c>
      <c r="CE137" s="2">
        <v>0.0</v>
      </c>
      <c r="CF137" s="2">
        <v>0.0</v>
      </c>
      <c r="CG137" s="2">
        <v>5.0</v>
      </c>
      <c r="CH137" s="2">
        <v>113.0</v>
      </c>
      <c r="CI137" s="2">
        <v>2.0</v>
      </c>
      <c r="CJ137" s="2">
        <v>2.0</v>
      </c>
      <c r="CK137" s="2">
        <v>0.0</v>
      </c>
      <c r="CL137" s="2">
        <v>0.0</v>
      </c>
      <c r="CM137" s="2">
        <v>49.0</v>
      </c>
      <c r="CN137" s="2">
        <v>1.0</v>
      </c>
      <c r="CO137" s="2">
        <v>0.0</v>
      </c>
      <c r="CP137" s="2">
        <v>0.0</v>
      </c>
      <c r="CQ137" s="2">
        <v>1.0</v>
      </c>
      <c r="CR137" s="2">
        <v>1.0</v>
      </c>
      <c r="CS137" s="2">
        <v>0.0</v>
      </c>
      <c r="CT137" s="2">
        <v>0.0</v>
      </c>
      <c r="CU137" s="2">
        <v>0.0</v>
      </c>
      <c r="CV137" s="2">
        <v>0.0</v>
      </c>
      <c r="CW137" s="2">
        <v>0.0</v>
      </c>
      <c r="CX137" s="2">
        <v>0.0</v>
      </c>
      <c r="CY137" s="2">
        <v>0.0</v>
      </c>
      <c r="CZ137" s="2">
        <v>0.0</v>
      </c>
      <c r="DA137" s="2" t="s">
        <v>2078</v>
      </c>
      <c r="DD137" s="2">
        <v>84.0</v>
      </c>
      <c r="DE137" s="2">
        <v>0.0</v>
      </c>
      <c r="DF137" s="2">
        <v>0.0</v>
      </c>
      <c r="DG137" s="2">
        <v>3.0</v>
      </c>
      <c r="DH137" s="2">
        <v>3.0</v>
      </c>
      <c r="DI137" s="2">
        <v>0.0</v>
      </c>
      <c r="DJ137" s="2">
        <v>0.0</v>
      </c>
      <c r="DK137" s="2">
        <v>1.0</v>
      </c>
      <c r="DL137" s="2">
        <v>0.0</v>
      </c>
      <c r="DM137" s="2">
        <v>0.0</v>
      </c>
      <c r="DN137" s="2">
        <v>0.0</v>
      </c>
      <c r="DO137" s="2">
        <v>0.0</v>
      </c>
      <c r="DP137" s="2">
        <v>0.0</v>
      </c>
      <c r="DQ137" s="2">
        <v>3.0</v>
      </c>
      <c r="DR137" s="2">
        <v>0.0</v>
      </c>
      <c r="DS137" s="2">
        <v>61.0</v>
      </c>
      <c r="DT137" s="2">
        <v>161.0</v>
      </c>
      <c r="DU137" s="2">
        <v>0.0</v>
      </c>
      <c r="DV137" s="2">
        <v>0.0</v>
      </c>
      <c r="DW137" s="2">
        <v>0.0</v>
      </c>
      <c r="DX137" s="2">
        <v>0.0</v>
      </c>
      <c r="DY137" s="2">
        <v>0.0</v>
      </c>
      <c r="DZ137" s="2">
        <v>3.0</v>
      </c>
      <c r="EA137" s="2">
        <v>29.0</v>
      </c>
      <c r="EB137" s="2">
        <v>0.0</v>
      </c>
      <c r="EC137" s="2">
        <v>132.0</v>
      </c>
      <c r="EE137" s="2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2">
        <v>2025.0</v>
      </c>
      <c r="B138" s="2">
        <v>5.0</v>
      </c>
      <c r="C138" s="2" t="s">
        <v>138</v>
      </c>
      <c r="D138" s="2" t="s">
        <v>390</v>
      </c>
      <c r="E138" s="2" t="s">
        <v>738</v>
      </c>
      <c r="F138" s="2" t="s">
        <v>202</v>
      </c>
      <c r="G138" s="2">
        <v>26.0</v>
      </c>
      <c r="H138" s="2">
        <v>40.0</v>
      </c>
      <c r="I138" s="2">
        <v>251.0</v>
      </c>
      <c r="J138" s="2">
        <v>3.0</v>
      </c>
      <c r="K138" s="2">
        <v>3.0</v>
      </c>
      <c r="L138" s="2">
        <v>2.0</v>
      </c>
      <c r="M138" s="2">
        <v>-14.0</v>
      </c>
      <c r="N138" s="2">
        <v>1.0</v>
      </c>
      <c r="O138" s="2">
        <v>0.0</v>
      </c>
      <c r="P138" s="2">
        <v>339.0</v>
      </c>
      <c r="Q138" s="2">
        <v>93.0</v>
      </c>
      <c r="R138" s="2">
        <v>12.0</v>
      </c>
      <c r="S138" s="2">
        <v>-8.76611144679441</v>
      </c>
      <c r="T138" s="2">
        <v>0.0078507512807846</v>
      </c>
      <c r="U138" s="2">
        <v>0.0</v>
      </c>
      <c r="V138" s="2">
        <v>9.0</v>
      </c>
      <c r="W138" s="2">
        <v>3.0</v>
      </c>
      <c r="X138" s="2">
        <v>3.0</v>
      </c>
      <c r="Y138" s="2">
        <v>1.0</v>
      </c>
      <c r="Z138" s="2">
        <v>16.0</v>
      </c>
      <c r="AA138" s="2">
        <v>85.0</v>
      </c>
      <c r="AB138" s="2">
        <v>0.0</v>
      </c>
      <c r="AC138" s="2">
        <v>0.0</v>
      </c>
      <c r="AD138" s="2">
        <v>0.0</v>
      </c>
      <c r="AE138" s="2">
        <v>4.0</v>
      </c>
      <c r="AF138" s="2">
        <v>1.80204858392244</v>
      </c>
      <c r="AG138" s="2">
        <v>0.0</v>
      </c>
      <c r="AH138" s="2">
        <v>4.0</v>
      </c>
      <c r="AI138" s="2">
        <v>1.0</v>
      </c>
      <c r="AJ138" s="2">
        <v>0.0</v>
      </c>
      <c r="AK138" s="2">
        <v>0.0</v>
      </c>
      <c r="AL138" s="2">
        <v>26.0</v>
      </c>
      <c r="AM138" s="2">
        <v>40.0</v>
      </c>
      <c r="AN138" s="2">
        <v>251.0</v>
      </c>
      <c r="AO138" s="2">
        <v>3.0</v>
      </c>
      <c r="AP138" s="2">
        <v>1.0</v>
      </c>
      <c r="AQ138" s="2">
        <v>0.0</v>
      </c>
      <c r="AR138" s="2">
        <v>339.0</v>
      </c>
      <c r="AS138" s="2">
        <v>93.0</v>
      </c>
      <c r="AT138" s="2">
        <v>12.0</v>
      </c>
      <c r="AU138" s="2">
        <v>-5.34199478769982</v>
      </c>
      <c r="AV138" s="2">
        <v>0.0</v>
      </c>
      <c r="AW138" s="2">
        <v>9.0</v>
      </c>
      <c r="AX138" s="2">
        <v>3.0</v>
      </c>
      <c r="AY138" s="2">
        <v>3.0</v>
      </c>
      <c r="AZ138" s="2">
        <v>1.0</v>
      </c>
      <c r="BA138" s="2">
        <v>0.0</v>
      </c>
      <c r="BB138" s="2">
        <v>33.0</v>
      </c>
      <c r="BC138" s="2">
        <v>3.0</v>
      </c>
      <c r="BD138" s="2">
        <v>45.0</v>
      </c>
      <c r="BE138" s="2">
        <v>6.0</v>
      </c>
      <c r="BF138" s="2">
        <v>20.0</v>
      </c>
      <c r="BG138" s="2">
        <v>1.0</v>
      </c>
      <c r="BH138" s="2">
        <v>4.0</v>
      </c>
      <c r="BI138" s="2">
        <v>14.0</v>
      </c>
      <c r="BJ138" s="2">
        <v>7.0</v>
      </c>
      <c r="BK138" s="2">
        <v>0.0</v>
      </c>
      <c r="BL138" s="2">
        <v>0.0</v>
      </c>
      <c r="BM138" s="2">
        <v>1.0</v>
      </c>
      <c r="BN138" s="2">
        <v>0.0</v>
      </c>
      <c r="BO138" s="2">
        <v>0.0</v>
      </c>
      <c r="BP138" s="2">
        <v>0.0</v>
      </c>
      <c r="BQ138" s="2">
        <v>0.0</v>
      </c>
      <c r="BR138" s="2">
        <v>2.0</v>
      </c>
      <c r="BS138" s="2">
        <v>0.0</v>
      </c>
      <c r="BT138" s="2">
        <v>1.0</v>
      </c>
      <c r="BU138" s="2">
        <v>0.0</v>
      </c>
      <c r="BV138" s="2">
        <v>0.0</v>
      </c>
      <c r="BW138" s="2">
        <v>6.0</v>
      </c>
      <c r="BX138" s="2">
        <v>30.0</v>
      </c>
      <c r="BY138" s="2">
        <v>4.0</v>
      </c>
      <c r="BZ138" s="2">
        <v>2.0</v>
      </c>
      <c r="CA138" s="2">
        <v>0.0</v>
      </c>
      <c r="CB138" s="2">
        <v>0.0</v>
      </c>
      <c r="CC138" s="2">
        <v>2.0</v>
      </c>
      <c r="CD138" s="2">
        <v>0.0</v>
      </c>
      <c r="CE138" s="2">
        <v>1.0</v>
      </c>
      <c r="CF138" s="2">
        <v>6.0</v>
      </c>
      <c r="CG138" s="2">
        <v>6.0</v>
      </c>
      <c r="CH138" s="2">
        <v>154.0</v>
      </c>
      <c r="CI138" s="2">
        <v>1.0</v>
      </c>
      <c r="CJ138" s="2">
        <v>1.0</v>
      </c>
      <c r="CK138" s="2">
        <v>0.0</v>
      </c>
      <c r="CL138" s="2">
        <v>0.0</v>
      </c>
      <c r="CM138" s="2">
        <v>50.0</v>
      </c>
      <c r="CN138" s="2">
        <v>1.0</v>
      </c>
      <c r="CO138" s="2">
        <v>0.0</v>
      </c>
      <c r="CP138" s="2">
        <v>0.0</v>
      </c>
      <c r="CQ138" s="2">
        <v>0.0</v>
      </c>
      <c r="CR138" s="2">
        <v>0.0</v>
      </c>
      <c r="CS138" s="2">
        <v>1.0</v>
      </c>
      <c r="CT138" s="2">
        <v>0.0</v>
      </c>
      <c r="CU138" s="2">
        <v>0.0</v>
      </c>
      <c r="CV138" s="2">
        <v>0.0</v>
      </c>
      <c r="CW138" s="2">
        <v>0.0</v>
      </c>
      <c r="CX138" s="2">
        <v>0.0</v>
      </c>
      <c r="CY138" s="2">
        <v>0.0</v>
      </c>
      <c r="CZ138" s="2">
        <v>0.0</v>
      </c>
      <c r="DA138" s="2" t="s">
        <v>1967</v>
      </c>
      <c r="DD138" s="2">
        <v>50.0</v>
      </c>
      <c r="DE138" s="2">
        <v>0.0</v>
      </c>
      <c r="DF138" s="2">
        <v>0.0</v>
      </c>
      <c r="DG138" s="2">
        <v>3.0</v>
      </c>
      <c r="DH138" s="2">
        <v>3.0</v>
      </c>
      <c r="DI138" s="2">
        <v>0.0</v>
      </c>
      <c r="DJ138" s="2">
        <v>0.0</v>
      </c>
      <c r="DK138" s="2">
        <v>1.0</v>
      </c>
      <c r="DL138" s="2">
        <v>0.0</v>
      </c>
      <c r="DM138" s="2">
        <v>0.0</v>
      </c>
      <c r="DN138" s="2">
        <v>0.0</v>
      </c>
      <c r="DO138" s="2">
        <v>0.0</v>
      </c>
      <c r="DP138" s="2">
        <v>0.0</v>
      </c>
      <c r="DQ138" s="2">
        <v>4.0</v>
      </c>
      <c r="DR138" s="2">
        <v>0.0</v>
      </c>
      <c r="DS138" s="2">
        <v>65.0</v>
      </c>
      <c r="DT138" s="2">
        <v>220.0</v>
      </c>
      <c r="DU138" s="2">
        <v>0.0</v>
      </c>
      <c r="DV138" s="2">
        <v>0.0</v>
      </c>
      <c r="DW138" s="2">
        <v>0.0</v>
      </c>
      <c r="DX138" s="2">
        <v>3.0</v>
      </c>
      <c r="DY138" s="2">
        <v>0.0</v>
      </c>
      <c r="DZ138" s="2">
        <v>1.0</v>
      </c>
      <c r="EA138" s="2">
        <v>11.0</v>
      </c>
      <c r="EB138" s="2">
        <v>0.0</v>
      </c>
      <c r="EC138" s="2">
        <v>149.0</v>
      </c>
      <c r="EE138" s="2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2">
        <v>2025.0</v>
      </c>
      <c r="B139" s="2">
        <v>5.0</v>
      </c>
      <c r="C139" s="2" t="s">
        <v>196</v>
      </c>
      <c r="D139" s="2" t="s">
        <v>390</v>
      </c>
      <c r="E139" s="2" t="s">
        <v>715</v>
      </c>
      <c r="F139" s="2" t="s">
        <v>144</v>
      </c>
      <c r="G139" s="2">
        <v>19.0</v>
      </c>
      <c r="H139" s="2">
        <v>33.0</v>
      </c>
      <c r="I139" s="2">
        <v>190.0</v>
      </c>
      <c r="J139" s="2">
        <v>2.0</v>
      </c>
      <c r="K139" s="2">
        <v>0.0</v>
      </c>
      <c r="L139" s="2">
        <v>2.0</v>
      </c>
      <c r="M139" s="2">
        <v>-8.0</v>
      </c>
      <c r="N139" s="2">
        <v>0.0</v>
      </c>
      <c r="O139" s="2">
        <v>0.0</v>
      </c>
      <c r="P139" s="2">
        <v>208.0</v>
      </c>
      <c r="Q139" s="2">
        <v>103.0</v>
      </c>
      <c r="R139" s="2">
        <v>9.0</v>
      </c>
      <c r="S139" s="2">
        <v>-2.2798502849766</v>
      </c>
      <c r="T139" s="2">
        <v>-6.81552784517407</v>
      </c>
      <c r="U139" s="2">
        <v>0.0</v>
      </c>
      <c r="V139" s="2">
        <v>8.0</v>
      </c>
      <c r="W139" s="2">
        <v>5.0</v>
      </c>
      <c r="X139" s="2">
        <v>2.0</v>
      </c>
      <c r="Y139" s="2">
        <v>0.0</v>
      </c>
      <c r="Z139" s="2">
        <v>32.0</v>
      </c>
      <c r="AA139" s="2">
        <v>140.0</v>
      </c>
      <c r="AB139" s="2">
        <v>0.0</v>
      </c>
      <c r="AC139" s="2">
        <v>0.0</v>
      </c>
      <c r="AD139" s="2">
        <v>0.0</v>
      </c>
      <c r="AE139" s="2">
        <v>8.0</v>
      </c>
      <c r="AF139" s="2">
        <v>1.4644650935661</v>
      </c>
      <c r="AG139" s="2">
        <v>0.0</v>
      </c>
      <c r="AH139" s="2">
        <v>5.0</v>
      </c>
      <c r="AI139" s="2">
        <v>3.0</v>
      </c>
      <c r="AJ139" s="2">
        <v>1.0</v>
      </c>
      <c r="AK139" s="2">
        <v>0.0</v>
      </c>
      <c r="AL139" s="2">
        <v>19.0</v>
      </c>
      <c r="AM139" s="2">
        <v>32.0</v>
      </c>
      <c r="AN139" s="2">
        <v>190.0</v>
      </c>
      <c r="AO139" s="2">
        <v>2.0</v>
      </c>
      <c r="AP139" s="2">
        <v>0.0</v>
      </c>
      <c r="AQ139" s="2">
        <v>0.0</v>
      </c>
      <c r="AR139" s="2">
        <v>208.0</v>
      </c>
      <c r="AS139" s="2">
        <v>103.0</v>
      </c>
      <c r="AT139" s="2">
        <v>9.0</v>
      </c>
      <c r="AU139" s="2">
        <v>0.520775877288364</v>
      </c>
      <c r="AV139" s="2">
        <v>0.0</v>
      </c>
      <c r="AW139" s="2">
        <v>8.0</v>
      </c>
      <c r="AX139" s="2">
        <v>5.0</v>
      </c>
      <c r="AY139" s="2">
        <v>2.0</v>
      </c>
      <c r="AZ139" s="2">
        <v>0.0</v>
      </c>
      <c r="BA139" s="2">
        <v>0.0</v>
      </c>
      <c r="BB139" s="2">
        <v>33.0</v>
      </c>
      <c r="BC139" s="2">
        <v>3.0</v>
      </c>
      <c r="BD139" s="2">
        <v>39.0</v>
      </c>
      <c r="BE139" s="2">
        <v>6.0</v>
      </c>
      <c r="BF139" s="2">
        <v>24.0</v>
      </c>
      <c r="BG139" s="2">
        <v>2.0</v>
      </c>
      <c r="BH139" s="2">
        <v>3.0</v>
      </c>
      <c r="BI139" s="2">
        <v>16.0</v>
      </c>
      <c r="BJ139" s="2">
        <v>3.0</v>
      </c>
      <c r="BK139" s="2">
        <v>0.0</v>
      </c>
      <c r="BL139" s="2">
        <v>0.0</v>
      </c>
      <c r="BM139" s="2">
        <v>3.0</v>
      </c>
      <c r="BN139" s="2">
        <v>0.0</v>
      </c>
      <c r="BO139" s="2">
        <v>0.0</v>
      </c>
      <c r="BP139" s="2">
        <v>0.0</v>
      </c>
      <c r="BQ139" s="2">
        <v>0.0</v>
      </c>
      <c r="BR139" s="2">
        <v>0.0</v>
      </c>
      <c r="BS139" s="2">
        <v>0.0</v>
      </c>
      <c r="BT139" s="2">
        <v>2.0</v>
      </c>
      <c r="BU139" s="2">
        <v>0.0</v>
      </c>
      <c r="BV139" s="2">
        <v>0.0</v>
      </c>
      <c r="BW139" s="2">
        <v>10.0</v>
      </c>
      <c r="BX139" s="2">
        <v>78.0</v>
      </c>
      <c r="BY139" s="2">
        <v>6.0</v>
      </c>
      <c r="BZ139" s="2">
        <v>0.0</v>
      </c>
      <c r="CA139" s="2">
        <v>0.0</v>
      </c>
      <c r="CB139" s="2">
        <v>0.0</v>
      </c>
      <c r="CC139" s="2">
        <v>0.0</v>
      </c>
      <c r="CD139" s="2">
        <v>0.0</v>
      </c>
      <c r="CE139" s="2">
        <v>3.0</v>
      </c>
      <c r="CF139" s="2">
        <v>31.0</v>
      </c>
      <c r="CG139" s="2">
        <v>3.0</v>
      </c>
      <c r="CH139" s="2">
        <v>78.0</v>
      </c>
      <c r="CI139" s="2">
        <v>1.0</v>
      </c>
      <c r="CJ139" s="2">
        <v>1.0</v>
      </c>
      <c r="CK139" s="2">
        <v>0.0</v>
      </c>
      <c r="CL139" s="2">
        <v>0.0</v>
      </c>
      <c r="CM139" s="2">
        <v>31.0</v>
      </c>
      <c r="CN139" s="2">
        <v>1.0</v>
      </c>
      <c r="CO139" s="2">
        <v>0.0</v>
      </c>
      <c r="CP139" s="2">
        <v>0.0</v>
      </c>
      <c r="CQ139" s="2">
        <v>1.0</v>
      </c>
      <c r="CR139" s="2">
        <v>0.0</v>
      </c>
      <c r="CS139" s="2">
        <v>0.0</v>
      </c>
      <c r="CT139" s="2">
        <v>0.0</v>
      </c>
      <c r="CU139" s="2">
        <v>0.0</v>
      </c>
      <c r="CV139" s="2">
        <v>0.0</v>
      </c>
      <c r="CW139" s="2">
        <v>0.0</v>
      </c>
      <c r="CX139" s="2">
        <v>0.0</v>
      </c>
      <c r="CY139" s="2">
        <v>0.0</v>
      </c>
      <c r="CZ139" s="2">
        <v>0.0</v>
      </c>
      <c r="DA139" s="2" t="s">
        <v>1998</v>
      </c>
      <c r="DD139" s="2">
        <v>31.0</v>
      </c>
      <c r="DE139" s="2">
        <v>0.0</v>
      </c>
      <c r="DF139" s="2">
        <v>0.0</v>
      </c>
      <c r="DG139" s="2">
        <v>2.0</v>
      </c>
      <c r="DH139" s="2">
        <v>2.0</v>
      </c>
      <c r="DI139" s="2">
        <v>0.0</v>
      </c>
      <c r="DJ139" s="2">
        <v>0.0</v>
      </c>
      <c r="DK139" s="2">
        <v>1.0</v>
      </c>
      <c r="DL139" s="2">
        <v>0.0</v>
      </c>
      <c r="DM139" s="2">
        <v>0.0</v>
      </c>
      <c r="DN139" s="2">
        <v>0.0</v>
      </c>
      <c r="DO139" s="2">
        <v>0.0</v>
      </c>
      <c r="DP139" s="2">
        <v>0.0</v>
      </c>
      <c r="DQ139" s="2">
        <v>8.0</v>
      </c>
      <c r="DR139" s="2">
        <v>0.0</v>
      </c>
      <c r="DS139" s="2">
        <v>57.0</v>
      </c>
      <c r="DT139" s="2">
        <v>360.0</v>
      </c>
      <c r="DU139" s="2">
        <v>2.0</v>
      </c>
      <c r="DV139" s="2">
        <v>3.0</v>
      </c>
      <c r="DW139" s="2">
        <v>0.0</v>
      </c>
      <c r="DX139" s="2">
        <v>1.0</v>
      </c>
      <c r="DY139" s="2">
        <v>1.0</v>
      </c>
      <c r="DZ139" s="2">
        <v>3.0</v>
      </c>
      <c r="EA139" s="2">
        <v>15.0</v>
      </c>
      <c r="EB139" s="2">
        <v>0.0</v>
      </c>
      <c r="EC139" s="2">
        <v>325.0</v>
      </c>
      <c r="EE139" s="2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2">
        <v>2025.0</v>
      </c>
      <c r="B140" s="2">
        <v>5.0</v>
      </c>
      <c r="C140" s="2" t="s">
        <v>146</v>
      </c>
      <c r="D140" s="2" t="s">
        <v>390</v>
      </c>
      <c r="E140" s="2" t="s">
        <v>730</v>
      </c>
      <c r="F140" s="2" t="s">
        <v>238</v>
      </c>
      <c r="G140" s="2">
        <v>18.0</v>
      </c>
      <c r="H140" s="2">
        <v>29.0</v>
      </c>
      <c r="I140" s="2">
        <v>237.0</v>
      </c>
      <c r="J140" s="2">
        <v>4.0</v>
      </c>
      <c r="K140" s="2">
        <v>0.0</v>
      </c>
      <c r="L140" s="2">
        <v>1.0</v>
      </c>
      <c r="M140" s="2">
        <v>-1.0</v>
      </c>
      <c r="N140" s="2">
        <v>0.0</v>
      </c>
      <c r="O140" s="2">
        <v>0.0</v>
      </c>
      <c r="P140" s="2">
        <v>232.0</v>
      </c>
      <c r="Q140" s="2">
        <v>126.0</v>
      </c>
      <c r="R140" s="2">
        <v>12.0</v>
      </c>
      <c r="S140" s="2">
        <v>11.8487297862213</v>
      </c>
      <c r="T140" s="2">
        <v>-0.613883244139808</v>
      </c>
      <c r="U140" s="2">
        <v>0.0</v>
      </c>
      <c r="V140" s="2">
        <v>9.0</v>
      </c>
      <c r="W140" s="2">
        <v>4.0</v>
      </c>
      <c r="X140" s="2">
        <v>4.0</v>
      </c>
      <c r="Y140" s="2">
        <v>3.0</v>
      </c>
      <c r="Z140" s="2">
        <v>29.0</v>
      </c>
      <c r="AA140" s="2">
        <v>180.0</v>
      </c>
      <c r="AB140" s="2">
        <v>1.0</v>
      </c>
      <c r="AC140" s="2">
        <v>0.0</v>
      </c>
      <c r="AD140" s="2">
        <v>0.0</v>
      </c>
      <c r="AE140" s="2">
        <v>9.0</v>
      </c>
      <c r="AF140" s="2">
        <v>6.8319104614493</v>
      </c>
      <c r="AG140" s="2">
        <v>0.0</v>
      </c>
      <c r="AH140" s="2">
        <v>4.0</v>
      </c>
      <c r="AI140" s="2">
        <v>2.0</v>
      </c>
      <c r="AJ140" s="2">
        <v>1.0</v>
      </c>
      <c r="AK140" s="2">
        <v>1.0</v>
      </c>
      <c r="AL140" s="2">
        <v>18.0</v>
      </c>
      <c r="AM140" s="2">
        <v>28.0</v>
      </c>
      <c r="AN140" s="2">
        <v>237.0</v>
      </c>
      <c r="AO140" s="2">
        <v>4.0</v>
      </c>
      <c r="AP140" s="2">
        <v>0.0</v>
      </c>
      <c r="AQ140" s="2">
        <v>0.0</v>
      </c>
      <c r="AR140" s="2">
        <v>232.0</v>
      </c>
      <c r="AS140" s="2">
        <v>126.0</v>
      </c>
      <c r="AT140" s="2">
        <v>12.0</v>
      </c>
      <c r="AU140" s="2">
        <v>13.1894365083918</v>
      </c>
      <c r="AV140" s="2">
        <v>0.0</v>
      </c>
      <c r="AW140" s="2">
        <v>9.0</v>
      </c>
      <c r="AX140" s="2">
        <v>4.0</v>
      </c>
      <c r="AY140" s="2">
        <v>4.0</v>
      </c>
      <c r="AZ140" s="2">
        <v>3.0</v>
      </c>
      <c r="BA140" s="2">
        <v>0.0</v>
      </c>
      <c r="BB140" s="2">
        <v>46.0</v>
      </c>
      <c r="BC140" s="2">
        <v>1.0</v>
      </c>
      <c r="BD140" s="2">
        <v>37.0</v>
      </c>
      <c r="BE140" s="2">
        <v>6.0</v>
      </c>
      <c r="BF140" s="2">
        <v>50.0</v>
      </c>
      <c r="BG140" s="2">
        <v>1.0</v>
      </c>
      <c r="BH140" s="2">
        <v>5.0</v>
      </c>
      <c r="BI140" s="2">
        <v>49.0</v>
      </c>
      <c r="BJ140" s="2">
        <v>14.0</v>
      </c>
      <c r="BK140" s="2">
        <v>0.0</v>
      </c>
      <c r="BL140" s="2">
        <v>0.0</v>
      </c>
      <c r="BM140" s="2">
        <v>3.0</v>
      </c>
      <c r="BN140" s="2">
        <v>0.0</v>
      </c>
      <c r="BO140" s="2">
        <v>0.0</v>
      </c>
      <c r="BP140" s="2">
        <v>0.0</v>
      </c>
      <c r="BQ140" s="2">
        <v>0.0</v>
      </c>
      <c r="BR140" s="2">
        <v>0.0</v>
      </c>
      <c r="BS140" s="2">
        <v>0.0</v>
      </c>
      <c r="BT140" s="2">
        <v>1.0</v>
      </c>
      <c r="BU140" s="2">
        <v>0.0</v>
      </c>
      <c r="BV140" s="2">
        <v>0.0</v>
      </c>
      <c r="BW140" s="2">
        <v>11.0</v>
      </c>
      <c r="BX140" s="2">
        <v>91.0</v>
      </c>
      <c r="BY140" s="2">
        <v>5.0</v>
      </c>
      <c r="BZ140" s="2">
        <v>0.0</v>
      </c>
      <c r="CA140" s="2">
        <v>0.0</v>
      </c>
      <c r="CB140" s="2">
        <v>0.0</v>
      </c>
      <c r="CC140" s="2">
        <v>0.0</v>
      </c>
      <c r="CD140" s="2">
        <v>0.0</v>
      </c>
      <c r="CE140" s="2">
        <v>1.0</v>
      </c>
      <c r="CF140" s="2">
        <v>8.0</v>
      </c>
      <c r="CG140" s="2">
        <v>1.0</v>
      </c>
      <c r="CH140" s="2">
        <v>32.0</v>
      </c>
      <c r="CI140" s="2">
        <v>1.0</v>
      </c>
      <c r="CJ140" s="2">
        <v>1.0</v>
      </c>
      <c r="CK140" s="2">
        <v>0.0</v>
      </c>
      <c r="CL140" s="2">
        <v>0.0</v>
      </c>
      <c r="CM140" s="2">
        <v>35.0</v>
      </c>
      <c r="CN140" s="2">
        <v>1.0</v>
      </c>
      <c r="CO140" s="2">
        <v>0.0</v>
      </c>
      <c r="CP140" s="2">
        <v>0.0</v>
      </c>
      <c r="CQ140" s="2">
        <v>1.0</v>
      </c>
      <c r="CR140" s="2">
        <v>0.0</v>
      </c>
      <c r="CS140" s="2">
        <v>0.0</v>
      </c>
      <c r="CT140" s="2">
        <v>0.0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0.0</v>
      </c>
      <c r="DA140" s="2" t="s">
        <v>1968</v>
      </c>
      <c r="DD140" s="2">
        <v>35.0</v>
      </c>
      <c r="DE140" s="2">
        <v>0.0</v>
      </c>
      <c r="DF140" s="2">
        <v>0.0</v>
      </c>
      <c r="DG140" s="2">
        <v>4.0</v>
      </c>
      <c r="DH140" s="2">
        <v>5.0</v>
      </c>
      <c r="DI140" s="2">
        <v>1.0</v>
      </c>
      <c r="DJ140" s="2">
        <v>0.0</v>
      </c>
      <c r="DK140" s="2">
        <v>0.8</v>
      </c>
      <c r="DL140" s="2">
        <v>0.0</v>
      </c>
      <c r="DM140" s="2">
        <v>0.0</v>
      </c>
      <c r="DN140" s="2">
        <v>0.0</v>
      </c>
      <c r="DO140" s="2">
        <v>0.0</v>
      </c>
      <c r="DP140" s="2">
        <v>0.0</v>
      </c>
      <c r="DQ140" s="2">
        <v>5.0</v>
      </c>
      <c r="DR140" s="2">
        <v>0.0</v>
      </c>
      <c r="DS140" s="2">
        <v>54.0</v>
      </c>
      <c r="DT140" s="2">
        <v>228.0</v>
      </c>
      <c r="DU140" s="2">
        <v>0.0</v>
      </c>
      <c r="DV140" s="2">
        <v>1.0</v>
      </c>
      <c r="DW140" s="2">
        <v>0.0</v>
      </c>
      <c r="DX140" s="2">
        <v>0.0</v>
      </c>
      <c r="DY140" s="2">
        <v>0.0</v>
      </c>
      <c r="DZ140" s="2">
        <v>4.0</v>
      </c>
      <c r="EA140" s="2">
        <v>41.0</v>
      </c>
      <c r="EB140" s="2">
        <v>0.0</v>
      </c>
      <c r="EC140" s="2">
        <v>187.0</v>
      </c>
      <c r="EE140" s="2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2">
        <v>2025.0</v>
      </c>
      <c r="B141" s="2">
        <v>5.0</v>
      </c>
      <c r="C141" s="2" t="s">
        <v>139</v>
      </c>
      <c r="D141" s="2" t="s">
        <v>390</v>
      </c>
      <c r="E141" s="2" t="s">
        <v>732</v>
      </c>
      <c r="F141" s="2" t="s">
        <v>147</v>
      </c>
      <c r="G141" s="2">
        <v>24.0</v>
      </c>
      <c r="H141" s="2">
        <v>39.0</v>
      </c>
      <c r="I141" s="2">
        <v>242.0</v>
      </c>
      <c r="J141" s="2">
        <v>1.0</v>
      </c>
      <c r="K141" s="2">
        <v>0.0</v>
      </c>
      <c r="L141" s="2">
        <v>2.0</v>
      </c>
      <c r="M141" s="2">
        <v>-14.0</v>
      </c>
      <c r="N141" s="2">
        <v>0.0</v>
      </c>
      <c r="O141" s="2">
        <v>0.0</v>
      </c>
      <c r="P141" s="2">
        <v>318.0</v>
      </c>
      <c r="Q141" s="2">
        <v>122.0</v>
      </c>
      <c r="R141" s="2">
        <v>12.0</v>
      </c>
      <c r="S141" s="2">
        <v>4.24206702266005</v>
      </c>
      <c r="T141" s="2">
        <v>0.775728498895963</v>
      </c>
      <c r="U141" s="2">
        <v>1.0</v>
      </c>
      <c r="V141" s="2">
        <v>12.0</v>
      </c>
      <c r="W141" s="2">
        <v>5.0</v>
      </c>
      <c r="X141" s="2">
        <v>2.0</v>
      </c>
      <c r="Y141" s="2">
        <v>0.0</v>
      </c>
      <c r="Z141" s="2">
        <v>29.0</v>
      </c>
      <c r="AA141" s="2">
        <v>130.0</v>
      </c>
      <c r="AB141" s="2">
        <v>1.0</v>
      </c>
      <c r="AC141" s="2">
        <v>0.0</v>
      </c>
      <c r="AD141" s="2">
        <v>0.0</v>
      </c>
      <c r="AE141" s="2">
        <v>8.0</v>
      </c>
      <c r="AF141" s="2">
        <v>0.836336258304073</v>
      </c>
      <c r="AG141" s="2">
        <v>0.0</v>
      </c>
      <c r="AH141" s="2">
        <v>4.0</v>
      </c>
      <c r="AI141" s="2">
        <v>3.0</v>
      </c>
      <c r="AJ141" s="2">
        <v>0.0</v>
      </c>
      <c r="AK141" s="2">
        <v>0.0</v>
      </c>
      <c r="AL141" s="2">
        <v>24.0</v>
      </c>
      <c r="AM141" s="2">
        <v>36.0</v>
      </c>
      <c r="AN141" s="2">
        <v>242.0</v>
      </c>
      <c r="AO141" s="2">
        <v>1.0</v>
      </c>
      <c r="AP141" s="2">
        <v>0.0</v>
      </c>
      <c r="AQ141" s="2">
        <v>0.0</v>
      </c>
      <c r="AR141" s="2">
        <v>318.0</v>
      </c>
      <c r="AS141" s="2">
        <v>122.0</v>
      </c>
      <c r="AT141" s="2">
        <v>12.0</v>
      </c>
      <c r="AU141" s="2">
        <v>10.3907803344226</v>
      </c>
      <c r="AV141" s="2">
        <v>1.0</v>
      </c>
      <c r="AW141" s="2">
        <v>12.0</v>
      </c>
      <c r="AX141" s="2">
        <v>5.0</v>
      </c>
      <c r="AY141" s="2">
        <v>2.0</v>
      </c>
      <c r="AZ141" s="2">
        <v>0.0</v>
      </c>
      <c r="BA141" s="2">
        <v>0.0</v>
      </c>
      <c r="BB141" s="2">
        <v>35.0</v>
      </c>
      <c r="BC141" s="2">
        <v>0.0</v>
      </c>
      <c r="BD141" s="2">
        <v>16.0</v>
      </c>
      <c r="BE141" s="2">
        <v>5.0</v>
      </c>
      <c r="BF141" s="2">
        <v>21.0</v>
      </c>
      <c r="BG141" s="2">
        <v>0.0</v>
      </c>
      <c r="BH141" s="2">
        <v>6.0</v>
      </c>
      <c r="BI141" s="2">
        <v>23.0</v>
      </c>
      <c r="BJ141" s="2">
        <v>8.0</v>
      </c>
      <c r="BK141" s="2">
        <v>0.0</v>
      </c>
      <c r="BL141" s="2">
        <v>0.0</v>
      </c>
      <c r="BM141" s="2">
        <v>9.0</v>
      </c>
      <c r="BN141" s="2">
        <v>0.0</v>
      </c>
      <c r="BO141" s="2">
        <v>0.0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</v>
      </c>
      <c r="BV141" s="2">
        <v>0.0</v>
      </c>
      <c r="BW141" s="2">
        <v>12.0</v>
      </c>
      <c r="BX141" s="2">
        <v>121.0</v>
      </c>
      <c r="BY141" s="2">
        <v>5.0</v>
      </c>
      <c r="BZ141" s="2">
        <v>0.0</v>
      </c>
      <c r="CA141" s="2">
        <v>0.0</v>
      </c>
      <c r="CB141" s="2">
        <v>0.0</v>
      </c>
      <c r="CC141" s="2">
        <v>0.0</v>
      </c>
      <c r="CD141" s="2">
        <v>0.0</v>
      </c>
      <c r="CE141" s="2">
        <v>4.0</v>
      </c>
      <c r="CF141" s="2">
        <v>42.0</v>
      </c>
      <c r="CG141" s="2">
        <v>4.0</v>
      </c>
      <c r="CH141" s="2">
        <v>83.0</v>
      </c>
      <c r="CI141" s="2">
        <v>2.0</v>
      </c>
      <c r="CJ141" s="2">
        <v>2.0</v>
      </c>
      <c r="CK141" s="2">
        <v>0.0</v>
      </c>
      <c r="CL141" s="2">
        <v>0.0</v>
      </c>
      <c r="CM141" s="2">
        <v>55.0</v>
      </c>
      <c r="CN141" s="2">
        <v>1.0</v>
      </c>
      <c r="CO141" s="2">
        <v>0.0</v>
      </c>
      <c r="CP141" s="2">
        <v>0.0</v>
      </c>
      <c r="CQ141" s="2">
        <v>1.0</v>
      </c>
      <c r="CR141" s="2">
        <v>0.0</v>
      </c>
      <c r="CS141" s="2">
        <v>1.0</v>
      </c>
      <c r="CT141" s="2">
        <v>0.0</v>
      </c>
      <c r="CU141" s="2">
        <v>0.0</v>
      </c>
      <c r="CV141" s="2">
        <v>0.0</v>
      </c>
      <c r="CW141" s="2">
        <v>0.0</v>
      </c>
      <c r="CX141" s="2">
        <v>0.0</v>
      </c>
      <c r="CY141" s="2">
        <v>0.0</v>
      </c>
      <c r="CZ141" s="2">
        <v>0.0</v>
      </c>
      <c r="DA141" s="2" t="s">
        <v>2079</v>
      </c>
      <c r="DD141" s="2">
        <v>91.0</v>
      </c>
      <c r="DE141" s="2">
        <v>0.0</v>
      </c>
      <c r="DF141" s="2">
        <v>0.0</v>
      </c>
      <c r="DG141" s="2">
        <v>1.0</v>
      </c>
      <c r="DH141" s="2">
        <v>1.0</v>
      </c>
      <c r="DI141" s="2">
        <v>0.0</v>
      </c>
      <c r="DJ141" s="2">
        <v>0.0</v>
      </c>
      <c r="DK141" s="2">
        <v>1.0</v>
      </c>
      <c r="DL141" s="2">
        <v>0.0</v>
      </c>
      <c r="DM141" s="2">
        <v>0.0</v>
      </c>
      <c r="DN141" s="2">
        <v>0.0</v>
      </c>
      <c r="DO141" s="2">
        <v>0.0</v>
      </c>
      <c r="DP141" s="2">
        <v>0.0</v>
      </c>
      <c r="DQ141" s="2">
        <v>7.0</v>
      </c>
      <c r="DR141" s="2">
        <v>0.0</v>
      </c>
      <c r="DS141" s="2">
        <v>63.0</v>
      </c>
      <c r="DT141" s="2">
        <v>328.0</v>
      </c>
      <c r="DU141" s="2">
        <v>5.0</v>
      </c>
      <c r="DV141" s="2">
        <v>1.0</v>
      </c>
      <c r="DW141" s="2">
        <v>0.0</v>
      </c>
      <c r="DX141" s="2">
        <v>1.0</v>
      </c>
      <c r="DY141" s="2">
        <v>4.0</v>
      </c>
      <c r="DZ141" s="2">
        <v>1.0</v>
      </c>
      <c r="EA141" s="2">
        <v>15.0</v>
      </c>
      <c r="EB141" s="2">
        <v>0.0</v>
      </c>
      <c r="EC141" s="2">
        <v>293.0</v>
      </c>
      <c r="EE141" s="2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2">
        <v>2025.0</v>
      </c>
      <c r="B142" s="2">
        <v>5.0</v>
      </c>
      <c r="C142" s="2" t="s">
        <v>202</v>
      </c>
      <c r="D142" s="2" t="s">
        <v>390</v>
      </c>
      <c r="E142" s="2" t="s">
        <v>738</v>
      </c>
      <c r="F142" s="2" t="s">
        <v>138</v>
      </c>
      <c r="G142" s="2">
        <v>20.0</v>
      </c>
      <c r="H142" s="2">
        <v>24.0</v>
      </c>
      <c r="I142" s="2">
        <v>261.0</v>
      </c>
      <c r="J142" s="2">
        <v>4.0</v>
      </c>
      <c r="K142" s="2">
        <v>0.0</v>
      </c>
      <c r="L142" s="2">
        <v>4.0</v>
      </c>
      <c r="M142" s="2">
        <v>-14.0</v>
      </c>
      <c r="N142" s="2">
        <v>1.0</v>
      </c>
      <c r="O142" s="2">
        <v>1.0</v>
      </c>
      <c r="P142" s="2">
        <v>106.0</v>
      </c>
      <c r="Q142" s="2">
        <v>172.0</v>
      </c>
      <c r="R142" s="2">
        <v>15.0</v>
      </c>
      <c r="S142" s="2">
        <v>13.0128966346383</v>
      </c>
      <c r="T142" s="2">
        <v>17.3934863961261</v>
      </c>
      <c r="U142" s="2">
        <v>0.0</v>
      </c>
      <c r="V142" s="2">
        <v>12.0</v>
      </c>
      <c r="W142" s="2">
        <v>6.0</v>
      </c>
      <c r="X142" s="2">
        <v>4.0</v>
      </c>
      <c r="Y142" s="2">
        <v>0.0</v>
      </c>
      <c r="Z142" s="2">
        <v>33.0</v>
      </c>
      <c r="AA142" s="2">
        <v>118.0</v>
      </c>
      <c r="AB142" s="2">
        <v>1.0</v>
      </c>
      <c r="AC142" s="2">
        <v>0.0</v>
      </c>
      <c r="AD142" s="2">
        <v>0.0</v>
      </c>
      <c r="AE142" s="2">
        <v>7.0</v>
      </c>
      <c r="AF142" s="2">
        <v>-3.77759515802609</v>
      </c>
      <c r="AG142" s="2">
        <v>0.0</v>
      </c>
      <c r="AH142" s="2">
        <v>1.0</v>
      </c>
      <c r="AI142" s="2">
        <v>1.0</v>
      </c>
      <c r="AJ142" s="2">
        <v>0.0</v>
      </c>
      <c r="AK142" s="2">
        <v>0.0</v>
      </c>
      <c r="AL142" s="2">
        <v>20.0</v>
      </c>
      <c r="AM142" s="2">
        <v>23.0</v>
      </c>
      <c r="AN142" s="2">
        <v>261.0</v>
      </c>
      <c r="AO142" s="2">
        <v>4.0</v>
      </c>
      <c r="AP142" s="2">
        <v>0.0</v>
      </c>
      <c r="AQ142" s="2">
        <v>0.0</v>
      </c>
      <c r="AR142" s="2">
        <v>106.0</v>
      </c>
      <c r="AS142" s="2">
        <v>172.0</v>
      </c>
      <c r="AT142" s="2">
        <v>15.0</v>
      </c>
      <c r="AU142" s="2">
        <v>24.1389018883929</v>
      </c>
      <c r="AV142" s="2">
        <v>0.0</v>
      </c>
      <c r="AW142" s="2">
        <v>12.0</v>
      </c>
      <c r="AX142" s="2">
        <v>6.0</v>
      </c>
      <c r="AY142" s="2">
        <v>4.0</v>
      </c>
      <c r="AZ142" s="2">
        <v>0.0</v>
      </c>
      <c r="BA142" s="2">
        <v>0.0</v>
      </c>
      <c r="BB142" s="2">
        <v>32.0</v>
      </c>
      <c r="BC142" s="2">
        <v>2.0</v>
      </c>
      <c r="BD142" s="2">
        <v>28.0</v>
      </c>
      <c r="BE142" s="2">
        <v>5.0</v>
      </c>
      <c r="BF142" s="2">
        <v>21.0</v>
      </c>
      <c r="BG142" s="2">
        <v>2.0</v>
      </c>
      <c r="BH142" s="2">
        <v>2.0</v>
      </c>
      <c r="BI142" s="2">
        <v>14.0</v>
      </c>
      <c r="BJ142" s="2">
        <v>9.0</v>
      </c>
      <c r="BK142" s="2">
        <v>3.0</v>
      </c>
      <c r="BL142" s="2">
        <v>17.0</v>
      </c>
      <c r="BM142" s="2">
        <v>11.0</v>
      </c>
      <c r="BN142" s="2">
        <v>0.0</v>
      </c>
      <c r="BO142" s="2">
        <v>0.0</v>
      </c>
      <c r="BP142" s="2">
        <v>1.0</v>
      </c>
      <c r="BQ142" s="2">
        <v>0.0</v>
      </c>
      <c r="BR142" s="2">
        <v>0.0</v>
      </c>
      <c r="BS142" s="2">
        <v>0.0</v>
      </c>
      <c r="BT142" s="2">
        <v>0.0</v>
      </c>
      <c r="BU142" s="2">
        <v>0.0</v>
      </c>
      <c r="BV142" s="2">
        <v>0.0</v>
      </c>
      <c r="BW142" s="2">
        <v>8.0</v>
      </c>
      <c r="BX142" s="2">
        <v>56.0</v>
      </c>
      <c r="BY142" s="2">
        <v>1.0</v>
      </c>
      <c r="BZ142" s="2">
        <v>1.0</v>
      </c>
      <c r="CA142" s="2">
        <v>0.0</v>
      </c>
      <c r="CB142" s="2">
        <v>0.0</v>
      </c>
      <c r="CC142" s="2">
        <v>1.0</v>
      </c>
      <c r="CD142" s="2">
        <v>1.0</v>
      </c>
      <c r="CE142" s="2">
        <v>1.0</v>
      </c>
      <c r="CF142" s="2">
        <v>11.0</v>
      </c>
      <c r="CG142" s="2">
        <v>3.0</v>
      </c>
      <c r="CH142" s="2">
        <v>87.0</v>
      </c>
      <c r="CI142" s="2">
        <v>0.0</v>
      </c>
      <c r="CJ142" s="2">
        <v>0.0</v>
      </c>
      <c r="CK142" s="2">
        <v>0.0</v>
      </c>
      <c r="CL142" s="2">
        <v>0.0</v>
      </c>
      <c r="CO142" s="2">
        <v>0.0</v>
      </c>
      <c r="CP142" s="2">
        <v>0.0</v>
      </c>
      <c r="CQ142" s="2">
        <v>0.0</v>
      </c>
      <c r="CR142" s="2">
        <v>0.0</v>
      </c>
      <c r="CS142" s="2">
        <v>0.0</v>
      </c>
      <c r="CT142" s="2">
        <v>0.0</v>
      </c>
      <c r="CU142" s="2">
        <v>0.0</v>
      </c>
      <c r="CV142" s="2">
        <v>0.0</v>
      </c>
      <c r="CW142" s="2">
        <v>0.0</v>
      </c>
      <c r="CX142" s="2">
        <v>0.0</v>
      </c>
      <c r="CY142" s="2">
        <v>0.0</v>
      </c>
      <c r="CZ142" s="2">
        <v>0.0</v>
      </c>
      <c r="DD142" s="2">
        <v>0.0</v>
      </c>
      <c r="DE142" s="2">
        <v>0.0</v>
      </c>
      <c r="DF142" s="2">
        <v>0.0</v>
      </c>
      <c r="DG142" s="2">
        <v>5.0</v>
      </c>
      <c r="DH142" s="2">
        <v>5.0</v>
      </c>
      <c r="DI142" s="2">
        <v>0.0</v>
      </c>
      <c r="DJ142" s="2">
        <v>0.0</v>
      </c>
      <c r="DK142" s="2">
        <v>1.0</v>
      </c>
      <c r="DL142" s="2">
        <v>0.0</v>
      </c>
      <c r="DM142" s="2">
        <v>0.0</v>
      </c>
      <c r="DN142" s="2">
        <v>0.0</v>
      </c>
      <c r="DO142" s="2">
        <v>0.0</v>
      </c>
      <c r="DP142" s="2">
        <v>0.0</v>
      </c>
      <c r="DQ142" s="2">
        <v>5.0</v>
      </c>
      <c r="DR142" s="2">
        <v>0.0</v>
      </c>
      <c r="DS142" s="2">
        <v>64.0</v>
      </c>
      <c r="DT142" s="2">
        <v>224.0</v>
      </c>
      <c r="DU142" s="2">
        <v>4.0</v>
      </c>
      <c r="DV142" s="2">
        <v>0.0</v>
      </c>
      <c r="DW142" s="2">
        <v>1.0</v>
      </c>
      <c r="DX142" s="2">
        <v>0.0</v>
      </c>
      <c r="DY142" s="2">
        <v>3.0</v>
      </c>
      <c r="DZ142" s="2">
        <v>1.0</v>
      </c>
      <c r="EA142" s="2">
        <v>6.0</v>
      </c>
      <c r="EB142" s="2">
        <v>0.0</v>
      </c>
      <c r="EC142" s="2">
        <v>218.0</v>
      </c>
      <c r="EE142" s="2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2">
        <v>2025.0</v>
      </c>
      <c r="B143" s="2">
        <v>5.0</v>
      </c>
      <c r="C143" s="2" t="s">
        <v>140</v>
      </c>
      <c r="D143" s="2" t="s">
        <v>390</v>
      </c>
      <c r="E143" s="2" t="s">
        <v>720</v>
      </c>
      <c r="F143" s="2" t="s">
        <v>148</v>
      </c>
      <c r="G143" s="2">
        <v>25.0</v>
      </c>
      <c r="H143" s="2">
        <v>31.0</v>
      </c>
      <c r="I143" s="2">
        <v>267.0</v>
      </c>
      <c r="J143" s="2">
        <v>4.0</v>
      </c>
      <c r="K143" s="2">
        <v>0.0</v>
      </c>
      <c r="L143" s="2">
        <v>2.0</v>
      </c>
      <c r="M143" s="2">
        <v>-17.0</v>
      </c>
      <c r="N143" s="2">
        <v>0.0</v>
      </c>
      <c r="O143" s="2">
        <v>0.0</v>
      </c>
      <c r="P143" s="2">
        <v>259.0</v>
      </c>
      <c r="Q143" s="2">
        <v>77.0</v>
      </c>
      <c r="R143" s="2">
        <v>15.0</v>
      </c>
      <c r="S143" s="2">
        <v>18.976819263321</v>
      </c>
      <c r="T143" s="2">
        <v>16.1817425681699</v>
      </c>
      <c r="U143" s="2">
        <v>0.0</v>
      </c>
      <c r="V143" s="2">
        <v>10.0</v>
      </c>
      <c r="W143" s="2">
        <v>4.0</v>
      </c>
      <c r="X143" s="2">
        <v>3.0</v>
      </c>
      <c r="Y143" s="2">
        <v>1.0</v>
      </c>
      <c r="Z143" s="2">
        <v>33.0</v>
      </c>
      <c r="AA143" s="2">
        <v>167.0</v>
      </c>
      <c r="AB143" s="2">
        <v>1.0</v>
      </c>
      <c r="AC143" s="2">
        <v>0.0</v>
      </c>
      <c r="AD143" s="2">
        <v>0.0</v>
      </c>
      <c r="AE143" s="2">
        <v>8.0</v>
      </c>
      <c r="AF143" s="2">
        <v>3.07162675568872</v>
      </c>
      <c r="AG143" s="2">
        <v>0.0</v>
      </c>
      <c r="AH143" s="2">
        <v>4.0</v>
      </c>
      <c r="AI143" s="2">
        <v>2.0</v>
      </c>
      <c r="AJ143" s="2">
        <v>2.0</v>
      </c>
      <c r="AK143" s="2">
        <v>0.0</v>
      </c>
      <c r="AL143" s="2">
        <v>25.0</v>
      </c>
      <c r="AM143" s="2">
        <v>31.0</v>
      </c>
      <c r="AN143" s="2">
        <v>267.0</v>
      </c>
      <c r="AO143" s="2">
        <v>4.0</v>
      </c>
      <c r="AP143" s="2">
        <v>0.0</v>
      </c>
      <c r="AQ143" s="2">
        <v>0.0</v>
      </c>
      <c r="AR143" s="2">
        <v>259.0</v>
      </c>
      <c r="AS143" s="2">
        <v>77.0</v>
      </c>
      <c r="AT143" s="2">
        <v>15.0</v>
      </c>
      <c r="AU143" s="2">
        <v>23.0996326262095</v>
      </c>
      <c r="AV143" s="2">
        <v>0.0</v>
      </c>
      <c r="AW143" s="2">
        <v>10.0</v>
      </c>
      <c r="AX143" s="2">
        <v>4.0</v>
      </c>
      <c r="AY143" s="2">
        <v>3.0</v>
      </c>
      <c r="AZ143" s="2">
        <v>1.0</v>
      </c>
      <c r="BA143" s="2">
        <v>0.0</v>
      </c>
      <c r="BB143" s="2">
        <v>28.0</v>
      </c>
      <c r="BC143" s="2">
        <v>1.0</v>
      </c>
      <c r="BD143" s="2">
        <v>27.0</v>
      </c>
      <c r="BE143" s="2">
        <v>3.0</v>
      </c>
      <c r="BF143" s="2">
        <v>20.0</v>
      </c>
      <c r="BG143" s="2">
        <v>0.0</v>
      </c>
      <c r="BH143" s="2">
        <v>1.0</v>
      </c>
      <c r="BI143" s="2">
        <v>16.0</v>
      </c>
      <c r="BJ143" s="2">
        <v>2.0</v>
      </c>
      <c r="BK143" s="2">
        <v>3.0</v>
      </c>
      <c r="BL143" s="2">
        <v>20.0</v>
      </c>
      <c r="BM143" s="2">
        <v>4.0</v>
      </c>
      <c r="BN143" s="2">
        <v>0.0</v>
      </c>
      <c r="BO143" s="2">
        <v>0.0</v>
      </c>
      <c r="BP143" s="2">
        <v>0.0</v>
      </c>
      <c r="BQ143" s="2">
        <v>0.0</v>
      </c>
      <c r="BR143" s="2">
        <v>0.0</v>
      </c>
      <c r="BS143" s="2">
        <v>0.0</v>
      </c>
      <c r="BT143" s="2">
        <v>0.0</v>
      </c>
      <c r="BU143" s="2">
        <v>0.0</v>
      </c>
      <c r="BV143" s="2">
        <v>0.0</v>
      </c>
      <c r="BW143" s="2">
        <v>4.0</v>
      </c>
      <c r="BX143" s="2">
        <v>26.0</v>
      </c>
      <c r="BY143" s="2">
        <v>1.0</v>
      </c>
      <c r="BZ143" s="2">
        <v>0.0</v>
      </c>
      <c r="CA143" s="2">
        <v>0.0</v>
      </c>
      <c r="CB143" s="2">
        <v>0.0</v>
      </c>
      <c r="CC143" s="2">
        <v>0.0</v>
      </c>
      <c r="CD143" s="2">
        <v>0.0</v>
      </c>
      <c r="CE143" s="2">
        <v>1.0</v>
      </c>
      <c r="CF143" s="2">
        <v>12.0</v>
      </c>
      <c r="CG143" s="2">
        <v>2.0</v>
      </c>
      <c r="CH143" s="2">
        <v>58.0</v>
      </c>
      <c r="CI143" s="2">
        <v>3.0</v>
      </c>
      <c r="CJ143" s="2">
        <v>3.0</v>
      </c>
      <c r="CK143" s="2">
        <v>0.0</v>
      </c>
      <c r="CL143" s="2">
        <v>0.0</v>
      </c>
      <c r="CM143" s="2">
        <v>57.0</v>
      </c>
      <c r="CN143" s="2">
        <v>1.0</v>
      </c>
      <c r="CO143" s="2">
        <v>0.0</v>
      </c>
      <c r="CP143" s="2">
        <v>0.0</v>
      </c>
      <c r="CQ143" s="2">
        <v>1.0</v>
      </c>
      <c r="CR143" s="2">
        <v>0.0</v>
      </c>
      <c r="CS143" s="2">
        <v>2.0</v>
      </c>
      <c r="CT143" s="2">
        <v>0.0</v>
      </c>
      <c r="CU143" s="2">
        <v>0.0</v>
      </c>
      <c r="CV143" s="2">
        <v>0.0</v>
      </c>
      <c r="CW143" s="2">
        <v>0.0</v>
      </c>
      <c r="CX143" s="2">
        <v>0.0</v>
      </c>
      <c r="CY143" s="2">
        <v>0.0</v>
      </c>
      <c r="CZ143" s="2">
        <v>0.0</v>
      </c>
      <c r="DA143" s="2" t="s">
        <v>2080</v>
      </c>
      <c r="DD143" s="2">
        <v>141.0</v>
      </c>
      <c r="DE143" s="2">
        <v>0.0</v>
      </c>
      <c r="DF143" s="2">
        <v>0.0</v>
      </c>
      <c r="DG143" s="2">
        <v>5.0</v>
      </c>
      <c r="DH143" s="2">
        <v>5.0</v>
      </c>
      <c r="DI143" s="2">
        <v>0.0</v>
      </c>
      <c r="DJ143" s="2">
        <v>0.0</v>
      </c>
      <c r="DK143" s="2">
        <v>1.0</v>
      </c>
      <c r="DL143" s="2">
        <v>0.0</v>
      </c>
      <c r="DM143" s="2">
        <v>0.0</v>
      </c>
      <c r="DN143" s="2">
        <v>0.0</v>
      </c>
      <c r="DO143" s="2">
        <v>0.0</v>
      </c>
      <c r="DP143" s="2">
        <v>0.0</v>
      </c>
      <c r="DQ143" s="2">
        <v>1.0</v>
      </c>
      <c r="DR143" s="2">
        <v>0.0</v>
      </c>
      <c r="DS143" s="2">
        <v>59.0</v>
      </c>
      <c r="DT143" s="2">
        <v>59.0</v>
      </c>
      <c r="DU143" s="2">
        <v>0.0</v>
      </c>
      <c r="DV143" s="2">
        <v>0.0</v>
      </c>
      <c r="DW143" s="2">
        <v>0.0</v>
      </c>
      <c r="DX143" s="2">
        <v>0.0</v>
      </c>
      <c r="DY143" s="2">
        <v>0.0</v>
      </c>
      <c r="DZ143" s="2">
        <v>1.0</v>
      </c>
      <c r="EA143" s="2">
        <v>16.0</v>
      </c>
      <c r="EB143" s="2">
        <v>0.0</v>
      </c>
      <c r="EC143" s="2">
        <v>43.0</v>
      </c>
      <c r="EE143" s="2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2">
        <v>2025.0</v>
      </c>
      <c r="B144" s="2">
        <v>5.0</v>
      </c>
      <c r="C144" s="2" t="s">
        <v>210</v>
      </c>
      <c r="D144" s="2" t="s">
        <v>390</v>
      </c>
      <c r="E144" s="2" t="s">
        <v>726</v>
      </c>
      <c r="F144" s="2" t="s">
        <v>222</v>
      </c>
      <c r="G144" s="2">
        <v>21.0</v>
      </c>
      <c r="H144" s="2">
        <v>32.0</v>
      </c>
      <c r="I144" s="2">
        <v>221.0</v>
      </c>
      <c r="J144" s="2">
        <v>2.0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267.0</v>
      </c>
      <c r="Q144" s="2">
        <v>72.0</v>
      </c>
      <c r="R144" s="2">
        <v>12.0</v>
      </c>
      <c r="S144" s="2">
        <v>10.6825963983869</v>
      </c>
      <c r="T144" s="2">
        <v>-1.61030782807258</v>
      </c>
      <c r="U144" s="2">
        <v>0.0</v>
      </c>
      <c r="V144" s="2">
        <v>7.0</v>
      </c>
      <c r="W144" s="2">
        <v>4.0</v>
      </c>
      <c r="X144" s="2">
        <v>2.0</v>
      </c>
      <c r="Y144" s="2">
        <v>0.0</v>
      </c>
      <c r="Z144" s="2">
        <v>25.0</v>
      </c>
      <c r="AA144" s="2">
        <v>96.0</v>
      </c>
      <c r="AB144" s="2">
        <v>4.0</v>
      </c>
      <c r="AC144" s="2">
        <v>0.0</v>
      </c>
      <c r="AD144" s="2">
        <v>0.0</v>
      </c>
      <c r="AE144" s="2">
        <v>9.0</v>
      </c>
      <c r="AF144" s="2">
        <v>6.2042357967149</v>
      </c>
      <c r="AG144" s="2">
        <v>1.0</v>
      </c>
      <c r="AH144" s="2">
        <v>2.0</v>
      </c>
      <c r="AI144" s="2">
        <v>2.0</v>
      </c>
      <c r="AJ144" s="2">
        <v>0.0</v>
      </c>
      <c r="AK144" s="2">
        <v>0.0</v>
      </c>
      <c r="AL144" s="2">
        <v>21.0</v>
      </c>
      <c r="AM144" s="2">
        <v>31.0</v>
      </c>
      <c r="AN144" s="2">
        <v>221.0</v>
      </c>
      <c r="AO144" s="2">
        <v>2.0</v>
      </c>
      <c r="AP144" s="2">
        <v>0.0</v>
      </c>
      <c r="AQ144" s="2">
        <v>0.0</v>
      </c>
      <c r="AR144" s="2">
        <v>267.0</v>
      </c>
      <c r="AS144" s="2">
        <v>72.0</v>
      </c>
      <c r="AT144" s="2">
        <v>12.0</v>
      </c>
      <c r="AU144" s="2">
        <v>11.1479237874013</v>
      </c>
      <c r="AV144" s="2">
        <v>0.0</v>
      </c>
      <c r="AW144" s="2">
        <v>7.0</v>
      </c>
      <c r="AX144" s="2">
        <v>4.0</v>
      </c>
      <c r="AY144" s="2">
        <v>2.0</v>
      </c>
      <c r="AZ144" s="2">
        <v>0.0</v>
      </c>
      <c r="BA144" s="2">
        <v>0.0</v>
      </c>
      <c r="BB144" s="2">
        <v>40.0</v>
      </c>
      <c r="BC144" s="2">
        <v>1.0</v>
      </c>
      <c r="BD144" s="2">
        <v>37.0</v>
      </c>
      <c r="BE144" s="2">
        <v>6.0</v>
      </c>
      <c r="BF144" s="2">
        <v>40.0</v>
      </c>
      <c r="BG144" s="2">
        <v>0.0</v>
      </c>
      <c r="BH144" s="2">
        <v>4.0</v>
      </c>
      <c r="BI144" s="2">
        <v>38.0</v>
      </c>
      <c r="BJ144" s="2">
        <v>5.0</v>
      </c>
      <c r="BK144" s="2">
        <v>2.0</v>
      </c>
      <c r="BL144" s="2">
        <v>32.0</v>
      </c>
      <c r="BM144" s="2">
        <v>8.0</v>
      </c>
      <c r="BN144" s="2">
        <v>0.0</v>
      </c>
      <c r="BO144" s="2">
        <v>0.0</v>
      </c>
      <c r="BP144" s="2">
        <v>0.0</v>
      </c>
      <c r="BQ144" s="2">
        <v>0.0</v>
      </c>
      <c r="BR144" s="2">
        <v>1.0</v>
      </c>
      <c r="BS144" s="2">
        <v>0.0</v>
      </c>
      <c r="BT144" s="2">
        <v>0.0</v>
      </c>
      <c r="BU144" s="2">
        <v>0.0</v>
      </c>
      <c r="BV144" s="2">
        <v>0.0</v>
      </c>
      <c r="BW144" s="2">
        <v>9.0</v>
      </c>
      <c r="BX144" s="2">
        <v>77.0</v>
      </c>
      <c r="BY144" s="2">
        <v>3.0</v>
      </c>
      <c r="BZ144" s="2">
        <v>0.0</v>
      </c>
      <c r="CA144" s="2">
        <v>1.0</v>
      </c>
      <c r="CB144" s="2">
        <v>0.0</v>
      </c>
      <c r="CC144" s="2">
        <v>1.0</v>
      </c>
      <c r="CD144" s="2">
        <v>0.0</v>
      </c>
      <c r="CE144" s="2">
        <v>0.0</v>
      </c>
      <c r="CF144" s="2">
        <v>0.0</v>
      </c>
      <c r="CG144" s="2">
        <v>3.0</v>
      </c>
      <c r="CH144" s="2">
        <v>74.0</v>
      </c>
      <c r="CI144" s="2">
        <v>0.0</v>
      </c>
      <c r="CJ144" s="2">
        <v>0.0</v>
      </c>
      <c r="CK144" s="2">
        <v>0.0</v>
      </c>
      <c r="CL144" s="2">
        <v>0.0</v>
      </c>
      <c r="CO144" s="2">
        <v>0.0</v>
      </c>
      <c r="CP144" s="2">
        <v>0.0</v>
      </c>
      <c r="CQ144" s="2">
        <v>0.0</v>
      </c>
      <c r="CR144" s="2">
        <v>0.0</v>
      </c>
      <c r="CS144" s="2">
        <v>0.0</v>
      </c>
      <c r="CT144" s="2">
        <v>0.0</v>
      </c>
      <c r="CU144" s="2">
        <v>0.0</v>
      </c>
      <c r="CV144" s="2">
        <v>0.0</v>
      </c>
      <c r="CW144" s="2">
        <v>0.0</v>
      </c>
      <c r="CX144" s="2">
        <v>0.0</v>
      </c>
      <c r="CY144" s="2">
        <v>0.0</v>
      </c>
      <c r="CZ144" s="2">
        <v>0.0</v>
      </c>
      <c r="DD144" s="2">
        <v>0.0</v>
      </c>
      <c r="DE144" s="2">
        <v>0.0</v>
      </c>
      <c r="DF144" s="2">
        <v>0.0</v>
      </c>
      <c r="DG144" s="2">
        <v>2.0</v>
      </c>
      <c r="DH144" s="2">
        <v>2.0</v>
      </c>
      <c r="DI144" s="2">
        <v>0.0</v>
      </c>
      <c r="DJ144" s="2">
        <v>0.0</v>
      </c>
      <c r="DK144" s="2">
        <v>1.0</v>
      </c>
      <c r="DL144" s="2">
        <v>0.0</v>
      </c>
      <c r="DM144" s="2">
        <v>0.0</v>
      </c>
      <c r="DN144" s="2">
        <v>0.0</v>
      </c>
      <c r="DO144" s="2">
        <v>0.0</v>
      </c>
      <c r="DP144" s="2">
        <v>0.0</v>
      </c>
      <c r="DQ144" s="2">
        <v>2.0</v>
      </c>
      <c r="DR144" s="2">
        <v>0.0</v>
      </c>
      <c r="DS144" s="2">
        <v>56.0</v>
      </c>
      <c r="DT144" s="2">
        <v>101.0</v>
      </c>
      <c r="DU144" s="2">
        <v>2.0</v>
      </c>
      <c r="DV144" s="2">
        <v>0.0</v>
      </c>
      <c r="DW144" s="2">
        <v>0.0</v>
      </c>
      <c r="DX144" s="2">
        <v>0.0</v>
      </c>
      <c r="DY144" s="2">
        <v>1.0</v>
      </c>
      <c r="DZ144" s="2">
        <v>1.0</v>
      </c>
      <c r="EA144" s="2">
        <v>8.0</v>
      </c>
      <c r="EB144" s="2">
        <v>0.0</v>
      </c>
      <c r="EC144" s="2">
        <v>93.0</v>
      </c>
      <c r="EE144" s="2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2">
        <v>2025.0</v>
      </c>
      <c r="B145" s="2">
        <v>5.0</v>
      </c>
      <c r="C145" s="2" t="s">
        <v>141</v>
      </c>
      <c r="D145" s="2" t="s">
        <v>390</v>
      </c>
      <c r="E145" s="2" t="s">
        <v>744</v>
      </c>
      <c r="F145" s="2" t="s">
        <v>143</v>
      </c>
      <c r="G145" s="2">
        <v>18.0</v>
      </c>
      <c r="H145" s="2">
        <v>25.0</v>
      </c>
      <c r="I145" s="2">
        <v>221.0</v>
      </c>
      <c r="J145" s="2">
        <v>1.0</v>
      </c>
      <c r="K145" s="2">
        <v>1.0</v>
      </c>
      <c r="L145" s="2">
        <v>3.0</v>
      </c>
      <c r="M145" s="2">
        <v>-11.0</v>
      </c>
      <c r="N145" s="2">
        <v>0.0</v>
      </c>
      <c r="O145" s="2">
        <v>0.0</v>
      </c>
      <c r="P145" s="2">
        <v>209.0</v>
      </c>
      <c r="Q145" s="2">
        <v>101.0</v>
      </c>
      <c r="R145" s="2">
        <v>8.0</v>
      </c>
      <c r="S145" s="2">
        <v>-0.743914397645079</v>
      </c>
      <c r="T145" s="2">
        <v>8.06121611595154</v>
      </c>
      <c r="U145" s="2">
        <v>0.0</v>
      </c>
      <c r="V145" s="2">
        <v>9.0</v>
      </c>
      <c r="W145" s="2">
        <v>4.0</v>
      </c>
      <c r="X145" s="2">
        <v>4.0</v>
      </c>
      <c r="Y145" s="2">
        <v>1.0</v>
      </c>
      <c r="Z145" s="2">
        <v>26.0</v>
      </c>
      <c r="AA145" s="2">
        <v>109.0</v>
      </c>
      <c r="AB145" s="2">
        <v>2.0</v>
      </c>
      <c r="AC145" s="2">
        <v>1.0</v>
      </c>
      <c r="AD145" s="2">
        <v>1.0</v>
      </c>
      <c r="AE145" s="2">
        <v>9.0</v>
      </c>
      <c r="AF145" s="2">
        <v>2.27179768492351</v>
      </c>
      <c r="AG145" s="2">
        <v>0.0</v>
      </c>
      <c r="AH145" s="2">
        <v>3.0</v>
      </c>
      <c r="AI145" s="2">
        <v>2.0</v>
      </c>
      <c r="AJ145" s="2">
        <v>0.0</v>
      </c>
      <c r="AK145" s="2">
        <v>0.0</v>
      </c>
      <c r="AL145" s="2">
        <v>18.0</v>
      </c>
      <c r="AM145" s="2">
        <v>25.0</v>
      </c>
      <c r="AN145" s="2">
        <v>221.0</v>
      </c>
      <c r="AO145" s="2">
        <v>1.0</v>
      </c>
      <c r="AP145" s="2">
        <v>0.0</v>
      </c>
      <c r="AQ145" s="2">
        <v>0.0</v>
      </c>
      <c r="AR145" s="2">
        <v>209.0</v>
      </c>
      <c r="AS145" s="2">
        <v>101.0</v>
      </c>
      <c r="AT145" s="2">
        <v>8.0</v>
      </c>
      <c r="AU145" s="2">
        <v>0.851858932400553</v>
      </c>
      <c r="AV145" s="2">
        <v>0.0</v>
      </c>
      <c r="AW145" s="2">
        <v>9.0</v>
      </c>
      <c r="AX145" s="2">
        <v>4.0</v>
      </c>
      <c r="AY145" s="2">
        <v>4.0</v>
      </c>
      <c r="AZ145" s="2">
        <v>1.0</v>
      </c>
      <c r="BA145" s="2">
        <v>0.0</v>
      </c>
      <c r="BB145" s="2">
        <v>40.0</v>
      </c>
      <c r="BC145" s="2">
        <v>0.0</v>
      </c>
      <c r="BD145" s="2">
        <v>28.0</v>
      </c>
      <c r="BE145" s="2">
        <v>1.0</v>
      </c>
      <c r="BF145" s="2">
        <v>6.0</v>
      </c>
      <c r="BG145" s="2">
        <v>0.0</v>
      </c>
      <c r="BH145" s="2">
        <v>0.0</v>
      </c>
      <c r="BI145" s="2">
        <v>0.0</v>
      </c>
      <c r="BJ145" s="2">
        <v>4.0</v>
      </c>
      <c r="BK145" s="2">
        <v>1.0</v>
      </c>
      <c r="BL145" s="2">
        <v>99.0</v>
      </c>
      <c r="BM145" s="2">
        <v>6.0</v>
      </c>
      <c r="BN145" s="2">
        <v>1.0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0.0</v>
      </c>
      <c r="BV145" s="2">
        <v>0.0</v>
      </c>
      <c r="BW145" s="2">
        <v>4.0</v>
      </c>
      <c r="BX145" s="2">
        <v>25.0</v>
      </c>
      <c r="BY145" s="2">
        <v>5.0</v>
      </c>
      <c r="BZ145" s="2">
        <v>1.0</v>
      </c>
      <c r="CA145" s="2">
        <v>0.0</v>
      </c>
      <c r="CB145" s="2">
        <v>0.0</v>
      </c>
      <c r="CC145" s="2">
        <v>1.0</v>
      </c>
      <c r="CD145" s="2">
        <v>1.0</v>
      </c>
      <c r="CE145" s="2">
        <v>1.0</v>
      </c>
      <c r="CF145" s="2">
        <v>-1.0</v>
      </c>
      <c r="CG145" s="2">
        <v>4.0</v>
      </c>
      <c r="CH145" s="2">
        <v>117.0</v>
      </c>
      <c r="CI145" s="2">
        <v>1.0</v>
      </c>
      <c r="CJ145" s="2">
        <v>1.0</v>
      </c>
      <c r="CK145" s="2">
        <v>0.0</v>
      </c>
      <c r="CL145" s="2">
        <v>0.0</v>
      </c>
      <c r="CM145" s="2">
        <v>52.0</v>
      </c>
      <c r="CN145" s="2">
        <v>1.0</v>
      </c>
      <c r="CO145" s="2">
        <v>0.0</v>
      </c>
      <c r="CP145" s="2">
        <v>0.0</v>
      </c>
      <c r="CQ145" s="2">
        <v>0.0</v>
      </c>
      <c r="CR145" s="2">
        <v>0.0</v>
      </c>
      <c r="CS145" s="2">
        <v>1.0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0.0</v>
      </c>
      <c r="DA145" s="2" t="s">
        <v>2034</v>
      </c>
      <c r="DD145" s="2">
        <v>52.0</v>
      </c>
      <c r="DE145" s="2">
        <v>0.0</v>
      </c>
      <c r="DF145" s="2">
        <v>0.0</v>
      </c>
      <c r="DG145" s="2">
        <v>4.0</v>
      </c>
      <c r="DH145" s="2">
        <v>4.0</v>
      </c>
      <c r="DI145" s="2">
        <v>0.0</v>
      </c>
      <c r="DJ145" s="2">
        <v>0.0</v>
      </c>
      <c r="DK145" s="2">
        <v>1.0</v>
      </c>
      <c r="DL145" s="2">
        <v>0.0</v>
      </c>
      <c r="DM145" s="2">
        <v>0.0</v>
      </c>
      <c r="DN145" s="2">
        <v>0.0</v>
      </c>
      <c r="DO145" s="2">
        <v>0.0</v>
      </c>
      <c r="DP145" s="2">
        <v>0.0</v>
      </c>
      <c r="DQ145" s="2">
        <v>2.0</v>
      </c>
      <c r="DR145" s="2">
        <v>0.0</v>
      </c>
      <c r="DS145" s="2">
        <v>53.0</v>
      </c>
      <c r="DT145" s="2">
        <v>105.0</v>
      </c>
      <c r="DU145" s="2">
        <v>1.0</v>
      </c>
      <c r="DV145" s="2">
        <v>0.0</v>
      </c>
      <c r="DW145" s="2">
        <v>0.0</v>
      </c>
      <c r="DX145" s="2">
        <v>0.0</v>
      </c>
      <c r="DY145" s="2">
        <v>0.0</v>
      </c>
      <c r="DZ145" s="2">
        <v>2.0</v>
      </c>
      <c r="EA145" s="2">
        <v>2.0</v>
      </c>
      <c r="EB145" s="2">
        <v>0.0</v>
      </c>
      <c r="EC145" s="2">
        <v>103.0</v>
      </c>
      <c r="EE145" s="2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2">
        <v>2025.0</v>
      </c>
      <c r="B146" s="2">
        <v>5.0</v>
      </c>
      <c r="C146" s="2" t="s">
        <v>143</v>
      </c>
      <c r="D146" s="2" t="s">
        <v>390</v>
      </c>
      <c r="E146" s="2" t="s">
        <v>744</v>
      </c>
      <c r="F146" s="2" t="s">
        <v>141</v>
      </c>
      <c r="G146" s="2">
        <v>29.0</v>
      </c>
      <c r="H146" s="2">
        <v>41.0</v>
      </c>
      <c r="I146" s="2">
        <v>318.0</v>
      </c>
      <c r="J146" s="2">
        <v>1.0</v>
      </c>
      <c r="K146" s="2">
        <v>1.0</v>
      </c>
      <c r="L146" s="2">
        <v>0.0</v>
      </c>
      <c r="M146" s="2">
        <v>0.0</v>
      </c>
      <c r="N146" s="2">
        <v>0.0</v>
      </c>
      <c r="O146" s="2">
        <v>0.0</v>
      </c>
      <c r="P146" s="2">
        <v>401.0</v>
      </c>
      <c r="Q146" s="2">
        <v>152.0</v>
      </c>
      <c r="R146" s="2">
        <v>15.0</v>
      </c>
      <c r="S146" s="2">
        <v>2.66431719413959</v>
      </c>
      <c r="T146" s="2">
        <v>6.20495922863483</v>
      </c>
      <c r="U146" s="2">
        <v>0.0</v>
      </c>
      <c r="V146" s="2">
        <v>12.0</v>
      </c>
      <c r="W146" s="2">
        <v>6.0</v>
      </c>
      <c r="X146" s="2">
        <v>4.0</v>
      </c>
      <c r="Y146" s="2">
        <v>0.0</v>
      </c>
      <c r="Z146" s="2">
        <v>22.0</v>
      </c>
      <c r="AA146" s="2">
        <v>158.0</v>
      </c>
      <c r="AB146" s="2">
        <v>3.0</v>
      </c>
      <c r="AC146" s="2">
        <v>0.0</v>
      </c>
      <c r="AD146" s="2">
        <v>0.0</v>
      </c>
      <c r="AE146" s="2">
        <v>11.0</v>
      </c>
      <c r="AF146" s="2">
        <v>9.24239700840553</v>
      </c>
      <c r="AG146" s="2">
        <v>0.0</v>
      </c>
      <c r="AH146" s="2">
        <v>5.0</v>
      </c>
      <c r="AI146" s="2">
        <v>4.0</v>
      </c>
      <c r="AJ146" s="2">
        <v>1.0</v>
      </c>
      <c r="AK146" s="2">
        <v>0.0</v>
      </c>
      <c r="AL146" s="2">
        <v>29.0</v>
      </c>
      <c r="AM146" s="2">
        <v>40.0</v>
      </c>
      <c r="AN146" s="2">
        <v>318.0</v>
      </c>
      <c r="AO146" s="2">
        <v>1.0</v>
      </c>
      <c r="AP146" s="2">
        <v>0.0</v>
      </c>
      <c r="AQ146" s="2">
        <v>0.0</v>
      </c>
      <c r="AR146" s="2">
        <v>401.0</v>
      </c>
      <c r="AS146" s="2">
        <v>152.0</v>
      </c>
      <c r="AT146" s="2">
        <v>15.0</v>
      </c>
      <c r="AU146" s="2">
        <v>3.06202643539291</v>
      </c>
      <c r="AV146" s="2">
        <v>0.0</v>
      </c>
      <c r="AW146" s="2">
        <v>12.0</v>
      </c>
      <c r="AX146" s="2">
        <v>6.0</v>
      </c>
      <c r="AY146" s="2">
        <v>4.0</v>
      </c>
      <c r="AZ146" s="2">
        <v>0.0</v>
      </c>
      <c r="BA146" s="2">
        <v>0.0</v>
      </c>
      <c r="BB146" s="2">
        <v>31.0</v>
      </c>
      <c r="BC146" s="2">
        <v>1.0</v>
      </c>
      <c r="BD146" s="2">
        <v>33.0</v>
      </c>
      <c r="BE146" s="2">
        <v>5.0</v>
      </c>
      <c r="BF146" s="2">
        <v>13.0</v>
      </c>
      <c r="BG146" s="2">
        <v>1.0</v>
      </c>
      <c r="BH146" s="2">
        <v>3.0</v>
      </c>
      <c r="BI146" s="2">
        <v>11.0</v>
      </c>
      <c r="BJ146" s="2">
        <v>8.0</v>
      </c>
      <c r="BK146" s="2">
        <v>1.0</v>
      </c>
      <c r="BL146" s="2">
        <v>2.0</v>
      </c>
      <c r="BM146" s="2">
        <v>5.0</v>
      </c>
      <c r="BN146" s="2">
        <v>0.0</v>
      </c>
      <c r="BO146" s="2">
        <v>0.0</v>
      </c>
      <c r="BP146" s="2">
        <v>0.0</v>
      </c>
      <c r="BQ146" s="2">
        <v>0.0</v>
      </c>
      <c r="BR146" s="2">
        <v>0.0</v>
      </c>
      <c r="BS146" s="2">
        <v>0.0</v>
      </c>
      <c r="BT146" s="2">
        <v>1.0</v>
      </c>
      <c r="BU146" s="2">
        <v>1.0</v>
      </c>
      <c r="BV146" s="2">
        <v>0.0</v>
      </c>
      <c r="BW146" s="2">
        <v>13.0</v>
      </c>
      <c r="BX146" s="2">
        <v>109.0</v>
      </c>
      <c r="BY146" s="2">
        <v>3.0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2.0</v>
      </c>
      <c r="CF146" s="2">
        <v>2.0</v>
      </c>
      <c r="CG146" s="2">
        <v>5.0</v>
      </c>
      <c r="CH146" s="2">
        <v>130.0</v>
      </c>
      <c r="CI146" s="2">
        <v>0.0</v>
      </c>
      <c r="CJ146" s="2">
        <v>0.0</v>
      </c>
      <c r="CK146" s="2">
        <v>0.0</v>
      </c>
      <c r="CL146" s="2">
        <v>0.0</v>
      </c>
      <c r="CO146" s="2">
        <v>0.0</v>
      </c>
      <c r="CP146" s="2">
        <v>0.0</v>
      </c>
      <c r="CQ146" s="2">
        <v>0.0</v>
      </c>
      <c r="CR146" s="2">
        <v>0.0</v>
      </c>
      <c r="CS146" s="2">
        <v>0.0</v>
      </c>
      <c r="CT146" s="2">
        <v>0.0</v>
      </c>
      <c r="CU146" s="2">
        <v>0.0</v>
      </c>
      <c r="CV146" s="2">
        <v>0.0</v>
      </c>
      <c r="CW146" s="2">
        <v>0.0</v>
      </c>
      <c r="CX146" s="2">
        <v>0.0</v>
      </c>
      <c r="CY146" s="2">
        <v>0.0</v>
      </c>
      <c r="CZ146" s="2">
        <v>0.0</v>
      </c>
      <c r="DD146" s="2">
        <v>0.0</v>
      </c>
      <c r="DE146" s="2">
        <v>0.0</v>
      </c>
      <c r="DF146" s="2">
        <v>0.0</v>
      </c>
      <c r="DG146" s="2">
        <v>4.0</v>
      </c>
      <c r="DH146" s="2">
        <v>4.0</v>
      </c>
      <c r="DI146" s="2">
        <v>0.0</v>
      </c>
      <c r="DJ146" s="2">
        <v>0.0</v>
      </c>
      <c r="DK146" s="2">
        <v>1.0</v>
      </c>
      <c r="DL146" s="2">
        <v>0.0</v>
      </c>
      <c r="DM146" s="2">
        <v>0.0</v>
      </c>
      <c r="DN146" s="2">
        <v>0.0</v>
      </c>
      <c r="DO146" s="2">
        <v>0.0</v>
      </c>
      <c r="DP146" s="2">
        <v>0.0</v>
      </c>
      <c r="DQ146" s="2">
        <v>4.0</v>
      </c>
      <c r="DR146" s="2">
        <v>0.0</v>
      </c>
      <c r="DS146" s="2">
        <v>55.0</v>
      </c>
      <c r="DT146" s="2">
        <v>164.0</v>
      </c>
      <c r="DU146" s="2">
        <v>4.0</v>
      </c>
      <c r="DV146" s="2">
        <v>0.0</v>
      </c>
      <c r="DW146" s="2">
        <v>1.0</v>
      </c>
      <c r="DX146" s="2">
        <v>0.0</v>
      </c>
      <c r="DY146" s="2">
        <v>2.0</v>
      </c>
      <c r="DZ146" s="2">
        <v>1.0</v>
      </c>
      <c r="EA146" s="2">
        <v>-1.0</v>
      </c>
      <c r="EB146" s="2">
        <v>0.0</v>
      </c>
      <c r="EC146" s="2">
        <v>165.0</v>
      </c>
      <c r="EE146" s="2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2">
        <v>2025.0</v>
      </c>
      <c r="B147" s="2">
        <v>5.0</v>
      </c>
      <c r="C147" s="2" t="s">
        <v>142</v>
      </c>
      <c r="D147" s="2" t="s">
        <v>390</v>
      </c>
      <c r="E147" s="2" t="s">
        <v>712</v>
      </c>
      <c r="F147" s="2" t="s">
        <v>246</v>
      </c>
      <c r="G147" s="2">
        <v>30.0</v>
      </c>
      <c r="H147" s="2">
        <v>47.0</v>
      </c>
      <c r="I147" s="2">
        <v>389.0</v>
      </c>
      <c r="J147" s="2">
        <v>3.0</v>
      </c>
      <c r="K147" s="2">
        <v>0.0</v>
      </c>
      <c r="L147" s="2">
        <v>1.0</v>
      </c>
      <c r="M147" s="2">
        <v>-11.0</v>
      </c>
      <c r="N147" s="2">
        <v>0.0</v>
      </c>
      <c r="O147" s="2">
        <v>0.0</v>
      </c>
      <c r="P147" s="2">
        <v>528.0</v>
      </c>
      <c r="Q147" s="2">
        <v>120.0</v>
      </c>
      <c r="R147" s="2">
        <v>18.0</v>
      </c>
      <c r="S147" s="2">
        <v>15.0724531842212</v>
      </c>
      <c r="T147" s="2">
        <v>-3.26750077631163</v>
      </c>
      <c r="U147" s="2">
        <v>0.0</v>
      </c>
      <c r="V147" s="2">
        <v>16.0</v>
      </c>
      <c r="W147" s="2">
        <v>9.0</v>
      </c>
      <c r="X147" s="2">
        <v>7.0</v>
      </c>
      <c r="Y147" s="2">
        <v>0.0</v>
      </c>
      <c r="Z147" s="2">
        <v>16.0</v>
      </c>
      <c r="AA147" s="2">
        <v>78.0</v>
      </c>
      <c r="AB147" s="2">
        <v>0.0</v>
      </c>
      <c r="AC147" s="2">
        <v>2.0</v>
      </c>
      <c r="AD147" s="2">
        <v>2.0</v>
      </c>
      <c r="AE147" s="2">
        <v>5.0</v>
      </c>
      <c r="AF147" s="2">
        <v>-10.6593289166922</v>
      </c>
      <c r="AG147" s="2">
        <v>0.0</v>
      </c>
      <c r="AH147" s="2">
        <v>2.0</v>
      </c>
      <c r="AI147" s="2">
        <v>2.0</v>
      </c>
      <c r="AJ147" s="2">
        <v>1.0</v>
      </c>
      <c r="AK147" s="2">
        <v>0.0</v>
      </c>
      <c r="AL147" s="2">
        <v>30.0</v>
      </c>
      <c r="AM147" s="2">
        <v>46.0</v>
      </c>
      <c r="AN147" s="2">
        <v>389.0</v>
      </c>
      <c r="AO147" s="2">
        <v>3.0</v>
      </c>
      <c r="AP147" s="2">
        <v>0.0</v>
      </c>
      <c r="AQ147" s="2">
        <v>0.0</v>
      </c>
      <c r="AR147" s="2">
        <v>528.0</v>
      </c>
      <c r="AS147" s="2">
        <v>120.0</v>
      </c>
      <c r="AT147" s="2">
        <v>18.0</v>
      </c>
      <c r="AU147" s="2">
        <v>17.3367134132355</v>
      </c>
      <c r="AV147" s="2">
        <v>0.0</v>
      </c>
      <c r="AW147" s="2">
        <v>16.0</v>
      </c>
      <c r="AX147" s="2">
        <v>9.0</v>
      </c>
      <c r="AY147" s="2">
        <v>7.0</v>
      </c>
      <c r="AZ147" s="2">
        <v>0.0</v>
      </c>
      <c r="BA147" s="2">
        <v>0.0</v>
      </c>
      <c r="BB147" s="2">
        <v>47.0</v>
      </c>
      <c r="BC147" s="2">
        <v>4.0</v>
      </c>
      <c r="BD147" s="2">
        <v>38.0</v>
      </c>
      <c r="BE147" s="2">
        <v>3.0</v>
      </c>
      <c r="BF147" s="2">
        <v>5.0</v>
      </c>
      <c r="BG147" s="2">
        <v>0.0</v>
      </c>
      <c r="BH147" s="2">
        <v>1.0</v>
      </c>
      <c r="BI147" s="2">
        <v>9.0</v>
      </c>
      <c r="BJ147" s="2">
        <v>10.0</v>
      </c>
      <c r="BK147" s="2">
        <v>0.0</v>
      </c>
      <c r="BL147" s="2">
        <v>0.0</v>
      </c>
      <c r="BM147" s="2">
        <v>5.0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-6.0</v>
      </c>
      <c r="BT147" s="2">
        <v>0.0</v>
      </c>
      <c r="BU147" s="2">
        <v>0.0</v>
      </c>
      <c r="BV147" s="2">
        <v>0.0</v>
      </c>
      <c r="BW147" s="2">
        <v>5.0</v>
      </c>
      <c r="BX147" s="2">
        <v>36.0</v>
      </c>
      <c r="BY147" s="2">
        <v>6.0</v>
      </c>
      <c r="BZ147" s="2">
        <v>1.0</v>
      </c>
      <c r="CA147" s="2">
        <v>1.0</v>
      </c>
      <c r="CB147" s="2">
        <v>0.0</v>
      </c>
      <c r="CC147" s="2">
        <v>2.0</v>
      </c>
      <c r="CD147" s="2">
        <v>2.0</v>
      </c>
      <c r="CE147" s="2">
        <v>3.0</v>
      </c>
      <c r="CF147" s="2">
        <v>21.0</v>
      </c>
      <c r="CG147" s="2">
        <v>5.0</v>
      </c>
      <c r="CH147" s="2">
        <v>122.0</v>
      </c>
      <c r="CI147" s="2">
        <v>1.0</v>
      </c>
      <c r="CJ147" s="2">
        <v>2.0</v>
      </c>
      <c r="CK147" s="2">
        <v>1.0</v>
      </c>
      <c r="CL147" s="2">
        <v>0.0</v>
      </c>
      <c r="CM147" s="2">
        <v>48.0</v>
      </c>
      <c r="CN147" s="2">
        <v>0.5</v>
      </c>
      <c r="CO147" s="2">
        <v>0.0</v>
      </c>
      <c r="CP147" s="2">
        <v>0.0</v>
      </c>
      <c r="CQ147" s="2">
        <v>0.0</v>
      </c>
      <c r="CR147" s="2">
        <v>1.0</v>
      </c>
      <c r="CS147" s="2">
        <v>0.0</v>
      </c>
      <c r="CT147" s="2">
        <v>0.0</v>
      </c>
      <c r="CU147" s="2">
        <v>0.0</v>
      </c>
      <c r="CV147" s="2">
        <v>0.0</v>
      </c>
      <c r="CW147" s="2">
        <v>0.0</v>
      </c>
      <c r="CX147" s="2">
        <v>0.0</v>
      </c>
      <c r="CY147" s="2">
        <v>1.0</v>
      </c>
      <c r="CZ147" s="2">
        <v>0.0</v>
      </c>
      <c r="DA147" s="2" t="s">
        <v>1965</v>
      </c>
      <c r="DB147" s="2" t="s">
        <v>2072</v>
      </c>
      <c r="DD147" s="2">
        <v>48.0</v>
      </c>
      <c r="DE147" s="2">
        <v>53.0</v>
      </c>
      <c r="DF147" s="2">
        <v>0.0</v>
      </c>
      <c r="DG147" s="2">
        <v>2.0</v>
      </c>
      <c r="DH147" s="2">
        <v>3.0</v>
      </c>
      <c r="DI147" s="2">
        <v>0.0</v>
      </c>
      <c r="DJ147" s="2">
        <v>1.0</v>
      </c>
      <c r="DK147" s="2">
        <v>0.666666666666667</v>
      </c>
      <c r="DL147" s="2">
        <v>0.0</v>
      </c>
      <c r="DM147" s="2">
        <v>0.0</v>
      </c>
      <c r="DN147" s="2">
        <v>0.0</v>
      </c>
      <c r="DO147" s="2">
        <v>0.0</v>
      </c>
      <c r="DP147" s="2">
        <v>0.0</v>
      </c>
      <c r="DQ147" s="2">
        <v>2.0</v>
      </c>
      <c r="DR147" s="2">
        <v>0.0</v>
      </c>
      <c r="DS147" s="2">
        <v>59.0</v>
      </c>
      <c r="DT147" s="2">
        <v>110.0</v>
      </c>
      <c r="DU147" s="2">
        <v>2.0</v>
      </c>
      <c r="DV147" s="2">
        <v>0.0</v>
      </c>
      <c r="DW147" s="2">
        <v>1.0</v>
      </c>
      <c r="DX147" s="2">
        <v>0.0</v>
      </c>
      <c r="DY147" s="2">
        <v>0.0</v>
      </c>
      <c r="DZ147" s="2">
        <v>1.0</v>
      </c>
      <c r="EA147" s="2">
        <v>0.0</v>
      </c>
      <c r="EB147" s="2">
        <v>0.0</v>
      </c>
      <c r="EC147" s="2">
        <v>110.0</v>
      </c>
      <c r="EE147" s="2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2">
        <v>2025.0</v>
      </c>
      <c r="B148" s="2">
        <v>5.0</v>
      </c>
      <c r="C148" s="2" t="s">
        <v>220</v>
      </c>
      <c r="D148" s="2" t="s">
        <v>390</v>
      </c>
      <c r="E148" s="2" t="s">
        <v>740</v>
      </c>
      <c r="F148" s="2" t="s">
        <v>253</v>
      </c>
      <c r="G148" s="2">
        <v>25.0</v>
      </c>
      <c r="H148" s="2">
        <v>33.0</v>
      </c>
      <c r="I148" s="2">
        <v>210.0</v>
      </c>
      <c r="J148" s="2">
        <v>1.0</v>
      </c>
      <c r="K148" s="2">
        <v>1.0</v>
      </c>
      <c r="L148" s="2">
        <v>5.0</v>
      </c>
      <c r="M148" s="2">
        <v>-29.0</v>
      </c>
      <c r="N148" s="2">
        <v>0.0</v>
      </c>
      <c r="O148" s="2">
        <v>0.0</v>
      </c>
      <c r="P148" s="2">
        <v>127.0</v>
      </c>
      <c r="Q148" s="2">
        <v>125.0</v>
      </c>
      <c r="R148" s="2">
        <v>11.0</v>
      </c>
      <c r="S148" s="2">
        <v>-7.54535809109511</v>
      </c>
      <c r="T148" s="2">
        <v>5.73750901967287</v>
      </c>
      <c r="U148" s="2">
        <v>0.0</v>
      </c>
      <c r="V148" s="2">
        <v>10.0</v>
      </c>
      <c r="W148" s="2">
        <v>3.0</v>
      </c>
      <c r="X148" s="2">
        <v>2.0</v>
      </c>
      <c r="Y148" s="2">
        <v>0.0</v>
      </c>
      <c r="Z148" s="2">
        <v>27.0</v>
      </c>
      <c r="AA148" s="2">
        <v>155.0</v>
      </c>
      <c r="AB148" s="2">
        <v>0.0</v>
      </c>
      <c r="AC148" s="2">
        <v>0.0</v>
      </c>
      <c r="AD148" s="2">
        <v>0.0</v>
      </c>
      <c r="AE148" s="2">
        <v>6.0</v>
      </c>
      <c r="AF148" s="2">
        <v>4.38978646293981</v>
      </c>
      <c r="AG148" s="2">
        <v>0.0</v>
      </c>
      <c r="AH148" s="2">
        <v>4.0</v>
      </c>
      <c r="AI148" s="2">
        <v>2.0</v>
      </c>
      <c r="AJ148" s="2">
        <v>1.0</v>
      </c>
      <c r="AK148" s="2">
        <v>1.0</v>
      </c>
      <c r="AL148" s="2">
        <v>25.0</v>
      </c>
      <c r="AM148" s="2">
        <v>32.0</v>
      </c>
      <c r="AN148" s="2">
        <v>210.0</v>
      </c>
      <c r="AO148" s="2">
        <v>1.0</v>
      </c>
      <c r="AP148" s="2">
        <v>1.0</v>
      </c>
      <c r="AQ148" s="2">
        <v>1.0</v>
      </c>
      <c r="AR148" s="2">
        <v>127.0</v>
      </c>
      <c r="AS148" s="2">
        <v>125.0</v>
      </c>
      <c r="AT148" s="2">
        <v>11.0</v>
      </c>
      <c r="AU148" s="2">
        <v>-5.59639841393801</v>
      </c>
      <c r="AV148" s="2">
        <v>0.0</v>
      </c>
      <c r="AW148" s="2">
        <v>10.0</v>
      </c>
      <c r="AX148" s="2">
        <v>3.0</v>
      </c>
      <c r="AY148" s="2">
        <v>2.0</v>
      </c>
      <c r="AZ148" s="2">
        <v>0.0</v>
      </c>
      <c r="BA148" s="2">
        <v>0.0</v>
      </c>
      <c r="BB148" s="2">
        <v>31.0</v>
      </c>
      <c r="BC148" s="2">
        <v>1.0</v>
      </c>
      <c r="BD148" s="2">
        <v>27.0</v>
      </c>
      <c r="BE148" s="2">
        <v>6.0</v>
      </c>
      <c r="BF148" s="2">
        <v>18.0</v>
      </c>
      <c r="BG148" s="2">
        <v>1.0</v>
      </c>
      <c r="BH148" s="2">
        <v>1.0</v>
      </c>
      <c r="BI148" s="2">
        <v>5.0</v>
      </c>
      <c r="BJ148" s="2">
        <v>1.0</v>
      </c>
      <c r="BK148" s="2">
        <v>0.0</v>
      </c>
      <c r="BL148" s="2">
        <v>0.0</v>
      </c>
      <c r="BM148" s="2">
        <v>2.0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1.0</v>
      </c>
      <c r="BU148" s="2">
        <v>0.0</v>
      </c>
      <c r="BV148" s="2">
        <v>0.0</v>
      </c>
      <c r="BW148" s="2">
        <v>10.0</v>
      </c>
      <c r="BX148" s="2">
        <v>85.0</v>
      </c>
      <c r="BY148" s="2">
        <v>5.0</v>
      </c>
      <c r="BZ148" s="2">
        <v>1.0</v>
      </c>
      <c r="CA148" s="2">
        <v>0.0</v>
      </c>
      <c r="CB148" s="2">
        <v>0.0</v>
      </c>
      <c r="CC148" s="2">
        <v>1.0</v>
      </c>
      <c r="CD148" s="2">
        <v>1.0</v>
      </c>
      <c r="CE148" s="2">
        <v>0.0</v>
      </c>
      <c r="CF148" s="2">
        <v>0.0</v>
      </c>
      <c r="CG148" s="2">
        <v>4.0</v>
      </c>
      <c r="CH148" s="2">
        <v>88.0</v>
      </c>
      <c r="CI148" s="2">
        <v>1.0</v>
      </c>
      <c r="CJ148" s="2">
        <v>1.0</v>
      </c>
      <c r="CK148" s="2">
        <v>0.0</v>
      </c>
      <c r="CL148" s="2">
        <v>0.0</v>
      </c>
      <c r="CM148" s="2">
        <v>55.0</v>
      </c>
      <c r="CN148" s="2">
        <v>1.0</v>
      </c>
      <c r="CO148" s="2">
        <v>0.0</v>
      </c>
      <c r="CP148" s="2">
        <v>0.0</v>
      </c>
      <c r="CQ148" s="2">
        <v>0.0</v>
      </c>
      <c r="CR148" s="2">
        <v>0.0</v>
      </c>
      <c r="CS148" s="2">
        <v>1.0</v>
      </c>
      <c r="CT148" s="2">
        <v>0.0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 t="s">
        <v>2002</v>
      </c>
      <c r="DD148" s="2">
        <v>55.0</v>
      </c>
      <c r="DE148" s="2">
        <v>0.0</v>
      </c>
      <c r="DF148" s="2">
        <v>0.0</v>
      </c>
      <c r="DG148" s="2">
        <v>1.0</v>
      </c>
      <c r="DH148" s="2">
        <v>1.0</v>
      </c>
      <c r="DI148" s="2">
        <v>0.0</v>
      </c>
      <c r="DJ148" s="2">
        <v>0.0</v>
      </c>
      <c r="DK148" s="2">
        <v>1.0</v>
      </c>
      <c r="DL148" s="2">
        <v>0.0</v>
      </c>
      <c r="DM148" s="2">
        <v>0.0</v>
      </c>
      <c r="DN148" s="2">
        <v>0.0</v>
      </c>
      <c r="DO148" s="2">
        <v>0.0</v>
      </c>
      <c r="DP148" s="2">
        <v>0.0</v>
      </c>
      <c r="DQ148" s="2">
        <v>2.0</v>
      </c>
      <c r="DR148" s="2">
        <v>0.0</v>
      </c>
      <c r="DS148" s="2">
        <v>54.0</v>
      </c>
      <c r="DT148" s="2">
        <v>96.0</v>
      </c>
      <c r="DU148" s="2">
        <v>1.0</v>
      </c>
      <c r="DV148" s="2">
        <v>0.0</v>
      </c>
      <c r="DW148" s="2">
        <v>1.0</v>
      </c>
      <c r="DX148" s="2">
        <v>0.0</v>
      </c>
      <c r="DY148" s="2">
        <v>1.0</v>
      </c>
      <c r="DZ148" s="2">
        <v>0.0</v>
      </c>
      <c r="EA148" s="2">
        <v>0.0</v>
      </c>
      <c r="EB148" s="2">
        <v>0.0</v>
      </c>
      <c r="EC148" s="2">
        <v>96.0</v>
      </c>
      <c r="EE148" s="2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2">
        <v>2025.0</v>
      </c>
      <c r="B149" s="2">
        <v>5.0</v>
      </c>
      <c r="C149" s="2" t="s">
        <v>222</v>
      </c>
      <c r="D149" s="2" t="s">
        <v>390</v>
      </c>
      <c r="E149" s="2" t="s">
        <v>726</v>
      </c>
      <c r="F149" s="2" t="s">
        <v>210</v>
      </c>
      <c r="G149" s="2">
        <v>25.0</v>
      </c>
      <c r="H149" s="2">
        <v>36.0</v>
      </c>
      <c r="I149" s="2">
        <v>228.0</v>
      </c>
      <c r="J149" s="2">
        <v>0.0</v>
      </c>
      <c r="K149" s="2">
        <v>2.0</v>
      </c>
      <c r="L149" s="2">
        <v>4.0</v>
      </c>
      <c r="M149" s="2">
        <v>-38.0</v>
      </c>
      <c r="N149" s="2">
        <v>0.0</v>
      </c>
      <c r="O149" s="2">
        <v>0.0</v>
      </c>
      <c r="P149" s="2">
        <v>244.0</v>
      </c>
      <c r="Q149" s="2">
        <v>121.0</v>
      </c>
      <c r="R149" s="2">
        <v>12.0</v>
      </c>
      <c r="S149" s="2">
        <v>-10.9034467876529</v>
      </c>
      <c r="T149" s="2">
        <v>-0.314445462491777</v>
      </c>
      <c r="U149" s="2">
        <v>0.0</v>
      </c>
      <c r="V149" s="2">
        <v>9.0</v>
      </c>
      <c r="W149" s="2">
        <v>4.0</v>
      </c>
      <c r="X149" s="2">
        <v>2.0</v>
      </c>
      <c r="Y149" s="2">
        <v>0.0</v>
      </c>
      <c r="Z149" s="2">
        <v>25.0</v>
      </c>
      <c r="AA149" s="2">
        <v>106.0</v>
      </c>
      <c r="AB149" s="2">
        <v>0.0</v>
      </c>
      <c r="AC149" s="2">
        <v>0.0</v>
      </c>
      <c r="AD149" s="2">
        <v>0.0</v>
      </c>
      <c r="AE149" s="2">
        <v>6.0</v>
      </c>
      <c r="AF149" s="2">
        <v>-2.92913763795514</v>
      </c>
      <c r="AG149" s="2">
        <v>0.0</v>
      </c>
      <c r="AH149" s="2">
        <v>2.0</v>
      </c>
      <c r="AI149" s="2">
        <v>1.0</v>
      </c>
      <c r="AJ149" s="2">
        <v>0.0</v>
      </c>
      <c r="AK149" s="2">
        <v>0.0</v>
      </c>
      <c r="AL149" s="2">
        <v>25.0</v>
      </c>
      <c r="AM149" s="2">
        <v>36.0</v>
      </c>
      <c r="AN149" s="2">
        <v>228.0</v>
      </c>
      <c r="AO149" s="2">
        <v>0.0</v>
      </c>
      <c r="AP149" s="2">
        <v>0.0</v>
      </c>
      <c r="AQ149" s="2">
        <v>0.0</v>
      </c>
      <c r="AR149" s="2">
        <v>244.0</v>
      </c>
      <c r="AS149" s="2">
        <v>121.0</v>
      </c>
      <c r="AT149" s="2">
        <v>12.0</v>
      </c>
      <c r="AU149" s="2">
        <v>-2.54128426415737</v>
      </c>
      <c r="AV149" s="2">
        <v>0.0</v>
      </c>
      <c r="AW149" s="2">
        <v>9.0</v>
      </c>
      <c r="AX149" s="2">
        <v>4.0</v>
      </c>
      <c r="AY149" s="2">
        <v>2.0</v>
      </c>
      <c r="AZ149" s="2">
        <v>0.0</v>
      </c>
      <c r="BA149" s="2">
        <v>0.0</v>
      </c>
      <c r="BB149" s="2">
        <v>34.0</v>
      </c>
      <c r="BC149" s="2">
        <v>2.0</v>
      </c>
      <c r="BD149" s="2">
        <v>18.0</v>
      </c>
      <c r="BE149" s="2">
        <v>2.0</v>
      </c>
      <c r="BF149" s="2">
        <v>3.0</v>
      </c>
      <c r="BG149" s="2">
        <v>0.0</v>
      </c>
      <c r="BH149" s="2">
        <v>0.0</v>
      </c>
      <c r="BI149" s="2">
        <v>0.0</v>
      </c>
      <c r="BJ149" s="2">
        <v>3.0</v>
      </c>
      <c r="BK149" s="2">
        <v>0.0</v>
      </c>
      <c r="BL149" s="2">
        <v>0.0</v>
      </c>
      <c r="BM149" s="2">
        <v>3.0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6.0</v>
      </c>
      <c r="BX149" s="2">
        <v>65.0</v>
      </c>
      <c r="BY149" s="2">
        <v>3.0</v>
      </c>
      <c r="BZ149" s="2">
        <v>0.0</v>
      </c>
      <c r="CA149" s="2">
        <v>0.0</v>
      </c>
      <c r="CB149" s="2">
        <v>0.0</v>
      </c>
      <c r="CC149" s="2">
        <v>0.0</v>
      </c>
      <c r="CD149" s="2">
        <v>0.0</v>
      </c>
      <c r="CE149" s="2">
        <v>1.0</v>
      </c>
      <c r="CF149" s="2">
        <v>8.0</v>
      </c>
      <c r="CG149" s="2">
        <v>4.0</v>
      </c>
      <c r="CH149" s="2">
        <v>100.0</v>
      </c>
      <c r="CI149" s="2">
        <v>2.0</v>
      </c>
      <c r="CJ149" s="2">
        <v>3.0</v>
      </c>
      <c r="CK149" s="2">
        <v>1.0</v>
      </c>
      <c r="CL149" s="2">
        <v>0.0</v>
      </c>
      <c r="CM149" s="2">
        <v>37.0</v>
      </c>
      <c r="CN149" s="2">
        <v>0.666666666666667</v>
      </c>
      <c r="CO149" s="2">
        <v>0.0</v>
      </c>
      <c r="CP149" s="2">
        <v>1.0</v>
      </c>
      <c r="CQ149" s="2">
        <v>1.0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1.0</v>
      </c>
      <c r="CZ149" s="2">
        <v>0.0</v>
      </c>
      <c r="DA149" s="2" t="s">
        <v>2081</v>
      </c>
      <c r="DB149" s="2" t="s">
        <v>2023</v>
      </c>
      <c r="DD149" s="2">
        <v>61.0</v>
      </c>
      <c r="DE149" s="2">
        <v>57.0</v>
      </c>
      <c r="DF149" s="2">
        <v>0.0</v>
      </c>
      <c r="DG149" s="2">
        <v>0.0</v>
      </c>
      <c r="DH149" s="2">
        <v>0.0</v>
      </c>
      <c r="DI149" s="2">
        <v>0.0</v>
      </c>
      <c r="DJ149" s="2">
        <v>0.0</v>
      </c>
      <c r="DL149" s="2">
        <v>0.0</v>
      </c>
      <c r="DM149" s="2">
        <v>0.0</v>
      </c>
      <c r="DN149" s="2">
        <v>0.0</v>
      </c>
      <c r="DO149" s="2">
        <v>0.0</v>
      </c>
      <c r="DP149" s="2">
        <v>0.0</v>
      </c>
      <c r="DQ149" s="2">
        <v>1.0</v>
      </c>
      <c r="DR149" s="2">
        <v>1.0</v>
      </c>
      <c r="DS149" s="2">
        <v>30.0</v>
      </c>
      <c r="DT149" s="2">
        <v>30.0</v>
      </c>
      <c r="DU149" s="2">
        <v>0.0</v>
      </c>
      <c r="DV149" s="2">
        <v>1.0</v>
      </c>
      <c r="DW149" s="2">
        <v>0.0</v>
      </c>
      <c r="DX149" s="2">
        <v>0.0</v>
      </c>
      <c r="DY149" s="2">
        <v>0.0</v>
      </c>
      <c r="DZ149" s="2">
        <v>0.0</v>
      </c>
      <c r="EA149" s="2">
        <v>0.0</v>
      </c>
      <c r="EB149" s="2">
        <v>0.0</v>
      </c>
      <c r="EC149" s="2">
        <v>30.0</v>
      </c>
      <c r="EE149" s="2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2">
        <v>2025.0</v>
      </c>
      <c r="B150" s="2">
        <v>5.0</v>
      </c>
      <c r="C150" s="2" t="s">
        <v>225</v>
      </c>
      <c r="D150" s="2" t="s">
        <v>390</v>
      </c>
      <c r="E150" s="2" t="s">
        <v>724</v>
      </c>
      <c r="F150" s="2" t="s">
        <v>189</v>
      </c>
      <c r="G150" s="2">
        <v>27.0</v>
      </c>
      <c r="H150" s="2">
        <v>36.0</v>
      </c>
      <c r="I150" s="2">
        <v>256.0</v>
      </c>
      <c r="J150" s="2">
        <v>3.0</v>
      </c>
      <c r="K150" s="2">
        <v>0.0</v>
      </c>
      <c r="L150" s="2">
        <v>3.0</v>
      </c>
      <c r="M150" s="2">
        <v>-27.0</v>
      </c>
      <c r="N150" s="2">
        <v>0.0</v>
      </c>
      <c r="O150" s="2">
        <v>0.0</v>
      </c>
      <c r="P150" s="2">
        <v>287.0</v>
      </c>
      <c r="Q150" s="2">
        <v>76.0</v>
      </c>
      <c r="R150" s="2">
        <v>13.0</v>
      </c>
      <c r="S150" s="2">
        <v>11.4851912925146</v>
      </c>
      <c r="T150" s="2">
        <v>14.8102774339564</v>
      </c>
      <c r="U150" s="2">
        <v>0.0</v>
      </c>
      <c r="V150" s="2">
        <v>11.0</v>
      </c>
      <c r="W150" s="2">
        <v>4.0</v>
      </c>
      <c r="X150" s="2">
        <v>3.0</v>
      </c>
      <c r="Y150" s="2">
        <v>1.0</v>
      </c>
      <c r="Z150" s="2">
        <v>14.0</v>
      </c>
      <c r="AA150" s="2">
        <v>19.0</v>
      </c>
      <c r="AB150" s="2">
        <v>0.0</v>
      </c>
      <c r="AC150" s="2">
        <v>0.0</v>
      </c>
      <c r="AD150" s="2">
        <v>0.0</v>
      </c>
      <c r="AE150" s="2">
        <v>2.0</v>
      </c>
      <c r="AF150" s="2">
        <v>-6.43569941836176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27.0</v>
      </c>
      <c r="AM150" s="2">
        <v>34.0</v>
      </c>
      <c r="AN150" s="2">
        <v>256.0</v>
      </c>
      <c r="AO150" s="2">
        <v>3.0</v>
      </c>
      <c r="AP150" s="2">
        <v>0.0</v>
      </c>
      <c r="AQ150" s="2">
        <v>0.0</v>
      </c>
      <c r="AR150" s="2">
        <v>287.0</v>
      </c>
      <c r="AS150" s="2">
        <v>76.0</v>
      </c>
      <c r="AT150" s="2">
        <v>13.0</v>
      </c>
      <c r="AU150" s="2">
        <v>16.3937316234806</v>
      </c>
      <c r="AV150" s="2">
        <v>0.0</v>
      </c>
      <c r="AW150" s="2">
        <v>11.0</v>
      </c>
      <c r="AX150" s="2">
        <v>4.0</v>
      </c>
      <c r="AY150" s="2">
        <v>3.0</v>
      </c>
      <c r="AZ150" s="2">
        <v>1.0</v>
      </c>
      <c r="BA150" s="2">
        <v>0.0</v>
      </c>
      <c r="BB150" s="2">
        <v>33.0</v>
      </c>
      <c r="BC150" s="2">
        <v>3.0</v>
      </c>
      <c r="BD150" s="2">
        <v>37.0</v>
      </c>
      <c r="BE150" s="2">
        <v>3.0</v>
      </c>
      <c r="BF150" s="2">
        <v>20.0</v>
      </c>
      <c r="BG150" s="2">
        <v>1.0</v>
      </c>
      <c r="BH150" s="2">
        <v>3.0</v>
      </c>
      <c r="BI150" s="2">
        <v>19.0</v>
      </c>
      <c r="BJ150" s="2">
        <v>8.0</v>
      </c>
      <c r="BK150" s="2">
        <v>1.0</v>
      </c>
      <c r="BL150" s="2">
        <v>7.0</v>
      </c>
      <c r="BM150" s="2">
        <v>2.0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1.0</v>
      </c>
      <c r="BU150" s="2">
        <v>2.0</v>
      </c>
      <c r="BV150" s="2">
        <v>0.0</v>
      </c>
      <c r="BW150" s="2">
        <v>9.0</v>
      </c>
      <c r="BX150" s="2">
        <v>64.0</v>
      </c>
      <c r="BY150" s="2">
        <v>4.0</v>
      </c>
      <c r="BZ150" s="2">
        <v>0.0</v>
      </c>
      <c r="CA150" s="2">
        <v>0.0</v>
      </c>
      <c r="CB150" s="2">
        <v>0.0</v>
      </c>
      <c r="CC150" s="2">
        <v>0.0</v>
      </c>
      <c r="CD150" s="2">
        <v>0.0</v>
      </c>
      <c r="CE150" s="2">
        <v>3.0</v>
      </c>
      <c r="CF150" s="2">
        <v>29.0</v>
      </c>
      <c r="CG150" s="2">
        <v>5.0</v>
      </c>
      <c r="CH150" s="2">
        <v>122.0</v>
      </c>
      <c r="CI150" s="2">
        <v>1.0</v>
      </c>
      <c r="CJ150" s="2">
        <v>1.0</v>
      </c>
      <c r="CK150" s="2">
        <v>0.0</v>
      </c>
      <c r="CL150" s="2">
        <v>0.0</v>
      </c>
      <c r="CM150" s="2">
        <v>43.0</v>
      </c>
      <c r="CN150" s="2">
        <v>1.0</v>
      </c>
      <c r="CO150" s="2">
        <v>0.0</v>
      </c>
      <c r="CP150" s="2">
        <v>0.0</v>
      </c>
      <c r="CQ150" s="2">
        <v>0.0</v>
      </c>
      <c r="CR150" s="2">
        <v>1.0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 t="s">
        <v>2033</v>
      </c>
      <c r="DD150" s="2">
        <v>43.0</v>
      </c>
      <c r="DE150" s="2">
        <v>0.0</v>
      </c>
      <c r="DF150" s="2">
        <v>0.0</v>
      </c>
      <c r="DG150" s="2">
        <v>3.0</v>
      </c>
      <c r="DH150" s="2">
        <v>3.0</v>
      </c>
      <c r="DI150" s="2">
        <v>0.0</v>
      </c>
      <c r="DJ150" s="2">
        <v>0.0</v>
      </c>
      <c r="DK150" s="2">
        <v>1.0</v>
      </c>
      <c r="DL150" s="2">
        <v>0.0</v>
      </c>
      <c r="DM150" s="2">
        <v>0.0</v>
      </c>
      <c r="DN150" s="2">
        <v>0.0</v>
      </c>
      <c r="DO150" s="2">
        <v>0.0</v>
      </c>
      <c r="DP150" s="2">
        <v>0.0</v>
      </c>
      <c r="DQ150" s="2">
        <v>6.0</v>
      </c>
      <c r="DR150" s="2">
        <v>0.0</v>
      </c>
      <c r="DS150" s="2">
        <v>61.0</v>
      </c>
      <c r="DT150" s="2">
        <v>312.0</v>
      </c>
      <c r="DU150" s="2">
        <v>3.0</v>
      </c>
      <c r="DV150" s="2">
        <v>0.0</v>
      </c>
      <c r="DW150" s="2">
        <v>2.0</v>
      </c>
      <c r="DX150" s="2">
        <v>0.0</v>
      </c>
      <c r="DY150" s="2">
        <v>4.0</v>
      </c>
      <c r="DZ150" s="2">
        <v>0.0</v>
      </c>
      <c r="EA150" s="2">
        <v>0.0</v>
      </c>
      <c r="EB150" s="2">
        <v>0.0</v>
      </c>
      <c r="EC150" s="2">
        <v>312.0</v>
      </c>
      <c r="EE150" s="2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2">
        <v>2025.0</v>
      </c>
      <c r="B151" s="2">
        <v>5.0</v>
      </c>
      <c r="C151" s="2" t="s">
        <v>144</v>
      </c>
      <c r="D151" s="2" t="s">
        <v>390</v>
      </c>
      <c r="E151" s="2" t="s">
        <v>715</v>
      </c>
      <c r="F151" s="2" t="s">
        <v>196</v>
      </c>
      <c r="G151" s="2">
        <v>26.0</v>
      </c>
      <c r="H151" s="2">
        <v>35.0</v>
      </c>
      <c r="I151" s="2">
        <v>268.0</v>
      </c>
      <c r="J151" s="2">
        <v>2.0</v>
      </c>
      <c r="K151" s="2">
        <v>0.0</v>
      </c>
      <c r="L151" s="2">
        <v>3.0</v>
      </c>
      <c r="M151" s="2">
        <v>-16.0</v>
      </c>
      <c r="N151" s="2">
        <v>0.0</v>
      </c>
      <c r="O151" s="2">
        <v>0.0</v>
      </c>
      <c r="P151" s="2">
        <v>252.0</v>
      </c>
      <c r="Q151" s="2">
        <v>137.0</v>
      </c>
      <c r="R151" s="2">
        <v>14.0</v>
      </c>
      <c r="S151" s="2">
        <v>11.9597209826281</v>
      </c>
      <c r="T151" s="2">
        <v>7.97485130674699</v>
      </c>
      <c r="U151" s="2">
        <v>0.0</v>
      </c>
      <c r="V151" s="2">
        <v>11.0</v>
      </c>
      <c r="W151" s="2">
        <v>5.0</v>
      </c>
      <c r="X151" s="2">
        <v>5.0</v>
      </c>
      <c r="Y151" s="2">
        <v>0.0</v>
      </c>
      <c r="Z151" s="2">
        <v>23.0</v>
      </c>
      <c r="AA151" s="2">
        <v>97.0</v>
      </c>
      <c r="AB151" s="2">
        <v>1.0</v>
      </c>
      <c r="AC151" s="2">
        <v>2.0</v>
      </c>
      <c r="AD151" s="2">
        <v>2.0</v>
      </c>
      <c r="AE151" s="2">
        <v>4.0</v>
      </c>
      <c r="AF151" s="2">
        <v>-9.77094793930883</v>
      </c>
      <c r="AG151" s="2">
        <v>0.0</v>
      </c>
      <c r="AH151" s="2">
        <v>2.0</v>
      </c>
      <c r="AI151" s="2">
        <v>2.0</v>
      </c>
      <c r="AJ151" s="2">
        <v>0.0</v>
      </c>
      <c r="AK151" s="2">
        <v>0.0</v>
      </c>
      <c r="AL151" s="2">
        <v>26.0</v>
      </c>
      <c r="AM151" s="2">
        <v>34.0</v>
      </c>
      <c r="AN151" s="2">
        <v>268.0</v>
      </c>
      <c r="AO151" s="2">
        <v>2.0</v>
      </c>
      <c r="AP151" s="2">
        <v>0.0</v>
      </c>
      <c r="AQ151" s="2">
        <v>0.0</v>
      </c>
      <c r="AR151" s="2">
        <v>252.0</v>
      </c>
      <c r="AS151" s="2">
        <v>137.0</v>
      </c>
      <c r="AT151" s="2">
        <v>14.0</v>
      </c>
      <c r="AU151" s="2">
        <v>16.7734887770494</v>
      </c>
      <c r="AV151" s="2">
        <v>0.0</v>
      </c>
      <c r="AW151" s="2">
        <v>11.0</v>
      </c>
      <c r="AX151" s="2">
        <v>5.0</v>
      </c>
      <c r="AY151" s="2">
        <v>5.0</v>
      </c>
      <c r="AZ151" s="2">
        <v>0.0</v>
      </c>
      <c r="BA151" s="2">
        <v>0.0</v>
      </c>
      <c r="BB151" s="2">
        <v>34.0</v>
      </c>
      <c r="BC151" s="2">
        <v>1.0</v>
      </c>
      <c r="BD151" s="2">
        <v>45.0</v>
      </c>
      <c r="BE151" s="2">
        <v>5.0</v>
      </c>
      <c r="BF151" s="2">
        <v>16.0</v>
      </c>
      <c r="BG151" s="2">
        <v>0.0</v>
      </c>
      <c r="BH151" s="2">
        <v>2.0</v>
      </c>
      <c r="BI151" s="2">
        <v>8.0</v>
      </c>
      <c r="BJ151" s="2">
        <v>3.0</v>
      </c>
      <c r="BK151" s="2">
        <v>0.0</v>
      </c>
      <c r="BL151" s="2">
        <v>0.0</v>
      </c>
      <c r="BM151" s="2">
        <v>5.0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7.0</v>
      </c>
      <c r="BX151" s="2">
        <v>50.0</v>
      </c>
      <c r="BY151" s="2">
        <v>5.0</v>
      </c>
      <c r="BZ151" s="2">
        <v>2.0</v>
      </c>
      <c r="CA151" s="2">
        <v>0.0</v>
      </c>
      <c r="CB151" s="2">
        <v>0.0</v>
      </c>
      <c r="CC151" s="2">
        <v>2.0</v>
      </c>
      <c r="CD151" s="2">
        <v>2.0</v>
      </c>
      <c r="CE151" s="2">
        <v>3.0</v>
      </c>
      <c r="CF151" s="2">
        <v>15.0</v>
      </c>
      <c r="CG151" s="2">
        <v>4.0</v>
      </c>
      <c r="CH151" s="2">
        <v>102.0</v>
      </c>
      <c r="CI151" s="2">
        <v>0.0</v>
      </c>
      <c r="CJ151" s="2">
        <v>1.0</v>
      </c>
      <c r="CK151" s="2">
        <v>1.0</v>
      </c>
      <c r="CL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1.0</v>
      </c>
      <c r="CZ151" s="2">
        <v>0.0</v>
      </c>
      <c r="DB151" s="2" t="s">
        <v>2015</v>
      </c>
      <c r="DD151" s="2">
        <v>0.0</v>
      </c>
      <c r="DE151" s="2">
        <v>51.0</v>
      </c>
      <c r="DF151" s="2">
        <v>0.0</v>
      </c>
      <c r="DG151" s="2">
        <v>3.0</v>
      </c>
      <c r="DH151" s="2">
        <v>3.0</v>
      </c>
      <c r="DI151" s="2">
        <v>0.0</v>
      </c>
      <c r="DJ151" s="2">
        <v>0.0</v>
      </c>
      <c r="DK151" s="2">
        <v>1.0</v>
      </c>
      <c r="DL151" s="2">
        <v>0.0</v>
      </c>
      <c r="DM151" s="2">
        <v>0.0</v>
      </c>
      <c r="DN151" s="2">
        <v>0.0</v>
      </c>
      <c r="DO151" s="2">
        <v>0.0</v>
      </c>
      <c r="DP151" s="2">
        <v>0.0</v>
      </c>
      <c r="DQ151" s="2">
        <v>5.0</v>
      </c>
      <c r="DR151" s="2">
        <v>0.0</v>
      </c>
      <c r="DS151" s="2">
        <v>77.0</v>
      </c>
      <c r="DT151" s="2">
        <v>286.0</v>
      </c>
      <c r="DU151" s="2">
        <v>2.0</v>
      </c>
      <c r="DV151" s="2">
        <v>0.0</v>
      </c>
      <c r="DW151" s="2">
        <v>1.0</v>
      </c>
      <c r="DX151" s="2">
        <v>0.0</v>
      </c>
      <c r="DY151" s="2">
        <v>1.0</v>
      </c>
      <c r="DZ151" s="2">
        <v>3.0</v>
      </c>
      <c r="EA151" s="2">
        <v>31.0</v>
      </c>
      <c r="EB151" s="2">
        <v>0.0</v>
      </c>
      <c r="EC151" s="2">
        <v>255.0</v>
      </c>
      <c r="EE151" s="2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2">
        <v>2025.0</v>
      </c>
      <c r="B152" s="2">
        <v>5.0</v>
      </c>
      <c r="C152" s="2" t="s">
        <v>145</v>
      </c>
      <c r="D152" s="2" t="s">
        <v>390</v>
      </c>
      <c r="E152" s="2" t="s">
        <v>742</v>
      </c>
      <c r="F152" s="2" t="s">
        <v>136</v>
      </c>
      <c r="G152" s="2">
        <v>22.0</v>
      </c>
      <c r="H152" s="2">
        <v>30.0</v>
      </c>
      <c r="I152" s="2">
        <v>273.0</v>
      </c>
      <c r="J152" s="2">
        <v>0.0</v>
      </c>
      <c r="K152" s="2">
        <v>0.0</v>
      </c>
      <c r="L152" s="2">
        <v>4.0</v>
      </c>
      <c r="M152" s="2">
        <v>-6.0</v>
      </c>
      <c r="N152" s="2">
        <v>0.0</v>
      </c>
      <c r="O152" s="2">
        <v>0.0</v>
      </c>
      <c r="P152" s="2">
        <v>213.0</v>
      </c>
      <c r="Q152" s="2">
        <v>100.0</v>
      </c>
      <c r="R152" s="2">
        <v>13.0</v>
      </c>
      <c r="S152" s="2">
        <v>9.73183957793173</v>
      </c>
      <c r="T152" s="2">
        <v>13.7561213757311</v>
      </c>
      <c r="U152" s="2">
        <v>0.0</v>
      </c>
      <c r="V152" s="2">
        <v>13.0</v>
      </c>
      <c r="W152" s="2">
        <v>7.0</v>
      </c>
      <c r="X152" s="2">
        <v>4.0</v>
      </c>
      <c r="Y152" s="2">
        <v>0.0</v>
      </c>
      <c r="Z152" s="2">
        <v>22.0</v>
      </c>
      <c r="AA152" s="2">
        <v>71.0</v>
      </c>
      <c r="AB152" s="2">
        <v>2.0</v>
      </c>
      <c r="AC152" s="2">
        <v>0.0</v>
      </c>
      <c r="AD152" s="2">
        <v>0.0</v>
      </c>
      <c r="AE152" s="2">
        <v>5.0</v>
      </c>
      <c r="AF152" s="2">
        <v>-0.910297991533298</v>
      </c>
      <c r="AG152" s="2">
        <v>0.0</v>
      </c>
      <c r="AH152" s="2">
        <v>1.0</v>
      </c>
      <c r="AI152" s="2">
        <v>1.0</v>
      </c>
      <c r="AJ152" s="2">
        <v>0.0</v>
      </c>
      <c r="AK152" s="2">
        <v>0.0</v>
      </c>
      <c r="AL152" s="2">
        <v>22.0</v>
      </c>
      <c r="AM152" s="2">
        <v>28.0</v>
      </c>
      <c r="AN152" s="2">
        <v>273.0</v>
      </c>
      <c r="AO152" s="2">
        <v>0.0</v>
      </c>
      <c r="AP152" s="2">
        <v>1.0</v>
      </c>
      <c r="AQ152" s="2">
        <v>1.0</v>
      </c>
      <c r="AR152" s="2">
        <v>213.0</v>
      </c>
      <c r="AS152" s="2">
        <v>100.0</v>
      </c>
      <c r="AT152" s="2">
        <v>13.0</v>
      </c>
      <c r="AU152" s="2">
        <v>9.75852672211697</v>
      </c>
      <c r="AV152" s="2">
        <v>0.0</v>
      </c>
      <c r="AW152" s="2">
        <v>13.0</v>
      </c>
      <c r="AX152" s="2">
        <v>7.0</v>
      </c>
      <c r="AY152" s="2">
        <v>4.0</v>
      </c>
      <c r="AZ152" s="2">
        <v>0.0</v>
      </c>
      <c r="BA152" s="2">
        <v>0.0</v>
      </c>
      <c r="BB152" s="2">
        <v>38.0</v>
      </c>
      <c r="BC152" s="2">
        <v>1.0</v>
      </c>
      <c r="BD152" s="2">
        <v>31.0</v>
      </c>
      <c r="BE152" s="2">
        <v>2.0</v>
      </c>
      <c r="BF152" s="2">
        <v>7.0</v>
      </c>
      <c r="BG152" s="2">
        <v>1.0</v>
      </c>
      <c r="BH152" s="2">
        <v>1.0</v>
      </c>
      <c r="BI152" s="2">
        <v>8.0</v>
      </c>
      <c r="BJ152" s="2">
        <v>5.0</v>
      </c>
      <c r="BK152" s="2">
        <v>1.0</v>
      </c>
      <c r="BL152" s="2">
        <v>0.0</v>
      </c>
      <c r="BM152" s="2">
        <v>3.0</v>
      </c>
      <c r="BN152" s="2">
        <v>0.0</v>
      </c>
      <c r="BO152" s="2">
        <v>0.0</v>
      </c>
      <c r="BP152" s="2">
        <v>0.0</v>
      </c>
      <c r="BQ152" s="2">
        <v>0.0</v>
      </c>
      <c r="BR152" s="2">
        <v>1.0</v>
      </c>
      <c r="BS152" s="2">
        <v>0.0</v>
      </c>
      <c r="BT152" s="2">
        <v>2.0</v>
      </c>
      <c r="BU152" s="2">
        <v>0.0</v>
      </c>
      <c r="BV152" s="2">
        <v>0.0</v>
      </c>
      <c r="BW152" s="2">
        <v>8.0</v>
      </c>
      <c r="BX152" s="2">
        <v>93.0</v>
      </c>
      <c r="BY152" s="2">
        <v>4.0</v>
      </c>
      <c r="BZ152" s="2">
        <v>2.0</v>
      </c>
      <c r="CA152" s="2">
        <v>0.0</v>
      </c>
      <c r="CB152" s="2">
        <v>0.0</v>
      </c>
      <c r="CC152" s="2">
        <v>2.0</v>
      </c>
      <c r="CD152" s="2">
        <v>1.0</v>
      </c>
      <c r="CE152" s="2">
        <v>1.0</v>
      </c>
      <c r="CF152" s="2">
        <v>0.0</v>
      </c>
      <c r="CG152" s="2">
        <v>5.0</v>
      </c>
      <c r="CH152" s="2">
        <v>112.0</v>
      </c>
      <c r="CI152" s="2">
        <v>3.0</v>
      </c>
      <c r="CJ152" s="2">
        <v>3.0</v>
      </c>
      <c r="CK152" s="2">
        <v>0.0</v>
      </c>
      <c r="CL152" s="2">
        <v>0.0</v>
      </c>
      <c r="CM152" s="2">
        <v>52.0</v>
      </c>
      <c r="CN152" s="2">
        <v>1.0</v>
      </c>
      <c r="CO152" s="2">
        <v>1.0</v>
      </c>
      <c r="CP152" s="2">
        <v>0.0</v>
      </c>
      <c r="CQ152" s="2">
        <v>1.0</v>
      </c>
      <c r="CR152" s="2">
        <v>0.0</v>
      </c>
      <c r="CS152" s="2">
        <v>1.0</v>
      </c>
      <c r="CT152" s="2">
        <v>0.0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 t="s">
        <v>2082</v>
      </c>
      <c r="DD152" s="2">
        <v>101.0</v>
      </c>
      <c r="DE152" s="2">
        <v>0.0</v>
      </c>
      <c r="DF152" s="2">
        <v>0.0</v>
      </c>
      <c r="DG152" s="2">
        <v>2.0</v>
      </c>
      <c r="DH152" s="2">
        <v>2.0</v>
      </c>
      <c r="DI152" s="2">
        <v>0.0</v>
      </c>
      <c r="DJ152" s="2">
        <v>0.0</v>
      </c>
      <c r="DK152" s="2">
        <v>1.0</v>
      </c>
      <c r="DL152" s="2">
        <v>1.0</v>
      </c>
      <c r="DM152" s="2">
        <v>1.0</v>
      </c>
      <c r="DN152" s="2">
        <v>0.0</v>
      </c>
      <c r="DO152" s="2">
        <v>0.0</v>
      </c>
      <c r="DP152" s="2">
        <v>52.0</v>
      </c>
      <c r="DQ152" s="2">
        <v>4.0</v>
      </c>
      <c r="DR152" s="2">
        <v>0.0</v>
      </c>
      <c r="DS152" s="2">
        <v>73.0</v>
      </c>
      <c r="DT152" s="2">
        <v>191.0</v>
      </c>
      <c r="DU152" s="2">
        <v>3.0</v>
      </c>
      <c r="DV152" s="2">
        <v>0.0</v>
      </c>
      <c r="DW152" s="2">
        <v>1.0</v>
      </c>
      <c r="DX152" s="2">
        <v>1.0</v>
      </c>
      <c r="DY152" s="2">
        <v>2.0</v>
      </c>
      <c r="DZ152" s="2">
        <v>0.0</v>
      </c>
      <c r="EA152" s="2">
        <v>0.0</v>
      </c>
      <c r="EB152" s="2">
        <v>0.0</v>
      </c>
      <c r="EC152" s="2">
        <v>171.0</v>
      </c>
      <c r="EE152" s="2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2">
        <v>2025.0</v>
      </c>
      <c r="B153" s="2">
        <v>5.0</v>
      </c>
      <c r="C153" s="2" t="s">
        <v>232</v>
      </c>
      <c r="D153" s="2" t="s">
        <v>390</v>
      </c>
      <c r="E153" s="2" t="s">
        <v>728</v>
      </c>
      <c r="F153" s="2" t="s">
        <v>235</v>
      </c>
      <c r="G153" s="2">
        <v>22.0</v>
      </c>
      <c r="H153" s="2">
        <v>32.0</v>
      </c>
      <c r="I153" s="2">
        <v>244.0</v>
      </c>
      <c r="J153" s="2">
        <v>1.0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240.0</v>
      </c>
      <c r="Q153" s="2">
        <v>96.0</v>
      </c>
      <c r="R153" s="2">
        <v>10.0</v>
      </c>
      <c r="S153" s="2">
        <v>9.30971554818587</v>
      </c>
      <c r="T153" s="2">
        <v>-1.4282968736464</v>
      </c>
      <c r="U153" s="2">
        <v>0.0</v>
      </c>
      <c r="V153" s="2">
        <v>7.0</v>
      </c>
      <c r="W153" s="2">
        <v>3.0</v>
      </c>
      <c r="X153" s="2">
        <v>1.0</v>
      </c>
      <c r="Y153" s="2">
        <v>1.0</v>
      </c>
      <c r="Z153" s="2">
        <v>30.0</v>
      </c>
      <c r="AA153" s="2">
        <v>88.0</v>
      </c>
      <c r="AB153" s="2">
        <v>0.0</v>
      </c>
      <c r="AC153" s="2">
        <v>0.0</v>
      </c>
      <c r="AD153" s="2">
        <v>0.0</v>
      </c>
      <c r="AE153" s="2">
        <v>5.0</v>
      </c>
      <c r="AF153" s="2">
        <v>-6.35684612151537</v>
      </c>
      <c r="AG153" s="2">
        <v>0.0</v>
      </c>
      <c r="AH153" s="2">
        <v>4.0</v>
      </c>
      <c r="AI153" s="2">
        <v>0.0</v>
      </c>
      <c r="AJ153" s="2">
        <v>0.0</v>
      </c>
      <c r="AK153" s="2">
        <v>0.0</v>
      </c>
      <c r="AL153" s="2">
        <v>22.0</v>
      </c>
      <c r="AM153" s="2">
        <v>31.0</v>
      </c>
      <c r="AN153" s="2">
        <v>244.0</v>
      </c>
      <c r="AO153" s="2">
        <v>1.0</v>
      </c>
      <c r="AP153" s="2">
        <v>0.0</v>
      </c>
      <c r="AQ153" s="2">
        <v>0.0</v>
      </c>
      <c r="AR153" s="2">
        <v>240.0</v>
      </c>
      <c r="AS153" s="2">
        <v>96.0</v>
      </c>
      <c r="AT153" s="2">
        <v>10.0</v>
      </c>
      <c r="AU153" s="2">
        <v>8.92471076996345</v>
      </c>
      <c r="AV153" s="2">
        <v>0.0</v>
      </c>
      <c r="AW153" s="2">
        <v>7.0</v>
      </c>
      <c r="AX153" s="2">
        <v>3.0</v>
      </c>
      <c r="AY153" s="2">
        <v>1.0</v>
      </c>
      <c r="AZ153" s="2">
        <v>1.0</v>
      </c>
      <c r="BA153" s="2">
        <v>0.0</v>
      </c>
      <c r="BB153" s="2">
        <v>44.0</v>
      </c>
      <c r="BC153" s="2">
        <v>1.0</v>
      </c>
      <c r="BD153" s="2">
        <v>27.0</v>
      </c>
      <c r="BE153" s="2">
        <v>2.0</v>
      </c>
      <c r="BF153" s="2">
        <v>4.0</v>
      </c>
      <c r="BG153" s="2">
        <v>2.0</v>
      </c>
      <c r="BH153" s="2">
        <v>0.0</v>
      </c>
      <c r="BI153" s="2">
        <v>0.0</v>
      </c>
      <c r="BJ153" s="2">
        <v>5.0</v>
      </c>
      <c r="BK153" s="2">
        <v>2.0</v>
      </c>
      <c r="BL153" s="2">
        <v>0.0</v>
      </c>
      <c r="BM153" s="2">
        <v>7.0</v>
      </c>
      <c r="BN153" s="2">
        <v>0.0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3.0</v>
      </c>
      <c r="BU153" s="2">
        <v>113.0</v>
      </c>
      <c r="BV153" s="2">
        <v>1.0</v>
      </c>
      <c r="BW153" s="2">
        <v>7.0</v>
      </c>
      <c r="BX153" s="2">
        <v>43.0</v>
      </c>
      <c r="BY153" s="2">
        <v>6.0</v>
      </c>
      <c r="BZ153" s="2">
        <v>0.0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2.0</v>
      </c>
      <c r="CH153" s="2">
        <v>27.0</v>
      </c>
      <c r="CI153" s="2">
        <v>4.0</v>
      </c>
      <c r="CJ153" s="2">
        <v>6.0</v>
      </c>
      <c r="CK153" s="2">
        <v>2.0</v>
      </c>
      <c r="CL153" s="2">
        <v>0.0</v>
      </c>
      <c r="CM153" s="2">
        <v>53.0</v>
      </c>
      <c r="CN153" s="2">
        <v>0.666666666666667</v>
      </c>
      <c r="CO153" s="2">
        <v>0.0</v>
      </c>
      <c r="CP153" s="2">
        <v>3.0</v>
      </c>
      <c r="CQ153" s="2">
        <v>0.0</v>
      </c>
      <c r="CR153" s="2">
        <v>0.0</v>
      </c>
      <c r="CS153" s="2">
        <v>1.0</v>
      </c>
      <c r="CT153" s="2">
        <v>0.0</v>
      </c>
      <c r="CU153" s="2">
        <v>0.0</v>
      </c>
      <c r="CV153" s="2">
        <v>0.0</v>
      </c>
      <c r="CW153" s="2">
        <v>0.0</v>
      </c>
      <c r="CX153" s="2">
        <v>1.0</v>
      </c>
      <c r="CY153" s="2">
        <v>1.0</v>
      </c>
      <c r="CZ153" s="2">
        <v>0.0</v>
      </c>
      <c r="DA153" s="2" t="s">
        <v>2083</v>
      </c>
      <c r="DB153" s="2" t="s">
        <v>2084</v>
      </c>
      <c r="DD153" s="2">
        <v>138.0</v>
      </c>
      <c r="DE153" s="2">
        <v>98.0</v>
      </c>
      <c r="DF153" s="2">
        <v>0.0</v>
      </c>
      <c r="DG153" s="2">
        <v>2.0</v>
      </c>
      <c r="DH153" s="2">
        <v>2.0</v>
      </c>
      <c r="DI153" s="2">
        <v>0.0</v>
      </c>
      <c r="DJ153" s="2">
        <v>0.0</v>
      </c>
      <c r="DK153" s="2">
        <v>1.0</v>
      </c>
      <c r="DL153" s="2">
        <v>0.0</v>
      </c>
      <c r="DM153" s="2">
        <v>0.0</v>
      </c>
      <c r="DN153" s="2">
        <v>0.0</v>
      </c>
      <c r="DO153" s="2">
        <v>0.0</v>
      </c>
      <c r="DP153" s="2">
        <v>0.0</v>
      </c>
      <c r="DQ153" s="2">
        <v>2.0</v>
      </c>
      <c r="DR153" s="2">
        <v>0.0</v>
      </c>
      <c r="DS153" s="2">
        <v>51.0</v>
      </c>
      <c r="DT153" s="2">
        <v>83.0</v>
      </c>
      <c r="DU153" s="2">
        <v>0.0</v>
      </c>
      <c r="DV153" s="2">
        <v>0.0</v>
      </c>
      <c r="DW153" s="2">
        <v>1.0</v>
      </c>
      <c r="DX153" s="2">
        <v>0.0</v>
      </c>
      <c r="DY153" s="2">
        <v>1.0</v>
      </c>
      <c r="DZ153" s="2">
        <v>0.0</v>
      </c>
      <c r="EA153" s="2">
        <v>0.0</v>
      </c>
      <c r="EB153" s="2">
        <v>0.0</v>
      </c>
      <c r="EC153" s="2">
        <v>83.0</v>
      </c>
      <c r="EE153" s="2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2">
        <v>2025.0</v>
      </c>
      <c r="B154" s="2">
        <v>5.0</v>
      </c>
      <c r="C154" s="2" t="s">
        <v>235</v>
      </c>
      <c r="D154" s="2" t="s">
        <v>390</v>
      </c>
      <c r="E154" s="2" t="s">
        <v>728</v>
      </c>
      <c r="F154" s="2" t="s">
        <v>232</v>
      </c>
      <c r="G154" s="2">
        <v>26.0</v>
      </c>
      <c r="H154" s="2">
        <v>40.0</v>
      </c>
      <c r="I154" s="2">
        <v>202.0</v>
      </c>
      <c r="J154" s="2">
        <v>2.0</v>
      </c>
      <c r="K154" s="2">
        <v>2.0</v>
      </c>
      <c r="L154" s="2">
        <v>1.0</v>
      </c>
      <c r="M154" s="2">
        <v>-3.0</v>
      </c>
      <c r="N154" s="2">
        <v>1.0</v>
      </c>
      <c r="O154" s="2">
        <v>1.0</v>
      </c>
      <c r="P154" s="2">
        <v>328.0</v>
      </c>
      <c r="Q154" s="2">
        <v>138.0</v>
      </c>
      <c r="R154" s="2">
        <v>10.0</v>
      </c>
      <c r="S154" s="2">
        <v>-12.6485551379155</v>
      </c>
      <c r="T154" s="2">
        <v>-1.74392931736433</v>
      </c>
      <c r="U154" s="2">
        <v>0.0</v>
      </c>
      <c r="V154" s="2">
        <v>9.0</v>
      </c>
      <c r="W154" s="2">
        <v>2.0</v>
      </c>
      <c r="X154" s="2">
        <v>0.0</v>
      </c>
      <c r="Y154" s="2">
        <v>0.0</v>
      </c>
      <c r="Z154" s="2">
        <v>29.0</v>
      </c>
      <c r="AA154" s="2">
        <v>136.0</v>
      </c>
      <c r="AB154" s="2">
        <v>0.0</v>
      </c>
      <c r="AC154" s="2">
        <v>1.0</v>
      </c>
      <c r="AD154" s="2">
        <v>1.0</v>
      </c>
      <c r="AE154" s="2">
        <v>11.0</v>
      </c>
      <c r="AF154" s="2">
        <v>-1.91551431932021</v>
      </c>
      <c r="AG154" s="2">
        <v>0.0</v>
      </c>
      <c r="AH154" s="2">
        <v>3.0</v>
      </c>
      <c r="AI154" s="2">
        <v>1.0</v>
      </c>
      <c r="AJ154" s="2">
        <v>1.0</v>
      </c>
      <c r="AK154" s="2">
        <v>0.0</v>
      </c>
      <c r="AL154" s="2">
        <v>26.0</v>
      </c>
      <c r="AM154" s="2">
        <v>39.0</v>
      </c>
      <c r="AN154" s="2">
        <v>202.0</v>
      </c>
      <c r="AO154" s="2">
        <v>2.0</v>
      </c>
      <c r="AP154" s="2">
        <v>1.0</v>
      </c>
      <c r="AQ154" s="2">
        <v>1.0</v>
      </c>
      <c r="AR154" s="2">
        <v>328.0</v>
      </c>
      <c r="AS154" s="2">
        <v>138.0</v>
      </c>
      <c r="AT154" s="2">
        <v>10.0</v>
      </c>
      <c r="AU154" s="2">
        <v>-12.1172488308512</v>
      </c>
      <c r="AV154" s="2">
        <v>0.0</v>
      </c>
      <c r="AW154" s="2">
        <v>9.0</v>
      </c>
      <c r="AX154" s="2">
        <v>2.0</v>
      </c>
      <c r="AY154" s="2">
        <v>0.0</v>
      </c>
      <c r="AZ154" s="2">
        <v>0.0</v>
      </c>
      <c r="BA154" s="2">
        <v>0.0</v>
      </c>
      <c r="BB154" s="2">
        <v>42.0</v>
      </c>
      <c r="BC154" s="2">
        <v>1.0</v>
      </c>
      <c r="BD154" s="2">
        <v>23.0</v>
      </c>
      <c r="BE154" s="2">
        <v>7.0</v>
      </c>
      <c r="BF154" s="2">
        <v>14.0</v>
      </c>
      <c r="BG154" s="2">
        <v>0.0</v>
      </c>
      <c r="BH154" s="2">
        <v>0.0</v>
      </c>
      <c r="BI154" s="2">
        <v>0.0</v>
      </c>
      <c r="BJ154" s="2">
        <v>1.0</v>
      </c>
      <c r="BK154" s="2">
        <v>0.0</v>
      </c>
      <c r="BL154" s="2">
        <v>0.0</v>
      </c>
      <c r="BM154" s="2">
        <v>3.0</v>
      </c>
      <c r="BN154" s="2">
        <v>0.0</v>
      </c>
      <c r="BO154" s="2">
        <v>0.0</v>
      </c>
      <c r="BP154" s="2">
        <v>0.0</v>
      </c>
      <c r="BQ154" s="2">
        <v>0.0</v>
      </c>
      <c r="BR154" s="2">
        <v>0.0</v>
      </c>
      <c r="BS154" s="2">
        <v>0.0</v>
      </c>
      <c r="BT154" s="2">
        <v>0.0</v>
      </c>
      <c r="BU154" s="2">
        <v>0.0</v>
      </c>
      <c r="BV154" s="2">
        <v>0.0</v>
      </c>
      <c r="BW154" s="2">
        <v>8.0</v>
      </c>
      <c r="BX154" s="2">
        <v>95.0</v>
      </c>
      <c r="BY154" s="2">
        <v>6.0</v>
      </c>
      <c r="BZ154" s="2">
        <v>2.0</v>
      </c>
      <c r="CA154" s="2">
        <v>1.0</v>
      </c>
      <c r="CB154" s="2">
        <v>0.0</v>
      </c>
      <c r="CC154" s="2">
        <v>3.0</v>
      </c>
      <c r="CD154" s="2">
        <v>3.0</v>
      </c>
      <c r="CE154" s="2">
        <v>0.0</v>
      </c>
      <c r="CF154" s="2">
        <v>0.0</v>
      </c>
      <c r="CG154" s="2">
        <v>5.0</v>
      </c>
      <c r="CH154" s="2">
        <v>160.0</v>
      </c>
      <c r="CI154" s="2">
        <v>0.0</v>
      </c>
      <c r="CJ154" s="2">
        <v>0.0</v>
      </c>
      <c r="CK154" s="2">
        <v>0.0</v>
      </c>
      <c r="CL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D154" s="2">
        <v>0.0</v>
      </c>
      <c r="DE154" s="2">
        <v>0.0</v>
      </c>
      <c r="DF154" s="2">
        <v>0.0</v>
      </c>
      <c r="DG154" s="2">
        <v>2.0</v>
      </c>
      <c r="DH154" s="2">
        <v>2.0</v>
      </c>
      <c r="DI154" s="2">
        <v>0.0</v>
      </c>
      <c r="DJ154" s="2">
        <v>0.0</v>
      </c>
      <c r="DK154" s="2">
        <v>1.0</v>
      </c>
      <c r="DL154" s="2">
        <v>0.0</v>
      </c>
      <c r="DM154" s="2">
        <v>0.0</v>
      </c>
      <c r="DN154" s="2">
        <v>0.0</v>
      </c>
      <c r="DO154" s="2">
        <v>0.0</v>
      </c>
      <c r="DP154" s="2">
        <v>0.0</v>
      </c>
      <c r="DQ154" s="2">
        <v>2.0</v>
      </c>
      <c r="DR154" s="2">
        <v>0.0</v>
      </c>
      <c r="DS154" s="2">
        <v>40.0</v>
      </c>
      <c r="DT154" s="2">
        <v>75.0</v>
      </c>
      <c r="DU154" s="2">
        <v>2.0</v>
      </c>
      <c r="DV154" s="2">
        <v>1.0</v>
      </c>
      <c r="DW154" s="2">
        <v>0.0</v>
      </c>
      <c r="DX154" s="2">
        <v>0.0</v>
      </c>
      <c r="DY154" s="2">
        <v>1.0</v>
      </c>
      <c r="DZ154" s="2">
        <v>0.0</v>
      </c>
      <c r="EA154" s="2">
        <v>0.0</v>
      </c>
      <c r="EB154" s="2">
        <v>0.0</v>
      </c>
      <c r="EC154" s="2">
        <v>75.0</v>
      </c>
      <c r="EE154" s="2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2">
        <v>2025.0</v>
      </c>
      <c r="B155" s="2">
        <v>5.0</v>
      </c>
      <c r="C155" s="2" t="s">
        <v>238</v>
      </c>
      <c r="D155" s="2" t="s">
        <v>390</v>
      </c>
      <c r="E155" s="2" t="s">
        <v>730</v>
      </c>
      <c r="F155" s="2" t="s">
        <v>146</v>
      </c>
      <c r="G155" s="2">
        <v>32.0</v>
      </c>
      <c r="H155" s="2">
        <v>46.0</v>
      </c>
      <c r="I155" s="2">
        <v>283.0</v>
      </c>
      <c r="J155" s="2">
        <v>2.0</v>
      </c>
      <c r="K155" s="2">
        <v>0.0</v>
      </c>
      <c r="L155" s="2">
        <v>5.0</v>
      </c>
      <c r="M155" s="2">
        <v>-49.0</v>
      </c>
      <c r="N155" s="2">
        <v>0.0</v>
      </c>
      <c r="O155" s="2">
        <v>0.0</v>
      </c>
      <c r="P155" s="2">
        <v>308.0</v>
      </c>
      <c r="Q155" s="2">
        <v>110.0</v>
      </c>
      <c r="R155" s="2">
        <v>14.0</v>
      </c>
      <c r="S155" s="2">
        <v>3.90826704605596</v>
      </c>
      <c r="T155" s="2">
        <v>5.11759384111925</v>
      </c>
      <c r="U155" s="2">
        <v>2.0</v>
      </c>
      <c r="V155" s="2">
        <v>12.0</v>
      </c>
      <c r="W155" s="2">
        <v>3.0</v>
      </c>
      <c r="X155" s="2">
        <v>1.0</v>
      </c>
      <c r="Y155" s="2">
        <v>0.0</v>
      </c>
      <c r="Z155" s="2">
        <v>22.0</v>
      </c>
      <c r="AA155" s="2">
        <v>144.0</v>
      </c>
      <c r="AB155" s="2">
        <v>0.0</v>
      </c>
      <c r="AC155" s="2">
        <v>1.0</v>
      </c>
      <c r="AD155" s="2">
        <v>1.0</v>
      </c>
      <c r="AE155" s="2">
        <v>9.0</v>
      </c>
      <c r="AF155" s="2">
        <v>-3.49467211775482</v>
      </c>
      <c r="AG155" s="2">
        <v>0.0</v>
      </c>
      <c r="AH155" s="2">
        <v>7.0</v>
      </c>
      <c r="AI155" s="2">
        <v>5.0</v>
      </c>
      <c r="AJ155" s="2">
        <v>2.0</v>
      </c>
      <c r="AK155" s="2">
        <v>0.0</v>
      </c>
      <c r="AL155" s="2">
        <v>32.0</v>
      </c>
      <c r="AM155" s="2">
        <v>44.0</v>
      </c>
      <c r="AN155" s="2">
        <v>283.0</v>
      </c>
      <c r="AO155" s="2">
        <v>2.0</v>
      </c>
      <c r="AP155" s="2">
        <v>0.0</v>
      </c>
      <c r="AQ155" s="2">
        <v>0.0</v>
      </c>
      <c r="AR155" s="2">
        <v>308.0</v>
      </c>
      <c r="AS155" s="2">
        <v>110.0</v>
      </c>
      <c r="AT155" s="2">
        <v>14.0</v>
      </c>
      <c r="AU155" s="2">
        <v>14.0147328702372</v>
      </c>
      <c r="AV155" s="2">
        <v>2.0</v>
      </c>
      <c r="AW155" s="2">
        <v>12.0</v>
      </c>
      <c r="AX155" s="2">
        <v>3.0</v>
      </c>
      <c r="AY155" s="2">
        <v>1.0</v>
      </c>
      <c r="AZ155" s="2">
        <v>0.0</v>
      </c>
      <c r="BA155" s="2">
        <v>0.0</v>
      </c>
      <c r="BB155" s="2">
        <v>33.0</v>
      </c>
      <c r="BC155" s="2">
        <v>1.0</v>
      </c>
      <c r="BD155" s="2">
        <v>17.0</v>
      </c>
      <c r="BE155" s="2">
        <v>3.0</v>
      </c>
      <c r="BF155" s="2">
        <v>3.0</v>
      </c>
      <c r="BG155" s="2">
        <v>0.0</v>
      </c>
      <c r="BH155" s="2">
        <v>1.0</v>
      </c>
      <c r="BI155" s="2">
        <v>1.0</v>
      </c>
      <c r="BJ155" s="2">
        <v>3.0</v>
      </c>
      <c r="BK155" s="2">
        <v>0.0</v>
      </c>
      <c r="BL155" s="2">
        <v>0.0</v>
      </c>
      <c r="BM155" s="2">
        <v>4.0</v>
      </c>
      <c r="BN155" s="2">
        <v>0.0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10.0</v>
      </c>
      <c r="BX155" s="2">
        <v>61.0</v>
      </c>
      <c r="BY155" s="2">
        <v>5.0</v>
      </c>
      <c r="BZ155" s="2">
        <v>1.0</v>
      </c>
      <c r="CA155" s="2">
        <v>0.0</v>
      </c>
      <c r="CB155" s="2">
        <v>0.0</v>
      </c>
      <c r="CC155" s="2">
        <v>1.0</v>
      </c>
      <c r="CD155" s="2">
        <v>1.0</v>
      </c>
      <c r="CE155" s="2">
        <v>4.0</v>
      </c>
      <c r="CF155" s="2">
        <v>41.0</v>
      </c>
      <c r="CG155" s="2">
        <v>6.0</v>
      </c>
      <c r="CH155" s="2">
        <v>155.0</v>
      </c>
      <c r="CI155" s="2">
        <v>2.0</v>
      </c>
      <c r="CJ155" s="2">
        <v>2.0</v>
      </c>
      <c r="CK155" s="2">
        <v>0.0</v>
      </c>
      <c r="CL155" s="2">
        <v>0.0</v>
      </c>
      <c r="CM155" s="2">
        <v>48.0</v>
      </c>
      <c r="CN155" s="2">
        <v>1.0</v>
      </c>
      <c r="CO155" s="2">
        <v>0.0</v>
      </c>
      <c r="CP155" s="2">
        <v>1.0</v>
      </c>
      <c r="CQ155" s="2">
        <v>0.0</v>
      </c>
      <c r="CR155" s="2">
        <v>1.0</v>
      </c>
      <c r="CS155" s="2">
        <v>0.0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 t="s">
        <v>2085</v>
      </c>
      <c r="DD155" s="2">
        <v>73.0</v>
      </c>
      <c r="DE155" s="2">
        <v>0.0</v>
      </c>
      <c r="DF155" s="2">
        <v>0.0</v>
      </c>
      <c r="DG155" s="2">
        <v>0.0</v>
      </c>
      <c r="DH155" s="2">
        <v>0.0</v>
      </c>
      <c r="DI155" s="2">
        <v>0.0</v>
      </c>
      <c r="DJ155" s="2">
        <v>0.0</v>
      </c>
      <c r="DL155" s="2">
        <v>0.0</v>
      </c>
      <c r="DM155" s="2">
        <v>0.0</v>
      </c>
      <c r="DN155" s="2">
        <v>0.0</v>
      </c>
      <c r="DO155" s="2">
        <v>0.0</v>
      </c>
      <c r="DP155" s="2">
        <v>0.0</v>
      </c>
      <c r="DQ155" s="2">
        <v>4.0</v>
      </c>
      <c r="DR155" s="2">
        <v>0.0</v>
      </c>
      <c r="DS155" s="2">
        <v>58.0</v>
      </c>
      <c r="DT155" s="2">
        <v>176.0</v>
      </c>
      <c r="DU155" s="2">
        <v>1.0</v>
      </c>
      <c r="DV155" s="2">
        <v>0.0</v>
      </c>
      <c r="DW155" s="2">
        <v>0.0</v>
      </c>
      <c r="DX155" s="2">
        <v>0.0</v>
      </c>
      <c r="DY155" s="2">
        <v>3.0</v>
      </c>
      <c r="DZ155" s="2">
        <v>1.0</v>
      </c>
      <c r="EA155" s="2">
        <v>8.0</v>
      </c>
      <c r="EB155" s="2">
        <v>0.0</v>
      </c>
      <c r="EC155" s="2">
        <v>168.0</v>
      </c>
      <c r="EE155" s="2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2">
        <v>2025.0</v>
      </c>
      <c r="B156" s="2">
        <v>5.0</v>
      </c>
      <c r="C156" s="2" t="s">
        <v>147</v>
      </c>
      <c r="D156" s="2" t="s">
        <v>390</v>
      </c>
      <c r="E156" s="2" t="s">
        <v>732</v>
      </c>
      <c r="F156" s="2" t="s">
        <v>139</v>
      </c>
      <c r="G156" s="2">
        <v>23.0</v>
      </c>
      <c r="H156" s="2">
        <v>38.0</v>
      </c>
      <c r="I156" s="2">
        <v>280.0</v>
      </c>
      <c r="J156" s="2">
        <v>2.0</v>
      </c>
      <c r="K156" s="2">
        <v>0.0</v>
      </c>
      <c r="L156" s="2">
        <v>6.0</v>
      </c>
      <c r="M156" s="2">
        <v>-23.0</v>
      </c>
      <c r="N156" s="2">
        <v>0.0</v>
      </c>
      <c r="O156" s="2">
        <v>0.0</v>
      </c>
      <c r="P156" s="2">
        <v>416.0</v>
      </c>
      <c r="Q156" s="2">
        <v>117.0</v>
      </c>
      <c r="R156" s="2">
        <v>11.0</v>
      </c>
      <c r="S156" s="2">
        <v>0.504977530347</v>
      </c>
      <c r="T156" s="2">
        <v>-2.26264426837096</v>
      </c>
      <c r="U156" s="2">
        <v>0.0</v>
      </c>
      <c r="V156" s="2">
        <v>9.0</v>
      </c>
      <c r="W156" s="2">
        <v>4.0</v>
      </c>
      <c r="X156" s="2">
        <v>4.0</v>
      </c>
      <c r="Y156" s="2">
        <v>2.0</v>
      </c>
      <c r="Z156" s="2">
        <v>11.0</v>
      </c>
      <c r="AA156" s="2">
        <v>45.0</v>
      </c>
      <c r="AB156" s="2">
        <v>0.0</v>
      </c>
      <c r="AC156" s="2">
        <v>0.0</v>
      </c>
      <c r="AD156" s="2">
        <v>0.0</v>
      </c>
      <c r="AE156" s="2">
        <v>2.0</v>
      </c>
      <c r="AF156" s="2">
        <v>-0.334271520434413</v>
      </c>
      <c r="AG156" s="2">
        <v>0.0</v>
      </c>
      <c r="AH156" s="2">
        <v>1.0</v>
      </c>
      <c r="AI156" s="2">
        <v>1.0</v>
      </c>
      <c r="AJ156" s="2">
        <v>0.0</v>
      </c>
      <c r="AK156" s="2">
        <v>0.0</v>
      </c>
      <c r="AL156" s="2">
        <v>23.0</v>
      </c>
      <c r="AM156" s="2">
        <v>37.0</v>
      </c>
      <c r="AN156" s="2">
        <v>280.0</v>
      </c>
      <c r="AO156" s="2">
        <v>2.0</v>
      </c>
      <c r="AP156" s="2">
        <v>0.0</v>
      </c>
      <c r="AQ156" s="2">
        <v>0.0</v>
      </c>
      <c r="AR156" s="2">
        <v>416.0</v>
      </c>
      <c r="AS156" s="2">
        <v>117.0</v>
      </c>
      <c r="AT156" s="2">
        <v>11.0</v>
      </c>
      <c r="AU156" s="2">
        <v>8.99622417132026</v>
      </c>
      <c r="AV156" s="2">
        <v>0.0</v>
      </c>
      <c r="AW156" s="2">
        <v>9.0</v>
      </c>
      <c r="AX156" s="2">
        <v>4.0</v>
      </c>
      <c r="AY156" s="2">
        <v>4.0</v>
      </c>
      <c r="AZ156" s="2">
        <v>2.0</v>
      </c>
      <c r="BA156" s="2">
        <v>0.0</v>
      </c>
      <c r="BB156" s="2">
        <v>45.0</v>
      </c>
      <c r="BC156" s="2">
        <v>2.0</v>
      </c>
      <c r="BD156" s="2">
        <v>30.0</v>
      </c>
      <c r="BE156" s="2">
        <v>5.0</v>
      </c>
      <c r="BF156" s="2">
        <v>22.0</v>
      </c>
      <c r="BG156" s="2">
        <v>0.0</v>
      </c>
      <c r="BH156" s="2">
        <v>2.0</v>
      </c>
      <c r="BI156" s="2">
        <v>14.0</v>
      </c>
      <c r="BJ156" s="2">
        <v>8.0</v>
      </c>
      <c r="BK156" s="2">
        <v>0.0</v>
      </c>
      <c r="BL156" s="2">
        <v>0.0</v>
      </c>
      <c r="BM156" s="2">
        <v>2.0</v>
      </c>
      <c r="BN156" s="2">
        <v>0.0</v>
      </c>
      <c r="BO156" s="2">
        <v>0.0</v>
      </c>
      <c r="BP156" s="2">
        <v>0.0</v>
      </c>
      <c r="BQ156" s="2">
        <v>0.0</v>
      </c>
      <c r="BR156" s="2">
        <v>0.0</v>
      </c>
      <c r="BS156" s="2">
        <v>0.0</v>
      </c>
      <c r="BT156" s="2">
        <v>0.0</v>
      </c>
      <c r="BU156" s="2">
        <v>0.0</v>
      </c>
      <c r="BV156" s="2">
        <v>0.0</v>
      </c>
      <c r="BW156" s="2">
        <v>9.0</v>
      </c>
      <c r="BX156" s="2">
        <v>55.0</v>
      </c>
      <c r="BY156" s="2">
        <v>5.0</v>
      </c>
      <c r="BZ156" s="2">
        <v>0.0</v>
      </c>
      <c r="CA156" s="2">
        <v>0.0</v>
      </c>
      <c r="CB156" s="2">
        <v>0.0</v>
      </c>
      <c r="CC156" s="2">
        <v>0.0</v>
      </c>
      <c r="CD156" s="2">
        <v>0.0</v>
      </c>
      <c r="CE156" s="2">
        <v>1.0</v>
      </c>
      <c r="CF156" s="2">
        <v>15.0</v>
      </c>
      <c r="CG156" s="2">
        <v>5.0</v>
      </c>
      <c r="CH156" s="2">
        <v>130.0</v>
      </c>
      <c r="CI156" s="2">
        <v>1.0</v>
      </c>
      <c r="CJ156" s="2">
        <v>1.0</v>
      </c>
      <c r="CK156" s="2">
        <v>0.0</v>
      </c>
      <c r="CL156" s="2">
        <v>0.0</v>
      </c>
      <c r="CM156" s="2">
        <v>31.0</v>
      </c>
      <c r="CN156" s="2">
        <v>1.0</v>
      </c>
      <c r="CO156" s="2">
        <v>0.0</v>
      </c>
      <c r="CP156" s="2">
        <v>0.0</v>
      </c>
      <c r="CQ156" s="2">
        <v>1.0</v>
      </c>
      <c r="CR156" s="2">
        <v>0.0</v>
      </c>
      <c r="CS156" s="2">
        <v>0.0</v>
      </c>
      <c r="CT156" s="2">
        <v>0.0</v>
      </c>
      <c r="CU156" s="2">
        <v>0.0</v>
      </c>
      <c r="CV156" s="2">
        <v>0.0</v>
      </c>
      <c r="CW156" s="2">
        <v>0.0</v>
      </c>
      <c r="CX156" s="2">
        <v>0.0</v>
      </c>
      <c r="CY156" s="2">
        <v>0.0</v>
      </c>
      <c r="CZ156" s="2">
        <v>0.0</v>
      </c>
      <c r="DA156" s="2" t="s">
        <v>1998</v>
      </c>
      <c r="DD156" s="2">
        <v>31.0</v>
      </c>
      <c r="DE156" s="2">
        <v>0.0</v>
      </c>
      <c r="DF156" s="2">
        <v>0.0</v>
      </c>
      <c r="DG156" s="2">
        <v>2.0</v>
      </c>
      <c r="DH156" s="2">
        <v>2.0</v>
      </c>
      <c r="DI156" s="2">
        <v>0.0</v>
      </c>
      <c r="DJ156" s="2">
        <v>0.0</v>
      </c>
      <c r="DK156" s="2">
        <v>1.0</v>
      </c>
      <c r="DL156" s="2">
        <v>0.0</v>
      </c>
      <c r="DM156" s="2">
        <v>0.0</v>
      </c>
      <c r="DN156" s="2">
        <v>0.0</v>
      </c>
      <c r="DO156" s="2">
        <v>0.0</v>
      </c>
      <c r="DP156" s="2">
        <v>0.0</v>
      </c>
      <c r="DQ156" s="2">
        <v>7.0</v>
      </c>
      <c r="DR156" s="2">
        <v>0.0</v>
      </c>
      <c r="DS156" s="2">
        <v>69.0</v>
      </c>
      <c r="DT156" s="2">
        <v>359.0</v>
      </c>
      <c r="DU156" s="2">
        <v>0.0</v>
      </c>
      <c r="DV156" s="2">
        <v>0.0</v>
      </c>
      <c r="DW156" s="2">
        <v>1.0</v>
      </c>
      <c r="DX156" s="2">
        <v>2.0</v>
      </c>
      <c r="DY156" s="2">
        <v>0.0</v>
      </c>
      <c r="DZ156" s="2">
        <v>4.0</v>
      </c>
      <c r="EA156" s="2">
        <v>42.0</v>
      </c>
      <c r="EB156" s="2">
        <v>0.0</v>
      </c>
      <c r="EC156" s="2">
        <v>277.0</v>
      </c>
      <c r="EE156" s="2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2">
        <v>2025.0</v>
      </c>
      <c r="B157" s="2">
        <v>5.0</v>
      </c>
      <c r="C157" s="2" t="s">
        <v>149</v>
      </c>
      <c r="D157" s="2" t="s">
        <v>390</v>
      </c>
      <c r="E157" s="2" t="s">
        <v>736</v>
      </c>
      <c r="F157" s="2" t="s">
        <v>150</v>
      </c>
      <c r="G157" s="2">
        <v>28.0</v>
      </c>
      <c r="H157" s="2">
        <v>34.0</v>
      </c>
      <c r="I157" s="2">
        <v>341.0</v>
      </c>
      <c r="J157" s="2">
        <v>4.0</v>
      </c>
      <c r="K157" s="2">
        <v>1.0</v>
      </c>
      <c r="L157" s="2">
        <v>0.0</v>
      </c>
      <c r="M157" s="2">
        <v>0.0</v>
      </c>
      <c r="N157" s="2">
        <v>0.0</v>
      </c>
      <c r="O157" s="2">
        <v>0.0</v>
      </c>
      <c r="P157" s="2">
        <v>275.0</v>
      </c>
      <c r="Q157" s="2">
        <v>104.0</v>
      </c>
      <c r="R157" s="2">
        <v>18.0</v>
      </c>
      <c r="S157" s="2">
        <v>23.4131200062029</v>
      </c>
      <c r="T157" s="2">
        <v>16.3023122969796</v>
      </c>
      <c r="U157" s="2">
        <v>0.0</v>
      </c>
      <c r="V157" s="2">
        <v>15.0</v>
      </c>
      <c r="W157" s="2">
        <v>5.0</v>
      </c>
      <c r="X157" s="2">
        <v>5.0</v>
      </c>
      <c r="Y157" s="2">
        <v>1.0</v>
      </c>
      <c r="Z157" s="2">
        <v>20.0</v>
      </c>
      <c r="AA157" s="2">
        <v>122.0</v>
      </c>
      <c r="AB157" s="2">
        <v>1.0</v>
      </c>
      <c r="AC157" s="2">
        <v>1.0</v>
      </c>
      <c r="AD157" s="2">
        <v>1.0</v>
      </c>
      <c r="AE157" s="2">
        <v>6.0</v>
      </c>
      <c r="AF157" s="2">
        <v>-1.50841976498486</v>
      </c>
      <c r="AG157" s="2">
        <v>0.0</v>
      </c>
      <c r="AH157" s="2">
        <v>3.0</v>
      </c>
      <c r="AI157" s="2">
        <v>3.0</v>
      </c>
      <c r="AJ157" s="2">
        <v>2.0</v>
      </c>
      <c r="AK157" s="2">
        <v>0.0</v>
      </c>
      <c r="AL157" s="2">
        <v>28.0</v>
      </c>
      <c r="AM157" s="2">
        <v>34.0</v>
      </c>
      <c r="AN157" s="2">
        <v>341.0</v>
      </c>
      <c r="AO157" s="2">
        <v>4.0</v>
      </c>
      <c r="AP157" s="2">
        <v>0.0</v>
      </c>
      <c r="AQ157" s="2">
        <v>0.0</v>
      </c>
      <c r="AR157" s="2">
        <v>275.0</v>
      </c>
      <c r="AS157" s="2">
        <v>104.0</v>
      </c>
      <c r="AT157" s="2">
        <v>18.0</v>
      </c>
      <c r="AU157" s="2">
        <v>23.4131200062029</v>
      </c>
      <c r="AV157" s="2">
        <v>0.0</v>
      </c>
      <c r="AW157" s="2">
        <v>15.0</v>
      </c>
      <c r="AX157" s="2">
        <v>5.0</v>
      </c>
      <c r="AY157" s="2">
        <v>5.0</v>
      </c>
      <c r="AZ157" s="2">
        <v>1.0</v>
      </c>
      <c r="BA157" s="2">
        <v>0.0</v>
      </c>
      <c r="BB157" s="2">
        <v>39.0</v>
      </c>
      <c r="BC157" s="2">
        <v>3.0</v>
      </c>
      <c r="BD157" s="2">
        <v>29.0</v>
      </c>
      <c r="BE157" s="2">
        <v>6.0</v>
      </c>
      <c r="BF157" s="2">
        <v>22.0</v>
      </c>
      <c r="BG157" s="2">
        <v>0.0</v>
      </c>
      <c r="BH157" s="2">
        <v>1.0</v>
      </c>
      <c r="BI157" s="2">
        <v>9.0</v>
      </c>
      <c r="BJ157" s="2">
        <v>2.0</v>
      </c>
      <c r="BK157" s="2">
        <v>0.0</v>
      </c>
      <c r="BL157" s="2">
        <v>0.0</v>
      </c>
      <c r="BM157" s="2">
        <v>2.0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-3.0</v>
      </c>
      <c r="BT157" s="2">
        <v>0.0</v>
      </c>
      <c r="BU157" s="2">
        <v>0.0</v>
      </c>
      <c r="BV157" s="2">
        <v>0.0</v>
      </c>
      <c r="BW157" s="2">
        <v>7.0</v>
      </c>
      <c r="BX157" s="2">
        <v>56.0</v>
      </c>
      <c r="BY157" s="2">
        <v>5.0</v>
      </c>
      <c r="BZ157" s="2">
        <v>0.0</v>
      </c>
      <c r="CA157" s="2">
        <v>1.0</v>
      </c>
      <c r="CB157" s="2">
        <v>0.0</v>
      </c>
      <c r="CC157" s="2">
        <v>1.0</v>
      </c>
      <c r="CD157" s="2">
        <v>1.0</v>
      </c>
      <c r="CE157" s="2">
        <v>0.0</v>
      </c>
      <c r="CF157" s="2">
        <v>0.0</v>
      </c>
      <c r="CG157" s="2">
        <v>7.0</v>
      </c>
      <c r="CH157" s="2">
        <v>196.0</v>
      </c>
      <c r="CI157" s="2">
        <v>0.0</v>
      </c>
      <c r="CJ157" s="2">
        <v>1.0</v>
      </c>
      <c r="CK157" s="2">
        <v>1.0</v>
      </c>
      <c r="CL157" s="2">
        <v>0.0</v>
      </c>
      <c r="CN157" s="2">
        <v>0.0</v>
      </c>
      <c r="CO157" s="2">
        <v>0.0</v>
      </c>
      <c r="CP157" s="2">
        <v>0.0</v>
      </c>
      <c r="CQ157" s="2">
        <v>0.0</v>
      </c>
      <c r="CR157" s="2">
        <v>0.0</v>
      </c>
      <c r="CS157" s="2">
        <v>0.0</v>
      </c>
      <c r="CT157" s="2">
        <v>0.0</v>
      </c>
      <c r="CU157" s="2">
        <v>0.0</v>
      </c>
      <c r="CV157" s="2">
        <v>0.0</v>
      </c>
      <c r="CW157" s="2">
        <v>0.0</v>
      </c>
      <c r="CX157" s="2">
        <v>1.0</v>
      </c>
      <c r="CY157" s="2">
        <v>0.0</v>
      </c>
      <c r="CZ157" s="2">
        <v>0.0</v>
      </c>
      <c r="DB157" s="2" t="s">
        <v>1962</v>
      </c>
      <c r="DD157" s="2">
        <v>0.0</v>
      </c>
      <c r="DE157" s="2">
        <v>44.0</v>
      </c>
      <c r="DF157" s="2">
        <v>0.0</v>
      </c>
      <c r="DG157" s="2">
        <v>5.0</v>
      </c>
      <c r="DH157" s="2">
        <v>5.0</v>
      </c>
      <c r="DI157" s="2">
        <v>0.0</v>
      </c>
      <c r="DJ157" s="2">
        <v>0.0</v>
      </c>
      <c r="DK157" s="2">
        <v>1.0</v>
      </c>
      <c r="DL157" s="2">
        <v>0.0</v>
      </c>
      <c r="DM157" s="2">
        <v>0.0</v>
      </c>
      <c r="DN157" s="2">
        <v>0.0</v>
      </c>
      <c r="DO157" s="2">
        <v>0.0</v>
      </c>
      <c r="DP157" s="2">
        <v>0.0</v>
      </c>
      <c r="DQ157" s="2">
        <v>1.0</v>
      </c>
      <c r="DR157" s="2">
        <v>0.0</v>
      </c>
      <c r="DS157" s="2">
        <v>38.0</v>
      </c>
      <c r="DT157" s="2">
        <v>38.0</v>
      </c>
      <c r="DU157" s="2">
        <v>1.0</v>
      </c>
      <c r="DV157" s="2">
        <v>0.0</v>
      </c>
      <c r="DW157" s="2">
        <v>0.0</v>
      </c>
      <c r="DX157" s="2">
        <v>0.0</v>
      </c>
      <c r="DY157" s="2">
        <v>1.0</v>
      </c>
      <c r="DZ157" s="2">
        <v>0.0</v>
      </c>
      <c r="EA157" s="2">
        <v>0.0</v>
      </c>
      <c r="EB157" s="2">
        <v>0.0</v>
      </c>
      <c r="EC157" s="2">
        <v>38.0</v>
      </c>
      <c r="EE157" s="2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2">
        <v>2025.0</v>
      </c>
      <c r="B158" s="2">
        <v>5.0</v>
      </c>
      <c r="C158" s="2" t="s">
        <v>246</v>
      </c>
      <c r="D158" s="2" t="s">
        <v>390</v>
      </c>
      <c r="E158" s="2" t="s">
        <v>712</v>
      </c>
      <c r="F158" s="2" t="s">
        <v>142</v>
      </c>
      <c r="G158" s="2">
        <v>33.0</v>
      </c>
      <c r="H158" s="2">
        <v>49.0</v>
      </c>
      <c r="I158" s="2">
        <v>342.0</v>
      </c>
      <c r="J158" s="2">
        <v>2.0</v>
      </c>
      <c r="K158" s="2">
        <v>0.0</v>
      </c>
      <c r="L158" s="2">
        <v>1.0</v>
      </c>
      <c r="M158" s="2">
        <v>-9.0</v>
      </c>
      <c r="N158" s="2">
        <v>0.0</v>
      </c>
      <c r="O158" s="2">
        <v>0.0</v>
      </c>
      <c r="P158" s="2">
        <v>290.0</v>
      </c>
      <c r="Q158" s="2">
        <v>179.0</v>
      </c>
      <c r="R158" s="2">
        <v>19.0</v>
      </c>
      <c r="S158" s="2">
        <v>14.0017788908093</v>
      </c>
      <c r="T158" s="2">
        <v>-0.909361615777016</v>
      </c>
      <c r="U158" s="2">
        <v>0.0</v>
      </c>
      <c r="V158" s="2">
        <v>15.0</v>
      </c>
      <c r="W158" s="2">
        <v>6.0</v>
      </c>
      <c r="X158" s="2">
        <v>1.0</v>
      </c>
      <c r="Y158" s="2">
        <v>0.0</v>
      </c>
      <c r="Z158" s="2">
        <v>33.0</v>
      </c>
      <c r="AA158" s="2">
        <v>74.0</v>
      </c>
      <c r="AB158" s="2">
        <v>0.0</v>
      </c>
      <c r="AC158" s="2">
        <v>0.0</v>
      </c>
      <c r="AD158" s="2">
        <v>0.0</v>
      </c>
      <c r="AE158" s="2">
        <v>6.0</v>
      </c>
      <c r="AF158" s="2">
        <v>-3.75462137125972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33.0</v>
      </c>
      <c r="AM158" s="2">
        <v>48.0</v>
      </c>
      <c r="AN158" s="2">
        <v>342.0</v>
      </c>
      <c r="AO158" s="2">
        <v>2.0</v>
      </c>
      <c r="AP158" s="2">
        <v>0.0</v>
      </c>
      <c r="AQ158" s="2">
        <v>0.0</v>
      </c>
      <c r="AR158" s="2">
        <v>290.0</v>
      </c>
      <c r="AS158" s="2">
        <v>179.0</v>
      </c>
      <c r="AT158" s="2">
        <v>19.0</v>
      </c>
      <c r="AU158" s="2">
        <v>15.8788070327367</v>
      </c>
      <c r="AV158" s="2">
        <v>0.0</v>
      </c>
      <c r="AW158" s="2">
        <v>15.0</v>
      </c>
      <c r="AX158" s="2">
        <v>6.0</v>
      </c>
      <c r="AY158" s="2">
        <v>1.0</v>
      </c>
      <c r="AZ158" s="2">
        <v>0.0</v>
      </c>
      <c r="BA158" s="2">
        <v>0.0</v>
      </c>
      <c r="BB158" s="2">
        <v>33.0</v>
      </c>
      <c r="BC158" s="2">
        <v>0.0</v>
      </c>
      <c r="BD158" s="2">
        <v>32.0</v>
      </c>
      <c r="BE158" s="2">
        <v>1.0</v>
      </c>
      <c r="BF158" s="2">
        <v>11.0</v>
      </c>
      <c r="BG158" s="2">
        <v>1.0</v>
      </c>
      <c r="BH158" s="2">
        <v>1.0</v>
      </c>
      <c r="BI158" s="2">
        <v>11.0</v>
      </c>
      <c r="BJ158" s="2">
        <v>2.0</v>
      </c>
      <c r="BK158" s="2">
        <v>0.0</v>
      </c>
      <c r="BL158" s="2">
        <v>0.0</v>
      </c>
      <c r="BM158" s="2">
        <v>4.0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2.0</v>
      </c>
      <c r="BU158" s="2">
        <v>0.0</v>
      </c>
      <c r="BV158" s="2">
        <v>0.0</v>
      </c>
      <c r="BW158" s="2">
        <v>8.0</v>
      </c>
      <c r="BX158" s="2">
        <v>44.0</v>
      </c>
      <c r="BY158" s="2">
        <v>7.0</v>
      </c>
      <c r="BZ158" s="2">
        <v>0.0</v>
      </c>
      <c r="CA158" s="2">
        <v>0.0</v>
      </c>
      <c r="CB158" s="2">
        <v>0.0</v>
      </c>
      <c r="CC158" s="2">
        <v>0.0</v>
      </c>
      <c r="CD158" s="2">
        <v>0.0</v>
      </c>
      <c r="CE158" s="2">
        <v>1.0</v>
      </c>
      <c r="CF158" s="2">
        <v>0.0</v>
      </c>
      <c r="CG158" s="2">
        <v>4.0</v>
      </c>
      <c r="CH158" s="2">
        <v>73.0</v>
      </c>
      <c r="CI158" s="2">
        <v>4.0</v>
      </c>
      <c r="CJ158" s="2">
        <v>4.0</v>
      </c>
      <c r="CK158" s="2">
        <v>0.0</v>
      </c>
      <c r="CL158" s="2">
        <v>0.0</v>
      </c>
      <c r="CM158" s="2">
        <v>59.0</v>
      </c>
      <c r="CN158" s="2">
        <v>1.0</v>
      </c>
      <c r="CO158" s="2">
        <v>0.0</v>
      </c>
      <c r="CP158" s="2">
        <v>1.0</v>
      </c>
      <c r="CQ158" s="2">
        <v>1.0</v>
      </c>
      <c r="CR158" s="2">
        <v>1.0</v>
      </c>
      <c r="CS158" s="2">
        <v>1.0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 t="s">
        <v>2086</v>
      </c>
      <c r="DD158" s="2">
        <v>157.0</v>
      </c>
      <c r="DE158" s="2">
        <v>0.0</v>
      </c>
      <c r="DF158" s="2">
        <v>0.0</v>
      </c>
      <c r="DG158" s="2">
        <v>2.0</v>
      </c>
      <c r="DH158" s="2">
        <v>2.0</v>
      </c>
      <c r="DI158" s="2">
        <v>0.0</v>
      </c>
      <c r="DJ158" s="2">
        <v>0.0</v>
      </c>
      <c r="DK158" s="2">
        <v>1.0</v>
      </c>
      <c r="DL158" s="2">
        <v>1.0</v>
      </c>
      <c r="DM158" s="2">
        <v>1.0</v>
      </c>
      <c r="DN158" s="2">
        <v>0.0</v>
      </c>
      <c r="DO158" s="2">
        <v>0.0</v>
      </c>
      <c r="DP158" s="2">
        <v>41.0</v>
      </c>
      <c r="DQ158" s="2">
        <v>4.0</v>
      </c>
      <c r="DR158" s="2">
        <v>0.0</v>
      </c>
      <c r="DS158" s="2">
        <v>50.0</v>
      </c>
      <c r="DT158" s="2">
        <v>168.0</v>
      </c>
      <c r="DU158" s="2">
        <v>2.0</v>
      </c>
      <c r="DV158" s="2">
        <v>0.0</v>
      </c>
      <c r="DW158" s="2">
        <v>0.0</v>
      </c>
      <c r="DX158" s="2">
        <v>0.0</v>
      </c>
      <c r="DY158" s="2">
        <v>1.0</v>
      </c>
      <c r="DZ158" s="2">
        <v>3.0</v>
      </c>
      <c r="EA158" s="2">
        <v>21.0</v>
      </c>
      <c r="EB158" s="2">
        <v>0.0</v>
      </c>
      <c r="EC158" s="2">
        <v>147.0</v>
      </c>
      <c r="EE158" s="2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2">
        <v>2025.0</v>
      </c>
      <c r="B159" s="2">
        <v>5.0</v>
      </c>
      <c r="C159" s="2" t="s">
        <v>150</v>
      </c>
      <c r="D159" s="2" t="s">
        <v>390</v>
      </c>
      <c r="E159" s="2" t="s">
        <v>736</v>
      </c>
      <c r="F159" s="2" t="s">
        <v>149</v>
      </c>
      <c r="G159" s="2">
        <v>29.0</v>
      </c>
      <c r="H159" s="2">
        <v>33.0</v>
      </c>
      <c r="I159" s="2">
        <v>379.0</v>
      </c>
      <c r="J159" s="2">
        <v>2.0</v>
      </c>
      <c r="K159" s="2">
        <v>0.0</v>
      </c>
      <c r="L159" s="2">
        <v>1.0</v>
      </c>
      <c r="M159" s="2">
        <v>-9.0</v>
      </c>
      <c r="N159" s="2">
        <v>0.0</v>
      </c>
      <c r="O159" s="2">
        <v>0.0</v>
      </c>
      <c r="P159" s="2">
        <v>257.0</v>
      </c>
      <c r="Q159" s="2">
        <v>202.0</v>
      </c>
      <c r="R159" s="2">
        <v>17.0</v>
      </c>
      <c r="S159" s="2">
        <v>25.9806902520554</v>
      </c>
      <c r="T159" s="2">
        <v>20.4464967362583</v>
      </c>
      <c r="U159" s="2">
        <v>1.0</v>
      </c>
      <c r="V159" s="2">
        <v>15.0</v>
      </c>
      <c r="W159" s="2">
        <v>10.0</v>
      </c>
      <c r="X159" s="2">
        <v>7.0</v>
      </c>
      <c r="Y159" s="2">
        <v>1.0</v>
      </c>
      <c r="Z159" s="2">
        <v>24.0</v>
      </c>
      <c r="AA159" s="2">
        <v>56.0</v>
      </c>
      <c r="AB159" s="2">
        <v>2.0</v>
      </c>
      <c r="AC159" s="2">
        <v>0.0</v>
      </c>
      <c r="AD159" s="2">
        <v>0.0</v>
      </c>
      <c r="AE159" s="2">
        <v>6.0</v>
      </c>
      <c r="AF159" s="2">
        <v>-3.09069225985868</v>
      </c>
      <c r="AG159" s="2">
        <v>0.0</v>
      </c>
      <c r="AH159" s="2">
        <v>1.0</v>
      </c>
      <c r="AI159" s="2">
        <v>1.0</v>
      </c>
      <c r="AJ159" s="2">
        <v>0.0</v>
      </c>
      <c r="AK159" s="2">
        <v>0.0</v>
      </c>
      <c r="AL159" s="2">
        <v>29.0</v>
      </c>
      <c r="AM159" s="2">
        <v>32.0</v>
      </c>
      <c r="AN159" s="2">
        <v>379.0</v>
      </c>
      <c r="AO159" s="2">
        <v>2.0</v>
      </c>
      <c r="AP159" s="2">
        <v>0.0</v>
      </c>
      <c r="AQ159" s="2">
        <v>0.0</v>
      </c>
      <c r="AR159" s="2">
        <v>257.0</v>
      </c>
      <c r="AS159" s="2">
        <v>202.0</v>
      </c>
      <c r="AT159" s="2">
        <v>17.0</v>
      </c>
      <c r="AU159" s="2">
        <v>28.3127247768184</v>
      </c>
      <c r="AV159" s="2">
        <v>1.0</v>
      </c>
      <c r="AW159" s="2">
        <v>15.0</v>
      </c>
      <c r="AX159" s="2">
        <v>10.0</v>
      </c>
      <c r="AY159" s="2">
        <v>7.0</v>
      </c>
      <c r="AZ159" s="2">
        <v>1.0</v>
      </c>
      <c r="BA159" s="2">
        <v>0.0</v>
      </c>
      <c r="BB159" s="2">
        <v>31.0</v>
      </c>
      <c r="BC159" s="2">
        <v>1.0</v>
      </c>
      <c r="BD159" s="2">
        <v>31.0</v>
      </c>
      <c r="BE159" s="2">
        <v>1.0</v>
      </c>
      <c r="BF159" s="2">
        <v>2.0</v>
      </c>
      <c r="BG159" s="2">
        <v>0.0</v>
      </c>
      <c r="BH159" s="2">
        <v>0.0</v>
      </c>
      <c r="BI159" s="2">
        <v>0.0</v>
      </c>
      <c r="BJ159" s="2">
        <v>2.0</v>
      </c>
      <c r="BK159" s="2">
        <v>1.0</v>
      </c>
      <c r="BL159" s="2">
        <v>3.0</v>
      </c>
      <c r="BM159" s="2">
        <v>6.0</v>
      </c>
      <c r="BN159" s="2">
        <v>0.0</v>
      </c>
      <c r="BO159" s="2">
        <v>0.0</v>
      </c>
      <c r="BP159" s="2">
        <v>0.0</v>
      </c>
      <c r="BQ159" s="2">
        <v>0.0</v>
      </c>
      <c r="BR159" s="2">
        <v>0.0</v>
      </c>
      <c r="BS159" s="2">
        <v>0.0</v>
      </c>
      <c r="BT159" s="2">
        <v>1.0</v>
      </c>
      <c r="BU159" s="2">
        <v>0.0</v>
      </c>
      <c r="BV159" s="2">
        <v>0.0</v>
      </c>
      <c r="BW159" s="2">
        <v>4.0</v>
      </c>
      <c r="BX159" s="2">
        <v>37.0</v>
      </c>
      <c r="BY159" s="2">
        <v>2.0</v>
      </c>
      <c r="BZ159" s="2">
        <v>0.0</v>
      </c>
      <c r="CA159" s="2">
        <v>0.0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5.0</v>
      </c>
      <c r="CH159" s="2">
        <v>129.0</v>
      </c>
      <c r="CI159" s="2">
        <v>3.0</v>
      </c>
      <c r="CJ159" s="2">
        <v>3.0</v>
      </c>
      <c r="CK159" s="2">
        <v>0.0</v>
      </c>
      <c r="CL159" s="2">
        <v>0.0</v>
      </c>
      <c r="CM159" s="2">
        <v>39.0</v>
      </c>
      <c r="CN159" s="2">
        <v>1.0</v>
      </c>
      <c r="CO159" s="2">
        <v>0.0</v>
      </c>
      <c r="CP159" s="2">
        <v>0.0</v>
      </c>
      <c r="CQ159" s="2">
        <v>3.0</v>
      </c>
      <c r="CR159" s="2">
        <v>0.0</v>
      </c>
      <c r="CS159" s="2">
        <v>0.0</v>
      </c>
      <c r="CT159" s="2">
        <v>0.0</v>
      </c>
      <c r="CU159" s="2">
        <v>0.0</v>
      </c>
      <c r="CV159" s="2">
        <v>0.0</v>
      </c>
      <c r="CW159" s="2">
        <v>0.0</v>
      </c>
      <c r="CX159" s="2">
        <v>0.0</v>
      </c>
      <c r="CY159" s="2">
        <v>0.0</v>
      </c>
      <c r="CZ159" s="2">
        <v>0.0</v>
      </c>
      <c r="DA159" s="2" t="s">
        <v>2087</v>
      </c>
      <c r="DD159" s="2">
        <v>105.0</v>
      </c>
      <c r="DE159" s="2">
        <v>0.0</v>
      </c>
      <c r="DF159" s="2">
        <v>0.0</v>
      </c>
      <c r="DG159" s="2">
        <v>3.0</v>
      </c>
      <c r="DH159" s="2">
        <v>3.0</v>
      </c>
      <c r="DI159" s="2">
        <v>0.0</v>
      </c>
      <c r="DJ159" s="2">
        <v>0.0</v>
      </c>
      <c r="DK159" s="2">
        <v>1.0</v>
      </c>
      <c r="DL159" s="2">
        <v>1.0</v>
      </c>
      <c r="DM159" s="2">
        <v>1.0</v>
      </c>
      <c r="DN159" s="2">
        <v>0.0</v>
      </c>
      <c r="DO159" s="2">
        <v>0.0</v>
      </c>
      <c r="DP159" s="2">
        <v>39.0</v>
      </c>
      <c r="DQ159" s="2">
        <v>2.0</v>
      </c>
      <c r="DR159" s="2">
        <v>0.0</v>
      </c>
      <c r="DS159" s="2">
        <v>51.0</v>
      </c>
      <c r="DT159" s="2">
        <v>91.0</v>
      </c>
      <c r="DU159" s="2">
        <v>1.0</v>
      </c>
      <c r="DV159" s="2">
        <v>0.0</v>
      </c>
      <c r="DW159" s="2">
        <v>2.0</v>
      </c>
      <c r="DX159" s="2">
        <v>0.0</v>
      </c>
      <c r="DY159" s="2">
        <v>0.0</v>
      </c>
      <c r="DZ159" s="2">
        <v>0.0</v>
      </c>
      <c r="EA159" s="2">
        <v>0.0</v>
      </c>
      <c r="EB159" s="2">
        <v>0.0</v>
      </c>
      <c r="EC159" s="2">
        <v>91.0</v>
      </c>
      <c r="EE159" s="2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2">
        <v>2025.0</v>
      </c>
      <c r="B160" s="2">
        <v>5.0</v>
      </c>
      <c r="C160" s="2" t="s">
        <v>250</v>
      </c>
      <c r="D160" s="2" t="s">
        <v>390</v>
      </c>
      <c r="E160" s="2" t="s">
        <v>734</v>
      </c>
      <c r="F160" s="2" t="s">
        <v>178</v>
      </c>
      <c r="G160" s="2">
        <v>21.0</v>
      </c>
      <c r="H160" s="2">
        <v>39.0</v>
      </c>
      <c r="I160" s="2">
        <v>265.0</v>
      </c>
      <c r="J160" s="2">
        <v>0.0</v>
      </c>
      <c r="K160" s="2">
        <v>1.0</v>
      </c>
      <c r="L160" s="2">
        <v>2.0</v>
      </c>
      <c r="M160" s="2">
        <v>-16.0</v>
      </c>
      <c r="N160" s="2">
        <v>0.0</v>
      </c>
      <c r="O160" s="2">
        <v>0.0</v>
      </c>
      <c r="P160" s="2">
        <v>421.0</v>
      </c>
      <c r="Q160" s="2">
        <v>81.0</v>
      </c>
      <c r="R160" s="2">
        <v>12.0</v>
      </c>
      <c r="S160" s="2">
        <v>1.59771860414716</v>
      </c>
      <c r="T160" s="2">
        <v>-9.62161131807276</v>
      </c>
      <c r="U160" s="2">
        <v>0.0</v>
      </c>
      <c r="V160" s="2">
        <v>10.0</v>
      </c>
      <c r="W160" s="2">
        <v>6.0</v>
      </c>
      <c r="X160" s="2">
        <v>3.0</v>
      </c>
      <c r="Y160" s="2">
        <v>1.0</v>
      </c>
      <c r="Z160" s="2">
        <v>24.0</v>
      </c>
      <c r="AA160" s="2">
        <v>78.0</v>
      </c>
      <c r="AB160" s="2">
        <v>1.0</v>
      </c>
      <c r="AC160" s="2">
        <v>1.0</v>
      </c>
      <c r="AD160" s="2">
        <v>1.0</v>
      </c>
      <c r="AE160" s="2">
        <v>6.0</v>
      </c>
      <c r="AF160" s="2">
        <v>-6.61123231853587</v>
      </c>
      <c r="AG160" s="2">
        <v>0.0</v>
      </c>
      <c r="AH160" s="2">
        <v>3.0</v>
      </c>
      <c r="AI160" s="2">
        <v>1.0</v>
      </c>
      <c r="AJ160" s="2">
        <v>0.0</v>
      </c>
      <c r="AK160" s="2">
        <v>0.0</v>
      </c>
      <c r="AL160" s="2">
        <v>21.0</v>
      </c>
      <c r="AM160" s="2">
        <v>37.0</v>
      </c>
      <c r="AN160" s="2">
        <v>265.0</v>
      </c>
      <c r="AO160" s="2">
        <v>0.0</v>
      </c>
      <c r="AP160" s="2">
        <v>0.0</v>
      </c>
      <c r="AQ160" s="2">
        <v>0.0</v>
      </c>
      <c r="AR160" s="2">
        <v>421.0</v>
      </c>
      <c r="AS160" s="2">
        <v>81.0</v>
      </c>
      <c r="AT160" s="2">
        <v>12.0</v>
      </c>
      <c r="AU160" s="2">
        <v>6.98001054378033</v>
      </c>
      <c r="AV160" s="2">
        <v>0.0</v>
      </c>
      <c r="AW160" s="2">
        <v>10.0</v>
      </c>
      <c r="AX160" s="2">
        <v>6.0</v>
      </c>
      <c r="AY160" s="2">
        <v>3.0</v>
      </c>
      <c r="AZ160" s="2">
        <v>1.0</v>
      </c>
      <c r="BA160" s="2">
        <v>0.0</v>
      </c>
      <c r="BB160" s="2">
        <v>40.0</v>
      </c>
      <c r="BC160" s="2">
        <v>3.0</v>
      </c>
      <c r="BD160" s="2">
        <v>29.0</v>
      </c>
      <c r="BE160" s="2">
        <v>4.0</v>
      </c>
      <c r="BF160" s="2">
        <v>22.0</v>
      </c>
      <c r="BG160" s="2">
        <v>0.0</v>
      </c>
      <c r="BH160" s="2">
        <v>3.0</v>
      </c>
      <c r="BI160" s="2">
        <v>28.0</v>
      </c>
      <c r="BJ160" s="2">
        <v>6.0</v>
      </c>
      <c r="BK160" s="2">
        <v>0.0</v>
      </c>
      <c r="BL160" s="2">
        <v>0.0</v>
      </c>
      <c r="BM160" s="2">
        <v>2.0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2.0</v>
      </c>
      <c r="BU160" s="2">
        <v>2.0</v>
      </c>
      <c r="BV160" s="2">
        <v>1.0</v>
      </c>
      <c r="BW160" s="2">
        <v>6.0</v>
      </c>
      <c r="BX160" s="2">
        <v>35.0</v>
      </c>
      <c r="BY160" s="2">
        <v>4.0</v>
      </c>
      <c r="BZ160" s="2">
        <v>1.0</v>
      </c>
      <c r="CA160" s="2">
        <v>0.0</v>
      </c>
      <c r="CB160" s="2">
        <v>0.0</v>
      </c>
      <c r="CC160" s="2">
        <v>1.0</v>
      </c>
      <c r="CD160" s="2">
        <v>1.0</v>
      </c>
      <c r="CE160" s="2">
        <v>3.0</v>
      </c>
      <c r="CF160" s="2">
        <v>33.0</v>
      </c>
      <c r="CG160" s="2">
        <v>4.0</v>
      </c>
      <c r="CH160" s="2">
        <v>136.0</v>
      </c>
      <c r="CI160" s="2">
        <v>3.0</v>
      </c>
      <c r="CJ160" s="2">
        <v>3.0</v>
      </c>
      <c r="CK160" s="2">
        <v>0.0</v>
      </c>
      <c r="CL160" s="2">
        <v>0.0</v>
      </c>
      <c r="CM160" s="2">
        <v>51.0</v>
      </c>
      <c r="CN160" s="2">
        <v>1.0</v>
      </c>
      <c r="CO160" s="2">
        <v>0.0</v>
      </c>
      <c r="CP160" s="2">
        <v>1.0</v>
      </c>
      <c r="CQ160" s="2">
        <v>0.0</v>
      </c>
      <c r="CR160" s="2">
        <v>1.0</v>
      </c>
      <c r="CS160" s="2">
        <v>1.0</v>
      </c>
      <c r="CT160" s="2">
        <v>0.0</v>
      </c>
      <c r="CU160" s="2">
        <v>0.0</v>
      </c>
      <c r="CV160" s="2">
        <v>0.0</v>
      </c>
      <c r="CW160" s="2">
        <v>0.0</v>
      </c>
      <c r="CX160" s="2">
        <v>0.0</v>
      </c>
      <c r="CY160" s="2">
        <v>0.0</v>
      </c>
      <c r="CZ160" s="2">
        <v>0.0</v>
      </c>
      <c r="DA160" s="2" t="s">
        <v>2088</v>
      </c>
      <c r="DD160" s="2">
        <v>124.0</v>
      </c>
      <c r="DE160" s="2">
        <v>0.0</v>
      </c>
      <c r="DF160" s="2">
        <v>0.0</v>
      </c>
      <c r="DG160" s="2">
        <v>1.0</v>
      </c>
      <c r="DH160" s="2">
        <v>2.0</v>
      </c>
      <c r="DI160" s="2">
        <v>1.0</v>
      </c>
      <c r="DJ160" s="2">
        <v>0.0</v>
      </c>
      <c r="DK160" s="2">
        <v>0.5</v>
      </c>
      <c r="DL160" s="2">
        <v>1.0</v>
      </c>
      <c r="DM160" s="2">
        <v>1.0</v>
      </c>
      <c r="DN160" s="2">
        <v>0.0</v>
      </c>
      <c r="DO160" s="2">
        <v>0.0</v>
      </c>
      <c r="DP160" s="2">
        <v>29.0</v>
      </c>
      <c r="DQ160" s="2">
        <v>5.0</v>
      </c>
      <c r="DR160" s="2">
        <v>0.0</v>
      </c>
      <c r="DS160" s="2">
        <v>64.0</v>
      </c>
      <c r="DT160" s="2">
        <v>271.0</v>
      </c>
      <c r="DU160" s="2">
        <v>3.0</v>
      </c>
      <c r="DV160" s="2">
        <v>1.0</v>
      </c>
      <c r="DW160" s="2">
        <v>1.0</v>
      </c>
      <c r="DX160" s="2">
        <v>1.0</v>
      </c>
      <c r="DY160" s="2">
        <v>0.0</v>
      </c>
      <c r="DZ160" s="2">
        <v>2.0</v>
      </c>
      <c r="EA160" s="2">
        <v>16.0</v>
      </c>
      <c r="EB160" s="2">
        <v>0.0</v>
      </c>
      <c r="EC160" s="2">
        <v>235.0</v>
      </c>
      <c r="EE160" s="2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2">
        <v>2025.0</v>
      </c>
      <c r="B161" s="2">
        <v>5.0</v>
      </c>
      <c r="C161" s="2" t="s">
        <v>253</v>
      </c>
      <c r="D161" s="2" t="s">
        <v>390</v>
      </c>
      <c r="E161" s="2" t="s">
        <v>740</v>
      </c>
      <c r="F161" s="2" t="s">
        <v>220</v>
      </c>
      <c r="G161" s="2">
        <v>15.0</v>
      </c>
      <c r="H161" s="2">
        <v>26.0</v>
      </c>
      <c r="I161" s="2">
        <v>231.0</v>
      </c>
      <c r="J161" s="2">
        <v>1.0</v>
      </c>
      <c r="K161" s="2">
        <v>0.0</v>
      </c>
      <c r="L161" s="2">
        <v>1.0</v>
      </c>
      <c r="M161" s="2">
        <v>-5.0</v>
      </c>
      <c r="N161" s="2">
        <v>0.0</v>
      </c>
      <c r="O161" s="2">
        <v>0.0</v>
      </c>
      <c r="P161" s="2">
        <v>239.0</v>
      </c>
      <c r="Q161" s="2">
        <v>110.0</v>
      </c>
      <c r="R161" s="2">
        <v>9.0</v>
      </c>
      <c r="S161" s="2">
        <v>14.0063860829448</v>
      </c>
      <c r="T161" s="2">
        <v>-0.753294773723768</v>
      </c>
      <c r="U161" s="2">
        <v>0.0</v>
      </c>
      <c r="V161" s="2">
        <v>8.0</v>
      </c>
      <c r="W161" s="2">
        <v>6.0</v>
      </c>
      <c r="X161" s="2">
        <v>4.0</v>
      </c>
      <c r="Y161" s="2">
        <v>1.0</v>
      </c>
      <c r="Z161" s="2">
        <v>28.0</v>
      </c>
      <c r="AA161" s="2">
        <v>163.0</v>
      </c>
      <c r="AB161" s="2">
        <v>2.0</v>
      </c>
      <c r="AC161" s="2">
        <v>1.0</v>
      </c>
      <c r="AD161" s="2">
        <v>1.0</v>
      </c>
      <c r="AE161" s="2">
        <v>9.0</v>
      </c>
      <c r="AF161" s="2">
        <v>4.032949218526E-4</v>
      </c>
      <c r="AG161" s="2">
        <v>0.0</v>
      </c>
      <c r="AH161" s="2">
        <v>6.0</v>
      </c>
      <c r="AI161" s="2">
        <v>5.0</v>
      </c>
      <c r="AJ161" s="2">
        <v>1.0</v>
      </c>
      <c r="AK161" s="2">
        <v>0.0</v>
      </c>
      <c r="AL161" s="2">
        <v>15.0</v>
      </c>
      <c r="AM161" s="2">
        <v>23.0</v>
      </c>
      <c r="AN161" s="2">
        <v>231.0</v>
      </c>
      <c r="AO161" s="2">
        <v>1.0</v>
      </c>
      <c r="AP161" s="2">
        <v>0.0</v>
      </c>
      <c r="AQ161" s="2">
        <v>0.0</v>
      </c>
      <c r="AR161" s="2">
        <v>239.0</v>
      </c>
      <c r="AS161" s="2">
        <v>110.0</v>
      </c>
      <c r="AT161" s="2">
        <v>9.0</v>
      </c>
      <c r="AU161" s="2">
        <v>15.062971955137</v>
      </c>
      <c r="AV161" s="2">
        <v>0.0</v>
      </c>
      <c r="AW161" s="2">
        <v>8.0</v>
      </c>
      <c r="AX161" s="2">
        <v>6.0</v>
      </c>
      <c r="AY161" s="2">
        <v>4.0</v>
      </c>
      <c r="AZ161" s="2">
        <v>1.0</v>
      </c>
      <c r="BA161" s="2">
        <v>0.0</v>
      </c>
      <c r="BB161" s="2">
        <v>44.0</v>
      </c>
      <c r="BC161" s="2">
        <v>0.0</v>
      </c>
      <c r="BD161" s="2">
        <v>30.0</v>
      </c>
      <c r="BE161" s="2">
        <v>6.0</v>
      </c>
      <c r="BF161" s="2">
        <v>33.0</v>
      </c>
      <c r="BG161" s="2">
        <v>1.0</v>
      </c>
      <c r="BH161" s="2">
        <v>5.0</v>
      </c>
      <c r="BI161" s="2">
        <v>29.0</v>
      </c>
      <c r="BJ161" s="2">
        <v>9.0</v>
      </c>
      <c r="BK161" s="2">
        <v>1.0</v>
      </c>
      <c r="BL161" s="2">
        <v>0.0</v>
      </c>
      <c r="BM161" s="2">
        <v>4.0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1.0</v>
      </c>
      <c r="BU161" s="2">
        <v>0.0</v>
      </c>
      <c r="BV161" s="2">
        <v>0.0</v>
      </c>
      <c r="BW161" s="2">
        <v>7.0</v>
      </c>
      <c r="BX161" s="2">
        <v>48.0</v>
      </c>
      <c r="BY161" s="2">
        <v>6.0</v>
      </c>
      <c r="BZ161" s="2">
        <v>1.0</v>
      </c>
      <c r="CA161" s="2">
        <v>0.0</v>
      </c>
      <c r="CB161" s="2">
        <v>0.0</v>
      </c>
      <c r="CC161" s="2">
        <v>1.0</v>
      </c>
      <c r="CD161" s="2">
        <v>1.0</v>
      </c>
      <c r="CE161" s="2">
        <v>0.0</v>
      </c>
      <c r="CF161" s="2">
        <v>0.0</v>
      </c>
      <c r="CG161" s="2">
        <v>3.0</v>
      </c>
      <c r="CH161" s="2">
        <v>92.0</v>
      </c>
      <c r="CI161" s="2">
        <v>2.0</v>
      </c>
      <c r="CJ161" s="2">
        <v>2.0</v>
      </c>
      <c r="CK161" s="2">
        <v>0.0</v>
      </c>
      <c r="CL161" s="2">
        <v>0.0</v>
      </c>
      <c r="CM161" s="2">
        <v>36.0</v>
      </c>
      <c r="CN161" s="2">
        <v>1.0</v>
      </c>
      <c r="CO161" s="2">
        <v>0.0</v>
      </c>
      <c r="CP161" s="2">
        <v>1.0</v>
      </c>
      <c r="CQ161" s="2">
        <v>1.0</v>
      </c>
      <c r="CR161" s="2">
        <v>0.0</v>
      </c>
      <c r="CS161" s="2">
        <v>0.0</v>
      </c>
      <c r="CT161" s="2">
        <v>0.0</v>
      </c>
      <c r="CU161" s="2">
        <v>0.0</v>
      </c>
      <c r="CV161" s="2">
        <v>0.0</v>
      </c>
      <c r="CW161" s="2">
        <v>0.0</v>
      </c>
      <c r="CX161" s="2">
        <v>0.0</v>
      </c>
      <c r="CY161" s="2">
        <v>0.0</v>
      </c>
      <c r="CZ161" s="2">
        <v>0.0</v>
      </c>
      <c r="DA161" s="2" t="s">
        <v>2089</v>
      </c>
      <c r="DD161" s="2">
        <v>65.0</v>
      </c>
      <c r="DE161" s="2">
        <v>0.0</v>
      </c>
      <c r="DF161" s="2">
        <v>0.0</v>
      </c>
      <c r="DG161" s="2">
        <v>3.0</v>
      </c>
      <c r="DH161" s="2">
        <v>3.0</v>
      </c>
      <c r="DI161" s="2">
        <v>0.0</v>
      </c>
      <c r="DJ161" s="2">
        <v>0.0</v>
      </c>
      <c r="DK161" s="2">
        <v>1.0</v>
      </c>
      <c r="DL161" s="2">
        <v>0.0</v>
      </c>
      <c r="DM161" s="2">
        <v>0.0</v>
      </c>
      <c r="DN161" s="2">
        <v>0.0</v>
      </c>
      <c r="DO161" s="2">
        <v>0.0</v>
      </c>
      <c r="DP161" s="2">
        <v>0.0</v>
      </c>
      <c r="DQ161" s="2">
        <v>2.0</v>
      </c>
      <c r="DR161" s="2">
        <v>0.0</v>
      </c>
      <c r="DS161" s="2">
        <v>53.0</v>
      </c>
      <c r="DT161" s="2">
        <v>101.0</v>
      </c>
      <c r="DU161" s="2">
        <v>1.0</v>
      </c>
      <c r="DV161" s="2">
        <v>0.0</v>
      </c>
      <c r="DW161" s="2">
        <v>0.0</v>
      </c>
      <c r="DX161" s="2">
        <v>1.0</v>
      </c>
      <c r="DY161" s="2">
        <v>1.0</v>
      </c>
      <c r="DZ161" s="2">
        <v>0.0</v>
      </c>
      <c r="EA161" s="2">
        <v>0.0</v>
      </c>
      <c r="EB161" s="2">
        <v>0.0</v>
      </c>
      <c r="EC161" s="2">
        <v>81.0</v>
      </c>
      <c r="EE161" s="2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2">
        <v>2025.0</v>
      </c>
      <c r="B162" s="2">
        <v>6.0</v>
      </c>
      <c r="C162" s="2" t="s">
        <v>178</v>
      </c>
      <c r="D162" s="2" t="s">
        <v>390</v>
      </c>
      <c r="E162" s="2" t="s">
        <v>757</v>
      </c>
      <c r="F162" s="2" t="s">
        <v>210</v>
      </c>
      <c r="G162" s="2">
        <v>27.0</v>
      </c>
      <c r="H162" s="2">
        <v>44.0</v>
      </c>
      <c r="I162" s="2">
        <v>320.0</v>
      </c>
      <c r="J162" s="2">
        <v>2.0</v>
      </c>
      <c r="K162" s="2">
        <v>1.0</v>
      </c>
      <c r="L162" s="2">
        <v>2.0</v>
      </c>
      <c r="M162" s="2">
        <v>-8.0</v>
      </c>
      <c r="N162" s="2">
        <v>0.0</v>
      </c>
      <c r="O162" s="2">
        <v>0.0</v>
      </c>
      <c r="P162" s="2">
        <v>391.0</v>
      </c>
      <c r="Q162" s="2">
        <v>129.0</v>
      </c>
      <c r="R162" s="2">
        <v>17.0</v>
      </c>
      <c r="S162" s="2">
        <v>6.25809430985243</v>
      </c>
      <c r="T162" s="2">
        <v>4.62523591824067</v>
      </c>
      <c r="U162" s="2">
        <v>0.0</v>
      </c>
      <c r="V162" s="2">
        <v>17.0</v>
      </c>
      <c r="W162" s="2">
        <v>9.0</v>
      </c>
      <c r="X162" s="2">
        <v>7.0</v>
      </c>
      <c r="Y162" s="2">
        <v>0.0</v>
      </c>
      <c r="Z162" s="2">
        <v>24.0</v>
      </c>
      <c r="AA162" s="2">
        <v>88.0</v>
      </c>
      <c r="AB162" s="2">
        <v>1.0</v>
      </c>
      <c r="AC162" s="2">
        <v>0.0</v>
      </c>
      <c r="AD162" s="2">
        <v>0.0</v>
      </c>
      <c r="AE162" s="2">
        <v>7.0</v>
      </c>
      <c r="AF162" s="2">
        <v>0.033021019626176</v>
      </c>
      <c r="AG162" s="2">
        <v>0.0</v>
      </c>
      <c r="AH162" s="2">
        <v>2.0</v>
      </c>
      <c r="AI162" s="2">
        <v>1.0</v>
      </c>
      <c r="AJ162" s="2">
        <v>0.0</v>
      </c>
      <c r="AK162" s="2">
        <v>0.0</v>
      </c>
      <c r="AL162" s="2">
        <v>27.0</v>
      </c>
      <c r="AM162" s="2">
        <v>39.0</v>
      </c>
      <c r="AN162" s="2">
        <v>320.0</v>
      </c>
      <c r="AO162" s="2">
        <v>2.0</v>
      </c>
      <c r="AP162" s="2">
        <v>0.0</v>
      </c>
      <c r="AQ162" s="2">
        <v>0.0</v>
      </c>
      <c r="AR162" s="2">
        <v>391.0</v>
      </c>
      <c r="AS162" s="2">
        <v>129.0</v>
      </c>
      <c r="AT162" s="2">
        <v>17.0</v>
      </c>
      <c r="AU162" s="2">
        <v>11.4967695177006</v>
      </c>
      <c r="AV162" s="2">
        <v>0.0</v>
      </c>
      <c r="AW162" s="2">
        <v>17.0</v>
      </c>
      <c r="AX162" s="2">
        <v>9.0</v>
      </c>
      <c r="AY162" s="2">
        <v>7.0</v>
      </c>
      <c r="AZ162" s="2">
        <v>0.0</v>
      </c>
      <c r="BA162" s="2">
        <v>0.0</v>
      </c>
      <c r="BB162" s="2">
        <v>36.0</v>
      </c>
      <c r="BC162" s="2">
        <v>1.0</v>
      </c>
      <c r="BD162" s="2">
        <v>29.0</v>
      </c>
      <c r="BE162" s="2">
        <v>3.0</v>
      </c>
      <c r="BF162" s="2">
        <v>12.0</v>
      </c>
      <c r="BG162" s="2">
        <v>0.0</v>
      </c>
      <c r="BH162" s="2">
        <v>1.0</v>
      </c>
      <c r="BI162" s="2">
        <v>7.0</v>
      </c>
      <c r="BJ162" s="2">
        <v>6.0</v>
      </c>
      <c r="BK162" s="2">
        <v>1.0</v>
      </c>
      <c r="BL162" s="2">
        <v>9.0</v>
      </c>
      <c r="BM162" s="2">
        <v>4.0</v>
      </c>
      <c r="BN162" s="2">
        <v>0.0</v>
      </c>
      <c r="BO162" s="2">
        <v>0.0</v>
      </c>
      <c r="BP162" s="2">
        <v>0.0</v>
      </c>
      <c r="BQ162" s="2">
        <v>0.0</v>
      </c>
      <c r="BR162" s="2">
        <v>0.0</v>
      </c>
      <c r="BS162" s="2">
        <v>0.0</v>
      </c>
      <c r="BT162" s="2">
        <v>0.0</v>
      </c>
      <c r="BU162" s="2">
        <v>0.0</v>
      </c>
      <c r="BV162" s="2">
        <v>0.0</v>
      </c>
      <c r="BW162" s="2">
        <v>7.0</v>
      </c>
      <c r="BX162" s="2">
        <v>65.0</v>
      </c>
      <c r="BY162" s="2">
        <v>5.0</v>
      </c>
      <c r="BZ162" s="2">
        <v>0.0</v>
      </c>
      <c r="CA162" s="2">
        <v>0.0</v>
      </c>
      <c r="CB162" s="2">
        <v>0.0</v>
      </c>
      <c r="CC162" s="2">
        <v>0.0</v>
      </c>
      <c r="CD162" s="2">
        <v>0.0</v>
      </c>
      <c r="CE162" s="2">
        <v>1.0</v>
      </c>
      <c r="CF162" s="2">
        <v>12.0</v>
      </c>
      <c r="CG162" s="2">
        <v>4.0</v>
      </c>
      <c r="CH162" s="2">
        <v>114.0</v>
      </c>
      <c r="CI162" s="2">
        <v>2.0</v>
      </c>
      <c r="CJ162" s="2">
        <v>2.0</v>
      </c>
      <c r="CK162" s="2">
        <v>0.0</v>
      </c>
      <c r="CL162" s="2">
        <v>0.0</v>
      </c>
      <c r="CM162" s="2">
        <v>44.0</v>
      </c>
      <c r="CN162" s="2">
        <v>1.0</v>
      </c>
      <c r="CO162" s="2">
        <v>0.0</v>
      </c>
      <c r="CP162" s="2">
        <v>0.0</v>
      </c>
      <c r="CQ162" s="2">
        <v>0.0</v>
      </c>
      <c r="CR162" s="2">
        <v>2.0</v>
      </c>
      <c r="CS162" s="2">
        <v>0.0</v>
      </c>
      <c r="CT162" s="2">
        <v>0.0</v>
      </c>
      <c r="CU162" s="2">
        <v>0.0</v>
      </c>
      <c r="CV162" s="2">
        <v>0.0</v>
      </c>
      <c r="CW162" s="2">
        <v>0.0</v>
      </c>
      <c r="CX162" s="2">
        <v>0.0</v>
      </c>
      <c r="CY162" s="2">
        <v>0.0</v>
      </c>
      <c r="CZ162" s="2">
        <v>0.0</v>
      </c>
      <c r="DA162" s="2" t="s">
        <v>2011</v>
      </c>
      <c r="DD162" s="2">
        <v>84.0</v>
      </c>
      <c r="DE162" s="2">
        <v>0.0</v>
      </c>
      <c r="DF162" s="2">
        <v>0.0</v>
      </c>
      <c r="DG162" s="2">
        <v>3.0</v>
      </c>
      <c r="DH162" s="2">
        <v>3.0</v>
      </c>
      <c r="DI162" s="2">
        <v>0.0</v>
      </c>
      <c r="DJ162" s="2">
        <v>0.0</v>
      </c>
      <c r="DK162" s="2">
        <v>1.0</v>
      </c>
      <c r="DL162" s="2">
        <v>0.0</v>
      </c>
      <c r="DM162" s="2">
        <v>0.0</v>
      </c>
      <c r="DN162" s="2">
        <v>0.0</v>
      </c>
      <c r="DO162" s="2">
        <v>0.0</v>
      </c>
      <c r="DP162" s="2">
        <v>0.0</v>
      </c>
      <c r="DQ162" s="2">
        <v>2.0</v>
      </c>
      <c r="DR162" s="2">
        <v>0.0</v>
      </c>
      <c r="DS162" s="2">
        <v>49.0</v>
      </c>
      <c r="DT162" s="2">
        <v>92.0</v>
      </c>
      <c r="DU162" s="2">
        <v>1.0</v>
      </c>
      <c r="DV162" s="2">
        <v>1.0</v>
      </c>
      <c r="DW162" s="2">
        <v>0.0</v>
      </c>
      <c r="DX162" s="2">
        <v>0.0</v>
      </c>
      <c r="DY162" s="2">
        <v>0.0</v>
      </c>
      <c r="DZ162" s="2">
        <v>1.0</v>
      </c>
      <c r="EA162" s="2">
        <v>0.0</v>
      </c>
      <c r="EB162" s="2">
        <v>0.0</v>
      </c>
      <c r="EC162" s="2">
        <v>92.0</v>
      </c>
      <c r="EE162" s="2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2">
        <v>2025.0</v>
      </c>
      <c r="B163" s="2">
        <v>6.0</v>
      </c>
      <c r="C163" s="2" t="s">
        <v>132</v>
      </c>
      <c r="D163" s="2" t="s">
        <v>390</v>
      </c>
      <c r="E163" s="2" t="s">
        <v>776</v>
      </c>
      <c r="F163" s="2" t="s">
        <v>136</v>
      </c>
      <c r="G163" s="2">
        <v>20.0</v>
      </c>
      <c r="H163" s="2">
        <v>32.0</v>
      </c>
      <c r="I163" s="2">
        <v>250.0</v>
      </c>
      <c r="J163" s="2">
        <v>1.0</v>
      </c>
      <c r="K163" s="2">
        <v>0.0</v>
      </c>
      <c r="L163" s="2">
        <v>2.0</v>
      </c>
      <c r="M163" s="2">
        <v>-17.0</v>
      </c>
      <c r="N163" s="2">
        <v>0.0</v>
      </c>
      <c r="O163" s="2">
        <v>0.0</v>
      </c>
      <c r="P163" s="2">
        <v>232.0</v>
      </c>
      <c r="Q163" s="2">
        <v>140.0</v>
      </c>
      <c r="R163" s="2">
        <v>10.0</v>
      </c>
      <c r="S163" s="2">
        <v>-0.419269830851609</v>
      </c>
      <c r="T163" s="2">
        <v>-6.36126975859365</v>
      </c>
      <c r="U163" s="2">
        <v>0.0</v>
      </c>
      <c r="V163" s="2">
        <v>10.0</v>
      </c>
      <c r="W163" s="2">
        <v>6.0</v>
      </c>
      <c r="X163" s="2">
        <v>6.0</v>
      </c>
      <c r="Y163" s="2">
        <v>0.0</v>
      </c>
      <c r="Z163" s="2">
        <v>32.0</v>
      </c>
      <c r="AA163" s="2">
        <v>210.0</v>
      </c>
      <c r="AB163" s="2">
        <v>2.0</v>
      </c>
      <c r="AC163" s="2">
        <v>0.0</v>
      </c>
      <c r="AD163" s="2">
        <v>0.0</v>
      </c>
      <c r="AE163" s="2">
        <v>9.0</v>
      </c>
      <c r="AF163" s="2">
        <v>4.7610061075987</v>
      </c>
      <c r="AG163" s="2">
        <v>0.0</v>
      </c>
      <c r="AH163" s="2">
        <v>4.0</v>
      </c>
      <c r="AI163" s="2">
        <v>3.0</v>
      </c>
      <c r="AJ163" s="2">
        <v>3.0</v>
      </c>
      <c r="AK163" s="2">
        <v>1.0</v>
      </c>
      <c r="AL163" s="2">
        <v>20.0</v>
      </c>
      <c r="AM163" s="2">
        <v>31.0</v>
      </c>
      <c r="AN163" s="2">
        <v>250.0</v>
      </c>
      <c r="AO163" s="2">
        <v>1.0</v>
      </c>
      <c r="AP163" s="2">
        <v>0.0</v>
      </c>
      <c r="AQ163" s="2">
        <v>0.0</v>
      </c>
      <c r="AR163" s="2">
        <v>232.0</v>
      </c>
      <c r="AS163" s="2">
        <v>140.0</v>
      </c>
      <c r="AT163" s="2">
        <v>10.0</v>
      </c>
      <c r="AU163" s="2">
        <v>3.16372494441292</v>
      </c>
      <c r="AV163" s="2">
        <v>0.0</v>
      </c>
      <c r="AW163" s="2">
        <v>10.0</v>
      </c>
      <c r="AX163" s="2">
        <v>6.0</v>
      </c>
      <c r="AY163" s="2">
        <v>6.0</v>
      </c>
      <c r="AZ163" s="2">
        <v>0.0</v>
      </c>
      <c r="BA163" s="2">
        <v>0.0</v>
      </c>
      <c r="BB163" s="2">
        <v>32.0</v>
      </c>
      <c r="BC163" s="2">
        <v>1.0</v>
      </c>
      <c r="BD163" s="2">
        <v>31.0</v>
      </c>
      <c r="BE163" s="2">
        <v>3.0</v>
      </c>
      <c r="BF163" s="2">
        <v>27.0</v>
      </c>
      <c r="BG163" s="2">
        <v>1.0</v>
      </c>
      <c r="BH163" s="2">
        <v>4.0</v>
      </c>
      <c r="BI163" s="2">
        <v>23.0</v>
      </c>
      <c r="BJ163" s="2">
        <v>6.0</v>
      </c>
      <c r="BK163" s="2">
        <v>2.0</v>
      </c>
      <c r="BL163" s="2">
        <v>6.0</v>
      </c>
      <c r="BM163" s="2">
        <v>9.0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</v>
      </c>
      <c r="BW163" s="2">
        <v>6.0</v>
      </c>
      <c r="BX163" s="2">
        <v>35.0</v>
      </c>
      <c r="BY163" s="2">
        <v>1.0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1.0</v>
      </c>
      <c r="CF163" s="2">
        <v>10.0</v>
      </c>
      <c r="CG163" s="2">
        <v>3.0</v>
      </c>
      <c r="CH163" s="2">
        <v>63.0</v>
      </c>
      <c r="CI163" s="2">
        <v>1.0</v>
      </c>
      <c r="CJ163" s="2">
        <v>2.0</v>
      </c>
      <c r="CK163" s="2">
        <v>0.0</v>
      </c>
      <c r="CL163" s="2">
        <v>1.0</v>
      </c>
      <c r="CM163" s="2">
        <v>33.0</v>
      </c>
      <c r="CN163" s="2">
        <v>0.5</v>
      </c>
      <c r="CO163" s="2">
        <v>0.0</v>
      </c>
      <c r="CP163" s="2">
        <v>0.0</v>
      </c>
      <c r="CQ163" s="2">
        <v>1.0</v>
      </c>
      <c r="CR163" s="2">
        <v>0.0</v>
      </c>
      <c r="CS163" s="2">
        <v>0.0</v>
      </c>
      <c r="CT163" s="2">
        <v>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0.0</v>
      </c>
      <c r="DA163" s="2" t="s">
        <v>2056</v>
      </c>
      <c r="DC163" s="2" t="s">
        <v>1986</v>
      </c>
      <c r="DD163" s="2">
        <v>33.0</v>
      </c>
      <c r="DE163" s="2">
        <v>0.0</v>
      </c>
      <c r="DF163" s="2">
        <v>37.0</v>
      </c>
      <c r="DG163" s="2">
        <v>3.0</v>
      </c>
      <c r="DH163" s="2">
        <v>3.0</v>
      </c>
      <c r="DI163" s="2">
        <v>0.0</v>
      </c>
      <c r="DJ163" s="2">
        <v>0.0</v>
      </c>
      <c r="DK163" s="2">
        <v>1.0</v>
      </c>
      <c r="DL163" s="2">
        <v>0.0</v>
      </c>
      <c r="DM163" s="2">
        <v>0.0</v>
      </c>
      <c r="DN163" s="2">
        <v>0.0</v>
      </c>
      <c r="DO163" s="2">
        <v>0.0</v>
      </c>
      <c r="DP163" s="2">
        <v>0.0</v>
      </c>
      <c r="DQ163" s="2">
        <v>4.0</v>
      </c>
      <c r="DR163" s="2">
        <v>0.0</v>
      </c>
      <c r="DS163" s="2">
        <v>51.0</v>
      </c>
      <c r="DT163" s="2">
        <v>180.0</v>
      </c>
      <c r="DU163" s="2">
        <v>0.0</v>
      </c>
      <c r="DV163" s="2">
        <v>0.0</v>
      </c>
      <c r="DW163" s="2">
        <v>0.0</v>
      </c>
      <c r="DX163" s="2">
        <v>0.0</v>
      </c>
      <c r="DY163" s="2">
        <v>1.0</v>
      </c>
      <c r="DZ163" s="2">
        <v>3.0</v>
      </c>
      <c r="EA163" s="2">
        <v>21.0</v>
      </c>
      <c r="EB163" s="2">
        <v>0.0</v>
      </c>
      <c r="EC163" s="2">
        <v>159.0</v>
      </c>
      <c r="EE163" s="2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2">
        <v>2025.0</v>
      </c>
      <c r="B164" s="2">
        <v>6.0</v>
      </c>
      <c r="C164" s="2" t="s">
        <v>148</v>
      </c>
      <c r="D164" s="2" t="s">
        <v>390</v>
      </c>
      <c r="E164" s="2" t="s">
        <v>753</v>
      </c>
      <c r="F164" s="2" t="s">
        <v>142</v>
      </c>
      <c r="G164" s="2">
        <v>21.0</v>
      </c>
      <c r="H164" s="2">
        <v>34.0</v>
      </c>
      <c r="I164" s="2">
        <v>140.0</v>
      </c>
      <c r="J164" s="2">
        <v>0.0</v>
      </c>
      <c r="K164" s="2">
        <v>1.0</v>
      </c>
      <c r="L164" s="2">
        <v>4.0</v>
      </c>
      <c r="M164" s="2">
        <v>-23.0</v>
      </c>
      <c r="N164" s="2">
        <v>0.0</v>
      </c>
      <c r="O164" s="2">
        <v>0.0</v>
      </c>
      <c r="P164" s="2">
        <v>218.0</v>
      </c>
      <c r="Q164" s="2">
        <v>63.0</v>
      </c>
      <c r="R164" s="2">
        <v>6.0</v>
      </c>
      <c r="S164" s="2">
        <v>-12.3591934640653</v>
      </c>
      <c r="T164" s="2">
        <v>-0.925234938040376</v>
      </c>
      <c r="U164" s="2">
        <v>0.0</v>
      </c>
      <c r="V164" s="2">
        <v>4.0</v>
      </c>
      <c r="W164" s="2">
        <v>1.0</v>
      </c>
      <c r="X164" s="2">
        <v>0.0</v>
      </c>
      <c r="Y164" s="2">
        <v>0.0</v>
      </c>
      <c r="Z164" s="2">
        <v>37.0</v>
      </c>
      <c r="AA164" s="2">
        <v>179.0</v>
      </c>
      <c r="AB164" s="2">
        <v>0.0</v>
      </c>
      <c r="AC164" s="2">
        <v>1.0</v>
      </c>
      <c r="AD164" s="2">
        <v>1.0</v>
      </c>
      <c r="AE164" s="2">
        <v>11.0</v>
      </c>
      <c r="AF164" s="2">
        <v>-6.10433990741149</v>
      </c>
      <c r="AG164" s="2">
        <v>0.0</v>
      </c>
      <c r="AH164" s="2">
        <v>6.0</v>
      </c>
      <c r="AI164" s="2">
        <v>3.0</v>
      </c>
      <c r="AJ164" s="2">
        <v>0.0</v>
      </c>
      <c r="AK164" s="2">
        <v>0.0</v>
      </c>
      <c r="AL164" s="2">
        <v>21.0</v>
      </c>
      <c r="AM164" s="2">
        <v>32.0</v>
      </c>
      <c r="AN164" s="2">
        <v>140.0</v>
      </c>
      <c r="AO164" s="2">
        <v>0.0</v>
      </c>
      <c r="AP164" s="2">
        <v>2.0</v>
      </c>
      <c r="AQ164" s="2">
        <v>1.0</v>
      </c>
      <c r="AR164" s="2">
        <v>218.0</v>
      </c>
      <c r="AS164" s="2">
        <v>63.0</v>
      </c>
      <c r="AT164" s="2">
        <v>6.0</v>
      </c>
      <c r="AU164" s="2">
        <v>-11.4117834516155</v>
      </c>
      <c r="AV164" s="2">
        <v>0.0</v>
      </c>
      <c r="AW164" s="2">
        <v>4.0</v>
      </c>
      <c r="AX164" s="2">
        <v>1.0</v>
      </c>
      <c r="AY164" s="2">
        <v>0.0</v>
      </c>
      <c r="AZ164" s="2">
        <v>0.0</v>
      </c>
      <c r="BA164" s="2">
        <v>0.0</v>
      </c>
      <c r="BB164" s="2">
        <v>28.0</v>
      </c>
      <c r="BC164" s="2">
        <v>2.0</v>
      </c>
      <c r="BD164" s="2">
        <v>24.0</v>
      </c>
      <c r="BE164" s="2">
        <v>4.0</v>
      </c>
      <c r="BF164" s="2">
        <v>18.0</v>
      </c>
      <c r="BG164" s="2">
        <v>1.0</v>
      </c>
      <c r="BH164" s="2">
        <v>2.0</v>
      </c>
      <c r="BI164" s="2">
        <v>14.0</v>
      </c>
      <c r="BJ164" s="2">
        <v>3.0</v>
      </c>
      <c r="BK164" s="2">
        <v>0.0</v>
      </c>
      <c r="BL164" s="2">
        <v>0.0</v>
      </c>
      <c r="BM164" s="2">
        <v>2.0</v>
      </c>
      <c r="BN164" s="2">
        <v>0.0</v>
      </c>
      <c r="BO164" s="2">
        <v>0.0</v>
      </c>
      <c r="BP164" s="2">
        <v>0.0</v>
      </c>
      <c r="BQ164" s="2">
        <v>0.0</v>
      </c>
      <c r="BR164" s="2">
        <v>1.0</v>
      </c>
      <c r="BS164" s="2">
        <v>-4.0</v>
      </c>
      <c r="BT164" s="2">
        <v>1.0</v>
      </c>
      <c r="BU164" s="2">
        <v>11.0</v>
      </c>
      <c r="BV164" s="2">
        <v>0.0</v>
      </c>
      <c r="BW164" s="2">
        <v>7.0</v>
      </c>
      <c r="BX164" s="2">
        <v>80.0</v>
      </c>
      <c r="BY164" s="2">
        <v>6.0</v>
      </c>
      <c r="BZ164" s="2">
        <v>2.0</v>
      </c>
      <c r="CA164" s="2">
        <v>1.0</v>
      </c>
      <c r="CB164" s="2">
        <v>0.0</v>
      </c>
      <c r="CC164" s="2">
        <v>3.0</v>
      </c>
      <c r="CD164" s="2">
        <v>2.0</v>
      </c>
      <c r="CE164" s="2">
        <v>1.0</v>
      </c>
      <c r="CF164" s="2">
        <v>35.0</v>
      </c>
      <c r="CG164" s="2">
        <v>3.0</v>
      </c>
      <c r="CH164" s="2">
        <v>61.0</v>
      </c>
      <c r="CI164" s="2">
        <v>1.0</v>
      </c>
      <c r="CJ164" s="2">
        <v>1.0</v>
      </c>
      <c r="CK164" s="2">
        <v>0.0</v>
      </c>
      <c r="CL164" s="2">
        <v>0.0</v>
      </c>
      <c r="CM164" s="2">
        <v>37.0</v>
      </c>
      <c r="CN164" s="2">
        <v>1.0</v>
      </c>
      <c r="CO164" s="2">
        <v>0.0</v>
      </c>
      <c r="CP164" s="2">
        <v>0.0</v>
      </c>
      <c r="CQ164" s="2">
        <v>1.0</v>
      </c>
      <c r="CR164" s="2">
        <v>0.0</v>
      </c>
      <c r="CS164" s="2">
        <v>0.0</v>
      </c>
      <c r="CT164" s="2">
        <v>0.0</v>
      </c>
      <c r="CU164" s="2">
        <v>0.0</v>
      </c>
      <c r="CV164" s="2">
        <v>0.0</v>
      </c>
      <c r="CW164" s="2">
        <v>0.0</v>
      </c>
      <c r="CX164" s="2">
        <v>0.0</v>
      </c>
      <c r="CY164" s="2">
        <v>0.0</v>
      </c>
      <c r="CZ164" s="2">
        <v>0.0</v>
      </c>
      <c r="DA164" s="2" t="s">
        <v>1986</v>
      </c>
      <c r="DD164" s="2">
        <v>37.0</v>
      </c>
      <c r="DE164" s="2">
        <v>0.0</v>
      </c>
      <c r="DF164" s="2">
        <v>0.0</v>
      </c>
      <c r="DG164" s="2">
        <v>0.0</v>
      </c>
      <c r="DH164" s="2">
        <v>0.0</v>
      </c>
      <c r="DI164" s="2">
        <v>0.0</v>
      </c>
      <c r="DJ164" s="2">
        <v>0.0</v>
      </c>
      <c r="DL164" s="2">
        <v>0.0</v>
      </c>
      <c r="DM164" s="2">
        <v>0.0</v>
      </c>
      <c r="DN164" s="2">
        <v>0.0</v>
      </c>
      <c r="DO164" s="2">
        <v>0.0</v>
      </c>
      <c r="DP164" s="2">
        <v>0.0</v>
      </c>
      <c r="DQ164" s="2">
        <v>1.0</v>
      </c>
      <c r="DR164" s="2">
        <v>0.0</v>
      </c>
      <c r="DS164" s="2">
        <v>53.0</v>
      </c>
      <c r="DT164" s="2">
        <v>53.0</v>
      </c>
      <c r="DU164" s="2">
        <v>0.0</v>
      </c>
      <c r="DV164" s="2">
        <v>0.0</v>
      </c>
      <c r="DW164" s="2">
        <v>0.0</v>
      </c>
      <c r="DX164" s="2">
        <v>1.0</v>
      </c>
      <c r="DY164" s="2">
        <v>0.0</v>
      </c>
      <c r="DZ164" s="2">
        <v>0.0</v>
      </c>
      <c r="EA164" s="2">
        <v>0.0</v>
      </c>
      <c r="EB164" s="2">
        <v>0.0</v>
      </c>
      <c r="EC164" s="2">
        <v>33.0</v>
      </c>
      <c r="EE164" s="2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2">
        <v>2025.0</v>
      </c>
      <c r="B165" s="2">
        <v>6.0</v>
      </c>
      <c r="C165" s="2" t="s">
        <v>136</v>
      </c>
      <c r="D165" s="2" t="s">
        <v>390</v>
      </c>
      <c r="E165" s="2" t="s">
        <v>776</v>
      </c>
      <c r="F165" s="2" t="s">
        <v>132</v>
      </c>
      <c r="G165" s="2">
        <v>15.0</v>
      </c>
      <c r="H165" s="2">
        <v>26.0</v>
      </c>
      <c r="I165" s="2">
        <v>180.0</v>
      </c>
      <c r="J165" s="2">
        <v>2.0</v>
      </c>
      <c r="K165" s="2">
        <v>2.0</v>
      </c>
      <c r="L165" s="2">
        <v>4.0</v>
      </c>
      <c r="M165" s="2">
        <v>-23.0</v>
      </c>
      <c r="N165" s="2">
        <v>0.0</v>
      </c>
      <c r="O165" s="2">
        <v>0.0</v>
      </c>
      <c r="P165" s="2">
        <v>287.0</v>
      </c>
      <c r="Q165" s="2">
        <v>56.0</v>
      </c>
      <c r="R165" s="2">
        <v>8.0</v>
      </c>
      <c r="S165" s="2">
        <v>-7.16785237661679</v>
      </c>
      <c r="T165" s="2">
        <v>-7.8905483851066</v>
      </c>
      <c r="U165" s="2">
        <v>0.0</v>
      </c>
      <c r="V165" s="2">
        <v>7.0</v>
      </c>
      <c r="W165" s="2">
        <v>3.0</v>
      </c>
      <c r="X165" s="2">
        <v>1.0</v>
      </c>
      <c r="Y165" s="2">
        <v>1.0</v>
      </c>
      <c r="Z165" s="2">
        <v>24.0</v>
      </c>
      <c r="AA165" s="2">
        <v>134.0</v>
      </c>
      <c r="AB165" s="2">
        <v>0.0</v>
      </c>
      <c r="AC165" s="2">
        <v>2.0</v>
      </c>
      <c r="AD165" s="2">
        <v>0.0</v>
      </c>
      <c r="AE165" s="2">
        <v>7.0</v>
      </c>
      <c r="AF165" s="2">
        <v>0.748086494626477</v>
      </c>
      <c r="AG165" s="2">
        <v>0.0</v>
      </c>
      <c r="AH165" s="2">
        <v>3.0</v>
      </c>
      <c r="AI165" s="2">
        <v>3.0</v>
      </c>
      <c r="AJ165" s="2">
        <v>1.0</v>
      </c>
      <c r="AK165" s="2">
        <v>0.0</v>
      </c>
      <c r="AL165" s="2">
        <v>15.0</v>
      </c>
      <c r="AM165" s="2">
        <v>26.0</v>
      </c>
      <c r="AN165" s="2">
        <v>180.0</v>
      </c>
      <c r="AO165" s="2">
        <v>2.0</v>
      </c>
      <c r="AP165" s="2">
        <v>0.0</v>
      </c>
      <c r="AQ165" s="2">
        <v>0.0</v>
      </c>
      <c r="AR165" s="2">
        <v>287.0</v>
      </c>
      <c r="AS165" s="2">
        <v>56.0</v>
      </c>
      <c r="AT165" s="2">
        <v>8.0</v>
      </c>
      <c r="AU165" s="2">
        <v>-2.17280676533119</v>
      </c>
      <c r="AV165" s="2">
        <v>0.0</v>
      </c>
      <c r="AW165" s="2">
        <v>7.0</v>
      </c>
      <c r="AX165" s="2">
        <v>3.0</v>
      </c>
      <c r="AY165" s="2">
        <v>1.0</v>
      </c>
      <c r="AZ165" s="2">
        <v>1.0</v>
      </c>
      <c r="BA165" s="2">
        <v>0.0</v>
      </c>
      <c r="BB165" s="2">
        <v>39.0</v>
      </c>
      <c r="BC165" s="2">
        <v>3.0</v>
      </c>
      <c r="BD165" s="2">
        <v>27.0</v>
      </c>
      <c r="BE165" s="2">
        <v>9.0</v>
      </c>
      <c r="BF165" s="2">
        <v>31.0</v>
      </c>
      <c r="BG165" s="2">
        <v>0.0</v>
      </c>
      <c r="BH165" s="2">
        <v>2.0</v>
      </c>
      <c r="BI165" s="2">
        <v>17.0</v>
      </c>
      <c r="BJ165" s="2">
        <v>4.0</v>
      </c>
      <c r="BK165" s="2">
        <v>0.0</v>
      </c>
      <c r="BL165" s="2">
        <v>0.0</v>
      </c>
      <c r="BM165" s="2">
        <v>5.0</v>
      </c>
      <c r="BN165" s="2">
        <v>0.0</v>
      </c>
      <c r="BO165" s="2">
        <v>0.0</v>
      </c>
      <c r="BP165" s="2">
        <v>0.0</v>
      </c>
      <c r="BQ165" s="2">
        <v>0.0</v>
      </c>
      <c r="BR165" s="2">
        <v>1.0</v>
      </c>
      <c r="BS165" s="2">
        <v>-4.0</v>
      </c>
      <c r="BT165" s="2">
        <v>0.0</v>
      </c>
      <c r="BU165" s="2">
        <v>0.0</v>
      </c>
      <c r="BV165" s="2">
        <v>0.0</v>
      </c>
      <c r="BW165" s="2">
        <v>8.0</v>
      </c>
      <c r="BX165" s="2">
        <v>64.0</v>
      </c>
      <c r="BY165" s="2">
        <v>6.0</v>
      </c>
      <c r="BZ165" s="2">
        <v>1.0</v>
      </c>
      <c r="CA165" s="2">
        <v>1.0</v>
      </c>
      <c r="CB165" s="2">
        <v>1.0</v>
      </c>
      <c r="CC165" s="2">
        <v>2.0</v>
      </c>
      <c r="CD165" s="2">
        <v>0.0</v>
      </c>
      <c r="CE165" s="2">
        <v>3.0</v>
      </c>
      <c r="CF165" s="2">
        <v>21.0</v>
      </c>
      <c r="CG165" s="2">
        <v>5.0</v>
      </c>
      <c r="CH165" s="2">
        <v>114.0</v>
      </c>
      <c r="CI165" s="2">
        <v>0.0</v>
      </c>
      <c r="CJ165" s="2">
        <v>0.0</v>
      </c>
      <c r="CK165" s="2">
        <v>0.0</v>
      </c>
      <c r="CL165" s="2">
        <v>0.0</v>
      </c>
      <c r="CO165" s="2">
        <v>0.0</v>
      </c>
      <c r="CP165" s="2">
        <v>0.0</v>
      </c>
      <c r="CQ165" s="2">
        <v>0.0</v>
      </c>
      <c r="CR165" s="2">
        <v>0.0</v>
      </c>
      <c r="CS165" s="2">
        <v>0.0</v>
      </c>
      <c r="CT165" s="2">
        <v>0.0</v>
      </c>
      <c r="CU165" s="2">
        <v>0.0</v>
      </c>
      <c r="CV165" s="2">
        <v>0.0</v>
      </c>
      <c r="CW165" s="2">
        <v>0.0</v>
      </c>
      <c r="CX165" s="2">
        <v>0.0</v>
      </c>
      <c r="CY165" s="2">
        <v>0.0</v>
      </c>
      <c r="CZ165" s="2">
        <v>0.0</v>
      </c>
      <c r="DD165" s="2">
        <v>0.0</v>
      </c>
      <c r="DE165" s="2">
        <v>0.0</v>
      </c>
      <c r="DF165" s="2">
        <v>0.0</v>
      </c>
      <c r="DG165" s="2">
        <v>2.0</v>
      </c>
      <c r="DH165" s="2">
        <v>2.0</v>
      </c>
      <c r="DI165" s="2">
        <v>0.0</v>
      </c>
      <c r="DJ165" s="2">
        <v>0.0</v>
      </c>
      <c r="DK165" s="2">
        <v>1.0</v>
      </c>
      <c r="DL165" s="2">
        <v>0.0</v>
      </c>
      <c r="DM165" s="2">
        <v>0.0</v>
      </c>
      <c r="DN165" s="2">
        <v>0.0</v>
      </c>
      <c r="DO165" s="2">
        <v>0.0</v>
      </c>
      <c r="DP165" s="2">
        <v>0.0</v>
      </c>
      <c r="DQ165" s="2">
        <v>6.0</v>
      </c>
      <c r="DR165" s="2">
        <v>0.0</v>
      </c>
      <c r="DS165" s="2">
        <v>50.0</v>
      </c>
      <c r="DT165" s="2">
        <v>273.0</v>
      </c>
      <c r="DU165" s="2">
        <v>4.0</v>
      </c>
      <c r="DV165" s="2">
        <v>1.0</v>
      </c>
      <c r="DW165" s="2">
        <v>1.0</v>
      </c>
      <c r="DX165" s="2">
        <v>0.0</v>
      </c>
      <c r="DY165" s="2">
        <v>3.0</v>
      </c>
      <c r="DZ165" s="2">
        <v>1.0</v>
      </c>
      <c r="EA165" s="2">
        <v>10.0</v>
      </c>
      <c r="EB165" s="2">
        <v>0.0</v>
      </c>
      <c r="EC165" s="2">
        <v>263.0</v>
      </c>
      <c r="EE165" s="2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2">
        <v>2025.0</v>
      </c>
      <c r="B166" s="2">
        <v>6.0</v>
      </c>
      <c r="C166" s="2" t="s">
        <v>189</v>
      </c>
      <c r="D166" s="2" t="s">
        <v>390</v>
      </c>
      <c r="E166" s="2" t="s">
        <v>755</v>
      </c>
      <c r="F166" s="2" t="s">
        <v>146</v>
      </c>
      <c r="G166" s="2">
        <v>17.0</v>
      </c>
      <c r="H166" s="2">
        <v>25.0</v>
      </c>
      <c r="I166" s="2">
        <v>199.0</v>
      </c>
      <c r="J166" s="2">
        <v>3.0</v>
      </c>
      <c r="K166" s="2">
        <v>1.0</v>
      </c>
      <c r="L166" s="2">
        <v>1.0</v>
      </c>
      <c r="M166" s="2">
        <v>-5.0</v>
      </c>
      <c r="N166" s="2">
        <v>0.0</v>
      </c>
      <c r="O166" s="2">
        <v>0.0</v>
      </c>
      <c r="P166" s="2">
        <v>154.0</v>
      </c>
      <c r="Q166" s="2">
        <v>98.0</v>
      </c>
      <c r="R166" s="2">
        <v>11.0</v>
      </c>
      <c r="S166" s="2">
        <v>2.20137639014639</v>
      </c>
      <c r="T166" s="2">
        <v>13.6888714063735</v>
      </c>
      <c r="U166" s="2">
        <v>0.0</v>
      </c>
      <c r="V166" s="2">
        <v>7.0</v>
      </c>
      <c r="W166" s="2">
        <v>5.0</v>
      </c>
      <c r="X166" s="2">
        <v>3.0</v>
      </c>
      <c r="Y166" s="2">
        <v>0.0</v>
      </c>
      <c r="Z166" s="2">
        <v>38.0</v>
      </c>
      <c r="AA166" s="2">
        <v>216.0</v>
      </c>
      <c r="AB166" s="2">
        <v>0.0</v>
      </c>
      <c r="AC166" s="2">
        <v>0.0</v>
      </c>
      <c r="AD166" s="2">
        <v>0.0</v>
      </c>
      <c r="AE166" s="2">
        <v>14.0</v>
      </c>
      <c r="AF166" s="2">
        <v>6.73148625281668</v>
      </c>
      <c r="AG166" s="2">
        <v>0.0</v>
      </c>
      <c r="AH166" s="2">
        <v>6.0</v>
      </c>
      <c r="AI166" s="2">
        <v>3.0</v>
      </c>
      <c r="AJ166" s="2">
        <v>0.0</v>
      </c>
      <c r="AK166" s="2">
        <v>0.0</v>
      </c>
      <c r="AL166" s="2">
        <v>17.0</v>
      </c>
      <c r="AM166" s="2">
        <v>21.0</v>
      </c>
      <c r="AN166" s="2">
        <v>199.0</v>
      </c>
      <c r="AO166" s="2">
        <v>3.0</v>
      </c>
      <c r="AP166" s="2">
        <v>1.0</v>
      </c>
      <c r="AQ166" s="2">
        <v>0.0</v>
      </c>
      <c r="AR166" s="2">
        <v>154.0</v>
      </c>
      <c r="AS166" s="2">
        <v>99.0</v>
      </c>
      <c r="AT166" s="2">
        <v>11.0</v>
      </c>
      <c r="AU166" s="2">
        <v>6.20558530327754</v>
      </c>
      <c r="AV166" s="2">
        <v>0.0</v>
      </c>
      <c r="AW166" s="2">
        <v>7.0</v>
      </c>
      <c r="AX166" s="2">
        <v>5.0</v>
      </c>
      <c r="AY166" s="2">
        <v>3.0</v>
      </c>
      <c r="AZ166" s="2">
        <v>0.0</v>
      </c>
      <c r="BA166" s="2">
        <v>0.0</v>
      </c>
      <c r="BB166" s="2">
        <v>37.0</v>
      </c>
      <c r="BC166" s="2">
        <v>2.0</v>
      </c>
      <c r="BD166" s="2">
        <v>16.0</v>
      </c>
      <c r="BE166" s="2">
        <v>5.0</v>
      </c>
      <c r="BF166" s="2">
        <v>17.0</v>
      </c>
      <c r="BG166" s="2">
        <v>0.0</v>
      </c>
      <c r="BH166" s="2">
        <v>0.0</v>
      </c>
      <c r="BI166" s="2">
        <v>0.0</v>
      </c>
      <c r="BJ166" s="2">
        <v>2.0</v>
      </c>
      <c r="BK166" s="2">
        <v>0.0</v>
      </c>
      <c r="BL166" s="2">
        <v>0.0</v>
      </c>
      <c r="BM166" s="2">
        <v>4.0</v>
      </c>
      <c r="BN166" s="2">
        <v>0.0</v>
      </c>
      <c r="BO166" s="2">
        <v>0.0</v>
      </c>
      <c r="BP166" s="2">
        <v>0.0</v>
      </c>
      <c r="BQ166" s="2">
        <v>0.0</v>
      </c>
      <c r="BR166" s="2">
        <v>2.0</v>
      </c>
      <c r="BS166" s="2">
        <v>-1.0</v>
      </c>
      <c r="BT166" s="2">
        <v>0.0</v>
      </c>
      <c r="BU166" s="2">
        <v>0.0</v>
      </c>
      <c r="BV166" s="2">
        <v>0.0</v>
      </c>
      <c r="BW166" s="2">
        <v>6.0</v>
      </c>
      <c r="BX166" s="2">
        <v>57.0</v>
      </c>
      <c r="BY166" s="2">
        <v>4.0</v>
      </c>
      <c r="BZ166" s="2">
        <v>2.0</v>
      </c>
      <c r="CA166" s="2">
        <v>0.0</v>
      </c>
      <c r="CB166" s="2">
        <v>0.0</v>
      </c>
      <c r="CC166" s="2">
        <v>2.0</v>
      </c>
      <c r="CD166" s="2">
        <v>0.0</v>
      </c>
      <c r="CE166" s="2">
        <v>1.0</v>
      </c>
      <c r="CF166" s="2">
        <v>0.0</v>
      </c>
      <c r="CG166" s="2">
        <v>2.0</v>
      </c>
      <c r="CH166" s="2">
        <v>40.0</v>
      </c>
      <c r="CI166" s="2">
        <v>3.0</v>
      </c>
      <c r="CJ166" s="2">
        <v>3.0</v>
      </c>
      <c r="CK166" s="2">
        <v>0.0</v>
      </c>
      <c r="CL166" s="2">
        <v>0.0</v>
      </c>
      <c r="CM166" s="2">
        <v>55.0</v>
      </c>
      <c r="CN166" s="2">
        <v>1.0</v>
      </c>
      <c r="CO166" s="2">
        <v>0.0</v>
      </c>
      <c r="CP166" s="2">
        <v>0.0</v>
      </c>
      <c r="CQ166" s="2">
        <v>2.0</v>
      </c>
      <c r="CR166" s="2">
        <v>0.0</v>
      </c>
      <c r="CS166" s="2">
        <v>1.0</v>
      </c>
      <c r="CT166" s="2">
        <v>0.0</v>
      </c>
      <c r="CU166" s="2">
        <v>0.0</v>
      </c>
      <c r="CV166" s="2">
        <v>0.0</v>
      </c>
      <c r="CW166" s="2">
        <v>0.0</v>
      </c>
      <c r="CX166" s="2">
        <v>0.0</v>
      </c>
      <c r="CY166" s="2">
        <v>0.0</v>
      </c>
      <c r="CZ166" s="2">
        <v>0.0</v>
      </c>
      <c r="DA166" s="2" t="s">
        <v>2090</v>
      </c>
      <c r="DD166" s="2">
        <v>119.0</v>
      </c>
      <c r="DE166" s="2">
        <v>0.0</v>
      </c>
      <c r="DF166" s="2">
        <v>0.0</v>
      </c>
      <c r="DG166" s="2">
        <v>3.0</v>
      </c>
      <c r="DH166" s="2">
        <v>3.0</v>
      </c>
      <c r="DI166" s="2">
        <v>0.0</v>
      </c>
      <c r="DJ166" s="2">
        <v>0.0</v>
      </c>
      <c r="DK166" s="2">
        <v>1.0</v>
      </c>
      <c r="DL166" s="2">
        <v>1.0</v>
      </c>
      <c r="DM166" s="2">
        <v>1.0</v>
      </c>
      <c r="DN166" s="2">
        <v>0.0</v>
      </c>
      <c r="DO166" s="2">
        <v>0.0</v>
      </c>
      <c r="DP166" s="2">
        <v>33.0</v>
      </c>
      <c r="DQ166" s="2">
        <v>2.0</v>
      </c>
      <c r="DR166" s="2">
        <v>0.0</v>
      </c>
      <c r="DS166" s="2">
        <v>51.0</v>
      </c>
      <c r="DT166" s="2">
        <v>98.0</v>
      </c>
      <c r="DU166" s="2">
        <v>0.0</v>
      </c>
      <c r="DV166" s="2">
        <v>0.0</v>
      </c>
      <c r="DW166" s="2">
        <v>0.0</v>
      </c>
      <c r="DX166" s="2">
        <v>0.0</v>
      </c>
      <c r="DY166" s="2">
        <v>0.0</v>
      </c>
      <c r="DZ166" s="2">
        <v>2.0</v>
      </c>
      <c r="EA166" s="2">
        <v>19.0</v>
      </c>
      <c r="EB166" s="2">
        <v>0.0</v>
      </c>
      <c r="EC166" s="2">
        <v>79.0</v>
      </c>
      <c r="EE166" s="2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2">
        <v>2025.0</v>
      </c>
      <c r="B167" s="2">
        <v>6.0</v>
      </c>
      <c r="C167" s="2" t="s">
        <v>137</v>
      </c>
      <c r="D167" s="2" t="s">
        <v>390</v>
      </c>
      <c r="E167" s="2" t="s">
        <v>779</v>
      </c>
      <c r="F167" s="2" t="s">
        <v>253</v>
      </c>
      <c r="G167" s="2">
        <v>17.0</v>
      </c>
      <c r="H167" s="2">
        <v>29.0</v>
      </c>
      <c r="I167" s="2">
        <v>252.0</v>
      </c>
      <c r="J167" s="2">
        <v>1.0</v>
      </c>
      <c r="K167" s="2">
        <v>0.0</v>
      </c>
      <c r="L167" s="2">
        <v>3.0</v>
      </c>
      <c r="M167" s="2">
        <v>-16.0</v>
      </c>
      <c r="N167" s="2">
        <v>0.0</v>
      </c>
      <c r="O167" s="2">
        <v>0.0</v>
      </c>
      <c r="P167" s="2">
        <v>246.0</v>
      </c>
      <c r="Q167" s="2">
        <v>194.0</v>
      </c>
      <c r="R167" s="2">
        <v>10.0</v>
      </c>
      <c r="S167" s="2">
        <v>3.27581411838753</v>
      </c>
      <c r="T167" s="2">
        <v>-8.21939131309246</v>
      </c>
      <c r="U167" s="2">
        <v>0.0</v>
      </c>
      <c r="V167" s="2">
        <v>11.0</v>
      </c>
      <c r="W167" s="2">
        <v>5.0</v>
      </c>
      <c r="X167" s="2">
        <v>4.0</v>
      </c>
      <c r="Y167" s="2">
        <v>1.0</v>
      </c>
      <c r="Z167" s="2">
        <v>27.0</v>
      </c>
      <c r="AA167" s="2">
        <v>145.0</v>
      </c>
      <c r="AB167" s="2">
        <v>1.0</v>
      </c>
      <c r="AC167" s="2">
        <v>0.0</v>
      </c>
      <c r="AD167" s="2">
        <v>0.0</v>
      </c>
      <c r="AE167" s="2">
        <v>8.0</v>
      </c>
      <c r="AF167" s="2">
        <v>5.89597640746824</v>
      </c>
      <c r="AG167" s="2">
        <v>0.0</v>
      </c>
      <c r="AH167" s="2">
        <v>5.0</v>
      </c>
      <c r="AI167" s="2">
        <v>4.0</v>
      </c>
      <c r="AJ167" s="2">
        <v>0.0</v>
      </c>
      <c r="AK167" s="2">
        <v>0.0</v>
      </c>
      <c r="AL167" s="2">
        <v>17.0</v>
      </c>
      <c r="AM167" s="2">
        <v>29.0</v>
      </c>
      <c r="AN167" s="2">
        <v>252.0</v>
      </c>
      <c r="AO167" s="2">
        <v>1.0</v>
      </c>
      <c r="AP167" s="2">
        <v>0.0</v>
      </c>
      <c r="AQ167" s="2">
        <v>0.0</v>
      </c>
      <c r="AR167" s="2">
        <v>246.0</v>
      </c>
      <c r="AS167" s="2">
        <v>194.0</v>
      </c>
      <c r="AT167" s="2">
        <v>10.0</v>
      </c>
      <c r="AU167" s="2">
        <v>6.76103566470651</v>
      </c>
      <c r="AV167" s="2">
        <v>0.0</v>
      </c>
      <c r="AW167" s="2">
        <v>11.0</v>
      </c>
      <c r="AX167" s="2">
        <v>5.0</v>
      </c>
      <c r="AY167" s="2">
        <v>4.0</v>
      </c>
      <c r="AZ167" s="2">
        <v>1.0</v>
      </c>
      <c r="BA167" s="2">
        <v>0.0</v>
      </c>
      <c r="BB167" s="2">
        <v>32.0</v>
      </c>
      <c r="BC167" s="2">
        <v>2.0</v>
      </c>
      <c r="BD167" s="2">
        <v>40.0</v>
      </c>
      <c r="BE167" s="2">
        <v>3.0</v>
      </c>
      <c r="BF167" s="2">
        <v>6.0</v>
      </c>
      <c r="BG167" s="2">
        <v>1.0</v>
      </c>
      <c r="BH167" s="2">
        <v>3.0</v>
      </c>
      <c r="BI167" s="2">
        <v>6.0</v>
      </c>
      <c r="BJ167" s="2">
        <v>3.0</v>
      </c>
      <c r="BK167" s="2">
        <v>1.0</v>
      </c>
      <c r="BL167" s="2">
        <v>32.0</v>
      </c>
      <c r="BM167" s="2">
        <v>3.0</v>
      </c>
      <c r="BN167" s="2">
        <v>0.0</v>
      </c>
      <c r="BO167" s="2">
        <v>0.0</v>
      </c>
      <c r="BP167" s="2">
        <v>0.0</v>
      </c>
      <c r="BQ167" s="2">
        <v>0.0</v>
      </c>
      <c r="BR167" s="2">
        <v>0.0</v>
      </c>
      <c r="BS167" s="2">
        <v>0.0</v>
      </c>
      <c r="BT167" s="2">
        <v>2.0</v>
      </c>
      <c r="BU167" s="2">
        <v>0.0</v>
      </c>
      <c r="BV167" s="2">
        <v>0.0</v>
      </c>
      <c r="BW167" s="2">
        <v>9.0</v>
      </c>
      <c r="BX167" s="2">
        <v>84.0</v>
      </c>
      <c r="BY167" s="2">
        <v>5.0</v>
      </c>
      <c r="BZ167" s="2">
        <v>0.0</v>
      </c>
      <c r="CA167" s="2">
        <v>0.0</v>
      </c>
      <c r="CB167" s="2">
        <v>0.0</v>
      </c>
      <c r="CC167" s="2">
        <v>0.0</v>
      </c>
      <c r="CD167" s="2">
        <v>0.0</v>
      </c>
      <c r="CE167" s="2">
        <v>0.0</v>
      </c>
      <c r="CF167" s="2">
        <v>0.0</v>
      </c>
      <c r="CG167" s="2">
        <v>5.0</v>
      </c>
      <c r="CH167" s="2">
        <v>120.0</v>
      </c>
      <c r="CI167" s="2">
        <v>4.0</v>
      </c>
      <c r="CJ167" s="2">
        <v>5.0</v>
      </c>
      <c r="CK167" s="2">
        <v>0.0</v>
      </c>
      <c r="CL167" s="2">
        <v>1.0</v>
      </c>
      <c r="CM167" s="2">
        <v>48.0</v>
      </c>
      <c r="CN167" s="2">
        <v>0.8</v>
      </c>
      <c r="CO167" s="2">
        <v>0.0</v>
      </c>
      <c r="CP167" s="2">
        <v>0.0</v>
      </c>
      <c r="CQ167" s="2">
        <v>1.0</v>
      </c>
      <c r="CR167" s="2">
        <v>3.0</v>
      </c>
      <c r="CS167" s="2">
        <v>0.0</v>
      </c>
      <c r="CT167" s="2">
        <v>0.0</v>
      </c>
      <c r="CU167" s="2">
        <v>0.0</v>
      </c>
      <c r="CV167" s="2">
        <v>0.0</v>
      </c>
      <c r="CW167" s="2">
        <v>0.0</v>
      </c>
      <c r="CX167" s="2">
        <v>0.0</v>
      </c>
      <c r="CY167" s="2">
        <v>0.0</v>
      </c>
      <c r="CZ167" s="2">
        <v>0.0</v>
      </c>
      <c r="DA167" s="2" t="s">
        <v>2091</v>
      </c>
      <c r="DC167" s="2" t="s">
        <v>1965</v>
      </c>
      <c r="DD167" s="2">
        <v>174.0</v>
      </c>
      <c r="DE167" s="2">
        <v>0.0</v>
      </c>
      <c r="DF167" s="2">
        <v>48.0</v>
      </c>
      <c r="DG167" s="2">
        <v>1.0</v>
      </c>
      <c r="DH167" s="2">
        <v>1.0</v>
      </c>
      <c r="DI167" s="2">
        <v>0.0</v>
      </c>
      <c r="DJ167" s="2">
        <v>0.0</v>
      </c>
      <c r="DK167" s="2">
        <v>1.0</v>
      </c>
      <c r="DL167" s="2">
        <v>1.0</v>
      </c>
      <c r="DM167" s="2">
        <v>1.0</v>
      </c>
      <c r="DN167" s="2">
        <v>0.0</v>
      </c>
      <c r="DO167" s="2">
        <v>0.0</v>
      </c>
      <c r="DP167" s="2">
        <v>38.0</v>
      </c>
      <c r="DQ167" s="2">
        <v>2.0</v>
      </c>
      <c r="DR167" s="2">
        <v>0.0</v>
      </c>
      <c r="DS167" s="2">
        <v>53.0</v>
      </c>
      <c r="DT167" s="2">
        <v>106.0</v>
      </c>
      <c r="DU167" s="2">
        <v>1.0</v>
      </c>
      <c r="DV167" s="2">
        <v>1.0</v>
      </c>
      <c r="DW167" s="2">
        <v>0.0</v>
      </c>
      <c r="DX167" s="2">
        <v>0.0</v>
      </c>
      <c r="DY167" s="2">
        <v>0.0</v>
      </c>
      <c r="DZ167" s="2">
        <v>1.0</v>
      </c>
      <c r="EA167" s="2">
        <v>9.0</v>
      </c>
      <c r="EB167" s="2">
        <v>0.0</v>
      </c>
      <c r="EC167" s="2">
        <v>97.0</v>
      </c>
      <c r="EE167" s="2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2">
        <v>2025.0</v>
      </c>
      <c r="B168" s="2">
        <v>6.0</v>
      </c>
      <c r="C168" s="2" t="s">
        <v>138</v>
      </c>
      <c r="D168" s="2" t="s">
        <v>390</v>
      </c>
      <c r="E168" s="2" t="s">
        <v>770</v>
      </c>
      <c r="F168" s="2" t="s">
        <v>205</v>
      </c>
      <c r="G168" s="2">
        <v>29.0</v>
      </c>
      <c r="H168" s="2">
        <v>45.0</v>
      </c>
      <c r="I168" s="2">
        <v>219.0</v>
      </c>
      <c r="J168" s="2">
        <v>2.0</v>
      </c>
      <c r="K168" s="2">
        <v>0.0</v>
      </c>
      <c r="L168" s="2">
        <v>1.0</v>
      </c>
      <c r="M168" s="2">
        <v>-6.0</v>
      </c>
      <c r="N168" s="2">
        <v>0.0</v>
      </c>
      <c r="O168" s="2">
        <v>0.0</v>
      </c>
      <c r="P168" s="2">
        <v>269.0</v>
      </c>
      <c r="Q168" s="2">
        <v>93.0</v>
      </c>
      <c r="R168" s="2">
        <v>12.0</v>
      </c>
      <c r="S168" s="2">
        <v>6.49639711349008</v>
      </c>
      <c r="T168" s="2">
        <v>4.66945398598909</v>
      </c>
      <c r="U168" s="2">
        <v>1.0</v>
      </c>
      <c r="V168" s="2">
        <v>8.0</v>
      </c>
      <c r="W168" s="2">
        <v>4.0</v>
      </c>
      <c r="X168" s="2">
        <v>0.0</v>
      </c>
      <c r="Y168" s="2">
        <v>0.0</v>
      </c>
      <c r="Z168" s="2">
        <v>16.0</v>
      </c>
      <c r="AA168" s="2">
        <v>55.0</v>
      </c>
      <c r="AB168" s="2">
        <v>0.0</v>
      </c>
      <c r="AC168" s="2">
        <v>0.0</v>
      </c>
      <c r="AD168" s="2">
        <v>0.0</v>
      </c>
      <c r="AE168" s="2">
        <v>5.0</v>
      </c>
      <c r="AF168" s="2">
        <v>-0.838455434713978</v>
      </c>
      <c r="AG168" s="2">
        <v>0.0</v>
      </c>
      <c r="AH168" s="2">
        <v>1.0</v>
      </c>
      <c r="AI168" s="2">
        <v>1.0</v>
      </c>
      <c r="AJ168" s="2">
        <v>0.0</v>
      </c>
      <c r="AK168" s="2">
        <v>0.0</v>
      </c>
      <c r="AL168" s="2">
        <v>29.0</v>
      </c>
      <c r="AM168" s="2">
        <v>40.0</v>
      </c>
      <c r="AN168" s="2">
        <v>219.0</v>
      </c>
      <c r="AO168" s="2">
        <v>2.0</v>
      </c>
      <c r="AP168" s="2">
        <v>0.0</v>
      </c>
      <c r="AQ168" s="2">
        <v>0.0</v>
      </c>
      <c r="AR168" s="2">
        <v>269.0</v>
      </c>
      <c r="AS168" s="2">
        <v>93.0</v>
      </c>
      <c r="AT168" s="2">
        <v>12.0</v>
      </c>
      <c r="AU168" s="2">
        <v>9.59680632307509</v>
      </c>
      <c r="AV168" s="2">
        <v>1.0</v>
      </c>
      <c r="AW168" s="2">
        <v>8.0</v>
      </c>
      <c r="AX168" s="2">
        <v>4.0</v>
      </c>
      <c r="AY168" s="2">
        <v>0.0</v>
      </c>
      <c r="AZ168" s="2">
        <v>0.0</v>
      </c>
      <c r="BA168" s="2">
        <v>0.0</v>
      </c>
      <c r="BB168" s="2">
        <v>42.0</v>
      </c>
      <c r="BC168" s="2">
        <v>0.0</v>
      </c>
      <c r="BD168" s="2">
        <v>28.0</v>
      </c>
      <c r="BE168" s="2">
        <v>4.0</v>
      </c>
      <c r="BF168" s="2">
        <v>10.0</v>
      </c>
      <c r="BG168" s="2">
        <v>0.0</v>
      </c>
      <c r="BH168" s="2">
        <v>1.0</v>
      </c>
      <c r="BI168" s="2">
        <v>3.0</v>
      </c>
      <c r="BJ168" s="2">
        <v>4.0</v>
      </c>
      <c r="BK168" s="2">
        <v>1.0</v>
      </c>
      <c r="BL168" s="2">
        <v>25.0</v>
      </c>
      <c r="BM168" s="2">
        <v>6.0</v>
      </c>
      <c r="BN168" s="2">
        <v>0.0</v>
      </c>
      <c r="BO168" s="2">
        <v>0.0</v>
      </c>
      <c r="BP168" s="2">
        <v>0.0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</v>
      </c>
      <c r="BV168" s="2">
        <v>0.0</v>
      </c>
      <c r="BW168" s="2">
        <v>3.0</v>
      </c>
      <c r="BX168" s="2">
        <v>17.0</v>
      </c>
      <c r="BY168" s="2">
        <v>5.0</v>
      </c>
      <c r="BZ168" s="2">
        <v>0.0</v>
      </c>
      <c r="CA168" s="2">
        <v>0.0</v>
      </c>
      <c r="CB168" s="2">
        <v>0.0</v>
      </c>
      <c r="CC168" s="2">
        <v>0.0</v>
      </c>
      <c r="CD168" s="2">
        <v>0.0</v>
      </c>
      <c r="CE168" s="2">
        <v>1.0</v>
      </c>
      <c r="CF168" s="2">
        <v>13.0</v>
      </c>
      <c r="CG168" s="2">
        <v>4.0</v>
      </c>
      <c r="CH168" s="2">
        <v>90.0</v>
      </c>
      <c r="CI168" s="2">
        <v>1.0</v>
      </c>
      <c r="CJ168" s="2">
        <v>3.0</v>
      </c>
      <c r="CK168" s="2">
        <v>2.0</v>
      </c>
      <c r="CL168" s="2">
        <v>0.0</v>
      </c>
      <c r="CM168" s="2">
        <v>45.0</v>
      </c>
      <c r="CN168" s="2">
        <v>0.333333333333333</v>
      </c>
      <c r="CO168" s="2">
        <v>0.0</v>
      </c>
      <c r="CP168" s="2">
        <v>0.0</v>
      </c>
      <c r="CQ168" s="2">
        <v>0.0</v>
      </c>
      <c r="CR168" s="2">
        <v>1.0</v>
      </c>
      <c r="CS168" s="2">
        <v>0.0</v>
      </c>
      <c r="CT168" s="2">
        <v>0.0</v>
      </c>
      <c r="CU168" s="2">
        <v>0.0</v>
      </c>
      <c r="CV168" s="2">
        <v>0.0</v>
      </c>
      <c r="CW168" s="2">
        <v>0.0</v>
      </c>
      <c r="CX168" s="2">
        <v>0.0</v>
      </c>
      <c r="CY168" s="2">
        <v>1.0</v>
      </c>
      <c r="CZ168" s="2">
        <v>1.0</v>
      </c>
      <c r="DA168" s="2" t="s">
        <v>1969</v>
      </c>
      <c r="DB168" s="2" t="s">
        <v>2092</v>
      </c>
      <c r="DD168" s="2">
        <v>45.0</v>
      </c>
      <c r="DE168" s="2">
        <v>123.0</v>
      </c>
      <c r="DF168" s="2">
        <v>0.0</v>
      </c>
      <c r="DG168" s="2">
        <v>1.0</v>
      </c>
      <c r="DH168" s="2">
        <v>1.0</v>
      </c>
      <c r="DI168" s="2">
        <v>0.0</v>
      </c>
      <c r="DJ168" s="2">
        <v>0.0</v>
      </c>
      <c r="DK168" s="2">
        <v>1.0</v>
      </c>
      <c r="DL168" s="2">
        <v>0.0</v>
      </c>
      <c r="DM168" s="2">
        <v>0.0</v>
      </c>
      <c r="DN168" s="2">
        <v>0.0</v>
      </c>
      <c r="DO168" s="2">
        <v>0.0</v>
      </c>
      <c r="DP168" s="2">
        <v>0.0</v>
      </c>
      <c r="DQ168" s="2">
        <v>4.0</v>
      </c>
      <c r="DR168" s="2">
        <v>0.0</v>
      </c>
      <c r="DS168" s="2">
        <v>58.0</v>
      </c>
      <c r="DT168" s="2">
        <v>211.0</v>
      </c>
      <c r="DU168" s="2">
        <v>3.0</v>
      </c>
      <c r="DV168" s="2">
        <v>0.0</v>
      </c>
      <c r="DW168" s="2">
        <v>0.0</v>
      </c>
      <c r="DX168" s="2">
        <v>1.0</v>
      </c>
      <c r="DY168" s="2">
        <v>1.0</v>
      </c>
      <c r="DZ168" s="2">
        <v>2.0</v>
      </c>
      <c r="EA168" s="2">
        <v>14.0</v>
      </c>
      <c r="EB168" s="2">
        <v>0.0</v>
      </c>
      <c r="EC168" s="2">
        <v>177.0</v>
      </c>
      <c r="EE168" s="2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2">
        <v>2025.0</v>
      </c>
      <c r="B169" s="2">
        <v>6.0</v>
      </c>
      <c r="C169" s="2" t="s">
        <v>196</v>
      </c>
      <c r="D169" s="2" t="s">
        <v>390</v>
      </c>
      <c r="E169" s="2" t="s">
        <v>766</v>
      </c>
      <c r="F169" s="2" t="s">
        <v>242</v>
      </c>
      <c r="G169" s="2">
        <v>29.0</v>
      </c>
      <c r="H169" s="2">
        <v>52.0</v>
      </c>
      <c r="I169" s="2">
        <v>221.0</v>
      </c>
      <c r="J169" s="2">
        <v>0.0</v>
      </c>
      <c r="K169" s="2">
        <v>0.0</v>
      </c>
      <c r="L169" s="2">
        <v>6.0</v>
      </c>
      <c r="M169" s="2">
        <v>-38.0</v>
      </c>
      <c r="N169" s="2">
        <v>0.0</v>
      </c>
      <c r="O169" s="2">
        <v>0.0</v>
      </c>
      <c r="P169" s="2">
        <v>314.0</v>
      </c>
      <c r="Q169" s="2">
        <v>105.0</v>
      </c>
      <c r="R169" s="2">
        <v>10.0</v>
      </c>
      <c r="S169" s="2">
        <v>-13.8776162122639</v>
      </c>
      <c r="T169" s="2">
        <v>-10.2235441114388</v>
      </c>
      <c r="U169" s="2">
        <v>0.0</v>
      </c>
      <c r="V169" s="2">
        <v>8.0</v>
      </c>
      <c r="W169" s="2">
        <v>3.0</v>
      </c>
      <c r="X169" s="2">
        <v>1.0</v>
      </c>
      <c r="Y169" s="2">
        <v>0.0</v>
      </c>
      <c r="Z169" s="2">
        <v>17.0</v>
      </c>
      <c r="AA169" s="2">
        <v>65.0</v>
      </c>
      <c r="AB169" s="2">
        <v>0.0</v>
      </c>
      <c r="AC169" s="2">
        <v>0.0</v>
      </c>
      <c r="AD169" s="2">
        <v>0.0</v>
      </c>
      <c r="AE169" s="2">
        <v>6.0</v>
      </c>
      <c r="AF169" s="2">
        <v>-0.0245363683789037</v>
      </c>
      <c r="AG169" s="2">
        <v>0.0</v>
      </c>
      <c r="AH169" s="2">
        <v>1.0</v>
      </c>
      <c r="AI169" s="2">
        <v>1.0</v>
      </c>
      <c r="AJ169" s="2">
        <v>0.0</v>
      </c>
      <c r="AK169" s="2">
        <v>0.0</v>
      </c>
      <c r="AL169" s="2">
        <v>29.0</v>
      </c>
      <c r="AM169" s="2">
        <v>51.0</v>
      </c>
      <c r="AN169" s="2">
        <v>221.0</v>
      </c>
      <c r="AO169" s="2">
        <v>0.0</v>
      </c>
      <c r="AP169" s="2">
        <v>0.0</v>
      </c>
      <c r="AQ169" s="2">
        <v>0.0</v>
      </c>
      <c r="AR169" s="2">
        <v>314.0</v>
      </c>
      <c r="AS169" s="2">
        <v>105.0</v>
      </c>
      <c r="AT169" s="2">
        <v>10.0</v>
      </c>
      <c r="AU169" s="2">
        <v>-3.8904075818981</v>
      </c>
      <c r="AV169" s="2">
        <v>0.0</v>
      </c>
      <c r="AW169" s="2">
        <v>8.0</v>
      </c>
      <c r="AX169" s="2">
        <v>3.0</v>
      </c>
      <c r="AY169" s="2">
        <v>1.0</v>
      </c>
      <c r="AZ169" s="2">
        <v>0.0</v>
      </c>
      <c r="BA169" s="2">
        <v>0.0</v>
      </c>
      <c r="BB169" s="2">
        <v>33.0</v>
      </c>
      <c r="BC169" s="2">
        <v>4.0</v>
      </c>
      <c r="BD169" s="2">
        <v>30.0</v>
      </c>
      <c r="BE169" s="2">
        <v>6.0</v>
      </c>
      <c r="BF169" s="2">
        <v>15.0</v>
      </c>
      <c r="BG169" s="2">
        <v>1.0</v>
      </c>
      <c r="BH169" s="2">
        <v>0.0</v>
      </c>
      <c r="BI169" s="2">
        <v>0.0</v>
      </c>
      <c r="BJ169" s="2">
        <v>3.0</v>
      </c>
      <c r="BK169" s="2">
        <v>0.0</v>
      </c>
      <c r="BL169" s="2">
        <v>0.0</v>
      </c>
      <c r="BM169" s="2">
        <v>3.0</v>
      </c>
      <c r="BN169" s="2">
        <v>0.0</v>
      </c>
      <c r="BO169" s="2">
        <v>0.0</v>
      </c>
      <c r="BP169" s="2">
        <v>0.0</v>
      </c>
      <c r="BQ169" s="2">
        <v>0.0</v>
      </c>
      <c r="BR169" s="2">
        <v>0.0</v>
      </c>
      <c r="BS169" s="2">
        <v>0.0</v>
      </c>
      <c r="BT169" s="2">
        <v>0.0</v>
      </c>
      <c r="BU169" s="2">
        <v>0.0</v>
      </c>
      <c r="BV169" s="2">
        <v>0.0</v>
      </c>
      <c r="BW169" s="2">
        <v>6.0</v>
      </c>
      <c r="BX169" s="2">
        <v>44.0</v>
      </c>
      <c r="BY169" s="2">
        <v>7.0</v>
      </c>
      <c r="BZ169" s="2">
        <v>0.0</v>
      </c>
      <c r="CA169" s="2">
        <v>0.0</v>
      </c>
      <c r="CB169" s="2">
        <v>0.0</v>
      </c>
      <c r="CC169" s="2">
        <v>0.0</v>
      </c>
      <c r="CD169" s="2">
        <v>0.0</v>
      </c>
      <c r="CE169" s="2">
        <v>1.0</v>
      </c>
      <c r="CF169" s="2">
        <v>9.0</v>
      </c>
      <c r="CG169" s="2">
        <v>6.0</v>
      </c>
      <c r="CH169" s="2">
        <v>146.0</v>
      </c>
      <c r="CI169" s="2">
        <v>3.0</v>
      </c>
      <c r="CJ169" s="2">
        <v>3.0</v>
      </c>
      <c r="CK169" s="2">
        <v>0.0</v>
      </c>
      <c r="CL169" s="2">
        <v>0.0</v>
      </c>
      <c r="CM169" s="2">
        <v>53.0</v>
      </c>
      <c r="CN169" s="2">
        <v>1.0</v>
      </c>
      <c r="CO169" s="2">
        <v>0.0</v>
      </c>
      <c r="CP169" s="2">
        <v>0.0</v>
      </c>
      <c r="CQ169" s="2">
        <v>2.0</v>
      </c>
      <c r="CR169" s="2">
        <v>0.0</v>
      </c>
      <c r="CS169" s="2">
        <v>1.0</v>
      </c>
      <c r="CT169" s="2">
        <v>0.0</v>
      </c>
      <c r="CU169" s="2">
        <v>0.0</v>
      </c>
      <c r="CV169" s="2">
        <v>0.0</v>
      </c>
      <c r="CW169" s="2">
        <v>0.0</v>
      </c>
      <c r="CX169" s="2">
        <v>0.0</v>
      </c>
      <c r="CY169" s="2">
        <v>0.0</v>
      </c>
      <c r="CZ169" s="2">
        <v>0.0</v>
      </c>
      <c r="DA169" s="2" t="s">
        <v>2093</v>
      </c>
      <c r="DD169" s="2">
        <v>116.0</v>
      </c>
      <c r="DE169" s="2">
        <v>0.0</v>
      </c>
      <c r="DF169" s="2">
        <v>0.0</v>
      </c>
      <c r="DG169" s="2">
        <v>0.0</v>
      </c>
      <c r="DH169" s="2">
        <v>0.0</v>
      </c>
      <c r="DI169" s="2">
        <v>0.0</v>
      </c>
      <c r="DJ169" s="2">
        <v>0.0</v>
      </c>
      <c r="DL169" s="2">
        <v>0.0</v>
      </c>
      <c r="DM169" s="2">
        <v>0.0</v>
      </c>
      <c r="DN169" s="2">
        <v>0.0</v>
      </c>
      <c r="DO169" s="2">
        <v>0.0</v>
      </c>
      <c r="DP169" s="2">
        <v>0.0</v>
      </c>
      <c r="DQ169" s="2">
        <v>4.0</v>
      </c>
      <c r="DR169" s="2">
        <v>0.0</v>
      </c>
      <c r="DS169" s="2">
        <v>67.0</v>
      </c>
      <c r="DT169" s="2">
        <v>198.0</v>
      </c>
      <c r="DU169" s="2">
        <v>0.0</v>
      </c>
      <c r="DV169" s="2">
        <v>1.0</v>
      </c>
      <c r="DW169" s="2">
        <v>0.0</v>
      </c>
      <c r="DX169" s="2">
        <v>0.0</v>
      </c>
      <c r="DY169" s="2">
        <v>0.0</v>
      </c>
      <c r="DZ169" s="2">
        <v>3.0</v>
      </c>
      <c r="EA169" s="2">
        <v>30.0</v>
      </c>
      <c r="EB169" s="2">
        <v>0.0</v>
      </c>
      <c r="EC169" s="2">
        <v>168.0</v>
      </c>
      <c r="EE169" s="2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2">
        <v>2025.0</v>
      </c>
      <c r="B170" s="2">
        <v>6.0</v>
      </c>
      <c r="C170" s="2" t="s">
        <v>146</v>
      </c>
      <c r="D170" s="2" t="s">
        <v>390</v>
      </c>
      <c r="E170" s="2" t="s">
        <v>755</v>
      </c>
      <c r="F170" s="2" t="s">
        <v>189</v>
      </c>
      <c r="G170" s="2">
        <v>25.0</v>
      </c>
      <c r="H170" s="2">
        <v>34.0</v>
      </c>
      <c r="I170" s="2">
        <v>261.0</v>
      </c>
      <c r="J170" s="2">
        <v>3.0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189.0</v>
      </c>
      <c r="Q170" s="2">
        <v>136.0</v>
      </c>
      <c r="R170" s="2">
        <v>12.0</v>
      </c>
      <c r="S170" s="2">
        <v>17.7453485712976</v>
      </c>
      <c r="T170" s="2">
        <v>7.12886426378699</v>
      </c>
      <c r="U170" s="2">
        <v>0.0</v>
      </c>
      <c r="V170" s="2">
        <v>10.0</v>
      </c>
      <c r="W170" s="2">
        <v>4.0</v>
      </c>
      <c r="X170" s="2">
        <v>3.0</v>
      </c>
      <c r="Y170" s="2">
        <v>1.0</v>
      </c>
      <c r="Z170" s="2">
        <v>19.0</v>
      </c>
      <c r="AA170" s="2">
        <v>31.0</v>
      </c>
      <c r="AB170" s="2">
        <v>0.0</v>
      </c>
      <c r="AC170" s="2">
        <v>1.0</v>
      </c>
      <c r="AD170" s="2">
        <v>0.0</v>
      </c>
      <c r="AE170" s="2">
        <v>1.0</v>
      </c>
      <c r="AF170" s="2">
        <v>-8.40553474839544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25.0</v>
      </c>
      <c r="AM170" s="2">
        <v>34.0</v>
      </c>
      <c r="AN170" s="2">
        <v>261.0</v>
      </c>
      <c r="AO170" s="2">
        <v>3.0</v>
      </c>
      <c r="AP170" s="2">
        <v>0.0</v>
      </c>
      <c r="AQ170" s="2">
        <v>0.0</v>
      </c>
      <c r="AR170" s="2">
        <v>189.0</v>
      </c>
      <c r="AS170" s="2">
        <v>136.0</v>
      </c>
      <c r="AT170" s="2">
        <v>12.0</v>
      </c>
      <c r="AU170" s="2">
        <v>17.7453485712976</v>
      </c>
      <c r="AV170" s="2">
        <v>0.0</v>
      </c>
      <c r="AW170" s="2">
        <v>10.0</v>
      </c>
      <c r="AX170" s="2">
        <v>4.0</v>
      </c>
      <c r="AY170" s="2">
        <v>3.0</v>
      </c>
      <c r="AZ170" s="2">
        <v>1.0</v>
      </c>
      <c r="BA170" s="2">
        <v>0.0</v>
      </c>
      <c r="BB170" s="2">
        <v>41.0</v>
      </c>
      <c r="BC170" s="2">
        <v>0.0</v>
      </c>
      <c r="BD170" s="2">
        <v>26.0</v>
      </c>
      <c r="BE170" s="2">
        <v>2.0</v>
      </c>
      <c r="BF170" s="2">
        <v>14.0</v>
      </c>
      <c r="BG170" s="2">
        <v>2.0</v>
      </c>
      <c r="BH170" s="2">
        <v>1.0</v>
      </c>
      <c r="BI170" s="2">
        <v>5.0</v>
      </c>
      <c r="BJ170" s="2">
        <v>5.0</v>
      </c>
      <c r="BK170" s="2">
        <v>1.0</v>
      </c>
      <c r="BL170" s="2">
        <v>21.0</v>
      </c>
      <c r="BM170" s="2">
        <v>1.0</v>
      </c>
      <c r="BN170" s="2">
        <v>0.0</v>
      </c>
      <c r="BO170" s="2">
        <v>1.0</v>
      </c>
      <c r="BP170" s="2">
        <v>0.0</v>
      </c>
      <c r="BQ170" s="2">
        <v>0.0</v>
      </c>
      <c r="BR170" s="2">
        <v>2.0</v>
      </c>
      <c r="BS170" s="2">
        <v>-1.0</v>
      </c>
      <c r="BT170" s="2">
        <v>0.0</v>
      </c>
      <c r="BU170" s="2">
        <v>0.0</v>
      </c>
      <c r="BV170" s="2">
        <v>0.0</v>
      </c>
      <c r="BW170" s="2">
        <v>6.0</v>
      </c>
      <c r="BX170" s="2">
        <v>37.0</v>
      </c>
      <c r="BY170" s="2">
        <v>6.0</v>
      </c>
      <c r="BZ170" s="2">
        <v>0.0</v>
      </c>
      <c r="CA170" s="2">
        <v>2.0</v>
      </c>
      <c r="CB170" s="2">
        <v>0.0</v>
      </c>
      <c r="CC170" s="2">
        <v>2.0</v>
      </c>
      <c r="CD170" s="2">
        <v>0.0</v>
      </c>
      <c r="CE170" s="2">
        <v>2.0</v>
      </c>
      <c r="CF170" s="2">
        <v>19.0</v>
      </c>
      <c r="CG170" s="2">
        <v>4.0</v>
      </c>
      <c r="CH170" s="2">
        <v>78.0</v>
      </c>
      <c r="CI170" s="2">
        <v>2.0</v>
      </c>
      <c r="CJ170" s="2">
        <v>2.0</v>
      </c>
      <c r="CK170" s="2">
        <v>0.0</v>
      </c>
      <c r="CL170" s="2">
        <v>0.0</v>
      </c>
      <c r="CM170" s="2">
        <v>28.0</v>
      </c>
      <c r="CN170" s="2">
        <v>1.0</v>
      </c>
      <c r="CO170" s="2">
        <v>0.0</v>
      </c>
      <c r="CP170" s="2">
        <v>2.0</v>
      </c>
      <c r="CQ170" s="2">
        <v>0.0</v>
      </c>
      <c r="CR170" s="2">
        <v>0.0</v>
      </c>
      <c r="CS170" s="2">
        <v>0.0</v>
      </c>
      <c r="CT170" s="2">
        <v>0.0</v>
      </c>
      <c r="CU170" s="2">
        <v>0.0</v>
      </c>
      <c r="CV170" s="2">
        <v>0.0</v>
      </c>
      <c r="CW170" s="2">
        <v>0.0</v>
      </c>
      <c r="CX170" s="2">
        <v>0.0</v>
      </c>
      <c r="CY170" s="2">
        <v>0.0</v>
      </c>
      <c r="CZ170" s="2">
        <v>0.0</v>
      </c>
      <c r="DA170" s="2" t="s">
        <v>2094</v>
      </c>
      <c r="DD170" s="2">
        <v>51.0</v>
      </c>
      <c r="DE170" s="2">
        <v>0.0</v>
      </c>
      <c r="DF170" s="2">
        <v>0.0</v>
      </c>
      <c r="DG170" s="2">
        <v>3.0</v>
      </c>
      <c r="DH170" s="2">
        <v>3.0</v>
      </c>
      <c r="DI170" s="2">
        <v>0.0</v>
      </c>
      <c r="DJ170" s="2">
        <v>0.0</v>
      </c>
      <c r="DK170" s="2">
        <v>1.0</v>
      </c>
      <c r="DL170" s="2">
        <v>0.0</v>
      </c>
      <c r="DM170" s="2">
        <v>0.0</v>
      </c>
      <c r="DN170" s="2">
        <v>0.0</v>
      </c>
      <c r="DO170" s="2">
        <v>0.0</v>
      </c>
      <c r="DP170" s="2">
        <v>0.0</v>
      </c>
      <c r="DQ170" s="2">
        <v>3.0</v>
      </c>
      <c r="DR170" s="2">
        <v>0.0</v>
      </c>
      <c r="DS170" s="2">
        <v>51.0</v>
      </c>
      <c r="DT170" s="2">
        <v>143.0</v>
      </c>
      <c r="DU170" s="2">
        <v>2.0</v>
      </c>
      <c r="DV170" s="2">
        <v>0.0</v>
      </c>
      <c r="DW170" s="2">
        <v>1.0</v>
      </c>
      <c r="DX170" s="2">
        <v>0.0</v>
      </c>
      <c r="DY170" s="2">
        <v>1.0</v>
      </c>
      <c r="DZ170" s="2">
        <v>1.0</v>
      </c>
      <c r="EA170" s="2">
        <v>0.0</v>
      </c>
      <c r="EB170" s="2">
        <v>0.0</v>
      </c>
      <c r="EC170" s="2">
        <v>143.0</v>
      </c>
      <c r="EE170" s="2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2">
        <v>2025.0</v>
      </c>
      <c r="B171" s="2">
        <v>6.0</v>
      </c>
      <c r="C171" s="2" t="s">
        <v>139</v>
      </c>
      <c r="D171" s="2" t="s">
        <v>390</v>
      </c>
      <c r="E171" s="2" t="s">
        <v>750</v>
      </c>
      <c r="F171" s="2" t="s">
        <v>238</v>
      </c>
      <c r="G171" s="2">
        <v>19.0</v>
      </c>
      <c r="H171" s="2">
        <v>30.0</v>
      </c>
      <c r="I171" s="2">
        <v>174.0</v>
      </c>
      <c r="J171" s="2">
        <v>1.0</v>
      </c>
      <c r="K171" s="2">
        <v>0.0</v>
      </c>
      <c r="L171" s="2">
        <v>1.0</v>
      </c>
      <c r="M171" s="2">
        <v>-6.0</v>
      </c>
      <c r="N171" s="2">
        <v>0.0</v>
      </c>
      <c r="O171" s="2">
        <v>0.0</v>
      </c>
      <c r="P171" s="2">
        <v>153.0</v>
      </c>
      <c r="Q171" s="2">
        <v>112.0</v>
      </c>
      <c r="R171" s="2">
        <v>9.0</v>
      </c>
      <c r="S171" s="2">
        <v>5.10716702403373</v>
      </c>
      <c r="T171" s="2">
        <v>3.52140756753775</v>
      </c>
      <c r="U171" s="2">
        <v>0.0</v>
      </c>
      <c r="V171" s="2">
        <v>8.0</v>
      </c>
      <c r="W171" s="2">
        <v>4.0</v>
      </c>
      <c r="X171" s="2">
        <v>1.0</v>
      </c>
      <c r="Y171" s="2">
        <v>0.0</v>
      </c>
      <c r="Z171" s="2">
        <v>26.0</v>
      </c>
      <c r="AA171" s="2">
        <v>78.0</v>
      </c>
      <c r="AB171" s="2">
        <v>0.0</v>
      </c>
      <c r="AC171" s="2">
        <v>1.0</v>
      </c>
      <c r="AD171" s="2">
        <v>0.0</v>
      </c>
      <c r="AE171" s="2">
        <v>3.0</v>
      </c>
      <c r="AF171" s="2">
        <v>-6.49105360242538</v>
      </c>
      <c r="AG171" s="2">
        <v>0.0</v>
      </c>
      <c r="AH171" s="2">
        <v>1.0</v>
      </c>
      <c r="AI171" s="2">
        <v>0.0</v>
      </c>
      <c r="AJ171" s="2">
        <v>0.0</v>
      </c>
      <c r="AK171" s="2">
        <v>0.0</v>
      </c>
      <c r="AL171" s="2">
        <v>19.0</v>
      </c>
      <c r="AM171" s="2">
        <v>26.0</v>
      </c>
      <c r="AN171" s="2">
        <v>174.0</v>
      </c>
      <c r="AO171" s="2">
        <v>1.0</v>
      </c>
      <c r="AP171" s="2">
        <v>1.0</v>
      </c>
      <c r="AQ171" s="2">
        <v>1.0</v>
      </c>
      <c r="AR171" s="2">
        <v>153.0</v>
      </c>
      <c r="AS171" s="2">
        <v>112.0</v>
      </c>
      <c r="AT171" s="2">
        <v>9.0</v>
      </c>
      <c r="AU171" s="2">
        <v>3.71294227846305</v>
      </c>
      <c r="AV171" s="2">
        <v>0.0</v>
      </c>
      <c r="AW171" s="2">
        <v>8.0</v>
      </c>
      <c r="AX171" s="2">
        <v>4.0</v>
      </c>
      <c r="AY171" s="2">
        <v>1.0</v>
      </c>
      <c r="AZ171" s="2">
        <v>0.0</v>
      </c>
      <c r="BA171" s="2">
        <v>0.0</v>
      </c>
      <c r="BB171" s="2">
        <v>42.0</v>
      </c>
      <c r="BC171" s="2">
        <v>1.0</v>
      </c>
      <c r="BD171" s="2">
        <v>31.0</v>
      </c>
      <c r="BE171" s="2">
        <v>7.0</v>
      </c>
      <c r="BF171" s="2">
        <v>30.0</v>
      </c>
      <c r="BG171" s="2">
        <v>0.0</v>
      </c>
      <c r="BH171" s="2">
        <v>9.0</v>
      </c>
      <c r="BI171" s="2">
        <v>55.0</v>
      </c>
      <c r="BJ171" s="2">
        <v>15.0</v>
      </c>
      <c r="BK171" s="2">
        <v>0.0</v>
      </c>
      <c r="BL171" s="2">
        <v>0.0</v>
      </c>
      <c r="BM171" s="2">
        <v>4.0</v>
      </c>
      <c r="BN171" s="2">
        <v>0.0</v>
      </c>
      <c r="BO171" s="2">
        <v>0.0</v>
      </c>
      <c r="BP171" s="2">
        <v>0.0</v>
      </c>
      <c r="BQ171" s="2">
        <v>0.0</v>
      </c>
      <c r="BR171" s="2">
        <v>1.0</v>
      </c>
      <c r="BS171" s="2">
        <v>0.0</v>
      </c>
      <c r="BT171" s="2">
        <v>0.0</v>
      </c>
      <c r="BU171" s="2">
        <v>0.0</v>
      </c>
      <c r="BV171" s="2">
        <v>0.0</v>
      </c>
      <c r="BW171" s="2">
        <v>6.0</v>
      </c>
      <c r="BX171" s="2">
        <v>37.0</v>
      </c>
      <c r="BY171" s="2">
        <v>4.0</v>
      </c>
      <c r="BZ171" s="2">
        <v>2.0</v>
      </c>
      <c r="CA171" s="2">
        <v>0.0</v>
      </c>
      <c r="CB171" s="2">
        <v>0.0</v>
      </c>
      <c r="CC171" s="2">
        <v>2.0</v>
      </c>
      <c r="CD171" s="2">
        <v>1.0</v>
      </c>
      <c r="CE171" s="2">
        <v>2.0</v>
      </c>
      <c r="CF171" s="2">
        <v>11.0</v>
      </c>
      <c r="CG171" s="2">
        <v>4.0</v>
      </c>
      <c r="CH171" s="2">
        <v>104.0</v>
      </c>
      <c r="CI171" s="2">
        <v>2.0</v>
      </c>
      <c r="CJ171" s="2">
        <v>2.0</v>
      </c>
      <c r="CK171" s="2">
        <v>0.0</v>
      </c>
      <c r="CL171" s="2">
        <v>0.0</v>
      </c>
      <c r="CM171" s="2">
        <v>57.0</v>
      </c>
      <c r="CN171" s="2">
        <v>1.0</v>
      </c>
      <c r="CO171" s="2">
        <v>0.0</v>
      </c>
      <c r="CP171" s="2">
        <v>1.0</v>
      </c>
      <c r="CQ171" s="2">
        <v>0.0</v>
      </c>
      <c r="CR171" s="2">
        <v>0.0</v>
      </c>
      <c r="CS171" s="2">
        <v>1.0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 t="s">
        <v>2095</v>
      </c>
      <c r="DD171" s="2">
        <v>84.0</v>
      </c>
      <c r="DE171" s="2">
        <v>0.0</v>
      </c>
      <c r="DF171" s="2">
        <v>0.0</v>
      </c>
      <c r="DG171" s="2">
        <v>1.0</v>
      </c>
      <c r="DH171" s="2">
        <v>1.0</v>
      </c>
      <c r="DI171" s="2">
        <v>0.0</v>
      </c>
      <c r="DJ171" s="2">
        <v>0.0</v>
      </c>
      <c r="DK171" s="2">
        <v>1.0</v>
      </c>
      <c r="DL171" s="2">
        <v>0.0</v>
      </c>
      <c r="DM171" s="2">
        <v>0.0</v>
      </c>
      <c r="DN171" s="2">
        <v>0.0</v>
      </c>
      <c r="DO171" s="2">
        <v>0.0</v>
      </c>
      <c r="DP171" s="2">
        <v>0.0</v>
      </c>
      <c r="DQ171" s="2">
        <v>6.0</v>
      </c>
      <c r="DR171" s="2">
        <v>0.0</v>
      </c>
      <c r="DS171" s="2">
        <v>62.0</v>
      </c>
      <c r="DT171" s="2">
        <v>291.0</v>
      </c>
      <c r="DU171" s="2">
        <v>1.0</v>
      </c>
      <c r="DV171" s="2">
        <v>0.0</v>
      </c>
      <c r="DW171" s="2">
        <v>0.0</v>
      </c>
      <c r="DX171" s="2">
        <v>1.0</v>
      </c>
      <c r="DY171" s="2">
        <v>1.0</v>
      </c>
      <c r="DZ171" s="2">
        <v>4.0</v>
      </c>
      <c r="EA171" s="2">
        <v>32.0</v>
      </c>
      <c r="EB171" s="2">
        <v>0.0</v>
      </c>
      <c r="EC171" s="2">
        <v>239.0</v>
      </c>
      <c r="EE171" s="2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2">
        <v>2025.0</v>
      </c>
      <c r="B172" s="2">
        <v>6.0</v>
      </c>
      <c r="C172" s="2" t="s">
        <v>202</v>
      </c>
      <c r="D172" s="2" t="s">
        <v>390</v>
      </c>
      <c r="E172" s="2" t="s">
        <v>774</v>
      </c>
      <c r="F172" s="2" t="s">
        <v>143</v>
      </c>
      <c r="G172" s="2">
        <v>23.0</v>
      </c>
      <c r="H172" s="2">
        <v>29.0</v>
      </c>
      <c r="I172" s="2">
        <v>203.0</v>
      </c>
      <c r="J172" s="2">
        <v>2.0</v>
      </c>
      <c r="K172" s="2">
        <v>0.0</v>
      </c>
      <c r="L172" s="2">
        <v>1.0</v>
      </c>
      <c r="M172" s="2">
        <v>-4.0</v>
      </c>
      <c r="N172" s="2">
        <v>0.0</v>
      </c>
      <c r="O172" s="2">
        <v>0.0</v>
      </c>
      <c r="P172" s="2">
        <v>109.0</v>
      </c>
      <c r="Q172" s="2">
        <v>127.0</v>
      </c>
      <c r="R172" s="2">
        <v>13.0</v>
      </c>
      <c r="S172" s="2">
        <v>6.71315138111822</v>
      </c>
      <c r="T172" s="2">
        <v>14.1840242677265</v>
      </c>
      <c r="U172" s="2">
        <v>0.0</v>
      </c>
      <c r="V172" s="2">
        <v>9.0</v>
      </c>
      <c r="W172" s="2">
        <v>3.0</v>
      </c>
      <c r="X172" s="2">
        <v>3.0</v>
      </c>
      <c r="Y172" s="2">
        <v>0.0</v>
      </c>
      <c r="Z172" s="2">
        <v>23.0</v>
      </c>
      <c r="AA172" s="2">
        <v>98.0</v>
      </c>
      <c r="AB172" s="2">
        <v>0.0</v>
      </c>
      <c r="AC172" s="2">
        <v>0.0</v>
      </c>
      <c r="AD172" s="2">
        <v>0.0</v>
      </c>
      <c r="AE172" s="2">
        <v>5.0</v>
      </c>
      <c r="AF172" s="2">
        <v>-0.759917890478391</v>
      </c>
      <c r="AG172" s="2">
        <v>0.0</v>
      </c>
      <c r="AH172" s="2">
        <v>2.0</v>
      </c>
      <c r="AI172" s="2">
        <v>2.0</v>
      </c>
      <c r="AJ172" s="2">
        <v>0.0</v>
      </c>
      <c r="AK172" s="2">
        <v>0.0</v>
      </c>
      <c r="AL172" s="2">
        <v>23.0</v>
      </c>
      <c r="AM172" s="2">
        <v>27.0</v>
      </c>
      <c r="AN172" s="2">
        <v>203.0</v>
      </c>
      <c r="AO172" s="2">
        <v>2.0</v>
      </c>
      <c r="AP172" s="2">
        <v>1.0</v>
      </c>
      <c r="AQ172" s="2">
        <v>0.0</v>
      </c>
      <c r="AR172" s="2">
        <v>109.0</v>
      </c>
      <c r="AS172" s="2">
        <v>127.0</v>
      </c>
      <c r="AT172" s="2">
        <v>13.0</v>
      </c>
      <c r="AU172" s="2">
        <v>9.18892766087083</v>
      </c>
      <c r="AV172" s="2">
        <v>0.0</v>
      </c>
      <c r="AW172" s="2">
        <v>9.0</v>
      </c>
      <c r="AX172" s="2">
        <v>3.0</v>
      </c>
      <c r="AY172" s="2">
        <v>3.0</v>
      </c>
      <c r="AZ172" s="2">
        <v>0.0</v>
      </c>
      <c r="BA172" s="2">
        <v>0.0</v>
      </c>
      <c r="BB172" s="2">
        <v>33.0</v>
      </c>
      <c r="BC172" s="2">
        <v>0.0</v>
      </c>
      <c r="BD172" s="2">
        <v>34.0</v>
      </c>
      <c r="BE172" s="2">
        <v>2.0</v>
      </c>
      <c r="BF172" s="2">
        <v>14.0</v>
      </c>
      <c r="BG172" s="2">
        <v>1.0</v>
      </c>
      <c r="BH172" s="2">
        <v>3.0</v>
      </c>
      <c r="BI172" s="2">
        <v>14.0</v>
      </c>
      <c r="BJ172" s="2">
        <v>3.0</v>
      </c>
      <c r="BK172" s="2">
        <v>0.0</v>
      </c>
      <c r="BL172" s="2">
        <v>0.0</v>
      </c>
      <c r="BM172" s="2">
        <v>1.0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4.0</v>
      </c>
      <c r="BX172" s="2">
        <v>38.0</v>
      </c>
      <c r="BY172" s="2">
        <v>6.0</v>
      </c>
      <c r="BZ172" s="2">
        <v>1.0</v>
      </c>
      <c r="CA172" s="2">
        <v>0.0</v>
      </c>
      <c r="CB172" s="2">
        <v>1.0</v>
      </c>
      <c r="CC172" s="2">
        <v>1.0</v>
      </c>
      <c r="CD172" s="2">
        <v>0.0</v>
      </c>
      <c r="CE172" s="2">
        <v>0.0</v>
      </c>
      <c r="CF172" s="2">
        <v>0.0</v>
      </c>
      <c r="CG172" s="2">
        <v>6.0</v>
      </c>
      <c r="CH172" s="2">
        <v>140.0</v>
      </c>
      <c r="CI172" s="2">
        <v>1.0</v>
      </c>
      <c r="CJ172" s="2">
        <v>1.0</v>
      </c>
      <c r="CK172" s="2">
        <v>0.0</v>
      </c>
      <c r="CL172" s="2">
        <v>0.0</v>
      </c>
      <c r="CM172" s="2">
        <v>28.0</v>
      </c>
      <c r="CN172" s="2">
        <v>1.0</v>
      </c>
      <c r="CO172" s="2">
        <v>0.0</v>
      </c>
      <c r="CP172" s="2">
        <v>1.0</v>
      </c>
      <c r="CQ172" s="2">
        <v>0.0</v>
      </c>
      <c r="CR172" s="2">
        <v>0.0</v>
      </c>
      <c r="CS172" s="2">
        <v>0.0</v>
      </c>
      <c r="CT172" s="2">
        <v>0.0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 t="s">
        <v>2096</v>
      </c>
      <c r="DD172" s="2">
        <v>28.0</v>
      </c>
      <c r="DE172" s="2">
        <v>0.0</v>
      </c>
      <c r="DF172" s="2">
        <v>0.0</v>
      </c>
      <c r="DG172" s="2">
        <v>2.0</v>
      </c>
      <c r="DH172" s="2">
        <v>2.0</v>
      </c>
      <c r="DI172" s="2">
        <v>0.0</v>
      </c>
      <c r="DJ172" s="2">
        <v>0.0</v>
      </c>
      <c r="DK172" s="2">
        <v>1.0</v>
      </c>
      <c r="DL172" s="2">
        <v>0.0</v>
      </c>
      <c r="DM172" s="2">
        <v>0.0</v>
      </c>
      <c r="DN172" s="2">
        <v>0.0</v>
      </c>
      <c r="DO172" s="2">
        <v>0.0</v>
      </c>
      <c r="DP172" s="2">
        <v>0.0</v>
      </c>
      <c r="DQ172" s="2">
        <v>3.0</v>
      </c>
      <c r="DR172" s="2">
        <v>0.0</v>
      </c>
      <c r="DS172" s="2">
        <v>49.0</v>
      </c>
      <c r="DT172" s="2">
        <v>138.0</v>
      </c>
      <c r="DU172" s="2">
        <v>2.0</v>
      </c>
      <c r="DV172" s="2">
        <v>0.0</v>
      </c>
      <c r="DW172" s="2">
        <v>0.0</v>
      </c>
      <c r="DX172" s="2">
        <v>0.0</v>
      </c>
      <c r="DY172" s="2">
        <v>2.0</v>
      </c>
      <c r="DZ172" s="2">
        <v>1.0</v>
      </c>
      <c r="EA172" s="2">
        <v>21.0</v>
      </c>
      <c r="EB172" s="2">
        <v>0.0</v>
      </c>
      <c r="EC172" s="2">
        <v>117.0</v>
      </c>
      <c r="EE172" s="2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2">
        <v>2025.0</v>
      </c>
      <c r="B173" s="2">
        <v>6.0</v>
      </c>
      <c r="C173" s="2" t="s">
        <v>205</v>
      </c>
      <c r="D173" s="2" t="s">
        <v>390</v>
      </c>
      <c r="E173" s="2" t="s">
        <v>770</v>
      </c>
      <c r="F173" s="2" t="s">
        <v>138</v>
      </c>
      <c r="G173" s="2">
        <v>19.0</v>
      </c>
      <c r="H173" s="2">
        <v>26.0</v>
      </c>
      <c r="I173" s="2">
        <v>259.0</v>
      </c>
      <c r="J173" s="2">
        <v>1.0</v>
      </c>
      <c r="K173" s="2">
        <v>1.0</v>
      </c>
      <c r="L173" s="2">
        <v>1.0</v>
      </c>
      <c r="M173" s="2">
        <v>-3.0</v>
      </c>
      <c r="N173" s="2">
        <v>0.0</v>
      </c>
      <c r="O173" s="2">
        <v>0.0</v>
      </c>
      <c r="P173" s="2">
        <v>246.0</v>
      </c>
      <c r="Q173" s="2">
        <v>105.0</v>
      </c>
      <c r="R173" s="2">
        <v>11.0</v>
      </c>
      <c r="S173" s="2">
        <v>7.35611214349509</v>
      </c>
      <c r="T173" s="2">
        <v>6.61082428235274</v>
      </c>
      <c r="U173" s="2">
        <v>0.0</v>
      </c>
      <c r="V173" s="2">
        <v>9.0</v>
      </c>
      <c r="W173" s="2">
        <v>7.0</v>
      </c>
      <c r="X173" s="2">
        <v>6.0</v>
      </c>
      <c r="Y173" s="2">
        <v>0.0</v>
      </c>
      <c r="Z173" s="2">
        <v>33.0</v>
      </c>
      <c r="AA173" s="2">
        <v>153.0</v>
      </c>
      <c r="AB173" s="2">
        <v>2.0</v>
      </c>
      <c r="AC173" s="2">
        <v>0.0</v>
      </c>
      <c r="AD173" s="2">
        <v>0.0</v>
      </c>
      <c r="AE173" s="2">
        <v>12.0</v>
      </c>
      <c r="AF173" s="2">
        <v>4.91765176066398</v>
      </c>
      <c r="AG173" s="2">
        <v>0.0</v>
      </c>
      <c r="AH173" s="2">
        <v>4.0</v>
      </c>
      <c r="AI173" s="2">
        <v>3.0</v>
      </c>
      <c r="AJ173" s="2">
        <v>0.0</v>
      </c>
      <c r="AK173" s="2">
        <v>0.0</v>
      </c>
      <c r="AL173" s="2">
        <v>19.0</v>
      </c>
      <c r="AM173" s="2">
        <v>26.0</v>
      </c>
      <c r="AN173" s="2">
        <v>259.0</v>
      </c>
      <c r="AO173" s="2">
        <v>1.0</v>
      </c>
      <c r="AP173" s="2">
        <v>0.0</v>
      </c>
      <c r="AQ173" s="2">
        <v>0.0</v>
      </c>
      <c r="AR173" s="2">
        <v>246.0</v>
      </c>
      <c r="AS173" s="2">
        <v>105.0</v>
      </c>
      <c r="AT173" s="2">
        <v>11.0</v>
      </c>
      <c r="AU173" s="2">
        <v>8.15568566963074</v>
      </c>
      <c r="AV173" s="2">
        <v>0.0</v>
      </c>
      <c r="AW173" s="2">
        <v>9.0</v>
      </c>
      <c r="AX173" s="2">
        <v>7.0</v>
      </c>
      <c r="AY173" s="2">
        <v>6.0</v>
      </c>
      <c r="AZ173" s="2">
        <v>0.0</v>
      </c>
      <c r="BA173" s="2">
        <v>0.0</v>
      </c>
      <c r="BB173" s="2">
        <v>29.0</v>
      </c>
      <c r="BC173" s="2">
        <v>2.0</v>
      </c>
      <c r="BD173" s="2">
        <v>36.0</v>
      </c>
      <c r="BE173" s="2">
        <v>5.0</v>
      </c>
      <c r="BF173" s="2">
        <v>15.0</v>
      </c>
      <c r="BG173" s="2">
        <v>0.0</v>
      </c>
      <c r="BH173" s="2">
        <v>1.0</v>
      </c>
      <c r="BI173" s="2">
        <v>6.0</v>
      </c>
      <c r="BJ173" s="2">
        <v>5.0</v>
      </c>
      <c r="BK173" s="2">
        <v>0.0</v>
      </c>
      <c r="BL173" s="2">
        <v>0.0</v>
      </c>
      <c r="BM173" s="2">
        <v>3.0</v>
      </c>
      <c r="BN173" s="2">
        <v>0.0</v>
      </c>
      <c r="BO173" s="2">
        <v>0.0</v>
      </c>
      <c r="BP173" s="2">
        <v>0.0</v>
      </c>
      <c r="BQ173" s="2">
        <v>37.0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5.0</v>
      </c>
      <c r="BX173" s="2">
        <v>40.0</v>
      </c>
      <c r="BY173" s="2">
        <v>4.0</v>
      </c>
      <c r="BZ173" s="2">
        <v>0.0</v>
      </c>
      <c r="CA173" s="2">
        <v>0.0</v>
      </c>
      <c r="CB173" s="2">
        <v>0.0</v>
      </c>
      <c r="CC173" s="2">
        <v>0.0</v>
      </c>
      <c r="CD173" s="2">
        <v>0.0</v>
      </c>
      <c r="CE173" s="2">
        <v>2.0</v>
      </c>
      <c r="CF173" s="2">
        <v>14.0</v>
      </c>
      <c r="CG173" s="2">
        <v>4.0</v>
      </c>
      <c r="CH173" s="2">
        <v>132.0</v>
      </c>
      <c r="CI173" s="2">
        <v>2.0</v>
      </c>
      <c r="CJ173" s="2">
        <v>2.0</v>
      </c>
      <c r="CK173" s="2">
        <v>0.0</v>
      </c>
      <c r="CL173" s="2">
        <v>0.0</v>
      </c>
      <c r="CM173" s="2">
        <v>43.0</v>
      </c>
      <c r="CN173" s="2">
        <v>1.0</v>
      </c>
      <c r="CO173" s="2">
        <v>0.0</v>
      </c>
      <c r="CP173" s="2">
        <v>0.0</v>
      </c>
      <c r="CQ173" s="2">
        <v>1.0</v>
      </c>
      <c r="CR173" s="2">
        <v>1.0</v>
      </c>
      <c r="CS173" s="2">
        <v>0.0</v>
      </c>
      <c r="CT173" s="2">
        <v>0.0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0.0</v>
      </c>
      <c r="DA173" s="2" t="s">
        <v>2097</v>
      </c>
      <c r="DD173" s="2">
        <v>82.0</v>
      </c>
      <c r="DE173" s="2">
        <v>0.0</v>
      </c>
      <c r="DF173" s="2">
        <v>0.0</v>
      </c>
      <c r="DG173" s="2">
        <v>3.0</v>
      </c>
      <c r="DH173" s="2">
        <v>3.0</v>
      </c>
      <c r="DI173" s="2">
        <v>0.0</v>
      </c>
      <c r="DJ173" s="2">
        <v>0.0</v>
      </c>
      <c r="DK173" s="2">
        <v>1.0</v>
      </c>
      <c r="DL173" s="2">
        <v>0.0</v>
      </c>
      <c r="DM173" s="2">
        <v>0.0</v>
      </c>
      <c r="DN173" s="2">
        <v>0.0</v>
      </c>
      <c r="DO173" s="2">
        <v>0.0</v>
      </c>
      <c r="DP173" s="2">
        <v>0.0</v>
      </c>
      <c r="DQ173" s="2">
        <v>2.0</v>
      </c>
      <c r="DR173" s="2">
        <v>0.0</v>
      </c>
      <c r="DS173" s="2">
        <v>56.0</v>
      </c>
      <c r="DT173" s="2">
        <v>91.0</v>
      </c>
      <c r="DU173" s="2">
        <v>1.0</v>
      </c>
      <c r="DV173" s="2">
        <v>0.0</v>
      </c>
      <c r="DW173" s="2">
        <v>0.0</v>
      </c>
      <c r="DX173" s="2">
        <v>0.0</v>
      </c>
      <c r="DY173" s="2">
        <v>1.0</v>
      </c>
      <c r="DZ173" s="2">
        <v>1.0</v>
      </c>
      <c r="EA173" s="2">
        <v>13.0</v>
      </c>
      <c r="EB173" s="2">
        <v>0.0</v>
      </c>
      <c r="EC173" s="2">
        <v>78.0</v>
      </c>
      <c r="EE173" s="2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2">
        <v>2025.0</v>
      </c>
      <c r="B174" s="2">
        <v>6.0</v>
      </c>
      <c r="C174" s="2" t="s">
        <v>210</v>
      </c>
      <c r="D174" s="2" t="s">
        <v>390</v>
      </c>
      <c r="E174" s="2" t="s">
        <v>757</v>
      </c>
      <c r="F174" s="2" t="s">
        <v>178</v>
      </c>
      <c r="G174" s="2">
        <v>22.0</v>
      </c>
      <c r="H174" s="2">
        <v>30.0</v>
      </c>
      <c r="I174" s="2">
        <v>212.0</v>
      </c>
      <c r="J174" s="2">
        <v>2.0</v>
      </c>
      <c r="K174" s="2">
        <v>1.0</v>
      </c>
      <c r="L174" s="2">
        <v>1.0</v>
      </c>
      <c r="M174" s="2">
        <v>-7.0</v>
      </c>
      <c r="N174" s="2">
        <v>0.0</v>
      </c>
      <c r="O174" s="2">
        <v>0.0</v>
      </c>
      <c r="P174" s="2">
        <v>204.0</v>
      </c>
      <c r="Q174" s="2">
        <v>115.0</v>
      </c>
      <c r="R174" s="2">
        <v>13.0</v>
      </c>
      <c r="S174" s="2">
        <v>2.84822302687549</v>
      </c>
      <c r="T174" s="2">
        <v>3.74894877274831</v>
      </c>
      <c r="U174" s="2">
        <v>0.0</v>
      </c>
      <c r="V174" s="2">
        <v>8.0</v>
      </c>
      <c r="W174" s="2">
        <v>4.0</v>
      </c>
      <c r="X174" s="2">
        <v>3.0</v>
      </c>
      <c r="Y174" s="2">
        <v>0.0</v>
      </c>
      <c r="Z174" s="2">
        <v>27.0</v>
      </c>
      <c r="AA174" s="2">
        <v>150.0</v>
      </c>
      <c r="AB174" s="2">
        <v>2.0</v>
      </c>
      <c r="AC174" s="2">
        <v>0.0</v>
      </c>
      <c r="AD174" s="2">
        <v>0.0</v>
      </c>
      <c r="AE174" s="2">
        <v>11.0</v>
      </c>
      <c r="AF174" s="2">
        <v>5.51389520723024</v>
      </c>
      <c r="AG174" s="2">
        <v>0.0</v>
      </c>
      <c r="AH174" s="2">
        <v>5.0</v>
      </c>
      <c r="AI174" s="2">
        <v>4.0</v>
      </c>
      <c r="AJ174" s="2">
        <v>1.0</v>
      </c>
      <c r="AK174" s="2">
        <v>0.0</v>
      </c>
      <c r="AL174" s="2">
        <v>22.0</v>
      </c>
      <c r="AM174" s="2">
        <v>30.0</v>
      </c>
      <c r="AN174" s="2">
        <v>212.0</v>
      </c>
      <c r="AO174" s="2">
        <v>2.0</v>
      </c>
      <c r="AP174" s="2">
        <v>0.0</v>
      </c>
      <c r="AQ174" s="2">
        <v>0.0</v>
      </c>
      <c r="AR174" s="2">
        <v>204.0</v>
      </c>
      <c r="AS174" s="2">
        <v>115.0</v>
      </c>
      <c r="AT174" s="2">
        <v>13.0</v>
      </c>
      <c r="AU174" s="2">
        <v>4.24274050890104</v>
      </c>
      <c r="AV174" s="2">
        <v>0.0</v>
      </c>
      <c r="AW174" s="2">
        <v>8.0</v>
      </c>
      <c r="AX174" s="2">
        <v>4.0</v>
      </c>
      <c r="AY174" s="2">
        <v>3.0</v>
      </c>
      <c r="AZ174" s="2">
        <v>0.0</v>
      </c>
      <c r="BA174" s="2">
        <v>0.0</v>
      </c>
      <c r="BB174" s="2">
        <v>47.0</v>
      </c>
      <c r="BC174" s="2">
        <v>2.0</v>
      </c>
      <c r="BD174" s="2">
        <v>16.0</v>
      </c>
      <c r="BE174" s="2">
        <v>6.0</v>
      </c>
      <c r="BF174" s="2">
        <v>20.0</v>
      </c>
      <c r="BG174" s="2">
        <v>0.0</v>
      </c>
      <c r="BH174" s="2">
        <v>2.0</v>
      </c>
      <c r="BI174" s="2">
        <v>8.0</v>
      </c>
      <c r="BJ174" s="2">
        <v>12.0</v>
      </c>
      <c r="BK174" s="2">
        <v>1.0</v>
      </c>
      <c r="BL174" s="2">
        <v>9.0</v>
      </c>
      <c r="BM174" s="2">
        <v>3.0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5.0</v>
      </c>
      <c r="BX174" s="2">
        <v>40.0</v>
      </c>
      <c r="BY174" s="2">
        <v>3.0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1.0</v>
      </c>
      <c r="CF174" s="2">
        <v>0.0</v>
      </c>
      <c r="CG174" s="2">
        <v>5.0</v>
      </c>
      <c r="CH174" s="2">
        <v>135.0</v>
      </c>
      <c r="CI174" s="2">
        <v>1.0</v>
      </c>
      <c r="CJ174" s="2">
        <v>1.0</v>
      </c>
      <c r="CK174" s="2">
        <v>0.0</v>
      </c>
      <c r="CL174" s="2">
        <v>0.0</v>
      </c>
      <c r="CM174" s="2">
        <v>45.0</v>
      </c>
      <c r="CN174" s="2">
        <v>1.0</v>
      </c>
      <c r="CO174" s="2">
        <v>0.0</v>
      </c>
      <c r="CP174" s="2">
        <v>0.0</v>
      </c>
      <c r="CQ174" s="2">
        <v>0.0</v>
      </c>
      <c r="CR174" s="2">
        <v>1.0</v>
      </c>
      <c r="CS174" s="2">
        <v>0.0</v>
      </c>
      <c r="CT174" s="2">
        <v>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0.0</v>
      </c>
      <c r="CZ174" s="2">
        <v>0.0</v>
      </c>
      <c r="DA174" s="2" t="s">
        <v>1969</v>
      </c>
      <c r="DD174" s="2">
        <v>45.0</v>
      </c>
      <c r="DE174" s="2">
        <v>0.0</v>
      </c>
      <c r="DF174" s="2">
        <v>0.0</v>
      </c>
      <c r="DG174" s="2">
        <v>4.0</v>
      </c>
      <c r="DH174" s="2">
        <v>4.0</v>
      </c>
      <c r="DI174" s="2">
        <v>0.0</v>
      </c>
      <c r="DJ174" s="2">
        <v>0.0</v>
      </c>
      <c r="DK174" s="2">
        <v>1.0</v>
      </c>
      <c r="DL174" s="2">
        <v>0.0</v>
      </c>
      <c r="DM174" s="2">
        <v>0.0</v>
      </c>
      <c r="DN174" s="2">
        <v>0.0</v>
      </c>
      <c r="DO174" s="2">
        <v>0.0</v>
      </c>
      <c r="DP174" s="2">
        <v>0.0</v>
      </c>
      <c r="DQ174" s="2">
        <v>3.0</v>
      </c>
      <c r="DR174" s="2">
        <v>0.0</v>
      </c>
      <c r="DS174" s="2">
        <v>57.0</v>
      </c>
      <c r="DT174" s="2">
        <v>165.0</v>
      </c>
      <c r="DU174" s="2">
        <v>1.0</v>
      </c>
      <c r="DV174" s="2">
        <v>1.0</v>
      </c>
      <c r="DW174" s="2">
        <v>0.0</v>
      </c>
      <c r="DX174" s="2">
        <v>1.0</v>
      </c>
      <c r="DY174" s="2">
        <v>0.0</v>
      </c>
      <c r="DZ174" s="2">
        <v>1.0</v>
      </c>
      <c r="EA174" s="2">
        <v>12.0</v>
      </c>
      <c r="EB174" s="2">
        <v>0.0</v>
      </c>
      <c r="EC174" s="2">
        <v>133.0</v>
      </c>
      <c r="EE174" s="2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2">
        <v>2025.0</v>
      </c>
      <c r="B175" s="2">
        <v>6.0</v>
      </c>
      <c r="C175" s="2" t="s">
        <v>141</v>
      </c>
      <c r="D175" s="2" t="s">
        <v>390</v>
      </c>
      <c r="E175" s="2" t="s">
        <v>760</v>
      </c>
      <c r="F175" s="2" t="s">
        <v>149</v>
      </c>
      <c r="G175" s="2">
        <v>27.0</v>
      </c>
      <c r="H175" s="2">
        <v>42.0</v>
      </c>
      <c r="I175" s="2">
        <v>258.0</v>
      </c>
      <c r="J175" s="2">
        <v>2.0</v>
      </c>
      <c r="K175" s="2">
        <v>0.0</v>
      </c>
      <c r="L175" s="2">
        <v>7.0</v>
      </c>
      <c r="M175" s="2">
        <v>-44.0</v>
      </c>
      <c r="N175" s="2">
        <v>0.0</v>
      </c>
      <c r="O175" s="2">
        <v>0.0</v>
      </c>
      <c r="P175" s="2">
        <v>320.0</v>
      </c>
      <c r="Q175" s="2">
        <v>127.0</v>
      </c>
      <c r="R175" s="2">
        <v>13.0</v>
      </c>
      <c r="S175" s="2">
        <v>-0.386846522551455</v>
      </c>
      <c r="T175" s="2">
        <v>-2.13904771066847</v>
      </c>
      <c r="U175" s="2">
        <v>0.0</v>
      </c>
      <c r="V175" s="2">
        <v>11.0</v>
      </c>
      <c r="W175" s="2">
        <v>5.0</v>
      </c>
      <c r="X175" s="2">
        <v>3.0</v>
      </c>
      <c r="Y175" s="2">
        <v>0.0</v>
      </c>
      <c r="Z175" s="2">
        <v>19.0</v>
      </c>
      <c r="AA175" s="2">
        <v>59.0</v>
      </c>
      <c r="AB175" s="2">
        <v>0.0</v>
      </c>
      <c r="AC175" s="2">
        <v>0.0</v>
      </c>
      <c r="AD175" s="2">
        <v>0.0</v>
      </c>
      <c r="AE175" s="2">
        <v>3.0</v>
      </c>
      <c r="AF175" s="2">
        <v>-1.09872594919568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27.0</v>
      </c>
      <c r="AM175" s="2">
        <v>42.0</v>
      </c>
      <c r="AN175" s="2">
        <v>258.0</v>
      </c>
      <c r="AO175" s="2">
        <v>2.0</v>
      </c>
      <c r="AP175" s="2">
        <v>0.0</v>
      </c>
      <c r="AQ175" s="2">
        <v>0.0</v>
      </c>
      <c r="AR175" s="2">
        <v>320.0</v>
      </c>
      <c r="AS175" s="2">
        <v>127.0</v>
      </c>
      <c r="AT175" s="2">
        <v>13.0</v>
      </c>
      <c r="AU175" s="2">
        <v>9.71629952033982</v>
      </c>
      <c r="AV175" s="2">
        <v>0.0</v>
      </c>
      <c r="AW175" s="2">
        <v>11.0</v>
      </c>
      <c r="AX175" s="2">
        <v>5.0</v>
      </c>
      <c r="AY175" s="2">
        <v>3.0</v>
      </c>
      <c r="AZ175" s="2">
        <v>0.0</v>
      </c>
      <c r="BA175" s="2">
        <v>0.0</v>
      </c>
      <c r="BB175" s="2">
        <v>24.0</v>
      </c>
      <c r="BC175" s="2">
        <v>3.0</v>
      </c>
      <c r="BD175" s="2">
        <v>29.0</v>
      </c>
      <c r="BE175" s="2">
        <v>7.0</v>
      </c>
      <c r="BF175" s="2">
        <v>22.0</v>
      </c>
      <c r="BG175" s="2">
        <v>0.0</v>
      </c>
      <c r="BH175" s="2">
        <v>1.0</v>
      </c>
      <c r="BI175" s="2">
        <v>9.0</v>
      </c>
      <c r="BJ175" s="2">
        <v>4.0</v>
      </c>
      <c r="BK175" s="2">
        <v>0.0</v>
      </c>
      <c r="BL175" s="2">
        <v>0.0</v>
      </c>
      <c r="BM175" s="2">
        <v>3.0</v>
      </c>
      <c r="BN175" s="2">
        <v>0.0</v>
      </c>
      <c r="BO175" s="2">
        <v>1.0</v>
      </c>
      <c r="BP175" s="2">
        <v>0.0</v>
      </c>
      <c r="BQ175" s="2">
        <v>0.0</v>
      </c>
      <c r="BR175" s="2">
        <v>0.0</v>
      </c>
      <c r="BS175" s="2">
        <v>0.0</v>
      </c>
      <c r="BT175" s="2">
        <v>0.0</v>
      </c>
      <c r="BU175" s="2">
        <v>0.0</v>
      </c>
      <c r="BV175" s="2">
        <v>0.0</v>
      </c>
      <c r="BW175" s="2">
        <v>10.0</v>
      </c>
      <c r="BX175" s="2">
        <v>76.0</v>
      </c>
      <c r="BY175" s="2">
        <v>3.0</v>
      </c>
      <c r="BZ175" s="2">
        <v>0.0</v>
      </c>
      <c r="CA175" s="2">
        <v>1.0</v>
      </c>
      <c r="CB175" s="2">
        <v>1.0</v>
      </c>
      <c r="CC175" s="2">
        <v>1.0</v>
      </c>
      <c r="CD175" s="2">
        <v>0.0</v>
      </c>
      <c r="CE175" s="2">
        <v>4.0</v>
      </c>
      <c r="CF175" s="2">
        <v>24.0</v>
      </c>
      <c r="CG175" s="2">
        <v>4.0</v>
      </c>
      <c r="CH175" s="2">
        <v>96.0</v>
      </c>
      <c r="CI175" s="2">
        <v>0.0</v>
      </c>
      <c r="CJ175" s="2">
        <v>1.0</v>
      </c>
      <c r="CK175" s="2">
        <v>1.0</v>
      </c>
      <c r="CL175" s="2">
        <v>0.0</v>
      </c>
      <c r="CN175" s="2">
        <v>0.0</v>
      </c>
      <c r="CO175" s="2">
        <v>0.0</v>
      </c>
      <c r="CP175" s="2">
        <v>0.0</v>
      </c>
      <c r="CQ175" s="2">
        <v>0.0</v>
      </c>
      <c r="CR175" s="2">
        <v>0.0</v>
      </c>
      <c r="CS175" s="2">
        <v>0.0</v>
      </c>
      <c r="CT175" s="2">
        <v>0.0</v>
      </c>
      <c r="CU175" s="2">
        <v>0.0</v>
      </c>
      <c r="CV175" s="2">
        <v>0.0</v>
      </c>
      <c r="CW175" s="2">
        <v>0.0</v>
      </c>
      <c r="CX175" s="2">
        <v>0.0</v>
      </c>
      <c r="CY175" s="2">
        <v>1.0</v>
      </c>
      <c r="CZ175" s="2">
        <v>0.0</v>
      </c>
      <c r="DB175" s="2" t="s">
        <v>1967</v>
      </c>
      <c r="DD175" s="2">
        <v>0.0</v>
      </c>
      <c r="DE175" s="2">
        <v>50.0</v>
      </c>
      <c r="DF175" s="2">
        <v>0.0</v>
      </c>
      <c r="DG175" s="2">
        <v>0.0</v>
      </c>
      <c r="DH175" s="2">
        <v>1.0</v>
      </c>
      <c r="DI175" s="2">
        <v>1.0</v>
      </c>
      <c r="DJ175" s="2">
        <v>0.0</v>
      </c>
      <c r="DK175" s="2">
        <v>0.0</v>
      </c>
      <c r="DL175" s="2">
        <v>0.0</v>
      </c>
      <c r="DM175" s="2">
        <v>0.0</v>
      </c>
      <c r="DN175" s="2">
        <v>0.0</v>
      </c>
      <c r="DO175" s="2">
        <v>0.0</v>
      </c>
      <c r="DP175" s="2">
        <v>0.0</v>
      </c>
      <c r="DQ175" s="2">
        <v>8.0</v>
      </c>
      <c r="DR175" s="2">
        <v>0.0</v>
      </c>
      <c r="DS175" s="2">
        <v>61.0</v>
      </c>
      <c r="DT175" s="2">
        <v>393.0</v>
      </c>
      <c r="DU175" s="2">
        <v>2.0</v>
      </c>
      <c r="DV175" s="2">
        <v>2.0</v>
      </c>
      <c r="DW175" s="2">
        <v>1.0</v>
      </c>
      <c r="DX175" s="2">
        <v>1.0</v>
      </c>
      <c r="DY175" s="2">
        <v>1.0</v>
      </c>
      <c r="DZ175" s="2">
        <v>3.0</v>
      </c>
      <c r="EA175" s="2">
        <v>5.0</v>
      </c>
      <c r="EB175" s="2">
        <v>0.0</v>
      </c>
      <c r="EC175" s="2">
        <v>368.0</v>
      </c>
      <c r="EE175" s="2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2">
        <v>2025.0</v>
      </c>
      <c r="B176" s="2">
        <v>6.0</v>
      </c>
      <c r="C176" s="2" t="s">
        <v>143</v>
      </c>
      <c r="D176" s="2" t="s">
        <v>390</v>
      </c>
      <c r="E176" s="2" t="s">
        <v>774</v>
      </c>
      <c r="F176" s="2" t="s">
        <v>202</v>
      </c>
      <c r="G176" s="2">
        <v>22.0</v>
      </c>
      <c r="H176" s="2">
        <v>30.0</v>
      </c>
      <c r="I176" s="2">
        <v>257.0</v>
      </c>
      <c r="J176" s="2">
        <v>3.0</v>
      </c>
      <c r="K176" s="2">
        <v>0.0</v>
      </c>
      <c r="L176" s="2">
        <v>3.0</v>
      </c>
      <c r="M176" s="2">
        <v>-14.0</v>
      </c>
      <c r="N176" s="2">
        <v>1.0</v>
      </c>
      <c r="O176" s="2">
        <v>0.0</v>
      </c>
      <c r="P176" s="2">
        <v>154.0</v>
      </c>
      <c r="Q176" s="2">
        <v>178.0</v>
      </c>
      <c r="R176" s="2">
        <v>16.0</v>
      </c>
      <c r="S176" s="2">
        <v>15.5725838868073</v>
      </c>
      <c r="T176" s="2">
        <v>7.66198549951826</v>
      </c>
      <c r="U176" s="2">
        <v>0.0</v>
      </c>
      <c r="V176" s="2">
        <v>12.0</v>
      </c>
      <c r="W176" s="2">
        <v>6.0</v>
      </c>
      <c r="X176" s="2">
        <v>2.0</v>
      </c>
      <c r="Y176" s="2">
        <v>0.0</v>
      </c>
      <c r="Z176" s="2">
        <v>29.0</v>
      </c>
      <c r="AA176" s="2">
        <v>112.0</v>
      </c>
      <c r="AB176" s="2">
        <v>1.0</v>
      </c>
      <c r="AC176" s="2">
        <v>0.0</v>
      </c>
      <c r="AD176" s="2">
        <v>0.0</v>
      </c>
      <c r="AE176" s="2">
        <v>8.0</v>
      </c>
      <c r="AF176" s="2">
        <v>-1.68516183359316</v>
      </c>
      <c r="AG176" s="2">
        <v>0.0</v>
      </c>
      <c r="AH176" s="2">
        <v>4.0</v>
      </c>
      <c r="AI176" s="2">
        <v>0.0</v>
      </c>
      <c r="AJ176" s="2">
        <v>0.0</v>
      </c>
      <c r="AK176" s="2">
        <v>0.0</v>
      </c>
      <c r="AL176" s="2">
        <v>22.0</v>
      </c>
      <c r="AM176" s="2">
        <v>28.0</v>
      </c>
      <c r="AN176" s="2">
        <v>257.0</v>
      </c>
      <c r="AO176" s="2">
        <v>3.0</v>
      </c>
      <c r="AP176" s="2">
        <v>0.0</v>
      </c>
      <c r="AQ176" s="2">
        <v>0.0</v>
      </c>
      <c r="AR176" s="2">
        <v>154.0</v>
      </c>
      <c r="AS176" s="2">
        <v>178.0</v>
      </c>
      <c r="AT176" s="2">
        <v>16.0</v>
      </c>
      <c r="AU176" s="2">
        <v>20.2567625142692</v>
      </c>
      <c r="AV176" s="2">
        <v>0.0</v>
      </c>
      <c r="AW176" s="2">
        <v>12.0</v>
      </c>
      <c r="AX176" s="2">
        <v>6.0</v>
      </c>
      <c r="AY176" s="2">
        <v>2.0</v>
      </c>
      <c r="AZ176" s="2">
        <v>0.0</v>
      </c>
      <c r="BA176" s="2">
        <v>0.0</v>
      </c>
      <c r="BB176" s="2">
        <v>37.0</v>
      </c>
      <c r="BC176" s="2">
        <v>0.0</v>
      </c>
      <c r="BD176" s="2">
        <v>26.0</v>
      </c>
      <c r="BE176" s="2">
        <v>3.0</v>
      </c>
      <c r="BF176" s="2">
        <v>10.0</v>
      </c>
      <c r="BG176" s="2">
        <v>1.0</v>
      </c>
      <c r="BH176" s="2">
        <v>1.0</v>
      </c>
      <c r="BI176" s="2">
        <v>4.0</v>
      </c>
      <c r="BJ176" s="2">
        <v>4.0</v>
      </c>
      <c r="BK176" s="2">
        <v>0.0</v>
      </c>
      <c r="BL176" s="2">
        <v>0.0</v>
      </c>
      <c r="BM176" s="2">
        <v>0.0</v>
      </c>
      <c r="BN176" s="2">
        <v>0.0</v>
      </c>
      <c r="BO176" s="2">
        <v>0.0</v>
      </c>
      <c r="BP176" s="2">
        <v>0.0</v>
      </c>
      <c r="BQ176" s="2">
        <v>0.0</v>
      </c>
      <c r="BR176" s="2">
        <v>1.0</v>
      </c>
      <c r="BS176" s="2">
        <v>0.0</v>
      </c>
      <c r="BT176" s="2">
        <v>0.0</v>
      </c>
      <c r="BU176" s="2">
        <v>0.0</v>
      </c>
      <c r="BV176" s="2">
        <v>0.0</v>
      </c>
      <c r="BW176" s="2">
        <v>0.0</v>
      </c>
      <c r="BX176" s="2">
        <v>0.0</v>
      </c>
      <c r="BY176" s="2">
        <v>2.0</v>
      </c>
      <c r="BZ176" s="2">
        <v>1.0</v>
      </c>
      <c r="CA176" s="2">
        <v>0.0</v>
      </c>
      <c r="CB176" s="2">
        <v>0.0</v>
      </c>
      <c r="CC176" s="2">
        <v>1.0</v>
      </c>
      <c r="CD176" s="2">
        <v>0.0</v>
      </c>
      <c r="CE176" s="2">
        <v>1.0</v>
      </c>
      <c r="CF176" s="2">
        <v>21.0</v>
      </c>
      <c r="CG176" s="2">
        <v>4.0</v>
      </c>
      <c r="CH176" s="2">
        <v>105.0</v>
      </c>
      <c r="CI176" s="2">
        <v>1.0</v>
      </c>
      <c r="CJ176" s="2">
        <v>1.0</v>
      </c>
      <c r="CK176" s="2">
        <v>0.0</v>
      </c>
      <c r="CL176" s="2">
        <v>0.0</v>
      </c>
      <c r="CM176" s="2">
        <v>33.0</v>
      </c>
      <c r="CN176" s="2">
        <v>1.0</v>
      </c>
      <c r="CO176" s="2">
        <v>0.0</v>
      </c>
      <c r="CP176" s="2">
        <v>0.0</v>
      </c>
      <c r="CQ176" s="2">
        <v>1.0</v>
      </c>
      <c r="CR176" s="2">
        <v>0.0</v>
      </c>
      <c r="CS176" s="2">
        <v>0.0</v>
      </c>
      <c r="CT176" s="2">
        <v>0.0</v>
      </c>
      <c r="CU176" s="2">
        <v>0.0</v>
      </c>
      <c r="CV176" s="2">
        <v>0.0</v>
      </c>
      <c r="CW176" s="2">
        <v>0.0</v>
      </c>
      <c r="CX176" s="2">
        <v>0.0</v>
      </c>
      <c r="CY176" s="2">
        <v>0.0</v>
      </c>
      <c r="CZ176" s="2">
        <v>0.0</v>
      </c>
      <c r="DA176" s="2" t="s">
        <v>2056</v>
      </c>
      <c r="DD176" s="2">
        <v>33.0</v>
      </c>
      <c r="DE176" s="2">
        <v>0.0</v>
      </c>
      <c r="DF176" s="2">
        <v>0.0</v>
      </c>
      <c r="DG176" s="2">
        <v>3.0</v>
      </c>
      <c r="DH176" s="2">
        <v>4.0</v>
      </c>
      <c r="DI176" s="2">
        <v>1.0</v>
      </c>
      <c r="DJ176" s="2">
        <v>0.0</v>
      </c>
      <c r="DK176" s="2">
        <v>0.75</v>
      </c>
      <c r="DL176" s="2">
        <v>0.0</v>
      </c>
      <c r="DM176" s="2">
        <v>0.0</v>
      </c>
      <c r="DN176" s="2">
        <v>0.0</v>
      </c>
      <c r="DO176" s="2">
        <v>0.0</v>
      </c>
      <c r="DP176" s="2">
        <v>0.0</v>
      </c>
      <c r="DQ176" s="2">
        <v>1.0</v>
      </c>
      <c r="DR176" s="2">
        <v>0.0</v>
      </c>
      <c r="DS176" s="2">
        <v>46.0</v>
      </c>
      <c r="DT176" s="2">
        <v>46.0</v>
      </c>
      <c r="DU176" s="2">
        <v>1.0</v>
      </c>
      <c r="DV176" s="2">
        <v>0.0</v>
      </c>
      <c r="DW176" s="2">
        <v>0.0</v>
      </c>
      <c r="DX176" s="2">
        <v>0.0</v>
      </c>
      <c r="DY176" s="2">
        <v>1.0</v>
      </c>
      <c r="DZ176" s="2">
        <v>0.0</v>
      </c>
      <c r="EA176" s="2">
        <v>0.0</v>
      </c>
      <c r="EB176" s="2">
        <v>0.0</v>
      </c>
      <c r="EC176" s="2">
        <v>46.0</v>
      </c>
      <c r="EE176" s="2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2">
        <v>2025.0</v>
      </c>
      <c r="B177" s="2">
        <v>6.0</v>
      </c>
      <c r="C177" s="2" t="s">
        <v>142</v>
      </c>
      <c r="D177" s="2" t="s">
        <v>390</v>
      </c>
      <c r="E177" s="2" t="s">
        <v>753</v>
      </c>
      <c r="F177" s="2" t="s">
        <v>148</v>
      </c>
      <c r="G177" s="2">
        <v>17.0</v>
      </c>
      <c r="H177" s="2">
        <v>26.0</v>
      </c>
      <c r="I177" s="2">
        <v>181.0</v>
      </c>
      <c r="J177" s="2">
        <v>1.0</v>
      </c>
      <c r="K177" s="2">
        <v>0.0</v>
      </c>
      <c r="L177" s="2">
        <v>2.0</v>
      </c>
      <c r="M177" s="2">
        <v>-14.0</v>
      </c>
      <c r="N177" s="2">
        <v>1.0</v>
      </c>
      <c r="O177" s="2">
        <v>1.0</v>
      </c>
      <c r="P177" s="2">
        <v>229.0</v>
      </c>
      <c r="Q177" s="2">
        <v>63.0</v>
      </c>
      <c r="R177" s="2">
        <v>10.0</v>
      </c>
      <c r="S177" s="2">
        <v>0.959445173859066</v>
      </c>
      <c r="T177" s="2">
        <v>0.701272716889015</v>
      </c>
      <c r="U177" s="2">
        <v>0.0</v>
      </c>
      <c r="V177" s="2">
        <v>5.0</v>
      </c>
      <c r="W177" s="2">
        <v>4.0</v>
      </c>
      <c r="X177" s="2">
        <v>4.0</v>
      </c>
      <c r="Y177" s="2">
        <v>0.0</v>
      </c>
      <c r="Z177" s="2">
        <v>23.0</v>
      </c>
      <c r="AA177" s="2">
        <v>74.0</v>
      </c>
      <c r="AB177" s="2">
        <v>1.0</v>
      </c>
      <c r="AC177" s="2">
        <v>1.0</v>
      </c>
      <c r="AD177" s="2">
        <v>0.0</v>
      </c>
      <c r="AE177" s="2">
        <v>4.0</v>
      </c>
      <c r="AF177" s="2">
        <v>-3.93534789915429</v>
      </c>
      <c r="AG177" s="2">
        <v>0.0</v>
      </c>
      <c r="AH177" s="2">
        <v>2.0</v>
      </c>
      <c r="AI177" s="2">
        <v>2.0</v>
      </c>
      <c r="AJ177" s="2">
        <v>0.0</v>
      </c>
      <c r="AK177" s="2">
        <v>0.0</v>
      </c>
      <c r="AL177" s="2">
        <v>17.0</v>
      </c>
      <c r="AM177" s="2">
        <v>26.0</v>
      </c>
      <c r="AN177" s="2">
        <v>181.0</v>
      </c>
      <c r="AO177" s="2">
        <v>1.0</v>
      </c>
      <c r="AP177" s="2">
        <v>0.0</v>
      </c>
      <c r="AQ177" s="2">
        <v>0.0</v>
      </c>
      <c r="AR177" s="2">
        <v>229.0</v>
      </c>
      <c r="AS177" s="2">
        <v>63.0</v>
      </c>
      <c r="AT177" s="2">
        <v>10.0</v>
      </c>
      <c r="AU177" s="2">
        <v>10.9923645673622</v>
      </c>
      <c r="AV177" s="2">
        <v>0.0</v>
      </c>
      <c r="AW177" s="2">
        <v>5.0</v>
      </c>
      <c r="AX177" s="2">
        <v>4.0</v>
      </c>
      <c r="AY177" s="2">
        <v>4.0</v>
      </c>
      <c r="AZ177" s="2">
        <v>0.0</v>
      </c>
      <c r="BA177" s="2">
        <v>0.0</v>
      </c>
      <c r="BB177" s="2">
        <v>45.0</v>
      </c>
      <c r="BC177" s="2">
        <v>2.0</v>
      </c>
      <c r="BD177" s="2">
        <v>40.0</v>
      </c>
      <c r="BE177" s="2">
        <v>7.0</v>
      </c>
      <c r="BF177" s="2">
        <v>27.0</v>
      </c>
      <c r="BG177" s="2">
        <v>2.0</v>
      </c>
      <c r="BH177" s="2">
        <v>4.0</v>
      </c>
      <c r="BI177" s="2">
        <v>23.0</v>
      </c>
      <c r="BJ177" s="2">
        <v>11.0</v>
      </c>
      <c r="BK177" s="2">
        <v>1.0</v>
      </c>
      <c r="BL177" s="2">
        <v>0.0</v>
      </c>
      <c r="BM177" s="2">
        <v>4.0</v>
      </c>
      <c r="BN177" s="2">
        <v>0.0</v>
      </c>
      <c r="BO177" s="2">
        <v>0.0</v>
      </c>
      <c r="BP177" s="2">
        <v>0.0</v>
      </c>
      <c r="BQ177" s="2">
        <v>0.0</v>
      </c>
      <c r="BR177" s="2">
        <v>1.0</v>
      </c>
      <c r="BS177" s="2">
        <v>-6.0</v>
      </c>
      <c r="BT177" s="2">
        <v>2.0</v>
      </c>
      <c r="BU177" s="2">
        <v>20.0</v>
      </c>
      <c r="BV177" s="2">
        <v>0.0</v>
      </c>
      <c r="BW177" s="2">
        <v>6.0</v>
      </c>
      <c r="BX177" s="2">
        <v>40.0</v>
      </c>
      <c r="BY177" s="2">
        <v>5.0</v>
      </c>
      <c r="BZ177" s="2">
        <v>1.0</v>
      </c>
      <c r="CA177" s="2">
        <v>1.0</v>
      </c>
      <c r="CB177" s="2">
        <v>0.0</v>
      </c>
      <c r="CC177" s="2">
        <v>2.0</v>
      </c>
      <c r="CD177" s="2">
        <v>1.0</v>
      </c>
      <c r="CE177" s="2">
        <v>0.0</v>
      </c>
      <c r="CF177" s="2">
        <v>0.0</v>
      </c>
      <c r="CG177" s="2">
        <v>2.0</v>
      </c>
      <c r="CH177" s="2">
        <v>25.0</v>
      </c>
      <c r="CI177" s="2">
        <v>1.0</v>
      </c>
      <c r="CJ177" s="2">
        <v>2.0</v>
      </c>
      <c r="CK177" s="2">
        <v>1.0</v>
      </c>
      <c r="CL177" s="2">
        <v>0.0</v>
      </c>
      <c r="CM177" s="2">
        <v>36.0</v>
      </c>
      <c r="CN177" s="2">
        <v>0.5</v>
      </c>
      <c r="CO177" s="2">
        <v>0.0</v>
      </c>
      <c r="CP177" s="2">
        <v>0.0</v>
      </c>
      <c r="CQ177" s="2">
        <v>1.0</v>
      </c>
      <c r="CR177" s="2">
        <v>0.0</v>
      </c>
      <c r="CS177" s="2">
        <v>0.0</v>
      </c>
      <c r="CT177" s="2">
        <v>0.0</v>
      </c>
      <c r="CU177" s="2">
        <v>0.0</v>
      </c>
      <c r="CV177" s="2">
        <v>1.0</v>
      </c>
      <c r="CW177" s="2">
        <v>0.0</v>
      </c>
      <c r="CX177" s="2">
        <v>0.0</v>
      </c>
      <c r="CY177" s="2">
        <v>0.0</v>
      </c>
      <c r="CZ177" s="2">
        <v>0.0</v>
      </c>
      <c r="DA177" s="2" t="s">
        <v>1970</v>
      </c>
      <c r="DB177" s="2" t="s">
        <v>2055</v>
      </c>
      <c r="DD177" s="2">
        <v>36.0</v>
      </c>
      <c r="DE177" s="2">
        <v>26.0</v>
      </c>
      <c r="DF177" s="2">
        <v>0.0</v>
      </c>
      <c r="DG177" s="2">
        <v>2.0</v>
      </c>
      <c r="DH177" s="2">
        <v>2.0</v>
      </c>
      <c r="DI177" s="2">
        <v>0.0</v>
      </c>
      <c r="DJ177" s="2">
        <v>0.0</v>
      </c>
      <c r="DK177" s="2">
        <v>1.0</v>
      </c>
      <c r="DL177" s="2">
        <v>0.0</v>
      </c>
      <c r="DM177" s="2">
        <v>0.0</v>
      </c>
      <c r="DN177" s="2">
        <v>0.0</v>
      </c>
      <c r="DO177" s="2">
        <v>0.0</v>
      </c>
      <c r="DP177" s="2">
        <v>0.0</v>
      </c>
      <c r="DQ177" s="2">
        <v>2.0</v>
      </c>
      <c r="DR177" s="2">
        <v>0.0</v>
      </c>
      <c r="DS177" s="2">
        <v>58.0</v>
      </c>
      <c r="DT177" s="2">
        <v>113.0</v>
      </c>
      <c r="DU177" s="2">
        <v>0.0</v>
      </c>
      <c r="DV177" s="2">
        <v>1.0</v>
      </c>
      <c r="DW177" s="2">
        <v>0.0</v>
      </c>
      <c r="DX177" s="2">
        <v>0.0</v>
      </c>
      <c r="DY177" s="2">
        <v>0.0</v>
      </c>
      <c r="DZ177" s="2">
        <v>1.0</v>
      </c>
      <c r="EA177" s="2">
        <v>35.0</v>
      </c>
      <c r="EB177" s="2">
        <v>0.0</v>
      </c>
      <c r="EC177" s="2">
        <v>78.0</v>
      </c>
      <c r="EE177" s="2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2">
        <v>2025.0</v>
      </c>
      <c r="B178" s="2">
        <v>6.0</v>
      </c>
      <c r="C178" s="2" t="s">
        <v>220</v>
      </c>
      <c r="D178" s="2" t="s">
        <v>390</v>
      </c>
      <c r="E178" s="2" t="s">
        <v>762</v>
      </c>
      <c r="F178" s="2" t="s">
        <v>225</v>
      </c>
      <c r="G178" s="2">
        <v>29.0</v>
      </c>
      <c r="H178" s="2">
        <v>38.0</v>
      </c>
      <c r="I178" s="2">
        <v>264.0</v>
      </c>
      <c r="J178" s="2">
        <v>2.0</v>
      </c>
      <c r="K178" s="2">
        <v>0.0</v>
      </c>
      <c r="L178" s="2">
        <v>1.0</v>
      </c>
      <c r="M178" s="2">
        <v>-1.0</v>
      </c>
      <c r="N178" s="2">
        <v>0.0</v>
      </c>
      <c r="O178" s="2">
        <v>0.0</v>
      </c>
      <c r="P178" s="2">
        <v>220.0</v>
      </c>
      <c r="Q178" s="2">
        <v>160.0</v>
      </c>
      <c r="R178" s="2">
        <v>12.0</v>
      </c>
      <c r="S178" s="2">
        <v>12.6418899554149</v>
      </c>
      <c r="T178" s="2">
        <v>8.79012769774387</v>
      </c>
      <c r="U178" s="2">
        <v>0.0</v>
      </c>
      <c r="V178" s="2">
        <v>6.0</v>
      </c>
      <c r="W178" s="2">
        <v>4.0</v>
      </c>
      <c r="X178" s="2">
        <v>3.0</v>
      </c>
      <c r="Y178" s="2">
        <v>1.0</v>
      </c>
      <c r="Z178" s="2">
        <v>25.0</v>
      </c>
      <c r="AA178" s="2">
        <v>140.0</v>
      </c>
      <c r="AB178" s="2">
        <v>0.0</v>
      </c>
      <c r="AC178" s="2">
        <v>0.0</v>
      </c>
      <c r="AD178" s="2">
        <v>0.0</v>
      </c>
      <c r="AE178" s="2">
        <v>7.0</v>
      </c>
      <c r="AF178" s="2">
        <v>-0.280884458631665</v>
      </c>
      <c r="AG178" s="2">
        <v>0.0</v>
      </c>
      <c r="AH178" s="2">
        <v>5.0</v>
      </c>
      <c r="AI178" s="2">
        <v>4.0</v>
      </c>
      <c r="AJ178" s="2">
        <v>2.0</v>
      </c>
      <c r="AK178" s="2">
        <v>0.0</v>
      </c>
      <c r="AL178" s="2">
        <v>29.0</v>
      </c>
      <c r="AM178" s="2">
        <v>38.0</v>
      </c>
      <c r="AN178" s="2">
        <v>264.0</v>
      </c>
      <c r="AO178" s="2">
        <v>2.0</v>
      </c>
      <c r="AP178" s="2">
        <v>2.0</v>
      </c>
      <c r="AQ178" s="2">
        <v>1.0</v>
      </c>
      <c r="AR178" s="2">
        <v>220.0</v>
      </c>
      <c r="AS178" s="2">
        <v>160.0</v>
      </c>
      <c r="AT178" s="2">
        <v>12.0</v>
      </c>
      <c r="AU178" s="2">
        <v>7.68455732791632</v>
      </c>
      <c r="AV178" s="2">
        <v>0.0</v>
      </c>
      <c r="AW178" s="2">
        <v>6.0</v>
      </c>
      <c r="AX178" s="2">
        <v>4.0</v>
      </c>
      <c r="AY178" s="2">
        <v>3.0</v>
      </c>
      <c r="AZ178" s="2">
        <v>1.0</v>
      </c>
      <c r="BA178" s="2">
        <v>0.0</v>
      </c>
      <c r="BB178" s="2">
        <v>36.0</v>
      </c>
      <c r="BC178" s="2">
        <v>2.0</v>
      </c>
      <c r="BD178" s="2">
        <v>24.0</v>
      </c>
      <c r="BE178" s="2">
        <v>4.0</v>
      </c>
      <c r="BF178" s="2">
        <v>15.0</v>
      </c>
      <c r="BG178" s="2">
        <v>0.0</v>
      </c>
      <c r="BH178" s="2">
        <v>2.0</v>
      </c>
      <c r="BI178" s="2">
        <v>9.0</v>
      </c>
      <c r="BJ178" s="2">
        <v>4.0</v>
      </c>
      <c r="BK178" s="2">
        <v>3.0</v>
      </c>
      <c r="BL178" s="2">
        <v>23.0</v>
      </c>
      <c r="BM178" s="2">
        <v>5.0</v>
      </c>
      <c r="BN178" s="2">
        <v>0.0</v>
      </c>
      <c r="BO178" s="2">
        <v>0.0</v>
      </c>
      <c r="BP178" s="2">
        <v>0.0</v>
      </c>
      <c r="BQ178" s="2">
        <v>0.0</v>
      </c>
      <c r="BR178" s="2">
        <v>1.0</v>
      </c>
      <c r="BS178" s="2">
        <v>0.0</v>
      </c>
      <c r="BT178" s="2">
        <v>0.0</v>
      </c>
      <c r="BU178" s="2">
        <v>0.0</v>
      </c>
      <c r="BV178" s="2">
        <v>0.0</v>
      </c>
      <c r="BW178" s="2">
        <v>7.0</v>
      </c>
      <c r="BX178" s="2">
        <v>45.0</v>
      </c>
      <c r="BY178" s="2">
        <v>3.0</v>
      </c>
      <c r="BZ178" s="2">
        <v>2.0</v>
      </c>
      <c r="CA178" s="2">
        <v>0.0</v>
      </c>
      <c r="CB178" s="2">
        <v>0.0</v>
      </c>
      <c r="CC178" s="2">
        <v>2.0</v>
      </c>
      <c r="CD178" s="2">
        <v>1.0</v>
      </c>
      <c r="CE178" s="2">
        <v>2.0</v>
      </c>
      <c r="CF178" s="2">
        <v>11.0</v>
      </c>
      <c r="CG178" s="2">
        <v>4.0</v>
      </c>
      <c r="CH178" s="2">
        <v>131.0</v>
      </c>
      <c r="CI178" s="2">
        <v>5.0</v>
      </c>
      <c r="CJ178" s="2">
        <v>5.0</v>
      </c>
      <c r="CK178" s="2">
        <v>0.0</v>
      </c>
      <c r="CL178" s="2">
        <v>0.0</v>
      </c>
      <c r="CM178" s="2">
        <v>35.0</v>
      </c>
      <c r="CN178" s="2">
        <v>1.0</v>
      </c>
      <c r="CO178" s="2">
        <v>0.0</v>
      </c>
      <c r="CP178" s="2">
        <v>1.0</v>
      </c>
      <c r="CQ178" s="2">
        <v>4.0</v>
      </c>
      <c r="CR178" s="2">
        <v>0.0</v>
      </c>
      <c r="CS178" s="2">
        <v>0.0</v>
      </c>
      <c r="CT178" s="2">
        <v>0.0</v>
      </c>
      <c r="CU178" s="2">
        <v>0.0</v>
      </c>
      <c r="CV178" s="2">
        <v>0.0</v>
      </c>
      <c r="CW178" s="2">
        <v>0.0</v>
      </c>
      <c r="CX178" s="2">
        <v>0.0</v>
      </c>
      <c r="CY178" s="2">
        <v>0.0</v>
      </c>
      <c r="CZ178" s="2">
        <v>0.0</v>
      </c>
      <c r="DA178" s="2" t="s">
        <v>2098</v>
      </c>
      <c r="DD178" s="2">
        <v>163.0</v>
      </c>
      <c r="DE178" s="2">
        <v>0.0</v>
      </c>
      <c r="DF178" s="2">
        <v>0.0</v>
      </c>
      <c r="DG178" s="2">
        <v>2.0</v>
      </c>
      <c r="DH178" s="2">
        <v>2.0</v>
      </c>
      <c r="DI178" s="2">
        <v>0.0</v>
      </c>
      <c r="DJ178" s="2">
        <v>0.0</v>
      </c>
      <c r="DK178" s="2">
        <v>1.0</v>
      </c>
      <c r="DL178" s="2">
        <v>1.0</v>
      </c>
      <c r="DM178" s="2">
        <v>1.0</v>
      </c>
      <c r="DN178" s="2">
        <v>0.0</v>
      </c>
      <c r="DO178" s="2">
        <v>0.0</v>
      </c>
      <c r="DP178" s="2">
        <v>33.0</v>
      </c>
      <c r="DQ178" s="2">
        <v>2.0</v>
      </c>
      <c r="DR178" s="2">
        <v>0.0</v>
      </c>
      <c r="DS178" s="2">
        <v>55.0</v>
      </c>
      <c r="DT178" s="2">
        <v>94.0</v>
      </c>
      <c r="DU178" s="2">
        <v>2.0</v>
      </c>
      <c r="DV178" s="2">
        <v>0.0</v>
      </c>
      <c r="DW178" s="2">
        <v>1.0</v>
      </c>
      <c r="DX178" s="2">
        <v>0.0</v>
      </c>
      <c r="DY178" s="2">
        <v>0.0</v>
      </c>
      <c r="DZ178" s="2">
        <v>1.0</v>
      </c>
      <c r="EA178" s="2">
        <v>8.0</v>
      </c>
      <c r="EB178" s="2">
        <v>0.0</v>
      </c>
      <c r="EC178" s="2">
        <v>86.0</v>
      </c>
      <c r="EE178" s="2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2">
        <v>2025.0</v>
      </c>
      <c r="B179" s="2">
        <v>6.0</v>
      </c>
      <c r="C179" s="2" t="s">
        <v>222</v>
      </c>
      <c r="D179" s="2" t="s">
        <v>390</v>
      </c>
      <c r="E179" s="2" t="s">
        <v>768</v>
      </c>
      <c r="F179" s="2" t="s">
        <v>250</v>
      </c>
      <c r="G179" s="2">
        <v>17.0</v>
      </c>
      <c r="H179" s="2">
        <v>23.0</v>
      </c>
      <c r="I179" s="2">
        <v>174.0</v>
      </c>
      <c r="J179" s="2">
        <v>1.0</v>
      </c>
      <c r="K179" s="2">
        <v>1.0</v>
      </c>
      <c r="L179" s="2">
        <v>2.0</v>
      </c>
      <c r="M179" s="2">
        <v>-16.0</v>
      </c>
      <c r="N179" s="2">
        <v>0.0</v>
      </c>
      <c r="O179" s="2">
        <v>0.0</v>
      </c>
      <c r="P179" s="2">
        <v>58.0</v>
      </c>
      <c r="Q179" s="2">
        <v>122.0</v>
      </c>
      <c r="R179" s="2">
        <v>9.0</v>
      </c>
      <c r="S179" s="2">
        <v>0.569326377939433</v>
      </c>
      <c r="T179" s="2">
        <v>2.76021970354992</v>
      </c>
      <c r="U179" s="2">
        <v>0.0</v>
      </c>
      <c r="V179" s="2">
        <v>6.0</v>
      </c>
      <c r="W179" s="2">
        <v>3.0</v>
      </c>
      <c r="X179" s="2">
        <v>2.0</v>
      </c>
      <c r="Y179" s="2">
        <v>0.0</v>
      </c>
      <c r="Z179" s="2">
        <v>32.0</v>
      </c>
      <c r="AA179" s="2">
        <v>68.0</v>
      </c>
      <c r="AB179" s="2">
        <v>1.0</v>
      </c>
      <c r="AC179" s="2">
        <v>0.0</v>
      </c>
      <c r="AD179" s="2">
        <v>0.0</v>
      </c>
      <c r="AE179" s="2">
        <v>4.0</v>
      </c>
      <c r="AF179" s="2">
        <v>-12.3125687108365</v>
      </c>
      <c r="AG179" s="2">
        <v>0.0</v>
      </c>
      <c r="AH179" s="2">
        <v>1.0</v>
      </c>
      <c r="AI179" s="2">
        <v>1.0</v>
      </c>
      <c r="AJ179" s="2">
        <v>0.0</v>
      </c>
      <c r="AK179" s="2">
        <v>0.0</v>
      </c>
      <c r="AL179" s="2">
        <v>17.0</v>
      </c>
      <c r="AM179" s="2">
        <v>23.0</v>
      </c>
      <c r="AN179" s="2">
        <v>174.0</v>
      </c>
      <c r="AO179" s="2">
        <v>1.0</v>
      </c>
      <c r="AP179" s="2">
        <v>0.0</v>
      </c>
      <c r="AQ179" s="2">
        <v>0.0</v>
      </c>
      <c r="AR179" s="2">
        <v>58.0</v>
      </c>
      <c r="AS179" s="2">
        <v>122.0</v>
      </c>
      <c r="AT179" s="2">
        <v>9.0</v>
      </c>
      <c r="AU179" s="2">
        <v>4.27165653731208</v>
      </c>
      <c r="AV179" s="2">
        <v>0.0</v>
      </c>
      <c r="AW179" s="2">
        <v>6.0</v>
      </c>
      <c r="AX179" s="2">
        <v>3.0</v>
      </c>
      <c r="AY179" s="2">
        <v>2.0</v>
      </c>
      <c r="AZ179" s="2">
        <v>0.0</v>
      </c>
      <c r="BA179" s="2">
        <v>0.0</v>
      </c>
      <c r="BB179" s="2">
        <v>35.0</v>
      </c>
      <c r="BC179" s="2">
        <v>1.0</v>
      </c>
      <c r="BD179" s="2">
        <v>25.0</v>
      </c>
      <c r="BE179" s="2">
        <v>7.0</v>
      </c>
      <c r="BF179" s="2">
        <v>49.0</v>
      </c>
      <c r="BG179" s="2">
        <v>1.0</v>
      </c>
      <c r="BH179" s="2">
        <v>5.0</v>
      </c>
      <c r="BI179" s="2">
        <v>47.0</v>
      </c>
      <c r="BJ179" s="2">
        <v>8.0</v>
      </c>
      <c r="BK179" s="2">
        <v>1.0</v>
      </c>
      <c r="BL179" s="2">
        <v>0.0</v>
      </c>
      <c r="BM179" s="2">
        <v>2.0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2.0</v>
      </c>
      <c r="BU179" s="2">
        <v>0.0</v>
      </c>
      <c r="BV179" s="2">
        <v>0.0</v>
      </c>
      <c r="BW179" s="2">
        <v>6.0</v>
      </c>
      <c r="BX179" s="2">
        <v>27.0</v>
      </c>
      <c r="BY179" s="2">
        <v>2.0</v>
      </c>
      <c r="BZ179" s="2">
        <v>0.0</v>
      </c>
      <c r="CA179" s="2">
        <v>0.0</v>
      </c>
      <c r="CB179" s="2">
        <v>0.0</v>
      </c>
      <c r="CC179" s="2">
        <v>0.0</v>
      </c>
      <c r="CD179" s="2">
        <v>0.0</v>
      </c>
      <c r="CE179" s="2">
        <v>3.0</v>
      </c>
      <c r="CF179" s="2">
        <v>47.0</v>
      </c>
      <c r="CG179" s="2">
        <v>2.0</v>
      </c>
      <c r="CH179" s="2">
        <v>57.0</v>
      </c>
      <c r="CI179" s="2">
        <v>2.0</v>
      </c>
      <c r="CJ179" s="2">
        <v>2.0</v>
      </c>
      <c r="CK179" s="2">
        <v>0.0</v>
      </c>
      <c r="CL179" s="2">
        <v>0.0</v>
      </c>
      <c r="CM179" s="2">
        <v>50.0</v>
      </c>
      <c r="CN179" s="2">
        <v>1.0</v>
      </c>
      <c r="CO179" s="2">
        <v>0.0</v>
      </c>
      <c r="CP179" s="2">
        <v>1.0</v>
      </c>
      <c r="CQ179" s="2">
        <v>0.0</v>
      </c>
      <c r="CR179" s="2">
        <v>0.0</v>
      </c>
      <c r="CS179" s="2">
        <v>1.0</v>
      </c>
      <c r="CT179" s="2">
        <v>0.0</v>
      </c>
      <c r="CU179" s="2">
        <v>0.0</v>
      </c>
      <c r="CV179" s="2">
        <v>0.0</v>
      </c>
      <c r="CW179" s="2">
        <v>0.0</v>
      </c>
      <c r="CX179" s="2">
        <v>0.0</v>
      </c>
      <c r="CY179" s="2">
        <v>0.0</v>
      </c>
      <c r="CZ179" s="2">
        <v>0.0</v>
      </c>
      <c r="DA179" s="2" t="s">
        <v>2099</v>
      </c>
      <c r="DD179" s="2">
        <v>79.0</v>
      </c>
      <c r="DE179" s="2">
        <v>0.0</v>
      </c>
      <c r="DF179" s="2">
        <v>0.0</v>
      </c>
      <c r="DG179" s="2">
        <v>2.0</v>
      </c>
      <c r="DH179" s="2">
        <v>2.0</v>
      </c>
      <c r="DI179" s="2">
        <v>0.0</v>
      </c>
      <c r="DJ179" s="2">
        <v>0.0</v>
      </c>
      <c r="DK179" s="2">
        <v>1.0</v>
      </c>
      <c r="DL179" s="2">
        <v>0.0</v>
      </c>
      <c r="DM179" s="2">
        <v>0.0</v>
      </c>
      <c r="DN179" s="2">
        <v>0.0</v>
      </c>
      <c r="DO179" s="2">
        <v>0.0</v>
      </c>
      <c r="DP179" s="2">
        <v>0.0</v>
      </c>
      <c r="DQ179" s="2">
        <v>4.0</v>
      </c>
      <c r="DR179" s="2">
        <v>0.0</v>
      </c>
      <c r="DS179" s="2">
        <v>47.0</v>
      </c>
      <c r="DT179" s="2">
        <v>167.0</v>
      </c>
      <c r="DU179" s="2">
        <v>4.0</v>
      </c>
      <c r="DV179" s="2">
        <v>0.0</v>
      </c>
      <c r="DW179" s="2">
        <v>0.0</v>
      </c>
      <c r="DX179" s="2">
        <v>0.0</v>
      </c>
      <c r="DY179" s="2">
        <v>4.0</v>
      </c>
      <c r="DZ179" s="2">
        <v>0.0</v>
      </c>
      <c r="EA179" s="2">
        <v>0.0</v>
      </c>
      <c r="EB179" s="2">
        <v>0.0</v>
      </c>
      <c r="EC179" s="2">
        <v>167.0</v>
      </c>
      <c r="EE179" s="2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2">
        <v>2025.0</v>
      </c>
      <c r="B180" s="2">
        <v>6.0</v>
      </c>
      <c r="C180" s="2" t="s">
        <v>225</v>
      </c>
      <c r="D180" s="2" t="s">
        <v>390</v>
      </c>
      <c r="E180" s="2" t="s">
        <v>762</v>
      </c>
      <c r="F180" s="2" t="s">
        <v>220</v>
      </c>
      <c r="G180" s="2">
        <v>22.0</v>
      </c>
      <c r="H180" s="2">
        <v>33.0</v>
      </c>
      <c r="I180" s="2">
        <v>213.0</v>
      </c>
      <c r="J180" s="2">
        <v>1.0</v>
      </c>
      <c r="K180" s="2">
        <v>3.0</v>
      </c>
      <c r="L180" s="2">
        <v>2.0</v>
      </c>
      <c r="M180" s="2">
        <v>-9.0</v>
      </c>
      <c r="N180" s="2">
        <v>0.0</v>
      </c>
      <c r="O180" s="2">
        <v>0.0</v>
      </c>
      <c r="P180" s="2">
        <v>209.0</v>
      </c>
      <c r="Q180" s="2">
        <v>104.0</v>
      </c>
      <c r="R180" s="2">
        <v>10.0</v>
      </c>
      <c r="S180" s="2">
        <v>-0.625753405893909</v>
      </c>
      <c r="T180" s="2">
        <v>2.36635873715083</v>
      </c>
      <c r="U180" s="2">
        <v>0.0</v>
      </c>
      <c r="V180" s="2">
        <v>8.0</v>
      </c>
      <c r="W180" s="2">
        <v>3.0</v>
      </c>
      <c r="X180" s="2">
        <v>2.0</v>
      </c>
      <c r="Y180" s="2">
        <v>1.0</v>
      </c>
      <c r="Z180" s="2">
        <v>21.0</v>
      </c>
      <c r="AA180" s="2">
        <v>137.0</v>
      </c>
      <c r="AB180" s="2">
        <v>2.0</v>
      </c>
      <c r="AC180" s="2">
        <v>0.0</v>
      </c>
      <c r="AD180" s="2">
        <v>0.0</v>
      </c>
      <c r="AE180" s="2">
        <v>7.0</v>
      </c>
      <c r="AF180" s="2">
        <v>5.72223407455022</v>
      </c>
      <c r="AG180" s="2">
        <v>0.0</v>
      </c>
      <c r="AH180" s="2">
        <v>3.0</v>
      </c>
      <c r="AI180" s="2">
        <v>3.0</v>
      </c>
      <c r="AJ180" s="2">
        <v>1.0</v>
      </c>
      <c r="AK180" s="2">
        <v>1.0</v>
      </c>
      <c r="AL180" s="2">
        <v>22.0</v>
      </c>
      <c r="AM180" s="2">
        <v>30.0</v>
      </c>
      <c r="AN180" s="2">
        <v>213.0</v>
      </c>
      <c r="AO180" s="2">
        <v>1.0</v>
      </c>
      <c r="AP180" s="2">
        <v>0.0</v>
      </c>
      <c r="AQ180" s="2">
        <v>0.0</v>
      </c>
      <c r="AR180" s="2">
        <v>209.0</v>
      </c>
      <c r="AS180" s="2">
        <v>104.0</v>
      </c>
      <c r="AT180" s="2">
        <v>10.0</v>
      </c>
      <c r="AU180" s="2">
        <v>4.82094304998756</v>
      </c>
      <c r="AV180" s="2">
        <v>0.0</v>
      </c>
      <c r="AW180" s="2">
        <v>8.0</v>
      </c>
      <c r="AX180" s="2">
        <v>3.0</v>
      </c>
      <c r="AY180" s="2">
        <v>2.0</v>
      </c>
      <c r="AZ180" s="2">
        <v>1.0</v>
      </c>
      <c r="BA180" s="2">
        <v>0.0</v>
      </c>
      <c r="BB180" s="2">
        <v>47.0</v>
      </c>
      <c r="BC180" s="2">
        <v>1.0</v>
      </c>
      <c r="BD180" s="2">
        <v>25.0</v>
      </c>
      <c r="BE180" s="2">
        <v>1.0</v>
      </c>
      <c r="BF180" s="2">
        <v>1.0</v>
      </c>
      <c r="BG180" s="2">
        <v>2.0</v>
      </c>
      <c r="BH180" s="2">
        <v>1.0</v>
      </c>
      <c r="BI180" s="2">
        <v>1.0</v>
      </c>
      <c r="BJ180" s="2">
        <v>7.0</v>
      </c>
      <c r="BK180" s="2">
        <v>0.0</v>
      </c>
      <c r="BL180" s="2">
        <v>0.0</v>
      </c>
      <c r="BM180" s="2">
        <v>2.0</v>
      </c>
      <c r="BN180" s="2">
        <v>0.0</v>
      </c>
      <c r="BO180" s="2">
        <v>0.0</v>
      </c>
      <c r="BP180" s="2">
        <v>0.0</v>
      </c>
      <c r="BQ180" s="2">
        <v>0.0</v>
      </c>
      <c r="BR180" s="2">
        <v>0.0</v>
      </c>
      <c r="BS180" s="2">
        <v>0.0</v>
      </c>
      <c r="BT180" s="2">
        <v>1.0</v>
      </c>
      <c r="BU180" s="2">
        <v>2.0</v>
      </c>
      <c r="BV180" s="2">
        <v>0.0</v>
      </c>
      <c r="BW180" s="2">
        <v>4.0</v>
      </c>
      <c r="BX180" s="2">
        <v>45.0</v>
      </c>
      <c r="BY180" s="2">
        <v>6.0</v>
      </c>
      <c r="BZ180" s="2">
        <v>0.0</v>
      </c>
      <c r="CA180" s="2">
        <v>0.0</v>
      </c>
      <c r="CB180" s="2">
        <v>0.0</v>
      </c>
      <c r="CC180" s="2">
        <v>0.0</v>
      </c>
      <c r="CD180" s="2">
        <v>0.0</v>
      </c>
      <c r="CE180" s="2">
        <v>1.0</v>
      </c>
      <c r="CF180" s="2">
        <v>8.0</v>
      </c>
      <c r="CG180" s="2">
        <v>6.0</v>
      </c>
      <c r="CH180" s="2">
        <v>180.0</v>
      </c>
      <c r="CI180" s="2">
        <v>2.0</v>
      </c>
      <c r="CJ180" s="2">
        <v>3.0</v>
      </c>
      <c r="CK180" s="2">
        <v>1.0</v>
      </c>
      <c r="CL180" s="2">
        <v>0.0</v>
      </c>
      <c r="CM180" s="2">
        <v>47.0</v>
      </c>
      <c r="CN180" s="2">
        <v>0.666666666666667</v>
      </c>
      <c r="CO180" s="2">
        <v>0.0</v>
      </c>
      <c r="CP180" s="2">
        <v>1.0</v>
      </c>
      <c r="CQ180" s="2">
        <v>0.0</v>
      </c>
      <c r="CR180" s="2">
        <v>1.0</v>
      </c>
      <c r="CS180" s="2">
        <v>0.0</v>
      </c>
      <c r="CT180" s="2">
        <v>0.0</v>
      </c>
      <c r="CU180" s="2">
        <v>0.0</v>
      </c>
      <c r="CV180" s="2">
        <v>0.0</v>
      </c>
      <c r="CW180" s="2">
        <v>0.0</v>
      </c>
      <c r="CX180" s="2">
        <v>0.0</v>
      </c>
      <c r="CY180" s="2">
        <v>1.0</v>
      </c>
      <c r="CZ180" s="2">
        <v>0.0</v>
      </c>
      <c r="DA180" s="2" t="s">
        <v>2100</v>
      </c>
      <c r="DB180" s="2" t="s">
        <v>2023</v>
      </c>
      <c r="DD180" s="2">
        <v>74.0</v>
      </c>
      <c r="DE180" s="2">
        <v>57.0</v>
      </c>
      <c r="DF180" s="2">
        <v>0.0</v>
      </c>
      <c r="DG180" s="2">
        <v>3.0</v>
      </c>
      <c r="DH180" s="2">
        <v>3.0</v>
      </c>
      <c r="DI180" s="2">
        <v>0.0</v>
      </c>
      <c r="DJ180" s="2">
        <v>0.0</v>
      </c>
      <c r="DK180" s="2">
        <v>1.0</v>
      </c>
      <c r="DL180" s="2">
        <v>0.0</v>
      </c>
      <c r="DM180" s="2">
        <v>0.0</v>
      </c>
      <c r="DN180" s="2">
        <v>0.0</v>
      </c>
      <c r="DO180" s="2">
        <v>0.0</v>
      </c>
      <c r="DP180" s="2">
        <v>0.0</v>
      </c>
      <c r="DQ180" s="2">
        <v>2.0</v>
      </c>
      <c r="DR180" s="2">
        <v>0.0</v>
      </c>
      <c r="DS180" s="2">
        <v>57.0</v>
      </c>
      <c r="DT180" s="2">
        <v>111.0</v>
      </c>
      <c r="DU180" s="2">
        <v>0.0</v>
      </c>
      <c r="DV180" s="2">
        <v>0.0</v>
      </c>
      <c r="DW180" s="2">
        <v>0.0</v>
      </c>
      <c r="DX180" s="2">
        <v>0.0</v>
      </c>
      <c r="DY180" s="2">
        <v>0.0</v>
      </c>
      <c r="DZ180" s="2">
        <v>2.0</v>
      </c>
      <c r="EA180" s="2">
        <v>11.0</v>
      </c>
      <c r="EB180" s="2">
        <v>0.0</v>
      </c>
      <c r="EC180" s="2">
        <v>100.0</v>
      </c>
      <c r="EE180" s="2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2">
        <v>2025.0</v>
      </c>
      <c r="B181" s="2">
        <v>6.0</v>
      </c>
      <c r="C181" s="2" t="s">
        <v>145</v>
      </c>
      <c r="D181" s="2" t="s">
        <v>390</v>
      </c>
      <c r="E181" s="2" t="s">
        <v>764</v>
      </c>
      <c r="F181" s="2" t="s">
        <v>232</v>
      </c>
      <c r="G181" s="2">
        <v>18.0</v>
      </c>
      <c r="H181" s="2">
        <v>26.0</v>
      </c>
      <c r="I181" s="2">
        <v>261.0</v>
      </c>
      <c r="J181" s="2">
        <v>3.0</v>
      </c>
      <c r="K181" s="2">
        <v>0.0</v>
      </c>
      <c r="L181" s="2">
        <v>1.0</v>
      </c>
      <c r="M181" s="2">
        <v>-1.0</v>
      </c>
      <c r="N181" s="2">
        <v>0.0</v>
      </c>
      <c r="O181" s="2">
        <v>0.0</v>
      </c>
      <c r="P181" s="2">
        <v>284.0</v>
      </c>
      <c r="Q181" s="2">
        <v>86.0</v>
      </c>
      <c r="R181" s="2">
        <v>12.0</v>
      </c>
      <c r="S181" s="2">
        <v>17.4066372466746</v>
      </c>
      <c r="T181" s="2">
        <v>10.7960384339094</v>
      </c>
      <c r="U181" s="2">
        <v>0.0</v>
      </c>
      <c r="V181" s="2">
        <v>12.0</v>
      </c>
      <c r="W181" s="2">
        <v>5.0</v>
      </c>
      <c r="X181" s="2">
        <v>4.0</v>
      </c>
      <c r="Y181" s="2">
        <v>1.0</v>
      </c>
      <c r="Z181" s="2">
        <v>31.0</v>
      </c>
      <c r="AA181" s="2">
        <v>73.0</v>
      </c>
      <c r="AB181" s="2">
        <v>0.0</v>
      </c>
      <c r="AC181" s="2">
        <v>1.0</v>
      </c>
      <c r="AD181" s="2">
        <v>0.0</v>
      </c>
      <c r="AE181" s="2">
        <v>5.0</v>
      </c>
      <c r="AF181" s="2">
        <v>-10.0451077109464</v>
      </c>
      <c r="AG181" s="2">
        <v>1.0</v>
      </c>
      <c r="AH181" s="2">
        <v>1.0</v>
      </c>
      <c r="AI181" s="2">
        <v>1.0</v>
      </c>
      <c r="AJ181" s="2">
        <v>1.0</v>
      </c>
      <c r="AK181" s="2">
        <v>0.0</v>
      </c>
      <c r="AL181" s="2">
        <v>18.0</v>
      </c>
      <c r="AM181" s="2">
        <v>24.0</v>
      </c>
      <c r="AN181" s="2">
        <v>261.0</v>
      </c>
      <c r="AO181" s="2">
        <v>3.0</v>
      </c>
      <c r="AP181" s="2">
        <v>0.0</v>
      </c>
      <c r="AQ181" s="2">
        <v>0.0</v>
      </c>
      <c r="AR181" s="2">
        <v>284.0</v>
      </c>
      <c r="AS181" s="2">
        <v>86.0</v>
      </c>
      <c r="AT181" s="2">
        <v>12.0</v>
      </c>
      <c r="AU181" s="2">
        <v>21.0229262986227</v>
      </c>
      <c r="AV181" s="2">
        <v>0.0</v>
      </c>
      <c r="AW181" s="2">
        <v>12.0</v>
      </c>
      <c r="AX181" s="2">
        <v>5.0</v>
      </c>
      <c r="AY181" s="2">
        <v>4.0</v>
      </c>
      <c r="AZ181" s="2">
        <v>1.0</v>
      </c>
      <c r="BA181" s="2">
        <v>0.0</v>
      </c>
      <c r="BB181" s="2">
        <v>29.0</v>
      </c>
      <c r="BC181" s="2">
        <v>2.0</v>
      </c>
      <c r="BD181" s="2">
        <v>40.0</v>
      </c>
      <c r="BE181" s="2">
        <v>4.0</v>
      </c>
      <c r="BF181" s="2">
        <v>7.0</v>
      </c>
      <c r="BG181" s="2">
        <v>1.0</v>
      </c>
      <c r="BH181" s="2">
        <v>2.0</v>
      </c>
      <c r="BI181" s="2">
        <v>4.0</v>
      </c>
      <c r="BJ181" s="2">
        <v>4.0</v>
      </c>
      <c r="BK181" s="2">
        <v>0.0</v>
      </c>
      <c r="BL181" s="2">
        <v>0.0</v>
      </c>
      <c r="BM181" s="2">
        <v>5.0</v>
      </c>
      <c r="BN181" s="2">
        <v>0.0</v>
      </c>
      <c r="BO181" s="2">
        <v>0.0</v>
      </c>
      <c r="BP181" s="2">
        <v>0.0</v>
      </c>
      <c r="BQ181" s="2">
        <v>0.0</v>
      </c>
      <c r="BR181" s="2">
        <v>2.0</v>
      </c>
      <c r="BS181" s="2">
        <v>-14.0</v>
      </c>
      <c r="BT181" s="2">
        <v>1.0</v>
      </c>
      <c r="BU181" s="2">
        <v>0.0</v>
      </c>
      <c r="BV181" s="2">
        <v>0.0</v>
      </c>
      <c r="BW181" s="2">
        <v>11.0</v>
      </c>
      <c r="BX181" s="2">
        <v>65.0</v>
      </c>
      <c r="BY181" s="2">
        <v>1.0</v>
      </c>
      <c r="BZ181" s="2">
        <v>1.0</v>
      </c>
      <c r="CA181" s="2">
        <v>1.0</v>
      </c>
      <c r="CB181" s="2">
        <v>0.0</v>
      </c>
      <c r="CC181" s="2">
        <v>2.0</v>
      </c>
      <c r="CD181" s="2">
        <v>0.0</v>
      </c>
      <c r="CE181" s="2">
        <v>1.0</v>
      </c>
      <c r="CF181" s="2">
        <v>6.0</v>
      </c>
      <c r="CG181" s="2">
        <v>5.0</v>
      </c>
      <c r="CH181" s="2">
        <v>129.0</v>
      </c>
      <c r="CI181" s="2">
        <v>1.0</v>
      </c>
      <c r="CJ181" s="2">
        <v>1.0</v>
      </c>
      <c r="CK181" s="2">
        <v>0.0</v>
      </c>
      <c r="CL181" s="2">
        <v>0.0</v>
      </c>
      <c r="CM181" s="2">
        <v>24.0</v>
      </c>
      <c r="CN181" s="2">
        <v>1.0</v>
      </c>
      <c r="CO181" s="2">
        <v>0.0</v>
      </c>
      <c r="CP181" s="2">
        <v>1.0</v>
      </c>
      <c r="CQ181" s="2">
        <v>0.0</v>
      </c>
      <c r="CR181" s="2">
        <v>0.0</v>
      </c>
      <c r="CS181" s="2">
        <v>0.0</v>
      </c>
      <c r="CT181" s="2">
        <v>0.0</v>
      </c>
      <c r="CU181" s="2">
        <v>0.0</v>
      </c>
      <c r="CV181" s="2">
        <v>0.0</v>
      </c>
      <c r="CW181" s="2">
        <v>0.0</v>
      </c>
      <c r="CX181" s="2">
        <v>0.0</v>
      </c>
      <c r="CY181" s="2">
        <v>0.0</v>
      </c>
      <c r="CZ181" s="2">
        <v>0.0</v>
      </c>
      <c r="DA181" s="2" t="s">
        <v>2101</v>
      </c>
      <c r="DD181" s="2">
        <v>24.0</v>
      </c>
      <c r="DE181" s="2">
        <v>0.0</v>
      </c>
      <c r="DF181" s="2">
        <v>0.0</v>
      </c>
      <c r="DG181" s="2">
        <v>2.0</v>
      </c>
      <c r="DH181" s="2">
        <v>2.0</v>
      </c>
      <c r="DI181" s="2">
        <v>0.0</v>
      </c>
      <c r="DJ181" s="2">
        <v>0.0</v>
      </c>
      <c r="DK181" s="2">
        <v>1.0</v>
      </c>
      <c r="DL181" s="2">
        <v>0.0</v>
      </c>
      <c r="DM181" s="2">
        <v>0.0</v>
      </c>
      <c r="DN181" s="2">
        <v>0.0</v>
      </c>
      <c r="DO181" s="2">
        <v>0.0</v>
      </c>
      <c r="DP181" s="2">
        <v>0.0</v>
      </c>
      <c r="DQ181" s="2">
        <v>3.0</v>
      </c>
      <c r="DR181" s="2">
        <v>0.0</v>
      </c>
      <c r="DS181" s="2">
        <v>66.0</v>
      </c>
      <c r="DT181" s="2">
        <v>144.0</v>
      </c>
      <c r="DU181" s="2">
        <v>1.0</v>
      </c>
      <c r="DV181" s="2">
        <v>0.0</v>
      </c>
      <c r="DW181" s="2">
        <v>0.0</v>
      </c>
      <c r="DX181" s="2">
        <v>0.0</v>
      </c>
      <c r="DY181" s="2">
        <v>1.0</v>
      </c>
      <c r="DZ181" s="2">
        <v>2.0</v>
      </c>
      <c r="EA181" s="2">
        <v>21.0</v>
      </c>
      <c r="EB181" s="2">
        <v>0.0</v>
      </c>
      <c r="EC181" s="2">
        <v>123.0</v>
      </c>
      <c r="EE181" s="2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2">
        <v>2025.0</v>
      </c>
      <c r="B182" s="2">
        <v>6.0</v>
      </c>
      <c r="C182" s="2" t="s">
        <v>232</v>
      </c>
      <c r="D182" s="2" t="s">
        <v>390</v>
      </c>
      <c r="E182" s="2" t="s">
        <v>764</v>
      </c>
      <c r="F182" s="2" t="s">
        <v>145</v>
      </c>
      <c r="G182" s="2">
        <v>20.0</v>
      </c>
      <c r="H182" s="2">
        <v>26.0</v>
      </c>
      <c r="I182" s="2">
        <v>227.0</v>
      </c>
      <c r="J182" s="2">
        <v>0.0</v>
      </c>
      <c r="K182" s="2">
        <v>0.0</v>
      </c>
      <c r="L182" s="2">
        <v>2.0</v>
      </c>
      <c r="M182" s="2">
        <v>-4.0</v>
      </c>
      <c r="N182" s="2">
        <v>0.0</v>
      </c>
      <c r="O182" s="2">
        <v>0.0</v>
      </c>
      <c r="P182" s="2">
        <v>221.0</v>
      </c>
      <c r="Q182" s="2">
        <v>99.0</v>
      </c>
      <c r="R182" s="2">
        <v>7.0</v>
      </c>
      <c r="S182" s="2">
        <v>3.90482275293012</v>
      </c>
      <c r="T182" s="2">
        <v>6.55173716636804</v>
      </c>
      <c r="U182" s="2">
        <v>0.0</v>
      </c>
      <c r="V182" s="2">
        <v>7.0</v>
      </c>
      <c r="W182" s="2">
        <v>4.0</v>
      </c>
      <c r="X182" s="2">
        <v>3.0</v>
      </c>
      <c r="Y182" s="2">
        <v>1.0</v>
      </c>
      <c r="Z182" s="2">
        <v>23.0</v>
      </c>
      <c r="AA182" s="2">
        <v>73.0</v>
      </c>
      <c r="AB182" s="2">
        <v>1.0</v>
      </c>
      <c r="AC182" s="2">
        <v>0.0</v>
      </c>
      <c r="AD182" s="2">
        <v>0.0</v>
      </c>
      <c r="AE182" s="2">
        <v>7.0</v>
      </c>
      <c r="AF182" s="2">
        <v>-0.653095616085921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20.0</v>
      </c>
      <c r="AM182" s="2">
        <v>26.0</v>
      </c>
      <c r="AN182" s="2">
        <v>227.0</v>
      </c>
      <c r="AO182" s="2">
        <v>0.0</v>
      </c>
      <c r="AP182" s="2">
        <v>1.0</v>
      </c>
      <c r="AQ182" s="2">
        <v>1.0</v>
      </c>
      <c r="AR182" s="2">
        <v>221.0</v>
      </c>
      <c r="AS182" s="2">
        <v>99.0</v>
      </c>
      <c r="AT182" s="2">
        <v>7.0</v>
      </c>
      <c r="AU182" s="2">
        <v>0.788994654936015</v>
      </c>
      <c r="AV182" s="2">
        <v>0.0</v>
      </c>
      <c r="AW182" s="2">
        <v>7.0</v>
      </c>
      <c r="AX182" s="2">
        <v>4.0</v>
      </c>
      <c r="AY182" s="2">
        <v>3.0</v>
      </c>
      <c r="AZ182" s="2">
        <v>1.0</v>
      </c>
      <c r="BA182" s="2">
        <v>0.0</v>
      </c>
      <c r="BB182" s="2">
        <v>39.0</v>
      </c>
      <c r="BC182" s="2">
        <v>1.0</v>
      </c>
      <c r="BD182" s="2">
        <v>19.0</v>
      </c>
      <c r="BE182" s="2">
        <v>7.0</v>
      </c>
      <c r="BF182" s="2">
        <v>16.0</v>
      </c>
      <c r="BG182" s="2">
        <v>1.0</v>
      </c>
      <c r="BH182" s="2">
        <v>1.0</v>
      </c>
      <c r="BI182" s="2">
        <v>1.0</v>
      </c>
      <c r="BJ182" s="2">
        <v>4.0</v>
      </c>
      <c r="BK182" s="2">
        <v>0.0</v>
      </c>
      <c r="BL182" s="2">
        <v>0.0</v>
      </c>
      <c r="BM182" s="2">
        <v>2.0</v>
      </c>
      <c r="BN182" s="2">
        <v>0.0</v>
      </c>
      <c r="BO182" s="2">
        <v>0.0</v>
      </c>
      <c r="BP182" s="2">
        <v>0.0</v>
      </c>
      <c r="BQ182" s="2">
        <v>0.0</v>
      </c>
      <c r="BR182" s="2">
        <v>0.0</v>
      </c>
      <c r="BS182" s="2">
        <v>0.0</v>
      </c>
      <c r="BT182" s="2">
        <v>0.0</v>
      </c>
      <c r="BU182" s="2">
        <v>0.0</v>
      </c>
      <c r="BV182" s="2">
        <v>0.0</v>
      </c>
      <c r="BW182" s="2">
        <v>8.0</v>
      </c>
      <c r="BX182" s="2">
        <v>67.0</v>
      </c>
      <c r="BY182" s="2">
        <v>3.0</v>
      </c>
      <c r="BZ182" s="2">
        <v>1.0</v>
      </c>
      <c r="CA182" s="2">
        <v>0.0</v>
      </c>
      <c r="CB182" s="2">
        <v>0.0</v>
      </c>
      <c r="CC182" s="2">
        <v>1.0</v>
      </c>
      <c r="CD182" s="2">
        <v>1.0</v>
      </c>
      <c r="CE182" s="2">
        <v>2.0</v>
      </c>
      <c r="CF182" s="2">
        <v>21.0</v>
      </c>
      <c r="CG182" s="2">
        <v>4.0</v>
      </c>
      <c r="CH182" s="2">
        <v>89.0</v>
      </c>
      <c r="CI182" s="2">
        <v>4.0</v>
      </c>
      <c r="CJ182" s="2">
        <v>4.0</v>
      </c>
      <c r="CK182" s="2">
        <v>0.0</v>
      </c>
      <c r="CL182" s="2">
        <v>0.0</v>
      </c>
      <c r="CM182" s="2">
        <v>54.0</v>
      </c>
      <c r="CN182" s="2">
        <v>1.0</v>
      </c>
      <c r="CO182" s="2">
        <v>0.0</v>
      </c>
      <c r="CP182" s="2">
        <v>0.0</v>
      </c>
      <c r="CQ182" s="2">
        <v>2.0</v>
      </c>
      <c r="CR182" s="2">
        <v>1.0</v>
      </c>
      <c r="CS182" s="2">
        <v>1.0</v>
      </c>
      <c r="CT182" s="2">
        <v>0.0</v>
      </c>
      <c r="CU182" s="2">
        <v>0.0</v>
      </c>
      <c r="CV182" s="2">
        <v>0.0</v>
      </c>
      <c r="CW182" s="2">
        <v>0.0</v>
      </c>
      <c r="CX182" s="2">
        <v>0.0</v>
      </c>
      <c r="CY182" s="2">
        <v>0.0</v>
      </c>
      <c r="CZ182" s="2">
        <v>0.0</v>
      </c>
      <c r="DA182" s="2" t="s">
        <v>2102</v>
      </c>
      <c r="DD182" s="2">
        <v>174.0</v>
      </c>
      <c r="DE182" s="2">
        <v>0.0</v>
      </c>
      <c r="DF182" s="2">
        <v>0.0</v>
      </c>
      <c r="DG182" s="2">
        <v>1.0</v>
      </c>
      <c r="DH182" s="2">
        <v>1.0</v>
      </c>
      <c r="DI182" s="2">
        <v>0.0</v>
      </c>
      <c r="DJ182" s="2">
        <v>0.0</v>
      </c>
      <c r="DK182" s="2">
        <v>1.0</v>
      </c>
      <c r="DL182" s="2">
        <v>0.0</v>
      </c>
      <c r="DM182" s="2">
        <v>0.0</v>
      </c>
      <c r="DN182" s="2">
        <v>0.0</v>
      </c>
      <c r="DO182" s="2">
        <v>0.0</v>
      </c>
      <c r="DP182" s="2">
        <v>0.0</v>
      </c>
      <c r="DQ182" s="2">
        <v>2.0</v>
      </c>
      <c r="DR182" s="2">
        <v>0.0</v>
      </c>
      <c r="DS182" s="2">
        <v>47.0</v>
      </c>
      <c r="DT182" s="2">
        <v>70.0</v>
      </c>
      <c r="DU182" s="2">
        <v>0.0</v>
      </c>
      <c r="DV182" s="2">
        <v>1.0</v>
      </c>
      <c r="DW182" s="2">
        <v>0.0</v>
      </c>
      <c r="DX182" s="2">
        <v>0.0</v>
      </c>
      <c r="DY182" s="2">
        <v>0.0</v>
      </c>
      <c r="DZ182" s="2">
        <v>1.0</v>
      </c>
      <c r="EA182" s="2">
        <v>6.0</v>
      </c>
      <c r="EB182" s="2">
        <v>0.0</v>
      </c>
      <c r="EC182" s="2">
        <v>64.0</v>
      </c>
      <c r="EE182" s="2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2">
        <v>2025.0</v>
      </c>
      <c r="B183" s="2">
        <v>6.0</v>
      </c>
      <c r="C183" s="2" t="s">
        <v>235</v>
      </c>
      <c r="D183" s="2" t="s">
        <v>390</v>
      </c>
      <c r="E183" s="2" t="s">
        <v>747</v>
      </c>
      <c r="F183" s="2" t="s">
        <v>147</v>
      </c>
      <c r="G183" s="2">
        <v>17.0</v>
      </c>
      <c r="H183" s="2">
        <v>26.0</v>
      </c>
      <c r="I183" s="2">
        <v>195.0</v>
      </c>
      <c r="J183" s="2">
        <v>1.0</v>
      </c>
      <c r="K183" s="2">
        <v>0.0</v>
      </c>
      <c r="L183" s="2">
        <v>2.0</v>
      </c>
      <c r="M183" s="2">
        <v>-1.0</v>
      </c>
      <c r="N183" s="2">
        <v>0.0</v>
      </c>
      <c r="O183" s="2">
        <v>0.0</v>
      </c>
      <c r="P183" s="2">
        <v>239.0</v>
      </c>
      <c r="Q183" s="2">
        <v>76.0</v>
      </c>
      <c r="R183" s="2">
        <v>8.0</v>
      </c>
      <c r="S183" s="2">
        <v>5.77035421482287</v>
      </c>
      <c r="T183" s="2">
        <v>2.07001738823377</v>
      </c>
      <c r="U183" s="2">
        <v>0.0</v>
      </c>
      <c r="V183" s="2">
        <v>5.0</v>
      </c>
      <c r="W183" s="2">
        <v>4.0</v>
      </c>
      <c r="X183" s="2">
        <v>4.0</v>
      </c>
      <c r="Y183" s="2">
        <v>0.0</v>
      </c>
      <c r="Z183" s="2">
        <v>39.0</v>
      </c>
      <c r="AA183" s="2">
        <v>172.0</v>
      </c>
      <c r="AB183" s="2">
        <v>4.0</v>
      </c>
      <c r="AC183" s="2">
        <v>0.0</v>
      </c>
      <c r="AD183" s="2">
        <v>0.0</v>
      </c>
      <c r="AE183" s="2">
        <v>14.0</v>
      </c>
      <c r="AF183" s="2">
        <v>7.11175645043841</v>
      </c>
      <c r="AG183" s="2">
        <v>0.0</v>
      </c>
      <c r="AH183" s="2">
        <v>5.0</v>
      </c>
      <c r="AI183" s="2">
        <v>3.0</v>
      </c>
      <c r="AJ183" s="2">
        <v>1.0</v>
      </c>
      <c r="AK183" s="2">
        <v>0.0</v>
      </c>
      <c r="AL183" s="2">
        <v>17.0</v>
      </c>
      <c r="AM183" s="2">
        <v>26.0</v>
      </c>
      <c r="AN183" s="2">
        <v>195.0</v>
      </c>
      <c r="AO183" s="2">
        <v>1.0</v>
      </c>
      <c r="AP183" s="2">
        <v>0.0</v>
      </c>
      <c r="AQ183" s="2">
        <v>0.0</v>
      </c>
      <c r="AR183" s="2">
        <v>239.0</v>
      </c>
      <c r="AS183" s="2">
        <v>76.0</v>
      </c>
      <c r="AT183" s="2">
        <v>8.0</v>
      </c>
      <c r="AU183" s="2">
        <v>7.38598102284595</v>
      </c>
      <c r="AV183" s="2">
        <v>0.0</v>
      </c>
      <c r="AW183" s="2">
        <v>5.0</v>
      </c>
      <c r="AX183" s="2">
        <v>4.0</v>
      </c>
      <c r="AY183" s="2">
        <v>4.0</v>
      </c>
      <c r="AZ183" s="2">
        <v>0.0</v>
      </c>
      <c r="BA183" s="2">
        <v>0.0</v>
      </c>
      <c r="BB183" s="2">
        <v>31.0</v>
      </c>
      <c r="BC183" s="2">
        <v>1.0</v>
      </c>
      <c r="BD183" s="2">
        <v>37.0</v>
      </c>
      <c r="BE183" s="2">
        <v>7.0</v>
      </c>
      <c r="BF183" s="2">
        <v>27.0</v>
      </c>
      <c r="BG183" s="2">
        <v>1.0</v>
      </c>
      <c r="BH183" s="2">
        <v>3.0</v>
      </c>
      <c r="BI183" s="2">
        <v>17.0</v>
      </c>
      <c r="BJ183" s="2">
        <v>3.0</v>
      </c>
      <c r="BK183" s="2">
        <v>1.0</v>
      </c>
      <c r="BL183" s="2">
        <v>68.0</v>
      </c>
      <c r="BM183" s="2">
        <v>4.0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</v>
      </c>
      <c r="BT183" s="2">
        <v>1.0</v>
      </c>
      <c r="BU183" s="2">
        <v>0.0</v>
      </c>
      <c r="BV183" s="2">
        <v>0.0</v>
      </c>
      <c r="BW183" s="2">
        <v>6.0</v>
      </c>
      <c r="BX183" s="2">
        <v>55.0</v>
      </c>
      <c r="BY183" s="2">
        <v>2.0</v>
      </c>
      <c r="BZ183" s="2">
        <v>0.0</v>
      </c>
      <c r="CA183" s="2">
        <v>0.0</v>
      </c>
      <c r="CB183" s="2">
        <v>0.0</v>
      </c>
      <c r="CC183" s="2">
        <v>0.0</v>
      </c>
      <c r="CD183" s="2">
        <v>0.0</v>
      </c>
      <c r="CE183" s="2">
        <v>3.0</v>
      </c>
      <c r="CF183" s="2">
        <v>28.0</v>
      </c>
      <c r="CG183" s="2">
        <v>4.0</v>
      </c>
      <c r="CH183" s="2">
        <v>103.0</v>
      </c>
      <c r="CI183" s="2">
        <v>0.0</v>
      </c>
      <c r="CJ183" s="2">
        <v>0.0</v>
      </c>
      <c r="CK183" s="2">
        <v>0.0</v>
      </c>
      <c r="CL183" s="2">
        <v>0.0</v>
      </c>
      <c r="CO183" s="2">
        <v>0.0</v>
      </c>
      <c r="CP183" s="2">
        <v>0.0</v>
      </c>
      <c r="CQ183" s="2">
        <v>0.0</v>
      </c>
      <c r="CR183" s="2">
        <v>0.0</v>
      </c>
      <c r="CS183" s="2">
        <v>0.0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0.0</v>
      </c>
      <c r="DD183" s="2">
        <v>0.0</v>
      </c>
      <c r="DE183" s="2">
        <v>0.0</v>
      </c>
      <c r="DF183" s="2">
        <v>0.0</v>
      </c>
      <c r="DG183" s="2">
        <v>4.0</v>
      </c>
      <c r="DH183" s="2">
        <v>5.0</v>
      </c>
      <c r="DI183" s="2">
        <v>1.0</v>
      </c>
      <c r="DJ183" s="2">
        <v>0.0</v>
      </c>
      <c r="DK183" s="2">
        <v>0.8</v>
      </c>
      <c r="DL183" s="2">
        <v>0.0</v>
      </c>
      <c r="DM183" s="2">
        <v>0.0</v>
      </c>
      <c r="DN183" s="2">
        <v>0.0</v>
      </c>
      <c r="DO183" s="2">
        <v>0.0</v>
      </c>
      <c r="DP183" s="2">
        <v>0.0</v>
      </c>
      <c r="DQ183" s="2">
        <v>4.0</v>
      </c>
      <c r="DR183" s="2">
        <v>0.0</v>
      </c>
      <c r="DS183" s="2">
        <v>52.0</v>
      </c>
      <c r="DT183" s="2">
        <v>171.0</v>
      </c>
      <c r="DU183" s="2">
        <v>2.0</v>
      </c>
      <c r="DV183" s="2">
        <v>0.0</v>
      </c>
      <c r="DW183" s="2">
        <v>0.0</v>
      </c>
      <c r="DX183" s="2">
        <v>0.0</v>
      </c>
      <c r="DY183" s="2">
        <v>2.0</v>
      </c>
      <c r="DZ183" s="2">
        <v>2.0</v>
      </c>
      <c r="EA183" s="2">
        <v>16.0</v>
      </c>
      <c r="EB183" s="2">
        <v>0.0</v>
      </c>
      <c r="EC183" s="2">
        <v>155.0</v>
      </c>
      <c r="EE183" s="2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2">
        <v>2025.0</v>
      </c>
      <c r="B184" s="2">
        <v>6.0</v>
      </c>
      <c r="C184" s="2" t="s">
        <v>238</v>
      </c>
      <c r="D184" s="2" t="s">
        <v>390</v>
      </c>
      <c r="E184" s="2" t="s">
        <v>750</v>
      </c>
      <c r="F184" s="2" t="s">
        <v>139</v>
      </c>
      <c r="G184" s="2">
        <v>9.0</v>
      </c>
      <c r="H184" s="2">
        <v>17.0</v>
      </c>
      <c r="I184" s="2">
        <v>45.0</v>
      </c>
      <c r="J184" s="2">
        <v>0.0</v>
      </c>
      <c r="K184" s="2">
        <v>0.0</v>
      </c>
      <c r="L184" s="2">
        <v>9.0</v>
      </c>
      <c r="M184" s="2">
        <v>-55.0</v>
      </c>
      <c r="N184" s="2">
        <v>0.0</v>
      </c>
      <c r="O184" s="2">
        <v>0.0</v>
      </c>
      <c r="P184" s="2">
        <v>94.0</v>
      </c>
      <c r="Q184" s="2">
        <v>13.0</v>
      </c>
      <c r="R184" s="2">
        <v>2.0</v>
      </c>
      <c r="S184" s="2">
        <v>-20.7214580506014</v>
      </c>
      <c r="T184" s="2">
        <v>-14.7681744769216</v>
      </c>
      <c r="U184" s="2">
        <v>0.0</v>
      </c>
      <c r="V184" s="2">
        <v>1.0</v>
      </c>
      <c r="W184" s="2">
        <v>0.0</v>
      </c>
      <c r="X184" s="2">
        <v>0.0</v>
      </c>
      <c r="Y184" s="2">
        <v>0.0</v>
      </c>
      <c r="Z184" s="2">
        <v>31.0</v>
      </c>
      <c r="AA184" s="2">
        <v>92.0</v>
      </c>
      <c r="AB184" s="2">
        <v>0.0</v>
      </c>
      <c r="AC184" s="2">
        <v>0.0</v>
      </c>
      <c r="AD184" s="2">
        <v>0.0</v>
      </c>
      <c r="AE184" s="2">
        <v>6.0</v>
      </c>
      <c r="AF184" s="2">
        <v>-3.25624561384581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9.0</v>
      </c>
      <c r="AM184" s="2">
        <v>16.0</v>
      </c>
      <c r="AN184" s="2">
        <v>45.0</v>
      </c>
      <c r="AO184" s="2">
        <v>0.0</v>
      </c>
      <c r="AP184" s="2">
        <v>0.0</v>
      </c>
      <c r="AQ184" s="2">
        <v>0.0</v>
      </c>
      <c r="AR184" s="2">
        <v>94.0</v>
      </c>
      <c r="AS184" s="2">
        <v>13.0</v>
      </c>
      <c r="AT184" s="2">
        <v>2.0</v>
      </c>
      <c r="AU184" s="2">
        <v>-6.7920138250964</v>
      </c>
      <c r="AV184" s="2">
        <v>0.0</v>
      </c>
      <c r="AW184" s="2">
        <v>1.0</v>
      </c>
      <c r="AX184" s="2">
        <v>0.0</v>
      </c>
      <c r="AY184" s="2">
        <v>0.0</v>
      </c>
      <c r="AZ184" s="2">
        <v>0.0</v>
      </c>
      <c r="BA184" s="2">
        <v>0.0</v>
      </c>
      <c r="BB184" s="2">
        <v>32.0</v>
      </c>
      <c r="BC184" s="2">
        <v>2.0</v>
      </c>
      <c r="BD184" s="2">
        <v>32.0</v>
      </c>
      <c r="BE184" s="2">
        <v>3.0</v>
      </c>
      <c r="BF184" s="2">
        <v>9.0</v>
      </c>
      <c r="BG184" s="2">
        <v>2.0</v>
      </c>
      <c r="BH184" s="2">
        <v>1.0</v>
      </c>
      <c r="BI184" s="2">
        <v>6.0</v>
      </c>
      <c r="BJ184" s="2">
        <v>3.0</v>
      </c>
      <c r="BK184" s="2">
        <v>0.0</v>
      </c>
      <c r="BL184" s="2">
        <v>0.0</v>
      </c>
      <c r="BM184" s="2">
        <v>2.0</v>
      </c>
      <c r="BN184" s="2">
        <v>0.0</v>
      </c>
      <c r="BO184" s="2">
        <v>0.0</v>
      </c>
      <c r="BP184" s="2">
        <v>1.0</v>
      </c>
      <c r="BQ184" s="2">
        <v>0.0</v>
      </c>
      <c r="BR184" s="2">
        <v>1.0</v>
      </c>
      <c r="BS184" s="2">
        <v>7.0</v>
      </c>
      <c r="BT184" s="2">
        <v>1.0</v>
      </c>
      <c r="BU184" s="2">
        <v>0.0</v>
      </c>
      <c r="BV184" s="2">
        <v>0.0</v>
      </c>
      <c r="BW184" s="2">
        <v>2.0</v>
      </c>
      <c r="BX184" s="2">
        <v>15.0</v>
      </c>
      <c r="BY184" s="2">
        <v>6.0</v>
      </c>
      <c r="BZ184" s="2">
        <v>0.0</v>
      </c>
      <c r="CA184" s="2">
        <v>1.0</v>
      </c>
      <c r="CB184" s="2">
        <v>0.0</v>
      </c>
      <c r="CC184" s="2">
        <v>1.0</v>
      </c>
      <c r="CD184" s="2">
        <v>0.0</v>
      </c>
      <c r="CE184" s="2">
        <v>4.0</v>
      </c>
      <c r="CF184" s="2">
        <v>32.0</v>
      </c>
      <c r="CG184" s="2">
        <v>5.0</v>
      </c>
      <c r="CH184" s="2">
        <v>172.0</v>
      </c>
      <c r="CI184" s="2">
        <v>3.0</v>
      </c>
      <c r="CJ184" s="2">
        <v>3.0</v>
      </c>
      <c r="CK184" s="2">
        <v>0.0</v>
      </c>
      <c r="CL184" s="2">
        <v>0.0</v>
      </c>
      <c r="CM184" s="2">
        <v>52.0</v>
      </c>
      <c r="CN184" s="2">
        <v>1.0</v>
      </c>
      <c r="CO184" s="2">
        <v>0.0</v>
      </c>
      <c r="CP184" s="2">
        <v>0.0</v>
      </c>
      <c r="CQ184" s="2">
        <v>1.0</v>
      </c>
      <c r="CR184" s="2">
        <v>1.0</v>
      </c>
      <c r="CS184" s="2">
        <v>1.0</v>
      </c>
      <c r="CT184" s="2">
        <v>0.0</v>
      </c>
      <c r="CU184" s="2">
        <v>0.0</v>
      </c>
      <c r="CV184" s="2">
        <v>0.0</v>
      </c>
      <c r="CW184" s="2">
        <v>0.0</v>
      </c>
      <c r="CX184" s="2">
        <v>0.0</v>
      </c>
      <c r="CY184" s="2">
        <v>0.0</v>
      </c>
      <c r="CZ184" s="2">
        <v>0.0</v>
      </c>
      <c r="DA184" s="2" t="s">
        <v>2103</v>
      </c>
      <c r="DD184" s="2">
        <v>131.0</v>
      </c>
      <c r="DE184" s="2">
        <v>0.0</v>
      </c>
      <c r="DF184" s="2">
        <v>0.0</v>
      </c>
      <c r="DG184" s="2">
        <v>0.0</v>
      </c>
      <c r="DH184" s="2">
        <v>0.0</v>
      </c>
      <c r="DI184" s="2">
        <v>0.0</v>
      </c>
      <c r="DJ184" s="2">
        <v>0.0</v>
      </c>
      <c r="DL184" s="2">
        <v>0.0</v>
      </c>
      <c r="DM184" s="2">
        <v>0.0</v>
      </c>
      <c r="DN184" s="2">
        <v>0.0</v>
      </c>
      <c r="DO184" s="2">
        <v>0.0</v>
      </c>
      <c r="DP184" s="2">
        <v>0.0</v>
      </c>
      <c r="DQ184" s="2">
        <v>7.0</v>
      </c>
      <c r="DR184" s="2">
        <v>0.0</v>
      </c>
      <c r="DS184" s="2">
        <v>58.0</v>
      </c>
      <c r="DT184" s="2">
        <v>355.0</v>
      </c>
      <c r="DU184" s="2">
        <v>3.0</v>
      </c>
      <c r="DV184" s="2">
        <v>0.0</v>
      </c>
      <c r="DW184" s="2">
        <v>2.0</v>
      </c>
      <c r="DX184" s="2">
        <v>0.0</v>
      </c>
      <c r="DY184" s="2">
        <v>3.0</v>
      </c>
      <c r="DZ184" s="2">
        <v>2.0</v>
      </c>
      <c r="EA184" s="2">
        <v>11.0</v>
      </c>
      <c r="EB184" s="2">
        <v>0.0</v>
      </c>
      <c r="EC184" s="2">
        <v>344.0</v>
      </c>
      <c r="EE184" s="2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2">
        <v>2025.0</v>
      </c>
      <c r="B185" s="2">
        <v>6.0</v>
      </c>
      <c r="C185" s="2" t="s">
        <v>147</v>
      </c>
      <c r="D185" s="2" t="s">
        <v>390</v>
      </c>
      <c r="E185" s="2" t="s">
        <v>747</v>
      </c>
      <c r="F185" s="2" t="s">
        <v>235</v>
      </c>
      <c r="G185" s="2">
        <v>24.0</v>
      </c>
      <c r="H185" s="2">
        <v>33.0</v>
      </c>
      <c r="I185" s="2">
        <v>283.0</v>
      </c>
      <c r="J185" s="2">
        <v>1.0</v>
      </c>
      <c r="K185" s="2">
        <v>1.0</v>
      </c>
      <c r="L185" s="2">
        <v>3.0</v>
      </c>
      <c r="M185" s="2">
        <v>-17.0</v>
      </c>
      <c r="N185" s="2">
        <v>0.0</v>
      </c>
      <c r="O185" s="2">
        <v>0.0</v>
      </c>
      <c r="P185" s="2">
        <v>316.0</v>
      </c>
      <c r="Q185" s="2">
        <v>93.0</v>
      </c>
      <c r="R185" s="2">
        <v>14.0</v>
      </c>
      <c r="S185" s="2">
        <v>2.16158225677895</v>
      </c>
      <c r="T185" s="2">
        <v>9.21265324577689</v>
      </c>
      <c r="U185" s="2">
        <v>0.0</v>
      </c>
      <c r="V185" s="2">
        <v>12.0</v>
      </c>
      <c r="W185" s="2">
        <v>7.0</v>
      </c>
      <c r="X185" s="2">
        <v>3.0</v>
      </c>
      <c r="Y185" s="2">
        <v>0.0</v>
      </c>
      <c r="Z185" s="2">
        <v>20.0</v>
      </c>
      <c r="AA185" s="2">
        <v>73.0</v>
      </c>
      <c r="AB185" s="2">
        <v>1.0</v>
      </c>
      <c r="AC185" s="2">
        <v>0.0</v>
      </c>
      <c r="AD185" s="2">
        <v>0.0</v>
      </c>
      <c r="AE185" s="2">
        <v>5.0</v>
      </c>
      <c r="AF185" s="2">
        <v>-2.420105230849</v>
      </c>
      <c r="AG185" s="2">
        <v>0.0</v>
      </c>
      <c r="AH185" s="2">
        <v>3.0</v>
      </c>
      <c r="AI185" s="2">
        <v>3.0</v>
      </c>
      <c r="AJ185" s="2">
        <v>0.0</v>
      </c>
      <c r="AK185" s="2">
        <v>0.0</v>
      </c>
      <c r="AL185" s="2">
        <v>24.0</v>
      </c>
      <c r="AM185" s="2">
        <v>32.0</v>
      </c>
      <c r="AN185" s="2">
        <v>283.0</v>
      </c>
      <c r="AO185" s="2">
        <v>1.0</v>
      </c>
      <c r="AP185" s="2">
        <v>1.0</v>
      </c>
      <c r="AQ185" s="2">
        <v>1.0</v>
      </c>
      <c r="AR185" s="2">
        <v>316.0</v>
      </c>
      <c r="AS185" s="2">
        <v>93.0</v>
      </c>
      <c r="AT185" s="2">
        <v>14.0</v>
      </c>
      <c r="AU185" s="2">
        <v>2.02424066920753</v>
      </c>
      <c r="AV185" s="2">
        <v>0.0</v>
      </c>
      <c r="AW185" s="2">
        <v>12.0</v>
      </c>
      <c r="AX185" s="2">
        <v>7.0</v>
      </c>
      <c r="AY185" s="2">
        <v>3.0</v>
      </c>
      <c r="AZ185" s="2">
        <v>0.0</v>
      </c>
      <c r="BA185" s="2">
        <v>0.0</v>
      </c>
      <c r="BB185" s="2">
        <v>39.0</v>
      </c>
      <c r="BC185" s="2">
        <v>0.0</v>
      </c>
      <c r="BD185" s="2">
        <v>36.0</v>
      </c>
      <c r="BE185" s="2">
        <v>1.0</v>
      </c>
      <c r="BF185" s="2">
        <v>1.0</v>
      </c>
      <c r="BG185" s="2">
        <v>0.0</v>
      </c>
      <c r="BH185" s="2">
        <v>2.0</v>
      </c>
      <c r="BI185" s="2">
        <v>1.0</v>
      </c>
      <c r="BJ185" s="2">
        <v>3.0</v>
      </c>
      <c r="BK185" s="2">
        <v>0.0</v>
      </c>
      <c r="BL185" s="2">
        <v>0.0</v>
      </c>
      <c r="BM185" s="2">
        <v>4.0</v>
      </c>
      <c r="BN185" s="2">
        <v>0.0</v>
      </c>
      <c r="BO185" s="2">
        <v>0.0</v>
      </c>
      <c r="BP185" s="2">
        <v>0.0</v>
      </c>
      <c r="BQ185" s="2">
        <v>0.0</v>
      </c>
      <c r="BR185" s="2">
        <v>0.0</v>
      </c>
      <c r="BS185" s="2">
        <v>0.0</v>
      </c>
      <c r="BT185" s="2">
        <v>0.0</v>
      </c>
      <c r="BU185" s="2">
        <v>0.0</v>
      </c>
      <c r="BV185" s="2">
        <v>0.0</v>
      </c>
      <c r="BW185" s="2">
        <v>4.0</v>
      </c>
      <c r="BX185" s="2">
        <v>46.0</v>
      </c>
      <c r="BY185" s="2">
        <v>5.0</v>
      </c>
      <c r="BZ185" s="2">
        <v>1.0</v>
      </c>
      <c r="CA185" s="2">
        <v>0.0</v>
      </c>
      <c r="CB185" s="2">
        <v>0.0</v>
      </c>
      <c r="CC185" s="2">
        <v>1.0</v>
      </c>
      <c r="CD185" s="2">
        <v>1.0</v>
      </c>
      <c r="CE185" s="2">
        <v>2.0</v>
      </c>
      <c r="CF185" s="2">
        <v>16.0</v>
      </c>
      <c r="CG185" s="2">
        <v>5.0</v>
      </c>
      <c r="CH185" s="2">
        <v>84.0</v>
      </c>
      <c r="CI185" s="2">
        <v>1.0</v>
      </c>
      <c r="CJ185" s="2">
        <v>1.0</v>
      </c>
      <c r="CK185" s="2">
        <v>0.0</v>
      </c>
      <c r="CL185" s="2">
        <v>0.0</v>
      </c>
      <c r="CM185" s="2">
        <v>42.0</v>
      </c>
      <c r="CN185" s="2">
        <v>1.0</v>
      </c>
      <c r="CO185" s="2">
        <v>0.0</v>
      </c>
      <c r="CP185" s="2">
        <v>0.0</v>
      </c>
      <c r="CQ185" s="2">
        <v>0.0</v>
      </c>
      <c r="CR185" s="2">
        <v>1.0</v>
      </c>
      <c r="CS185" s="2">
        <v>0.0</v>
      </c>
      <c r="CT185" s="2">
        <v>0.0</v>
      </c>
      <c r="CU185" s="2">
        <v>0.0</v>
      </c>
      <c r="CV185" s="2">
        <v>0.0</v>
      </c>
      <c r="CW185" s="2">
        <v>0.0</v>
      </c>
      <c r="CX185" s="2">
        <v>0.0</v>
      </c>
      <c r="CY185" s="2">
        <v>0.0</v>
      </c>
      <c r="CZ185" s="2">
        <v>0.0</v>
      </c>
      <c r="DA185" s="2" t="s">
        <v>1966</v>
      </c>
      <c r="DD185" s="2">
        <v>42.0</v>
      </c>
      <c r="DE185" s="2">
        <v>0.0</v>
      </c>
      <c r="DF185" s="2">
        <v>0.0</v>
      </c>
      <c r="DG185" s="2">
        <v>2.0</v>
      </c>
      <c r="DH185" s="2">
        <v>2.0</v>
      </c>
      <c r="DI185" s="2">
        <v>0.0</v>
      </c>
      <c r="DJ185" s="2">
        <v>0.0</v>
      </c>
      <c r="DK185" s="2">
        <v>1.0</v>
      </c>
      <c r="DL185" s="2">
        <v>0.0</v>
      </c>
      <c r="DM185" s="2">
        <v>0.0</v>
      </c>
      <c r="DN185" s="2">
        <v>0.0</v>
      </c>
      <c r="DO185" s="2">
        <v>0.0</v>
      </c>
      <c r="DP185" s="2">
        <v>0.0</v>
      </c>
      <c r="DQ185" s="2">
        <v>4.0</v>
      </c>
      <c r="DR185" s="2">
        <v>0.0</v>
      </c>
      <c r="DS185" s="2">
        <v>59.0</v>
      </c>
      <c r="DT185" s="2">
        <v>214.0</v>
      </c>
      <c r="DU185" s="2">
        <v>1.0</v>
      </c>
      <c r="DV185" s="2">
        <v>1.0</v>
      </c>
      <c r="DW185" s="2">
        <v>0.0</v>
      </c>
      <c r="DX185" s="2">
        <v>0.0</v>
      </c>
      <c r="DY185" s="2">
        <v>0.0</v>
      </c>
      <c r="DZ185" s="2">
        <v>3.0</v>
      </c>
      <c r="EA185" s="2">
        <v>28.0</v>
      </c>
      <c r="EB185" s="2">
        <v>0.0</v>
      </c>
      <c r="EC185" s="2">
        <v>186.0</v>
      </c>
      <c r="EE185" s="2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2">
        <v>2025.0</v>
      </c>
      <c r="B186" s="2">
        <v>6.0</v>
      </c>
      <c r="C186" s="2" t="s">
        <v>242</v>
      </c>
      <c r="D186" s="2" t="s">
        <v>390</v>
      </c>
      <c r="E186" s="2" t="s">
        <v>766</v>
      </c>
      <c r="F186" s="2" t="s">
        <v>196</v>
      </c>
      <c r="G186" s="2">
        <v>21.0</v>
      </c>
      <c r="H186" s="2">
        <v>30.0</v>
      </c>
      <c r="I186" s="2">
        <v>235.0</v>
      </c>
      <c r="J186" s="2">
        <v>2.0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223.0</v>
      </c>
      <c r="Q186" s="2">
        <v>132.0</v>
      </c>
      <c r="R186" s="2">
        <v>11.0</v>
      </c>
      <c r="S186" s="2">
        <v>9.59919973687294</v>
      </c>
      <c r="T186" s="2">
        <v>8.18474076945206</v>
      </c>
      <c r="U186" s="2">
        <v>0.0</v>
      </c>
      <c r="V186" s="2">
        <v>10.0</v>
      </c>
      <c r="W186" s="2">
        <v>5.0</v>
      </c>
      <c r="X186" s="2">
        <v>5.0</v>
      </c>
      <c r="Y186" s="2">
        <v>0.0</v>
      </c>
      <c r="Z186" s="2">
        <v>28.0</v>
      </c>
      <c r="AA186" s="2">
        <v>100.0</v>
      </c>
      <c r="AB186" s="2">
        <v>0.0</v>
      </c>
      <c r="AC186" s="2">
        <v>0.0</v>
      </c>
      <c r="AD186" s="2">
        <v>0.0</v>
      </c>
      <c r="AE186" s="2">
        <v>7.0</v>
      </c>
      <c r="AF186" s="2">
        <v>-2.44072358397645</v>
      </c>
      <c r="AG186" s="2">
        <v>0.0</v>
      </c>
      <c r="AH186" s="2">
        <v>5.0</v>
      </c>
      <c r="AI186" s="2">
        <v>0.0</v>
      </c>
      <c r="AJ186" s="2">
        <v>0.0</v>
      </c>
      <c r="AK186" s="2">
        <v>0.0</v>
      </c>
      <c r="AL186" s="2">
        <v>21.0</v>
      </c>
      <c r="AM186" s="2">
        <v>29.0</v>
      </c>
      <c r="AN186" s="2">
        <v>235.0</v>
      </c>
      <c r="AO186" s="2">
        <v>2.0</v>
      </c>
      <c r="AP186" s="2">
        <v>1.0</v>
      </c>
      <c r="AQ186" s="2">
        <v>0.0</v>
      </c>
      <c r="AR186" s="2">
        <v>223.0</v>
      </c>
      <c r="AS186" s="2">
        <v>132.0</v>
      </c>
      <c r="AT186" s="2">
        <v>11.0</v>
      </c>
      <c r="AU186" s="2">
        <v>10.0786003385766</v>
      </c>
      <c r="AV186" s="2">
        <v>0.0</v>
      </c>
      <c r="AW186" s="2">
        <v>10.0</v>
      </c>
      <c r="AX186" s="2">
        <v>5.0</v>
      </c>
      <c r="AY186" s="2">
        <v>5.0</v>
      </c>
      <c r="AZ186" s="2">
        <v>0.0</v>
      </c>
      <c r="BA186" s="2">
        <v>0.0</v>
      </c>
      <c r="BB186" s="2">
        <v>36.0</v>
      </c>
      <c r="BC186" s="2">
        <v>0.0</v>
      </c>
      <c r="BD186" s="2">
        <v>46.0</v>
      </c>
      <c r="BE186" s="2">
        <v>6.0</v>
      </c>
      <c r="BF186" s="2">
        <v>32.0</v>
      </c>
      <c r="BG186" s="2">
        <v>0.0</v>
      </c>
      <c r="BH186" s="2">
        <v>6.0</v>
      </c>
      <c r="BI186" s="2">
        <v>38.0</v>
      </c>
      <c r="BJ186" s="2">
        <v>17.0</v>
      </c>
      <c r="BK186" s="2">
        <v>0.0</v>
      </c>
      <c r="BL186" s="2">
        <v>0.0</v>
      </c>
      <c r="BM186" s="2">
        <v>8.0</v>
      </c>
      <c r="BN186" s="2">
        <v>0.0</v>
      </c>
      <c r="BO186" s="2">
        <v>0.0</v>
      </c>
      <c r="BP186" s="2">
        <v>0.0</v>
      </c>
      <c r="BQ186" s="2">
        <v>0.0</v>
      </c>
      <c r="BR186" s="2">
        <v>0.0</v>
      </c>
      <c r="BS186" s="2">
        <v>0.0</v>
      </c>
      <c r="BT186" s="2">
        <v>0.0</v>
      </c>
      <c r="BU186" s="2">
        <v>0.0</v>
      </c>
      <c r="BV186" s="2">
        <v>0.0</v>
      </c>
      <c r="BW186" s="2">
        <v>10.0</v>
      </c>
      <c r="BX186" s="2">
        <v>59.0</v>
      </c>
      <c r="BY186" s="2">
        <v>5.0</v>
      </c>
      <c r="BZ186" s="2">
        <v>1.0</v>
      </c>
      <c r="CA186" s="2">
        <v>0.0</v>
      </c>
      <c r="CB186" s="2">
        <v>1.0</v>
      </c>
      <c r="CC186" s="2">
        <v>1.0</v>
      </c>
      <c r="CD186" s="2">
        <v>0.0</v>
      </c>
      <c r="CE186" s="2">
        <v>3.0</v>
      </c>
      <c r="CF186" s="2">
        <v>30.0</v>
      </c>
      <c r="CG186" s="2">
        <v>3.0</v>
      </c>
      <c r="CH186" s="2">
        <v>74.0</v>
      </c>
      <c r="CI186" s="2">
        <v>3.0</v>
      </c>
      <c r="CJ186" s="2">
        <v>4.0</v>
      </c>
      <c r="CK186" s="2">
        <v>1.0</v>
      </c>
      <c r="CL186" s="2">
        <v>0.0</v>
      </c>
      <c r="CM186" s="2">
        <v>50.0</v>
      </c>
      <c r="CN186" s="2">
        <v>0.75</v>
      </c>
      <c r="CO186" s="2">
        <v>0.0</v>
      </c>
      <c r="CP186" s="2">
        <v>0.0</v>
      </c>
      <c r="CQ186" s="2">
        <v>0.0</v>
      </c>
      <c r="CR186" s="2">
        <v>2.0</v>
      </c>
      <c r="CS186" s="2">
        <v>1.0</v>
      </c>
      <c r="CT186" s="2">
        <v>0.0</v>
      </c>
      <c r="CU186" s="2">
        <v>0.0</v>
      </c>
      <c r="CV186" s="2">
        <v>0.0</v>
      </c>
      <c r="CW186" s="2">
        <v>0.0</v>
      </c>
      <c r="CX186" s="2">
        <v>0.0</v>
      </c>
      <c r="CY186" s="2">
        <v>1.0</v>
      </c>
      <c r="CZ186" s="2">
        <v>0.0</v>
      </c>
      <c r="DA186" s="2" t="s">
        <v>2104</v>
      </c>
      <c r="DB186" s="2" t="s">
        <v>2018</v>
      </c>
      <c r="DD186" s="2">
        <v>142.0</v>
      </c>
      <c r="DE186" s="2">
        <v>54.0</v>
      </c>
      <c r="DF186" s="2">
        <v>0.0</v>
      </c>
      <c r="DG186" s="2">
        <v>2.0</v>
      </c>
      <c r="DH186" s="2">
        <v>2.0</v>
      </c>
      <c r="DI186" s="2">
        <v>0.0</v>
      </c>
      <c r="DJ186" s="2">
        <v>0.0</v>
      </c>
      <c r="DK186" s="2">
        <v>1.0</v>
      </c>
      <c r="DL186" s="2">
        <v>0.0</v>
      </c>
      <c r="DM186" s="2">
        <v>0.0</v>
      </c>
      <c r="DN186" s="2">
        <v>0.0</v>
      </c>
      <c r="DO186" s="2">
        <v>0.0</v>
      </c>
      <c r="DP186" s="2">
        <v>0.0</v>
      </c>
      <c r="DQ186" s="2">
        <v>2.0</v>
      </c>
      <c r="DR186" s="2">
        <v>0.0</v>
      </c>
      <c r="DS186" s="2">
        <v>50.0</v>
      </c>
      <c r="DT186" s="2">
        <v>84.0</v>
      </c>
      <c r="DU186" s="2">
        <v>0.0</v>
      </c>
      <c r="DV186" s="2">
        <v>1.0</v>
      </c>
      <c r="DW186" s="2">
        <v>0.0</v>
      </c>
      <c r="DX186" s="2">
        <v>0.0</v>
      </c>
      <c r="DY186" s="2">
        <v>0.0</v>
      </c>
      <c r="DZ186" s="2">
        <v>1.0</v>
      </c>
      <c r="EA186" s="2">
        <v>9.0</v>
      </c>
      <c r="EB186" s="2">
        <v>0.0</v>
      </c>
      <c r="EC186" s="2">
        <v>75.0</v>
      </c>
      <c r="EE186" s="2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2">
        <v>2025.0</v>
      </c>
      <c r="B187" s="2">
        <v>6.0</v>
      </c>
      <c r="C187" s="2" t="s">
        <v>149</v>
      </c>
      <c r="D187" s="2" t="s">
        <v>390</v>
      </c>
      <c r="E187" s="2" t="s">
        <v>760</v>
      </c>
      <c r="F187" s="2" t="s">
        <v>141</v>
      </c>
      <c r="G187" s="2">
        <v>16.0</v>
      </c>
      <c r="H187" s="2">
        <v>27.0</v>
      </c>
      <c r="I187" s="2">
        <v>295.0</v>
      </c>
      <c r="J187" s="2">
        <v>2.0</v>
      </c>
      <c r="K187" s="2">
        <v>0.0</v>
      </c>
      <c r="L187" s="2">
        <v>1.0</v>
      </c>
      <c r="M187" s="2">
        <v>-9.0</v>
      </c>
      <c r="N187" s="2">
        <v>0.0</v>
      </c>
      <c r="O187" s="2">
        <v>0.0</v>
      </c>
      <c r="P187" s="2">
        <v>361.0</v>
      </c>
      <c r="Q187" s="2">
        <v>95.0</v>
      </c>
      <c r="R187" s="2">
        <v>10.0</v>
      </c>
      <c r="S187" s="2">
        <v>10.5244997270939</v>
      </c>
      <c r="T187" s="2">
        <v>7.39852910240491</v>
      </c>
      <c r="U187" s="2">
        <v>0.0</v>
      </c>
      <c r="V187" s="2">
        <v>10.0</v>
      </c>
      <c r="W187" s="2">
        <v>6.0</v>
      </c>
      <c r="X187" s="2">
        <v>5.0</v>
      </c>
      <c r="Y187" s="2">
        <v>2.0</v>
      </c>
      <c r="Z187" s="2">
        <v>26.0</v>
      </c>
      <c r="AA187" s="2">
        <v>60.0</v>
      </c>
      <c r="AB187" s="2">
        <v>0.0</v>
      </c>
      <c r="AC187" s="2">
        <v>0.0</v>
      </c>
      <c r="AD187" s="2">
        <v>0.0</v>
      </c>
      <c r="AE187" s="2">
        <v>2.0</v>
      </c>
      <c r="AF187" s="2">
        <v>-13.1500136021859</v>
      </c>
      <c r="AG187" s="2">
        <v>0.0</v>
      </c>
      <c r="AH187" s="2">
        <v>1.0</v>
      </c>
      <c r="AI187" s="2">
        <v>0.0</v>
      </c>
      <c r="AJ187" s="2">
        <v>0.0</v>
      </c>
      <c r="AK187" s="2">
        <v>0.0</v>
      </c>
      <c r="AL187" s="2">
        <v>16.0</v>
      </c>
      <c r="AM187" s="2">
        <v>24.0</v>
      </c>
      <c r="AN187" s="2">
        <v>295.0</v>
      </c>
      <c r="AO187" s="2">
        <v>2.0</v>
      </c>
      <c r="AP187" s="2">
        <v>0.0</v>
      </c>
      <c r="AQ187" s="2">
        <v>0.0</v>
      </c>
      <c r="AR187" s="2">
        <v>361.0</v>
      </c>
      <c r="AS187" s="2">
        <v>95.0</v>
      </c>
      <c r="AT187" s="2">
        <v>10.0</v>
      </c>
      <c r="AU187" s="2">
        <v>14.3458276109023</v>
      </c>
      <c r="AV187" s="2">
        <v>0.0</v>
      </c>
      <c r="AW187" s="2">
        <v>10.0</v>
      </c>
      <c r="AX187" s="2">
        <v>6.0</v>
      </c>
      <c r="AY187" s="2">
        <v>5.0</v>
      </c>
      <c r="AZ187" s="2">
        <v>2.0</v>
      </c>
      <c r="BA187" s="2">
        <v>0.0</v>
      </c>
      <c r="BB187" s="2">
        <v>40.0</v>
      </c>
      <c r="BC187" s="2">
        <v>0.0</v>
      </c>
      <c r="BD187" s="2">
        <v>34.0</v>
      </c>
      <c r="BE187" s="2">
        <v>7.0</v>
      </c>
      <c r="BF187" s="2">
        <v>31.0</v>
      </c>
      <c r="BG187" s="2">
        <v>0.0</v>
      </c>
      <c r="BH187" s="2">
        <v>7.0</v>
      </c>
      <c r="BI187" s="2">
        <v>44.0</v>
      </c>
      <c r="BJ187" s="2">
        <v>17.0</v>
      </c>
      <c r="BK187" s="2">
        <v>0.0</v>
      </c>
      <c r="BL187" s="2">
        <v>0.0</v>
      </c>
      <c r="BM187" s="2">
        <v>2.0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0.0</v>
      </c>
      <c r="BU187" s="2">
        <v>0.0</v>
      </c>
      <c r="BV187" s="2">
        <v>0.0</v>
      </c>
      <c r="BW187" s="2">
        <v>7.0</v>
      </c>
      <c r="BX187" s="2">
        <v>56.0</v>
      </c>
      <c r="BY187" s="2">
        <v>4.0</v>
      </c>
      <c r="BZ187" s="2">
        <v>0.0</v>
      </c>
      <c r="CA187" s="2">
        <v>0.0</v>
      </c>
      <c r="CB187" s="2">
        <v>0.0</v>
      </c>
      <c r="CC187" s="2">
        <v>0.0</v>
      </c>
      <c r="CD187" s="2">
        <v>0.0</v>
      </c>
      <c r="CE187" s="2">
        <v>3.0</v>
      </c>
      <c r="CF187" s="2">
        <v>5.0</v>
      </c>
      <c r="CG187" s="2">
        <v>2.0</v>
      </c>
      <c r="CH187" s="2">
        <v>40.0</v>
      </c>
      <c r="CI187" s="2">
        <v>2.0</v>
      </c>
      <c r="CJ187" s="2">
        <v>2.0</v>
      </c>
      <c r="CK187" s="2">
        <v>0.0</v>
      </c>
      <c r="CL187" s="2">
        <v>0.0</v>
      </c>
      <c r="CM187" s="2">
        <v>53.0</v>
      </c>
      <c r="CN187" s="2">
        <v>1.0</v>
      </c>
      <c r="CO187" s="2">
        <v>0.0</v>
      </c>
      <c r="CP187" s="2">
        <v>1.0</v>
      </c>
      <c r="CQ187" s="2">
        <v>0.0</v>
      </c>
      <c r="CR187" s="2">
        <v>0.0</v>
      </c>
      <c r="CS187" s="2">
        <v>1.0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 t="s">
        <v>2105</v>
      </c>
      <c r="DD187" s="2">
        <v>77.0</v>
      </c>
      <c r="DE187" s="2">
        <v>0.0</v>
      </c>
      <c r="DF187" s="2">
        <v>0.0</v>
      </c>
      <c r="DG187" s="2">
        <v>2.0</v>
      </c>
      <c r="DH187" s="2">
        <v>2.0</v>
      </c>
      <c r="DI187" s="2">
        <v>0.0</v>
      </c>
      <c r="DJ187" s="2">
        <v>0.0</v>
      </c>
      <c r="DK187" s="2">
        <v>1.0</v>
      </c>
      <c r="DL187" s="2">
        <v>0.0</v>
      </c>
      <c r="DM187" s="2">
        <v>0.0</v>
      </c>
      <c r="DN187" s="2">
        <v>0.0</v>
      </c>
      <c r="DO187" s="2">
        <v>0.0</v>
      </c>
      <c r="DP187" s="2">
        <v>0.0</v>
      </c>
      <c r="DQ187" s="2">
        <v>7.0</v>
      </c>
      <c r="DR187" s="2">
        <v>0.0</v>
      </c>
      <c r="DS187" s="2">
        <v>55.0</v>
      </c>
      <c r="DT187" s="2">
        <v>360.0</v>
      </c>
      <c r="DU187" s="2">
        <v>3.0</v>
      </c>
      <c r="DV187" s="2">
        <v>1.0</v>
      </c>
      <c r="DW187" s="2">
        <v>1.0</v>
      </c>
      <c r="DX187" s="2">
        <v>0.0</v>
      </c>
      <c r="DY187" s="2">
        <v>1.0</v>
      </c>
      <c r="DZ187" s="2">
        <v>4.0</v>
      </c>
      <c r="EA187" s="2">
        <v>24.0</v>
      </c>
      <c r="EB187" s="2">
        <v>0.0</v>
      </c>
      <c r="EC187" s="2">
        <v>336.0</v>
      </c>
      <c r="EE187" s="2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2">
        <v>2025.0</v>
      </c>
      <c r="B188" s="2">
        <v>6.0</v>
      </c>
      <c r="C188" s="2" t="s">
        <v>246</v>
      </c>
      <c r="D188" s="2" t="s">
        <v>390</v>
      </c>
      <c r="E188" s="2" t="s">
        <v>772</v>
      </c>
      <c r="F188" s="2" t="s">
        <v>150</v>
      </c>
      <c r="G188" s="2">
        <v>27.0</v>
      </c>
      <c r="H188" s="2">
        <v>39.0</v>
      </c>
      <c r="I188" s="2">
        <v>347.0</v>
      </c>
      <c r="J188" s="2">
        <v>0.0</v>
      </c>
      <c r="K188" s="2">
        <v>2.0</v>
      </c>
      <c r="L188" s="2">
        <v>6.0</v>
      </c>
      <c r="M188" s="2">
        <v>-51.0</v>
      </c>
      <c r="N188" s="2">
        <v>1.0</v>
      </c>
      <c r="O188" s="2">
        <v>0.0</v>
      </c>
      <c r="P188" s="2">
        <v>378.0</v>
      </c>
      <c r="Q188" s="2">
        <v>165.0</v>
      </c>
      <c r="R188" s="2">
        <v>10.0</v>
      </c>
      <c r="S188" s="2">
        <v>-4.42705243935853</v>
      </c>
      <c r="T188" s="2">
        <v>7.15880248997663</v>
      </c>
      <c r="U188" s="2">
        <v>0.0</v>
      </c>
      <c r="V188" s="2">
        <v>11.0</v>
      </c>
      <c r="W188" s="2">
        <v>7.0</v>
      </c>
      <c r="X188" s="2">
        <v>4.0</v>
      </c>
      <c r="Y188" s="2">
        <v>2.0</v>
      </c>
      <c r="Z188" s="2">
        <v>22.0</v>
      </c>
      <c r="AA188" s="2">
        <v>67.0</v>
      </c>
      <c r="AB188" s="2">
        <v>1.0</v>
      </c>
      <c r="AC188" s="2">
        <v>0.0</v>
      </c>
      <c r="AD188" s="2">
        <v>0.0</v>
      </c>
      <c r="AE188" s="2">
        <v>6.0</v>
      </c>
      <c r="AF188" s="2">
        <v>-1.28942514117807</v>
      </c>
      <c r="AG188" s="2">
        <v>0.0</v>
      </c>
      <c r="AH188" s="2">
        <v>1.0</v>
      </c>
      <c r="AI188" s="2">
        <v>0.0</v>
      </c>
      <c r="AJ188" s="2">
        <v>0.0</v>
      </c>
      <c r="AK188" s="2">
        <v>0.0</v>
      </c>
      <c r="AL188" s="2">
        <v>27.0</v>
      </c>
      <c r="AM188" s="2">
        <v>37.0</v>
      </c>
      <c r="AN188" s="2">
        <v>347.0</v>
      </c>
      <c r="AO188" s="2">
        <v>0.0</v>
      </c>
      <c r="AP188" s="2">
        <v>0.0</v>
      </c>
      <c r="AQ188" s="2">
        <v>0.0</v>
      </c>
      <c r="AR188" s="2">
        <v>378.0</v>
      </c>
      <c r="AS188" s="2">
        <v>165.0</v>
      </c>
      <c r="AT188" s="2">
        <v>10.0</v>
      </c>
      <c r="AU188" s="2">
        <v>5.59999217218739</v>
      </c>
      <c r="AV188" s="2">
        <v>0.0</v>
      </c>
      <c r="AW188" s="2">
        <v>11.0</v>
      </c>
      <c r="AX188" s="2">
        <v>7.0</v>
      </c>
      <c r="AY188" s="2">
        <v>4.0</v>
      </c>
      <c r="AZ188" s="2">
        <v>2.0</v>
      </c>
      <c r="BA188" s="2">
        <v>0.0</v>
      </c>
      <c r="BB188" s="2">
        <v>34.0</v>
      </c>
      <c r="BC188" s="2">
        <v>1.0</v>
      </c>
      <c r="BD188" s="2">
        <v>23.0</v>
      </c>
      <c r="BE188" s="2">
        <v>4.0</v>
      </c>
      <c r="BF188" s="2">
        <v>14.0</v>
      </c>
      <c r="BG188" s="2">
        <v>0.0</v>
      </c>
      <c r="BH188" s="2">
        <v>1.0</v>
      </c>
      <c r="BI188" s="2">
        <v>8.0</v>
      </c>
      <c r="BJ188" s="2">
        <v>1.0</v>
      </c>
      <c r="BK188" s="2">
        <v>0.0</v>
      </c>
      <c r="BL188" s="2">
        <v>0.0</v>
      </c>
      <c r="BM188" s="2">
        <v>2.0</v>
      </c>
      <c r="BN188" s="2">
        <v>0.0</v>
      </c>
      <c r="BO188" s="2">
        <v>0.0</v>
      </c>
      <c r="BP188" s="2">
        <v>0.0</v>
      </c>
      <c r="BQ188" s="2">
        <v>0.0</v>
      </c>
      <c r="BR188" s="2">
        <v>1.0</v>
      </c>
      <c r="BS188" s="2">
        <v>0.0</v>
      </c>
      <c r="BT188" s="2">
        <v>0.0</v>
      </c>
      <c r="BU188" s="2">
        <v>0.0</v>
      </c>
      <c r="BV188" s="2">
        <v>0.0</v>
      </c>
      <c r="BW188" s="2">
        <v>9.0</v>
      </c>
      <c r="BX188" s="2">
        <v>65.0</v>
      </c>
      <c r="BY188" s="2">
        <v>6.0</v>
      </c>
      <c r="BZ188" s="2">
        <v>1.0</v>
      </c>
      <c r="CA188" s="2">
        <v>0.0</v>
      </c>
      <c r="CB188" s="2">
        <v>0.0</v>
      </c>
      <c r="CC188" s="2">
        <v>1.0</v>
      </c>
      <c r="CD188" s="2">
        <v>0.0</v>
      </c>
      <c r="CE188" s="2">
        <v>2.0</v>
      </c>
      <c r="CF188" s="2">
        <v>25.0</v>
      </c>
      <c r="CG188" s="2">
        <v>6.0</v>
      </c>
      <c r="CH188" s="2">
        <v>161.0</v>
      </c>
      <c r="CI188" s="2">
        <v>4.0</v>
      </c>
      <c r="CJ188" s="2">
        <v>4.0</v>
      </c>
      <c r="CK188" s="2">
        <v>0.0</v>
      </c>
      <c r="CL188" s="2">
        <v>0.0</v>
      </c>
      <c r="CM188" s="2">
        <v>54.0</v>
      </c>
      <c r="CN188" s="2">
        <v>1.0</v>
      </c>
      <c r="CO188" s="2">
        <v>0.0</v>
      </c>
      <c r="CP188" s="2">
        <v>1.0</v>
      </c>
      <c r="CQ188" s="2">
        <v>0.0</v>
      </c>
      <c r="CR188" s="2">
        <v>1.0</v>
      </c>
      <c r="CS188" s="2">
        <v>2.0</v>
      </c>
      <c r="CT188" s="2">
        <v>0.0</v>
      </c>
      <c r="CU188" s="2">
        <v>0.0</v>
      </c>
      <c r="CV188" s="2">
        <v>0.0</v>
      </c>
      <c r="CW188" s="2">
        <v>0.0</v>
      </c>
      <c r="CX188" s="2">
        <v>0.0</v>
      </c>
      <c r="CY188" s="2">
        <v>0.0</v>
      </c>
      <c r="CZ188" s="2">
        <v>0.0</v>
      </c>
      <c r="DA188" s="2" t="s">
        <v>2106</v>
      </c>
      <c r="DD188" s="2">
        <v>177.0</v>
      </c>
      <c r="DE188" s="2">
        <v>0.0</v>
      </c>
      <c r="DF188" s="2">
        <v>0.0</v>
      </c>
      <c r="DG188" s="2">
        <v>1.0</v>
      </c>
      <c r="DH188" s="2">
        <v>1.0</v>
      </c>
      <c r="DI188" s="2">
        <v>0.0</v>
      </c>
      <c r="DJ188" s="2">
        <v>0.0</v>
      </c>
      <c r="DK188" s="2">
        <v>1.0</v>
      </c>
      <c r="DL188" s="2">
        <v>0.0</v>
      </c>
      <c r="DM188" s="2">
        <v>0.0</v>
      </c>
      <c r="DN188" s="2">
        <v>0.0</v>
      </c>
      <c r="DO188" s="2">
        <v>0.0</v>
      </c>
      <c r="DP188" s="2">
        <v>0.0</v>
      </c>
      <c r="DQ188" s="2">
        <v>2.0</v>
      </c>
      <c r="DR188" s="2">
        <v>0.0</v>
      </c>
      <c r="DS188" s="2">
        <v>48.0</v>
      </c>
      <c r="DT188" s="2">
        <v>89.0</v>
      </c>
      <c r="DU188" s="2">
        <v>1.0</v>
      </c>
      <c r="DV188" s="2">
        <v>1.0</v>
      </c>
      <c r="DW188" s="2">
        <v>0.0</v>
      </c>
      <c r="DX188" s="2">
        <v>0.0</v>
      </c>
      <c r="DY188" s="2">
        <v>0.0</v>
      </c>
      <c r="DZ188" s="2">
        <v>1.0</v>
      </c>
      <c r="EA188" s="2">
        <v>6.0</v>
      </c>
      <c r="EB188" s="2">
        <v>0.0</v>
      </c>
      <c r="EC188" s="2">
        <v>83.0</v>
      </c>
      <c r="EE188" s="2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2">
        <v>2025.0</v>
      </c>
      <c r="B189" s="2">
        <v>6.0</v>
      </c>
      <c r="C189" s="2" t="s">
        <v>150</v>
      </c>
      <c r="D189" s="2" t="s">
        <v>390</v>
      </c>
      <c r="E189" s="2" t="s">
        <v>772</v>
      </c>
      <c r="F189" s="2" t="s">
        <v>246</v>
      </c>
      <c r="G189" s="2">
        <v>17.0</v>
      </c>
      <c r="H189" s="2">
        <v>23.0</v>
      </c>
      <c r="I189" s="2">
        <v>256.0</v>
      </c>
      <c r="J189" s="2">
        <v>2.0</v>
      </c>
      <c r="K189" s="2">
        <v>0.0</v>
      </c>
      <c r="L189" s="2">
        <v>1.0</v>
      </c>
      <c r="M189" s="2">
        <v>-8.0</v>
      </c>
      <c r="N189" s="2">
        <v>0.0</v>
      </c>
      <c r="O189" s="2">
        <v>0.0</v>
      </c>
      <c r="P189" s="2">
        <v>239.0</v>
      </c>
      <c r="Q189" s="2">
        <v>106.0</v>
      </c>
      <c r="R189" s="2">
        <v>9.0</v>
      </c>
      <c r="S189" s="2">
        <v>12.0674896177152</v>
      </c>
      <c r="T189" s="2">
        <v>7.46980698212333</v>
      </c>
      <c r="U189" s="2">
        <v>0.0</v>
      </c>
      <c r="V189" s="2">
        <v>10.0</v>
      </c>
      <c r="W189" s="2">
        <v>7.0</v>
      </c>
      <c r="X189" s="2">
        <v>4.0</v>
      </c>
      <c r="Y189" s="2">
        <v>1.0</v>
      </c>
      <c r="Z189" s="2">
        <v>26.0</v>
      </c>
      <c r="AA189" s="2">
        <v>104.0</v>
      </c>
      <c r="AB189" s="2">
        <v>2.0</v>
      </c>
      <c r="AC189" s="2">
        <v>1.0</v>
      </c>
      <c r="AD189" s="2">
        <v>0.0</v>
      </c>
      <c r="AE189" s="2">
        <v>9.0</v>
      </c>
      <c r="AF189" s="2">
        <v>1.02341464905487</v>
      </c>
      <c r="AG189" s="2">
        <v>0.0</v>
      </c>
      <c r="AH189" s="2">
        <v>3.0</v>
      </c>
      <c r="AI189" s="2">
        <v>1.0</v>
      </c>
      <c r="AJ189" s="2">
        <v>0.0</v>
      </c>
      <c r="AK189" s="2">
        <v>0.0</v>
      </c>
      <c r="AL189" s="2">
        <v>17.0</v>
      </c>
      <c r="AM189" s="2">
        <v>23.0</v>
      </c>
      <c r="AN189" s="2">
        <v>256.0</v>
      </c>
      <c r="AO189" s="2">
        <v>2.0</v>
      </c>
      <c r="AP189" s="2">
        <v>0.0</v>
      </c>
      <c r="AQ189" s="2">
        <v>0.0</v>
      </c>
      <c r="AR189" s="2">
        <v>239.0</v>
      </c>
      <c r="AS189" s="2">
        <v>106.0</v>
      </c>
      <c r="AT189" s="2">
        <v>9.0</v>
      </c>
      <c r="AU189" s="2">
        <v>14.1984414190301</v>
      </c>
      <c r="AV189" s="2">
        <v>0.0</v>
      </c>
      <c r="AW189" s="2">
        <v>10.0</v>
      </c>
      <c r="AX189" s="2">
        <v>7.0</v>
      </c>
      <c r="AY189" s="2">
        <v>4.0</v>
      </c>
      <c r="AZ189" s="2">
        <v>1.0</v>
      </c>
      <c r="BA189" s="2">
        <v>0.0</v>
      </c>
      <c r="BB189" s="2">
        <v>46.0</v>
      </c>
      <c r="BC189" s="2">
        <v>0.0</v>
      </c>
      <c r="BD189" s="2">
        <v>30.0</v>
      </c>
      <c r="BE189" s="2">
        <v>5.0</v>
      </c>
      <c r="BF189" s="2">
        <v>34.0</v>
      </c>
      <c r="BG189" s="2">
        <v>1.0</v>
      </c>
      <c r="BH189" s="2">
        <v>6.0</v>
      </c>
      <c r="BI189" s="2">
        <v>51.0</v>
      </c>
      <c r="BJ189" s="2">
        <v>10.0</v>
      </c>
      <c r="BK189" s="2">
        <v>2.0</v>
      </c>
      <c r="BL189" s="2">
        <v>19.0</v>
      </c>
      <c r="BM189" s="2">
        <v>5.0</v>
      </c>
      <c r="BN189" s="2">
        <v>0.0</v>
      </c>
      <c r="BO189" s="2">
        <v>0.0</v>
      </c>
      <c r="BP189" s="2">
        <v>0.0</v>
      </c>
      <c r="BQ189" s="2">
        <v>0.0</v>
      </c>
      <c r="BR189" s="2">
        <v>1.0</v>
      </c>
      <c r="BS189" s="2">
        <v>0.0</v>
      </c>
      <c r="BT189" s="2">
        <v>0.0</v>
      </c>
      <c r="BU189" s="2">
        <v>0.0</v>
      </c>
      <c r="BV189" s="2">
        <v>0.0</v>
      </c>
      <c r="BW189" s="2">
        <v>5.0</v>
      </c>
      <c r="BX189" s="2">
        <v>31.0</v>
      </c>
      <c r="BY189" s="2">
        <v>1.0</v>
      </c>
      <c r="BZ189" s="2">
        <v>0.0</v>
      </c>
      <c r="CA189" s="2">
        <v>1.0</v>
      </c>
      <c r="CB189" s="2">
        <v>0.0</v>
      </c>
      <c r="CC189" s="2">
        <v>1.0</v>
      </c>
      <c r="CD189" s="2">
        <v>0.0</v>
      </c>
      <c r="CE189" s="2">
        <v>1.0</v>
      </c>
      <c r="CF189" s="2">
        <v>6.0</v>
      </c>
      <c r="CG189" s="2">
        <v>6.0</v>
      </c>
      <c r="CH189" s="2">
        <v>158.0</v>
      </c>
      <c r="CI189" s="2">
        <v>1.0</v>
      </c>
      <c r="CJ189" s="2">
        <v>2.0</v>
      </c>
      <c r="CK189" s="2">
        <v>1.0</v>
      </c>
      <c r="CL189" s="2">
        <v>0.0</v>
      </c>
      <c r="CM189" s="2">
        <v>45.0</v>
      </c>
      <c r="CN189" s="2">
        <v>0.5</v>
      </c>
      <c r="CO189" s="2">
        <v>0.0</v>
      </c>
      <c r="CP189" s="2">
        <v>0.0</v>
      </c>
      <c r="CQ189" s="2">
        <v>0.0</v>
      </c>
      <c r="CR189" s="2">
        <v>1.0</v>
      </c>
      <c r="CS189" s="2">
        <v>0.0</v>
      </c>
      <c r="CT189" s="2">
        <v>0.0</v>
      </c>
      <c r="CU189" s="2">
        <v>0.0</v>
      </c>
      <c r="CV189" s="2">
        <v>0.0</v>
      </c>
      <c r="CW189" s="2">
        <v>0.0</v>
      </c>
      <c r="CX189" s="2">
        <v>1.0</v>
      </c>
      <c r="CY189" s="2">
        <v>0.0</v>
      </c>
      <c r="CZ189" s="2">
        <v>0.0</v>
      </c>
      <c r="DA189" s="2" t="s">
        <v>1969</v>
      </c>
      <c r="DB189" s="2" t="s">
        <v>2107</v>
      </c>
      <c r="DD189" s="2">
        <v>45.0</v>
      </c>
      <c r="DE189" s="2">
        <v>49.0</v>
      </c>
      <c r="DF189" s="2">
        <v>0.0</v>
      </c>
      <c r="DG189" s="2">
        <v>3.0</v>
      </c>
      <c r="DH189" s="2">
        <v>3.0</v>
      </c>
      <c r="DI189" s="2">
        <v>0.0</v>
      </c>
      <c r="DJ189" s="2">
        <v>0.0</v>
      </c>
      <c r="DK189" s="2">
        <v>1.0</v>
      </c>
      <c r="DL189" s="2">
        <v>0.0</v>
      </c>
      <c r="DM189" s="2">
        <v>0.0</v>
      </c>
      <c r="DN189" s="2">
        <v>0.0</v>
      </c>
      <c r="DO189" s="2">
        <v>0.0</v>
      </c>
      <c r="DP189" s="2">
        <v>0.0</v>
      </c>
      <c r="DQ189" s="2">
        <v>3.0</v>
      </c>
      <c r="DR189" s="2">
        <v>0.0</v>
      </c>
      <c r="DS189" s="2">
        <v>60.0</v>
      </c>
      <c r="DT189" s="2">
        <v>166.0</v>
      </c>
      <c r="DU189" s="2">
        <v>3.0</v>
      </c>
      <c r="DV189" s="2">
        <v>0.0</v>
      </c>
      <c r="DW189" s="2">
        <v>0.0</v>
      </c>
      <c r="DX189" s="2">
        <v>0.0</v>
      </c>
      <c r="DY189" s="2">
        <v>1.0</v>
      </c>
      <c r="DZ189" s="2">
        <v>2.0</v>
      </c>
      <c r="EA189" s="2">
        <v>25.0</v>
      </c>
      <c r="EB189" s="2">
        <v>0.0</v>
      </c>
      <c r="EC189" s="2">
        <v>141.0</v>
      </c>
      <c r="EE189" s="2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2">
        <v>2025.0</v>
      </c>
      <c r="B190" s="2">
        <v>6.0</v>
      </c>
      <c r="C190" s="2" t="s">
        <v>250</v>
      </c>
      <c r="D190" s="2" t="s">
        <v>390</v>
      </c>
      <c r="E190" s="2" t="s">
        <v>768</v>
      </c>
      <c r="F190" s="2" t="s">
        <v>222</v>
      </c>
      <c r="G190" s="2">
        <v>26.0</v>
      </c>
      <c r="H190" s="2">
        <v>38.0</v>
      </c>
      <c r="I190" s="2">
        <v>222.0</v>
      </c>
      <c r="J190" s="2">
        <v>1.0</v>
      </c>
      <c r="K190" s="2">
        <v>1.0</v>
      </c>
      <c r="L190" s="2">
        <v>6.0</v>
      </c>
      <c r="M190" s="2">
        <v>-62.0</v>
      </c>
      <c r="N190" s="2">
        <v>2.0</v>
      </c>
      <c r="O190" s="2">
        <v>2.0</v>
      </c>
      <c r="P190" s="2">
        <v>253.0</v>
      </c>
      <c r="Q190" s="2">
        <v>117.0</v>
      </c>
      <c r="R190" s="2">
        <v>11.0</v>
      </c>
      <c r="S190" s="2">
        <v>-14.6807222538046</v>
      </c>
      <c r="T190" s="2">
        <v>5.5499429211897</v>
      </c>
      <c r="U190" s="2">
        <v>0.0</v>
      </c>
      <c r="V190" s="2">
        <v>7.0</v>
      </c>
      <c r="W190" s="2">
        <v>5.0</v>
      </c>
      <c r="X190" s="2">
        <v>4.0</v>
      </c>
      <c r="Y190" s="2">
        <v>0.0</v>
      </c>
      <c r="Z190" s="2">
        <v>15.0</v>
      </c>
      <c r="AA190" s="2">
        <v>65.0</v>
      </c>
      <c r="AB190" s="2">
        <v>0.0</v>
      </c>
      <c r="AC190" s="2">
        <v>0.0</v>
      </c>
      <c r="AD190" s="2">
        <v>0.0</v>
      </c>
      <c r="AE190" s="2">
        <v>3.0</v>
      </c>
      <c r="AF190" s="2">
        <v>-3.20643433806169</v>
      </c>
      <c r="AG190" s="2">
        <v>0.0</v>
      </c>
      <c r="AH190" s="2">
        <v>2.0</v>
      </c>
      <c r="AI190" s="2">
        <v>2.0</v>
      </c>
      <c r="AJ190" s="2">
        <v>0.0</v>
      </c>
      <c r="AK190" s="2">
        <v>0.0</v>
      </c>
      <c r="AL190" s="2">
        <v>26.0</v>
      </c>
      <c r="AM190" s="2">
        <v>34.0</v>
      </c>
      <c r="AN190" s="2">
        <v>222.0</v>
      </c>
      <c r="AO190" s="2">
        <v>1.0</v>
      </c>
      <c r="AP190" s="2">
        <v>0.0</v>
      </c>
      <c r="AQ190" s="2">
        <v>0.0</v>
      </c>
      <c r="AR190" s="2">
        <v>253.0</v>
      </c>
      <c r="AS190" s="2">
        <v>117.0</v>
      </c>
      <c r="AT190" s="2">
        <v>11.0</v>
      </c>
      <c r="AU190" s="2">
        <v>2.92080833902583</v>
      </c>
      <c r="AV190" s="2">
        <v>0.0</v>
      </c>
      <c r="AW190" s="2">
        <v>7.0</v>
      </c>
      <c r="AX190" s="2">
        <v>5.0</v>
      </c>
      <c r="AY190" s="2">
        <v>4.0</v>
      </c>
      <c r="AZ190" s="2">
        <v>0.0</v>
      </c>
      <c r="BA190" s="2">
        <v>0.0</v>
      </c>
      <c r="BB190" s="2">
        <v>34.0</v>
      </c>
      <c r="BC190" s="2">
        <v>2.0</v>
      </c>
      <c r="BD190" s="2">
        <v>34.0</v>
      </c>
      <c r="BE190" s="2">
        <v>8.0</v>
      </c>
      <c r="BF190" s="2">
        <v>32.0</v>
      </c>
      <c r="BG190" s="2">
        <v>0.0</v>
      </c>
      <c r="BH190" s="2">
        <v>2.0</v>
      </c>
      <c r="BI190" s="2">
        <v>16.0</v>
      </c>
      <c r="BJ190" s="2">
        <v>7.0</v>
      </c>
      <c r="BK190" s="2">
        <v>1.0</v>
      </c>
      <c r="BL190" s="2">
        <v>1.0</v>
      </c>
      <c r="BM190" s="2">
        <v>4.0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0.0</v>
      </c>
      <c r="BU190" s="2">
        <v>0.0</v>
      </c>
      <c r="BV190" s="2">
        <v>0.0</v>
      </c>
      <c r="BW190" s="2">
        <v>7.0</v>
      </c>
      <c r="BX190" s="2">
        <v>34.0</v>
      </c>
      <c r="BY190" s="2">
        <v>5.0</v>
      </c>
      <c r="BZ190" s="2">
        <v>1.0</v>
      </c>
      <c r="CA190" s="2">
        <v>1.0</v>
      </c>
      <c r="CB190" s="2">
        <v>0.0</v>
      </c>
      <c r="CC190" s="2">
        <v>2.0</v>
      </c>
      <c r="CD190" s="2">
        <v>2.0</v>
      </c>
      <c r="CE190" s="2">
        <v>0.0</v>
      </c>
      <c r="CF190" s="2">
        <v>0.0</v>
      </c>
      <c r="CG190" s="2">
        <v>3.0</v>
      </c>
      <c r="CH190" s="2">
        <v>66.0</v>
      </c>
      <c r="CI190" s="2">
        <v>1.0</v>
      </c>
      <c r="CJ190" s="2">
        <v>1.0</v>
      </c>
      <c r="CK190" s="2">
        <v>0.0</v>
      </c>
      <c r="CL190" s="2">
        <v>0.0</v>
      </c>
      <c r="CM190" s="2">
        <v>46.0</v>
      </c>
      <c r="CN190" s="2">
        <v>1.0</v>
      </c>
      <c r="CO190" s="2">
        <v>0.0</v>
      </c>
      <c r="CP190" s="2">
        <v>0.0</v>
      </c>
      <c r="CQ190" s="2">
        <v>0.0</v>
      </c>
      <c r="CR190" s="2">
        <v>1.0</v>
      </c>
      <c r="CS190" s="2">
        <v>0.0</v>
      </c>
      <c r="CT190" s="2">
        <v>0.0</v>
      </c>
      <c r="CU190" s="2">
        <v>0.0</v>
      </c>
      <c r="CV190" s="2">
        <v>0.0</v>
      </c>
      <c r="CW190" s="2">
        <v>0.0</v>
      </c>
      <c r="CX190" s="2">
        <v>0.0</v>
      </c>
      <c r="CY190" s="2">
        <v>0.0</v>
      </c>
      <c r="CZ190" s="2">
        <v>0.0</v>
      </c>
      <c r="DA190" s="2" t="s">
        <v>1960</v>
      </c>
      <c r="DD190" s="2">
        <v>46.0</v>
      </c>
      <c r="DE190" s="2">
        <v>0.0</v>
      </c>
      <c r="DF190" s="2">
        <v>0.0</v>
      </c>
      <c r="DG190" s="2">
        <v>1.0</v>
      </c>
      <c r="DH190" s="2">
        <v>1.0</v>
      </c>
      <c r="DI190" s="2">
        <v>0.0</v>
      </c>
      <c r="DJ190" s="2">
        <v>0.0</v>
      </c>
      <c r="DK190" s="2">
        <v>1.0</v>
      </c>
      <c r="DL190" s="2">
        <v>0.0</v>
      </c>
      <c r="DM190" s="2">
        <v>0.0</v>
      </c>
      <c r="DN190" s="2">
        <v>0.0</v>
      </c>
      <c r="DO190" s="2">
        <v>0.0</v>
      </c>
      <c r="DP190" s="2">
        <v>0.0</v>
      </c>
      <c r="DQ190" s="2">
        <v>5.0</v>
      </c>
      <c r="DR190" s="2">
        <v>0.0</v>
      </c>
      <c r="DS190" s="2">
        <v>53.0</v>
      </c>
      <c r="DT190" s="2">
        <v>220.0</v>
      </c>
      <c r="DU190" s="2">
        <v>0.0</v>
      </c>
      <c r="DV190" s="2">
        <v>1.0</v>
      </c>
      <c r="DW190" s="2">
        <v>0.0</v>
      </c>
      <c r="DX190" s="2">
        <v>0.0</v>
      </c>
      <c r="DY190" s="2">
        <v>1.0</v>
      </c>
      <c r="DZ190" s="2">
        <v>3.0</v>
      </c>
      <c r="EA190" s="2">
        <v>47.0</v>
      </c>
      <c r="EB190" s="2">
        <v>0.0</v>
      </c>
      <c r="EC190" s="2">
        <v>173.0</v>
      </c>
      <c r="EE190" s="2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2">
        <v>2025.0</v>
      </c>
      <c r="B191" s="2">
        <v>6.0</v>
      </c>
      <c r="C191" s="2" t="s">
        <v>253</v>
      </c>
      <c r="D191" s="2" t="s">
        <v>390</v>
      </c>
      <c r="E191" s="2" t="s">
        <v>779</v>
      </c>
      <c r="F191" s="2" t="s">
        <v>137</v>
      </c>
      <c r="G191" s="2">
        <v>19.0</v>
      </c>
      <c r="H191" s="2">
        <v>26.0</v>
      </c>
      <c r="I191" s="2">
        <v>211.0</v>
      </c>
      <c r="J191" s="2">
        <v>3.0</v>
      </c>
      <c r="K191" s="2">
        <v>1.0</v>
      </c>
      <c r="L191" s="2">
        <v>3.0</v>
      </c>
      <c r="M191" s="2">
        <v>-6.0</v>
      </c>
      <c r="N191" s="2">
        <v>1.0</v>
      </c>
      <c r="O191" s="2">
        <v>0.0</v>
      </c>
      <c r="P191" s="2">
        <v>212.0</v>
      </c>
      <c r="Q191" s="2">
        <v>70.0</v>
      </c>
      <c r="R191" s="2">
        <v>11.0</v>
      </c>
      <c r="S191" s="2">
        <v>6.43535753692699</v>
      </c>
      <c r="T191" s="2">
        <v>11.1469165732463</v>
      </c>
      <c r="U191" s="2">
        <v>0.0</v>
      </c>
      <c r="V191" s="2">
        <v>9.0</v>
      </c>
      <c r="W191" s="2">
        <v>3.0</v>
      </c>
      <c r="X191" s="2">
        <v>3.0</v>
      </c>
      <c r="Y191" s="2">
        <v>0.0</v>
      </c>
      <c r="Z191" s="2">
        <v>31.0</v>
      </c>
      <c r="AA191" s="2">
        <v>124.0</v>
      </c>
      <c r="AB191" s="2">
        <v>0.0</v>
      </c>
      <c r="AC191" s="2">
        <v>2.0</v>
      </c>
      <c r="AD191" s="2">
        <v>2.0</v>
      </c>
      <c r="AE191" s="2">
        <v>7.0</v>
      </c>
      <c r="AF191" s="2">
        <v>-10.1934748559142</v>
      </c>
      <c r="AG191" s="2">
        <v>0.0</v>
      </c>
      <c r="AH191" s="2">
        <v>3.0</v>
      </c>
      <c r="AI191" s="2">
        <v>2.0</v>
      </c>
      <c r="AJ191" s="2">
        <v>0.0</v>
      </c>
      <c r="AK191" s="2">
        <v>0.0</v>
      </c>
      <c r="AL191" s="2">
        <v>19.0</v>
      </c>
      <c r="AM191" s="2">
        <v>24.0</v>
      </c>
      <c r="AN191" s="2">
        <v>211.0</v>
      </c>
      <c r="AO191" s="2">
        <v>3.0</v>
      </c>
      <c r="AP191" s="2">
        <v>0.0</v>
      </c>
      <c r="AQ191" s="2">
        <v>0.0</v>
      </c>
      <c r="AR191" s="2">
        <v>212.0</v>
      </c>
      <c r="AS191" s="2">
        <v>70.0</v>
      </c>
      <c r="AT191" s="2">
        <v>11.0</v>
      </c>
      <c r="AU191" s="2">
        <v>12.5593845635114</v>
      </c>
      <c r="AV191" s="2">
        <v>0.0</v>
      </c>
      <c r="AW191" s="2">
        <v>9.0</v>
      </c>
      <c r="AX191" s="2">
        <v>3.0</v>
      </c>
      <c r="AY191" s="2">
        <v>3.0</v>
      </c>
      <c r="AZ191" s="2">
        <v>0.0</v>
      </c>
      <c r="BA191" s="2">
        <v>0.0</v>
      </c>
      <c r="BB191" s="2">
        <v>30.0</v>
      </c>
      <c r="BC191" s="2">
        <v>1.0</v>
      </c>
      <c r="BD191" s="2">
        <v>39.0</v>
      </c>
      <c r="BE191" s="2">
        <v>4.0</v>
      </c>
      <c r="BF191" s="2">
        <v>16.0</v>
      </c>
      <c r="BG191" s="2">
        <v>0.0</v>
      </c>
      <c r="BH191" s="2">
        <v>3.0</v>
      </c>
      <c r="BI191" s="2">
        <v>16.0</v>
      </c>
      <c r="BJ191" s="2">
        <v>5.0</v>
      </c>
      <c r="BK191" s="2">
        <v>0.0</v>
      </c>
      <c r="BL191" s="2">
        <v>0.0</v>
      </c>
      <c r="BM191" s="2">
        <v>5.0</v>
      </c>
      <c r="BN191" s="2">
        <v>0.0</v>
      </c>
      <c r="BO191" s="2">
        <v>0.0</v>
      </c>
      <c r="BP191" s="2">
        <v>0.0</v>
      </c>
      <c r="BQ191" s="2">
        <v>0.0</v>
      </c>
      <c r="BR191" s="2">
        <v>1.0</v>
      </c>
      <c r="BS191" s="2">
        <v>-4.0</v>
      </c>
      <c r="BT191" s="2">
        <v>0.0</v>
      </c>
      <c r="BU191" s="2">
        <v>0.0</v>
      </c>
      <c r="BV191" s="2">
        <v>0.0</v>
      </c>
      <c r="BW191" s="2">
        <v>5.0</v>
      </c>
      <c r="BX191" s="2">
        <v>40.0</v>
      </c>
      <c r="BY191" s="2">
        <v>5.0</v>
      </c>
      <c r="BZ191" s="2">
        <v>1.0</v>
      </c>
      <c r="CA191" s="2">
        <v>2.0</v>
      </c>
      <c r="CB191" s="2">
        <v>0.0</v>
      </c>
      <c r="CC191" s="2">
        <v>3.0</v>
      </c>
      <c r="CD191" s="2">
        <v>2.0</v>
      </c>
      <c r="CE191" s="2">
        <v>1.0</v>
      </c>
      <c r="CF191" s="2">
        <v>9.0</v>
      </c>
      <c r="CG191" s="2">
        <v>4.0</v>
      </c>
      <c r="CH191" s="2">
        <v>127.0</v>
      </c>
      <c r="CI191" s="2">
        <v>1.0</v>
      </c>
      <c r="CJ191" s="2">
        <v>2.0</v>
      </c>
      <c r="CK191" s="2">
        <v>1.0</v>
      </c>
      <c r="CL191" s="2">
        <v>0.0</v>
      </c>
      <c r="CM191" s="2">
        <v>53.0</v>
      </c>
      <c r="CN191" s="2">
        <v>0.5</v>
      </c>
      <c r="CO191" s="2">
        <v>0.0</v>
      </c>
      <c r="CP191" s="2">
        <v>0.0</v>
      </c>
      <c r="CQ191" s="2">
        <v>0.0</v>
      </c>
      <c r="CR191" s="2">
        <v>0.0</v>
      </c>
      <c r="CS191" s="2">
        <v>1.0</v>
      </c>
      <c r="CT191" s="2">
        <v>0.0</v>
      </c>
      <c r="CU191" s="2">
        <v>0.0</v>
      </c>
      <c r="CV191" s="2">
        <v>0.0</v>
      </c>
      <c r="CW191" s="2">
        <v>0.0</v>
      </c>
      <c r="CX191" s="2">
        <v>0.0</v>
      </c>
      <c r="CY191" s="2">
        <v>1.0</v>
      </c>
      <c r="CZ191" s="2">
        <v>0.0</v>
      </c>
      <c r="DA191" s="2" t="s">
        <v>2072</v>
      </c>
      <c r="DB191" s="2" t="s">
        <v>1967</v>
      </c>
      <c r="DD191" s="2">
        <v>53.0</v>
      </c>
      <c r="DE191" s="2">
        <v>50.0</v>
      </c>
      <c r="DF191" s="2">
        <v>0.0</v>
      </c>
      <c r="DG191" s="2">
        <v>3.0</v>
      </c>
      <c r="DH191" s="2">
        <v>3.0</v>
      </c>
      <c r="DI191" s="2">
        <v>0.0</v>
      </c>
      <c r="DJ191" s="2">
        <v>0.0</v>
      </c>
      <c r="DK191" s="2">
        <v>1.0</v>
      </c>
      <c r="DL191" s="2">
        <v>0.0</v>
      </c>
      <c r="DM191" s="2">
        <v>0.0</v>
      </c>
      <c r="DN191" s="2">
        <v>0.0</v>
      </c>
      <c r="DO191" s="2">
        <v>0.0</v>
      </c>
      <c r="DP191" s="2">
        <v>0.0</v>
      </c>
      <c r="DQ191" s="2">
        <v>1.0</v>
      </c>
      <c r="DR191" s="2">
        <v>0.0</v>
      </c>
      <c r="DS191" s="2">
        <v>30.0</v>
      </c>
      <c r="DT191" s="2">
        <v>30.0</v>
      </c>
      <c r="DU191" s="2">
        <v>1.0</v>
      </c>
      <c r="DV191" s="2">
        <v>0.0</v>
      </c>
      <c r="DW191" s="2">
        <v>0.0</v>
      </c>
      <c r="DX191" s="2">
        <v>0.0</v>
      </c>
      <c r="DY191" s="2">
        <v>1.0</v>
      </c>
      <c r="DZ191" s="2">
        <v>0.0</v>
      </c>
      <c r="EA191" s="2">
        <v>0.0</v>
      </c>
      <c r="EB191" s="2">
        <v>0.0</v>
      </c>
      <c r="EC191" s="2">
        <v>30.0</v>
      </c>
      <c r="EE191" s="2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2">
        <v>2025.0</v>
      </c>
      <c r="B192" s="2">
        <v>7.0</v>
      </c>
      <c r="C192" s="2" t="s">
        <v>178</v>
      </c>
      <c r="D192" s="2" t="s">
        <v>390</v>
      </c>
      <c r="E192" s="2" t="s">
        <v>803</v>
      </c>
      <c r="F192" s="2" t="s">
        <v>205</v>
      </c>
      <c r="G192" s="2">
        <v>25.0</v>
      </c>
      <c r="H192" s="2">
        <v>36.0</v>
      </c>
      <c r="I192" s="2">
        <v>279.0</v>
      </c>
      <c r="J192" s="2">
        <v>2.0</v>
      </c>
      <c r="K192" s="2">
        <v>0.0</v>
      </c>
      <c r="L192" s="2">
        <v>6.0</v>
      </c>
      <c r="M192" s="2">
        <v>-43.0</v>
      </c>
      <c r="N192" s="2">
        <v>1.0</v>
      </c>
      <c r="O192" s="2">
        <v>1.0</v>
      </c>
      <c r="P192" s="2">
        <v>312.0</v>
      </c>
      <c r="Q192" s="2">
        <v>99.0</v>
      </c>
      <c r="R192" s="2">
        <v>13.0</v>
      </c>
      <c r="S192" s="2">
        <v>1.03583326067102</v>
      </c>
      <c r="T192" s="2">
        <v>4.73095739589018</v>
      </c>
      <c r="U192" s="2">
        <v>0.0</v>
      </c>
      <c r="V192" s="2">
        <v>10.0</v>
      </c>
      <c r="W192" s="2">
        <v>5.0</v>
      </c>
      <c r="X192" s="2">
        <v>4.0</v>
      </c>
      <c r="Y192" s="2">
        <v>1.0</v>
      </c>
      <c r="Z192" s="2">
        <v>28.0</v>
      </c>
      <c r="AA192" s="2">
        <v>94.0</v>
      </c>
      <c r="AB192" s="2">
        <v>0.0</v>
      </c>
      <c r="AC192" s="2">
        <v>0.0</v>
      </c>
      <c r="AD192" s="2">
        <v>0.0</v>
      </c>
      <c r="AE192" s="2">
        <v>5.0</v>
      </c>
      <c r="AF192" s="2">
        <v>-4.69061251747189</v>
      </c>
      <c r="AG192" s="2">
        <v>0.0</v>
      </c>
      <c r="AH192" s="2">
        <v>1.0</v>
      </c>
      <c r="AI192" s="2">
        <v>0.0</v>
      </c>
      <c r="AJ192" s="2">
        <v>0.0</v>
      </c>
      <c r="AK192" s="2">
        <v>0.0</v>
      </c>
      <c r="AL192" s="2">
        <v>25.0</v>
      </c>
      <c r="AM192" s="2">
        <v>34.0</v>
      </c>
      <c r="AN192" s="2">
        <v>279.0</v>
      </c>
      <c r="AO192" s="2">
        <v>2.0</v>
      </c>
      <c r="AP192" s="2">
        <v>0.0</v>
      </c>
      <c r="AQ192" s="2">
        <v>0.0</v>
      </c>
      <c r="AR192" s="2">
        <v>312.0</v>
      </c>
      <c r="AS192" s="2">
        <v>99.0</v>
      </c>
      <c r="AT192" s="2">
        <v>13.0</v>
      </c>
      <c r="AU192" s="2">
        <v>16.3690378038769</v>
      </c>
      <c r="AV192" s="2">
        <v>0.0</v>
      </c>
      <c r="AW192" s="2">
        <v>10.0</v>
      </c>
      <c r="AX192" s="2">
        <v>5.0</v>
      </c>
      <c r="AY192" s="2">
        <v>4.0</v>
      </c>
      <c r="AZ192" s="2">
        <v>1.0</v>
      </c>
      <c r="BA192" s="2">
        <v>0.0</v>
      </c>
      <c r="BB192" s="2">
        <v>31.0</v>
      </c>
      <c r="BC192" s="2">
        <v>2.0</v>
      </c>
      <c r="BD192" s="2">
        <v>22.0</v>
      </c>
      <c r="BE192" s="2">
        <v>5.0</v>
      </c>
      <c r="BF192" s="2">
        <v>16.0</v>
      </c>
      <c r="BG192" s="2">
        <v>1.0</v>
      </c>
      <c r="BH192" s="2">
        <v>1.0</v>
      </c>
      <c r="BI192" s="2">
        <v>11.0</v>
      </c>
      <c r="BJ192" s="2">
        <v>2.0</v>
      </c>
      <c r="BK192" s="2">
        <v>0.0</v>
      </c>
      <c r="BL192" s="2">
        <v>0.0</v>
      </c>
      <c r="BM192" s="2">
        <v>3.0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6.0</v>
      </c>
      <c r="BX192" s="2">
        <v>55.0</v>
      </c>
      <c r="BY192" s="2">
        <v>6.0</v>
      </c>
      <c r="BZ192" s="2">
        <v>1.0</v>
      </c>
      <c r="CA192" s="2">
        <v>0.0</v>
      </c>
      <c r="CB192" s="2">
        <v>0.0</v>
      </c>
      <c r="CC192" s="2">
        <v>1.0</v>
      </c>
      <c r="CD192" s="2">
        <v>1.0</v>
      </c>
      <c r="CE192" s="2">
        <v>1.0</v>
      </c>
      <c r="CF192" s="2">
        <v>13.0</v>
      </c>
      <c r="CG192" s="2">
        <v>3.0</v>
      </c>
      <c r="CH192" s="2">
        <v>88.0</v>
      </c>
      <c r="CI192" s="2">
        <v>3.0</v>
      </c>
      <c r="CJ192" s="2">
        <v>3.0</v>
      </c>
      <c r="CK192" s="2">
        <v>0.0</v>
      </c>
      <c r="CL192" s="2">
        <v>0.0</v>
      </c>
      <c r="CM192" s="2">
        <v>40.0</v>
      </c>
      <c r="CN192" s="2">
        <v>1.0</v>
      </c>
      <c r="CO192" s="2">
        <v>0.0</v>
      </c>
      <c r="CP192" s="2">
        <v>0.0</v>
      </c>
      <c r="CQ192" s="2">
        <v>2.0</v>
      </c>
      <c r="CR192" s="2">
        <v>1.0</v>
      </c>
      <c r="CS192" s="2">
        <v>0.0</v>
      </c>
      <c r="CT192" s="2">
        <v>0.0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0.0</v>
      </c>
      <c r="DA192" s="2" t="s">
        <v>2108</v>
      </c>
      <c r="DD192" s="2">
        <v>111.0</v>
      </c>
      <c r="DE192" s="2">
        <v>0.0</v>
      </c>
      <c r="DF192" s="2">
        <v>0.0</v>
      </c>
      <c r="DG192" s="2">
        <v>2.0</v>
      </c>
      <c r="DH192" s="2">
        <v>2.0</v>
      </c>
      <c r="DI192" s="2">
        <v>0.0</v>
      </c>
      <c r="DJ192" s="2">
        <v>0.0</v>
      </c>
      <c r="DK192" s="2">
        <v>1.0</v>
      </c>
      <c r="DL192" s="2">
        <v>0.0</v>
      </c>
      <c r="DM192" s="2">
        <v>0.0</v>
      </c>
      <c r="DN192" s="2">
        <v>0.0</v>
      </c>
      <c r="DO192" s="2">
        <v>0.0</v>
      </c>
      <c r="DP192" s="2">
        <v>0.0</v>
      </c>
      <c r="DQ192" s="2">
        <v>1.0</v>
      </c>
      <c r="DR192" s="2">
        <v>0.0</v>
      </c>
      <c r="DS192" s="2">
        <v>42.0</v>
      </c>
      <c r="DT192" s="2">
        <v>42.0</v>
      </c>
      <c r="DU192" s="2">
        <v>0.0</v>
      </c>
      <c r="DV192" s="2">
        <v>0.0</v>
      </c>
      <c r="DW192" s="2">
        <v>0.0</v>
      </c>
      <c r="DX192" s="2">
        <v>1.0</v>
      </c>
      <c r="DY192" s="2">
        <v>0.0</v>
      </c>
      <c r="DZ192" s="2">
        <v>0.0</v>
      </c>
      <c r="EA192" s="2">
        <v>0.0</v>
      </c>
      <c r="EB192" s="2">
        <v>0.0</v>
      </c>
      <c r="EC192" s="2">
        <v>22.0</v>
      </c>
      <c r="EE192" s="2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2">
        <v>2025.0</v>
      </c>
      <c r="B193" s="2">
        <v>7.0</v>
      </c>
      <c r="C193" s="2" t="s">
        <v>132</v>
      </c>
      <c r="D193" s="2" t="s">
        <v>390</v>
      </c>
      <c r="E193" s="2" t="s">
        <v>807</v>
      </c>
      <c r="F193" s="2" t="s">
        <v>246</v>
      </c>
      <c r="G193" s="2">
        <v>21.0</v>
      </c>
      <c r="H193" s="2">
        <v>38.0</v>
      </c>
      <c r="I193" s="2">
        <v>241.0</v>
      </c>
      <c r="J193" s="2">
        <v>1.0</v>
      </c>
      <c r="K193" s="2">
        <v>0.0</v>
      </c>
      <c r="L193" s="2">
        <v>2.0</v>
      </c>
      <c r="M193" s="2">
        <v>-11.0</v>
      </c>
      <c r="N193" s="2">
        <v>1.0</v>
      </c>
      <c r="O193" s="2">
        <v>1.0</v>
      </c>
      <c r="P193" s="2">
        <v>357.0</v>
      </c>
      <c r="Q193" s="2">
        <v>91.0</v>
      </c>
      <c r="R193" s="2">
        <v>13.0</v>
      </c>
      <c r="S193" s="2">
        <v>-6.73735714044105</v>
      </c>
      <c r="T193" s="2">
        <v>-5.80636155274179</v>
      </c>
      <c r="U193" s="2">
        <v>0.0</v>
      </c>
      <c r="V193" s="2">
        <v>12.0</v>
      </c>
      <c r="W193" s="2">
        <v>6.0</v>
      </c>
      <c r="X193" s="2">
        <v>1.0</v>
      </c>
      <c r="Y193" s="2">
        <v>0.0</v>
      </c>
      <c r="Z193" s="2">
        <v>20.0</v>
      </c>
      <c r="AA193" s="2">
        <v>62.0</v>
      </c>
      <c r="AB193" s="2">
        <v>0.0</v>
      </c>
      <c r="AC193" s="2">
        <v>0.0</v>
      </c>
      <c r="AD193" s="2">
        <v>0.0</v>
      </c>
      <c r="AE193" s="2">
        <v>3.0</v>
      </c>
      <c r="AF193" s="2">
        <v>-0.111203192675021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21.0</v>
      </c>
      <c r="AM193" s="2">
        <v>36.0</v>
      </c>
      <c r="AN193" s="2">
        <v>241.0</v>
      </c>
      <c r="AO193" s="2">
        <v>1.0</v>
      </c>
      <c r="AP193" s="2">
        <v>0.0</v>
      </c>
      <c r="AQ193" s="2">
        <v>0.0</v>
      </c>
      <c r="AR193" s="2">
        <v>357.0</v>
      </c>
      <c r="AS193" s="2">
        <v>91.0</v>
      </c>
      <c r="AT193" s="2">
        <v>13.0</v>
      </c>
      <c r="AU193" s="2">
        <v>2.71919914375758</v>
      </c>
      <c r="AV193" s="2">
        <v>0.0</v>
      </c>
      <c r="AW193" s="2">
        <v>12.0</v>
      </c>
      <c r="AX193" s="2">
        <v>6.0</v>
      </c>
      <c r="AY193" s="2">
        <v>1.0</v>
      </c>
      <c r="AZ193" s="2">
        <v>0.0</v>
      </c>
      <c r="BA193" s="2">
        <v>0.0</v>
      </c>
      <c r="BB193" s="2">
        <v>37.0</v>
      </c>
      <c r="BC193" s="2">
        <v>2.0</v>
      </c>
      <c r="BD193" s="2">
        <v>36.0</v>
      </c>
      <c r="BE193" s="2">
        <v>7.0</v>
      </c>
      <c r="BF193" s="2">
        <v>16.0</v>
      </c>
      <c r="BG193" s="2">
        <v>0.0</v>
      </c>
      <c r="BH193" s="2">
        <v>1.0</v>
      </c>
      <c r="BI193" s="2">
        <v>2.0</v>
      </c>
      <c r="BJ193" s="2">
        <v>4.0</v>
      </c>
      <c r="BK193" s="2">
        <v>1.0</v>
      </c>
      <c r="BL193" s="2">
        <v>16.0</v>
      </c>
      <c r="BM193" s="2">
        <v>2.0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6.0</v>
      </c>
      <c r="BX193" s="2">
        <v>43.0</v>
      </c>
      <c r="BY193" s="2">
        <v>6.0</v>
      </c>
      <c r="BZ193" s="2">
        <v>1.0</v>
      </c>
      <c r="CA193" s="2">
        <v>0.0</v>
      </c>
      <c r="CB193" s="2">
        <v>0.0</v>
      </c>
      <c r="CC193" s="2">
        <v>1.0</v>
      </c>
      <c r="CD193" s="2">
        <v>1.0</v>
      </c>
      <c r="CE193" s="2">
        <v>2.0</v>
      </c>
      <c r="CF193" s="2">
        <v>18.0</v>
      </c>
      <c r="CG193" s="2">
        <v>5.0</v>
      </c>
      <c r="CH193" s="2">
        <v>106.0</v>
      </c>
      <c r="CI193" s="2">
        <v>1.0</v>
      </c>
      <c r="CJ193" s="2">
        <v>1.0</v>
      </c>
      <c r="CK193" s="2">
        <v>0.0</v>
      </c>
      <c r="CL193" s="2">
        <v>0.0</v>
      </c>
      <c r="CM193" s="2">
        <v>38.0</v>
      </c>
      <c r="CN193" s="2">
        <v>1.0</v>
      </c>
      <c r="CO193" s="2">
        <v>0.0</v>
      </c>
      <c r="CP193" s="2">
        <v>0.0</v>
      </c>
      <c r="CQ193" s="2">
        <v>1.0</v>
      </c>
      <c r="CR193" s="2">
        <v>0.0</v>
      </c>
      <c r="CS193" s="2">
        <v>0.0</v>
      </c>
      <c r="CT193" s="2">
        <v>0.0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0.0</v>
      </c>
      <c r="DA193" s="2" t="s">
        <v>1999</v>
      </c>
      <c r="DD193" s="2">
        <v>38.0</v>
      </c>
      <c r="DE193" s="2">
        <v>0.0</v>
      </c>
      <c r="DF193" s="2">
        <v>0.0</v>
      </c>
      <c r="DG193" s="2">
        <v>1.0</v>
      </c>
      <c r="DH193" s="2">
        <v>1.0</v>
      </c>
      <c r="DI193" s="2">
        <v>0.0</v>
      </c>
      <c r="DJ193" s="2">
        <v>0.0</v>
      </c>
      <c r="DK193" s="2">
        <v>1.0</v>
      </c>
      <c r="DL193" s="2">
        <v>0.0</v>
      </c>
      <c r="DM193" s="2">
        <v>0.0</v>
      </c>
      <c r="DN193" s="2">
        <v>0.0</v>
      </c>
      <c r="DO193" s="2">
        <v>0.0</v>
      </c>
      <c r="DP193" s="2">
        <v>0.0</v>
      </c>
      <c r="DQ193" s="2">
        <v>3.0</v>
      </c>
      <c r="DR193" s="2">
        <v>0.0</v>
      </c>
      <c r="DS193" s="2">
        <v>61.0</v>
      </c>
      <c r="DT193" s="2">
        <v>152.0</v>
      </c>
      <c r="DU193" s="2">
        <v>2.0</v>
      </c>
      <c r="DV193" s="2">
        <v>0.0</v>
      </c>
      <c r="DW193" s="2">
        <v>1.0</v>
      </c>
      <c r="DX193" s="2">
        <v>1.0</v>
      </c>
      <c r="DY193" s="2">
        <v>0.0</v>
      </c>
      <c r="DZ193" s="2">
        <v>1.0</v>
      </c>
      <c r="EA193" s="2">
        <v>8.0</v>
      </c>
      <c r="EB193" s="2">
        <v>0.0</v>
      </c>
      <c r="EC193" s="2">
        <v>124.0</v>
      </c>
      <c r="EE193" s="2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2">
        <v>2025.0</v>
      </c>
      <c r="B194" s="2">
        <v>7.0</v>
      </c>
      <c r="C194" s="2" t="s">
        <v>189</v>
      </c>
      <c r="D194" s="2" t="s">
        <v>390</v>
      </c>
      <c r="E194" s="2" t="s">
        <v>795</v>
      </c>
      <c r="F194" s="2" t="s">
        <v>238</v>
      </c>
      <c r="G194" s="2">
        <v>19.0</v>
      </c>
      <c r="H194" s="2">
        <v>32.0</v>
      </c>
      <c r="I194" s="2">
        <v>198.0</v>
      </c>
      <c r="J194" s="2">
        <v>1.0</v>
      </c>
      <c r="K194" s="2">
        <v>0.0</v>
      </c>
      <c r="L194" s="2">
        <v>2.0</v>
      </c>
      <c r="M194" s="2">
        <v>-21.0</v>
      </c>
      <c r="N194" s="2">
        <v>0.0</v>
      </c>
      <c r="O194" s="2">
        <v>0.0</v>
      </c>
      <c r="P194" s="2">
        <v>233.0</v>
      </c>
      <c r="Q194" s="2">
        <v>113.0</v>
      </c>
      <c r="R194" s="2">
        <v>10.0</v>
      </c>
      <c r="S194" s="2">
        <v>-2.60615580541302</v>
      </c>
      <c r="T194" s="2">
        <v>-2.08312849844656</v>
      </c>
      <c r="U194" s="2">
        <v>0.0</v>
      </c>
      <c r="V194" s="2">
        <v>10.0</v>
      </c>
      <c r="W194" s="2">
        <v>3.0</v>
      </c>
      <c r="X194" s="2">
        <v>2.0</v>
      </c>
      <c r="Y194" s="2">
        <v>0.0</v>
      </c>
      <c r="Z194" s="2">
        <v>36.0</v>
      </c>
      <c r="AA194" s="2">
        <v>125.0</v>
      </c>
      <c r="AB194" s="2">
        <v>0.0</v>
      </c>
      <c r="AC194" s="2">
        <v>0.0</v>
      </c>
      <c r="AD194" s="2">
        <v>0.0</v>
      </c>
      <c r="AE194" s="2">
        <v>7.0</v>
      </c>
      <c r="AF194" s="2">
        <v>-4.53180414671078</v>
      </c>
      <c r="AG194" s="2">
        <v>0.0</v>
      </c>
      <c r="AH194" s="2">
        <v>4.0</v>
      </c>
      <c r="AI194" s="2">
        <v>3.0</v>
      </c>
      <c r="AJ194" s="2">
        <v>0.0</v>
      </c>
      <c r="AK194" s="2">
        <v>0.0</v>
      </c>
      <c r="AL194" s="2">
        <v>19.0</v>
      </c>
      <c r="AM194" s="2">
        <v>31.0</v>
      </c>
      <c r="AN194" s="2">
        <v>198.0</v>
      </c>
      <c r="AO194" s="2">
        <v>1.0</v>
      </c>
      <c r="AP194" s="2">
        <v>0.0</v>
      </c>
      <c r="AQ194" s="2">
        <v>0.0</v>
      </c>
      <c r="AR194" s="2">
        <v>233.0</v>
      </c>
      <c r="AS194" s="2">
        <v>113.0</v>
      </c>
      <c r="AT194" s="2">
        <v>10.0</v>
      </c>
      <c r="AU194" s="2">
        <v>2.94208783399559</v>
      </c>
      <c r="AV194" s="2">
        <v>0.0</v>
      </c>
      <c r="AW194" s="2">
        <v>10.0</v>
      </c>
      <c r="AX194" s="2">
        <v>3.0</v>
      </c>
      <c r="AY194" s="2">
        <v>2.0</v>
      </c>
      <c r="AZ194" s="2">
        <v>0.0</v>
      </c>
      <c r="BA194" s="2">
        <v>0.0</v>
      </c>
      <c r="BB194" s="2">
        <v>32.0</v>
      </c>
      <c r="BC194" s="2">
        <v>0.0</v>
      </c>
      <c r="BD194" s="2">
        <v>28.0</v>
      </c>
      <c r="BE194" s="2">
        <v>3.0</v>
      </c>
      <c r="BF194" s="2">
        <v>22.0</v>
      </c>
      <c r="BG194" s="2">
        <v>0.0</v>
      </c>
      <c r="BH194" s="2">
        <v>6.0</v>
      </c>
      <c r="BI194" s="2">
        <v>33.0</v>
      </c>
      <c r="BJ194" s="2">
        <v>11.0</v>
      </c>
      <c r="BK194" s="2">
        <v>2.0</v>
      </c>
      <c r="BL194" s="2">
        <v>0.0</v>
      </c>
      <c r="BM194" s="2">
        <v>9.0</v>
      </c>
      <c r="BN194" s="2">
        <v>0.0</v>
      </c>
      <c r="BO194" s="2">
        <v>0.0</v>
      </c>
      <c r="BP194" s="2">
        <v>0.0</v>
      </c>
      <c r="BQ194" s="2">
        <v>0.0</v>
      </c>
      <c r="BR194" s="2">
        <v>1.0</v>
      </c>
      <c r="BS194" s="2">
        <v>0.0</v>
      </c>
      <c r="BT194" s="2">
        <v>0.0</v>
      </c>
      <c r="BU194" s="2">
        <v>0.0</v>
      </c>
      <c r="BV194" s="2">
        <v>0.0</v>
      </c>
      <c r="BW194" s="2">
        <v>6.0</v>
      </c>
      <c r="BX194" s="2">
        <v>45.0</v>
      </c>
      <c r="BY194" s="2">
        <v>3.0</v>
      </c>
      <c r="BZ194" s="2">
        <v>0.0</v>
      </c>
      <c r="CA194" s="2">
        <v>1.0</v>
      </c>
      <c r="CB194" s="2">
        <v>0.0</v>
      </c>
      <c r="CC194" s="2">
        <v>1.0</v>
      </c>
      <c r="CD194" s="2">
        <v>0.0</v>
      </c>
      <c r="CE194" s="2">
        <v>3.0</v>
      </c>
      <c r="CF194" s="2">
        <v>35.0</v>
      </c>
      <c r="CG194" s="2">
        <v>1.0</v>
      </c>
      <c r="CH194" s="2">
        <v>45.0</v>
      </c>
      <c r="CI194" s="2">
        <v>2.0</v>
      </c>
      <c r="CJ194" s="2">
        <v>2.0</v>
      </c>
      <c r="CK194" s="2">
        <v>0.0</v>
      </c>
      <c r="CL194" s="2">
        <v>0.0</v>
      </c>
      <c r="CM194" s="2">
        <v>30.0</v>
      </c>
      <c r="CN194" s="2">
        <v>1.0</v>
      </c>
      <c r="CO194" s="2">
        <v>0.0</v>
      </c>
      <c r="CP194" s="2">
        <v>1.0</v>
      </c>
      <c r="CQ194" s="2">
        <v>1.0</v>
      </c>
      <c r="CR194" s="2">
        <v>0.0</v>
      </c>
      <c r="CS194" s="2">
        <v>0.0</v>
      </c>
      <c r="CT194" s="2">
        <v>0.0</v>
      </c>
      <c r="CU194" s="2">
        <v>0.0</v>
      </c>
      <c r="CV194" s="2">
        <v>0.0</v>
      </c>
      <c r="CW194" s="2">
        <v>0.0</v>
      </c>
      <c r="CX194" s="2">
        <v>0.0</v>
      </c>
      <c r="CY194" s="2">
        <v>0.0</v>
      </c>
      <c r="CZ194" s="2">
        <v>0.0</v>
      </c>
      <c r="DA194" s="2" t="s">
        <v>2109</v>
      </c>
      <c r="DD194" s="2">
        <v>59.0</v>
      </c>
      <c r="DE194" s="2">
        <v>0.0</v>
      </c>
      <c r="DF194" s="2">
        <v>0.0</v>
      </c>
      <c r="DG194" s="2">
        <v>1.0</v>
      </c>
      <c r="DH194" s="2">
        <v>1.0</v>
      </c>
      <c r="DI194" s="2">
        <v>0.0</v>
      </c>
      <c r="DJ194" s="2">
        <v>0.0</v>
      </c>
      <c r="DK194" s="2">
        <v>1.0</v>
      </c>
      <c r="DL194" s="2">
        <v>0.0</v>
      </c>
      <c r="DM194" s="2">
        <v>0.0</v>
      </c>
      <c r="DN194" s="2">
        <v>0.0</v>
      </c>
      <c r="DO194" s="2">
        <v>0.0</v>
      </c>
      <c r="DP194" s="2">
        <v>0.0</v>
      </c>
      <c r="DQ194" s="2">
        <v>6.0</v>
      </c>
      <c r="DR194" s="2">
        <v>0.0</v>
      </c>
      <c r="DS194" s="2">
        <v>68.0</v>
      </c>
      <c r="DT194" s="2">
        <v>276.0</v>
      </c>
      <c r="DU194" s="2">
        <v>4.0</v>
      </c>
      <c r="DV194" s="2">
        <v>1.0</v>
      </c>
      <c r="DW194" s="2">
        <v>1.0</v>
      </c>
      <c r="DX194" s="2">
        <v>0.0</v>
      </c>
      <c r="DY194" s="2">
        <v>2.0</v>
      </c>
      <c r="DZ194" s="2">
        <v>2.0</v>
      </c>
      <c r="EA194" s="2">
        <v>14.0</v>
      </c>
      <c r="EB194" s="2">
        <v>0.0</v>
      </c>
      <c r="EC194" s="2">
        <v>262.0</v>
      </c>
      <c r="EE194" s="2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2">
        <v>2025.0</v>
      </c>
      <c r="B195" s="2">
        <v>7.0</v>
      </c>
      <c r="C195" s="2" t="s">
        <v>137</v>
      </c>
      <c r="D195" s="2" t="s">
        <v>390</v>
      </c>
      <c r="E195" s="2" t="s">
        <v>787</v>
      </c>
      <c r="F195" s="2" t="s">
        <v>232</v>
      </c>
      <c r="G195" s="2">
        <v>15.0</v>
      </c>
      <c r="H195" s="2">
        <v>26.0</v>
      </c>
      <c r="I195" s="2">
        <v>172.0</v>
      </c>
      <c r="J195" s="2">
        <v>0.0</v>
      </c>
      <c r="K195" s="2">
        <v>1.0</v>
      </c>
      <c r="L195" s="2">
        <v>1.0</v>
      </c>
      <c r="M195" s="2">
        <v>-8.0</v>
      </c>
      <c r="N195" s="2">
        <v>0.0</v>
      </c>
      <c r="O195" s="2">
        <v>0.0</v>
      </c>
      <c r="P195" s="2">
        <v>220.0</v>
      </c>
      <c r="Q195" s="2">
        <v>89.0</v>
      </c>
      <c r="R195" s="2">
        <v>10.0</v>
      </c>
      <c r="S195" s="2">
        <v>2.14981481758289</v>
      </c>
      <c r="T195" s="2">
        <v>-3.22877073287964</v>
      </c>
      <c r="U195" s="2">
        <v>0.0</v>
      </c>
      <c r="V195" s="2">
        <v>7.0</v>
      </c>
      <c r="W195" s="2">
        <v>4.0</v>
      </c>
      <c r="X195" s="2">
        <v>3.0</v>
      </c>
      <c r="Y195" s="2">
        <v>0.0</v>
      </c>
      <c r="Z195" s="2">
        <v>40.0</v>
      </c>
      <c r="AA195" s="2">
        <v>222.0</v>
      </c>
      <c r="AB195" s="2">
        <v>2.0</v>
      </c>
      <c r="AC195" s="2">
        <v>2.0</v>
      </c>
      <c r="AD195" s="2">
        <v>0.0</v>
      </c>
      <c r="AE195" s="2">
        <v>13.0</v>
      </c>
      <c r="AF195" s="2">
        <v>0.568117163275794</v>
      </c>
      <c r="AG195" s="2">
        <v>0.0</v>
      </c>
      <c r="AH195" s="2">
        <v>9.0</v>
      </c>
      <c r="AI195" s="2">
        <v>5.0</v>
      </c>
      <c r="AJ195" s="2">
        <v>2.0</v>
      </c>
      <c r="AK195" s="2">
        <v>0.0</v>
      </c>
      <c r="AL195" s="2">
        <v>15.0</v>
      </c>
      <c r="AM195" s="2">
        <v>25.0</v>
      </c>
      <c r="AN195" s="2">
        <v>172.0</v>
      </c>
      <c r="AO195" s="2">
        <v>0.0</v>
      </c>
      <c r="AP195" s="2">
        <v>0.0</v>
      </c>
      <c r="AQ195" s="2">
        <v>0.0</v>
      </c>
      <c r="AR195" s="2">
        <v>220.0</v>
      </c>
      <c r="AS195" s="2">
        <v>89.0</v>
      </c>
      <c r="AT195" s="2">
        <v>10.0</v>
      </c>
      <c r="AU195" s="2">
        <v>5.29047870243085</v>
      </c>
      <c r="AV195" s="2">
        <v>0.0</v>
      </c>
      <c r="AW195" s="2">
        <v>7.0</v>
      </c>
      <c r="AX195" s="2">
        <v>4.0</v>
      </c>
      <c r="AY195" s="2">
        <v>3.0</v>
      </c>
      <c r="AZ195" s="2">
        <v>0.0</v>
      </c>
      <c r="BA195" s="2">
        <v>0.0</v>
      </c>
      <c r="BB195" s="2">
        <v>34.0</v>
      </c>
      <c r="BC195" s="2">
        <v>1.0</v>
      </c>
      <c r="BD195" s="2">
        <v>17.0</v>
      </c>
      <c r="BE195" s="2">
        <v>7.0</v>
      </c>
      <c r="BF195" s="2">
        <v>36.0</v>
      </c>
      <c r="BG195" s="2">
        <v>1.0</v>
      </c>
      <c r="BH195" s="2">
        <v>4.0</v>
      </c>
      <c r="BI195" s="2">
        <v>24.0</v>
      </c>
      <c r="BJ195" s="2">
        <v>7.0</v>
      </c>
      <c r="BK195" s="2">
        <v>3.0</v>
      </c>
      <c r="BL195" s="2">
        <v>48.0</v>
      </c>
      <c r="BM195" s="2">
        <v>9.0</v>
      </c>
      <c r="BN195" s="2">
        <v>0.0</v>
      </c>
      <c r="BO195" s="2">
        <v>0.0</v>
      </c>
      <c r="BP195" s="2">
        <v>0.0</v>
      </c>
      <c r="BQ195" s="2">
        <v>0.0</v>
      </c>
      <c r="BR195" s="2">
        <v>2.0</v>
      </c>
      <c r="BS195" s="2">
        <v>-5.0</v>
      </c>
      <c r="BT195" s="2">
        <v>1.0</v>
      </c>
      <c r="BU195" s="2">
        <v>0.0</v>
      </c>
      <c r="BV195" s="2">
        <v>0.0</v>
      </c>
      <c r="BW195" s="2">
        <v>10.0</v>
      </c>
      <c r="BX195" s="2">
        <v>92.0</v>
      </c>
      <c r="BY195" s="2">
        <v>2.0</v>
      </c>
      <c r="BZ195" s="2">
        <v>0.0</v>
      </c>
      <c r="CA195" s="2">
        <v>2.0</v>
      </c>
      <c r="CB195" s="2">
        <v>0.0</v>
      </c>
      <c r="CC195" s="2">
        <v>2.0</v>
      </c>
      <c r="CD195" s="2">
        <v>0.0</v>
      </c>
      <c r="CE195" s="2">
        <v>2.0</v>
      </c>
      <c r="CF195" s="2">
        <v>18.0</v>
      </c>
      <c r="CG195" s="2">
        <v>2.0</v>
      </c>
      <c r="CH195" s="2">
        <v>47.0</v>
      </c>
      <c r="CI195" s="2">
        <v>4.0</v>
      </c>
      <c r="CJ195" s="2">
        <v>4.0</v>
      </c>
      <c r="CK195" s="2">
        <v>0.0</v>
      </c>
      <c r="CL195" s="2">
        <v>0.0</v>
      </c>
      <c r="CM195" s="2">
        <v>39.0</v>
      </c>
      <c r="CN195" s="2">
        <v>1.0</v>
      </c>
      <c r="CO195" s="2">
        <v>0.0</v>
      </c>
      <c r="CP195" s="2">
        <v>2.0</v>
      </c>
      <c r="CQ195" s="2">
        <v>2.0</v>
      </c>
      <c r="CR195" s="2">
        <v>0.0</v>
      </c>
      <c r="CS195" s="2">
        <v>0.0</v>
      </c>
      <c r="CT195" s="2">
        <v>0.0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0.0</v>
      </c>
      <c r="DA195" s="2" t="s">
        <v>2110</v>
      </c>
      <c r="DD195" s="2">
        <v>123.0</v>
      </c>
      <c r="DE195" s="2">
        <v>0.0</v>
      </c>
      <c r="DF195" s="2">
        <v>0.0</v>
      </c>
      <c r="DG195" s="2">
        <v>2.0</v>
      </c>
      <c r="DH195" s="2">
        <v>2.0</v>
      </c>
      <c r="DI195" s="2">
        <v>0.0</v>
      </c>
      <c r="DJ195" s="2">
        <v>0.0</v>
      </c>
      <c r="DK195" s="2">
        <v>1.0</v>
      </c>
      <c r="DL195" s="2">
        <v>0.0</v>
      </c>
      <c r="DM195" s="2">
        <v>0.0</v>
      </c>
      <c r="DN195" s="2">
        <v>0.0</v>
      </c>
      <c r="DO195" s="2">
        <v>0.0</v>
      </c>
      <c r="DP195" s="2">
        <v>0.0</v>
      </c>
      <c r="DQ195" s="2">
        <v>3.0</v>
      </c>
      <c r="DR195" s="2">
        <v>0.0</v>
      </c>
      <c r="DS195" s="2">
        <v>47.0</v>
      </c>
      <c r="DT195" s="2">
        <v>129.0</v>
      </c>
      <c r="DU195" s="2">
        <v>2.0</v>
      </c>
      <c r="DV195" s="2">
        <v>1.0</v>
      </c>
      <c r="DW195" s="2">
        <v>1.0</v>
      </c>
      <c r="DX195" s="2">
        <v>0.0</v>
      </c>
      <c r="DY195" s="2">
        <v>1.0</v>
      </c>
      <c r="DZ195" s="2">
        <v>0.0</v>
      </c>
      <c r="EA195" s="2">
        <v>0.0</v>
      </c>
      <c r="EB195" s="2">
        <v>0.0</v>
      </c>
      <c r="EC195" s="2">
        <v>129.0</v>
      </c>
      <c r="EE195" s="2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2">
        <v>2025.0</v>
      </c>
      <c r="B196" s="2">
        <v>7.0</v>
      </c>
      <c r="C196" s="2" t="s">
        <v>138</v>
      </c>
      <c r="D196" s="2" t="s">
        <v>390</v>
      </c>
      <c r="E196" s="2" t="s">
        <v>781</v>
      </c>
      <c r="F196" s="2" t="s">
        <v>242</v>
      </c>
      <c r="G196" s="2">
        <v>31.0</v>
      </c>
      <c r="H196" s="2">
        <v>47.0</v>
      </c>
      <c r="I196" s="2">
        <v>342.0</v>
      </c>
      <c r="J196" s="2">
        <v>3.0</v>
      </c>
      <c r="K196" s="2">
        <v>0.0</v>
      </c>
      <c r="L196" s="2">
        <v>2.0</v>
      </c>
      <c r="M196" s="2">
        <v>-14.0</v>
      </c>
      <c r="N196" s="2">
        <v>0.0</v>
      </c>
      <c r="O196" s="2">
        <v>0.0</v>
      </c>
      <c r="P196" s="2">
        <v>337.0</v>
      </c>
      <c r="Q196" s="2">
        <v>168.0</v>
      </c>
      <c r="R196" s="2">
        <v>16.0</v>
      </c>
      <c r="S196" s="2">
        <v>15.1440585582645</v>
      </c>
      <c r="T196" s="2">
        <v>1.60877737734053</v>
      </c>
      <c r="U196" s="2">
        <v>0.0</v>
      </c>
      <c r="V196" s="2">
        <v>13.0</v>
      </c>
      <c r="W196" s="2">
        <v>7.0</v>
      </c>
      <c r="X196" s="2">
        <v>4.0</v>
      </c>
      <c r="Y196" s="2">
        <v>0.0</v>
      </c>
      <c r="Z196" s="2">
        <v>23.0</v>
      </c>
      <c r="AA196" s="2">
        <v>142.0</v>
      </c>
      <c r="AB196" s="2">
        <v>0.0</v>
      </c>
      <c r="AC196" s="2">
        <v>0.0</v>
      </c>
      <c r="AD196" s="2">
        <v>0.0</v>
      </c>
      <c r="AE196" s="2">
        <v>8.0</v>
      </c>
      <c r="AF196" s="2">
        <v>5.46208678790585</v>
      </c>
      <c r="AG196" s="2">
        <v>0.0</v>
      </c>
      <c r="AH196" s="2">
        <v>4.0</v>
      </c>
      <c r="AI196" s="2">
        <v>4.0</v>
      </c>
      <c r="AJ196" s="2">
        <v>2.0</v>
      </c>
      <c r="AK196" s="2">
        <v>0.0</v>
      </c>
      <c r="AL196" s="2">
        <v>31.0</v>
      </c>
      <c r="AM196" s="2">
        <v>45.0</v>
      </c>
      <c r="AN196" s="2">
        <v>342.0</v>
      </c>
      <c r="AO196" s="2">
        <v>3.0</v>
      </c>
      <c r="AP196" s="2">
        <v>0.0</v>
      </c>
      <c r="AQ196" s="2">
        <v>0.0</v>
      </c>
      <c r="AR196" s="2">
        <v>337.0</v>
      </c>
      <c r="AS196" s="2">
        <v>168.0</v>
      </c>
      <c r="AT196" s="2">
        <v>16.0</v>
      </c>
      <c r="AU196" s="2">
        <v>20.5888761170241</v>
      </c>
      <c r="AV196" s="2">
        <v>0.0</v>
      </c>
      <c r="AW196" s="2">
        <v>13.0</v>
      </c>
      <c r="AX196" s="2">
        <v>7.0</v>
      </c>
      <c r="AY196" s="2">
        <v>4.0</v>
      </c>
      <c r="AZ196" s="2">
        <v>0.0</v>
      </c>
      <c r="BA196" s="2">
        <v>0.0</v>
      </c>
      <c r="BB196" s="2">
        <v>33.0</v>
      </c>
      <c r="BC196" s="2">
        <v>0.0</v>
      </c>
      <c r="BD196" s="2">
        <v>28.0</v>
      </c>
      <c r="BE196" s="2">
        <v>2.0</v>
      </c>
      <c r="BF196" s="2">
        <v>11.0</v>
      </c>
      <c r="BG196" s="2">
        <v>0.0</v>
      </c>
      <c r="BH196" s="2">
        <v>0.0</v>
      </c>
      <c r="BI196" s="2">
        <v>0.0</v>
      </c>
      <c r="BJ196" s="2">
        <v>2.0</v>
      </c>
      <c r="BK196" s="2">
        <v>2.0</v>
      </c>
      <c r="BL196" s="2">
        <v>0.0</v>
      </c>
      <c r="BM196" s="2">
        <v>6.0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0.0</v>
      </c>
      <c r="BV196" s="2">
        <v>0.0</v>
      </c>
      <c r="BW196" s="2">
        <v>4.0</v>
      </c>
      <c r="BX196" s="2">
        <v>35.0</v>
      </c>
      <c r="BY196" s="2">
        <v>6.0</v>
      </c>
      <c r="BZ196" s="2">
        <v>0.0</v>
      </c>
      <c r="CA196" s="2">
        <v>0.0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5.0</v>
      </c>
      <c r="CH196" s="2">
        <v>128.0</v>
      </c>
      <c r="CI196" s="2">
        <v>4.0</v>
      </c>
      <c r="CJ196" s="2">
        <v>4.0</v>
      </c>
      <c r="CK196" s="2">
        <v>0.0</v>
      </c>
      <c r="CL196" s="2">
        <v>0.0</v>
      </c>
      <c r="CM196" s="2">
        <v>49.0</v>
      </c>
      <c r="CN196" s="2">
        <v>1.0</v>
      </c>
      <c r="CO196" s="2">
        <v>0.0</v>
      </c>
      <c r="CP196" s="2">
        <v>1.0</v>
      </c>
      <c r="CQ196" s="2">
        <v>1.0</v>
      </c>
      <c r="CR196" s="2">
        <v>2.0</v>
      </c>
      <c r="CS196" s="2">
        <v>0.0</v>
      </c>
      <c r="CT196" s="2">
        <v>0.0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0.0</v>
      </c>
      <c r="DA196" s="2" t="s">
        <v>2111</v>
      </c>
      <c r="DD196" s="2">
        <v>153.0</v>
      </c>
      <c r="DE196" s="2">
        <v>0.0</v>
      </c>
      <c r="DF196" s="2">
        <v>0.0</v>
      </c>
      <c r="DG196" s="2">
        <v>3.0</v>
      </c>
      <c r="DH196" s="2">
        <v>3.0</v>
      </c>
      <c r="DI196" s="2">
        <v>0.0</v>
      </c>
      <c r="DJ196" s="2">
        <v>0.0</v>
      </c>
      <c r="DK196" s="2">
        <v>1.0</v>
      </c>
      <c r="DL196" s="2">
        <v>1.0</v>
      </c>
      <c r="DM196" s="2">
        <v>1.0</v>
      </c>
      <c r="DN196" s="2">
        <v>0.0</v>
      </c>
      <c r="DO196" s="2">
        <v>0.0</v>
      </c>
      <c r="DP196" s="2">
        <v>36.0</v>
      </c>
      <c r="DQ196" s="2">
        <v>3.0</v>
      </c>
      <c r="DR196" s="2">
        <v>0.0</v>
      </c>
      <c r="DS196" s="2">
        <v>60.0</v>
      </c>
      <c r="DT196" s="2">
        <v>135.0</v>
      </c>
      <c r="DU196" s="2">
        <v>1.0</v>
      </c>
      <c r="DV196" s="2">
        <v>0.0</v>
      </c>
      <c r="DW196" s="2">
        <v>0.0</v>
      </c>
      <c r="DX196" s="2">
        <v>0.0</v>
      </c>
      <c r="DY196" s="2">
        <v>1.0</v>
      </c>
      <c r="DZ196" s="2">
        <v>2.0</v>
      </c>
      <c r="EA196" s="2">
        <v>27.0</v>
      </c>
      <c r="EB196" s="2">
        <v>0.0</v>
      </c>
      <c r="EC196" s="2">
        <v>108.0</v>
      </c>
      <c r="EE196" s="2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2">
        <v>2025.0</v>
      </c>
      <c r="B197" s="2">
        <v>7.0</v>
      </c>
      <c r="C197" s="2" t="s">
        <v>196</v>
      </c>
      <c r="D197" s="2" t="s">
        <v>390</v>
      </c>
      <c r="E197" s="2" t="s">
        <v>789</v>
      </c>
      <c r="F197" s="2" t="s">
        <v>225</v>
      </c>
      <c r="G197" s="2">
        <v>13.0</v>
      </c>
      <c r="H197" s="2">
        <v>18.0</v>
      </c>
      <c r="I197" s="2">
        <v>116.0</v>
      </c>
      <c r="J197" s="2">
        <v>0.0</v>
      </c>
      <c r="K197" s="2">
        <v>0.0</v>
      </c>
      <c r="L197" s="2">
        <v>2.0</v>
      </c>
      <c r="M197" s="2">
        <v>-14.0</v>
      </c>
      <c r="N197" s="2">
        <v>0.0</v>
      </c>
      <c r="O197" s="2">
        <v>0.0</v>
      </c>
      <c r="P197" s="2">
        <v>86.0</v>
      </c>
      <c r="Q197" s="2">
        <v>86.0</v>
      </c>
      <c r="R197" s="2">
        <v>6.0</v>
      </c>
      <c r="S197" s="2">
        <v>0.849801086659745</v>
      </c>
      <c r="T197" s="2">
        <v>0.23498170905643</v>
      </c>
      <c r="U197" s="2">
        <v>0.0</v>
      </c>
      <c r="V197" s="2">
        <v>5.0</v>
      </c>
      <c r="W197" s="2">
        <v>4.0</v>
      </c>
      <c r="X197" s="2">
        <v>1.0</v>
      </c>
      <c r="Y197" s="2">
        <v>0.0</v>
      </c>
      <c r="Z197" s="2">
        <v>33.0</v>
      </c>
      <c r="AA197" s="2">
        <v>104.0</v>
      </c>
      <c r="AB197" s="2">
        <v>3.0</v>
      </c>
      <c r="AC197" s="2">
        <v>0.0</v>
      </c>
      <c r="AD197" s="2">
        <v>0.0</v>
      </c>
      <c r="AE197" s="2">
        <v>5.0</v>
      </c>
      <c r="AF197" s="2">
        <v>-7.06217993429164</v>
      </c>
      <c r="AG197" s="2">
        <v>0.0</v>
      </c>
      <c r="AH197" s="2">
        <v>2.0</v>
      </c>
      <c r="AI197" s="2">
        <v>2.0</v>
      </c>
      <c r="AJ197" s="2">
        <v>1.0</v>
      </c>
      <c r="AK197" s="2">
        <v>1.0</v>
      </c>
      <c r="AL197" s="2">
        <v>13.0</v>
      </c>
      <c r="AM197" s="2">
        <v>18.0</v>
      </c>
      <c r="AN197" s="2">
        <v>116.0</v>
      </c>
      <c r="AO197" s="2">
        <v>0.0</v>
      </c>
      <c r="AP197" s="2">
        <v>1.0</v>
      </c>
      <c r="AQ197" s="2">
        <v>0.0</v>
      </c>
      <c r="AR197" s="2">
        <v>86.0</v>
      </c>
      <c r="AS197" s="2">
        <v>86.0</v>
      </c>
      <c r="AT197" s="2">
        <v>6.0</v>
      </c>
      <c r="AU197" s="2">
        <v>3.88119603665752</v>
      </c>
      <c r="AV197" s="2">
        <v>0.0</v>
      </c>
      <c r="AW197" s="2">
        <v>5.0</v>
      </c>
      <c r="AX197" s="2">
        <v>4.0</v>
      </c>
      <c r="AY197" s="2">
        <v>1.0</v>
      </c>
      <c r="AZ197" s="2">
        <v>0.0</v>
      </c>
      <c r="BA197" s="2">
        <v>0.0</v>
      </c>
      <c r="BB197" s="2">
        <v>35.0</v>
      </c>
      <c r="BC197" s="2">
        <v>2.0</v>
      </c>
      <c r="BD197" s="2">
        <v>24.0</v>
      </c>
      <c r="BE197" s="2">
        <v>11.0</v>
      </c>
      <c r="BF197" s="2">
        <v>48.0</v>
      </c>
      <c r="BG197" s="2">
        <v>2.0</v>
      </c>
      <c r="BH197" s="2">
        <v>4.0</v>
      </c>
      <c r="BI197" s="2">
        <v>33.0</v>
      </c>
      <c r="BJ197" s="2">
        <v>6.0</v>
      </c>
      <c r="BK197" s="2">
        <v>3.0</v>
      </c>
      <c r="BL197" s="2">
        <v>59.0</v>
      </c>
      <c r="BM197" s="2">
        <v>6.0</v>
      </c>
      <c r="BN197" s="2">
        <v>1.0</v>
      </c>
      <c r="BO197" s="2">
        <v>0.0</v>
      </c>
      <c r="BP197" s="2">
        <v>0.0</v>
      </c>
      <c r="BQ197" s="2">
        <v>0.0</v>
      </c>
      <c r="BR197" s="2">
        <v>1.0</v>
      </c>
      <c r="BS197" s="2">
        <v>0.0</v>
      </c>
      <c r="BT197" s="2">
        <v>1.0</v>
      </c>
      <c r="BU197" s="2">
        <v>0.0</v>
      </c>
      <c r="BV197" s="2">
        <v>0.0</v>
      </c>
      <c r="BW197" s="2">
        <v>5.0</v>
      </c>
      <c r="BX197" s="2">
        <v>37.0</v>
      </c>
      <c r="BY197" s="2">
        <v>1.0</v>
      </c>
      <c r="BZ197" s="2">
        <v>0.0</v>
      </c>
      <c r="CA197" s="2">
        <v>1.0</v>
      </c>
      <c r="CB197" s="2">
        <v>0.0</v>
      </c>
      <c r="CC197" s="2">
        <v>1.0</v>
      </c>
      <c r="CD197" s="2">
        <v>0.0</v>
      </c>
      <c r="CE197" s="2">
        <v>2.0</v>
      </c>
      <c r="CF197" s="2">
        <v>7.0</v>
      </c>
      <c r="CG197" s="2">
        <v>2.0</v>
      </c>
      <c r="CH197" s="2">
        <v>37.0</v>
      </c>
      <c r="CI197" s="2">
        <v>1.0</v>
      </c>
      <c r="CJ197" s="2">
        <v>1.0</v>
      </c>
      <c r="CK197" s="2">
        <v>0.0</v>
      </c>
      <c r="CL197" s="2">
        <v>0.0</v>
      </c>
      <c r="CM197" s="2">
        <v>30.0</v>
      </c>
      <c r="CN197" s="2">
        <v>1.0</v>
      </c>
      <c r="CO197" s="2">
        <v>0.0</v>
      </c>
      <c r="CP197" s="2">
        <v>0.0</v>
      </c>
      <c r="CQ197" s="2">
        <v>1.0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 t="s">
        <v>2028</v>
      </c>
      <c r="DD197" s="2">
        <v>30.0</v>
      </c>
      <c r="DE197" s="2">
        <v>0.0</v>
      </c>
      <c r="DF197" s="2">
        <v>0.0</v>
      </c>
      <c r="DG197" s="2">
        <v>4.0</v>
      </c>
      <c r="DH197" s="2">
        <v>4.0</v>
      </c>
      <c r="DI197" s="2">
        <v>0.0</v>
      </c>
      <c r="DJ197" s="2">
        <v>0.0</v>
      </c>
      <c r="DK197" s="2">
        <v>1.0</v>
      </c>
      <c r="DL197" s="2">
        <v>0.0</v>
      </c>
      <c r="DM197" s="2">
        <v>0.0</v>
      </c>
      <c r="DN197" s="2">
        <v>0.0</v>
      </c>
      <c r="DO197" s="2">
        <v>0.0</v>
      </c>
      <c r="DP197" s="2">
        <v>0.0</v>
      </c>
      <c r="DQ197" s="2">
        <v>6.0</v>
      </c>
      <c r="DR197" s="2">
        <v>0.0</v>
      </c>
      <c r="DS197" s="2">
        <v>60.0</v>
      </c>
      <c r="DT197" s="2">
        <v>258.0</v>
      </c>
      <c r="DU197" s="2">
        <v>3.0</v>
      </c>
      <c r="DV197" s="2">
        <v>1.0</v>
      </c>
      <c r="DW197" s="2">
        <v>2.0</v>
      </c>
      <c r="DX197" s="2">
        <v>2.0</v>
      </c>
      <c r="DY197" s="2">
        <v>0.0</v>
      </c>
      <c r="DZ197" s="2">
        <v>1.0</v>
      </c>
      <c r="EA197" s="2">
        <v>11.0</v>
      </c>
      <c r="EB197" s="2">
        <v>0.0</v>
      </c>
      <c r="EC197" s="2">
        <v>207.0</v>
      </c>
      <c r="EE197" s="2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2">
        <v>2025.0</v>
      </c>
      <c r="B198" s="2">
        <v>7.0</v>
      </c>
      <c r="C198" s="2" t="s">
        <v>146</v>
      </c>
      <c r="D198" s="2" t="s">
        <v>390</v>
      </c>
      <c r="E198" s="2" t="s">
        <v>805</v>
      </c>
      <c r="F198" s="2" t="s">
        <v>253</v>
      </c>
      <c r="G198" s="2">
        <v>21.0</v>
      </c>
      <c r="H198" s="2">
        <v>30.0</v>
      </c>
      <c r="I198" s="2">
        <v>264.0</v>
      </c>
      <c r="J198" s="2">
        <v>3.0</v>
      </c>
      <c r="K198" s="2">
        <v>0.0</v>
      </c>
      <c r="L198" s="2">
        <v>1.0</v>
      </c>
      <c r="M198" s="2">
        <v>-7.0</v>
      </c>
      <c r="N198" s="2">
        <v>0.0</v>
      </c>
      <c r="O198" s="2">
        <v>0.0</v>
      </c>
      <c r="P198" s="2">
        <v>212.0</v>
      </c>
      <c r="Q198" s="2">
        <v>135.0</v>
      </c>
      <c r="R198" s="2">
        <v>11.0</v>
      </c>
      <c r="S198" s="2">
        <v>7.1931547083181</v>
      </c>
      <c r="T198" s="2">
        <v>0.40787806113561</v>
      </c>
      <c r="U198" s="2">
        <v>0.0</v>
      </c>
      <c r="V198" s="2">
        <v>9.0</v>
      </c>
      <c r="W198" s="2">
        <v>5.0</v>
      </c>
      <c r="X198" s="2">
        <v>3.0</v>
      </c>
      <c r="Y198" s="2">
        <v>2.0</v>
      </c>
      <c r="Z198" s="2">
        <v>31.0</v>
      </c>
      <c r="AA198" s="2">
        <v>152.0</v>
      </c>
      <c r="AB198" s="2">
        <v>1.0</v>
      </c>
      <c r="AC198" s="2">
        <v>1.0</v>
      </c>
      <c r="AD198" s="2">
        <v>0.0</v>
      </c>
      <c r="AE198" s="2">
        <v>7.0</v>
      </c>
      <c r="AF198" s="2">
        <v>-1.3028992045729</v>
      </c>
      <c r="AG198" s="2">
        <v>0.0</v>
      </c>
      <c r="AH198" s="2">
        <v>2.0</v>
      </c>
      <c r="AI198" s="2">
        <v>2.0</v>
      </c>
      <c r="AJ198" s="2">
        <v>1.0</v>
      </c>
      <c r="AK198" s="2">
        <v>0.0</v>
      </c>
      <c r="AL198" s="2">
        <v>21.0</v>
      </c>
      <c r="AM198" s="2">
        <v>30.0</v>
      </c>
      <c r="AN198" s="2">
        <v>264.0</v>
      </c>
      <c r="AO198" s="2">
        <v>3.0</v>
      </c>
      <c r="AP198" s="2">
        <v>0.0</v>
      </c>
      <c r="AQ198" s="2">
        <v>0.0</v>
      </c>
      <c r="AR198" s="2">
        <v>212.0</v>
      </c>
      <c r="AS198" s="2">
        <v>135.0</v>
      </c>
      <c r="AT198" s="2">
        <v>11.0</v>
      </c>
      <c r="AU198" s="2">
        <v>7.59753533651696</v>
      </c>
      <c r="AV198" s="2">
        <v>0.0</v>
      </c>
      <c r="AW198" s="2">
        <v>9.0</v>
      </c>
      <c r="AX198" s="2">
        <v>5.0</v>
      </c>
      <c r="AY198" s="2">
        <v>3.0</v>
      </c>
      <c r="AZ198" s="2">
        <v>2.0</v>
      </c>
      <c r="BA198" s="2">
        <v>0.0</v>
      </c>
      <c r="BB198" s="2">
        <v>39.0</v>
      </c>
      <c r="BC198" s="2">
        <v>0.0</v>
      </c>
      <c r="BD198" s="2">
        <v>28.0</v>
      </c>
      <c r="BE198" s="2">
        <v>7.0</v>
      </c>
      <c r="BF198" s="2">
        <v>19.0</v>
      </c>
      <c r="BG198" s="2">
        <v>1.0</v>
      </c>
      <c r="BH198" s="2">
        <v>4.0</v>
      </c>
      <c r="BI198" s="2">
        <v>14.0</v>
      </c>
      <c r="BJ198" s="2">
        <v>6.0</v>
      </c>
      <c r="BK198" s="2">
        <v>1.0</v>
      </c>
      <c r="BL198" s="2">
        <v>68.0</v>
      </c>
      <c r="BM198" s="2">
        <v>5.0</v>
      </c>
      <c r="BN198" s="2">
        <v>1.0</v>
      </c>
      <c r="BO198" s="2">
        <v>0.0</v>
      </c>
      <c r="BP198" s="2">
        <v>0.0</v>
      </c>
      <c r="BQ198" s="2">
        <v>0.0</v>
      </c>
      <c r="BR198" s="2">
        <v>1.0</v>
      </c>
      <c r="BS198" s="2">
        <v>-2.0</v>
      </c>
      <c r="BT198" s="2">
        <v>1.0</v>
      </c>
      <c r="BU198" s="2">
        <v>0.0</v>
      </c>
      <c r="BV198" s="2">
        <v>0.0</v>
      </c>
      <c r="BW198" s="2">
        <v>10.0</v>
      </c>
      <c r="BX198" s="2">
        <v>79.0</v>
      </c>
      <c r="BY198" s="2">
        <v>4.0</v>
      </c>
      <c r="BZ198" s="2">
        <v>0.0</v>
      </c>
      <c r="CA198" s="2">
        <v>1.0</v>
      </c>
      <c r="CB198" s="2">
        <v>0.0</v>
      </c>
      <c r="CC198" s="2">
        <v>1.0</v>
      </c>
      <c r="CD198" s="2">
        <v>0.0</v>
      </c>
      <c r="CE198" s="2">
        <v>2.0</v>
      </c>
      <c r="CF198" s="2">
        <v>4.0</v>
      </c>
      <c r="CG198" s="2">
        <v>3.0</v>
      </c>
      <c r="CH198" s="2">
        <v>80.0</v>
      </c>
      <c r="CI198" s="2">
        <v>3.0</v>
      </c>
      <c r="CJ198" s="2">
        <v>3.0</v>
      </c>
      <c r="CK198" s="2">
        <v>0.0</v>
      </c>
      <c r="CL198" s="2">
        <v>0.0</v>
      </c>
      <c r="CM198" s="2">
        <v>61.0</v>
      </c>
      <c r="CN198" s="2">
        <v>1.0</v>
      </c>
      <c r="CO198" s="2">
        <v>0.0</v>
      </c>
      <c r="CP198" s="2">
        <v>1.0</v>
      </c>
      <c r="CQ198" s="2">
        <v>0.0</v>
      </c>
      <c r="CR198" s="2">
        <v>1.0</v>
      </c>
      <c r="CS198" s="2">
        <v>0.0</v>
      </c>
      <c r="CT198" s="2">
        <v>1.0</v>
      </c>
      <c r="CU198" s="2">
        <v>0.0</v>
      </c>
      <c r="CV198" s="2">
        <v>0.0</v>
      </c>
      <c r="CW198" s="2">
        <v>0.0</v>
      </c>
      <c r="CX198" s="2">
        <v>0.0</v>
      </c>
      <c r="CY198" s="2">
        <v>0.0</v>
      </c>
      <c r="CZ198" s="2">
        <v>0.0</v>
      </c>
      <c r="DA198" s="2" t="s">
        <v>2112</v>
      </c>
      <c r="DD198" s="2">
        <v>137.0</v>
      </c>
      <c r="DE198" s="2">
        <v>0.0</v>
      </c>
      <c r="DF198" s="2">
        <v>0.0</v>
      </c>
      <c r="DG198" s="2">
        <v>5.0</v>
      </c>
      <c r="DH198" s="2">
        <v>5.0</v>
      </c>
      <c r="DI198" s="2">
        <v>0.0</v>
      </c>
      <c r="DJ198" s="2">
        <v>0.0</v>
      </c>
      <c r="DK198" s="2">
        <v>1.0</v>
      </c>
      <c r="DL198" s="2">
        <v>0.0</v>
      </c>
      <c r="DM198" s="2">
        <v>0.0</v>
      </c>
      <c r="DN198" s="2">
        <v>0.0</v>
      </c>
      <c r="DO198" s="2">
        <v>0.0</v>
      </c>
      <c r="DP198" s="2">
        <v>0.0</v>
      </c>
      <c r="DQ198" s="2">
        <v>3.0</v>
      </c>
      <c r="DR198" s="2">
        <v>0.0</v>
      </c>
      <c r="DS198" s="2">
        <v>49.0</v>
      </c>
      <c r="DT198" s="2">
        <v>128.0</v>
      </c>
      <c r="DU198" s="2">
        <v>2.0</v>
      </c>
      <c r="DV198" s="2">
        <v>0.0</v>
      </c>
      <c r="DW198" s="2">
        <v>0.0</v>
      </c>
      <c r="DX198" s="2">
        <v>0.0</v>
      </c>
      <c r="DY198" s="2">
        <v>2.0</v>
      </c>
      <c r="DZ198" s="2">
        <v>1.0</v>
      </c>
      <c r="EA198" s="2">
        <v>8.0</v>
      </c>
      <c r="EB198" s="2">
        <v>0.0</v>
      </c>
      <c r="EC198" s="2">
        <v>120.0</v>
      </c>
      <c r="EE198" s="2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2">
        <v>2025.0</v>
      </c>
      <c r="B199" s="2">
        <v>7.0</v>
      </c>
      <c r="C199" s="2" t="s">
        <v>139</v>
      </c>
      <c r="D199" s="2" t="s">
        <v>390</v>
      </c>
      <c r="E199" s="2" t="s">
        <v>799</v>
      </c>
      <c r="F199" s="2" t="s">
        <v>235</v>
      </c>
      <c r="G199" s="2">
        <v>27.0</v>
      </c>
      <c r="H199" s="2">
        <v>50.0</v>
      </c>
      <c r="I199" s="2">
        <v>279.0</v>
      </c>
      <c r="J199" s="2">
        <v>2.0</v>
      </c>
      <c r="K199" s="2">
        <v>0.0</v>
      </c>
      <c r="L199" s="2">
        <v>2.0</v>
      </c>
      <c r="M199" s="2">
        <v>-14.0</v>
      </c>
      <c r="N199" s="2">
        <v>0.0</v>
      </c>
      <c r="O199" s="2">
        <v>0.0</v>
      </c>
      <c r="P199" s="2">
        <v>393.0</v>
      </c>
      <c r="Q199" s="2">
        <v>142.0</v>
      </c>
      <c r="R199" s="2">
        <v>15.0</v>
      </c>
      <c r="S199" s="2">
        <v>-1.40684890846506</v>
      </c>
      <c r="T199" s="2">
        <v>-10.8683036906379</v>
      </c>
      <c r="U199" s="2">
        <v>2.0</v>
      </c>
      <c r="V199" s="2">
        <v>10.0</v>
      </c>
      <c r="W199" s="2">
        <v>6.0</v>
      </c>
      <c r="X199" s="2">
        <v>5.0</v>
      </c>
      <c r="Y199" s="2">
        <v>0.0</v>
      </c>
      <c r="Z199" s="2">
        <v>24.0</v>
      </c>
      <c r="AA199" s="2">
        <v>142.0</v>
      </c>
      <c r="AB199" s="2">
        <v>2.0</v>
      </c>
      <c r="AC199" s="2">
        <v>1.0</v>
      </c>
      <c r="AD199" s="2">
        <v>0.0</v>
      </c>
      <c r="AE199" s="2">
        <v>8.0</v>
      </c>
      <c r="AF199" s="2">
        <v>8.40782054932788</v>
      </c>
      <c r="AG199" s="2">
        <v>0.0</v>
      </c>
      <c r="AH199" s="2">
        <v>4.0</v>
      </c>
      <c r="AI199" s="2">
        <v>4.0</v>
      </c>
      <c r="AJ199" s="2">
        <v>2.0</v>
      </c>
      <c r="AK199" s="2">
        <v>0.0</v>
      </c>
      <c r="AL199" s="2">
        <v>27.0</v>
      </c>
      <c r="AM199" s="2">
        <v>49.0</v>
      </c>
      <c r="AN199" s="2">
        <v>279.0</v>
      </c>
      <c r="AO199" s="2">
        <v>2.0</v>
      </c>
      <c r="AP199" s="2">
        <v>0.0</v>
      </c>
      <c r="AQ199" s="2">
        <v>0.0</v>
      </c>
      <c r="AR199" s="2">
        <v>393.0</v>
      </c>
      <c r="AS199" s="2">
        <v>142.0</v>
      </c>
      <c r="AT199" s="2">
        <v>15.0</v>
      </c>
      <c r="AU199" s="2">
        <v>-0.195242464804091</v>
      </c>
      <c r="AV199" s="2">
        <v>2.0</v>
      </c>
      <c r="AW199" s="2">
        <v>10.0</v>
      </c>
      <c r="AX199" s="2">
        <v>6.0</v>
      </c>
      <c r="AY199" s="2">
        <v>5.0</v>
      </c>
      <c r="AZ199" s="2">
        <v>0.0</v>
      </c>
      <c r="BA199" s="2">
        <v>0.0</v>
      </c>
      <c r="BB199" s="2">
        <v>32.0</v>
      </c>
      <c r="BC199" s="2">
        <v>1.0</v>
      </c>
      <c r="BD199" s="2">
        <v>37.0</v>
      </c>
      <c r="BE199" s="2">
        <v>4.0</v>
      </c>
      <c r="BF199" s="2">
        <v>17.0</v>
      </c>
      <c r="BG199" s="2">
        <v>0.0</v>
      </c>
      <c r="BH199" s="2">
        <v>4.0</v>
      </c>
      <c r="BI199" s="2">
        <v>15.0</v>
      </c>
      <c r="BJ199" s="2">
        <v>10.0</v>
      </c>
      <c r="BK199" s="2">
        <v>1.0</v>
      </c>
      <c r="BL199" s="2">
        <v>21.0</v>
      </c>
      <c r="BM199" s="2">
        <v>8.0</v>
      </c>
      <c r="BN199" s="2">
        <v>0.0</v>
      </c>
      <c r="BO199" s="2">
        <v>0.0</v>
      </c>
      <c r="BP199" s="2">
        <v>0.0</v>
      </c>
      <c r="BQ199" s="2">
        <v>0.0</v>
      </c>
      <c r="BR199" s="2">
        <v>1.0</v>
      </c>
      <c r="BS199" s="2">
        <v>0.0</v>
      </c>
      <c r="BT199" s="2">
        <v>0.0</v>
      </c>
      <c r="BU199" s="2">
        <v>0.0</v>
      </c>
      <c r="BV199" s="2">
        <v>0.0</v>
      </c>
      <c r="BW199" s="2">
        <v>12.0</v>
      </c>
      <c r="BX199" s="2">
        <v>127.0</v>
      </c>
      <c r="BY199" s="2">
        <v>7.0</v>
      </c>
      <c r="BZ199" s="2">
        <v>0.0</v>
      </c>
      <c r="CA199" s="2">
        <v>1.0</v>
      </c>
      <c r="CB199" s="2">
        <v>0.0</v>
      </c>
      <c r="CC199" s="2">
        <v>1.0</v>
      </c>
      <c r="CD199" s="2">
        <v>0.0</v>
      </c>
      <c r="CE199" s="2">
        <v>2.0</v>
      </c>
      <c r="CF199" s="2">
        <v>29.0</v>
      </c>
      <c r="CG199" s="2">
        <v>5.0</v>
      </c>
      <c r="CH199" s="2">
        <v>96.0</v>
      </c>
      <c r="CI199" s="2">
        <v>1.0</v>
      </c>
      <c r="CJ199" s="2">
        <v>1.0</v>
      </c>
      <c r="CK199" s="2">
        <v>0.0</v>
      </c>
      <c r="CL199" s="2">
        <v>0.0</v>
      </c>
      <c r="CM199" s="2">
        <v>39.0</v>
      </c>
      <c r="CN199" s="2">
        <v>1.0</v>
      </c>
      <c r="CO199" s="2">
        <v>0.0</v>
      </c>
      <c r="CP199" s="2">
        <v>0.0</v>
      </c>
      <c r="CQ199" s="2">
        <v>1.0</v>
      </c>
      <c r="CR199" s="2">
        <v>0.0</v>
      </c>
      <c r="CS199" s="2">
        <v>0.0</v>
      </c>
      <c r="CT199" s="2">
        <v>0.0</v>
      </c>
      <c r="CU199" s="2">
        <v>0.0</v>
      </c>
      <c r="CV199" s="2">
        <v>0.0</v>
      </c>
      <c r="CW199" s="2">
        <v>0.0</v>
      </c>
      <c r="CX199" s="2">
        <v>0.0</v>
      </c>
      <c r="CY199" s="2">
        <v>0.0</v>
      </c>
      <c r="CZ199" s="2">
        <v>0.0</v>
      </c>
      <c r="DA199" s="2" t="s">
        <v>2026</v>
      </c>
      <c r="DD199" s="2">
        <v>39.0</v>
      </c>
      <c r="DE199" s="2">
        <v>0.0</v>
      </c>
      <c r="DF199" s="2">
        <v>0.0</v>
      </c>
      <c r="DG199" s="2">
        <v>2.0</v>
      </c>
      <c r="DH199" s="2">
        <v>2.0</v>
      </c>
      <c r="DI199" s="2">
        <v>0.0</v>
      </c>
      <c r="DJ199" s="2">
        <v>0.0</v>
      </c>
      <c r="DK199" s="2">
        <v>1.0</v>
      </c>
      <c r="DL199" s="2">
        <v>1.0</v>
      </c>
      <c r="DM199" s="2">
        <v>1.0</v>
      </c>
      <c r="DN199" s="2">
        <v>0.0</v>
      </c>
      <c r="DO199" s="2">
        <v>0.0</v>
      </c>
      <c r="DP199" s="2">
        <v>39.0</v>
      </c>
      <c r="DQ199" s="2">
        <v>6.0</v>
      </c>
      <c r="DR199" s="2">
        <v>0.0</v>
      </c>
      <c r="DS199" s="2">
        <v>61.0</v>
      </c>
      <c r="DT199" s="2">
        <v>303.0</v>
      </c>
      <c r="DU199" s="2">
        <v>2.0</v>
      </c>
      <c r="DV199" s="2">
        <v>0.0</v>
      </c>
      <c r="DW199" s="2">
        <v>0.0</v>
      </c>
      <c r="DX199" s="2">
        <v>0.0</v>
      </c>
      <c r="DY199" s="2">
        <v>3.0</v>
      </c>
      <c r="DZ199" s="2">
        <v>3.0</v>
      </c>
      <c r="EA199" s="2">
        <v>28.0</v>
      </c>
      <c r="EB199" s="2">
        <v>0.0</v>
      </c>
      <c r="EC199" s="2">
        <v>275.0</v>
      </c>
      <c r="EE199" s="2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2">
        <v>2025.0</v>
      </c>
      <c r="B200" s="2">
        <v>7.0</v>
      </c>
      <c r="C200" s="2" t="s">
        <v>202</v>
      </c>
      <c r="D200" s="2" t="s">
        <v>390</v>
      </c>
      <c r="E200" s="2" t="s">
        <v>809</v>
      </c>
      <c r="F200" s="2" t="s">
        <v>150</v>
      </c>
      <c r="G200" s="2">
        <v>20.0</v>
      </c>
      <c r="H200" s="2">
        <v>29.0</v>
      </c>
      <c r="I200" s="2">
        <v>241.0</v>
      </c>
      <c r="J200" s="2">
        <v>1.0</v>
      </c>
      <c r="K200" s="2">
        <v>1.0</v>
      </c>
      <c r="L200" s="2">
        <v>4.0</v>
      </c>
      <c r="M200" s="2">
        <v>-26.0</v>
      </c>
      <c r="N200" s="2">
        <v>1.0</v>
      </c>
      <c r="O200" s="2">
        <v>1.0</v>
      </c>
      <c r="P200" s="2">
        <v>157.0</v>
      </c>
      <c r="Q200" s="2">
        <v>187.0</v>
      </c>
      <c r="R200" s="2">
        <v>9.0</v>
      </c>
      <c r="S200" s="2">
        <v>-8.63504095697538</v>
      </c>
      <c r="T200" s="2">
        <v>-1.29755735397339</v>
      </c>
      <c r="U200" s="2">
        <v>0.0</v>
      </c>
      <c r="V200" s="2">
        <v>9.0</v>
      </c>
      <c r="W200" s="2">
        <v>6.0</v>
      </c>
      <c r="X200" s="2">
        <v>5.0</v>
      </c>
      <c r="Y200" s="2">
        <v>0.0</v>
      </c>
      <c r="Z200" s="2">
        <v>32.0</v>
      </c>
      <c r="AA200" s="2">
        <v>164.0</v>
      </c>
      <c r="AB200" s="2">
        <v>2.0</v>
      </c>
      <c r="AC200" s="2">
        <v>0.0</v>
      </c>
      <c r="AD200" s="2">
        <v>0.0</v>
      </c>
      <c r="AE200" s="2">
        <v>6.0</v>
      </c>
      <c r="AF200" s="2">
        <v>0.814768607146107</v>
      </c>
      <c r="AG200" s="2">
        <v>0.0</v>
      </c>
      <c r="AH200" s="2">
        <v>3.0</v>
      </c>
      <c r="AI200" s="2">
        <v>2.0</v>
      </c>
      <c r="AJ200" s="2">
        <v>1.0</v>
      </c>
      <c r="AK200" s="2">
        <v>1.0</v>
      </c>
      <c r="AL200" s="2">
        <v>20.0</v>
      </c>
      <c r="AM200" s="2">
        <v>28.0</v>
      </c>
      <c r="AN200" s="2">
        <v>241.0</v>
      </c>
      <c r="AO200" s="2">
        <v>1.0</v>
      </c>
      <c r="AP200" s="2">
        <v>0.0</v>
      </c>
      <c r="AQ200" s="2">
        <v>0.0</v>
      </c>
      <c r="AR200" s="2">
        <v>157.0</v>
      </c>
      <c r="AS200" s="2">
        <v>187.0</v>
      </c>
      <c r="AT200" s="2">
        <v>9.0</v>
      </c>
      <c r="AU200" s="2">
        <v>1.63720745934876</v>
      </c>
      <c r="AV200" s="2">
        <v>0.0</v>
      </c>
      <c r="AW200" s="2">
        <v>9.0</v>
      </c>
      <c r="AX200" s="2">
        <v>6.0</v>
      </c>
      <c r="AY200" s="2">
        <v>5.0</v>
      </c>
      <c r="AZ200" s="2">
        <v>0.0</v>
      </c>
      <c r="BA200" s="2">
        <v>0.0</v>
      </c>
      <c r="BB200" s="2">
        <v>37.0</v>
      </c>
      <c r="BC200" s="2">
        <v>0.0</v>
      </c>
      <c r="BD200" s="2">
        <v>26.0</v>
      </c>
      <c r="BE200" s="2">
        <v>4.0</v>
      </c>
      <c r="BF200" s="2">
        <v>20.0</v>
      </c>
      <c r="BG200" s="2">
        <v>2.0</v>
      </c>
      <c r="BH200" s="2">
        <v>4.0</v>
      </c>
      <c r="BI200" s="2">
        <v>18.0</v>
      </c>
      <c r="BJ200" s="2">
        <v>8.0</v>
      </c>
      <c r="BK200" s="2">
        <v>1.0</v>
      </c>
      <c r="BL200" s="2">
        <v>0.0</v>
      </c>
      <c r="BM200" s="2">
        <v>12.0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1.0</v>
      </c>
      <c r="BU200" s="2">
        <v>0.0</v>
      </c>
      <c r="BV200" s="2">
        <v>0.0</v>
      </c>
      <c r="BW200" s="2">
        <v>6.0</v>
      </c>
      <c r="BX200" s="2">
        <v>50.0</v>
      </c>
      <c r="BY200" s="2">
        <v>4.0</v>
      </c>
      <c r="BZ200" s="2">
        <v>1.0</v>
      </c>
      <c r="CA200" s="2">
        <v>0.0</v>
      </c>
      <c r="CB200" s="2">
        <v>0.0</v>
      </c>
      <c r="CC200" s="2">
        <v>1.0</v>
      </c>
      <c r="CD200" s="2">
        <v>1.0</v>
      </c>
      <c r="CE200" s="2">
        <v>0.0</v>
      </c>
      <c r="CF200" s="2">
        <v>0.0</v>
      </c>
      <c r="CG200" s="2">
        <v>2.0</v>
      </c>
      <c r="CH200" s="2">
        <v>54.0</v>
      </c>
      <c r="CI200" s="2">
        <v>1.0</v>
      </c>
      <c r="CJ200" s="2">
        <v>2.0</v>
      </c>
      <c r="CK200" s="2">
        <v>1.0</v>
      </c>
      <c r="CL200" s="2">
        <v>0.0</v>
      </c>
      <c r="CM200" s="2">
        <v>58.0</v>
      </c>
      <c r="CN200" s="2">
        <v>0.5</v>
      </c>
      <c r="CO200" s="2">
        <v>0.0</v>
      </c>
      <c r="CP200" s="2">
        <v>0.0</v>
      </c>
      <c r="CQ200" s="2">
        <v>0.0</v>
      </c>
      <c r="CR200" s="2">
        <v>0.0</v>
      </c>
      <c r="CS200" s="2">
        <v>1.0</v>
      </c>
      <c r="CT200" s="2">
        <v>0.0</v>
      </c>
      <c r="CU200" s="2">
        <v>0.0</v>
      </c>
      <c r="CV200" s="2">
        <v>0.0</v>
      </c>
      <c r="CW200" s="2">
        <v>0.0</v>
      </c>
      <c r="CX200" s="2">
        <v>0.0</v>
      </c>
      <c r="CY200" s="2">
        <v>1.0</v>
      </c>
      <c r="CZ200" s="2">
        <v>0.0</v>
      </c>
      <c r="DA200" s="2" t="s">
        <v>1981</v>
      </c>
      <c r="DB200" s="2" t="s">
        <v>2018</v>
      </c>
      <c r="DD200" s="2">
        <v>58.0</v>
      </c>
      <c r="DE200" s="2">
        <v>54.0</v>
      </c>
      <c r="DF200" s="2">
        <v>0.0</v>
      </c>
      <c r="DG200" s="2">
        <v>3.0</v>
      </c>
      <c r="DH200" s="2">
        <v>3.0</v>
      </c>
      <c r="DI200" s="2">
        <v>0.0</v>
      </c>
      <c r="DJ200" s="2">
        <v>0.0</v>
      </c>
      <c r="DK200" s="2">
        <v>1.0</v>
      </c>
      <c r="DL200" s="2">
        <v>0.0</v>
      </c>
      <c r="DM200" s="2">
        <v>0.0</v>
      </c>
      <c r="DN200" s="2">
        <v>0.0</v>
      </c>
      <c r="DO200" s="2">
        <v>0.0</v>
      </c>
      <c r="DP200" s="2">
        <v>0.0</v>
      </c>
      <c r="DQ200" s="2">
        <v>5.0</v>
      </c>
      <c r="DR200" s="2">
        <v>0.0</v>
      </c>
      <c r="DS200" s="2">
        <v>66.0</v>
      </c>
      <c r="DT200" s="2">
        <v>256.0</v>
      </c>
      <c r="DU200" s="2">
        <v>1.0</v>
      </c>
      <c r="DV200" s="2">
        <v>0.0</v>
      </c>
      <c r="DW200" s="2">
        <v>0.0</v>
      </c>
      <c r="DX200" s="2">
        <v>0.0</v>
      </c>
      <c r="DY200" s="2">
        <v>2.0</v>
      </c>
      <c r="DZ200" s="2">
        <v>3.0</v>
      </c>
      <c r="EA200" s="2">
        <v>34.0</v>
      </c>
      <c r="EB200" s="2">
        <v>0.0</v>
      </c>
      <c r="EC200" s="2">
        <v>222.0</v>
      </c>
      <c r="EE200" s="2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2">
        <v>2025.0</v>
      </c>
      <c r="B201" s="2">
        <v>7.0</v>
      </c>
      <c r="C201" s="2" t="s">
        <v>205</v>
      </c>
      <c r="D201" s="2" t="s">
        <v>390</v>
      </c>
      <c r="E201" s="2" t="s">
        <v>803</v>
      </c>
      <c r="F201" s="2" t="s">
        <v>178</v>
      </c>
      <c r="G201" s="2">
        <v>19.0</v>
      </c>
      <c r="H201" s="2">
        <v>29.0</v>
      </c>
      <c r="I201" s="2">
        <v>179.0</v>
      </c>
      <c r="J201" s="2">
        <v>1.0</v>
      </c>
      <c r="K201" s="2">
        <v>0.0</v>
      </c>
      <c r="L201" s="2">
        <v>1.0</v>
      </c>
      <c r="M201" s="2">
        <v>-11.0</v>
      </c>
      <c r="N201" s="2">
        <v>0.0</v>
      </c>
      <c r="O201" s="2">
        <v>0.0</v>
      </c>
      <c r="P201" s="2">
        <v>190.0</v>
      </c>
      <c r="Q201" s="2">
        <v>79.0</v>
      </c>
      <c r="R201" s="2">
        <v>10.0</v>
      </c>
      <c r="S201" s="2">
        <v>6.06356151796026</v>
      </c>
      <c r="T201" s="2">
        <v>-3.02074306777545</v>
      </c>
      <c r="U201" s="2">
        <v>0.0</v>
      </c>
      <c r="V201" s="2">
        <v>7.0</v>
      </c>
      <c r="W201" s="2">
        <v>4.0</v>
      </c>
      <c r="X201" s="2">
        <v>2.0</v>
      </c>
      <c r="Y201" s="2">
        <v>0.0</v>
      </c>
      <c r="Z201" s="2">
        <v>23.0</v>
      </c>
      <c r="AA201" s="2">
        <v>94.0</v>
      </c>
      <c r="AB201" s="2">
        <v>2.0</v>
      </c>
      <c r="AC201" s="2">
        <v>1.0</v>
      </c>
      <c r="AD201" s="2">
        <v>0.0</v>
      </c>
      <c r="AE201" s="2">
        <v>5.0</v>
      </c>
      <c r="AF201" s="2">
        <v>0.0529575335094705</v>
      </c>
      <c r="AG201" s="2">
        <v>0.0</v>
      </c>
      <c r="AH201" s="2">
        <v>2.0</v>
      </c>
      <c r="AI201" s="2">
        <v>1.0</v>
      </c>
      <c r="AJ201" s="2">
        <v>0.0</v>
      </c>
      <c r="AK201" s="2">
        <v>0.0</v>
      </c>
      <c r="AL201" s="2">
        <v>19.0</v>
      </c>
      <c r="AM201" s="2">
        <v>28.0</v>
      </c>
      <c r="AN201" s="2">
        <v>179.0</v>
      </c>
      <c r="AO201" s="2">
        <v>1.0</v>
      </c>
      <c r="AP201" s="2">
        <v>0.0</v>
      </c>
      <c r="AQ201" s="2">
        <v>0.0</v>
      </c>
      <c r="AR201" s="2">
        <v>190.0</v>
      </c>
      <c r="AS201" s="2">
        <v>79.0</v>
      </c>
      <c r="AT201" s="2">
        <v>10.0</v>
      </c>
      <c r="AU201" s="2">
        <v>8.65599183189297</v>
      </c>
      <c r="AV201" s="2">
        <v>0.0</v>
      </c>
      <c r="AW201" s="2">
        <v>7.0</v>
      </c>
      <c r="AX201" s="2">
        <v>4.0</v>
      </c>
      <c r="AY201" s="2">
        <v>2.0</v>
      </c>
      <c r="AZ201" s="2">
        <v>0.0</v>
      </c>
      <c r="BA201" s="2">
        <v>0.0</v>
      </c>
      <c r="BB201" s="2">
        <v>37.0</v>
      </c>
      <c r="BC201" s="2">
        <v>2.0</v>
      </c>
      <c r="BD201" s="2">
        <v>44.0</v>
      </c>
      <c r="BE201" s="2">
        <v>9.0</v>
      </c>
      <c r="BF201" s="2">
        <v>45.0</v>
      </c>
      <c r="BG201" s="2">
        <v>1.0</v>
      </c>
      <c r="BH201" s="2">
        <v>6.0</v>
      </c>
      <c r="BI201" s="2">
        <v>43.0</v>
      </c>
      <c r="BJ201" s="2">
        <v>12.0</v>
      </c>
      <c r="BK201" s="2">
        <v>0.0</v>
      </c>
      <c r="BL201" s="2">
        <v>0.0</v>
      </c>
      <c r="BM201" s="2">
        <v>4.0</v>
      </c>
      <c r="BN201" s="2">
        <v>0.0</v>
      </c>
      <c r="BO201" s="2">
        <v>0.0</v>
      </c>
      <c r="BP201" s="2">
        <v>0.0</v>
      </c>
      <c r="BQ201" s="2">
        <v>0.0</v>
      </c>
      <c r="BR201" s="2">
        <v>2.0</v>
      </c>
      <c r="BS201" s="2">
        <v>0.0</v>
      </c>
      <c r="BT201" s="2">
        <v>1.0</v>
      </c>
      <c r="BU201" s="2">
        <v>0.0</v>
      </c>
      <c r="BV201" s="2">
        <v>0.0</v>
      </c>
      <c r="BW201" s="2">
        <v>10.0</v>
      </c>
      <c r="BX201" s="2">
        <v>94.0</v>
      </c>
      <c r="BY201" s="2">
        <v>5.0</v>
      </c>
      <c r="BZ201" s="2">
        <v>1.0</v>
      </c>
      <c r="CA201" s="2">
        <v>1.0</v>
      </c>
      <c r="CB201" s="2">
        <v>0.0</v>
      </c>
      <c r="CC201" s="2">
        <v>2.0</v>
      </c>
      <c r="CD201" s="2">
        <v>0.0</v>
      </c>
      <c r="CE201" s="2">
        <v>0.0</v>
      </c>
      <c r="CF201" s="2">
        <v>0.0</v>
      </c>
      <c r="CG201" s="2">
        <v>5.0</v>
      </c>
      <c r="CH201" s="2">
        <v>115.0</v>
      </c>
      <c r="CI201" s="2">
        <v>2.0</v>
      </c>
      <c r="CJ201" s="2">
        <v>2.0</v>
      </c>
      <c r="CK201" s="2">
        <v>0.0</v>
      </c>
      <c r="CL201" s="2">
        <v>0.0</v>
      </c>
      <c r="CM201" s="2">
        <v>61.0</v>
      </c>
      <c r="CN201" s="2">
        <v>1.0</v>
      </c>
      <c r="CO201" s="2">
        <v>0.0</v>
      </c>
      <c r="CP201" s="2">
        <v>0.0</v>
      </c>
      <c r="CQ201" s="2">
        <v>1.0</v>
      </c>
      <c r="CR201" s="2">
        <v>0.0</v>
      </c>
      <c r="CS201" s="2">
        <v>0.0</v>
      </c>
      <c r="CT201" s="2">
        <v>1.0</v>
      </c>
      <c r="CU201" s="2">
        <v>0.0</v>
      </c>
      <c r="CV201" s="2">
        <v>0.0</v>
      </c>
      <c r="CW201" s="2">
        <v>0.0</v>
      </c>
      <c r="CX201" s="2">
        <v>0.0</v>
      </c>
      <c r="CY201" s="2">
        <v>0.0</v>
      </c>
      <c r="CZ201" s="2">
        <v>0.0</v>
      </c>
      <c r="DA201" s="2" t="s">
        <v>2113</v>
      </c>
      <c r="DD201" s="2">
        <v>92.0</v>
      </c>
      <c r="DE201" s="2">
        <v>0.0</v>
      </c>
      <c r="DF201" s="2">
        <v>0.0</v>
      </c>
      <c r="DG201" s="2">
        <v>3.0</v>
      </c>
      <c r="DH201" s="2">
        <v>3.0</v>
      </c>
      <c r="DI201" s="2">
        <v>0.0</v>
      </c>
      <c r="DJ201" s="2">
        <v>0.0</v>
      </c>
      <c r="DK201" s="2">
        <v>1.0</v>
      </c>
      <c r="DL201" s="2">
        <v>0.0</v>
      </c>
      <c r="DM201" s="2">
        <v>0.0</v>
      </c>
      <c r="DN201" s="2">
        <v>0.0</v>
      </c>
      <c r="DO201" s="2">
        <v>0.0</v>
      </c>
      <c r="DP201" s="2">
        <v>0.0</v>
      </c>
      <c r="DQ201" s="2">
        <v>3.0</v>
      </c>
      <c r="DR201" s="2">
        <v>0.0</v>
      </c>
      <c r="DS201" s="2">
        <v>63.0</v>
      </c>
      <c r="DT201" s="2">
        <v>174.0</v>
      </c>
      <c r="DU201" s="2">
        <v>0.0</v>
      </c>
      <c r="DV201" s="2">
        <v>1.0</v>
      </c>
      <c r="DW201" s="2">
        <v>0.0</v>
      </c>
      <c r="DX201" s="2">
        <v>1.0</v>
      </c>
      <c r="DY201" s="2">
        <v>0.0</v>
      </c>
      <c r="DZ201" s="2">
        <v>1.0</v>
      </c>
      <c r="EA201" s="2">
        <v>13.0</v>
      </c>
      <c r="EB201" s="2">
        <v>0.0</v>
      </c>
      <c r="EC201" s="2">
        <v>141.0</v>
      </c>
      <c r="EE201" s="2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2">
        <v>2025.0</v>
      </c>
      <c r="B202" s="2">
        <v>7.0</v>
      </c>
      <c r="C202" s="2" t="s">
        <v>140</v>
      </c>
      <c r="D202" s="2" t="s">
        <v>390</v>
      </c>
      <c r="E202" s="2" t="s">
        <v>812</v>
      </c>
      <c r="F202" s="2" t="s">
        <v>149</v>
      </c>
      <c r="G202" s="2">
        <v>23.0</v>
      </c>
      <c r="H202" s="2">
        <v>49.0</v>
      </c>
      <c r="I202" s="2">
        <v>229.0</v>
      </c>
      <c r="J202" s="2">
        <v>1.0</v>
      </c>
      <c r="K202" s="2">
        <v>1.0</v>
      </c>
      <c r="L202" s="2">
        <v>3.0</v>
      </c>
      <c r="M202" s="2">
        <v>-31.0</v>
      </c>
      <c r="N202" s="2">
        <v>0.0</v>
      </c>
      <c r="O202" s="2">
        <v>0.0</v>
      </c>
      <c r="P202" s="2">
        <v>424.0</v>
      </c>
      <c r="Q202" s="2">
        <v>109.0</v>
      </c>
      <c r="R202" s="2">
        <v>13.0</v>
      </c>
      <c r="S202" s="2">
        <v>-13.5244037047504</v>
      </c>
      <c r="T202" s="2">
        <v>-14.157423377037</v>
      </c>
      <c r="U202" s="2">
        <v>0.0</v>
      </c>
      <c r="V202" s="2">
        <v>10.0</v>
      </c>
      <c r="W202" s="2">
        <v>5.0</v>
      </c>
      <c r="X202" s="2">
        <v>4.0</v>
      </c>
      <c r="Y202" s="2">
        <v>0.0</v>
      </c>
      <c r="Z202" s="2">
        <v>17.0</v>
      </c>
      <c r="AA202" s="2">
        <v>56.0</v>
      </c>
      <c r="AB202" s="2">
        <v>0.0</v>
      </c>
      <c r="AC202" s="2">
        <v>0.0</v>
      </c>
      <c r="AD202" s="2">
        <v>0.0</v>
      </c>
      <c r="AE202" s="2">
        <v>1.0</v>
      </c>
      <c r="AF202" s="2">
        <v>-8.1790441799385</v>
      </c>
      <c r="AG202" s="2">
        <v>0.0</v>
      </c>
      <c r="AH202" s="2">
        <v>3.0</v>
      </c>
      <c r="AI202" s="2">
        <v>1.0</v>
      </c>
      <c r="AJ202" s="2">
        <v>0.0</v>
      </c>
      <c r="AK202" s="2">
        <v>0.0</v>
      </c>
      <c r="AL202" s="2">
        <v>23.0</v>
      </c>
      <c r="AM202" s="2">
        <v>46.0</v>
      </c>
      <c r="AN202" s="2">
        <v>229.0</v>
      </c>
      <c r="AO202" s="2">
        <v>1.0</v>
      </c>
      <c r="AP202" s="2">
        <v>0.0</v>
      </c>
      <c r="AQ202" s="2">
        <v>0.0</v>
      </c>
      <c r="AR202" s="2">
        <v>424.0</v>
      </c>
      <c r="AS202" s="2">
        <v>109.0</v>
      </c>
      <c r="AT202" s="2">
        <v>13.0</v>
      </c>
      <c r="AU202" s="2">
        <v>-6.73980249746558</v>
      </c>
      <c r="AV202" s="2">
        <v>0.0</v>
      </c>
      <c r="AW202" s="2">
        <v>10.0</v>
      </c>
      <c r="AX202" s="2">
        <v>5.0</v>
      </c>
      <c r="AY202" s="2">
        <v>4.0</v>
      </c>
      <c r="AZ202" s="2">
        <v>0.0</v>
      </c>
      <c r="BA202" s="2">
        <v>0.0</v>
      </c>
      <c r="BB202" s="2">
        <v>40.0</v>
      </c>
      <c r="BC202" s="2">
        <v>5.0</v>
      </c>
      <c r="BD202" s="2">
        <v>27.0</v>
      </c>
      <c r="BE202" s="2">
        <v>7.0</v>
      </c>
      <c r="BF202" s="2">
        <v>20.0</v>
      </c>
      <c r="BG202" s="2">
        <v>2.0</v>
      </c>
      <c r="BH202" s="2">
        <v>2.0</v>
      </c>
      <c r="BI202" s="2">
        <v>15.0</v>
      </c>
      <c r="BJ202" s="2">
        <v>5.0</v>
      </c>
      <c r="BK202" s="2">
        <v>2.0</v>
      </c>
      <c r="BL202" s="2">
        <v>28.0</v>
      </c>
      <c r="BM202" s="2">
        <v>5.0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2.0</v>
      </c>
      <c r="BU202" s="2">
        <v>0.0</v>
      </c>
      <c r="BV202" s="2">
        <v>1.0</v>
      </c>
      <c r="BW202" s="2">
        <v>10.0</v>
      </c>
      <c r="BX202" s="2">
        <v>105.0</v>
      </c>
      <c r="BY202" s="2">
        <v>4.0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3.0</v>
      </c>
      <c r="CF202" s="2">
        <v>25.0</v>
      </c>
      <c r="CG202" s="2">
        <v>6.0</v>
      </c>
      <c r="CH202" s="2">
        <v>154.0</v>
      </c>
      <c r="CI202" s="2">
        <v>2.0</v>
      </c>
      <c r="CJ202" s="2">
        <v>2.0</v>
      </c>
      <c r="CK202" s="2">
        <v>0.0</v>
      </c>
      <c r="CL202" s="2">
        <v>0.0</v>
      </c>
      <c r="CM202" s="2">
        <v>46.0</v>
      </c>
      <c r="CN202" s="2">
        <v>1.0</v>
      </c>
      <c r="CO202" s="2">
        <v>0.0</v>
      </c>
      <c r="CP202" s="2">
        <v>0.0</v>
      </c>
      <c r="CQ202" s="2">
        <v>1.0</v>
      </c>
      <c r="CR202" s="2">
        <v>1.0</v>
      </c>
      <c r="CS202" s="2">
        <v>0.0</v>
      </c>
      <c r="CT202" s="2">
        <v>0.0</v>
      </c>
      <c r="CU202" s="2">
        <v>0.0</v>
      </c>
      <c r="CV202" s="2">
        <v>0.0</v>
      </c>
      <c r="CW202" s="2">
        <v>0.0</v>
      </c>
      <c r="CX202" s="2">
        <v>0.0</v>
      </c>
      <c r="CY202" s="2">
        <v>0.0</v>
      </c>
      <c r="CZ202" s="2">
        <v>0.0</v>
      </c>
      <c r="DA202" s="2" t="s">
        <v>2114</v>
      </c>
      <c r="DD202" s="2">
        <v>82.0</v>
      </c>
      <c r="DE202" s="2">
        <v>0.0</v>
      </c>
      <c r="DF202" s="2">
        <v>0.0</v>
      </c>
      <c r="DG202" s="2">
        <v>1.0</v>
      </c>
      <c r="DH202" s="2">
        <v>1.0</v>
      </c>
      <c r="DI202" s="2">
        <v>0.0</v>
      </c>
      <c r="DJ202" s="2">
        <v>0.0</v>
      </c>
      <c r="DK202" s="2">
        <v>1.0</v>
      </c>
      <c r="DL202" s="2">
        <v>0.0</v>
      </c>
      <c r="DM202" s="2">
        <v>0.0</v>
      </c>
      <c r="DN202" s="2">
        <v>0.0</v>
      </c>
      <c r="DO202" s="2">
        <v>0.0</v>
      </c>
      <c r="DP202" s="2">
        <v>0.0</v>
      </c>
      <c r="DQ202" s="2">
        <v>7.0</v>
      </c>
      <c r="DR202" s="2">
        <v>0.0</v>
      </c>
      <c r="DS202" s="2">
        <v>57.0</v>
      </c>
      <c r="DT202" s="2">
        <v>344.0</v>
      </c>
      <c r="DU202" s="2">
        <v>1.0</v>
      </c>
      <c r="DV202" s="2">
        <v>0.0</v>
      </c>
      <c r="DW202" s="2">
        <v>1.0</v>
      </c>
      <c r="DX202" s="2">
        <v>1.0</v>
      </c>
      <c r="DY202" s="2">
        <v>0.0</v>
      </c>
      <c r="DZ202" s="2">
        <v>5.0</v>
      </c>
      <c r="EA202" s="2">
        <v>67.0</v>
      </c>
      <c r="EB202" s="2">
        <v>0.0</v>
      </c>
      <c r="EC202" s="2">
        <v>257.0</v>
      </c>
      <c r="EE202" s="2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2">
        <v>2025.0</v>
      </c>
      <c r="B203" s="2">
        <v>7.0</v>
      </c>
      <c r="C203" s="2" t="s">
        <v>210</v>
      </c>
      <c r="D203" s="2" t="s">
        <v>390</v>
      </c>
      <c r="E203" s="2" t="s">
        <v>801</v>
      </c>
      <c r="F203" s="2" t="s">
        <v>220</v>
      </c>
      <c r="G203" s="2">
        <v>23.0</v>
      </c>
      <c r="H203" s="2">
        <v>34.0</v>
      </c>
      <c r="I203" s="2">
        <v>288.0</v>
      </c>
      <c r="J203" s="2">
        <v>2.0</v>
      </c>
      <c r="K203" s="2">
        <v>0.0</v>
      </c>
      <c r="L203" s="2">
        <v>1.0</v>
      </c>
      <c r="M203" s="2">
        <v>-7.0</v>
      </c>
      <c r="N203" s="2">
        <v>0.0</v>
      </c>
      <c r="O203" s="2">
        <v>0.0</v>
      </c>
      <c r="P203" s="2">
        <v>334.0</v>
      </c>
      <c r="Q203" s="2">
        <v>142.0</v>
      </c>
      <c r="R203" s="2">
        <v>14.0</v>
      </c>
      <c r="S203" s="2">
        <v>14.8613543536124</v>
      </c>
      <c r="T203" s="2">
        <v>5.18131880089641</v>
      </c>
      <c r="U203" s="2">
        <v>1.0</v>
      </c>
      <c r="V203" s="2">
        <v>11.0</v>
      </c>
      <c r="W203" s="2">
        <v>6.0</v>
      </c>
      <c r="X203" s="2">
        <v>3.0</v>
      </c>
      <c r="Y203" s="2">
        <v>1.0</v>
      </c>
      <c r="Z203" s="2">
        <v>23.0</v>
      </c>
      <c r="AA203" s="2">
        <v>120.0</v>
      </c>
      <c r="AB203" s="2">
        <v>3.0</v>
      </c>
      <c r="AC203" s="2">
        <v>0.0</v>
      </c>
      <c r="AD203" s="2">
        <v>0.0</v>
      </c>
      <c r="AE203" s="2">
        <v>9.0</v>
      </c>
      <c r="AF203" s="2">
        <v>7.14056294085458</v>
      </c>
      <c r="AG203" s="2">
        <v>0.0</v>
      </c>
      <c r="AH203" s="2">
        <v>4.0</v>
      </c>
      <c r="AI203" s="2">
        <v>4.0</v>
      </c>
      <c r="AJ203" s="2">
        <v>2.0</v>
      </c>
      <c r="AK203" s="2">
        <v>0.0</v>
      </c>
      <c r="AL203" s="2">
        <v>23.0</v>
      </c>
      <c r="AM203" s="2">
        <v>32.0</v>
      </c>
      <c r="AN203" s="2">
        <v>288.0</v>
      </c>
      <c r="AO203" s="2">
        <v>2.0</v>
      </c>
      <c r="AP203" s="2">
        <v>0.0</v>
      </c>
      <c r="AQ203" s="2">
        <v>0.0</v>
      </c>
      <c r="AR203" s="2">
        <v>334.0</v>
      </c>
      <c r="AS203" s="2">
        <v>142.0</v>
      </c>
      <c r="AT203" s="2">
        <v>14.0</v>
      </c>
      <c r="AU203" s="2">
        <v>16.8607665312449</v>
      </c>
      <c r="AV203" s="2">
        <v>1.0</v>
      </c>
      <c r="AW203" s="2">
        <v>11.0</v>
      </c>
      <c r="AX203" s="2">
        <v>6.0</v>
      </c>
      <c r="AY203" s="2">
        <v>3.0</v>
      </c>
      <c r="AZ203" s="2">
        <v>1.0</v>
      </c>
      <c r="BA203" s="2">
        <v>0.0</v>
      </c>
      <c r="BB203" s="2">
        <v>43.0</v>
      </c>
      <c r="BC203" s="2">
        <v>0.0</v>
      </c>
      <c r="BD203" s="2">
        <v>30.0</v>
      </c>
      <c r="BE203" s="2">
        <v>4.0</v>
      </c>
      <c r="BF203" s="2">
        <v>31.0</v>
      </c>
      <c r="BG203" s="2">
        <v>0.0</v>
      </c>
      <c r="BH203" s="2">
        <v>3.0</v>
      </c>
      <c r="BI203" s="2">
        <v>29.0</v>
      </c>
      <c r="BJ203" s="2">
        <v>15.0</v>
      </c>
      <c r="BK203" s="2">
        <v>2.0</v>
      </c>
      <c r="BL203" s="2">
        <v>3.0</v>
      </c>
      <c r="BM203" s="2">
        <v>6.0</v>
      </c>
      <c r="BN203" s="2">
        <v>0.0</v>
      </c>
      <c r="BO203" s="2">
        <v>0.0</v>
      </c>
      <c r="BP203" s="2">
        <v>0.0</v>
      </c>
      <c r="BQ203" s="2">
        <v>0.0</v>
      </c>
      <c r="BR203" s="2">
        <v>1.0</v>
      </c>
      <c r="BS203" s="2">
        <v>0.0</v>
      </c>
      <c r="BT203" s="2">
        <v>0.0</v>
      </c>
      <c r="BU203" s="2">
        <v>0.0</v>
      </c>
      <c r="BV203" s="2">
        <v>0.0</v>
      </c>
      <c r="BW203" s="2">
        <v>3.0</v>
      </c>
      <c r="BX203" s="2">
        <v>42.0</v>
      </c>
      <c r="BY203" s="2">
        <v>6.0</v>
      </c>
      <c r="BZ203" s="2">
        <v>0.0</v>
      </c>
      <c r="CA203" s="2">
        <v>1.0</v>
      </c>
      <c r="CB203" s="2">
        <v>0.0</v>
      </c>
      <c r="CC203" s="2">
        <v>1.0</v>
      </c>
      <c r="CD203" s="2">
        <v>0.0</v>
      </c>
      <c r="CE203" s="2">
        <v>0.0</v>
      </c>
      <c r="CF203" s="2">
        <v>0.0</v>
      </c>
      <c r="CG203" s="2">
        <v>5.0</v>
      </c>
      <c r="CH203" s="2">
        <v>193.0</v>
      </c>
      <c r="CI203" s="2">
        <v>1.0</v>
      </c>
      <c r="CJ203" s="2">
        <v>1.0</v>
      </c>
      <c r="CK203" s="2">
        <v>0.0</v>
      </c>
      <c r="CL203" s="2">
        <v>0.0</v>
      </c>
      <c r="CM203" s="2">
        <v>36.0</v>
      </c>
      <c r="CN203" s="2">
        <v>1.0</v>
      </c>
      <c r="CO203" s="2">
        <v>0.0</v>
      </c>
      <c r="CP203" s="2">
        <v>0.0</v>
      </c>
      <c r="CQ203" s="2">
        <v>1.0</v>
      </c>
      <c r="CR203" s="2">
        <v>0.0</v>
      </c>
      <c r="CS203" s="2">
        <v>0.0</v>
      </c>
      <c r="CT203" s="2">
        <v>0.0</v>
      </c>
      <c r="CU203" s="2">
        <v>0.0</v>
      </c>
      <c r="CV203" s="2">
        <v>0.0</v>
      </c>
      <c r="CW203" s="2">
        <v>0.0</v>
      </c>
      <c r="CX203" s="2">
        <v>0.0</v>
      </c>
      <c r="CY203" s="2">
        <v>0.0</v>
      </c>
      <c r="CZ203" s="2">
        <v>0.0</v>
      </c>
      <c r="DA203" s="2" t="s">
        <v>1970</v>
      </c>
      <c r="DD203" s="2">
        <v>36.0</v>
      </c>
      <c r="DE203" s="2">
        <v>0.0</v>
      </c>
      <c r="DF203" s="2">
        <v>0.0</v>
      </c>
      <c r="DG203" s="2">
        <v>3.0</v>
      </c>
      <c r="DH203" s="2">
        <v>4.0</v>
      </c>
      <c r="DI203" s="2">
        <v>1.0</v>
      </c>
      <c r="DJ203" s="2">
        <v>0.0</v>
      </c>
      <c r="DK203" s="2">
        <v>0.75</v>
      </c>
      <c r="DL203" s="2">
        <v>0.0</v>
      </c>
      <c r="DM203" s="2">
        <v>0.0</v>
      </c>
      <c r="DN203" s="2">
        <v>0.0</v>
      </c>
      <c r="DO203" s="2">
        <v>0.0</v>
      </c>
      <c r="DP203" s="2">
        <v>0.0</v>
      </c>
      <c r="DQ203" s="2">
        <v>2.0</v>
      </c>
      <c r="DR203" s="2">
        <v>0.0</v>
      </c>
      <c r="DS203" s="2">
        <v>44.0</v>
      </c>
      <c r="DT203" s="2">
        <v>87.0</v>
      </c>
      <c r="DU203" s="2">
        <v>1.0</v>
      </c>
      <c r="DV203" s="2">
        <v>0.0</v>
      </c>
      <c r="DW203" s="2">
        <v>0.0</v>
      </c>
      <c r="DX203" s="2">
        <v>0.0</v>
      </c>
      <c r="DY203" s="2">
        <v>1.0</v>
      </c>
      <c r="DZ203" s="2">
        <v>1.0</v>
      </c>
      <c r="EA203" s="2">
        <v>-3.0</v>
      </c>
      <c r="EB203" s="2">
        <v>0.0</v>
      </c>
      <c r="EC203" s="2">
        <v>90.0</v>
      </c>
      <c r="EE203" s="2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2">
        <v>2025.0</v>
      </c>
      <c r="B204" s="2">
        <v>7.0</v>
      </c>
      <c r="C204" s="2" t="s">
        <v>141</v>
      </c>
      <c r="D204" s="2" t="s">
        <v>390</v>
      </c>
      <c r="E204" s="2" t="s">
        <v>784</v>
      </c>
      <c r="F204" s="2" t="s">
        <v>142</v>
      </c>
      <c r="G204" s="2">
        <v>23.0</v>
      </c>
      <c r="H204" s="2">
        <v>48.0</v>
      </c>
      <c r="I204" s="2">
        <v>296.0</v>
      </c>
      <c r="J204" s="2">
        <v>1.0</v>
      </c>
      <c r="K204" s="2">
        <v>0.0</v>
      </c>
      <c r="L204" s="2">
        <v>7.0</v>
      </c>
      <c r="M204" s="2">
        <v>-32.0</v>
      </c>
      <c r="N204" s="2">
        <v>0.0</v>
      </c>
      <c r="O204" s="2">
        <v>0.0</v>
      </c>
      <c r="P204" s="2">
        <v>522.0</v>
      </c>
      <c r="Q204" s="2">
        <v>82.0</v>
      </c>
      <c r="R204" s="2">
        <v>13.0</v>
      </c>
      <c r="S204" s="2">
        <v>-13.9341480059808</v>
      </c>
      <c r="T204" s="2">
        <v>-12.5205516815186</v>
      </c>
      <c r="U204" s="2">
        <v>0.0</v>
      </c>
      <c r="V204" s="2">
        <v>12.0</v>
      </c>
      <c r="W204" s="2">
        <v>7.0</v>
      </c>
      <c r="X204" s="2">
        <v>6.0</v>
      </c>
      <c r="Y204" s="2">
        <v>0.0</v>
      </c>
      <c r="Z204" s="2">
        <v>19.0</v>
      </c>
      <c r="AA204" s="2">
        <v>94.0</v>
      </c>
      <c r="AB204" s="2">
        <v>0.0</v>
      </c>
      <c r="AC204" s="2">
        <v>0.0</v>
      </c>
      <c r="AD204" s="2">
        <v>0.0</v>
      </c>
      <c r="AE204" s="2">
        <v>5.0</v>
      </c>
      <c r="AF204" s="2">
        <v>2.08117705787299</v>
      </c>
      <c r="AG204" s="2">
        <v>0.0</v>
      </c>
      <c r="AH204" s="2">
        <v>2.0</v>
      </c>
      <c r="AI204" s="2">
        <v>2.0</v>
      </c>
      <c r="AJ204" s="2">
        <v>0.0</v>
      </c>
      <c r="AK204" s="2">
        <v>0.0</v>
      </c>
      <c r="AL204" s="2">
        <v>23.0</v>
      </c>
      <c r="AM204" s="2">
        <v>47.0</v>
      </c>
      <c r="AN204" s="2">
        <v>296.0</v>
      </c>
      <c r="AO204" s="2">
        <v>1.0</v>
      </c>
      <c r="AP204" s="2">
        <v>1.0</v>
      </c>
      <c r="AQ204" s="2">
        <v>0.0</v>
      </c>
      <c r="AR204" s="2">
        <v>522.0</v>
      </c>
      <c r="AS204" s="2">
        <v>82.0</v>
      </c>
      <c r="AT204" s="2">
        <v>13.0</v>
      </c>
      <c r="AU204" s="2">
        <v>-4.38546495210868</v>
      </c>
      <c r="AV204" s="2">
        <v>0.0</v>
      </c>
      <c r="AW204" s="2">
        <v>12.0</v>
      </c>
      <c r="AX204" s="2">
        <v>7.0</v>
      </c>
      <c r="AY204" s="2">
        <v>6.0</v>
      </c>
      <c r="AZ204" s="2">
        <v>0.0</v>
      </c>
      <c r="BA204" s="2">
        <v>0.0</v>
      </c>
      <c r="BB204" s="2">
        <v>35.0</v>
      </c>
      <c r="BC204" s="2">
        <v>2.0</v>
      </c>
      <c r="BD204" s="2">
        <v>18.0</v>
      </c>
      <c r="BE204" s="2">
        <v>1.0</v>
      </c>
      <c r="BF204" s="2">
        <v>1.0</v>
      </c>
      <c r="BG204" s="2">
        <v>0.0</v>
      </c>
      <c r="BH204" s="2">
        <v>0.0</v>
      </c>
      <c r="BI204" s="2">
        <v>0.0</v>
      </c>
      <c r="BJ204" s="2">
        <v>4.0</v>
      </c>
      <c r="BK204" s="2">
        <v>0.0</v>
      </c>
      <c r="BL204" s="2">
        <v>0.0</v>
      </c>
      <c r="BM204" s="2">
        <v>4.0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</v>
      </c>
      <c r="BV204" s="2">
        <v>0.0</v>
      </c>
      <c r="BW204" s="2">
        <v>13.0</v>
      </c>
      <c r="BX204" s="2">
        <v>119.0</v>
      </c>
      <c r="BY204" s="2">
        <v>4.0</v>
      </c>
      <c r="BZ204" s="2">
        <v>1.0</v>
      </c>
      <c r="CA204" s="2">
        <v>0.0</v>
      </c>
      <c r="CB204" s="2">
        <v>1.0</v>
      </c>
      <c r="CC204" s="2">
        <v>1.0</v>
      </c>
      <c r="CD204" s="2">
        <v>0.0</v>
      </c>
      <c r="CE204" s="2">
        <v>2.0</v>
      </c>
      <c r="CF204" s="2">
        <v>19.0</v>
      </c>
      <c r="CG204" s="2">
        <v>2.0</v>
      </c>
      <c r="CH204" s="2">
        <v>60.0</v>
      </c>
      <c r="CI204" s="2">
        <v>0.0</v>
      </c>
      <c r="CJ204" s="2">
        <v>1.0</v>
      </c>
      <c r="CK204" s="2">
        <v>1.0</v>
      </c>
      <c r="CL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0.0</v>
      </c>
      <c r="CS204" s="2">
        <v>0.0</v>
      </c>
      <c r="CT204" s="2">
        <v>0.0</v>
      </c>
      <c r="CU204" s="2">
        <v>0.0</v>
      </c>
      <c r="CV204" s="2">
        <v>0.0</v>
      </c>
      <c r="CW204" s="2">
        <v>0.0</v>
      </c>
      <c r="CX204" s="2">
        <v>0.0</v>
      </c>
      <c r="CY204" s="2">
        <v>1.0</v>
      </c>
      <c r="CZ204" s="2">
        <v>0.0</v>
      </c>
      <c r="DB204" s="2" t="s">
        <v>1967</v>
      </c>
      <c r="DD204" s="2">
        <v>0.0</v>
      </c>
      <c r="DE204" s="2">
        <v>50.0</v>
      </c>
      <c r="DF204" s="2">
        <v>0.0</v>
      </c>
      <c r="DG204" s="2">
        <v>1.0</v>
      </c>
      <c r="DH204" s="2">
        <v>1.0</v>
      </c>
      <c r="DI204" s="2">
        <v>0.0</v>
      </c>
      <c r="DJ204" s="2">
        <v>0.0</v>
      </c>
      <c r="DK204" s="2">
        <v>1.0</v>
      </c>
      <c r="DL204" s="2">
        <v>0.0</v>
      </c>
      <c r="DM204" s="2">
        <v>0.0</v>
      </c>
      <c r="DN204" s="2">
        <v>0.0</v>
      </c>
      <c r="DO204" s="2">
        <v>0.0</v>
      </c>
      <c r="DP204" s="2">
        <v>0.0</v>
      </c>
      <c r="DQ204" s="2">
        <v>5.0</v>
      </c>
      <c r="DR204" s="2">
        <v>0.0</v>
      </c>
      <c r="DS204" s="2">
        <v>62.0</v>
      </c>
      <c r="DT204" s="2">
        <v>207.0</v>
      </c>
      <c r="DU204" s="2">
        <v>2.0</v>
      </c>
      <c r="DV204" s="2">
        <v>1.0</v>
      </c>
      <c r="DW204" s="2">
        <v>0.0</v>
      </c>
      <c r="DX204" s="2">
        <v>0.0</v>
      </c>
      <c r="DY204" s="2">
        <v>1.0</v>
      </c>
      <c r="DZ204" s="2">
        <v>3.0</v>
      </c>
      <c r="EA204" s="2">
        <v>17.0</v>
      </c>
      <c r="EB204" s="2">
        <v>0.0</v>
      </c>
      <c r="EC204" s="2">
        <v>190.0</v>
      </c>
      <c r="EE204" s="2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2">
        <v>2025.0</v>
      </c>
      <c r="B205" s="2">
        <v>7.0</v>
      </c>
      <c r="C205" s="2" t="s">
        <v>143</v>
      </c>
      <c r="D205" s="2" t="s">
        <v>390</v>
      </c>
      <c r="E205" s="2" t="s">
        <v>791</v>
      </c>
      <c r="F205" s="2" t="s">
        <v>222</v>
      </c>
      <c r="G205" s="2">
        <v>26.0</v>
      </c>
      <c r="H205" s="2">
        <v>35.0</v>
      </c>
      <c r="I205" s="2">
        <v>286.0</v>
      </c>
      <c r="J205" s="2">
        <v>3.0</v>
      </c>
      <c r="K205" s="2">
        <v>0.0</v>
      </c>
      <c r="L205" s="2">
        <v>1.0</v>
      </c>
      <c r="M205" s="2">
        <v>-4.0</v>
      </c>
      <c r="N205" s="2">
        <v>0.0</v>
      </c>
      <c r="O205" s="2">
        <v>0.0</v>
      </c>
      <c r="P205" s="2">
        <v>207.0</v>
      </c>
      <c r="Q205" s="2">
        <v>154.0</v>
      </c>
      <c r="R205" s="2">
        <v>16.0</v>
      </c>
      <c r="S205" s="2">
        <v>19.3391776471353</v>
      </c>
      <c r="T205" s="2">
        <v>6.07154676142861</v>
      </c>
      <c r="U205" s="2">
        <v>0.0</v>
      </c>
      <c r="V205" s="2">
        <v>11.0</v>
      </c>
      <c r="W205" s="2">
        <v>5.0</v>
      </c>
      <c r="X205" s="2">
        <v>3.0</v>
      </c>
      <c r="Y205" s="2">
        <v>1.0</v>
      </c>
      <c r="Z205" s="2">
        <v>41.0</v>
      </c>
      <c r="AA205" s="2">
        <v>152.0</v>
      </c>
      <c r="AB205" s="2">
        <v>1.0</v>
      </c>
      <c r="AC205" s="2">
        <v>0.0</v>
      </c>
      <c r="AD205" s="2">
        <v>0.0</v>
      </c>
      <c r="AE205" s="2">
        <v>12.0</v>
      </c>
      <c r="AF205" s="2">
        <v>-2.77944451611256</v>
      </c>
      <c r="AG205" s="2">
        <v>0.0</v>
      </c>
      <c r="AH205" s="2">
        <v>3.0</v>
      </c>
      <c r="AI205" s="2">
        <v>1.0</v>
      </c>
      <c r="AJ205" s="2">
        <v>0.0</v>
      </c>
      <c r="AK205" s="2">
        <v>0.0</v>
      </c>
      <c r="AL205" s="2">
        <v>26.0</v>
      </c>
      <c r="AM205" s="2">
        <v>34.0</v>
      </c>
      <c r="AN205" s="2">
        <v>286.0</v>
      </c>
      <c r="AO205" s="2">
        <v>3.0</v>
      </c>
      <c r="AP205" s="2">
        <v>1.0</v>
      </c>
      <c r="AQ205" s="2">
        <v>0.0</v>
      </c>
      <c r="AR205" s="2">
        <v>207.0</v>
      </c>
      <c r="AS205" s="2">
        <v>154.0</v>
      </c>
      <c r="AT205" s="2">
        <v>16.0</v>
      </c>
      <c r="AU205" s="2">
        <v>20.8670069470491</v>
      </c>
      <c r="AV205" s="2">
        <v>0.0</v>
      </c>
      <c r="AW205" s="2">
        <v>11.0</v>
      </c>
      <c r="AX205" s="2">
        <v>5.0</v>
      </c>
      <c r="AY205" s="2">
        <v>3.0</v>
      </c>
      <c r="AZ205" s="2">
        <v>1.0</v>
      </c>
      <c r="BA205" s="2">
        <v>0.0</v>
      </c>
      <c r="BB205" s="2">
        <v>17.0</v>
      </c>
      <c r="BC205" s="2">
        <v>0.0</v>
      </c>
      <c r="BD205" s="2">
        <v>18.0</v>
      </c>
      <c r="BE205" s="2">
        <v>1.0</v>
      </c>
      <c r="BF205" s="2">
        <v>5.0</v>
      </c>
      <c r="BG205" s="2">
        <v>0.0</v>
      </c>
      <c r="BH205" s="2">
        <v>1.0</v>
      </c>
      <c r="BI205" s="2">
        <v>5.0</v>
      </c>
      <c r="BJ205" s="2">
        <v>2.0</v>
      </c>
      <c r="BK205" s="2">
        <v>0.0</v>
      </c>
      <c r="BL205" s="2">
        <v>0.0</v>
      </c>
      <c r="BM205" s="2">
        <v>1.0</v>
      </c>
      <c r="BN205" s="2">
        <v>0.0</v>
      </c>
      <c r="BO205" s="2">
        <v>1.0</v>
      </c>
      <c r="BP205" s="2">
        <v>0.0</v>
      </c>
      <c r="BQ205" s="2">
        <v>0.0</v>
      </c>
      <c r="BR205" s="2">
        <v>2.0</v>
      </c>
      <c r="BS205" s="2">
        <v>3.0</v>
      </c>
      <c r="BT205" s="2">
        <v>1.0</v>
      </c>
      <c r="BU205" s="2">
        <v>0.0</v>
      </c>
      <c r="BV205" s="2">
        <v>0.0</v>
      </c>
      <c r="BW205" s="2">
        <v>5.0</v>
      </c>
      <c r="BX205" s="2">
        <v>38.0</v>
      </c>
      <c r="BY205" s="2">
        <v>3.0</v>
      </c>
      <c r="BZ205" s="2">
        <v>1.0</v>
      </c>
      <c r="CA205" s="2">
        <v>1.0</v>
      </c>
      <c r="CB205" s="2">
        <v>0.0</v>
      </c>
      <c r="CC205" s="2">
        <v>2.0</v>
      </c>
      <c r="CD205" s="2">
        <v>0.0</v>
      </c>
      <c r="CE205" s="2">
        <v>3.0</v>
      </c>
      <c r="CF205" s="2">
        <v>15.0</v>
      </c>
      <c r="CG205" s="2">
        <v>0.0</v>
      </c>
      <c r="CH205" s="2">
        <v>0.0</v>
      </c>
      <c r="CI205" s="2">
        <v>1.0</v>
      </c>
      <c r="CJ205" s="2">
        <v>1.0</v>
      </c>
      <c r="CK205" s="2">
        <v>0.0</v>
      </c>
      <c r="CL205" s="2">
        <v>0.0</v>
      </c>
      <c r="CM205" s="2">
        <v>38.0</v>
      </c>
      <c r="CN205" s="2">
        <v>1.0</v>
      </c>
      <c r="CO205" s="2">
        <v>0.0</v>
      </c>
      <c r="CP205" s="2">
        <v>0.0</v>
      </c>
      <c r="CQ205" s="2">
        <v>1.0</v>
      </c>
      <c r="CR205" s="2">
        <v>0.0</v>
      </c>
      <c r="CS205" s="2">
        <v>0.0</v>
      </c>
      <c r="CT205" s="2">
        <v>0.0</v>
      </c>
      <c r="CU205" s="2">
        <v>0.0</v>
      </c>
      <c r="CV205" s="2">
        <v>0.0</v>
      </c>
      <c r="CW205" s="2">
        <v>0.0</v>
      </c>
      <c r="CX205" s="2">
        <v>0.0</v>
      </c>
      <c r="CY205" s="2">
        <v>0.0</v>
      </c>
      <c r="CZ205" s="2">
        <v>0.0</v>
      </c>
      <c r="DA205" s="2" t="s">
        <v>1999</v>
      </c>
      <c r="DD205" s="2">
        <v>38.0</v>
      </c>
      <c r="DE205" s="2">
        <v>0.0</v>
      </c>
      <c r="DF205" s="2">
        <v>0.0</v>
      </c>
      <c r="DG205" s="2">
        <v>4.0</v>
      </c>
      <c r="DH205" s="2">
        <v>4.0</v>
      </c>
      <c r="DI205" s="2">
        <v>0.0</v>
      </c>
      <c r="DJ205" s="2">
        <v>0.0</v>
      </c>
      <c r="DK205" s="2">
        <v>1.0</v>
      </c>
      <c r="DL205" s="2">
        <v>0.0</v>
      </c>
      <c r="DM205" s="2">
        <v>0.0</v>
      </c>
      <c r="DN205" s="2">
        <v>0.0</v>
      </c>
      <c r="DO205" s="2">
        <v>0.0</v>
      </c>
      <c r="DP205" s="2">
        <v>0.0</v>
      </c>
      <c r="DQ205" s="2">
        <v>3.0</v>
      </c>
      <c r="DR205" s="2">
        <v>0.0</v>
      </c>
      <c r="DS205" s="2">
        <v>40.0</v>
      </c>
      <c r="DT205" s="2">
        <v>106.0</v>
      </c>
      <c r="DU205" s="2">
        <v>2.0</v>
      </c>
      <c r="DV205" s="2">
        <v>0.0</v>
      </c>
      <c r="DW205" s="2">
        <v>1.0</v>
      </c>
      <c r="DX205" s="2">
        <v>0.0</v>
      </c>
      <c r="DY205" s="2">
        <v>1.0</v>
      </c>
      <c r="DZ205" s="2">
        <v>1.0</v>
      </c>
      <c r="EA205" s="2">
        <v>6.0</v>
      </c>
      <c r="EB205" s="2">
        <v>0.0</v>
      </c>
      <c r="EC205" s="2">
        <v>100.0</v>
      </c>
      <c r="EE205" s="2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2">
        <v>2025.0</v>
      </c>
      <c r="B206" s="2">
        <v>7.0</v>
      </c>
      <c r="C206" s="2" t="s">
        <v>142</v>
      </c>
      <c r="D206" s="2" t="s">
        <v>390</v>
      </c>
      <c r="E206" s="2" t="s">
        <v>784</v>
      </c>
      <c r="F206" s="2" t="s">
        <v>141</v>
      </c>
      <c r="G206" s="2">
        <v>21.0</v>
      </c>
      <c r="H206" s="2">
        <v>33.0</v>
      </c>
      <c r="I206" s="2">
        <v>182.0</v>
      </c>
      <c r="J206" s="2">
        <v>5.0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363.0</v>
      </c>
      <c r="Q206" s="2">
        <v>65.0</v>
      </c>
      <c r="R206" s="2">
        <v>14.0</v>
      </c>
      <c r="S206" s="2">
        <v>8.78292110632174</v>
      </c>
      <c r="T206" s="2">
        <v>4.22184729214871</v>
      </c>
      <c r="U206" s="2">
        <v>0.0</v>
      </c>
      <c r="V206" s="2">
        <v>5.0</v>
      </c>
      <c r="W206" s="2">
        <v>4.0</v>
      </c>
      <c r="X206" s="2">
        <v>2.0</v>
      </c>
      <c r="Y206" s="2">
        <v>0.0</v>
      </c>
      <c r="Z206" s="2">
        <v>29.0</v>
      </c>
      <c r="AA206" s="2">
        <v>89.0</v>
      </c>
      <c r="AB206" s="2">
        <v>0.0</v>
      </c>
      <c r="AC206" s="2">
        <v>0.0</v>
      </c>
      <c r="AD206" s="2">
        <v>0.0</v>
      </c>
      <c r="AE206" s="2">
        <v>4.0</v>
      </c>
      <c r="AF206" s="2">
        <v>-1.76978209335357</v>
      </c>
      <c r="AG206" s="2">
        <v>0.0</v>
      </c>
      <c r="AH206" s="2">
        <v>1.0</v>
      </c>
      <c r="AI206" s="2">
        <v>0.0</v>
      </c>
      <c r="AJ206" s="2">
        <v>0.0</v>
      </c>
      <c r="AK206" s="2">
        <v>0.0</v>
      </c>
      <c r="AL206" s="2">
        <v>21.0</v>
      </c>
      <c r="AM206" s="2">
        <v>33.0</v>
      </c>
      <c r="AN206" s="2">
        <v>182.0</v>
      </c>
      <c r="AO206" s="2">
        <v>5.0</v>
      </c>
      <c r="AP206" s="2">
        <v>0.0</v>
      </c>
      <c r="AQ206" s="2">
        <v>0.0</v>
      </c>
      <c r="AR206" s="2">
        <v>363.0</v>
      </c>
      <c r="AS206" s="2">
        <v>65.0</v>
      </c>
      <c r="AT206" s="2">
        <v>14.0</v>
      </c>
      <c r="AU206" s="2">
        <v>8.78292110632174</v>
      </c>
      <c r="AV206" s="2">
        <v>0.0</v>
      </c>
      <c r="AW206" s="2">
        <v>5.0</v>
      </c>
      <c r="AX206" s="2">
        <v>4.0</v>
      </c>
      <c r="AY206" s="2">
        <v>2.0</v>
      </c>
      <c r="AZ206" s="2">
        <v>0.0</v>
      </c>
      <c r="BA206" s="2">
        <v>0.0</v>
      </c>
      <c r="BB206" s="2">
        <v>42.0</v>
      </c>
      <c r="BC206" s="2">
        <v>0.0</v>
      </c>
      <c r="BD206" s="2">
        <v>18.0</v>
      </c>
      <c r="BE206" s="2">
        <v>5.0</v>
      </c>
      <c r="BF206" s="2">
        <v>32.0</v>
      </c>
      <c r="BG206" s="2">
        <v>1.0</v>
      </c>
      <c r="BH206" s="2">
        <v>7.0</v>
      </c>
      <c r="BI206" s="2">
        <v>32.0</v>
      </c>
      <c r="BJ206" s="2">
        <v>11.0</v>
      </c>
      <c r="BK206" s="2">
        <v>0.0</v>
      </c>
      <c r="BL206" s="2">
        <v>0.0</v>
      </c>
      <c r="BM206" s="2">
        <v>10.0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0.0</v>
      </c>
      <c r="BT206" s="2">
        <v>0.0</v>
      </c>
      <c r="BU206" s="2">
        <v>0.0</v>
      </c>
      <c r="BV206" s="2">
        <v>0.0</v>
      </c>
      <c r="BW206" s="2">
        <v>5.0</v>
      </c>
      <c r="BX206" s="2">
        <v>45.0</v>
      </c>
      <c r="BY206" s="2">
        <v>3.0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3.0</v>
      </c>
      <c r="CF206" s="2">
        <v>17.0</v>
      </c>
      <c r="CG206" s="2">
        <v>1.0</v>
      </c>
      <c r="CH206" s="2">
        <v>32.0</v>
      </c>
      <c r="CI206" s="2">
        <v>0.0</v>
      </c>
      <c r="CJ206" s="2">
        <v>0.0</v>
      </c>
      <c r="CK206" s="2">
        <v>0.0</v>
      </c>
      <c r="CL206" s="2">
        <v>0.0</v>
      </c>
      <c r="CO206" s="2">
        <v>0.0</v>
      </c>
      <c r="CP206" s="2">
        <v>0.0</v>
      </c>
      <c r="CQ206" s="2">
        <v>0.0</v>
      </c>
      <c r="CR206" s="2">
        <v>0.0</v>
      </c>
      <c r="CS206" s="2">
        <v>0.0</v>
      </c>
      <c r="CT206" s="2">
        <v>0.0</v>
      </c>
      <c r="CU206" s="2">
        <v>0.0</v>
      </c>
      <c r="CV206" s="2">
        <v>0.0</v>
      </c>
      <c r="CW206" s="2">
        <v>0.0</v>
      </c>
      <c r="CX206" s="2">
        <v>0.0</v>
      </c>
      <c r="CY206" s="2">
        <v>0.0</v>
      </c>
      <c r="CZ206" s="2">
        <v>0.0</v>
      </c>
      <c r="DD206" s="2">
        <v>0.0</v>
      </c>
      <c r="DE206" s="2">
        <v>0.0</v>
      </c>
      <c r="DF206" s="2">
        <v>0.0</v>
      </c>
      <c r="DG206" s="2">
        <v>5.0</v>
      </c>
      <c r="DH206" s="2">
        <v>5.0</v>
      </c>
      <c r="DI206" s="2">
        <v>0.0</v>
      </c>
      <c r="DJ206" s="2">
        <v>0.0</v>
      </c>
      <c r="DK206" s="2">
        <v>1.0</v>
      </c>
      <c r="DL206" s="2">
        <v>0.0</v>
      </c>
      <c r="DM206" s="2">
        <v>0.0</v>
      </c>
      <c r="DN206" s="2">
        <v>0.0</v>
      </c>
      <c r="DO206" s="2">
        <v>0.0</v>
      </c>
      <c r="DP206" s="2">
        <v>0.0</v>
      </c>
      <c r="DQ206" s="2">
        <v>5.0</v>
      </c>
      <c r="DR206" s="2">
        <v>0.0</v>
      </c>
      <c r="DS206" s="2">
        <v>57.0</v>
      </c>
      <c r="DT206" s="2">
        <v>242.0</v>
      </c>
      <c r="DU206" s="2">
        <v>2.0</v>
      </c>
      <c r="DV206" s="2">
        <v>1.0</v>
      </c>
      <c r="DW206" s="2">
        <v>1.0</v>
      </c>
      <c r="DX206" s="2">
        <v>0.0</v>
      </c>
      <c r="DY206" s="2">
        <v>1.0</v>
      </c>
      <c r="DZ206" s="2">
        <v>2.0</v>
      </c>
      <c r="EA206" s="2">
        <v>19.0</v>
      </c>
      <c r="EB206" s="2">
        <v>0.0</v>
      </c>
      <c r="EC206" s="2">
        <v>223.0</v>
      </c>
      <c r="EE206" s="2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2">
        <v>2025.0</v>
      </c>
      <c r="B207" s="2">
        <v>7.0</v>
      </c>
      <c r="C207" s="2" t="s">
        <v>220</v>
      </c>
      <c r="D207" s="2" t="s">
        <v>390</v>
      </c>
      <c r="E207" s="2" t="s">
        <v>801</v>
      </c>
      <c r="F207" s="2" t="s">
        <v>210</v>
      </c>
      <c r="G207" s="2">
        <v>37.0</v>
      </c>
      <c r="H207" s="2">
        <v>55.0</v>
      </c>
      <c r="I207" s="2">
        <v>420.0</v>
      </c>
      <c r="J207" s="2">
        <v>3.0</v>
      </c>
      <c r="K207" s="2">
        <v>2.0</v>
      </c>
      <c r="L207" s="2">
        <v>3.0</v>
      </c>
      <c r="M207" s="2">
        <v>-29.0</v>
      </c>
      <c r="N207" s="2">
        <v>0.0</v>
      </c>
      <c r="O207" s="2">
        <v>0.0</v>
      </c>
      <c r="P207" s="2">
        <v>451.0</v>
      </c>
      <c r="Q207" s="2">
        <v>142.0</v>
      </c>
      <c r="R207" s="2">
        <v>19.0</v>
      </c>
      <c r="S207" s="2">
        <v>5.81912680048128</v>
      </c>
      <c r="T207" s="2">
        <v>2.80465318097009</v>
      </c>
      <c r="U207" s="2">
        <v>0.0</v>
      </c>
      <c r="V207" s="2">
        <v>15.0</v>
      </c>
      <c r="W207" s="2">
        <v>8.0</v>
      </c>
      <c r="X207" s="2">
        <v>6.0</v>
      </c>
      <c r="Y207" s="2">
        <v>1.0</v>
      </c>
      <c r="Z207" s="2">
        <v>16.0</v>
      </c>
      <c r="AA207" s="2">
        <v>54.0</v>
      </c>
      <c r="AB207" s="2">
        <v>0.0</v>
      </c>
      <c r="AC207" s="2">
        <v>0.0</v>
      </c>
      <c r="AD207" s="2">
        <v>0.0</v>
      </c>
      <c r="AE207" s="2">
        <v>4.0</v>
      </c>
      <c r="AF207" s="2">
        <v>0.652344244008418</v>
      </c>
      <c r="AG207" s="2">
        <v>0.0</v>
      </c>
      <c r="AH207" s="2">
        <v>1.0</v>
      </c>
      <c r="AI207" s="2">
        <v>0.0</v>
      </c>
      <c r="AJ207" s="2">
        <v>0.0</v>
      </c>
      <c r="AK207" s="2">
        <v>0.0</v>
      </c>
      <c r="AL207" s="2">
        <v>37.0</v>
      </c>
      <c r="AM207" s="2">
        <v>54.0</v>
      </c>
      <c r="AN207" s="2">
        <v>420.0</v>
      </c>
      <c r="AO207" s="2">
        <v>3.0</v>
      </c>
      <c r="AP207" s="2">
        <v>0.0</v>
      </c>
      <c r="AQ207" s="2">
        <v>0.0</v>
      </c>
      <c r="AR207" s="2">
        <v>451.0</v>
      </c>
      <c r="AS207" s="2">
        <v>142.0</v>
      </c>
      <c r="AT207" s="2">
        <v>19.0</v>
      </c>
      <c r="AU207" s="2">
        <v>11.7151484384304</v>
      </c>
      <c r="AV207" s="2">
        <v>0.0</v>
      </c>
      <c r="AW207" s="2">
        <v>15.0</v>
      </c>
      <c r="AX207" s="2">
        <v>8.0</v>
      </c>
      <c r="AY207" s="2">
        <v>6.0</v>
      </c>
      <c r="AZ207" s="2">
        <v>1.0</v>
      </c>
      <c r="BA207" s="2">
        <v>0.0</v>
      </c>
      <c r="BB207" s="2">
        <v>32.0</v>
      </c>
      <c r="BC207" s="2">
        <v>0.0</v>
      </c>
      <c r="BD207" s="2">
        <v>26.0</v>
      </c>
      <c r="BE207" s="2">
        <v>3.0</v>
      </c>
      <c r="BF207" s="2">
        <v>11.0</v>
      </c>
      <c r="BG207" s="2">
        <v>0.0</v>
      </c>
      <c r="BH207" s="2">
        <v>1.0</v>
      </c>
      <c r="BI207" s="2">
        <v>7.0</v>
      </c>
      <c r="BJ207" s="2">
        <v>5.0</v>
      </c>
      <c r="BK207" s="2">
        <v>0.0</v>
      </c>
      <c r="BL207" s="2">
        <v>0.0</v>
      </c>
      <c r="BM207" s="2">
        <v>4.0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0.0</v>
      </c>
      <c r="BU207" s="2">
        <v>0.0</v>
      </c>
      <c r="BV207" s="2">
        <v>0.0</v>
      </c>
      <c r="BW207" s="2">
        <v>6.0</v>
      </c>
      <c r="BX207" s="2">
        <v>35.0</v>
      </c>
      <c r="BY207" s="2">
        <v>3.0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1.0</v>
      </c>
      <c r="CF207" s="2">
        <v>-3.0</v>
      </c>
      <c r="CG207" s="2">
        <v>6.0</v>
      </c>
      <c r="CH207" s="2">
        <v>147.0</v>
      </c>
      <c r="CI207" s="2">
        <v>1.0</v>
      </c>
      <c r="CJ207" s="2">
        <v>1.0</v>
      </c>
      <c r="CK207" s="2">
        <v>0.0</v>
      </c>
      <c r="CL207" s="2">
        <v>0.0</v>
      </c>
      <c r="CM207" s="2">
        <v>43.0</v>
      </c>
      <c r="CN207" s="2">
        <v>1.0</v>
      </c>
      <c r="CO207" s="2">
        <v>0.0</v>
      </c>
      <c r="CP207" s="2">
        <v>0.0</v>
      </c>
      <c r="CQ207" s="2">
        <v>0.0</v>
      </c>
      <c r="CR207" s="2">
        <v>1.0</v>
      </c>
      <c r="CS207" s="2">
        <v>0.0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0.0</v>
      </c>
      <c r="DA207" s="2" t="s">
        <v>2033</v>
      </c>
      <c r="DD207" s="2">
        <v>43.0</v>
      </c>
      <c r="DE207" s="2">
        <v>0.0</v>
      </c>
      <c r="DF207" s="2">
        <v>0.0</v>
      </c>
      <c r="DG207" s="2">
        <v>3.0</v>
      </c>
      <c r="DH207" s="2">
        <v>3.0</v>
      </c>
      <c r="DI207" s="2">
        <v>0.0</v>
      </c>
      <c r="DJ207" s="2">
        <v>0.0</v>
      </c>
      <c r="DK207" s="2">
        <v>1.0</v>
      </c>
      <c r="DL207" s="2">
        <v>0.0</v>
      </c>
      <c r="DM207" s="2">
        <v>0.0</v>
      </c>
      <c r="DN207" s="2">
        <v>0.0</v>
      </c>
      <c r="DO207" s="2">
        <v>0.0</v>
      </c>
      <c r="DP207" s="2">
        <v>0.0</v>
      </c>
      <c r="DQ207" s="2">
        <v>1.0</v>
      </c>
      <c r="DR207" s="2">
        <v>0.0</v>
      </c>
      <c r="DS207" s="2">
        <v>53.0</v>
      </c>
      <c r="DT207" s="2">
        <v>53.0</v>
      </c>
      <c r="DU207" s="2">
        <v>0.0</v>
      </c>
      <c r="DV207" s="2">
        <v>0.0</v>
      </c>
      <c r="DW207" s="2">
        <v>0.0</v>
      </c>
      <c r="DX207" s="2">
        <v>1.0</v>
      </c>
      <c r="DY207" s="2">
        <v>0.0</v>
      </c>
      <c r="DZ207" s="2">
        <v>0.0</v>
      </c>
      <c r="EA207" s="2">
        <v>0.0</v>
      </c>
      <c r="EB207" s="2">
        <v>0.0</v>
      </c>
      <c r="EC207" s="2">
        <v>33.0</v>
      </c>
      <c r="EE207" s="2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2">
        <v>2025.0</v>
      </c>
      <c r="B208" s="2">
        <v>7.0</v>
      </c>
      <c r="C208" s="2" t="s">
        <v>222</v>
      </c>
      <c r="D208" s="2" t="s">
        <v>390</v>
      </c>
      <c r="E208" s="2" t="s">
        <v>791</v>
      </c>
      <c r="F208" s="2" t="s">
        <v>143</v>
      </c>
      <c r="G208" s="2">
        <v>12.0</v>
      </c>
      <c r="H208" s="2">
        <v>18.0</v>
      </c>
      <c r="I208" s="2">
        <v>75.0</v>
      </c>
      <c r="J208" s="2">
        <v>0.0</v>
      </c>
      <c r="K208" s="2">
        <v>0.0</v>
      </c>
      <c r="L208" s="2">
        <v>1.0</v>
      </c>
      <c r="M208" s="2">
        <v>-5.0</v>
      </c>
      <c r="N208" s="2">
        <v>0.0</v>
      </c>
      <c r="O208" s="2">
        <v>0.0</v>
      </c>
      <c r="P208" s="2">
        <v>51.0</v>
      </c>
      <c r="Q208" s="2">
        <v>73.0</v>
      </c>
      <c r="R208" s="2">
        <v>2.0</v>
      </c>
      <c r="S208" s="2">
        <v>-10.4632865877356</v>
      </c>
      <c r="T208" s="2">
        <v>-4.78563361308154</v>
      </c>
      <c r="U208" s="2">
        <v>0.0</v>
      </c>
      <c r="V208" s="2">
        <v>4.0</v>
      </c>
      <c r="W208" s="2">
        <v>0.0</v>
      </c>
      <c r="X208" s="2">
        <v>0.0</v>
      </c>
      <c r="Y208" s="2">
        <v>0.0</v>
      </c>
      <c r="Z208" s="2">
        <v>11.0</v>
      </c>
      <c r="AA208" s="2">
        <v>25.0</v>
      </c>
      <c r="AB208" s="2">
        <v>0.0</v>
      </c>
      <c r="AC208" s="2">
        <v>2.0</v>
      </c>
      <c r="AD208" s="2">
        <v>1.0</v>
      </c>
      <c r="AE208" s="2">
        <v>0.0</v>
      </c>
      <c r="AF208" s="2">
        <v>-9.59780361791491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12.0</v>
      </c>
      <c r="AM208" s="2">
        <v>17.0</v>
      </c>
      <c r="AN208" s="2">
        <v>75.0</v>
      </c>
      <c r="AO208" s="2">
        <v>0.0</v>
      </c>
      <c r="AP208" s="2">
        <v>0.0</v>
      </c>
      <c r="AQ208" s="2">
        <v>0.0</v>
      </c>
      <c r="AR208" s="2">
        <v>51.0</v>
      </c>
      <c r="AS208" s="2">
        <v>73.0</v>
      </c>
      <c r="AT208" s="2">
        <v>2.0</v>
      </c>
      <c r="AU208" s="2">
        <v>-8.08006007340737</v>
      </c>
      <c r="AV208" s="2">
        <v>0.0</v>
      </c>
      <c r="AW208" s="2">
        <v>4.0</v>
      </c>
      <c r="AX208" s="2">
        <v>0.0</v>
      </c>
      <c r="AY208" s="2">
        <v>0.0</v>
      </c>
      <c r="AZ208" s="2">
        <v>0.0</v>
      </c>
      <c r="BA208" s="2">
        <v>0.0</v>
      </c>
      <c r="BB208" s="2">
        <v>42.0</v>
      </c>
      <c r="BC208" s="2">
        <v>4.0</v>
      </c>
      <c r="BD208" s="2">
        <v>42.0</v>
      </c>
      <c r="BE208" s="2">
        <v>6.0</v>
      </c>
      <c r="BF208" s="2">
        <v>12.0</v>
      </c>
      <c r="BG208" s="2">
        <v>1.0</v>
      </c>
      <c r="BH208" s="2">
        <v>1.0</v>
      </c>
      <c r="BI208" s="2">
        <v>4.0</v>
      </c>
      <c r="BJ208" s="2">
        <v>3.0</v>
      </c>
      <c r="BK208" s="2">
        <v>0.0</v>
      </c>
      <c r="BL208" s="2">
        <v>0.0</v>
      </c>
      <c r="BM208" s="2">
        <v>2.0</v>
      </c>
      <c r="BN208" s="2">
        <v>0.0</v>
      </c>
      <c r="BO208" s="2">
        <v>0.0</v>
      </c>
      <c r="BP208" s="2">
        <v>0.0</v>
      </c>
      <c r="BQ208" s="2">
        <v>0.0</v>
      </c>
      <c r="BR208" s="2">
        <v>1.0</v>
      </c>
      <c r="BS208" s="2">
        <v>-4.0</v>
      </c>
      <c r="BT208" s="2">
        <v>0.0</v>
      </c>
      <c r="BU208" s="2">
        <v>0.0</v>
      </c>
      <c r="BV208" s="2">
        <v>0.0</v>
      </c>
      <c r="BW208" s="2">
        <v>8.0</v>
      </c>
      <c r="BX208" s="2">
        <v>58.0</v>
      </c>
      <c r="BY208" s="2">
        <v>1.0</v>
      </c>
      <c r="BZ208" s="2">
        <v>0.0</v>
      </c>
      <c r="CA208" s="2">
        <v>2.0</v>
      </c>
      <c r="CB208" s="2">
        <v>0.0</v>
      </c>
      <c r="CC208" s="2">
        <v>2.0</v>
      </c>
      <c r="CD208" s="2">
        <v>1.0</v>
      </c>
      <c r="CE208" s="2">
        <v>1.0</v>
      </c>
      <c r="CF208" s="2">
        <v>6.0</v>
      </c>
      <c r="CG208" s="2">
        <v>3.0</v>
      </c>
      <c r="CH208" s="2">
        <v>100.0</v>
      </c>
      <c r="CI208" s="2">
        <v>0.0</v>
      </c>
      <c r="CJ208" s="2">
        <v>0.0</v>
      </c>
      <c r="CK208" s="2">
        <v>0.0</v>
      </c>
      <c r="CL208" s="2">
        <v>0.0</v>
      </c>
      <c r="CO208" s="2">
        <v>0.0</v>
      </c>
      <c r="CP208" s="2">
        <v>0.0</v>
      </c>
      <c r="CQ208" s="2">
        <v>0.0</v>
      </c>
      <c r="CR208" s="2">
        <v>0.0</v>
      </c>
      <c r="CS208" s="2">
        <v>0.0</v>
      </c>
      <c r="CT208" s="2">
        <v>0.0</v>
      </c>
      <c r="CU208" s="2">
        <v>0.0</v>
      </c>
      <c r="CV208" s="2">
        <v>0.0</v>
      </c>
      <c r="CW208" s="2">
        <v>0.0</v>
      </c>
      <c r="CX208" s="2">
        <v>0.0</v>
      </c>
      <c r="CY208" s="2">
        <v>0.0</v>
      </c>
      <c r="CZ208" s="2">
        <v>0.0</v>
      </c>
      <c r="DD208" s="2">
        <v>0.0</v>
      </c>
      <c r="DE208" s="2">
        <v>0.0</v>
      </c>
      <c r="DF208" s="2">
        <v>0.0</v>
      </c>
      <c r="DG208" s="2">
        <v>0.0</v>
      </c>
      <c r="DH208" s="2">
        <v>0.0</v>
      </c>
      <c r="DI208" s="2">
        <v>0.0</v>
      </c>
      <c r="DJ208" s="2">
        <v>0.0</v>
      </c>
      <c r="DL208" s="2">
        <v>0.0</v>
      </c>
      <c r="DM208" s="2">
        <v>0.0</v>
      </c>
      <c r="DN208" s="2">
        <v>0.0</v>
      </c>
      <c r="DO208" s="2">
        <v>0.0</v>
      </c>
      <c r="DP208" s="2">
        <v>0.0</v>
      </c>
      <c r="DQ208" s="2">
        <v>6.0</v>
      </c>
      <c r="DR208" s="2">
        <v>0.0</v>
      </c>
      <c r="DS208" s="2">
        <v>63.0</v>
      </c>
      <c r="DT208" s="2">
        <v>283.0</v>
      </c>
      <c r="DU208" s="2">
        <v>3.0</v>
      </c>
      <c r="DV208" s="2">
        <v>3.0</v>
      </c>
      <c r="DW208" s="2">
        <v>0.0</v>
      </c>
      <c r="DX208" s="2">
        <v>0.0</v>
      </c>
      <c r="DY208" s="2">
        <v>0.0</v>
      </c>
      <c r="DZ208" s="2">
        <v>3.0</v>
      </c>
      <c r="EA208" s="2">
        <v>15.0</v>
      </c>
      <c r="EB208" s="2">
        <v>0.0</v>
      </c>
      <c r="EC208" s="2">
        <v>268.0</v>
      </c>
      <c r="EE208" s="2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2">
        <v>2025.0</v>
      </c>
      <c r="B209" s="2">
        <v>7.0</v>
      </c>
      <c r="C209" s="2" t="s">
        <v>225</v>
      </c>
      <c r="D209" s="2" t="s">
        <v>390</v>
      </c>
      <c r="E209" s="2" t="s">
        <v>789</v>
      </c>
      <c r="F209" s="2" t="s">
        <v>196</v>
      </c>
      <c r="G209" s="2">
        <v>17.0</v>
      </c>
      <c r="H209" s="2">
        <v>31.0</v>
      </c>
      <c r="I209" s="2">
        <v>153.0</v>
      </c>
      <c r="J209" s="2">
        <v>0.0</v>
      </c>
      <c r="K209" s="2">
        <v>3.0</v>
      </c>
      <c r="L209" s="2">
        <v>4.0</v>
      </c>
      <c r="M209" s="2">
        <v>-33.0</v>
      </c>
      <c r="N209" s="2">
        <v>1.0</v>
      </c>
      <c r="O209" s="2">
        <v>0.0</v>
      </c>
      <c r="P209" s="2">
        <v>230.0</v>
      </c>
      <c r="Q209" s="2">
        <v>73.0</v>
      </c>
      <c r="R209" s="2">
        <v>7.0</v>
      </c>
      <c r="S209" s="2">
        <v>-26.529127711095</v>
      </c>
      <c r="T209" s="2">
        <v>-10.648132065932</v>
      </c>
      <c r="U209" s="2">
        <v>0.0</v>
      </c>
      <c r="V209" s="2">
        <v>6.0</v>
      </c>
      <c r="W209" s="2">
        <v>3.0</v>
      </c>
      <c r="X209" s="2">
        <v>2.0</v>
      </c>
      <c r="Y209" s="2">
        <v>1.0</v>
      </c>
      <c r="Z209" s="2">
        <v>22.0</v>
      </c>
      <c r="AA209" s="2">
        <v>99.0</v>
      </c>
      <c r="AB209" s="2">
        <v>0.0</v>
      </c>
      <c r="AC209" s="2">
        <v>3.0</v>
      </c>
      <c r="AD209" s="2">
        <v>0.0</v>
      </c>
      <c r="AE209" s="2">
        <v>3.0</v>
      </c>
      <c r="AF209" s="2">
        <v>-5.29554866092749</v>
      </c>
      <c r="AG209" s="2">
        <v>0.0</v>
      </c>
      <c r="AH209" s="2">
        <v>2.0</v>
      </c>
      <c r="AI209" s="2">
        <v>2.0</v>
      </c>
      <c r="AJ209" s="2">
        <v>2.0</v>
      </c>
      <c r="AK209" s="2">
        <v>1.0</v>
      </c>
      <c r="AL209" s="2">
        <v>17.0</v>
      </c>
      <c r="AM209" s="2">
        <v>30.0</v>
      </c>
      <c r="AN209" s="2">
        <v>153.0</v>
      </c>
      <c r="AO209" s="2">
        <v>0.0</v>
      </c>
      <c r="AP209" s="2">
        <v>0.0</v>
      </c>
      <c r="AQ209" s="2">
        <v>0.0</v>
      </c>
      <c r="AR209" s="2">
        <v>230.0</v>
      </c>
      <c r="AS209" s="2">
        <v>73.0</v>
      </c>
      <c r="AT209" s="2">
        <v>7.0</v>
      </c>
      <c r="AU209" s="2">
        <v>-19.1471821135633</v>
      </c>
      <c r="AV209" s="2">
        <v>0.0</v>
      </c>
      <c r="AW209" s="2">
        <v>6.0</v>
      </c>
      <c r="AX209" s="2">
        <v>3.0</v>
      </c>
      <c r="AY209" s="2">
        <v>2.0</v>
      </c>
      <c r="AZ209" s="2">
        <v>1.0</v>
      </c>
      <c r="BA209" s="2">
        <v>0.0</v>
      </c>
      <c r="BB209" s="2">
        <v>40.0</v>
      </c>
      <c r="BC209" s="2">
        <v>2.0</v>
      </c>
      <c r="BD209" s="2">
        <v>16.0</v>
      </c>
      <c r="BE209" s="2">
        <v>9.0</v>
      </c>
      <c r="BF209" s="2">
        <v>32.0</v>
      </c>
      <c r="BG209" s="2">
        <v>0.0</v>
      </c>
      <c r="BH209" s="2">
        <v>2.0</v>
      </c>
      <c r="BI209" s="2">
        <v>14.0</v>
      </c>
      <c r="BJ209" s="2">
        <v>3.0</v>
      </c>
      <c r="BK209" s="2">
        <v>0.0</v>
      </c>
      <c r="BL209" s="2">
        <v>0.0</v>
      </c>
      <c r="BM209" s="2">
        <v>2.0</v>
      </c>
      <c r="BN209" s="2">
        <v>0.0</v>
      </c>
      <c r="BO209" s="2">
        <v>0.0</v>
      </c>
      <c r="BP209" s="2">
        <v>0.0</v>
      </c>
      <c r="BQ209" s="2">
        <v>0.0</v>
      </c>
      <c r="BR209" s="2">
        <v>5.0</v>
      </c>
      <c r="BS209" s="2">
        <v>-17.0</v>
      </c>
      <c r="BT209" s="2">
        <v>0.0</v>
      </c>
      <c r="BU209" s="2">
        <v>0.0</v>
      </c>
      <c r="BV209" s="2">
        <v>0.0</v>
      </c>
      <c r="BW209" s="2">
        <v>11.0</v>
      </c>
      <c r="BX209" s="2">
        <v>103.0</v>
      </c>
      <c r="BY209" s="2">
        <v>5.0</v>
      </c>
      <c r="BZ209" s="2">
        <v>2.0</v>
      </c>
      <c r="CA209" s="2">
        <v>4.0</v>
      </c>
      <c r="CB209" s="2">
        <v>0.0</v>
      </c>
      <c r="CC209" s="2">
        <v>6.0</v>
      </c>
      <c r="CD209" s="2">
        <v>1.0</v>
      </c>
      <c r="CE209" s="2">
        <v>1.0</v>
      </c>
      <c r="CF209" s="2">
        <v>11.0</v>
      </c>
      <c r="CG209" s="2">
        <v>6.0</v>
      </c>
      <c r="CH209" s="2">
        <v>164.0</v>
      </c>
      <c r="CI209" s="2">
        <v>2.0</v>
      </c>
      <c r="CJ209" s="2">
        <v>2.0</v>
      </c>
      <c r="CK209" s="2">
        <v>0.0</v>
      </c>
      <c r="CL209" s="2">
        <v>0.0</v>
      </c>
      <c r="CM209" s="2">
        <v>33.0</v>
      </c>
      <c r="CN209" s="2">
        <v>1.0</v>
      </c>
      <c r="CO209" s="2">
        <v>0.0</v>
      </c>
      <c r="CP209" s="2">
        <v>1.0</v>
      </c>
      <c r="CQ209" s="2">
        <v>1.0</v>
      </c>
      <c r="CR209" s="2">
        <v>0.0</v>
      </c>
      <c r="CS209" s="2">
        <v>0.0</v>
      </c>
      <c r="CT209" s="2">
        <v>0.0</v>
      </c>
      <c r="CU209" s="2">
        <v>0.0</v>
      </c>
      <c r="CV209" s="2">
        <v>0.0</v>
      </c>
      <c r="CW209" s="2">
        <v>0.0</v>
      </c>
      <c r="CX209" s="2">
        <v>0.0</v>
      </c>
      <c r="CY209" s="2">
        <v>0.0</v>
      </c>
      <c r="CZ209" s="2">
        <v>0.0</v>
      </c>
      <c r="DA209" s="2" t="s">
        <v>2115</v>
      </c>
      <c r="DD209" s="2">
        <v>59.0</v>
      </c>
      <c r="DE209" s="2">
        <v>0.0</v>
      </c>
      <c r="DF209" s="2">
        <v>0.0</v>
      </c>
      <c r="DG209" s="2">
        <v>0.0</v>
      </c>
      <c r="DH209" s="2">
        <v>0.0</v>
      </c>
      <c r="DI209" s="2">
        <v>0.0</v>
      </c>
      <c r="DJ209" s="2">
        <v>0.0</v>
      </c>
      <c r="DL209" s="2">
        <v>0.0</v>
      </c>
      <c r="DM209" s="2">
        <v>0.0</v>
      </c>
      <c r="DN209" s="2">
        <v>0.0</v>
      </c>
      <c r="DO209" s="2">
        <v>0.0</v>
      </c>
      <c r="DP209" s="2">
        <v>0.0</v>
      </c>
      <c r="DQ209" s="2">
        <v>4.0</v>
      </c>
      <c r="DR209" s="2">
        <v>0.0</v>
      </c>
      <c r="DS209" s="2">
        <v>50.0</v>
      </c>
      <c r="DT209" s="2">
        <v>189.0</v>
      </c>
      <c r="DU209" s="2">
        <v>1.0</v>
      </c>
      <c r="DV209" s="2">
        <v>0.0</v>
      </c>
      <c r="DW209" s="2">
        <v>0.0</v>
      </c>
      <c r="DX209" s="2">
        <v>0.0</v>
      </c>
      <c r="DY209" s="2">
        <v>2.0</v>
      </c>
      <c r="DZ209" s="2">
        <v>2.0</v>
      </c>
      <c r="EA209" s="2">
        <v>7.0</v>
      </c>
      <c r="EB209" s="2">
        <v>0.0</v>
      </c>
      <c r="EC209" s="2">
        <v>182.0</v>
      </c>
      <c r="EE209" s="2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2">
        <v>2025.0</v>
      </c>
      <c r="B210" s="2">
        <v>7.0</v>
      </c>
      <c r="C210" s="2" t="s">
        <v>144</v>
      </c>
      <c r="D210" s="2" t="s">
        <v>390</v>
      </c>
      <c r="E210" s="2" t="s">
        <v>793</v>
      </c>
      <c r="F210" s="2" t="s">
        <v>147</v>
      </c>
      <c r="G210" s="2">
        <v>26.0</v>
      </c>
      <c r="H210" s="2">
        <v>42.0</v>
      </c>
      <c r="I210" s="2">
        <v>313.0</v>
      </c>
      <c r="J210" s="2">
        <v>0.0</v>
      </c>
      <c r="K210" s="2">
        <v>2.0</v>
      </c>
      <c r="L210" s="2">
        <v>2.0</v>
      </c>
      <c r="M210" s="2">
        <v>-15.0</v>
      </c>
      <c r="N210" s="2">
        <v>0.0</v>
      </c>
      <c r="O210" s="2">
        <v>0.0</v>
      </c>
      <c r="P210" s="2">
        <v>421.0</v>
      </c>
      <c r="Q210" s="2">
        <v>109.0</v>
      </c>
      <c r="R210" s="2">
        <v>13.0</v>
      </c>
      <c r="S210" s="2">
        <v>-2.27697243558865</v>
      </c>
      <c r="T210" s="2">
        <v>-0.539052560925484</v>
      </c>
      <c r="U210" s="2">
        <v>0.0</v>
      </c>
      <c r="V210" s="2">
        <v>12.0</v>
      </c>
      <c r="W210" s="2">
        <v>6.0</v>
      </c>
      <c r="X210" s="2">
        <v>5.0</v>
      </c>
      <c r="Y210" s="2">
        <v>1.0</v>
      </c>
      <c r="Z210" s="2">
        <v>23.0</v>
      </c>
      <c r="AA210" s="2">
        <v>89.0</v>
      </c>
      <c r="AB210" s="2">
        <v>1.0</v>
      </c>
      <c r="AC210" s="2">
        <v>1.0</v>
      </c>
      <c r="AD210" s="2">
        <v>0.0</v>
      </c>
      <c r="AE210" s="2">
        <v>7.0</v>
      </c>
      <c r="AF210" s="2">
        <v>-3.68087913683978</v>
      </c>
      <c r="AG210" s="2">
        <v>0.0</v>
      </c>
      <c r="AH210" s="2">
        <v>4.0</v>
      </c>
      <c r="AI210" s="2">
        <v>3.0</v>
      </c>
      <c r="AJ210" s="2">
        <v>0.0</v>
      </c>
      <c r="AK210" s="2">
        <v>0.0</v>
      </c>
      <c r="AL210" s="2">
        <v>26.0</v>
      </c>
      <c r="AM210" s="2">
        <v>40.0</v>
      </c>
      <c r="AN210" s="2">
        <v>313.0</v>
      </c>
      <c r="AO210" s="2">
        <v>0.0</v>
      </c>
      <c r="AP210" s="2">
        <v>0.0</v>
      </c>
      <c r="AQ210" s="2">
        <v>0.0</v>
      </c>
      <c r="AR210" s="2">
        <v>421.0</v>
      </c>
      <c r="AS210" s="2">
        <v>109.0</v>
      </c>
      <c r="AT210" s="2">
        <v>13.0</v>
      </c>
      <c r="AU210" s="2">
        <v>4.02170491390778</v>
      </c>
      <c r="AV210" s="2">
        <v>0.0</v>
      </c>
      <c r="AW210" s="2">
        <v>12.0</v>
      </c>
      <c r="AX210" s="2">
        <v>6.0</v>
      </c>
      <c r="AY210" s="2">
        <v>5.0</v>
      </c>
      <c r="AZ210" s="2">
        <v>1.0</v>
      </c>
      <c r="BA210" s="2">
        <v>0.0</v>
      </c>
      <c r="BB210" s="2">
        <v>35.0</v>
      </c>
      <c r="BC210" s="2">
        <v>1.0</v>
      </c>
      <c r="BD210" s="2">
        <v>27.0</v>
      </c>
      <c r="BE210" s="2">
        <v>8.0</v>
      </c>
      <c r="BF210" s="2">
        <v>28.0</v>
      </c>
      <c r="BG210" s="2">
        <v>0.0</v>
      </c>
      <c r="BH210" s="2">
        <v>3.0</v>
      </c>
      <c r="BI210" s="2">
        <v>10.0</v>
      </c>
      <c r="BJ210" s="2">
        <v>4.0</v>
      </c>
      <c r="BK210" s="2">
        <v>0.0</v>
      </c>
      <c r="BL210" s="2">
        <v>0.0</v>
      </c>
      <c r="BM210" s="2">
        <v>1.0</v>
      </c>
      <c r="BN210" s="2">
        <v>0.0</v>
      </c>
      <c r="BO210" s="2">
        <v>0.0</v>
      </c>
      <c r="BP210" s="2">
        <v>0.0</v>
      </c>
      <c r="BQ210" s="2">
        <v>0.0</v>
      </c>
      <c r="BR210" s="2">
        <v>1.0</v>
      </c>
      <c r="BS210" s="2">
        <v>-30.0</v>
      </c>
      <c r="BT210" s="2">
        <v>0.0</v>
      </c>
      <c r="BU210" s="2">
        <v>0.0</v>
      </c>
      <c r="BV210" s="2">
        <v>0.0</v>
      </c>
      <c r="BW210" s="2">
        <v>3.0</v>
      </c>
      <c r="BX210" s="2">
        <v>30.0</v>
      </c>
      <c r="BY210" s="2">
        <v>5.0</v>
      </c>
      <c r="BZ210" s="2">
        <v>0.0</v>
      </c>
      <c r="CA210" s="2">
        <v>2.0</v>
      </c>
      <c r="CB210" s="2">
        <v>1.0</v>
      </c>
      <c r="CC210" s="2">
        <v>2.0</v>
      </c>
      <c r="CD210" s="2">
        <v>0.0</v>
      </c>
      <c r="CE210" s="2">
        <v>1.0</v>
      </c>
      <c r="CF210" s="2">
        <v>6.0</v>
      </c>
      <c r="CG210" s="2">
        <v>3.0</v>
      </c>
      <c r="CH210" s="2">
        <v>74.0</v>
      </c>
      <c r="CI210" s="2">
        <v>5.0</v>
      </c>
      <c r="CJ210" s="2">
        <v>5.0</v>
      </c>
      <c r="CK210" s="2">
        <v>0.0</v>
      </c>
      <c r="CL210" s="2">
        <v>0.0</v>
      </c>
      <c r="CM210" s="2">
        <v>59.0</v>
      </c>
      <c r="CN210" s="2">
        <v>1.0</v>
      </c>
      <c r="CO210" s="2">
        <v>0.0</v>
      </c>
      <c r="CP210" s="2">
        <v>2.0</v>
      </c>
      <c r="CQ210" s="2">
        <v>2.0</v>
      </c>
      <c r="CR210" s="2">
        <v>0.0</v>
      </c>
      <c r="CS210" s="2">
        <v>1.0</v>
      </c>
      <c r="CT210" s="2">
        <v>0.0</v>
      </c>
      <c r="CU210" s="2">
        <v>0.0</v>
      </c>
      <c r="CV210" s="2">
        <v>0.0</v>
      </c>
      <c r="CW210" s="2">
        <v>0.0</v>
      </c>
      <c r="CX210" s="2">
        <v>0.0</v>
      </c>
      <c r="CY210" s="2">
        <v>0.0</v>
      </c>
      <c r="CZ210" s="2">
        <v>0.0</v>
      </c>
      <c r="DA210" s="2" t="s">
        <v>2116</v>
      </c>
      <c r="DD210" s="2">
        <v>185.0</v>
      </c>
      <c r="DE210" s="2">
        <v>0.0</v>
      </c>
      <c r="DF210" s="2">
        <v>0.0</v>
      </c>
      <c r="DG210" s="2">
        <v>1.0</v>
      </c>
      <c r="DH210" s="2">
        <v>1.0</v>
      </c>
      <c r="DI210" s="2">
        <v>0.0</v>
      </c>
      <c r="DJ210" s="2">
        <v>0.0</v>
      </c>
      <c r="DK210" s="2">
        <v>1.0</v>
      </c>
      <c r="DL210" s="2">
        <v>0.0</v>
      </c>
      <c r="DM210" s="2">
        <v>0.0</v>
      </c>
      <c r="DN210" s="2">
        <v>0.0</v>
      </c>
      <c r="DO210" s="2">
        <v>0.0</v>
      </c>
      <c r="DP210" s="2">
        <v>0.0</v>
      </c>
      <c r="DQ210" s="2">
        <v>1.0</v>
      </c>
      <c r="DR210" s="2">
        <v>0.0</v>
      </c>
      <c r="DS210" s="2">
        <v>34.0</v>
      </c>
      <c r="DT210" s="2">
        <v>34.0</v>
      </c>
      <c r="DU210" s="2">
        <v>1.0</v>
      </c>
      <c r="DV210" s="2">
        <v>1.0</v>
      </c>
      <c r="DW210" s="2">
        <v>0.0</v>
      </c>
      <c r="DX210" s="2">
        <v>0.0</v>
      </c>
      <c r="DY210" s="2">
        <v>0.0</v>
      </c>
      <c r="DZ210" s="2">
        <v>0.0</v>
      </c>
      <c r="EA210" s="2">
        <v>0.0</v>
      </c>
      <c r="EB210" s="2">
        <v>0.0</v>
      </c>
      <c r="EC210" s="2">
        <v>34.0</v>
      </c>
      <c r="EE210" s="2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2">
        <v>2025.0</v>
      </c>
      <c r="B211" s="2">
        <v>7.0</v>
      </c>
      <c r="C211" s="2" t="s">
        <v>145</v>
      </c>
      <c r="D211" s="2" t="s">
        <v>390</v>
      </c>
      <c r="E211" s="2" t="s">
        <v>797</v>
      </c>
      <c r="F211" s="2" t="s">
        <v>250</v>
      </c>
      <c r="G211" s="2">
        <v>22.0</v>
      </c>
      <c r="H211" s="2">
        <v>24.0</v>
      </c>
      <c r="I211" s="2">
        <v>234.0</v>
      </c>
      <c r="J211" s="2">
        <v>2.0</v>
      </c>
      <c r="K211" s="2">
        <v>0.0</v>
      </c>
      <c r="L211" s="2">
        <v>4.0</v>
      </c>
      <c r="M211" s="2">
        <v>-22.0</v>
      </c>
      <c r="N211" s="2">
        <v>0.0</v>
      </c>
      <c r="O211" s="2">
        <v>0.0</v>
      </c>
      <c r="P211" s="2">
        <v>197.0</v>
      </c>
      <c r="Q211" s="2">
        <v>60.0</v>
      </c>
      <c r="R211" s="2">
        <v>13.0</v>
      </c>
      <c r="S211" s="2">
        <v>11.5228713097634</v>
      </c>
      <c r="T211" s="2">
        <v>25.634740665555</v>
      </c>
      <c r="U211" s="2">
        <v>0.0</v>
      </c>
      <c r="V211" s="2">
        <v>10.0</v>
      </c>
      <c r="W211" s="2">
        <v>6.0</v>
      </c>
      <c r="X211" s="2">
        <v>4.0</v>
      </c>
      <c r="Y211" s="2">
        <v>0.0</v>
      </c>
      <c r="Z211" s="2">
        <v>36.0</v>
      </c>
      <c r="AA211" s="2">
        <v>175.0</v>
      </c>
      <c r="AB211" s="2">
        <v>1.0</v>
      </c>
      <c r="AC211" s="2">
        <v>0.0</v>
      </c>
      <c r="AD211" s="2">
        <v>0.0</v>
      </c>
      <c r="AE211" s="2">
        <v>9.0</v>
      </c>
      <c r="AF211" s="2">
        <v>3.28669796284521</v>
      </c>
      <c r="AG211" s="2">
        <v>0.0</v>
      </c>
      <c r="AH211" s="2">
        <v>5.0</v>
      </c>
      <c r="AI211" s="2">
        <v>3.0</v>
      </c>
      <c r="AJ211" s="2">
        <v>0.0</v>
      </c>
      <c r="AK211" s="2">
        <v>0.0</v>
      </c>
      <c r="AL211" s="2">
        <v>22.0</v>
      </c>
      <c r="AM211" s="2">
        <v>24.0</v>
      </c>
      <c r="AN211" s="2">
        <v>234.0</v>
      </c>
      <c r="AO211" s="2">
        <v>2.0</v>
      </c>
      <c r="AP211" s="2">
        <v>0.0</v>
      </c>
      <c r="AQ211" s="2">
        <v>0.0</v>
      </c>
      <c r="AR211" s="2">
        <v>197.0</v>
      </c>
      <c r="AS211" s="2">
        <v>60.0</v>
      </c>
      <c r="AT211" s="2">
        <v>13.0</v>
      </c>
      <c r="AU211" s="2">
        <v>17.0876809133915</v>
      </c>
      <c r="AV211" s="2">
        <v>0.0</v>
      </c>
      <c r="AW211" s="2">
        <v>10.0</v>
      </c>
      <c r="AX211" s="2">
        <v>6.0</v>
      </c>
      <c r="AY211" s="2">
        <v>4.0</v>
      </c>
      <c r="AZ211" s="2">
        <v>0.0</v>
      </c>
      <c r="BA211" s="2">
        <v>0.0</v>
      </c>
      <c r="BB211" s="2">
        <v>35.0</v>
      </c>
      <c r="BC211" s="2">
        <v>1.0</v>
      </c>
      <c r="BD211" s="2">
        <v>17.0</v>
      </c>
      <c r="BE211" s="2">
        <v>6.0</v>
      </c>
      <c r="BF211" s="2">
        <v>22.0</v>
      </c>
      <c r="BG211" s="2">
        <v>0.0</v>
      </c>
      <c r="BH211" s="2">
        <v>4.0</v>
      </c>
      <c r="BI211" s="2">
        <v>20.0</v>
      </c>
      <c r="BJ211" s="2">
        <v>5.0</v>
      </c>
      <c r="BK211" s="2">
        <v>1.0</v>
      </c>
      <c r="BL211" s="2">
        <v>32.0</v>
      </c>
      <c r="BM211" s="2">
        <v>2.0</v>
      </c>
      <c r="BN211" s="2">
        <v>0.0</v>
      </c>
      <c r="BO211" s="2">
        <v>0.0</v>
      </c>
      <c r="BP211" s="2">
        <v>0.0</v>
      </c>
      <c r="BQ211" s="2">
        <v>0.0</v>
      </c>
      <c r="BR211" s="2">
        <v>0.0</v>
      </c>
      <c r="BS211" s="2">
        <v>0.0</v>
      </c>
      <c r="BT211" s="2">
        <v>1.0</v>
      </c>
      <c r="BU211" s="2">
        <v>4.0</v>
      </c>
      <c r="BV211" s="2">
        <v>1.0</v>
      </c>
      <c r="BW211" s="2">
        <v>5.0</v>
      </c>
      <c r="BX211" s="2">
        <v>36.0</v>
      </c>
      <c r="BY211" s="2">
        <v>0.0</v>
      </c>
      <c r="BZ211" s="2">
        <v>0.0</v>
      </c>
      <c r="CA211" s="2">
        <v>0.0</v>
      </c>
      <c r="CB211" s="2">
        <v>0.0</v>
      </c>
      <c r="CC211" s="2">
        <v>0.0</v>
      </c>
      <c r="CD211" s="2">
        <v>0.0</v>
      </c>
      <c r="CE211" s="2">
        <v>0.0</v>
      </c>
      <c r="CF211" s="2">
        <v>0.0</v>
      </c>
      <c r="CG211" s="2">
        <v>2.0</v>
      </c>
      <c r="CH211" s="2">
        <v>40.0</v>
      </c>
      <c r="CI211" s="2">
        <v>1.0</v>
      </c>
      <c r="CJ211" s="2">
        <v>1.0</v>
      </c>
      <c r="CK211" s="2">
        <v>0.0</v>
      </c>
      <c r="CL211" s="2">
        <v>0.0</v>
      </c>
      <c r="CM211" s="2">
        <v>36.0</v>
      </c>
      <c r="CN211" s="2">
        <v>1.0</v>
      </c>
      <c r="CO211" s="2">
        <v>0.0</v>
      </c>
      <c r="CP211" s="2">
        <v>0.0</v>
      </c>
      <c r="CQ211" s="2">
        <v>1.0</v>
      </c>
      <c r="CR211" s="2">
        <v>0.0</v>
      </c>
      <c r="CS211" s="2">
        <v>0.0</v>
      </c>
      <c r="CT211" s="2">
        <v>0.0</v>
      </c>
      <c r="CU211" s="2">
        <v>0.0</v>
      </c>
      <c r="CV211" s="2">
        <v>0.0</v>
      </c>
      <c r="CW211" s="2">
        <v>0.0</v>
      </c>
      <c r="CX211" s="2">
        <v>0.0</v>
      </c>
      <c r="CY211" s="2">
        <v>0.0</v>
      </c>
      <c r="CZ211" s="2">
        <v>0.0</v>
      </c>
      <c r="DA211" s="2" t="s">
        <v>1970</v>
      </c>
      <c r="DD211" s="2">
        <v>36.0</v>
      </c>
      <c r="DE211" s="2">
        <v>0.0</v>
      </c>
      <c r="DF211" s="2">
        <v>0.0</v>
      </c>
      <c r="DG211" s="2">
        <v>4.0</v>
      </c>
      <c r="DH211" s="2">
        <v>4.0</v>
      </c>
      <c r="DI211" s="2">
        <v>0.0</v>
      </c>
      <c r="DJ211" s="2">
        <v>0.0</v>
      </c>
      <c r="DK211" s="2">
        <v>1.0</v>
      </c>
      <c r="DL211" s="2">
        <v>0.0</v>
      </c>
      <c r="DM211" s="2">
        <v>0.0</v>
      </c>
      <c r="DN211" s="2">
        <v>0.0</v>
      </c>
      <c r="DO211" s="2">
        <v>0.0</v>
      </c>
      <c r="DP211" s="2">
        <v>0.0</v>
      </c>
      <c r="DQ211" s="2">
        <v>4.0</v>
      </c>
      <c r="DR211" s="2">
        <v>0.0</v>
      </c>
      <c r="DS211" s="2">
        <v>51.0</v>
      </c>
      <c r="DT211" s="2">
        <v>150.0</v>
      </c>
      <c r="DU211" s="2">
        <v>1.0</v>
      </c>
      <c r="DV211" s="2">
        <v>0.0</v>
      </c>
      <c r="DW211" s="2">
        <v>0.0</v>
      </c>
      <c r="DX211" s="2">
        <v>0.0</v>
      </c>
      <c r="DY211" s="2">
        <v>3.0</v>
      </c>
      <c r="DZ211" s="2">
        <v>1.0</v>
      </c>
      <c r="EA211" s="2">
        <v>15.0</v>
      </c>
      <c r="EB211" s="2">
        <v>0.0</v>
      </c>
      <c r="EC211" s="2">
        <v>135.0</v>
      </c>
      <c r="EE211" s="2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2">
        <v>2025.0</v>
      </c>
      <c r="B212" s="2">
        <v>7.0</v>
      </c>
      <c r="C212" s="2" t="s">
        <v>232</v>
      </c>
      <c r="D212" s="2" t="s">
        <v>390</v>
      </c>
      <c r="E212" s="2" t="s">
        <v>787</v>
      </c>
      <c r="F212" s="2" t="s">
        <v>137</v>
      </c>
      <c r="G212" s="2">
        <v>20.0</v>
      </c>
      <c r="H212" s="2">
        <v>32.0</v>
      </c>
      <c r="I212" s="2">
        <v>233.0</v>
      </c>
      <c r="J212" s="2">
        <v>2.0</v>
      </c>
      <c r="K212" s="2">
        <v>3.0</v>
      </c>
      <c r="L212" s="2">
        <v>4.0</v>
      </c>
      <c r="M212" s="2">
        <v>-24.0</v>
      </c>
      <c r="N212" s="2">
        <v>1.0</v>
      </c>
      <c r="O212" s="2">
        <v>1.0</v>
      </c>
      <c r="P212" s="2">
        <v>386.0</v>
      </c>
      <c r="Q212" s="2">
        <v>69.0</v>
      </c>
      <c r="R212" s="2">
        <v>9.0</v>
      </c>
      <c r="S212" s="2">
        <v>-12.2389460606889</v>
      </c>
      <c r="T212" s="2">
        <v>0.39530425302444</v>
      </c>
      <c r="U212" s="2">
        <v>0.0</v>
      </c>
      <c r="V212" s="2">
        <v>9.0</v>
      </c>
      <c r="W212" s="2">
        <v>4.0</v>
      </c>
      <c r="X212" s="2">
        <v>4.0</v>
      </c>
      <c r="Y212" s="2">
        <v>1.0</v>
      </c>
      <c r="Z212" s="2">
        <v>17.0</v>
      </c>
      <c r="AA212" s="2">
        <v>44.0</v>
      </c>
      <c r="AB212" s="2">
        <v>0.0</v>
      </c>
      <c r="AC212" s="2">
        <v>0.0</v>
      </c>
      <c r="AD212" s="2">
        <v>0.0</v>
      </c>
      <c r="AE212" s="2">
        <v>3.0</v>
      </c>
      <c r="AF212" s="2">
        <v>-3.49237598967738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20.0</v>
      </c>
      <c r="AM212" s="2">
        <v>31.0</v>
      </c>
      <c r="AN212" s="2">
        <v>233.0</v>
      </c>
      <c r="AO212" s="2">
        <v>2.0</v>
      </c>
      <c r="AP212" s="2">
        <v>0.0</v>
      </c>
      <c r="AQ212" s="2">
        <v>0.0</v>
      </c>
      <c r="AR212" s="2">
        <v>386.0</v>
      </c>
      <c r="AS212" s="2">
        <v>69.0</v>
      </c>
      <c r="AT212" s="2">
        <v>9.0</v>
      </c>
      <c r="AU212" s="2">
        <v>-2.24191040200345</v>
      </c>
      <c r="AV212" s="2">
        <v>0.0</v>
      </c>
      <c r="AW212" s="2">
        <v>9.0</v>
      </c>
      <c r="AX212" s="2">
        <v>4.0</v>
      </c>
      <c r="AY212" s="2">
        <v>4.0</v>
      </c>
      <c r="AZ212" s="2">
        <v>1.0</v>
      </c>
      <c r="BA212" s="2">
        <v>0.0</v>
      </c>
      <c r="BB212" s="2">
        <v>40.0</v>
      </c>
      <c r="BC212" s="2">
        <v>0.0</v>
      </c>
      <c r="BD212" s="2">
        <v>34.0</v>
      </c>
      <c r="BE212" s="2">
        <v>2.0</v>
      </c>
      <c r="BF212" s="2">
        <v>3.0</v>
      </c>
      <c r="BG212" s="2">
        <v>0.0</v>
      </c>
      <c r="BH212" s="2">
        <v>1.0</v>
      </c>
      <c r="BI212" s="2">
        <v>8.0</v>
      </c>
      <c r="BJ212" s="2">
        <v>5.0</v>
      </c>
      <c r="BK212" s="2">
        <v>1.0</v>
      </c>
      <c r="BL212" s="2">
        <v>0.0</v>
      </c>
      <c r="BM212" s="2">
        <v>5.0</v>
      </c>
      <c r="BN212" s="2">
        <v>0.0</v>
      </c>
      <c r="BO212" s="2">
        <v>0.0</v>
      </c>
      <c r="BP212" s="2">
        <v>0.0</v>
      </c>
      <c r="BQ212" s="2">
        <v>0.0</v>
      </c>
      <c r="BR212" s="2">
        <v>0.0</v>
      </c>
      <c r="BS212" s="2">
        <v>0.0</v>
      </c>
      <c r="BT212" s="2">
        <v>0.0</v>
      </c>
      <c r="BU212" s="2">
        <v>0.0</v>
      </c>
      <c r="BV212" s="2">
        <v>0.0</v>
      </c>
      <c r="BW212" s="2">
        <v>5.0</v>
      </c>
      <c r="BX212" s="2">
        <v>30.0</v>
      </c>
      <c r="BY212" s="2">
        <v>5.0</v>
      </c>
      <c r="BZ212" s="2">
        <v>1.0</v>
      </c>
      <c r="CA212" s="2">
        <v>0.0</v>
      </c>
      <c r="CB212" s="2">
        <v>0.0</v>
      </c>
      <c r="CC212" s="2">
        <v>1.0</v>
      </c>
      <c r="CD212" s="2">
        <v>1.0</v>
      </c>
      <c r="CE212" s="2">
        <v>0.0</v>
      </c>
      <c r="CF212" s="2">
        <v>0.0</v>
      </c>
      <c r="CG212" s="2">
        <v>5.0</v>
      </c>
      <c r="CH212" s="2">
        <v>116.0</v>
      </c>
      <c r="CI212" s="2">
        <v>0.0</v>
      </c>
      <c r="CJ212" s="2">
        <v>1.0</v>
      </c>
      <c r="CK212" s="2">
        <v>1.0</v>
      </c>
      <c r="CL212" s="2">
        <v>0.0</v>
      </c>
      <c r="CN212" s="2">
        <v>0.0</v>
      </c>
      <c r="CO212" s="2">
        <v>0.0</v>
      </c>
      <c r="CP212" s="2">
        <v>0.0</v>
      </c>
      <c r="CQ212" s="2">
        <v>0.0</v>
      </c>
      <c r="CR212" s="2">
        <v>0.0</v>
      </c>
      <c r="CS212" s="2">
        <v>0.0</v>
      </c>
      <c r="CT212" s="2">
        <v>0.0</v>
      </c>
      <c r="CU212" s="2">
        <v>0.0</v>
      </c>
      <c r="CV212" s="2">
        <v>0.0</v>
      </c>
      <c r="CW212" s="2">
        <v>0.0</v>
      </c>
      <c r="CX212" s="2">
        <v>0.0</v>
      </c>
      <c r="CY212" s="2">
        <v>1.0</v>
      </c>
      <c r="CZ212" s="2">
        <v>0.0</v>
      </c>
      <c r="DB212" s="2" t="s">
        <v>2072</v>
      </c>
      <c r="DD212" s="2">
        <v>0.0</v>
      </c>
      <c r="DE212" s="2">
        <v>53.0</v>
      </c>
      <c r="DF212" s="2">
        <v>0.0</v>
      </c>
      <c r="DG212" s="2">
        <v>2.0</v>
      </c>
      <c r="DH212" s="2">
        <v>2.0</v>
      </c>
      <c r="DI212" s="2">
        <v>0.0</v>
      </c>
      <c r="DJ212" s="2">
        <v>0.0</v>
      </c>
      <c r="DK212" s="2">
        <v>1.0</v>
      </c>
      <c r="DL212" s="2">
        <v>0.0</v>
      </c>
      <c r="DM212" s="2">
        <v>0.0</v>
      </c>
      <c r="DN212" s="2">
        <v>0.0</v>
      </c>
      <c r="DO212" s="2">
        <v>0.0</v>
      </c>
      <c r="DP212" s="2">
        <v>0.0</v>
      </c>
      <c r="DQ212" s="2">
        <v>3.0</v>
      </c>
      <c r="DR212" s="2">
        <v>0.0</v>
      </c>
      <c r="DS212" s="2">
        <v>49.0</v>
      </c>
      <c r="DT212" s="2">
        <v>127.0</v>
      </c>
      <c r="DU212" s="2">
        <v>0.0</v>
      </c>
      <c r="DV212" s="2">
        <v>0.0</v>
      </c>
      <c r="DW212" s="2">
        <v>1.0</v>
      </c>
      <c r="DX212" s="2">
        <v>0.0</v>
      </c>
      <c r="DY212" s="2">
        <v>0.0</v>
      </c>
      <c r="DZ212" s="2">
        <v>2.0</v>
      </c>
      <c r="EA212" s="2">
        <v>18.0</v>
      </c>
      <c r="EB212" s="2">
        <v>0.0</v>
      </c>
      <c r="EC212" s="2">
        <v>109.0</v>
      </c>
      <c r="EE212" s="2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2">
        <v>2025.0</v>
      </c>
      <c r="B213" s="2">
        <v>7.0</v>
      </c>
      <c r="C213" s="2" t="s">
        <v>235</v>
      </c>
      <c r="D213" s="2" t="s">
        <v>390</v>
      </c>
      <c r="E213" s="2" t="s">
        <v>799</v>
      </c>
      <c r="F213" s="2" t="s">
        <v>139</v>
      </c>
      <c r="G213" s="2">
        <v>15.0</v>
      </c>
      <c r="H213" s="2">
        <v>33.0</v>
      </c>
      <c r="I213" s="2">
        <v>283.0</v>
      </c>
      <c r="J213" s="2">
        <v>3.0</v>
      </c>
      <c r="K213" s="2">
        <v>1.0</v>
      </c>
      <c r="L213" s="2">
        <v>4.0</v>
      </c>
      <c r="M213" s="2">
        <v>-15.0</v>
      </c>
      <c r="N213" s="2">
        <v>0.0</v>
      </c>
      <c r="O213" s="2">
        <v>0.0</v>
      </c>
      <c r="P213" s="2">
        <v>342.0</v>
      </c>
      <c r="Q213" s="2">
        <v>147.0</v>
      </c>
      <c r="R213" s="2">
        <v>12.0</v>
      </c>
      <c r="S213" s="2">
        <v>8.37708417889383</v>
      </c>
      <c r="T213" s="2">
        <v>-16.9774080767776</v>
      </c>
      <c r="U213" s="2">
        <v>0.0</v>
      </c>
      <c r="V213" s="2">
        <v>12.0</v>
      </c>
      <c r="W213" s="2">
        <v>7.0</v>
      </c>
      <c r="X213" s="2">
        <v>4.0</v>
      </c>
      <c r="Y213" s="2">
        <v>2.0</v>
      </c>
      <c r="Z213" s="2">
        <v>32.0</v>
      </c>
      <c r="AA213" s="2">
        <v>119.0</v>
      </c>
      <c r="AB213" s="2">
        <v>2.0</v>
      </c>
      <c r="AC213" s="2">
        <v>0.0</v>
      </c>
      <c r="AD213" s="2">
        <v>0.0</v>
      </c>
      <c r="AE213" s="2">
        <v>7.0</v>
      </c>
      <c r="AF213" s="2">
        <v>0.214201202150434</v>
      </c>
      <c r="AG213" s="2">
        <v>0.0</v>
      </c>
      <c r="AH213" s="2">
        <v>2.0</v>
      </c>
      <c r="AI213" s="2">
        <v>2.0</v>
      </c>
      <c r="AJ213" s="2">
        <v>1.0</v>
      </c>
      <c r="AK213" s="2">
        <v>0.0</v>
      </c>
      <c r="AL213" s="2">
        <v>15.0</v>
      </c>
      <c r="AM213" s="2">
        <v>33.0</v>
      </c>
      <c r="AN213" s="2">
        <v>283.0</v>
      </c>
      <c r="AO213" s="2">
        <v>3.0</v>
      </c>
      <c r="AP213" s="2">
        <v>0.0</v>
      </c>
      <c r="AQ213" s="2">
        <v>0.0</v>
      </c>
      <c r="AR213" s="2">
        <v>342.0</v>
      </c>
      <c r="AS213" s="2">
        <v>147.0</v>
      </c>
      <c r="AT213" s="2">
        <v>12.0</v>
      </c>
      <c r="AU213" s="2">
        <v>12.8018259582897</v>
      </c>
      <c r="AV213" s="2">
        <v>0.0</v>
      </c>
      <c r="AW213" s="2">
        <v>12.0</v>
      </c>
      <c r="AX213" s="2">
        <v>7.0</v>
      </c>
      <c r="AY213" s="2">
        <v>4.0</v>
      </c>
      <c r="AZ213" s="2">
        <v>2.0</v>
      </c>
      <c r="BA213" s="2">
        <v>0.0</v>
      </c>
      <c r="BB213" s="2">
        <v>41.0</v>
      </c>
      <c r="BC213" s="2">
        <v>2.0</v>
      </c>
      <c r="BD213" s="2">
        <v>26.0</v>
      </c>
      <c r="BE213" s="2">
        <v>5.0</v>
      </c>
      <c r="BF213" s="2">
        <v>19.0</v>
      </c>
      <c r="BG213" s="2">
        <v>0.0</v>
      </c>
      <c r="BH213" s="2">
        <v>2.0</v>
      </c>
      <c r="BI213" s="2">
        <v>14.0</v>
      </c>
      <c r="BJ213" s="2">
        <v>5.0</v>
      </c>
      <c r="BK213" s="2">
        <v>0.0</v>
      </c>
      <c r="BL213" s="2">
        <v>0.0</v>
      </c>
      <c r="BM213" s="2">
        <v>8.0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0.0</v>
      </c>
      <c r="BV213" s="2">
        <v>0.0</v>
      </c>
      <c r="BW213" s="2">
        <v>8.0</v>
      </c>
      <c r="BX213" s="2">
        <v>36.0</v>
      </c>
      <c r="BY213" s="2">
        <v>3.0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3.0</v>
      </c>
      <c r="CF213" s="2">
        <v>28.0</v>
      </c>
      <c r="CG213" s="2">
        <v>3.0</v>
      </c>
      <c r="CH213" s="2">
        <v>85.0</v>
      </c>
      <c r="CI213" s="2">
        <v>0.0</v>
      </c>
      <c r="CJ213" s="2">
        <v>0.0</v>
      </c>
      <c r="CK213" s="2">
        <v>0.0</v>
      </c>
      <c r="CL213" s="2">
        <v>0.0</v>
      </c>
      <c r="CO213" s="2">
        <v>0.0</v>
      </c>
      <c r="CP213" s="2">
        <v>0.0</v>
      </c>
      <c r="CQ213" s="2">
        <v>0.0</v>
      </c>
      <c r="CR213" s="2">
        <v>0.0</v>
      </c>
      <c r="CS213" s="2">
        <v>0.0</v>
      </c>
      <c r="CT213" s="2">
        <v>0.0</v>
      </c>
      <c r="CU213" s="2">
        <v>0.0</v>
      </c>
      <c r="CV213" s="2">
        <v>0.0</v>
      </c>
      <c r="CW213" s="2">
        <v>0.0</v>
      </c>
      <c r="CX213" s="2">
        <v>0.0</v>
      </c>
      <c r="CY213" s="2">
        <v>0.0</v>
      </c>
      <c r="CZ213" s="2">
        <v>0.0</v>
      </c>
      <c r="DD213" s="2">
        <v>0.0</v>
      </c>
      <c r="DE213" s="2">
        <v>0.0</v>
      </c>
      <c r="DF213" s="2">
        <v>0.0</v>
      </c>
      <c r="DG213" s="2">
        <v>2.0</v>
      </c>
      <c r="DH213" s="2">
        <v>4.0</v>
      </c>
      <c r="DI213" s="2">
        <v>2.0</v>
      </c>
      <c r="DJ213" s="2">
        <v>0.0</v>
      </c>
      <c r="DK213" s="2">
        <v>0.5</v>
      </c>
      <c r="DL213" s="2">
        <v>0.0</v>
      </c>
      <c r="DM213" s="2">
        <v>0.0</v>
      </c>
      <c r="DN213" s="2">
        <v>0.0</v>
      </c>
      <c r="DO213" s="2">
        <v>0.0</v>
      </c>
      <c r="DP213" s="2">
        <v>0.0</v>
      </c>
      <c r="DQ213" s="2">
        <v>6.0</v>
      </c>
      <c r="DR213" s="2">
        <v>0.0</v>
      </c>
      <c r="DS213" s="2">
        <v>57.0</v>
      </c>
      <c r="DT213" s="2">
        <v>263.0</v>
      </c>
      <c r="DU213" s="2">
        <v>2.0</v>
      </c>
      <c r="DV213" s="2">
        <v>1.0</v>
      </c>
      <c r="DW213" s="2">
        <v>0.0</v>
      </c>
      <c r="DX213" s="2">
        <v>1.0</v>
      </c>
      <c r="DY213" s="2">
        <v>2.0</v>
      </c>
      <c r="DZ213" s="2">
        <v>2.0</v>
      </c>
      <c r="EA213" s="2">
        <v>29.0</v>
      </c>
      <c r="EB213" s="2">
        <v>0.0</v>
      </c>
      <c r="EC213" s="2">
        <v>214.0</v>
      </c>
      <c r="EE213" s="2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2">
        <v>2025.0</v>
      </c>
      <c r="B214" s="2">
        <v>7.0</v>
      </c>
      <c r="C214" s="2" t="s">
        <v>238</v>
      </c>
      <c r="D214" s="2" t="s">
        <v>390</v>
      </c>
      <c r="E214" s="2" t="s">
        <v>795</v>
      </c>
      <c r="F214" s="2" t="s">
        <v>189</v>
      </c>
      <c r="G214" s="2">
        <v>16.0</v>
      </c>
      <c r="H214" s="2">
        <v>34.0</v>
      </c>
      <c r="I214" s="2">
        <v>172.0</v>
      </c>
      <c r="J214" s="2">
        <v>0.0</v>
      </c>
      <c r="K214" s="2">
        <v>2.0</v>
      </c>
      <c r="L214" s="2">
        <v>6.0</v>
      </c>
      <c r="M214" s="2">
        <v>-33.0</v>
      </c>
      <c r="N214" s="2">
        <v>0.0</v>
      </c>
      <c r="O214" s="2">
        <v>0.0</v>
      </c>
      <c r="P214" s="2">
        <v>367.0</v>
      </c>
      <c r="Q214" s="2">
        <v>64.0</v>
      </c>
      <c r="R214" s="2">
        <v>8.0</v>
      </c>
      <c r="S214" s="2">
        <v>-13.4993658822868</v>
      </c>
      <c r="T214" s="2">
        <v>-11.1648912391355</v>
      </c>
      <c r="U214" s="2">
        <v>0.0</v>
      </c>
      <c r="V214" s="2">
        <v>7.0</v>
      </c>
      <c r="W214" s="2">
        <v>2.0</v>
      </c>
      <c r="X214" s="2">
        <v>2.0</v>
      </c>
      <c r="Y214" s="2">
        <v>0.0</v>
      </c>
      <c r="Z214" s="2">
        <v>20.0</v>
      </c>
      <c r="AA214" s="2">
        <v>81.0</v>
      </c>
      <c r="AB214" s="2">
        <v>0.0</v>
      </c>
      <c r="AC214" s="2">
        <v>0.0</v>
      </c>
      <c r="AD214" s="2">
        <v>0.0</v>
      </c>
      <c r="AE214" s="2">
        <v>3.0</v>
      </c>
      <c r="AF214" s="2">
        <v>-1.84659622740076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16.0</v>
      </c>
      <c r="AM214" s="2">
        <v>31.0</v>
      </c>
      <c r="AN214" s="2">
        <v>172.0</v>
      </c>
      <c r="AO214" s="2">
        <v>0.0</v>
      </c>
      <c r="AP214" s="2">
        <v>0.0</v>
      </c>
      <c r="AQ214" s="2">
        <v>0.0</v>
      </c>
      <c r="AR214" s="2">
        <v>367.0</v>
      </c>
      <c r="AS214" s="2">
        <v>64.0</v>
      </c>
      <c r="AT214" s="2">
        <v>8.0</v>
      </c>
      <c r="AU214" s="2">
        <v>-3.42565837956499</v>
      </c>
      <c r="AV214" s="2">
        <v>0.0</v>
      </c>
      <c r="AW214" s="2">
        <v>7.0</v>
      </c>
      <c r="AX214" s="2">
        <v>2.0</v>
      </c>
      <c r="AY214" s="2">
        <v>2.0</v>
      </c>
      <c r="AZ214" s="2">
        <v>0.0</v>
      </c>
      <c r="BA214" s="2">
        <v>0.0</v>
      </c>
      <c r="BB214" s="2">
        <v>43.0</v>
      </c>
      <c r="BC214" s="2">
        <v>1.0</v>
      </c>
      <c r="BD214" s="2">
        <v>31.0</v>
      </c>
      <c r="BE214" s="2">
        <v>6.0</v>
      </c>
      <c r="BF214" s="2">
        <v>29.0</v>
      </c>
      <c r="BG214" s="2">
        <v>0.0</v>
      </c>
      <c r="BH214" s="2">
        <v>2.0</v>
      </c>
      <c r="BI214" s="2">
        <v>21.0</v>
      </c>
      <c r="BJ214" s="2">
        <v>7.0</v>
      </c>
      <c r="BK214" s="2">
        <v>0.0</v>
      </c>
      <c r="BL214" s="2">
        <v>0.0</v>
      </c>
      <c r="BM214" s="2">
        <v>7.0</v>
      </c>
      <c r="BN214" s="2">
        <v>0.0</v>
      </c>
      <c r="BO214" s="2">
        <v>0.0</v>
      </c>
      <c r="BP214" s="2">
        <v>0.0</v>
      </c>
      <c r="BQ214" s="2">
        <v>0.0</v>
      </c>
      <c r="BR214" s="2">
        <v>0.0</v>
      </c>
      <c r="BS214" s="2">
        <v>0.0</v>
      </c>
      <c r="BT214" s="2">
        <v>0.0</v>
      </c>
      <c r="BU214" s="2">
        <v>0.0</v>
      </c>
      <c r="BV214" s="2">
        <v>0.0</v>
      </c>
      <c r="BW214" s="2">
        <v>5.0</v>
      </c>
      <c r="BX214" s="2">
        <v>26.0</v>
      </c>
      <c r="BY214" s="2">
        <v>5.0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2.0</v>
      </c>
      <c r="CF214" s="2">
        <v>14.0</v>
      </c>
      <c r="CG214" s="2">
        <v>4.0</v>
      </c>
      <c r="CH214" s="2">
        <v>100.0</v>
      </c>
      <c r="CI214" s="2">
        <v>2.0</v>
      </c>
      <c r="CJ214" s="2">
        <v>2.0</v>
      </c>
      <c r="CK214" s="2">
        <v>0.0</v>
      </c>
      <c r="CL214" s="2">
        <v>0.0</v>
      </c>
      <c r="CM214" s="2">
        <v>47.0</v>
      </c>
      <c r="CN214" s="2">
        <v>1.0</v>
      </c>
      <c r="CO214" s="2">
        <v>0.0</v>
      </c>
      <c r="CP214" s="2">
        <v>0.0</v>
      </c>
      <c r="CQ214" s="2">
        <v>1.0</v>
      </c>
      <c r="CR214" s="2">
        <v>1.0</v>
      </c>
      <c r="CS214" s="2">
        <v>0.0</v>
      </c>
      <c r="CT214" s="2">
        <v>0.0</v>
      </c>
      <c r="CU214" s="2">
        <v>0.0</v>
      </c>
      <c r="CV214" s="2">
        <v>0.0</v>
      </c>
      <c r="CW214" s="2">
        <v>0.0</v>
      </c>
      <c r="CX214" s="2">
        <v>0.0</v>
      </c>
      <c r="CY214" s="2">
        <v>0.0</v>
      </c>
      <c r="CZ214" s="2">
        <v>0.0</v>
      </c>
      <c r="DA214" s="2" t="s">
        <v>2117</v>
      </c>
      <c r="DD214" s="2">
        <v>81.0</v>
      </c>
      <c r="DE214" s="2">
        <v>0.0</v>
      </c>
      <c r="DF214" s="2">
        <v>0.0</v>
      </c>
      <c r="DG214" s="2">
        <v>0.0</v>
      </c>
      <c r="DH214" s="2">
        <v>0.0</v>
      </c>
      <c r="DI214" s="2">
        <v>0.0</v>
      </c>
      <c r="DJ214" s="2">
        <v>0.0</v>
      </c>
      <c r="DL214" s="2">
        <v>0.0</v>
      </c>
      <c r="DM214" s="2">
        <v>0.0</v>
      </c>
      <c r="DN214" s="2">
        <v>0.0</v>
      </c>
      <c r="DO214" s="2">
        <v>0.0</v>
      </c>
      <c r="DP214" s="2">
        <v>0.0</v>
      </c>
      <c r="DQ214" s="2">
        <v>5.0</v>
      </c>
      <c r="DR214" s="2">
        <v>0.0</v>
      </c>
      <c r="DS214" s="2">
        <v>56.0</v>
      </c>
      <c r="DT214" s="2">
        <v>243.0</v>
      </c>
      <c r="DU214" s="2">
        <v>2.0</v>
      </c>
      <c r="DV214" s="2">
        <v>0.0</v>
      </c>
      <c r="DW214" s="2">
        <v>2.0</v>
      </c>
      <c r="DX214" s="2">
        <v>0.0</v>
      </c>
      <c r="DY214" s="2">
        <v>0.0</v>
      </c>
      <c r="DZ214" s="2">
        <v>3.0</v>
      </c>
      <c r="EA214" s="2">
        <v>35.0</v>
      </c>
      <c r="EB214" s="2">
        <v>0.0</v>
      </c>
      <c r="EC214" s="2">
        <v>208.0</v>
      </c>
      <c r="EE214" s="2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2">
        <v>2025.0</v>
      </c>
      <c r="B215" s="2">
        <v>7.0</v>
      </c>
      <c r="C215" s="2" t="s">
        <v>147</v>
      </c>
      <c r="D215" s="2" t="s">
        <v>390</v>
      </c>
      <c r="E215" s="2" t="s">
        <v>793</v>
      </c>
      <c r="F215" s="2" t="s">
        <v>144</v>
      </c>
      <c r="G215" s="2">
        <v>19.0</v>
      </c>
      <c r="H215" s="2">
        <v>23.0</v>
      </c>
      <c r="I215" s="2">
        <v>326.0</v>
      </c>
      <c r="J215" s="2">
        <v>3.0</v>
      </c>
      <c r="K215" s="2">
        <v>0.0</v>
      </c>
      <c r="L215" s="2">
        <v>3.0</v>
      </c>
      <c r="M215" s="2">
        <v>-10.0</v>
      </c>
      <c r="N215" s="2">
        <v>0.0</v>
      </c>
      <c r="O215" s="2">
        <v>0.0</v>
      </c>
      <c r="P215" s="2">
        <v>284.0</v>
      </c>
      <c r="Q215" s="2">
        <v>90.0</v>
      </c>
      <c r="R215" s="2">
        <v>9.0</v>
      </c>
      <c r="S215" s="2">
        <v>18.9066741837887</v>
      </c>
      <c r="T215" s="2">
        <v>17.9242616114409</v>
      </c>
      <c r="U215" s="2">
        <v>0.0</v>
      </c>
      <c r="V215" s="2">
        <v>10.0</v>
      </c>
      <c r="W215" s="2">
        <v>8.0</v>
      </c>
      <c r="X215" s="2">
        <v>6.0</v>
      </c>
      <c r="Y215" s="2">
        <v>2.0</v>
      </c>
      <c r="Z215" s="2">
        <v>23.0</v>
      </c>
      <c r="AA215" s="2">
        <v>45.0</v>
      </c>
      <c r="AB215" s="2">
        <v>0.0</v>
      </c>
      <c r="AC215" s="2">
        <v>0.0</v>
      </c>
      <c r="AD215" s="2">
        <v>0.0</v>
      </c>
      <c r="AE215" s="2">
        <v>4.0</v>
      </c>
      <c r="AF215" s="2">
        <v>-7.18485400114009</v>
      </c>
      <c r="AG215" s="2">
        <v>0.0</v>
      </c>
      <c r="AH215" s="2">
        <v>1.0</v>
      </c>
      <c r="AI215" s="2">
        <v>0.0</v>
      </c>
      <c r="AJ215" s="2">
        <v>0.0</v>
      </c>
      <c r="AK215" s="2">
        <v>0.0</v>
      </c>
      <c r="AL215" s="2">
        <v>19.0</v>
      </c>
      <c r="AM215" s="2">
        <v>23.0</v>
      </c>
      <c r="AN215" s="2">
        <v>326.0</v>
      </c>
      <c r="AO215" s="2">
        <v>3.0</v>
      </c>
      <c r="AP215" s="2">
        <v>0.0</v>
      </c>
      <c r="AQ215" s="2">
        <v>0.0</v>
      </c>
      <c r="AR215" s="2">
        <v>284.0</v>
      </c>
      <c r="AS215" s="2">
        <v>90.0</v>
      </c>
      <c r="AT215" s="2">
        <v>9.0</v>
      </c>
      <c r="AU215" s="2">
        <v>21.5269960931037</v>
      </c>
      <c r="AV215" s="2">
        <v>0.0</v>
      </c>
      <c r="AW215" s="2">
        <v>10.0</v>
      </c>
      <c r="AX215" s="2">
        <v>8.0</v>
      </c>
      <c r="AY215" s="2">
        <v>6.0</v>
      </c>
      <c r="AZ215" s="2">
        <v>2.0</v>
      </c>
      <c r="BA215" s="2">
        <v>0.0</v>
      </c>
      <c r="BB215" s="2">
        <v>40.0</v>
      </c>
      <c r="BC215" s="2">
        <v>2.0</v>
      </c>
      <c r="BD215" s="2">
        <v>20.0</v>
      </c>
      <c r="BE215" s="2">
        <v>6.0</v>
      </c>
      <c r="BF215" s="2">
        <v>23.0</v>
      </c>
      <c r="BG215" s="2">
        <v>0.0</v>
      </c>
      <c r="BH215" s="2">
        <v>2.0</v>
      </c>
      <c r="BI215" s="2">
        <v>15.0</v>
      </c>
      <c r="BJ215" s="2">
        <v>8.0</v>
      </c>
      <c r="BK215" s="2">
        <v>2.0</v>
      </c>
      <c r="BL215" s="2">
        <v>42.0</v>
      </c>
      <c r="BM215" s="2">
        <v>3.0</v>
      </c>
      <c r="BN215" s="2">
        <v>1.0</v>
      </c>
      <c r="BO215" s="2">
        <v>0.0</v>
      </c>
      <c r="BP215" s="2">
        <v>0.0</v>
      </c>
      <c r="BQ215" s="2">
        <v>0.0</v>
      </c>
      <c r="BR215" s="2">
        <v>0.0</v>
      </c>
      <c r="BS215" s="2">
        <v>0.0</v>
      </c>
      <c r="BT215" s="2">
        <v>0.0</v>
      </c>
      <c r="BU215" s="2">
        <v>0.0</v>
      </c>
      <c r="BV215" s="2">
        <v>0.0</v>
      </c>
      <c r="BW215" s="2">
        <v>8.0</v>
      </c>
      <c r="BX215" s="2">
        <v>64.0</v>
      </c>
      <c r="BY215" s="2">
        <v>4.0</v>
      </c>
      <c r="BZ215" s="2">
        <v>0.0</v>
      </c>
      <c r="CA215" s="2">
        <v>0.0</v>
      </c>
      <c r="CB215" s="2">
        <v>0.0</v>
      </c>
      <c r="CC215" s="2">
        <v>0.0</v>
      </c>
      <c r="CD215" s="2">
        <v>0.0</v>
      </c>
      <c r="CE215" s="2">
        <v>0.0</v>
      </c>
      <c r="CF215" s="2">
        <v>0.0</v>
      </c>
      <c r="CG215" s="2">
        <v>7.0</v>
      </c>
      <c r="CH215" s="2">
        <v>186.0</v>
      </c>
      <c r="CI215" s="2">
        <v>0.0</v>
      </c>
      <c r="CJ215" s="2">
        <v>1.0</v>
      </c>
      <c r="CK215" s="2">
        <v>1.0</v>
      </c>
      <c r="CL215" s="2">
        <v>0.0</v>
      </c>
      <c r="CN215" s="2">
        <v>0.0</v>
      </c>
      <c r="CO215" s="2">
        <v>0.0</v>
      </c>
      <c r="CP215" s="2">
        <v>0.0</v>
      </c>
      <c r="CQ215" s="2">
        <v>0.0</v>
      </c>
      <c r="CR215" s="2">
        <v>0.0</v>
      </c>
      <c r="CS215" s="2">
        <v>0.0</v>
      </c>
      <c r="CT215" s="2">
        <v>0.0</v>
      </c>
      <c r="CU215" s="2">
        <v>0.0</v>
      </c>
      <c r="CV215" s="2">
        <v>0.0</v>
      </c>
      <c r="CW215" s="2">
        <v>0.0</v>
      </c>
      <c r="CX215" s="2">
        <v>1.0</v>
      </c>
      <c r="CY215" s="2">
        <v>0.0</v>
      </c>
      <c r="CZ215" s="2">
        <v>0.0</v>
      </c>
      <c r="DB215" s="2" t="s">
        <v>1966</v>
      </c>
      <c r="DD215" s="2">
        <v>0.0</v>
      </c>
      <c r="DE215" s="2">
        <v>42.0</v>
      </c>
      <c r="DF215" s="2">
        <v>0.0</v>
      </c>
      <c r="DG215" s="2">
        <v>4.0</v>
      </c>
      <c r="DH215" s="2">
        <v>4.0</v>
      </c>
      <c r="DI215" s="2">
        <v>0.0</v>
      </c>
      <c r="DJ215" s="2">
        <v>0.0</v>
      </c>
      <c r="DK215" s="2">
        <v>1.0</v>
      </c>
      <c r="DL215" s="2">
        <v>0.0</v>
      </c>
      <c r="DM215" s="2">
        <v>0.0</v>
      </c>
      <c r="DN215" s="2">
        <v>0.0</v>
      </c>
      <c r="DO215" s="2">
        <v>0.0</v>
      </c>
      <c r="DP215" s="2">
        <v>0.0</v>
      </c>
      <c r="DQ215" s="2">
        <v>3.0</v>
      </c>
      <c r="DR215" s="2">
        <v>0.0</v>
      </c>
      <c r="DS215" s="2">
        <v>53.0</v>
      </c>
      <c r="DT215" s="2">
        <v>146.0</v>
      </c>
      <c r="DU215" s="2">
        <v>1.0</v>
      </c>
      <c r="DV215" s="2">
        <v>0.0</v>
      </c>
      <c r="DW215" s="2">
        <v>0.0</v>
      </c>
      <c r="DX215" s="2">
        <v>1.0</v>
      </c>
      <c r="DY215" s="2">
        <v>1.0</v>
      </c>
      <c r="DZ215" s="2">
        <v>1.0</v>
      </c>
      <c r="EA215" s="2">
        <v>6.0</v>
      </c>
      <c r="EB215" s="2">
        <v>0.0</v>
      </c>
      <c r="EC215" s="2">
        <v>120.0</v>
      </c>
      <c r="EE215" s="2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2">
        <v>2025.0</v>
      </c>
      <c r="B216" s="2">
        <v>7.0</v>
      </c>
      <c r="C216" s="2" t="s">
        <v>242</v>
      </c>
      <c r="D216" s="2" t="s">
        <v>390</v>
      </c>
      <c r="E216" s="2" t="s">
        <v>781</v>
      </c>
      <c r="F216" s="2" t="s">
        <v>138</v>
      </c>
      <c r="G216" s="2">
        <v>23.0</v>
      </c>
      <c r="H216" s="2">
        <v>34.0</v>
      </c>
      <c r="I216" s="2">
        <v>249.0</v>
      </c>
      <c r="J216" s="2">
        <v>4.0</v>
      </c>
      <c r="K216" s="2">
        <v>2.0</v>
      </c>
      <c r="L216" s="2">
        <v>0.0</v>
      </c>
      <c r="M216" s="2">
        <v>0.0</v>
      </c>
      <c r="N216" s="2">
        <v>0.0</v>
      </c>
      <c r="O216" s="2">
        <v>0.0</v>
      </c>
      <c r="P216" s="2">
        <v>309.0</v>
      </c>
      <c r="Q216" s="2">
        <v>143.0</v>
      </c>
      <c r="R216" s="2">
        <v>12.0</v>
      </c>
      <c r="S216" s="2">
        <v>13.3119119043113</v>
      </c>
      <c r="T216" s="2">
        <v>4.88015386191281</v>
      </c>
      <c r="U216" s="2">
        <v>0.0</v>
      </c>
      <c r="V216" s="2">
        <v>7.0</v>
      </c>
      <c r="W216" s="2">
        <v>4.0</v>
      </c>
      <c r="X216" s="2">
        <v>2.0</v>
      </c>
      <c r="Y216" s="2">
        <v>1.0</v>
      </c>
      <c r="Z216" s="2">
        <v>20.0</v>
      </c>
      <c r="AA216" s="2">
        <v>147.0</v>
      </c>
      <c r="AB216" s="2">
        <v>0.0</v>
      </c>
      <c r="AC216" s="2">
        <v>0.0</v>
      </c>
      <c r="AD216" s="2">
        <v>0.0</v>
      </c>
      <c r="AE216" s="2">
        <v>7.0</v>
      </c>
      <c r="AF216" s="2">
        <v>6.39197610440897</v>
      </c>
      <c r="AG216" s="2">
        <v>0.0</v>
      </c>
      <c r="AH216" s="2">
        <v>5.0</v>
      </c>
      <c r="AI216" s="2">
        <v>3.0</v>
      </c>
      <c r="AJ216" s="2">
        <v>2.0</v>
      </c>
      <c r="AK216" s="2">
        <v>0.0</v>
      </c>
      <c r="AL216" s="2">
        <v>23.0</v>
      </c>
      <c r="AM216" s="2">
        <v>33.0</v>
      </c>
      <c r="AN216" s="2">
        <v>249.0</v>
      </c>
      <c r="AO216" s="2">
        <v>4.0</v>
      </c>
      <c r="AP216" s="2">
        <v>0.0</v>
      </c>
      <c r="AQ216" s="2">
        <v>0.0</v>
      </c>
      <c r="AR216" s="2">
        <v>309.0</v>
      </c>
      <c r="AS216" s="2">
        <v>143.0</v>
      </c>
      <c r="AT216" s="2">
        <v>12.0</v>
      </c>
      <c r="AU216" s="2">
        <v>13.4328465778381</v>
      </c>
      <c r="AV216" s="2">
        <v>0.0</v>
      </c>
      <c r="AW216" s="2">
        <v>7.0</v>
      </c>
      <c r="AX216" s="2">
        <v>4.0</v>
      </c>
      <c r="AY216" s="2">
        <v>2.0</v>
      </c>
      <c r="AZ216" s="2">
        <v>1.0</v>
      </c>
      <c r="BA216" s="2">
        <v>0.0</v>
      </c>
      <c r="BB216" s="2">
        <v>44.0</v>
      </c>
      <c r="BC216" s="2">
        <v>0.0</v>
      </c>
      <c r="BD216" s="2">
        <v>26.0</v>
      </c>
      <c r="BE216" s="2">
        <v>3.0</v>
      </c>
      <c r="BF216" s="2">
        <v>14.0</v>
      </c>
      <c r="BG216" s="2">
        <v>0.0</v>
      </c>
      <c r="BH216" s="2">
        <v>2.0</v>
      </c>
      <c r="BI216" s="2">
        <v>14.0</v>
      </c>
      <c r="BJ216" s="2">
        <v>6.0</v>
      </c>
      <c r="BK216" s="2">
        <v>0.0</v>
      </c>
      <c r="BL216" s="2">
        <v>0.0</v>
      </c>
      <c r="BM216" s="2">
        <v>6.0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0.0</v>
      </c>
      <c r="BU216" s="2">
        <v>0.0</v>
      </c>
      <c r="BV216" s="2">
        <v>0.0</v>
      </c>
      <c r="BW216" s="2">
        <v>7.0</v>
      </c>
      <c r="BX216" s="2">
        <v>59.0</v>
      </c>
      <c r="BY216" s="2">
        <v>5.0</v>
      </c>
      <c r="BZ216" s="2">
        <v>0.0</v>
      </c>
      <c r="CA216" s="2">
        <v>0.0</v>
      </c>
      <c r="CB216" s="2">
        <v>0.0</v>
      </c>
      <c r="CC216" s="2">
        <v>0.0</v>
      </c>
      <c r="CD216" s="2">
        <v>0.0</v>
      </c>
      <c r="CE216" s="2">
        <v>2.0</v>
      </c>
      <c r="CF216" s="2">
        <v>27.0</v>
      </c>
      <c r="CG216" s="2">
        <v>6.0</v>
      </c>
      <c r="CH216" s="2">
        <v>179.0</v>
      </c>
      <c r="CI216" s="2">
        <v>1.0</v>
      </c>
      <c r="CJ216" s="2">
        <v>1.0</v>
      </c>
      <c r="CK216" s="2">
        <v>0.0</v>
      </c>
      <c r="CL216" s="2">
        <v>0.0</v>
      </c>
      <c r="CM216" s="2">
        <v>41.0</v>
      </c>
      <c r="CN216" s="2">
        <v>1.0</v>
      </c>
      <c r="CO216" s="2">
        <v>0.0</v>
      </c>
      <c r="CP216" s="2">
        <v>0.0</v>
      </c>
      <c r="CQ216" s="2">
        <v>0.0</v>
      </c>
      <c r="CR216" s="2">
        <v>1.0</v>
      </c>
      <c r="CS216" s="2">
        <v>0.0</v>
      </c>
      <c r="CT216" s="2">
        <v>0.0</v>
      </c>
      <c r="CU216" s="2">
        <v>0.0</v>
      </c>
      <c r="CV216" s="2">
        <v>0.0</v>
      </c>
      <c r="CW216" s="2">
        <v>0.0</v>
      </c>
      <c r="CX216" s="2">
        <v>0.0</v>
      </c>
      <c r="CY216" s="2">
        <v>0.0</v>
      </c>
      <c r="CZ216" s="2">
        <v>0.0</v>
      </c>
      <c r="DA216" s="2" t="s">
        <v>2025</v>
      </c>
      <c r="DD216" s="2">
        <v>41.0</v>
      </c>
      <c r="DE216" s="2">
        <v>0.0</v>
      </c>
      <c r="DF216" s="2">
        <v>0.0</v>
      </c>
      <c r="DG216" s="2">
        <v>4.0</v>
      </c>
      <c r="DH216" s="2">
        <v>4.0</v>
      </c>
      <c r="DI216" s="2">
        <v>0.0</v>
      </c>
      <c r="DJ216" s="2">
        <v>0.0</v>
      </c>
      <c r="DK216" s="2">
        <v>1.0</v>
      </c>
      <c r="DL216" s="2">
        <v>0.0</v>
      </c>
      <c r="DM216" s="2">
        <v>0.0</v>
      </c>
      <c r="DN216" s="2">
        <v>0.0</v>
      </c>
      <c r="DO216" s="2">
        <v>0.0</v>
      </c>
      <c r="DP216" s="2">
        <v>0.0</v>
      </c>
      <c r="DQ216" s="2">
        <v>2.0</v>
      </c>
      <c r="DR216" s="2">
        <v>0.0</v>
      </c>
      <c r="DS216" s="2">
        <v>45.0</v>
      </c>
      <c r="DT216" s="2">
        <v>84.0</v>
      </c>
      <c r="DU216" s="2">
        <v>2.0</v>
      </c>
      <c r="DV216" s="2">
        <v>0.0</v>
      </c>
      <c r="DW216" s="2">
        <v>1.0</v>
      </c>
      <c r="DX216" s="2">
        <v>0.0</v>
      </c>
      <c r="DY216" s="2">
        <v>1.0</v>
      </c>
      <c r="DZ216" s="2">
        <v>0.0</v>
      </c>
      <c r="EA216" s="2">
        <v>0.0</v>
      </c>
      <c r="EB216" s="2">
        <v>0.0</v>
      </c>
      <c r="EC216" s="2">
        <v>84.0</v>
      </c>
      <c r="EE216" s="2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2">
        <v>2025.0</v>
      </c>
      <c r="B217" s="2">
        <v>7.0</v>
      </c>
      <c r="C217" s="2" t="s">
        <v>149</v>
      </c>
      <c r="D217" s="2" t="s">
        <v>390</v>
      </c>
      <c r="E217" s="2" t="s">
        <v>812</v>
      </c>
      <c r="F217" s="2" t="s">
        <v>140</v>
      </c>
      <c r="G217" s="2">
        <v>17.0</v>
      </c>
      <c r="H217" s="2">
        <v>32.0</v>
      </c>
      <c r="I217" s="2">
        <v>213.0</v>
      </c>
      <c r="J217" s="2">
        <v>1.0</v>
      </c>
      <c r="K217" s="2">
        <v>2.0</v>
      </c>
      <c r="L217" s="2">
        <v>2.0</v>
      </c>
      <c r="M217" s="2">
        <v>-15.0</v>
      </c>
      <c r="N217" s="2">
        <v>1.0</v>
      </c>
      <c r="O217" s="2">
        <v>1.0</v>
      </c>
      <c r="P217" s="2">
        <v>280.0</v>
      </c>
      <c r="Q217" s="2">
        <v>80.0</v>
      </c>
      <c r="R217" s="2">
        <v>9.0</v>
      </c>
      <c r="S217" s="2">
        <v>-10.9839279269707</v>
      </c>
      <c r="T217" s="2">
        <v>-4.43556339576327</v>
      </c>
      <c r="U217" s="2">
        <v>0.0</v>
      </c>
      <c r="V217" s="2">
        <v>9.0</v>
      </c>
      <c r="W217" s="2">
        <v>6.0</v>
      </c>
      <c r="X217" s="2">
        <v>3.0</v>
      </c>
      <c r="Y217" s="2">
        <v>0.0</v>
      </c>
      <c r="Z217" s="2">
        <v>33.0</v>
      </c>
      <c r="AA217" s="2">
        <v>118.0</v>
      </c>
      <c r="AB217" s="2">
        <v>2.0</v>
      </c>
      <c r="AC217" s="2">
        <v>0.0</v>
      </c>
      <c r="AD217" s="2">
        <v>0.0</v>
      </c>
      <c r="AE217" s="2">
        <v>6.0</v>
      </c>
      <c r="AF217" s="2">
        <v>-1.19947217975786</v>
      </c>
      <c r="AG217" s="2">
        <v>0.0</v>
      </c>
      <c r="AH217" s="2">
        <v>3.0</v>
      </c>
      <c r="AI217" s="2">
        <v>3.0</v>
      </c>
      <c r="AJ217" s="2">
        <v>0.0</v>
      </c>
      <c r="AK217" s="2">
        <v>0.0</v>
      </c>
      <c r="AL217" s="2">
        <v>17.0</v>
      </c>
      <c r="AM217" s="2">
        <v>29.0</v>
      </c>
      <c r="AN217" s="2">
        <v>213.0</v>
      </c>
      <c r="AO217" s="2">
        <v>1.0</v>
      </c>
      <c r="AP217" s="2">
        <v>1.0</v>
      </c>
      <c r="AQ217" s="2">
        <v>1.0</v>
      </c>
      <c r="AR217" s="2">
        <v>280.0</v>
      </c>
      <c r="AS217" s="2">
        <v>80.0</v>
      </c>
      <c r="AT217" s="2">
        <v>9.0</v>
      </c>
      <c r="AU217" s="2">
        <v>-5.1829996637907</v>
      </c>
      <c r="AV217" s="2">
        <v>0.0</v>
      </c>
      <c r="AW217" s="2">
        <v>9.0</v>
      </c>
      <c r="AX217" s="2">
        <v>6.0</v>
      </c>
      <c r="AY217" s="2">
        <v>3.0</v>
      </c>
      <c r="AZ217" s="2">
        <v>0.0</v>
      </c>
      <c r="BA217" s="2">
        <v>0.0</v>
      </c>
      <c r="BB217" s="2">
        <v>41.0</v>
      </c>
      <c r="BC217" s="2">
        <v>4.0</v>
      </c>
      <c r="BD217" s="2">
        <v>20.0</v>
      </c>
      <c r="BE217" s="2">
        <v>10.0</v>
      </c>
      <c r="BF217" s="2">
        <v>45.0</v>
      </c>
      <c r="BG217" s="2">
        <v>0.0</v>
      </c>
      <c r="BH217" s="2">
        <v>3.0</v>
      </c>
      <c r="BI217" s="2">
        <v>31.0</v>
      </c>
      <c r="BJ217" s="2">
        <v>7.0</v>
      </c>
      <c r="BK217" s="2">
        <v>1.0</v>
      </c>
      <c r="BL217" s="2">
        <v>23.0</v>
      </c>
      <c r="BM217" s="2">
        <v>12.0</v>
      </c>
      <c r="BN217" s="2">
        <v>0.0</v>
      </c>
      <c r="BO217" s="2">
        <v>0.0</v>
      </c>
      <c r="BP217" s="2">
        <v>0.0</v>
      </c>
      <c r="BQ217" s="2">
        <v>0.0</v>
      </c>
      <c r="BR217" s="2">
        <v>0.0</v>
      </c>
      <c r="BS217" s="2">
        <v>0.0</v>
      </c>
      <c r="BT217" s="2">
        <v>0.0</v>
      </c>
      <c r="BU217" s="2">
        <v>0.0</v>
      </c>
      <c r="BV217" s="2">
        <v>0.0</v>
      </c>
      <c r="BW217" s="2">
        <v>12.0</v>
      </c>
      <c r="BX217" s="2">
        <v>93.0</v>
      </c>
      <c r="BY217" s="2">
        <v>4.0</v>
      </c>
      <c r="BZ217" s="2">
        <v>2.0</v>
      </c>
      <c r="CA217" s="2">
        <v>0.0</v>
      </c>
      <c r="CB217" s="2">
        <v>0.0</v>
      </c>
      <c r="CC217" s="2">
        <v>2.0</v>
      </c>
      <c r="CD217" s="2">
        <v>2.0</v>
      </c>
      <c r="CE217" s="2">
        <v>5.0</v>
      </c>
      <c r="CF217" s="2">
        <v>67.0</v>
      </c>
      <c r="CG217" s="2">
        <v>4.0</v>
      </c>
      <c r="CH217" s="2">
        <v>116.0</v>
      </c>
      <c r="CI217" s="2">
        <v>2.0</v>
      </c>
      <c r="CJ217" s="2">
        <v>3.0</v>
      </c>
      <c r="CK217" s="2">
        <v>0.0</v>
      </c>
      <c r="CL217" s="2">
        <v>1.0</v>
      </c>
      <c r="CM217" s="2">
        <v>47.0</v>
      </c>
      <c r="CN217" s="2">
        <v>0.666666666666667</v>
      </c>
      <c r="CO217" s="2">
        <v>0.0</v>
      </c>
      <c r="CP217" s="2">
        <v>1.0</v>
      </c>
      <c r="CQ217" s="2">
        <v>0.0</v>
      </c>
      <c r="CR217" s="2">
        <v>1.0</v>
      </c>
      <c r="CS217" s="2">
        <v>0.0</v>
      </c>
      <c r="CT217" s="2">
        <v>0.0</v>
      </c>
      <c r="CU217" s="2">
        <v>0.0</v>
      </c>
      <c r="CV217" s="2">
        <v>0.0</v>
      </c>
      <c r="CW217" s="2">
        <v>0.0</v>
      </c>
      <c r="CX217" s="2">
        <v>0.0</v>
      </c>
      <c r="CY217" s="2">
        <v>0.0</v>
      </c>
      <c r="CZ217" s="2">
        <v>0.0</v>
      </c>
      <c r="DA217" s="2" t="s">
        <v>2118</v>
      </c>
      <c r="DC217" s="2" t="s">
        <v>2072</v>
      </c>
      <c r="DD217" s="2">
        <v>73.0</v>
      </c>
      <c r="DE217" s="2">
        <v>0.0</v>
      </c>
      <c r="DF217" s="2">
        <v>53.0</v>
      </c>
      <c r="DG217" s="2">
        <v>3.0</v>
      </c>
      <c r="DH217" s="2">
        <v>3.0</v>
      </c>
      <c r="DI217" s="2">
        <v>0.0</v>
      </c>
      <c r="DJ217" s="2">
        <v>0.0</v>
      </c>
      <c r="DK217" s="2">
        <v>1.0</v>
      </c>
      <c r="DL217" s="2">
        <v>0.0</v>
      </c>
      <c r="DM217" s="2">
        <v>0.0</v>
      </c>
      <c r="DN217" s="2">
        <v>0.0</v>
      </c>
      <c r="DO217" s="2">
        <v>0.0</v>
      </c>
      <c r="DP217" s="2">
        <v>0.0</v>
      </c>
      <c r="DQ217" s="2">
        <v>4.0</v>
      </c>
      <c r="DR217" s="2">
        <v>0.0</v>
      </c>
      <c r="DS217" s="2">
        <v>58.0</v>
      </c>
      <c r="DT217" s="2">
        <v>205.0</v>
      </c>
      <c r="DU217" s="2">
        <v>1.0</v>
      </c>
      <c r="DV217" s="2">
        <v>0.0</v>
      </c>
      <c r="DW217" s="2">
        <v>1.0</v>
      </c>
      <c r="DX217" s="2">
        <v>0.0</v>
      </c>
      <c r="DY217" s="2">
        <v>0.0</v>
      </c>
      <c r="DZ217" s="2">
        <v>3.0</v>
      </c>
      <c r="EA217" s="2">
        <v>25.0</v>
      </c>
      <c r="EB217" s="2">
        <v>0.0</v>
      </c>
      <c r="EC217" s="2">
        <v>180.0</v>
      </c>
      <c r="EE217" s="2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2">
        <v>2025.0</v>
      </c>
      <c r="B218" s="2">
        <v>7.0</v>
      </c>
      <c r="C218" s="2" t="s">
        <v>246</v>
      </c>
      <c r="D218" s="2" t="s">
        <v>390</v>
      </c>
      <c r="E218" s="2" t="s">
        <v>807</v>
      </c>
      <c r="F218" s="2" t="s">
        <v>132</v>
      </c>
      <c r="G218" s="2">
        <v>17.0</v>
      </c>
      <c r="H218" s="2">
        <v>26.0</v>
      </c>
      <c r="I218" s="2">
        <v>152.0</v>
      </c>
      <c r="J218" s="2">
        <v>0.0</v>
      </c>
      <c r="K218" s="2">
        <v>1.0</v>
      </c>
      <c r="L218" s="2">
        <v>1.0</v>
      </c>
      <c r="M218" s="2">
        <v>-2.0</v>
      </c>
      <c r="N218" s="2">
        <v>0.0</v>
      </c>
      <c r="O218" s="2">
        <v>0.0</v>
      </c>
      <c r="P218" s="2">
        <v>132.0</v>
      </c>
      <c r="Q218" s="2">
        <v>100.0</v>
      </c>
      <c r="R218" s="2">
        <v>10.0</v>
      </c>
      <c r="S218" s="2">
        <v>1.96822637603463</v>
      </c>
      <c r="T218" s="2">
        <v>1.15497844914595</v>
      </c>
      <c r="U218" s="2">
        <v>0.0</v>
      </c>
      <c r="V218" s="2">
        <v>8.0</v>
      </c>
      <c r="W218" s="2">
        <v>1.0</v>
      </c>
      <c r="X218" s="2">
        <v>0.0</v>
      </c>
      <c r="Y218" s="2">
        <v>0.0</v>
      </c>
      <c r="Z218" s="2">
        <v>39.0</v>
      </c>
      <c r="AA218" s="2">
        <v>174.0</v>
      </c>
      <c r="AB218" s="2">
        <v>2.0</v>
      </c>
      <c r="AC218" s="2">
        <v>0.0</v>
      </c>
      <c r="AD218" s="2">
        <v>0.0</v>
      </c>
      <c r="AE218" s="2">
        <v>12.0</v>
      </c>
      <c r="AF218" s="2">
        <v>-1.75180749033461</v>
      </c>
      <c r="AG218" s="2">
        <v>0.0</v>
      </c>
      <c r="AH218" s="2">
        <v>8.0</v>
      </c>
      <c r="AI218" s="2">
        <v>5.0</v>
      </c>
      <c r="AJ218" s="2">
        <v>0.0</v>
      </c>
      <c r="AK218" s="2">
        <v>0.0</v>
      </c>
      <c r="AL218" s="2">
        <v>17.0</v>
      </c>
      <c r="AM218" s="2">
        <v>24.0</v>
      </c>
      <c r="AN218" s="2">
        <v>152.0</v>
      </c>
      <c r="AO218" s="2">
        <v>0.0</v>
      </c>
      <c r="AP218" s="2">
        <v>0.0</v>
      </c>
      <c r="AQ218" s="2">
        <v>0.0</v>
      </c>
      <c r="AR218" s="2">
        <v>132.0</v>
      </c>
      <c r="AS218" s="2">
        <v>100.0</v>
      </c>
      <c r="AT218" s="2">
        <v>10.0</v>
      </c>
      <c r="AU218" s="2">
        <v>4.61427682316707</v>
      </c>
      <c r="AV218" s="2">
        <v>0.0</v>
      </c>
      <c r="AW218" s="2">
        <v>8.0</v>
      </c>
      <c r="AX218" s="2">
        <v>1.0</v>
      </c>
      <c r="AY218" s="2">
        <v>0.0</v>
      </c>
      <c r="AZ218" s="2">
        <v>0.0</v>
      </c>
      <c r="BA218" s="2">
        <v>0.0</v>
      </c>
      <c r="BB218" s="2">
        <v>35.0</v>
      </c>
      <c r="BC218" s="2">
        <v>0.0</v>
      </c>
      <c r="BD218" s="2">
        <v>28.0</v>
      </c>
      <c r="BE218" s="2">
        <v>4.0</v>
      </c>
      <c r="BF218" s="2">
        <v>16.0</v>
      </c>
      <c r="BG218" s="2">
        <v>1.0</v>
      </c>
      <c r="BH218" s="2">
        <v>2.0</v>
      </c>
      <c r="BI218" s="2">
        <v>11.0</v>
      </c>
      <c r="BJ218" s="2">
        <v>5.0</v>
      </c>
      <c r="BK218" s="2">
        <v>0.0</v>
      </c>
      <c r="BL218" s="2">
        <v>0.0</v>
      </c>
      <c r="BM218" s="2">
        <v>2.0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1.0</v>
      </c>
      <c r="BU218" s="2">
        <v>0.0</v>
      </c>
      <c r="BV218" s="2">
        <v>0.0</v>
      </c>
      <c r="BW218" s="2">
        <v>3.0</v>
      </c>
      <c r="BX218" s="2">
        <v>25.0</v>
      </c>
      <c r="BY218" s="2">
        <v>1.0</v>
      </c>
      <c r="BZ218" s="2">
        <v>0.0</v>
      </c>
      <c r="CA218" s="2">
        <v>0.0</v>
      </c>
      <c r="CB218" s="2">
        <v>0.0</v>
      </c>
      <c r="CC218" s="2">
        <v>0.0</v>
      </c>
      <c r="CD218" s="2">
        <v>0.0</v>
      </c>
      <c r="CE218" s="2">
        <v>1.0</v>
      </c>
      <c r="CF218" s="2">
        <v>8.0</v>
      </c>
      <c r="CG218" s="2">
        <v>2.0</v>
      </c>
      <c r="CH218" s="2">
        <v>53.0</v>
      </c>
      <c r="CI218" s="2">
        <v>2.0</v>
      </c>
      <c r="CJ218" s="2">
        <v>2.0</v>
      </c>
      <c r="CK218" s="2">
        <v>0.0</v>
      </c>
      <c r="CL218" s="2">
        <v>0.0</v>
      </c>
      <c r="CM218" s="2">
        <v>55.0</v>
      </c>
      <c r="CN218" s="2">
        <v>1.0</v>
      </c>
      <c r="CO218" s="2">
        <v>0.0</v>
      </c>
      <c r="CP218" s="2">
        <v>0.0</v>
      </c>
      <c r="CQ218" s="2">
        <v>0.0</v>
      </c>
      <c r="CR218" s="2">
        <v>1.0</v>
      </c>
      <c r="CS218" s="2">
        <v>1.0</v>
      </c>
      <c r="CT218" s="2">
        <v>0.0</v>
      </c>
      <c r="CU218" s="2">
        <v>0.0</v>
      </c>
      <c r="CV218" s="2">
        <v>0.0</v>
      </c>
      <c r="CW218" s="2">
        <v>0.0</v>
      </c>
      <c r="CX218" s="2">
        <v>0.0</v>
      </c>
      <c r="CY218" s="2">
        <v>0.0</v>
      </c>
      <c r="CZ218" s="2">
        <v>0.0</v>
      </c>
      <c r="DA218" s="2" t="s">
        <v>2119</v>
      </c>
      <c r="DD218" s="2">
        <v>98.0</v>
      </c>
      <c r="DE218" s="2">
        <v>0.0</v>
      </c>
      <c r="DF218" s="2">
        <v>0.0</v>
      </c>
      <c r="DG218" s="2">
        <v>2.0</v>
      </c>
      <c r="DH218" s="2">
        <v>2.0</v>
      </c>
      <c r="DI218" s="2">
        <v>0.0</v>
      </c>
      <c r="DJ218" s="2">
        <v>0.0</v>
      </c>
      <c r="DK218" s="2">
        <v>1.0</v>
      </c>
      <c r="DL218" s="2">
        <v>0.0</v>
      </c>
      <c r="DM218" s="2">
        <v>0.0</v>
      </c>
      <c r="DN218" s="2">
        <v>0.0</v>
      </c>
      <c r="DO218" s="2">
        <v>0.0</v>
      </c>
      <c r="DP218" s="2">
        <v>0.0</v>
      </c>
      <c r="DQ218" s="2">
        <v>3.0</v>
      </c>
      <c r="DR218" s="2">
        <v>0.0</v>
      </c>
      <c r="DS218" s="2">
        <v>53.0</v>
      </c>
      <c r="DT218" s="2">
        <v>143.0</v>
      </c>
      <c r="DU218" s="2">
        <v>1.0</v>
      </c>
      <c r="DV218" s="2">
        <v>0.0</v>
      </c>
      <c r="DW218" s="2">
        <v>0.0</v>
      </c>
      <c r="DX218" s="2">
        <v>1.0</v>
      </c>
      <c r="DY218" s="2">
        <v>0.0</v>
      </c>
      <c r="DZ218" s="2">
        <v>2.0</v>
      </c>
      <c r="EA218" s="2">
        <v>18.0</v>
      </c>
      <c r="EB218" s="2">
        <v>0.0</v>
      </c>
      <c r="EC218" s="2">
        <v>105.0</v>
      </c>
      <c r="EE218" s="2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2">
        <v>2025.0</v>
      </c>
      <c r="B219" s="2">
        <v>7.0</v>
      </c>
      <c r="C219" s="2" t="s">
        <v>150</v>
      </c>
      <c r="D219" s="2" t="s">
        <v>390</v>
      </c>
      <c r="E219" s="2" t="s">
        <v>809</v>
      </c>
      <c r="F219" s="2" t="s">
        <v>202</v>
      </c>
      <c r="G219" s="2">
        <v>28.0</v>
      </c>
      <c r="H219" s="2">
        <v>50.0</v>
      </c>
      <c r="I219" s="2">
        <v>228.0</v>
      </c>
      <c r="J219" s="2">
        <v>1.0</v>
      </c>
      <c r="K219" s="2">
        <v>1.0</v>
      </c>
      <c r="L219" s="2">
        <v>4.0</v>
      </c>
      <c r="M219" s="2">
        <v>-18.0</v>
      </c>
      <c r="N219" s="2">
        <v>1.0</v>
      </c>
      <c r="O219" s="2">
        <v>0.0</v>
      </c>
      <c r="P219" s="2">
        <v>478.0</v>
      </c>
      <c r="Q219" s="2">
        <v>107.0</v>
      </c>
      <c r="R219" s="2">
        <v>11.0</v>
      </c>
      <c r="S219" s="2">
        <v>-25.0482907336878</v>
      </c>
      <c r="T219" s="2">
        <v>-9.44758504629135</v>
      </c>
      <c r="U219" s="2">
        <v>0.0</v>
      </c>
      <c r="V219" s="2">
        <v>10.0</v>
      </c>
      <c r="W219" s="2">
        <v>4.0</v>
      </c>
      <c r="X219" s="2">
        <v>3.0</v>
      </c>
      <c r="Y219" s="2">
        <v>0.0</v>
      </c>
      <c r="Z219" s="2">
        <v>12.0</v>
      </c>
      <c r="AA219" s="2">
        <v>41.0</v>
      </c>
      <c r="AB219" s="2">
        <v>0.0</v>
      </c>
      <c r="AC219" s="2">
        <v>0.0</v>
      </c>
      <c r="AD219" s="2">
        <v>0.0</v>
      </c>
      <c r="AE219" s="2">
        <v>2.0</v>
      </c>
      <c r="AF219" s="2">
        <v>1.5655925021274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28.0</v>
      </c>
      <c r="AM219" s="2">
        <v>50.0</v>
      </c>
      <c r="AN219" s="2">
        <v>228.0</v>
      </c>
      <c r="AO219" s="2">
        <v>1.0</v>
      </c>
      <c r="AP219" s="2">
        <v>1.0</v>
      </c>
      <c r="AQ219" s="2">
        <v>1.0</v>
      </c>
      <c r="AR219" s="2">
        <v>478.0</v>
      </c>
      <c r="AS219" s="2">
        <v>107.0</v>
      </c>
      <c r="AT219" s="2">
        <v>11.0</v>
      </c>
      <c r="AU219" s="2">
        <v>-24.8025732876009</v>
      </c>
      <c r="AV219" s="2">
        <v>0.0</v>
      </c>
      <c r="AW219" s="2">
        <v>10.0</v>
      </c>
      <c r="AX219" s="2">
        <v>4.0</v>
      </c>
      <c r="AY219" s="2">
        <v>3.0</v>
      </c>
      <c r="AZ219" s="2">
        <v>0.0</v>
      </c>
      <c r="BA219" s="2">
        <v>0.0</v>
      </c>
      <c r="BB219" s="2">
        <v>35.0</v>
      </c>
      <c r="BC219" s="2">
        <v>3.0</v>
      </c>
      <c r="BD219" s="2">
        <v>39.0</v>
      </c>
      <c r="BE219" s="2">
        <v>7.0</v>
      </c>
      <c r="BF219" s="2">
        <v>33.0</v>
      </c>
      <c r="BG219" s="2">
        <v>1.0</v>
      </c>
      <c r="BH219" s="2">
        <v>4.0</v>
      </c>
      <c r="BI219" s="2">
        <v>26.0</v>
      </c>
      <c r="BJ219" s="2">
        <v>9.0</v>
      </c>
      <c r="BK219" s="2">
        <v>1.0</v>
      </c>
      <c r="BL219" s="2">
        <v>13.0</v>
      </c>
      <c r="BM219" s="2">
        <v>2.0</v>
      </c>
      <c r="BN219" s="2">
        <v>0.0</v>
      </c>
      <c r="BO219" s="2">
        <v>0.0</v>
      </c>
      <c r="BP219" s="2">
        <v>0.0</v>
      </c>
      <c r="BQ219" s="2">
        <v>0.0</v>
      </c>
      <c r="BR219" s="2">
        <v>1.0</v>
      </c>
      <c r="BS219" s="2">
        <v>0.0</v>
      </c>
      <c r="BT219" s="2">
        <v>1.0</v>
      </c>
      <c r="BU219" s="2">
        <v>0.0</v>
      </c>
      <c r="BV219" s="2">
        <v>0.0</v>
      </c>
      <c r="BW219" s="2">
        <v>6.0</v>
      </c>
      <c r="BX219" s="2">
        <v>35.0</v>
      </c>
      <c r="BY219" s="2">
        <v>5.0</v>
      </c>
      <c r="BZ219" s="2">
        <v>2.0</v>
      </c>
      <c r="CA219" s="2">
        <v>0.0</v>
      </c>
      <c r="CB219" s="2">
        <v>0.0</v>
      </c>
      <c r="CC219" s="2">
        <v>2.0</v>
      </c>
      <c r="CD219" s="2">
        <v>1.0</v>
      </c>
      <c r="CE219" s="2">
        <v>3.0</v>
      </c>
      <c r="CF219" s="2">
        <v>34.0</v>
      </c>
      <c r="CG219" s="2">
        <v>4.0</v>
      </c>
      <c r="CH219" s="2">
        <v>95.0</v>
      </c>
      <c r="CI219" s="2">
        <v>1.0</v>
      </c>
      <c r="CJ219" s="2">
        <v>1.0</v>
      </c>
      <c r="CK219" s="2">
        <v>0.0</v>
      </c>
      <c r="CL219" s="2">
        <v>0.0</v>
      </c>
      <c r="CM219" s="2">
        <v>53.0</v>
      </c>
      <c r="CN219" s="2">
        <v>1.0</v>
      </c>
      <c r="CO219" s="2">
        <v>0.0</v>
      </c>
      <c r="CP219" s="2">
        <v>0.0</v>
      </c>
      <c r="CQ219" s="2">
        <v>0.0</v>
      </c>
      <c r="CR219" s="2">
        <v>0.0</v>
      </c>
      <c r="CS219" s="2">
        <v>1.0</v>
      </c>
      <c r="CT219" s="2">
        <v>0.0</v>
      </c>
      <c r="CU219" s="2">
        <v>0.0</v>
      </c>
      <c r="CV219" s="2">
        <v>0.0</v>
      </c>
      <c r="CW219" s="2">
        <v>0.0</v>
      </c>
      <c r="CX219" s="2">
        <v>0.0</v>
      </c>
      <c r="CY219" s="2">
        <v>0.0</v>
      </c>
      <c r="CZ219" s="2">
        <v>0.0</v>
      </c>
      <c r="DA219" s="2" t="s">
        <v>2072</v>
      </c>
      <c r="DD219" s="2">
        <v>53.0</v>
      </c>
      <c r="DE219" s="2">
        <v>0.0</v>
      </c>
      <c r="DF219" s="2">
        <v>0.0</v>
      </c>
      <c r="DG219" s="2">
        <v>0.0</v>
      </c>
      <c r="DH219" s="2">
        <v>0.0</v>
      </c>
      <c r="DI219" s="2">
        <v>0.0</v>
      </c>
      <c r="DJ219" s="2">
        <v>0.0</v>
      </c>
      <c r="DL219" s="2">
        <v>0.0</v>
      </c>
      <c r="DM219" s="2">
        <v>0.0</v>
      </c>
      <c r="DN219" s="2">
        <v>0.0</v>
      </c>
      <c r="DO219" s="2">
        <v>0.0</v>
      </c>
      <c r="DP219" s="2">
        <v>0.0</v>
      </c>
      <c r="DQ219" s="2">
        <v>6.0</v>
      </c>
      <c r="DR219" s="2">
        <v>0.0</v>
      </c>
      <c r="DS219" s="2">
        <v>52.0</v>
      </c>
      <c r="DT219" s="2">
        <v>263.0</v>
      </c>
      <c r="DU219" s="2">
        <v>4.0</v>
      </c>
      <c r="DV219" s="2">
        <v>1.0</v>
      </c>
      <c r="DW219" s="2">
        <v>0.0</v>
      </c>
      <c r="DX219" s="2">
        <v>0.0</v>
      </c>
      <c r="DY219" s="2">
        <v>5.0</v>
      </c>
      <c r="DZ219" s="2">
        <v>0.0</v>
      </c>
      <c r="EA219" s="2">
        <v>0.0</v>
      </c>
      <c r="EB219" s="2">
        <v>0.0</v>
      </c>
      <c r="EC219" s="2">
        <v>263.0</v>
      </c>
      <c r="EE219" s="2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2">
        <v>2025.0</v>
      </c>
      <c r="B220" s="2">
        <v>7.0</v>
      </c>
      <c r="C220" s="2" t="s">
        <v>250</v>
      </c>
      <c r="D220" s="2" t="s">
        <v>390</v>
      </c>
      <c r="E220" s="2" t="s">
        <v>797</v>
      </c>
      <c r="F220" s="2" t="s">
        <v>145</v>
      </c>
      <c r="G220" s="2">
        <v>25.0</v>
      </c>
      <c r="H220" s="2">
        <v>34.0</v>
      </c>
      <c r="I220" s="2">
        <v>255.0</v>
      </c>
      <c r="J220" s="2">
        <v>1.0</v>
      </c>
      <c r="K220" s="2">
        <v>1.0</v>
      </c>
      <c r="L220" s="2">
        <v>5.0</v>
      </c>
      <c r="M220" s="2">
        <v>-39.0</v>
      </c>
      <c r="N220" s="2">
        <v>1.0</v>
      </c>
      <c r="O220" s="2">
        <v>1.0</v>
      </c>
      <c r="P220" s="2">
        <v>226.0</v>
      </c>
      <c r="Q220" s="2">
        <v>132.0</v>
      </c>
      <c r="R220" s="2">
        <v>14.0</v>
      </c>
      <c r="S220" s="2">
        <v>-11.7426847642542</v>
      </c>
      <c r="T220" s="2">
        <v>6.66589001193643</v>
      </c>
      <c r="U220" s="2">
        <v>0.0</v>
      </c>
      <c r="V220" s="2">
        <v>12.0</v>
      </c>
      <c r="W220" s="2">
        <v>3.0</v>
      </c>
      <c r="X220" s="2">
        <v>2.0</v>
      </c>
      <c r="Y220" s="2">
        <v>0.0</v>
      </c>
      <c r="Z220" s="2">
        <v>12.0</v>
      </c>
      <c r="AA220" s="2">
        <v>39.0</v>
      </c>
      <c r="AB220" s="2">
        <v>0.0</v>
      </c>
      <c r="AC220" s="2">
        <v>0.0</v>
      </c>
      <c r="AD220" s="2">
        <v>0.0</v>
      </c>
      <c r="AE220" s="2">
        <v>1.0</v>
      </c>
      <c r="AF220" s="2">
        <v>-2.75083704659482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25.0</v>
      </c>
      <c r="AM220" s="2">
        <v>32.0</v>
      </c>
      <c r="AN220" s="2">
        <v>255.0</v>
      </c>
      <c r="AO220" s="2">
        <v>1.0</v>
      </c>
      <c r="AP220" s="2">
        <v>0.0</v>
      </c>
      <c r="AQ220" s="2">
        <v>0.0</v>
      </c>
      <c r="AR220" s="2">
        <v>226.0</v>
      </c>
      <c r="AS220" s="2">
        <v>132.0</v>
      </c>
      <c r="AT220" s="2">
        <v>14.0</v>
      </c>
      <c r="AU220" s="2">
        <v>5.94510837920541</v>
      </c>
      <c r="AV220" s="2">
        <v>0.0</v>
      </c>
      <c r="AW220" s="2">
        <v>12.0</v>
      </c>
      <c r="AX220" s="2">
        <v>3.0</v>
      </c>
      <c r="AY220" s="2">
        <v>2.0</v>
      </c>
      <c r="AZ220" s="2">
        <v>0.0</v>
      </c>
      <c r="BA220" s="2">
        <v>0.0</v>
      </c>
      <c r="BB220" s="2">
        <v>41.0</v>
      </c>
      <c r="BC220" s="2">
        <v>1.0</v>
      </c>
      <c r="BD220" s="2">
        <v>35.0</v>
      </c>
      <c r="BE220" s="2">
        <v>6.0</v>
      </c>
      <c r="BF220" s="2">
        <v>27.0</v>
      </c>
      <c r="BG220" s="2">
        <v>0.0</v>
      </c>
      <c r="BH220" s="2">
        <v>4.0</v>
      </c>
      <c r="BI220" s="2">
        <v>22.0</v>
      </c>
      <c r="BJ220" s="2">
        <v>4.0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0.0</v>
      </c>
      <c r="BV220" s="2">
        <v>0.0</v>
      </c>
      <c r="BW220" s="2">
        <v>3.0</v>
      </c>
      <c r="BX220" s="2">
        <v>15.0</v>
      </c>
      <c r="BY220" s="2">
        <v>3.0</v>
      </c>
      <c r="BZ220" s="2">
        <v>0.0</v>
      </c>
      <c r="CA220" s="2">
        <v>1.0</v>
      </c>
      <c r="CB220" s="2">
        <v>0.0</v>
      </c>
      <c r="CC220" s="2">
        <v>1.0</v>
      </c>
      <c r="CD220" s="2">
        <v>1.0</v>
      </c>
      <c r="CE220" s="2">
        <v>1.0</v>
      </c>
      <c r="CF220" s="2">
        <v>15.0</v>
      </c>
      <c r="CG220" s="2">
        <v>3.0</v>
      </c>
      <c r="CH220" s="2">
        <v>84.0</v>
      </c>
      <c r="CI220" s="2">
        <v>2.0</v>
      </c>
      <c r="CJ220" s="2">
        <v>2.0</v>
      </c>
      <c r="CK220" s="2">
        <v>0.0</v>
      </c>
      <c r="CL220" s="2">
        <v>0.0</v>
      </c>
      <c r="CM220" s="2">
        <v>50.0</v>
      </c>
      <c r="CN220" s="2">
        <v>1.0</v>
      </c>
      <c r="CO220" s="2">
        <v>0.0</v>
      </c>
      <c r="CP220" s="2">
        <v>0.0</v>
      </c>
      <c r="CQ220" s="2">
        <v>0.0</v>
      </c>
      <c r="CR220" s="2">
        <v>1.0</v>
      </c>
      <c r="CS220" s="2">
        <v>1.0</v>
      </c>
      <c r="CT220" s="2">
        <v>0.0</v>
      </c>
      <c r="CU220" s="2">
        <v>0.0</v>
      </c>
      <c r="CV220" s="2">
        <v>0.0</v>
      </c>
      <c r="CW220" s="2">
        <v>0.0</v>
      </c>
      <c r="CX220" s="2">
        <v>0.0</v>
      </c>
      <c r="CY220" s="2">
        <v>0.0</v>
      </c>
      <c r="CZ220" s="2">
        <v>0.0</v>
      </c>
      <c r="DA220" s="2" t="s">
        <v>2120</v>
      </c>
      <c r="DD220" s="2">
        <v>99.0</v>
      </c>
      <c r="DE220" s="2">
        <v>0.0</v>
      </c>
      <c r="DF220" s="2">
        <v>0.0</v>
      </c>
      <c r="DG220" s="2">
        <v>1.0</v>
      </c>
      <c r="DH220" s="2">
        <v>1.0</v>
      </c>
      <c r="DI220" s="2">
        <v>0.0</v>
      </c>
      <c r="DJ220" s="2">
        <v>0.0</v>
      </c>
      <c r="DK220" s="2">
        <v>1.0</v>
      </c>
      <c r="DL220" s="2">
        <v>0.0</v>
      </c>
      <c r="DM220" s="2">
        <v>0.0</v>
      </c>
      <c r="DN220" s="2">
        <v>0.0</v>
      </c>
      <c r="DO220" s="2">
        <v>0.0</v>
      </c>
      <c r="DP220" s="2">
        <v>0.0</v>
      </c>
      <c r="DQ220" s="2">
        <v>3.0</v>
      </c>
      <c r="DR220" s="2">
        <v>0.0</v>
      </c>
      <c r="DS220" s="2">
        <v>53.0</v>
      </c>
      <c r="DT220" s="2">
        <v>122.0</v>
      </c>
      <c r="DU220" s="2">
        <v>2.0</v>
      </c>
      <c r="DV220" s="2">
        <v>0.0</v>
      </c>
      <c r="DW220" s="2">
        <v>2.0</v>
      </c>
      <c r="DX220" s="2">
        <v>0.0</v>
      </c>
      <c r="DY220" s="2">
        <v>1.0</v>
      </c>
      <c r="DZ220" s="2">
        <v>0.0</v>
      </c>
      <c r="EA220" s="2">
        <v>0.0</v>
      </c>
      <c r="EB220" s="2">
        <v>0.0</v>
      </c>
      <c r="EC220" s="2">
        <v>122.0</v>
      </c>
      <c r="EE220" s="2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2">
        <v>2025.0</v>
      </c>
      <c r="B221" s="2">
        <v>7.0</v>
      </c>
      <c r="C221" s="2" t="s">
        <v>253</v>
      </c>
      <c r="D221" s="2" t="s">
        <v>390</v>
      </c>
      <c r="E221" s="2" t="s">
        <v>805</v>
      </c>
      <c r="F221" s="2" t="s">
        <v>146</v>
      </c>
      <c r="G221" s="2">
        <v>16.0</v>
      </c>
      <c r="H221" s="2">
        <v>32.0</v>
      </c>
      <c r="I221" s="2">
        <v>219.0</v>
      </c>
      <c r="J221" s="2">
        <v>1.0</v>
      </c>
      <c r="K221" s="2">
        <v>1.0</v>
      </c>
      <c r="L221" s="2">
        <v>4.0</v>
      </c>
      <c r="M221" s="2">
        <v>-14.0</v>
      </c>
      <c r="N221" s="2">
        <v>1.0</v>
      </c>
      <c r="O221" s="2">
        <v>1.0</v>
      </c>
      <c r="P221" s="2">
        <v>316.0</v>
      </c>
      <c r="Q221" s="2">
        <v>88.0</v>
      </c>
      <c r="R221" s="2">
        <v>8.0</v>
      </c>
      <c r="S221" s="2">
        <v>-19.9549311112496</v>
      </c>
      <c r="T221" s="2">
        <v>-11.9037194598106</v>
      </c>
      <c r="U221" s="2">
        <v>0.0</v>
      </c>
      <c r="V221" s="2">
        <v>9.0</v>
      </c>
      <c r="W221" s="2">
        <v>4.0</v>
      </c>
      <c r="X221" s="2">
        <v>3.0</v>
      </c>
      <c r="Y221" s="2">
        <v>1.0</v>
      </c>
      <c r="Z221" s="2">
        <v>28.0</v>
      </c>
      <c r="AA221" s="2">
        <v>136.0</v>
      </c>
      <c r="AB221" s="2">
        <v>2.0</v>
      </c>
      <c r="AC221" s="2">
        <v>0.0</v>
      </c>
      <c r="AD221" s="2">
        <v>0.0</v>
      </c>
      <c r="AE221" s="2">
        <v>8.0</v>
      </c>
      <c r="AF221" s="2">
        <v>5.79099340828555</v>
      </c>
      <c r="AG221" s="2">
        <v>0.0</v>
      </c>
      <c r="AH221" s="2">
        <v>3.0</v>
      </c>
      <c r="AI221" s="2">
        <v>3.0</v>
      </c>
      <c r="AJ221" s="2">
        <v>1.0</v>
      </c>
      <c r="AK221" s="2">
        <v>0.0</v>
      </c>
      <c r="AL221" s="2">
        <v>16.0</v>
      </c>
      <c r="AM221" s="2">
        <v>31.0</v>
      </c>
      <c r="AN221" s="2">
        <v>219.0</v>
      </c>
      <c r="AO221" s="2">
        <v>1.0</v>
      </c>
      <c r="AP221" s="2">
        <v>0.0</v>
      </c>
      <c r="AQ221" s="2">
        <v>0.0</v>
      </c>
      <c r="AR221" s="2">
        <v>316.0</v>
      </c>
      <c r="AS221" s="2">
        <v>88.0</v>
      </c>
      <c r="AT221" s="2">
        <v>8.0</v>
      </c>
      <c r="AU221" s="2">
        <v>-9.88333291443996</v>
      </c>
      <c r="AV221" s="2">
        <v>0.0</v>
      </c>
      <c r="AW221" s="2">
        <v>9.0</v>
      </c>
      <c r="AX221" s="2">
        <v>4.0</v>
      </c>
      <c r="AY221" s="2">
        <v>3.0</v>
      </c>
      <c r="AZ221" s="2">
        <v>1.0</v>
      </c>
      <c r="BA221" s="2">
        <v>0.0</v>
      </c>
      <c r="BB221" s="2">
        <v>30.0</v>
      </c>
      <c r="BC221" s="2">
        <v>3.0</v>
      </c>
      <c r="BD221" s="2">
        <v>37.0</v>
      </c>
      <c r="BE221" s="2">
        <v>3.0</v>
      </c>
      <c r="BF221" s="2">
        <v>5.0</v>
      </c>
      <c r="BG221" s="2">
        <v>0.0</v>
      </c>
      <c r="BH221" s="2">
        <v>1.0</v>
      </c>
      <c r="BI221" s="2">
        <v>7.0</v>
      </c>
      <c r="BJ221" s="2">
        <v>5.0</v>
      </c>
      <c r="BK221" s="2">
        <v>0.0</v>
      </c>
      <c r="BL221" s="2">
        <v>0.0</v>
      </c>
      <c r="BM221" s="2">
        <v>7.0</v>
      </c>
      <c r="BN221" s="2">
        <v>0.0</v>
      </c>
      <c r="BO221" s="2">
        <v>0.0</v>
      </c>
      <c r="BP221" s="2">
        <v>1.0</v>
      </c>
      <c r="BQ221" s="2">
        <v>0.0</v>
      </c>
      <c r="BR221" s="2">
        <v>0.0</v>
      </c>
      <c r="BS221" s="2">
        <v>0.0</v>
      </c>
      <c r="BT221" s="2">
        <v>0.0</v>
      </c>
      <c r="BU221" s="2">
        <v>0.0</v>
      </c>
      <c r="BV221" s="2">
        <v>0.0</v>
      </c>
      <c r="BW221" s="2">
        <v>11.0</v>
      </c>
      <c r="BX221" s="2">
        <v>118.0</v>
      </c>
      <c r="BY221" s="2">
        <v>1.0</v>
      </c>
      <c r="BZ221" s="2">
        <v>1.0</v>
      </c>
      <c r="CA221" s="2">
        <v>0.0</v>
      </c>
      <c r="CB221" s="2">
        <v>0.0</v>
      </c>
      <c r="CC221" s="2">
        <v>1.0</v>
      </c>
      <c r="CD221" s="2">
        <v>1.0</v>
      </c>
      <c r="CE221" s="2">
        <v>1.0</v>
      </c>
      <c r="CF221" s="2">
        <v>8.0</v>
      </c>
      <c r="CG221" s="2">
        <v>8.0</v>
      </c>
      <c r="CH221" s="2">
        <v>209.0</v>
      </c>
      <c r="CI221" s="2">
        <v>0.0</v>
      </c>
      <c r="CJ221" s="2">
        <v>0.0</v>
      </c>
      <c r="CK221" s="2">
        <v>0.0</v>
      </c>
      <c r="CL221" s="2">
        <v>0.0</v>
      </c>
      <c r="CO221" s="2">
        <v>0.0</v>
      </c>
      <c r="CP221" s="2">
        <v>0.0</v>
      </c>
      <c r="CQ221" s="2">
        <v>0.0</v>
      </c>
      <c r="CR221" s="2">
        <v>0.0</v>
      </c>
      <c r="CS221" s="2">
        <v>0.0</v>
      </c>
      <c r="CT221" s="2">
        <v>0.0</v>
      </c>
      <c r="CU221" s="2">
        <v>0.0</v>
      </c>
      <c r="CV221" s="2">
        <v>0.0</v>
      </c>
      <c r="CW221" s="2">
        <v>0.0</v>
      </c>
      <c r="CX221" s="2">
        <v>0.0</v>
      </c>
      <c r="CY221" s="2">
        <v>0.0</v>
      </c>
      <c r="CZ221" s="2">
        <v>0.0</v>
      </c>
      <c r="DD221" s="2">
        <v>0.0</v>
      </c>
      <c r="DE221" s="2">
        <v>0.0</v>
      </c>
      <c r="DF221" s="2">
        <v>0.0</v>
      </c>
      <c r="DG221" s="2">
        <v>2.0</v>
      </c>
      <c r="DH221" s="2">
        <v>2.0</v>
      </c>
      <c r="DI221" s="2">
        <v>0.0</v>
      </c>
      <c r="DJ221" s="2">
        <v>0.0</v>
      </c>
      <c r="DK221" s="2">
        <v>1.0</v>
      </c>
      <c r="DL221" s="2">
        <v>0.0</v>
      </c>
      <c r="DM221" s="2">
        <v>0.0</v>
      </c>
      <c r="DN221" s="2">
        <v>0.0</v>
      </c>
      <c r="DO221" s="2">
        <v>0.0</v>
      </c>
      <c r="DP221" s="2">
        <v>0.0</v>
      </c>
      <c r="DQ221" s="2">
        <v>5.0</v>
      </c>
      <c r="DR221" s="2">
        <v>0.0</v>
      </c>
      <c r="DS221" s="2">
        <v>60.0</v>
      </c>
      <c r="DT221" s="2">
        <v>286.0</v>
      </c>
      <c r="DU221" s="2">
        <v>1.0</v>
      </c>
      <c r="DV221" s="2">
        <v>0.0</v>
      </c>
      <c r="DW221" s="2">
        <v>2.0</v>
      </c>
      <c r="DX221" s="2">
        <v>1.0</v>
      </c>
      <c r="DY221" s="2">
        <v>0.0</v>
      </c>
      <c r="DZ221" s="2">
        <v>2.0</v>
      </c>
      <c r="EA221" s="2">
        <v>4.0</v>
      </c>
      <c r="EB221" s="2">
        <v>0.0</v>
      </c>
      <c r="EC221" s="2">
        <v>262.0</v>
      </c>
      <c r="EE221" s="2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2">
        <v>2025.0</v>
      </c>
      <c r="B222" s="2">
        <v>8.0</v>
      </c>
      <c r="C222" s="2" t="s">
        <v>132</v>
      </c>
      <c r="D222" s="2" t="s">
        <v>390</v>
      </c>
      <c r="E222" s="2" t="s">
        <v>817</v>
      </c>
      <c r="F222" s="2" t="s">
        <v>225</v>
      </c>
      <c r="G222" s="2">
        <v>21.0</v>
      </c>
      <c r="H222" s="2">
        <v>31.0</v>
      </c>
      <c r="I222" s="2">
        <v>173.0</v>
      </c>
      <c r="J222" s="2">
        <v>0.0</v>
      </c>
      <c r="K222" s="2">
        <v>0.0</v>
      </c>
      <c r="L222" s="2">
        <v>1.0</v>
      </c>
      <c r="M222" s="2">
        <v>-5.0</v>
      </c>
      <c r="N222" s="2">
        <v>0.0</v>
      </c>
      <c r="O222" s="2">
        <v>0.0</v>
      </c>
      <c r="P222" s="2">
        <v>285.0</v>
      </c>
      <c r="Q222" s="2">
        <v>75.0</v>
      </c>
      <c r="R222" s="2">
        <v>7.0</v>
      </c>
      <c r="S222" s="2">
        <v>-5.86792896379484</v>
      </c>
      <c r="T222" s="2">
        <v>2.47102707624435</v>
      </c>
      <c r="U222" s="2">
        <v>0.0</v>
      </c>
      <c r="V222" s="2">
        <v>6.0</v>
      </c>
      <c r="W222" s="2">
        <v>4.0</v>
      </c>
      <c r="X222" s="2">
        <v>2.0</v>
      </c>
      <c r="Y222" s="2">
        <v>0.0</v>
      </c>
      <c r="Z222" s="2">
        <v>17.0</v>
      </c>
      <c r="AA222" s="2">
        <v>45.0</v>
      </c>
      <c r="AB222" s="2">
        <v>1.0</v>
      </c>
      <c r="AC222" s="2">
        <v>1.0</v>
      </c>
      <c r="AD222" s="2">
        <v>1.0</v>
      </c>
      <c r="AE222" s="2">
        <v>3.0</v>
      </c>
      <c r="AF222" s="2">
        <v>-10.5020743981486</v>
      </c>
      <c r="AG222" s="2">
        <v>0.0</v>
      </c>
      <c r="AH222" s="2">
        <v>1.0</v>
      </c>
      <c r="AI222" s="2">
        <v>1.0</v>
      </c>
      <c r="AJ222" s="2">
        <v>0.0</v>
      </c>
      <c r="AK222" s="2">
        <v>0.0</v>
      </c>
      <c r="AL222" s="2">
        <v>21.0</v>
      </c>
      <c r="AM222" s="2">
        <v>30.0</v>
      </c>
      <c r="AN222" s="2">
        <v>173.0</v>
      </c>
      <c r="AO222" s="2">
        <v>0.0</v>
      </c>
      <c r="AP222" s="2">
        <v>0.0</v>
      </c>
      <c r="AQ222" s="2">
        <v>0.0</v>
      </c>
      <c r="AR222" s="2">
        <v>285.0</v>
      </c>
      <c r="AS222" s="2">
        <v>75.0</v>
      </c>
      <c r="AT222" s="2">
        <v>7.0</v>
      </c>
      <c r="AU222" s="2">
        <v>-2.49653515830869</v>
      </c>
      <c r="AV222" s="2">
        <v>0.0</v>
      </c>
      <c r="AW222" s="2">
        <v>6.0</v>
      </c>
      <c r="AX222" s="2">
        <v>4.0</v>
      </c>
      <c r="AY222" s="2">
        <v>2.0</v>
      </c>
      <c r="AZ222" s="2">
        <v>0.0</v>
      </c>
      <c r="BA222" s="2">
        <v>0.0</v>
      </c>
      <c r="BB222" s="2">
        <v>38.0</v>
      </c>
      <c r="BC222" s="2">
        <v>2.0</v>
      </c>
      <c r="BD222" s="2">
        <v>42.0</v>
      </c>
      <c r="BE222" s="2">
        <v>5.0</v>
      </c>
      <c r="BF222" s="2">
        <v>16.0</v>
      </c>
      <c r="BG222" s="2">
        <v>0.0</v>
      </c>
      <c r="BH222" s="2">
        <v>1.0</v>
      </c>
      <c r="BI222" s="2">
        <v>8.0</v>
      </c>
      <c r="BJ222" s="2">
        <v>2.0</v>
      </c>
      <c r="BK222" s="2">
        <v>0.0</v>
      </c>
      <c r="BL222" s="2">
        <v>0.0</v>
      </c>
      <c r="BM222" s="2">
        <v>3.0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0.0</v>
      </c>
      <c r="BU222" s="2">
        <v>0.0</v>
      </c>
      <c r="BV222" s="2">
        <v>0.0</v>
      </c>
      <c r="BW222" s="2">
        <v>8.0</v>
      </c>
      <c r="BX222" s="2">
        <v>76.0</v>
      </c>
      <c r="BY222" s="2">
        <v>1.0</v>
      </c>
      <c r="BZ222" s="2">
        <v>0.0</v>
      </c>
      <c r="CA222" s="2">
        <v>1.0</v>
      </c>
      <c r="CB222" s="2">
        <v>0.0</v>
      </c>
      <c r="CC222" s="2">
        <v>1.0</v>
      </c>
      <c r="CD222" s="2">
        <v>1.0</v>
      </c>
      <c r="CE222" s="2">
        <v>2.0</v>
      </c>
      <c r="CF222" s="2">
        <v>11.0</v>
      </c>
      <c r="CG222" s="2">
        <v>6.0</v>
      </c>
      <c r="CH222" s="2">
        <v>131.0</v>
      </c>
      <c r="CI222" s="2">
        <v>1.0</v>
      </c>
      <c r="CJ222" s="2">
        <v>1.0</v>
      </c>
      <c r="CK222" s="2">
        <v>0.0</v>
      </c>
      <c r="CL222" s="2">
        <v>0.0</v>
      </c>
      <c r="CM222" s="2">
        <v>45.0</v>
      </c>
      <c r="CN222" s="2">
        <v>1.0</v>
      </c>
      <c r="CO222" s="2">
        <v>0.0</v>
      </c>
      <c r="CP222" s="2">
        <v>0.0</v>
      </c>
      <c r="CQ222" s="2">
        <v>0.0</v>
      </c>
      <c r="CR222" s="2">
        <v>1.0</v>
      </c>
      <c r="CS222" s="2">
        <v>0.0</v>
      </c>
      <c r="CT222" s="2">
        <v>0.0</v>
      </c>
      <c r="CU222" s="2">
        <v>0.0</v>
      </c>
      <c r="CV222" s="2">
        <v>0.0</v>
      </c>
      <c r="CW222" s="2">
        <v>0.0</v>
      </c>
      <c r="CX222" s="2">
        <v>0.0</v>
      </c>
      <c r="CY222" s="2">
        <v>0.0</v>
      </c>
      <c r="CZ222" s="2">
        <v>0.0</v>
      </c>
      <c r="DA222" s="2" t="s">
        <v>1969</v>
      </c>
      <c r="DD222" s="2">
        <v>45.0</v>
      </c>
      <c r="DE222" s="2">
        <v>0.0</v>
      </c>
      <c r="DF222" s="2">
        <v>0.0</v>
      </c>
      <c r="DG222" s="2">
        <v>1.0</v>
      </c>
      <c r="DH222" s="2">
        <v>1.0</v>
      </c>
      <c r="DI222" s="2">
        <v>0.0</v>
      </c>
      <c r="DJ222" s="2">
        <v>0.0</v>
      </c>
      <c r="DK222" s="2">
        <v>1.0</v>
      </c>
      <c r="DL222" s="2">
        <v>0.0</v>
      </c>
      <c r="DM222" s="2">
        <v>0.0</v>
      </c>
      <c r="DN222" s="2">
        <v>0.0</v>
      </c>
      <c r="DO222" s="2">
        <v>0.0</v>
      </c>
      <c r="DP222" s="2">
        <v>0.0</v>
      </c>
      <c r="DQ222" s="2">
        <v>4.0</v>
      </c>
      <c r="DR222" s="2">
        <v>0.0</v>
      </c>
      <c r="DS222" s="2">
        <v>52.0</v>
      </c>
      <c r="DT222" s="2">
        <v>185.0</v>
      </c>
      <c r="DU222" s="2">
        <v>2.0</v>
      </c>
      <c r="DV222" s="2">
        <v>1.0</v>
      </c>
      <c r="DW222" s="2">
        <v>0.0</v>
      </c>
      <c r="DX222" s="2">
        <v>0.0</v>
      </c>
      <c r="DY222" s="2">
        <v>1.0</v>
      </c>
      <c r="DZ222" s="2">
        <v>2.0</v>
      </c>
      <c r="EA222" s="2">
        <v>9.0</v>
      </c>
      <c r="EB222" s="2">
        <v>0.0</v>
      </c>
      <c r="EC222" s="2">
        <v>176.0</v>
      </c>
      <c r="EE222" s="2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2">
        <v>2025.0</v>
      </c>
      <c r="B223" s="2">
        <v>8.0</v>
      </c>
      <c r="C223" s="2" t="s">
        <v>148</v>
      </c>
      <c r="D223" s="2" t="s">
        <v>390</v>
      </c>
      <c r="E223" s="2" t="s">
        <v>822</v>
      </c>
      <c r="F223" s="2" t="s">
        <v>137</v>
      </c>
      <c r="G223" s="2">
        <v>17.0</v>
      </c>
      <c r="H223" s="2">
        <v>22.0</v>
      </c>
      <c r="I223" s="2">
        <v>186.0</v>
      </c>
      <c r="J223" s="2">
        <v>1.0</v>
      </c>
      <c r="K223" s="2">
        <v>0.0</v>
      </c>
      <c r="L223" s="2">
        <v>2.0</v>
      </c>
      <c r="M223" s="2">
        <v>-8.0</v>
      </c>
      <c r="N223" s="2">
        <v>0.0</v>
      </c>
      <c r="O223" s="2">
        <v>0.0</v>
      </c>
      <c r="P223" s="2">
        <v>209.0</v>
      </c>
      <c r="Q223" s="2">
        <v>42.0</v>
      </c>
      <c r="R223" s="2">
        <v>8.0</v>
      </c>
      <c r="S223" s="2">
        <v>5.31554328100417</v>
      </c>
      <c r="T223" s="2">
        <v>10.7207254929976</v>
      </c>
      <c r="U223" s="2">
        <v>0.0</v>
      </c>
      <c r="V223" s="2">
        <v>7.0</v>
      </c>
      <c r="W223" s="2">
        <v>3.0</v>
      </c>
      <c r="X223" s="2">
        <v>3.0</v>
      </c>
      <c r="Y223" s="2">
        <v>0.0</v>
      </c>
      <c r="Z223" s="2">
        <v>35.0</v>
      </c>
      <c r="AA223" s="2">
        <v>177.0</v>
      </c>
      <c r="AB223" s="2">
        <v>2.0</v>
      </c>
      <c r="AC223" s="2">
        <v>0.0</v>
      </c>
      <c r="AD223" s="2">
        <v>0.0</v>
      </c>
      <c r="AE223" s="2">
        <v>13.0</v>
      </c>
      <c r="AF223" s="2">
        <v>7.37047940219054</v>
      </c>
      <c r="AG223" s="2">
        <v>0.0</v>
      </c>
      <c r="AH223" s="2">
        <v>6.0</v>
      </c>
      <c r="AI223" s="2">
        <v>3.0</v>
      </c>
      <c r="AJ223" s="2">
        <v>2.0</v>
      </c>
      <c r="AK223" s="2">
        <v>0.0</v>
      </c>
      <c r="AL223" s="2">
        <v>17.0</v>
      </c>
      <c r="AM223" s="2">
        <v>22.0</v>
      </c>
      <c r="AN223" s="2">
        <v>186.0</v>
      </c>
      <c r="AO223" s="2">
        <v>1.0</v>
      </c>
      <c r="AP223" s="2">
        <v>1.0</v>
      </c>
      <c r="AQ223" s="2">
        <v>0.0</v>
      </c>
      <c r="AR223" s="2">
        <v>209.0</v>
      </c>
      <c r="AS223" s="2">
        <v>42.0</v>
      </c>
      <c r="AT223" s="2">
        <v>8.0</v>
      </c>
      <c r="AU223" s="2">
        <v>7.5606943835745</v>
      </c>
      <c r="AV223" s="2">
        <v>0.0</v>
      </c>
      <c r="AW223" s="2">
        <v>7.0</v>
      </c>
      <c r="AX223" s="2">
        <v>3.0</v>
      </c>
      <c r="AY223" s="2">
        <v>3.0</v>
      </c>
      <c r="AZ223" s="2">
        <v>0.0</v>
      </c>
      <c r="BA223" s="2">
        <v>0.0</v>
      </c>
      <c r="BB223" s="2">
        <v>42.0</v>
      </c>
      <c r="BC223" s="2">
        <v>2.0</v>
      </c>
      <c r="BD223" s="2">
        <v>24.0</v>
      </c>
      <c r="BE223" s="2">
        <v>6.0</v>
      </c>
      <c r="BF223" s="2">
        <v>16.0</v>
      </c>
      <c r="BG223" s="2">
        <v>1.0</v>
      </c>
      <c r="BH223" s="2">
        <v>1.0</v>
      </c>
      <c r="BI223" s="2">
        <v>9.0</v>
      </c>
      <c r="BJ223" s="2">
        <v>4.0</v>
      </c>
      <c r="BK223" s="2">
        <v>1.0</v>
      </c>
      <c r="BL223" s="2">
        <v>9.0</v>
      </c>
      <c r="BM223" s="2">
        <v>2.0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6.0</v>
      </c>
      <c r="BX223" s="2">
        <v>45.0</v>
      </c>
      <c r="BY223" s="2">
        <v>2.0</v>
      </c>
      <c r="BZ223" s="2">
        <v>1.0</v>
      </c>
      <c r="CA223" s="2">
        <v>0.0</v>
      </c>
      <c r="CB223" s="2">
        <v>1.0</v>
      </c>
      <c r="CC223" s="2">
        <v>1.0</v>
      </c>
      <c r="CD223" s="2">
        <v>0.0</v>
      </c>
      <c r="CE223" s="2">
        <v>0.0</v>
      </c>
      <c r="CF223" s="2">
        <v>0.0</v>
      </c>
      <c r="CG223" s="2">
        <v>5.0</v>
      </c>
      <c r="CH223" s="2">
        <v>154.0</v>
      </c>
      <c r="CI223" s="2">
        <v>3.0</v>
      </c>
      <c r="CJ223" s="2">
        <v>3.0</v>
      </c>
      <c r="CK223" s="2">
        <v>0.0</v>
      </c>
      <c r="CL223" s="2">
        <v>0.0</v>
      </c>
      <c r="CM223" s="2">
        <v>42.0</v>
      </c>
      <c r="CN223" s="2">
        <v>1.0</v>
      </c>
      <c r="CO223" s="2">
        <v>0.0</v>
      </c>
      <c r="CP223" s="2">
        <v>1.0</v>
      </c>
      <c r="CQ223" s="2">
        <v>1.0</v>
      </c>
      <c r="CR223" s="2">
        <v>1.0</v>
      </c>
      <c r="CS223" s="2">
        <v>0.0</v>
      </c>
      <c r="CT223" s="2">
        <v>0.0</v>
      </c>
      <c r="CU223" s="2">
        <v>0.0</v>
      </c>
      <c r="CV223" s="2">
        <v>0.0</v>
      </c>
      <c r="CW223" s="2">
        <v>0.0</v>
      </c>
      <c r="CX223" s="2">
        <v>0.0</v>
      </c>
      <c r="CY223" s="2">
        <v>0.0</v>
      </c>
      <c r="CZ223" s="2">
        <v>0.0</v>
      </c>
      <c r="DA223" s="2" t="s">
        <v>2121</v>
      </c>
      <c r="DD223" s="2">
        <v>102.0</v>
      </c>
      <c r="DE223" s="2">
        <v>0.0</v>
      </c>
      <c r="DF223" s="2">
        <v>0.0</v>
      </c>
      <c r="DG223" s="2">
        <v>3.0</v>
      </c>
      <c r="DH223" s="2">
        <v>3.0</v>
      </c>
      <c r="DI223" s="2">
        <v>0.0</v>
      </c>
      <c r="DJ223" s="2">
        <v>0.0</v>
      </c>
      <c r="DK223" s="2">
        <v>1.0</v>
      </c>
      <c r="DL223" s="2">
        <v>0.0</v>
      </c>
      <c r="DM223" s="2">
        <v>0.0</v>
      </c>
      <c r="DN223" s="2">
        <v>0.0</v>
      </c>
      <c r="DO223" s="2">
        <v>0.0</v>
      </c>
      <c r="DP223" s="2">
        <v>0.0</v>
      </c>
      <c r="DQ223" s="2">
        <v>2.0</v>
      </c>
      <c r="DR223" s="2">
        <v>0.0</v>
      </c>
      <c r="DS223" s="2">
        <v>55.0</v>
      </c>
      <c r="DT223" s="2">
        <v>95.0</v>
      </c>
      <c r="DU223" s="2">
        <v>2.0</v>
      </c>
      <c r="DV223" s="2">
        <v>0.0</v>
      </c>
      <c r="DW223" s="2">
        <v>1.0</v>
      </c>
      <c r="DX223" s="2">
        <v>0.0</v>
      </c>
      <c r="DY223" s="2">
        <v>0.0</v>
      </c>
      <c r="DZ223" s="2">
        <v>1.0</v>
      </c>
      <c r="EA223" s="2">
        <v>8.0</v>
      </c>
      <c r="EB223" s="2">
        <v>0.0</v>
      </c>
      <c r="EC223" s="2">
        <v>87.0</v>
      </c>
      <c r="EE223" s="2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2">
        <v>2025.0</v>
      </c>
      <c r="B224" s="2">
        <v>8.0</v>
      </c>
      <c r="C224" s="2" t="s">
        <v>136</v>
      </c>
      <c r="D224" s="2" t="s">
        <v>390</v>
      </c>
      <c r="E224" s="2" t="s">
        <v>826</v>
      </c>
      <c r="F224" s="2" t="s">
        <v>189</v>
      </c>
      <c r="G224" s="2">
        <v>14.0</v>
      </c>
      <c r="H224" s="2">
        <v>23.0</v>
      </c>
      <c r="I224" s="2">
        <v>185.0</v>
      </c>
      <c r="J224" s="2">
        <v>1.0</v>
      </c>
      <c r="K224" s="2">
        <v>0.0</v>
      </c>
      <c r="L224" s="2">
        <v>2.0</v>
      </c>
      <c r="M224" s="2">
        <v>-20.0</v>
      </c>
      <c r="N224" s="2">
        <v>0.0</v>
      </c>
      <c r="O224" s="2">
        <v>0.0</v>
      </c>
      <c r="P224" s="2">
        <v>147.0</v>
      </c>
      <c r="Q224" s="2">
        <v>116.0</v>
      </c>
      <c r="R224" s="2">
        <v>10.0</v>
      </c>
      <c r="S224" s="2">
        <v>8.42308842438776</v>
      </c>
      <c r="T224" s="2">
        <v>-9.34573386026465</v>
      </c>
      <c r="U224" s="2">
        <v>0.0</v>
      </c>
      <c r="V224" s="2">
        <v>8.0</v>
      </c>
      <c r="W224" s="2">
        <v>2.0</v>
      </c>
      <c r="X224" s="2">
        <v>2.0</v>
      </c>
      <c r="Y224" s="2">
        <v>1.0</v>
      </c>
      <c r="Z224" s="2">
        <v>35.0</v>
      </c>
      <c r="AA224" s="2">
        <v>245.0</v>
      </c>
      <c r="AB224" s="2">
        <v>4.0</v>
      </c>
      <c r="AC224" s="2">
        <v>0.0</v>
      </c>
      <c r="AD224" s="2">
        <v>0.0</v>
      </c>
      <c r="AE224" s="2">
        <v>12.0</v>
      </c>
      <c r="AF224" s="2">
        <v>12.2070445048448</v>
      </c>
      <c r="AG224" s="2">
        <v>0.0</v>
      </c>
      <c r="AH224" s="2">
        <v>7.0</v>
      </c>
      <c r="AI224" s="2">
        <v>5.0</v>
      </c>
      <c r="AJ224" s="2">
        <v>3.0</v>
      </c>
      <c r="AK224" s="2">
        <v>1.0</v>
      </c>
      <c r="AL224" s="2">
        <v>14.0</v>
      </c>
      <c r="AM224" s="2">
        <v>23.0</v>
      </c>
      <c r="AN224" s="2">
        <v>185.0</v>
      </c>
      <c r="AO224" s="2">
        <v>1.0</v>
      </c>
      <c r="AP224" s="2">
        <v>0.0</v>
      </c>
      <c r="AQ224" s="2">
        <v>0.0</v>
      </c>
      <c r="AR224" s="2">
        <v>147.0</v>
      </c>
      <c r="AS224" s="2">
        <v>116.0</v>
      </c>
      <c r="AT224" s="2">
        <v>10.0</v>
      </c>
      <c r="AU224" s="2">
        <v>12.2556728388299</v>
      </c>
      <c r="AV224" s="2">
        <v>0.0</v>
      </c>
      <c r="AW224" s="2">
        <v>8.0</v>
      </c>
      <c r="AX224" s="2">
        <v>2.0</v>
      </c>
      <c r="AY224" s="2">
        <v>2.0</v>
      </c>
      <c r="AZ224" s="2">
        <v>1.0</v>
      </c>
      <c r="BA224" s="2">
        <v>0.0</v>
      </c>
      <c r="BB224" s="2">
        <v>38.0</v>
      </c>
      <c r="BC224" s="2">
        <v>0.0</v>
      </c>
      <c r="BD224" s="2">
        <v>36.0</v>
      </c>
      <c r="BE224" s="2">
        <v>7.0</v>
      </c>
      <c r="BF224" s="2">
        <v>42.0</v>
      </c>
      <c r="BG224" s="2">
        <v>2.0</v>
      </c>
      <c r="BH224" s="2">
        <v>7.0</v>
      </c>
      <c r="BI224" s="2">
        <v>45.0</v>
      </c>
      <c r="BJ224" s="2">
        <v>9.0</v>
      </c>
      <c r="BK224" s="2">
        <v>1.0</v>
      </c>
      <c r="BL224" s="2">
        <v>24.0</v>
      </c>
      <c r="BM224" s="2">
        <v>1.0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2.0</v>
      </c>
      <c r="BU224" s="2">
        <v>12.0</v>
      </c>
      <c r="BV224" s="2">
        <v>0.0</v>
      </c>
      <c r="BW224" s="2">
        <v>7.0</v>
      </c>
      <c r="BX224" s="2">
        <v>60.0</v>
      </c>
      <c r="BY224" s="2">
        <v>2.0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3.0</v>
      </c>
      <c r="CF224" s="2">
        <v>14.0</v>
      </c>
      <c r="CG224" s="2">
        <v>2.0</v>
      </c>
      <c r="CH224" s="2">
        <v>44.0</v>
      </c>
      <c r="CI224" s="2">
        <v>2.0</v>
      </c>
      <c r="CJ224" s="2">
        <v>2.0</v>
      </c>
      <c r="CK224" s="2">
        <v>0.0</v>
      </c>
      <c r="CL224" s="2">
        <v>0.0</v>
      </c>
      <c r="CM224" s="2">
        <v>45.0</v>
      </c>
      <c r="CN224" s="2">
        <v>1.0</v>
      </c>
      <c r="CO224" s="2">
        <v>0.0</v>
      </c>
      <c r="CP224" s="2">
        <v>0.0</v>
      </c>
      <c r="CQ224" s="2">
        <v>0.0</v>
      </c>
      <c r="CR224" s="2">
        <v>2.0</v>
      </c>
      <c r="CS224" s="2">
        <v>0.0</v>
      </c>
      <c r="CT224" s="2">
        <v>0.0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0.0</v>
      </c>
      <c r="DA224" s="2" t="s">
        <v>2122</v>
      </c>
      <c r="DD224" s="2">
        <v>88.0</v>
      </c>
      <c r="DE224" s="2">
        <v>0.0</v>
      </c>
      <c r="DF224" s="2">
        <v>0.0</v>
      </c>
      <c r="DG224" s="2">
        <v>4.0</v>
      </c>
      <c r="DH224" s="2">
        <v>5.0</v>
      </c>
      <c r="DI224" s="2">
        <v>1.0</v>
      </c>
      <c r="DJ224" s="2">
        <v>0.0</v>
      </c>
      <c r="DK224" s="2">
        <v>0.8</v>
      </c>
      <c r="DL224" s="2">
        <v>0.0</v>
      </c>
      <c r="DM224" s="2">
        <v>0.0</v>
      </c>
      <c r="DN224" s="2">
        <v>0.0</v>
      </c>
      <c r="DO224" s="2">
        <v>0.0</v>
      </c>
      <c r="DP224" s="2">
        <v>0.0</v>
      </c>
      <c r="DQ224" s="2">
        <v>3.0</v>
      </c>
      <c r="DR224" s="2">
        <v>0.0</v>
      </c>
      <c r="DS224" s="2">
        <v>54.0</v>
      </c>
      <c r="DT224" s="2">
        <v>146.0</v>
      </c>
      <c r="DU224" s="2">
        <v>2.0</v>
      </c>
      <c r="DV224" s="2">
        <v>0.0</v>
      </c>
      <c r="DW224" s="2">
        <v>0.0</v>
      </c>
      <c r="DX224" s="2">
        <v>0.0</v>
      </c>
      <c r="DY224" s="2">
        <v>1.0</v>
      </c>
      <c r="DZ224" s="2">
        <v>2.0</v>
      </c>
      <c r="EA224" s="2">
        <v>13.0</v>
      </c>
      <c r="EB224" s="2">
        <v>0.0</v>
      </c>
      <c r="EC224" s="2">
        <v>133.0</v>
      </c>
      <c r="EE224" s="2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2">
        <v>2025.0</v>
      </c>
      <c r="B225" s="2">
        <v>8.0</v>
      </c>
      <c r="C225" s="2" t="s">
        <v>189</v>
      </c>
      <c r="D225" s="2" t="s">
        <v>390</v>
      </c>
      <c r="E225" s="2" t="s">
        <v>826</v>
      </c>
      <c r="F225" s="2" t="s">
        <v>136</v>
      </c>
      <c r="G225" s="2">
        <v>16.0</v>
      </c>
      <c r="H225" s="2">
        <v>24.0</v>
      </c>
      <c r="I225" s="2">
        <v>175.0</v>
      </c>
      <c r="J225" s="2">
        <v>0.0</v>
      </c>
      <c r="K225" s="2">
        <v>1.0</v>
      </c>
      <c r="L225" s="2">
        <v>7.0</v>
      </c>
      <c r="M225" s="2">
        <v>-45.0</v>
      </c>
      <c r="N225" s="2">
        <v>1.0</v>
      </c>
      <c r="O225" s="2">
        <v>1.0</v>
      </c>
      <c r="P225" s="2">
        <v>195.0</v>
      </c>
      <c r="Q225" s="2">
        <v>51.0</v>
      </c>
      <c r="R225" s="2">
        <v>11.0</v>
      </c>
      <c r="S225" s="2">
        <v>-12.860889769131</v>
      </c>
      <c r="T225" s="2">
        <v>3.69821203791577</v>
      </c>
      <c r="U225" s="2">
        <v>0.0</v>
      </c>
      <c r="V225" s="2">
        <v>8.0</v>
      </c>
      <c r="W225" s="2">
        <v>5.0</v>
      </c>
      <c r="X225" s="2">
        <v>1.0</v>
      </c>
      <c r="Y225" s="2">
        <v>0.0</v>
      </c>
      <c r="Z225" s="2">
        <v>28.0</v>
      </c>
      <c r="AA225" s="2">
        <v>114.0</v>
      </c>
      <c r="AB225" s="2">
        <v>1.0</v>
      </c>
      <c r="AC225" s="2">
        <v>1.0</v>
      </c>
      <c r="AD225" s="2">
        <v>1.0</v>
      </c>
      <c r="AE225" s="2">
        <v>5.0</v>
      </c>
      <c r="AF225" s="2">
        <v>-7.48306680220412</v>
      </c>
      <c r="AG225" s="2">
        <v>0.0</v>
      </c>
      <c r="AH225" s="2">
        <v>2.0</v>
      </c>
      <c r="AI225" s="2">
        <v>2.0</v>
      </c>
      <c r="AJ225" s="2">
        <v>1.0</v>
      </c>
      <c r="AK225" s="2">
        <v>0.0</v>
      </c>
      <c r="AL225" s="2">
        <v>16.0</v>
      </c>
      <c r="AM225" s="2">
        <v>23.0</v>
      </c>
      <c r="AN225" s="2">
        <v>175.0</v>
      </c>
      <c r="AO225" s="2">
        <v>0.0</v>
      </c>
      <c r="AP225" s="2">
        <v>0.0</v>
      </c>
      <c r="AQ225" s="2">
        <v>0.0</v>
      </c>
      <c r="AR225" s="2">
        <v>195.0</v>
      </c>
      <c r="AS225" s="2">
        <v>51.0</v>
      </c>
      <c r="AT225" s="2">
        <v>11.0</v>
      </c>
      <c r="AU225" s="2">
        <v>2.82092089517083</v>
      </c>
      <c r="AV225" s="2">
        <v>0.0</v>
      </c>
      <c r="AW225" s="2">
        <v>8.0</v>
      </c>
      <c r="AX225" s="2">
        <v>5.0</v>
      </c>
      <c r="AY225" s="2">
        <v>1.0</v>
      </c>
      <c r="AZ225" s="2">
        <v>0.0</v>
      </c>
      <c r="BA225" s="2">
        <v>0.0</v>
      </c>
      <c r="BB225" s="2">
        <v>33.0</v>
      </c>
      <c r="BC225" s="2">
        <v>3.0</v>
      </c>
      <c r="BD225" s="2">
        <v>39.0</v>
      </c>
      <c r="BE225" s="2">
        <v>4.0</v>
      </c>
      <c r="BF225" s="2">
        <v>10.0</v>
      </c>
      <c r="BG225" s="2">
        <v>0.0</v>
      </c>
      <c r="BH225" s="2">
        <v>2.0</v>
      </c>
      <c r="BI225" s="2">
        <v>20.0</v>
      </c>
      <c r="BJ225" s="2">
        <v>3.0</v>
      </c>
      <c r="BK225" s="2">
        <v>0.0</v>
      </c>
      <c r="BL225" s="2">
        <v>0.0</v>
      </c>
      <c r="BM225" s="2">
        <v>4.0</v>
      </c>
      <c r="BN225" s="2">
        <v>0.0</v>
      </c>
      <c r="BO225" s="2">
        <v>0.0</v>
      </c>
      <c r="BP225" s="2">
        <v>0.0</v>
      </c>
      <c r="BQ225" s="2">
        <v>0.0</v>
      </c>
      <c r="BR225" s="2">
        <v>1.0</v>
      </c>
      <c r="BS225" s="2">
        <v>-8.0</v>
      </c>
      <c r="BT225" s="2">
        <v>0.0</v>
      </c>
      <c r="BU225" s="2">
        <v>0.0</v>
      </c>
      <c r="BV225" s="2">
        <v>0.0</v>
      </c>
      <c r="BW225" s="2">
        <v>4.0</v>
      </c>
      <c r="BX225" s="2">
        <v>20.0</v>
      </c>
      <c r="BY225" s="2">
        <v>3.0</v>
      </c>
      <c r="BZ225" s="2">
        <v>2.0</v>
      </c>
      <c r="CA225" s="2">
        <v>1.0</v>
      </c>
      <c r="CB225" s="2">
        <v>0.0</v>
      </c>
      <c r="CC225" s="2">
        <v>3.0</v>
      </c>
      <c r="CD225" s="2">
        <v>2.0</v>
      </c>
      <c r="CE225" s="2">
        <v>2.0</v>
      </c>
      <c r="CF225" s="2">
        <v>13.0</v>
      </c>
      <c r="CG225" s="2">
        <v>6.0</v>
      </c>
      <c r="CH225" s="2">
        <v>156.0</v>
      </c>
      <c r="CI225" s="2">
        <v>1.0</v>
      </c>
      <c r="CJ225" s="2">
        <v>2.0</v>
      </c>
      <c r="CK225" s="2">
        <v>1.0</v>
      </c>
      <c r="CL225" s="2">
        <v>0.0</v>
      </c>
      <c r="CM225" s="2">
        <v>48.0</v>
      </c>
      <c r="CN225" s="2">
        <v>0.5</v>
      </c>
      <c r="CO225" s="2">
        <v>0.0</v>
      </c>
      <c r="CP225" s="2">
        <v>0.0</v>
      </c>
      <c r="CQ225" s="2">
        <v>0.0</v>
      </c>
      <c r="CR225" s="2">
        <v>1.0</v>
      </c>
      <c r="CS225" s="2">
        <v>0.0</v>
      </c>
      <c r="CT225" s="2">
        <v>0.0</v>
      </c>
      <c r="CU225" s="2">
        <v>0.0</v>
      </c>
      <c r="CV225" s="2">
        <v>0.0</v>
      </c>
      <c r="CW225" s="2">
        <v>1.0</v>
      </c>
      <c r="CX225" s="2">
        <v>0.0</v>
      </c>
      <c r="CY225" s="2">
        <v>0.0</v>
      </c>
      <c r="CZ225" s="2">
        <v>0.0</v>
      </c>
      <c r="DA225" s="2" t="s">
        <v>1965</v>
      </c>
      <c r="DB225" s="2" t="s">
        <v>1991</v>
      </c>
      <c r="DD225" s="2">
        <v>48.0</v>
      </c>
      <c r="DE225" s="2">
        <v>32.0</v>
      </c>
      <c r="DF225" s="2">
        <v>0.0</v>
      </c>
      <c r="DG225" s="2">
        <v>0.0</v>
      </c>
      <c r="DH225" s="2">
        <v>1.0</v>
      </c>
      <c r="DI225" s="2">
        <v>1.0</v>
      </c>
      <c r="DJ225" s="2">
        <v>0.0</v>
      </c>
      <c r="DK225" s="2">
        <v>0.0</v>
      </c>
      <c r="DL225" s="2">
        <v>0.0</v>
      </c>
      <c r="DM225" s="2">
        <v>0.0</v>
      </c>
      <c r="DN225" s="2">
        <v>0.0</v>
      </c>
      <c r="DO225" s="2">
        <v>0.0</v>
      </c>
      <c r="DP225" s="2">
        <v>0.0</v>
      </c>
      <c r="DQ225" s="2">
        <v>4.0</v>
      </c>
      <c r="DR225" s="2">
        <v>0.0</v>
      </c>
      <c r="DS225" s="2">
        <v>60.0</v>
      </c>
      <c r="DT225" s="2">
        <v>211.0</v>
      </c>
      <c r="DU225" s="2">
        <v>1.0</v>
      </c>
      <c r="DV225" s="2">
        <v>0.0</v>
      </c>
      <c r="DW225" s="2">
        <v>0.0</v>
      </c>
      <c r="DX225" s="2">
        <v>0.0</v>
      </c>
      <c r="DY225" s="2">
        <v>1.0</v>
      </c>
      <c r="DZ225" s="2">
        <v>3.0</v>
      </c>
      <c r="EA225" s="2">
        <v>14.0</v>
      </c>
      <c r="EB225" s="2">
        <v>0.0</v>
      </c>
      <c r="EC225" s="2">
        <v>197.0</v>
      </c>
      <c r="EE225" s="2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2">
        <v>2025.0</v>
      </c>
      <c r="B226" s="2">
        <v>8.0</v>
      </c>
      <c r="C226" s="2" t="s">
        <v>137</v>
      </c>
      <c r="D226" s="2" t="s">
        <v>390</v>
      </c>
      <c r="E226" s="2" t="s">
        <v>822</v>
      </c>
      <c r="F226" s="2" t="s">
        <v>148</v>
      </c>
      <c r="G226" s="2">
        <v>25.0</v>
      </c>
      <c r="H226" s="2">
        <v>38.0</v>
      </c>
      <c r="I226" s="2">
        <v>285.0</v>
      </c>
      <c r="J226" s="2">
        <v>0.0</v>
      </c>
      <c r="K226" s="2">
        <v>1.0</v>
      </c>
      <c r="L226" s="2">
        <v>1.0</v>
      </c>
      <c r="M226" s="2">
        <v>-9.0</v>
      </c>
      <c r="N226" s="2">
        <v>0.0</v>
      </c>
      <c r="O226" s="2">
        <v>0.0</v>
      </c>
      <c r="P226" s="2">
        <v>310.0</v>
      </c>
      <c r="Q226" s="2">
        <v>125.0</v>
      </c>
      <c r="R226" s="2">
        <v>13.0</v>
      </c>
      <c r="S226" s="2">
        <v>1.09993351642012</v>
      </c>
      <c r="T226" s="2">
        <v>7.88827283041818</v>
      </c>
      <c r="U226" s="2">
        <v>0.0</v>
      </c>
      <c r="V226" s="2">
        <v>12.0</v>
      </c>
      <c r="W226" s="2">
        <v>8.0</v>
      </c>
      <c r="X226" s="2">
        <v>5.0</v>
      </c>
      <c r="Y226" s="2">
        <v>1.0</v>
      </c>
      <c r="Z226" s="2">
        <v>23.0</v>
      </c>
      <c r="AA226" s="2">
        <v>96.0</v>
      </c>
      <c r="AB226" s="2">
        <v>1.0</v>
      </c>
      <c r="AC226" s="2">
        <v>0.0</v>
      </c>
      <c r="AD226" s="2">
        <v>0.0</v>
      </c>
      <c r="AE226" s="2">
        <v>5.0</v>
      </c>
      <c r="AF226" s="2">
        <v>0.412867147737416</v>
      </c>
      <c r="AG226" s="2">
        <v>0.0</v>
      </c>
      <c r="AH226" s="2">
        <v>4.0</v>
      </c>
      <c r="AI226" s="2">
        <v>3.0</v>
      </c>
      <c r="AJ226" s="2">
        <v>1.0</v>
      </c>
      <c r="AK226" s="2">
        <v>0.0</v>
      </c>
      <c r="AL226" s="2">
        <v>25.0</v>
      </c>
      <c r="AM226" s="2">
        <v>35.0</v>
      </c>
      <c r="AN226" s="2">
        <v>285.0</v>
      </c>
      <c r="AO226" s="2">
        <v>0.0</v>
      </c>
      <c r="AP226" s="2">
        <v>0.0</v>
      </c>
      <c r="AQ226" s="2">
        <v>0.0</v>
      </c>
      <c r="AR226" s="2">
        <v>310.0</v>
      </c>
      <c r="AS226" s="2">
        <v>125.0</v>
      </c>
      <c r="AT226" s="2">
        <v>13.0</v>
      </c>
      <c r="AU226" s="2">
        <v>6.68299723934999</v>
      </c>
      <c r="AV226" s="2">
        <v>0.0</v>
      </c>
      <c r="AW226" s="2">
        <v>12.0</v>
      </c>
      <c r="AX226" s="2">
        <v>8.0</v>
      </c>
      <c r="AY226" s="2">
        <v>5.0</v>
      </c>
      <c r="AZ226" s="2">
        <v>1.0</v>
      </c>
      <c r="BA226" s="2">
        <v>0.0</v>
      </c>
      <c r="BB226" s="2">
        <v>40.0</v>
      </c>
      <c r="BC226" s="2">
        <v>1.0</v>
      </c>
      <c r="BD226" s="2">
        <v>33.0</v>
      </c>
      <c r="BE226" s="2">
        <v>4.0</v>
      </c>
      <c r="BF226" s="2">
        <v>12.0</v>
      </c>
      <c r="BG226" s="2">
        <v>1.0</v>
      </c>
      <c r="BH226" s="2">
        <v>2.0</v>
      </c>
      <c r="BI226" s="2">
        <v>8.0</v>
      </c>
      <c r="BJ226" s="2">
        <v>3.0</v>
      </c>
      <c r="BK226" s="2">
        <v>0.0</v>
      </c>
      <c r="BL226" s="2">
        <v>0.0</v>
      </c>
      <c r="BM226" s="2">
        <v>1.0</v>
      </c>
      <c r="BN226" s="2">
        <v>0.0</v>
      </c>
      <c r="BO226" s="2">
        <v>0.0</v>
      </c>
      <c r="BP226" s="2">
        <v>0.0</v>
      </c>
      <c r="BQ226" s="2">
        <v>0.0</v>
      </c>
      <c r="BR226" s="2">
        <v>1.0</v>
      </c>
      <c r="BS226" s="2">
        <v>0.0</v>
      </c>
      <c r="BT226" s="2">
        <v>0.0</v>
      </c>
      <c r="BU226" s="2">
        <v>0.0</v>
      </c>
      <c r="BV226" s="2">
        <v>0.0</v>
      </c>
      <c r="BW226" s="2">
        <v>11.0</v>
      </c>
      <c r="BX226" s="2">
        <v>79.0</v>
      </c>
      <c r="BY226" s="2">
        <v>6.0</v>
      </c>
      <c r="BZ226" s="2">
        <v>1.0</v>
      </c>
      <c r="CA226" s="2">
        <v>0.0</v>
      </c>
      <c r="CB226" s="2">
        <v>0.0</v>
      </c>
      <c r="CC226" s="2">
        <v>1.0</v>
      </c>
      <c r="CD226" s="2">
        <v>0.0</v>
      </c>
      <c r="CE226" s="2">
        <v>1.0</v>
      </c>
      <c r="CF226" s="2">
        <v>8.0</v>
      </c>
      <c r="CG226" s="2">
        <v>6.0</v>
      </c>
      <c r="CH226" s="2">
        <v>157.0</v>
      </c>
      <c r="CI226" s="2">
        <v>3.0</v>
      </c>
      <c r="CJ226" s="2">
        <v>4.0</v>
      </c>
      <c r="CK226" s="2">
        <v>1.0</v>
      </c>
      <c r="CL226" s="2">
        <v>0.0</v>
      </c>
      <c r="CM226" s="2">
        <v>47.0</v>
      </c>
      <c r="CN226" s="2">
        <v>0.75</v>
      </c>
      <c r="CO226" s="2">
        <v>0.0</v>
      </c>
      <c r="CP226" s="2">
        <v>0.0</v>
      </c>
      <c r="CQ226" s="2">
        <v>2.0</v>
      </c>
      <c r="CR226" s="2">
        <v>1.0</v>
      </c>
      <c r="CS226" s="2">
        <v>0.0</v>
      </c>
      <c r="CT226" s="2">
        <v>0.0</v>
      </c>
      <c r="CU226" s="2">
        <v>0.0</v>
      </c>
      <c r="CV226" s="2">
        <v>0.0</v>
      </c>
      <c r="CW226" s="2">
        <v>0.0</v>
      </c>
      <c r="CX226" s="2">
        <v>0.0</v>
      </c>
      <c r="CY226" s="2">
        <v>1.0</v>
      </c>
      <c r="CZ226" s="2">
        <v>0.0</v>
      </c>
      <c r="DA226" s="2" t="s">
        <v>2123</v>
      </c>
      <c r="DB226" s="2" t="s">
        <v>1981</v>
      </c>
      <c r="DD226" s="2">
        <v>118.0</v>
      </c>
      <c r="DE226" s="2">
        <v>58.0</v>
      </c>
      <c r="DF226" s="2">
        <v>0.0</v>
      </c>
      <c r="DG226" s="2">
        <v>1.0</v>
      </c>
      <c r="DH226" s="2">
        <v>1.0</v>
      </c>
      <c r="DI226" s="2">
        <v>0.0</v>
      </c>
      <c r="DJ226" s="2">
        <v>0.0</v>
      </c>
      <c r="DK226" s="2">
        <v>1.0</v>
      </c>
      <c r="DL226" s="2">
        <v>0.0</v>
      </c>
      <c r="DM226" s="2">
        <v>0.0</v>
      </c>
      <c r="DN226" s="2">
        <v>0.0</v>
      </c>
      <c r="DO226" s="2">
        <v>0.0</v>
      </c>
      <c r="DP226" s="2">
        <v>0.0</v>
      </c>
      <c r="DQ226" s="2">
        <v>2.0</v>
      </c>
      <c r="DR226" s="2">
        <v>0.0</v>
      </c>
      <c r="DS226" s="2">
        <v>65.0</v>
      </c>
      <c r="DT226" s="2">
        <v>108.0</v>
      </c>
      <c r="DU226" s="2">
        <v>0.0</v>
      </c>
      <c r="DV226" s="2">
        <v>1.0</v>
      </c>
      <c r="DW226" s="2">
        <v>0.0</v>
      </c>
      <c r="DX226" s="2">
        <v>1.0</v>
      </c>
      <c r="DY226" s="2">
        <v>0.0</v>
      </c>
      <c r="DZ226" s="2">
        <v>0.0</v>
      </c>
      <c r="EA226" s="2">
        <v>0.0</v>
      </c>
      <c r="EB226" s="2">
        <v>0.0</v>
      </c>
      <c r="EC226" s="2">
        <v>88.0</v>
      </c>
      <c r="EE226" s="2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2">
        <v>2025.0</v>
      </c>
      <c r="B227" s="2">
        <v>8.0</v>
      </c>
      <c r="C227" s="2" t="s">
        <v>138</v>
      </c>
      <c r="D227" s="2" t="s">
        <v>390</v>
      </c>
      <c r="E227" s="2" t="s">
        <v>828</v>
      </c>
      <c r="F227" s="2" t="s">
        <v>238</v>
      </c>
      <c r="G227" s="2">
        <v>21.0</v>
      </c>
      <c r="H227" s="2">
        <v>34.0</v>
      </c>
      <c r="I227" s="2">
        <v>223.0</v>
      </c>
      <c r="J227" s="2">
        <v>2.0</v>
      </c>
      <c r="K227" s="2">
        <v>0.0</v>
      </c>
      <c r="L227" s="2">
        <v>1.0</v>
      </c>
      <c r="M227" s="2">
        <v>-6.0</v>
      </c>
      <c r="N227" s="2">
        <v>0.0</v>
      </c>
      <c r="O227" s="2">
        <v>0.0</v>
      </c>
      <c r="P227" s="2">
        <v>216.0</v>
      </c>
      <c r="Q227" s="2">
        <v>152.0</v>
      </c>
      <c r="R227" s="2">
        <v>11.0</v>
      </c>
      <c r="S227" s="2">
        <v>3.18590040992746</v>
      </c>
      <c r="T227" s="2">
        <v>-8.0016957991051</v>
      </c>
      <c r="U227" s="2">
        <v>0.0</v>
      </c>
      <c r="V227" s="2">
        <v>7.0</v>
      </c>
      <c r="W227" s="2">
        <v>5.0</v>
      </c>
      <c r="X227" s="2">
        <v>1.0</v>
      </c>
      <c r="Y227" s="2">
        <v>1.0</v>
      </c>
      <c r="Z227" s="2">
        <v>23.0</v>
      </c>
      <c r="AA227" s="2">
        <v>181.0</v>
      </c>
      <c r="AB227" s="2">
        <v>3.0</v>
      </c>
      <c r="AC227" s="2">
        <v>0.0</v>
      </c>
      <c r="AD227" s="2">
        <v>0.0</v>
      </c>
      <c r="AE227" s="2">
        <v>12.0</v>
      </c>
      <c r="AF227" s="2">
        <v>12.1558673882391</v>
      </c>
      <c r="AG227" s="2">
        <v>0.0</v>
      </c>
      <c r="AH227" s="2">
        <v>9.0</v>
      </c>
      <c r="AI227" s="2">
        <v>6.0</v>
      </c>
      <c r="AJ227" s="2">
        <v>3.0</v>
      </c>
      <c r="AK227" s="2">
        <v>0.0</v>
      </c>
      <c r="AL227" s="2">
        <v>21.0</v>
      </c>
      <c r="AM227" s="2">
        <v>33.0</v>
      </c>
      <c r="AN227" s="2">
        <v>223.0</v>
      </c>
      <c r="AO227" s="2">
        <v>2.0</v>
      </c>
      <c r="AP227" s="2">
        <v>0.0</v>
      </c>
      <c r="AQ227" s="2">
        <v>0.0</v>
      </c>
      <c r="AR227" s="2">
        <v>216.0</v>
      </c>
      <c r="AS227" s="2">
        <v>152.0</v>
      </c>
      <c r="AT227" s="2">
        <v>11.0</v>
      </c>
      <c r="AU227" s="2">
        <v>6.39996109319651</v>
      </c>
      <c r="AV227" s="2">
        <v>0.0</v>
      </c>
      <c r="AW227" s="2">
        <v>7.0</v>
      </c>
      <c r="AX227" s="2">
        <v>5.0</v>
      </c>
      <c r="AY227" s="2">
        <v>1.0</v>
      </c>
      <c r="AZ227" s="2">
        <v>1.0</v>
      </c>
      <c r="BA227" s="2">
        <v>0.0</v>
      </c>
      <c r="BB227" s="2">
        <v>43.0</v>
      </c>
      <c r="BC227" s="2">
        <v>1.0</v>
      </c>
      <c r="BD227" s="2">
        <v>39.0</v>
      </c>
      <c r="BE227" s="2">
        <v>3.0</v>
      </c>
      <c r="BF227" s="2">
        <v>4.0</v>
      </c>
      <c r="BG227" s="2">
        <v>0.0</v>
      </c>
      <c r="BH227" s="2">
        <v>0.0</v>
      </c>
      <c r="BI227" s="2">
        <v>0.0</v>
      </c>
      <c r="BJ227" s="2">
        <v>1.0</v>
      </c>
      <c r="BK227" s="2">
        <v>0.0</v>
      </c>
      <c r="BL227" s="2">
        <v>0.0</v>
      </c>
      <c r="BM227" s="2">
        <v>4.0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2.0</v>
      </c>
      <c r="BX227" s="2">
        <v>15.0</v>
      </c>
      <c r="BY227" s="2">
        <v>1.0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5.0</v>
      </c>
      <c r="CH227" s="2">
        <v>114.0</v>
      </c>
      <c r="CI227" s="2">
        <v>1.0</v>
      </c>
      <c r="CJ227" s="2">
        <v>1.0</v>
      </c>
      <c r="CK227" s="2">
        <v>0.0</v>
      </c>
      <c r="CL227" s="2">
        <v>0.0</v>
      </c>
      <c r="CM227" s="2">
        <v>26.0</v>
      </c>
      <c r="CN227" s="2">
        <v>1.0</v>
      </c>
      <c r="CO227" s="2">
        <v>0.0</v>
      </c>
      <c r="CP227" s="2">
        <v>1.0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 t="s">
        <v>2055</v>
      </c>
      <c r="DD227" s="2">
        <v>26.0</v>
      </c>
      <c r="DE227" s="2">
        <v>0.0</v>
      </c>
      <c r="DF227" s="2">
        <v>0.0</v>
      </c>
      <c r="DG227" s="2">
        <v>5.0</v>
      </c>
      <c r="DH227" s="2">
        <v>5.0</v>
      </c>
      <c r="DI227" s="2">
        <v>0.0</v>
      </c>
      <c r="DJ227" s="2">
        <v>0.0</v>
      </c>
      <c r="DK227" s="2">
        <v>1.0</v>
      </c>
      <c r="DL227" s="2">
        <v>0.0</v>
      </c>
      <c r="DM227" s="2">
        <v>0.0</v>
      </c>
      <c r="DN227" s="2">
        <v>0.0</v>
      </c>
      <c r="DO227" s="2">
        <v>0.0</v>
      </c>
      <c r="DP227" s="2">
        <v>0.0</v>
      </c>
      <c r="DQ227" s="2">
        <v>3.0</v>
      </c>
      <c r="DR227" s="2">
        <v>0.0</v>
      </c>
      <c r="DS227" s="2">
        <v>65.0</v>
      </c>
      <c r="DT227" s="2">
        <v>174.0</v>
      </c>
      <c r="DU227" s="2">
        <v>0.0</v>
      </c>
      <c r="DV227" s="2">
        <v>0.0</v>
      </c>
      <c r="DW227" s="2">
        <v>0.0</v>
      </c>
      <c r="DX227" s="2">
        <v>0.0</v>
      </c>
      <c r="DY227" s="2">
        <v>0.0</v>
      </c>
      <c r="DZ227" s="2">
        <v>3.0</v>
      </c>
      <c r="EA227" s="2">
        <v>38.0</v>
      </c>
      <c r="EB227" s="2">
        <v>0.0</v>
      </c>
      <c r="EC227" s="2">
        <v>136.0</v>
      </c>
      <c r="EE227" s="2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2">
        <v>2025.0</v>
      </c>
      <c r="B228" s="2">
        <v>8.0</v>
      </c>
      <c r="C228" s="2" t="s">
        <v>196</v>
      </c>
      <c r="D228" s="2" t="s">
        <v>390</v>
      </c>
      <c r="E228" s="2" t="s">
        <v>832</v>
      </c>
      <c r="F228" s="2" t="s">
        <v>145</v>
      </c>
      <c r="G228" s="2">
        <v>21.0</v>
      </c>
      <c r="H228" s="2">
        <v>35.0</v>
      </c>
      <c r="I228" s="2">
        <v>156.0</v>
      </c>
      <c r="J228" s="2">
        <v>2.0</v>
      </c>
      <c r="K228" s="2">
        <v>2.0</v>
      </c>
      <c r="L228" s="2">
        <v>1.0</v>
      </c>
      <c r="M228" s="2">
        <v>-11.0</v>
      </c>
      <c r="N228" s="2">
        <v>0.0</v>
      </c>
      <c r="O228" s="2">
        <v>0.0</v>
      </c>
      <c r="P228" s="2">
        <v>195.0</v>
      </c>
      <c r="Q228" s="2">
        <v>88.0</v>
      </c>
      <c r="R228" s="2">
        <v>7.0</v>
      </c>
      <c r="S228" s="2">
        <v>-19.8458029344664</v>
      </c>
      <c r="T228" s="2">
        <v>-5.33765148032795</v>
      </c>
      <c r="U228" s="2">
        <v>0.0</v>
      </c>
      <c r="V228" s="2">
        <v>7.0</v>
      </c>
      <c r="W228" s="2">
        <v>4.0</v>
      </c>
      <c r="X228" s="2">
        <v>2.0</v>
      </c>
      <c r="Y228" s="2">
        <v>0.0</v>
      </c>
      <c r="Z228" s="2">
        <v>16.0</v>
      </c>
      <c r="AA228" s="2">
        <v>68.0</v>
      </c>
      <c r="AB228" s="2">
        <v>0.0</v>
      </c>
      <c r="AC228" s="2">
        <v>0.0</v>
      </c>
      <c r="AD228" s="2">
        <v>0.0</v>
      </c>
      <c r="AE228" s="2">
        <v>4.0</v>
      </c>
      <c r="AF228" s="2">
        <v>1.35031596338376</v>
      </c>
      <c r="AG228" s="2">
        <v>0.0</v>
      </c>
      <c r="AH228" s="2">
        <v>2.0</v>
      </c>
      <c r="AI228" s="2">
        <v>2.0</v>
      </c>
      <c r="AJ228" s="2">
        <v>1.0</v>
      </c>
      <c r="AK228" s="2">
        <v>0.0</v>
      </c>
      <c r="AL228" s="2">
        <v>21.0</v>
      </c>
      <c r="AM228" s="2">
        <v>33.0</v>
      </c>
      <c r="AN228" s="2">
        <v>156.0</v>
      </c>
      <c r="AO228" s="2">
        <v>2.0</v>
      </c>
      <c r="AP228" s="2">
        <v>0.0</v>
      </c>
      <c r="AQ228" s="2">
        <v>0.0</v>
      </c>
      <c r="AR228" s="2">
        <v>195.0</v>
      </c>
      <c r="AS228" s="2">
        <v>88.0</v>
      </c>
      <c r="AT228" s="2">
        <v>7.0</v>
      </c>
      <c r="AU228" s="2">
        <v>-16.992132748336</v>
      </c>
      <c r="AV228" s="2">
        <v>0.0</v>
      </c>
      <c r="AW228" s="2">
        <v>7.0</v>
      </c>
      <c r="AX228" s="2">
        <v>4.0</v>
      </c>
      <c r="AY228" s="2">
        <v>2.0</v>
      </c>
      <c r="AZ228" s="2">
        <v>0.0</v>
      </c>
      <c r="BA228" s="2">
        <v>0.0</v>
      </c>
      <c r="BB228" s="2">
        <v>39.0</v>
      </c>
      <c r="BC228" s="2">
        <v>2.0</v>
      </c>
      <c r="BD228" s="2">
        <v>32.0</v>
      </c>
      <c r="BE228" s="2">
        <v>11.0</v>
      </c>
      <c r="BF228" s="2">
        <v>52.0</v>
      </c>
      <c r="BG228" s="2">
        <v>2.0</v>
      </c>
      <c r="BH228" s="2">
        <v>6.0</v>
      </c>
      <c r="BI228" s="2">
        <v>37.0</v>
      </c>
      <c r="BJ228" s="2">
        <v>8.0</v>
      </c>
      <c r="BK228" s="2">
        <v>1.0</v>
      </c>
      <c r="BL228" s="2">
        <v>7.0</v>
      </c>
      <c r="BM228" s="2">
        <v>3.0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1.0</v>
      </c>
      <c r="BU228" s="2">
        <v>0.0</v>
      </c>
      <c r="BV228" s="2">
        <v>0.0</v>
      </c>
      <c r="BW228" s="2">
        <v>5.0</v>
      </c>
      <c r="BX228" s="2">
        <v>31.0</v>
      </c>
      <c r="BY228" s="2">
        <v>3.0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1.0</v>
      </c>
      <c r="CF228" s="2">
        <v>7.0</v>
      </c>
      <c r="CG228" s="2">
        <v>6.0</v>
      </c>
      <c r="CH228" s="2">
        <v>131.0</v>
      </c>
      <c r="CI228" s="2">
        <v>0.0</v>
      </c>
      <c r="CJ228" s="2">
        <v>1.0</v>
      </c>
      <c r="CK228" s="2">
        <v>1.0</v>
      </c>
      <c r="CL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0.0</v>
      </c>
      <c r="CS228" s="2">
        <v>0.0</v>
      </c>
      <c r="CT228" s="2">
        <v>0.0</v>
      </c>
      <c r="CU228" s="2">
        <v>0.0</v>
      </c>
      <c r="CV228" s="2">
        <v>0.0</v>
      </c>
      <c r="CW228" s="2">
        <v>0.0</v>
      </c>
      <c r="CX228" s="2">
        <v>1.0</v>
      </c>
      <c r="CY228" s="2">
        <v>0.0</v>
      </c>
      <c r="CZ228" s="2">
        <v>0.0</v>
      </c>
      <c r="DB228" s="2" t="s">
        <v>2036</v>
      </c>
      <c r="DD228" s="2">
        <v>0.0</v>
      </c>
      <c r="DE228" s="2">
        <v>47.0</v>
      </c>
      <c r="DF228" s="2">
        <v>0.0</v>
      </c>
      <c r="DG228" s="2">
        <v>1.0</v>
      </c>
      <c r="DH228" s="2">
        <v>1.0</v>
      </c>
      <c r="DI228" s="2">
        <v>0.0</v>
      </c>
      <c r="DJ228" s="2">
        <v>0.0</v>
      </c>
      <c r="DK228" s="2">
        <v>1.0</v>
      </c>
      <c r="DL228" s="2">
        <v>0.0</v>
      </c>
      <c r="DM228" s="2">
        <v>0.0</v>
      </c>
      <c r="DN228" s="2">
        <v>0.0</v>
      </c>
      <c r="DO228" s="2">
        <v>0.0</v>
      </c>
      <c r="DP228" s="2">
        <v>0.0</v>
      </c>
      <c r="DQ228" s="2">
        <v>4.0</v>
      </c>
      <c r="DR228" s="2">
        <v>0.0</v>
      </c>
      <c r="DS228" s="2">
        <v>44.0</v>
      </c>
      <c r="DT228" s="2">
        <v>161.0</v>
      </c>
      <c r="DU228" s="2">
        <v>2.0</v>
      </c>
      <c r="DV228" s="2">
        <v>0.0</v>
      </c>
      <c r="DW228" s="2">
        <v>0.0</v>
      </c>
      <c r="DX228" s="2">
        <v>0.0</v>
      </c>
      <c r="DY228" s="2">
        <v>3.0</v>
      </c>
      <c r="DZ228" s="2">
        <v>1.0</v>
      </c>
      <c r="EA228" s="2">
        <v>8.0</v>
      </c>
      <c r="EB228" s="2">
        <v>0.0</v>
      </c>
      <c r="EC228" s="2">
        <v>153.0</v>
      </c>
      <c r="EE228" s="2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2">
        <v>2025.0</v>
      </c>
      <c r="B229" s="2">
        <v>8.0</v>
      </c>
      <c r="C229" s="2" t="s">
        <v>146</v>
      </c>
      <c r="D229" s="2" t="s">
        <v>390</v>
      </c>
      <c r="E229" s="2" t="s">
        <v>838</v>
      </c>
      <c r="F229" s="2" t="s">
        <v>139</v>
      </c>
      <c r="G229" s="2">
        <v>22.0</v>
      </c>
      <c r="H229" s="2">
        <v>35.0</v>
      </c>
      <c r="I229" s="2">
        <v>246.0</v>
      </c>
      <c r="J229" s="2">
        <v>1.0</v>
      </c>
      <c r="K229" s="2">
        <v>2.0</v>
      </c>
      <c r="L229" s="2">
        <v>2.0</v>
      </c>
      <c r="M229" s="2">
        <v>-15.0</v>
      </c>
      <c r="N229" s="2">
        <v>0.0</v>
      </c>
      <c r="O229" s="2">
        <v>0.0</v>
      </c>
      <c r="P229" s="2">
        <v>262.0</v>
      </c>
      <c r="Q229" s="2">
        <v>78.0</v>
      </c>
      <c r="R229" s="2">
        <v>12.0</v>
      </c>
      <c r="S229" s="2">
        <v>1.34931612824355</v>
      </c>
      <c r="T229" s="2">
        <v>-1.36492720672062</v>
      </c>
      <c r="U229" s="2">
        <v>0.0</v>
      </c>
      <c r="V229" s="2">
        <v>9.0</v>
      </c>
      <c r="W229" s="2">
        <v>5.0</v>
      </c>
      <c r="X229" s="2">
        <v>2.0</v>
      </c>
      <c r="Y229" s="2">
        <v>0.0</v>
      </c>
      <c r="Z229" s="2">
        <v>31.0</v>
      </c>
      <c r="AA229" s="2">
        <v>108.0</v>
      </c>
      <c r="AB229" s="2">
        <v>2.0</v>
      </c>
      <c r="AC229" s="2">
        <v>1.0</v>
      </c>
      <c r="AD229" s="2">
        <v>0.0</v>
      </c>
      <c r="AE229" s="2">
        <v>8.0</v>
      </c>
      <c r="AF229" s="2">
        <v>2.5056544059189</v>
      </c>
      <c r="AG229" s="2">
        <v>0.0</v>
      </c>
      <c r="AH229" s="2">
        <v>1.0</v>
      </c>
      <c r="AI229" s="2">
        <v>1.0</v>
      </c>
      <c r="AJ229" s="2">
        <v>0.0</v>
      </c>
      <c r="AK229" s="2">
        <v>0.0</v>
      </c>
      <c r="AL229" s="2">
        <v>22.0</v>
      </c>
      <c r="AM229" s="2">
        <v>35.0</v>
      </c>
      <c r="AN229" s="2">
        <v>246.0</v>
      </c>
      <c r="AO229" s="2">
        <v>1.0</v>
      </c>
      <c r="AP229" s="2">
        <v>0.0</v>
      </c>
      <c r="AQ229" s="2">
        <v>0.0</v>
      </c>
      <c r="AR229" s="2">
        <v>262.0</v>
      </c>
      <c r="AS229" s="2">
        <v>78.0</v>
      </c>
      <c r="AT229" s="2">
        <v>12.0</v>
      </c>
      <c r="AU229" s="2">
        <v>4.82949837431577</v>
      </c>
      <c r="AV229" s="2">
        <v>0.0</v>
      </c>
      <c r="AW229" s="2">
        <v>9.0</v>
      </c>
      <c r="AX229" s="2">
        <v>5.0</v>
      </c>
      <c r="AY229" s="2">
        <v>2.0</v>
      </c>
      <c r="AZ229" s="2">
        <v>0.0</v>
      </c>
      <c r="BA229" s="2">
        <v>0.0</v>
      </c>
      <c r="BB229" s="2">
        <v>32.0</v>
      </c>
      <c r="BC229" s="2">
        <v>1.0</v>
      </c>
      <c r="BD229" s="2">
        <v>29.0</v>
      </c>
      <c r="BE229" s="2">
        <v>3.0</v>
      </c>
      <c r="BF229" s="2">
        <v>5.0</v>
      </c>
      <c r="BG229" s="2">
        <v>0.0</v>
      </c>
      <c r="BH229" s="2">
        <v>0.0</v>
      </c>
      <c r="BI229" s="2">
        <v>0.0</v>
      </c>
      <c r="BJ229" s="2">
        <v>1.0</v>
      </c>
      <c r="BK229" s="2">
        <v>1.0</v>
      </c>
      <c r="BL229" s="2">
        <v>7.0</v>
      </c>
      <c r="BM229" s="2">
        <v>2.0</v>
      </c>
      <c r="BN229" s="2">
        <v>0.0</v>
      </c>
      <c r="BO229" s="2">
        <v>0.0</v>
      </c>
      <c r="BP229" s="2">
        <v>0.0</v>
      </c>
      <c r="BQ229" s="2">
        <v>0.0</v>
      </c>
      <c r="BR229" s="2">
        <v>1.0</v>
      </c>
      <c r="BS229" s="2">
        <v>0.0</v>
      </c>
      <c r="BT229" s="2">
        <v>0.0</v>
      </c>
      <c r="BU229" s="2">
        <v>0.0</v>
      </c>
      <c r="BV229" s="2">
        <v>0.0</v>
      </c>
      <c r="BW229" s="2">
        <v>9.0</v>
      </c>
      <c r="BX229" s="2">
        <v>80.0</v>
      </c>
      <c r="BY229" s="2">
        <v>5.0</v>
      </c>
      <c r="BZ229" s="2">
        <v>1.0</v>
      </c>
      <c r="CA229" s="2">
        <v>0.0</v>
      </c>
      <c r="CB229" s="2">
        <v>0.0</v>
      </c>
      <c r="CC229" s="2">
        <v>1.0</v>
      </c>
      <c r="CD229" s="2">
        <v>0.0</v>
      </c>
      <c r="CE229" s="2">
        <v>0.0</v>
      </c>
      <c r="CF229" s="2">
        <v>0.0</v>
      </c>
      <c r="CG229" s="2">
        <v>3.0</v>
      </c>
      <c r="CH229" s="2">
        <v>86.0</v>
      </c>
      <c r="CI229" s="2">
        <v>1.0</v>
      </c>
      <c r="CJ229" s="2">
        <v>1.0</v>
      </c>
      <c r="CK229" s="2">
        <v>0.0</v>
      </c>
      <c r="CL229" s="2">
        <v>0.0</v>
      </c>
      <c r="CM229" s="2">
        <v>24.0</v>
      </c>
      <c r="CN229" s="2">
        <v>1.0</v>
      </c>
      <c r="CO229" s="2">
        <v>0.0</v>
      </c>
      <c r="CP229" s="2">
        <v>1.0</v>
      </c>
      <c r="CQ229" s="2">
        <v>0.0</v>
      </c>
      <c r="CR229" s="2">
        <v>0.0</v>
      </c>
      <c r="CS229" s="2">
        <v>0.0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0.0</v>
      </c>
      <c r="DA229" s="2" t="s">
        <v>2101</v>
      </c>
      <c r="DD229" s="2">
        <v>24.0</v>
      </c>
      <c r="DE229" s="2">
        <v>0.0</v>
      </c>
      <c r="DF229" s="2">
        <v>0.0</v>
      </c>
      <c r="DG229" s="2">
        <v>3.0</v>
      </c>
      <c r="DH229" s="2">
        <v>3.0</v>
      </c>
      <c r="DI229" s="2">
        <v>0.0</v>
      </c>
      <c r="DJ229" s="2">
        <v>0.0</v>
      </c>
      <c r="DK229" s="2">
        <v>1.0</v>
      </c>
      <c r="DL229" s="2">
        <v>0.0</v>
      </c>
      <c r="DM229" s="2">
        <v>0.0</v>
      </c>
      <c r="DN229" s="2">
        <v>0.0</v>
      </c>
      <c r="DO229" s="2">
        <v>0.0</v>
      </c>
      <c r="DP229" s="2">
        <v>0.0</v>
      </c>
      <c r="DQ229" s="2">
        <v>5.0</v>
      </c>
      <c r="DR229" s="2">
        <v>0.0</v>
      </c>
      <c r="DS229" s="2">
        <v>58.0</v>
      </c>
      <c r="DT229" s="2">
        <v>252.0</v>
      </c>
      <c r="DU229" s="2">
        <v>3.0</v>
      </c>
      <c r="DV229" s="2">
        <v>0.0</v>
      </c>
      <c r="DW229" s="2">
        <v>0.0</v>
      </c>
      <c r="DX229" s="2">
        <v>0.0</v>
      </c>
      <c r="DY229" s="2">
        <v>3.0</v>
      </c>
      <c r="DZ229" s="2">
        <v>2.0</v>
      </c>
      <c r="EA229" s="2">
        <v>26.0</v>
      </c>
      <c r="EB229" s="2">
        <v>0.0</v>
      </c>
      <c r="EC229" s="2">
        <v>226.0</v>
      </c>
      <c r="EE229" s="2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2">
        <v>2025.0</v>
      </c>
      <c r="B230" s="2">
        <v>8.0</v>
      </c>
      <c r="C230" s="2" t="s">
        <v>139</v>
      </c>
      <c r="D230" s="2" t="s">
        <v>390</v>
      </c>
      <c r="E230" s="2" t="s">
        <v>838</v>
      </c>
      <c r="F230" s="2" t="s">
        <v>146</v>
      </c>
      <c r="G230" s="2">
        <v>19.0</v>
      </c>
      <c r="H230" s="2">
        <v>29.0</v>
      </c>
      <c r="I230" s="2">
        <v>247.0</v>
      </c>
      <c r="J230" s="2">
        <v>4.0</v>
      </c>
      <c r="K230" s="2">
        <v>1.0</v>
      </c>
      <c r="L230" s="2">
        <v>0.0</v>
      </c>
      <c r="M230" s="2">
        <v>0.0</v>
      </c>
      <c r="N230" s="2">
        <v>0.0</v>
      </c>
      <c r="O230" s="2">
        <v>0.0</v>
      </c>
      <c r="P230" s="2">
        <v>299.0</v>
      </c>
      <c r="Q230" s="2">
        <v>81.0</v>
      </c>
      <c r="R230" s="2">
        <v>15.0</v>
      </c>
      <c r="S230" s="2">
        <v>14.0928281362201</v>
      </c>
      <c r="T230" s="2">
        <v>8.96841094449714</v>
      </c>
      <c r="U230" s="2">
        <v>0.0</v>
      </c>
      <c r="V230" s="2">
        <v>11.0</v>
      </c>
      <c r="W230" s="2">
        <v>5.0</v>
      </c>
      <c r="X230" s="2">
        <v>4.0</v>
      </c>
      <c r="Y230" s="2">
        <v>0.0</v>
      </c>
      <c r="Z230" s="2">
        <v>28.0</v>
      </c>
      <c r="AA230" s="2">
        <v>179.0</v>
      </c>
      <c r="AB230" s="2">
        <v>2.0</v>
      </c>
      <c r="AC230" s="2">
        <v>0.0</v>
      </c>
      <c r="AD230" s="2">
        <v>0.0</v>
      </c>
      <c r="AE230" s="2">
        <v>8.0</v>
      </c>
      <c r="AF230" s="2">
        <v>6.41615581279621</v>
      </c>
      <c r="AG230" s="2">
        <v>0.0</v>
      </c>
      <c r="AH230" s="2">
        <v>5.0</v>
      </c>
      <c r="AI230" s="2">
        <v>5.0</v>
      </c>
      <c r="AJ230" s="2">
        <v>3.0</v>
      </c>
      <c r="AK230" s="2">
        <v>1.0</v>
      </c>
      <c r="AL230" s="2">
        <v>19.0</v>
      </c>
      <c r="AM230" s="2">
        <v>27.0</v>
      </c>
      <c r="AN230" s="2">
        <v>247.0</v>
      </c>
      <c r="AO230" s="2">
        <v>4.0</v>
      </c>
      <c r="AP230" s="2">
        <v>0.0</v>
      </c>
      <c r="AQ230" s="2">
        <v>0.0</v>
      </c>
      <c r="AR230" s="2">
        <v>299.0</v>
      </c>
      <c r="AS230" s="2">
        <v>81.0</v>
      </c>
      <c r="AT230" s="2">
        <v>15.0</v>
      </c>
      <c r="AU230" s="2">
        <v>15.5021209086324</v>
      </c>
      <c r="AV230" s="2">
        <v>0.0</v>
      </c>
      <c r="AW230" s="2">
        <v>11.0</v>
      </c>
      <c r="AX230" s="2">
        <v>5.0</v>
      </c>
      <c r="AY230" s="2">
        <v>4.0</v>
      </c>
      <c r="AZ230" s="2">
        <v>0.0</v>
      </c>
      <c r="BA230" s="2">
        <v>0.0</v>
      </c>
      <c r="BB230" s="2">
        <v>29.0</v>
      </c>
      <c r="BC230" s="2">
        <v>2.0</v>
      </c>
      <c r="BD230" s="2">
        <v>50.0</v>
      </c>
      <c r="BE230" s="2">
        <v>3.0</v>
      </c>
      <c r="BF230" s="2">
        <v>17.0</v>
      </c>
      <c r="BG230" s="2">
        <v>1.0</v>
      </c>
      <c r="BH230" s="2">
        <v>2.0</v>
      </c>
      <c r="BI230" s="2">
        <v>15.0</v>
      </c>
      <c r="BJ230" s="2">
        <v>8.0</v>
      </c>
      <c r="BK230" s="2">
        <v>2.0</v>
      </c>
      <c r="BL230" s="2">
        <v>36.0</v>
      </c>
      <c r="BM230" s="2">
        <v>12.0</v>
      </c>
      <c r="BN230" s="2">
        <v>0.0</v>
      </c>
      <c r="BO230" s="2">
        <v>0.0</v>
      </c>
      <c r="BP230" s="2">
        <v>0.0</v>
      </c>
      <c r="BQ230" s="2">
        <v>0.0</v>
      </c>
      <c r="BR230" s="2">
        <v>0.0</v>
      </c>
      <c r="BS230" s="2">
        <v>0.0</v>
      </c>
      <c r="BT230" s="2">
        <v>0.0</v>
      </c>
      <c r="BU230" s="2">
        <v>0.0</v>
      </c>
      <c r="BV230" s="2">
        <v>0.0</v>
      </c>
      <c r="BW230" s="2">
        <v>7.0</v>
      </c>
      <c r="BX230" s="2">
        <v>42.0</v>
      </c>
      <c r="BY230" s="2">
        <v>3.0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2.0</v>
      </c>
      <c r="CF230" s="2">
        <v>26.0</v>
      </c>
      <c r="CG230" s="2">
        <v>4.0</v>
      </c>
      <c r="CH230" s="2">
        <v>119.0</v>
      </c>
      <c r="CI230" s="2">
        <v>1.0</v>
      </c>
      <c r="CJ230" s="2">
        <v>1.0</v>
      </c>
      <c r="CK230" s="2">
        <v>0.0</v>
      </c>
      <c r="CL230" s="2">
        <v>0.0</v>
      </c>
      <c r="CM230" s="2">
        <v>42.0</v>
      </c>
      <c r="CN230" s="2">
        <v>1.0</v>
      </c>
      <c r="CO230" s="2">
        <v>0.0</v>
      </c>
      <c r="CP230" s="2">
        <v>0.0</v>
      </c>
      <c r="CQ230" s="2">
        <v>0.0</v>
      </c>
      <c r="CR230" s="2">
        <v>1.0</v>
      </c>
      <c r="CS230" s="2">
        <v>0.0</v>
      </c>
      <c r="CT230" s="2">
        <v>0.0</v>
      </c>
      <c r="CU230" s="2">
        <v>0.0</v>
      </c>
      <c r="CV230" s="2">
        <v>0.0</v>
      </c>
      <c r="CW230" s="2">
        <v>0.0</v>
      </c>
      <c r="CX230" s="2">
        <v>0.0</v>
      </c>
      <c r="CY230" s="2">
        <v>0.0</v>
      </c>
      <c r="CZ230" s="2">
        <v>0.0</v>
      </c>
      <c r="DA230" s="2" t="s">
        <v>1966</v>
      </c>
      <c r="DD230" s="2">
        <v>42.0</v>
      </c>
      <c r="DE230" s="2">
        <v>0.0</v>
      </c>
      <c r="DF230" s="2">
        <v>0.0</v>
      </c>
      <c r="DG230" s="2">
        <v>5.0</v>
      </c>
      <c r="DH230" s="2">
        <v>5.0</v>
      </c>
      <c r="DI230" s="2">
        <v>0.0</v>
      </c>
      <c r="DJ230" s="2">
        <v>0.0</v>
      </c>
      <c r="DK230" s="2">
        <v>1.0</v>
      </c>
      <c r="DL230" s="2">
        <v>0.0</v>
      </c>
      <c r="DM230" s="2">
        <v>0.0</v>
      </c>
      <c r="DN230" s="2">
        <v>0.0</v>
      </c>
      <c r="DO230" s="2">
        <v>0.0</v>
      </c>
      <c r="DP230" s="2">
        <v>0.0</v>
      </c>
      <c r="DQ230" s="2">
        <v>2.0</v>
      </c>
      <c r="DR230" s="2">
        <v>0.0</v>
      </c>
      <c r="DS230" s="2">
        <v>47.0</v>
      </c>
      <c r="DT230" s="2">
        <v>80.0</v>
      </c>
      <c r="DU230" s="2">
        <v>0.0</v>
      </c>
      <c r="DV230" s="2">
        <v>2.0</v>
      </c>
      <c r="DW230" s="2">
        <v>0.0</v>
      </c>
      <c r="DX230" s="2">
        <v>0.0</v>
      </c>
      <c r="DY230" s="2">
        <v>0.0</v>
      </c>
      <c r="DZ230" s="2">
        <v>0.0</v>
      </c>
      <c r="EA230" s="2">
        <v>0.0</v>
      </c>
      <c r="EB230" s="2">
        <v>0.0</v>
      </c>
      <c r="EC230" s="2">
        <v>80.0</v>
      </c>
      <c r="EE230" s="2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2">
        <v>2025.0</v>
      </c>
      <c r="B231" s="2">
        <v>8.0</v>
      </c>
      <c r="C231" s="2" t="s">
        <v>205</v>
      </c>
      <c r="D231" s="2" t="s">
        <v>390</v>
      </c>
      <c r="E231" s="2" t="s">
        <v>842</v>
      </c>
      <c r="F231" s="2" t="s">
        <v>242</v>
      </c>
      <c r="G231" s="2">
        <v>29.0</v>
      </c>
      <c r="H231" s="2">
        <v>37.0</v>
      </c>
      <c r="I231" s="2">
        <v>360.0</v>
      </c>
      <c r="J231" s="2">
        <v>3.0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194.0</v>
      </c>
      <c r="Q231" s="2">
        <v>245.0</v>
      </c>
      <c r="R231" s="2">
        <v>16.0</v>
      </c>
      <c r="S231" s="2">
        <v>22.3520075172595</v>
      </c>
      <c r="T231" s="2">
        <v>13.5409709385463</v>
      </c>
      <c r="U231" s="2">
        <v>1.0</v>
      </c>
      <c r="V231" s="2">
        <v>11.0</v>
      </c>
      <c r="W231" s="2">
        <v>8.0</v>
      </c>
      <c r="X231" s="2">
        <v>6.0</v>
      </c>
      <c r="Y231" s="2">
        <v>1.0</v>
      </c>
      <c r="Z231" s="2">
        <v>26.0</v>
      </c>
      <c r="AA231" s="2">
        <v>94.0</v>
      </c>
      <c r="AB231" s="2">
        <v>1.0</v>
      </c>
      <c r="AC231" s="2">
        <v>0.0</v>
      </c>
      <c r="AD231" s="2">
        <v>0.0</v>
      </c>
      <c r="AE231" s="2">
        <v>5.0</v>
      </c>
      <c r="AF231" s="2">
        <v>-3.37831765797455</v>
      </c>
      <c r="AG231" s="2">
        <v>0.0</v>
      </c>
      <c r="AH231" s="2">
        <v>2.0</v>
      </c>
      <c r="AI231" s="2">
        <v>2.0</v>
      </c>
      <c r="AJ231" s="2">
        <v>0.0</v>
      </c>
      <c r="AK231" s="2">
        <v>0.0</v>
      </c>
      <c r="AL231" s="2">
        <v>29.0</v>
      </c>
      <c r="AM231" s="2">
        <v>35.0</v>
      </c>
      <c r="AN231" s="2">
        <v>360.0</v>
      </c>
      <c r="AO231" s="2">
        <v>3.0</v>
      </c>
      <c r="AP231" s="2">
        <v>1.0</v>
      </c>
      <c r="AQ231" s="2">
        <v>0.0</v>
      </c>
      <c r="AR231" s="2">
        <v>194.0</v>
      </c>
      <c r="AS231" s="2">
        <v>245.0</v>
      </c>
      <c r="AT231" s="2">
        <v>16.0</v>
      </c>
      <c r="AU231" s="2">
        <v>24.1152541714913</v>
      </c>
      <c r="AV231" s="2">
        <v>1.0</v>
      </c>
      <c r="AW231" s="2">
        <v>11.0</v>
      </c>
      <c r="AX231" s="2">
        <v>8.0</v>
      </c>
      <c r="AY231" s="2">
        <v>6.0</v>
      </c>
      <c r="AZ231" s="2">
        <v>1.0</v>
      </c>
      <c r="BA231" s="2">
        <v>0.0</v>
      </c>
      <c r="BB231" s="2">
        <v>39.0</v>
      </c>
      <c r="BC231" s="2">
        <v>0.0</v>
      </c>
      <c r="BD231" s="2">
        <v>22.0</v>
      </c>
      <c r="BE231" s="2">
        <v>5.0</v>
      </c>
      <c r="BF231" s="2">
        <v>23.0</v>
      </c>
      <c r="BG231" s="2">
        <v>1.0</v>
      </c>
      <c r="BH231" s="2">
        <v>3.0</v>
      </c>
      <c r="BI231" s="2">
        <v>17.0</v>
      </c>
      <c r="BJ231" s="2">
        <v>5.0</v>
      </c>
      <c r="BK231" s="2">
        <v>0.0</v>
      </c>
      <c r="BL231" s="2">
        <v>0.0</v>
      </c>
      <c r="BM231" s="2">
        <v>5.0</v>
      </c>
      <c r="BN231" s="2">
        <v>0.0</v>
      </c>
      <c r="BO231" s="2">
        <v>1.0</v>
      </c>
      <c r="BP231" s="2">
        <v>0.0</v>
      </c>
      <c r="BQ231" s="2">
        <v>0.0</v>
      </c>
      <c r="BR231" s="2">
        <v>1.0</v>
      </c>
      <c r="BS231" s="2">
        <v>0.0</v>
      </c>
      <c r="BT231" s="2">
        <v>1.0</v>
      </c>
      <c r="BU231" s="2">
        <v>0.0</v>
      </c>
      <c r="BV231" s="2">
        <v>0.0</v>
      </c>
      <c r="BW231" s="2">
        <v>5.0</v>
      </c>
      <c r="BX231" s="2">
        <v>47.0</v>
      </c>
      <c r="BY231" s="2">
        <v>4.0</v>
      </c>
      <c r="BZ231" s="2">
        <v>1.0</v>
      </c>
      <c r="CA231" s="2">
        <v>1.0</v>
      </c>
      <c r="CB231" s="2">
        <v>1.0</v>
      </c>
      <c r="CC231" s="2">
        <v>2.0</v>
      </c>
      <c r="CD231" s="2">
        <v>0.0</v>
      </c>
      <c r="CE231" s="2">
        <v>4.0</v>
      </c>
      <c r="CF231" s="2">
        <v>17.0</v>
      </c>
      <c r="CG231" s="2">
        <v>5.0</v>
      </c>
      <c r="CH231" s="2">
        <v>119.0</v>
      </c>
      <c r="CI231" s="2">
        <v>2.0</v>
      </c>
      <c r="CJ231" s="2">
        <v>4.0</v>
      </c>
      <c r="CK231" s="2">
        <v>2.0</v>
      </c>
      <c r="CL231" s="2">
        <v>0.0</v>
      </c>
      <c r="CM231" s="2">
        <v>28.0</v>
      </c>
      <c r="CN231" s="2">
        <v>0.5</v>
      </c>
      <c r="CO231" s="2">
        <v>0.0</v>
      </c>
      <c r="CP231" s="2">
        <v>2.0</v>
      </c>
      <c r="CQ231" s="2">
        <v>0.0</v>
      </c>
      <c r="CR231" s="2">
        <v>0.0</v>
      </c>
      <c r="CS231" s="2">
        <v>0.0</v>
      </c>
      <c r="CT231" s="2">
        <v>0.0</v>
      </c>
      <c r="CU231" s="2">
        <v>0.0</v>
      </c>
      <c r="CV231" s="2">
        <v>0.0</v>
      </c>
      <c r="CW231" s="2">
        <v>0.0</v>
      </c>
      <c r="CX231" s="2">
        <v>1.0</v>
      </c>
      <c r="CY231" s="2">
        <v>1.0</v>
      </c>
      <c r="CZ231" s="2">
        <v>0.0</v>
      </c>
      <c r="DA231" s="2" t="s">
        <v>2124</v>
      </c>
      <c r="DB231" s="2" t="s">
        <v>2125</v>
      </c>
      <c r="DD231" s="2">
        <v>53.0</v>
      </c>
      <c r="DE231" s="2">
        <v>101.0</v>
      </c>
      <c r="DF231" s="2">
        <v>0.0</v>
      </c>
      <c r="DG231" s="2">
        <v>3.0</v>
      </c>
      <c r="DH231" s="2">
        <v>3.0</v>
      </c>
      <c r="DI231" s="2">
        <v>0.0</v>
      </c>
      <c r="DJ231" s="2">
        <v>0.0</v>
      </c>
      <c r="DK231" s="2">
        <v>1.0</v>
      </c>
      <c r="DL231" s="2">
        <v>0.0</v>
      </c>
      <c r="DM231" s="2">
        <v>0.0</v>
      </c>
      <c r="DN231" s="2">
        <v>0.0</v>
      </c>
      <c r="DO231" s="2">
        <v>0.0</v>
      </c>
      <c r="DP231" s="2">
        <v>0.0</v>
      </c>
      <c r="DQ231" s="2">
        <v>3.0</v>
      </c>
      <c r="DR231" s="2">
        <v>0.0</v>
      </c>
      <c r="DS231" s="2">
        <v>56.0</v>
      </c>
      <c r="DT231" s="2">
        <v>152.0</v>
      </c>
      <c r="DU231" s="2">
        <v>1.0</v>
      </c>
      <c r="DV231" s="2">
        <v>0.0</v>
      </c>
      <c r="DW231" s="2">
        <v>0.0</v>
      </c>
      <c r="DX231" s="2">
        <v>0.0</v>
      </c>
      <c r="DY231" s="2">
        <v>1.0</v>
      </c>
      <c r="DZ231" s="2">
        <v>2.0</v>
      </c>
      <c r="EA231" s="2">
        <v>21.0</v>
      </c>
      <c r="EB231" s="2">
        <v>0.0</v>
      </c>
      <c r="EC231" s="2">
        <v>131.0</v>
      </c>
      <c r="EE231" s="2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2">
        <v>2025.0</v>
      </c>
      <c r="B232" s="2">
        <v>8.0</v>
      </c>
      <c r="C232" s="2" t="s">
        <v>140</v>
      </c>
      <c r="D232" s="2" t="s">
        <v>390</v>
      </c>
      <c r="E232" s="2" t="s">
        <v>830</v>
      </c>
      <c r="F232" s="2" t="s">
        <v>246</v>
      </c>
      <c r="G232" s="2">
        <v>30.0</v>
      </c>
      <c r="H232" s="2">
        <v>39.0</v>
      </c>
      <c r="I232" s="2">
        <v>318.0</v>
      </c>
      <c r="J232" s="2">
        <v>2.0</v>
      </c>
      <c r="K232" s="2">
        <v>1.0</v>
      </c>
      <c r="L232" s="2">
        <v>0.0</v>
      </c>
      <c r="M232" s="2">
        <v>0.0</v>
      </c>
      <c r="N232" s="2">
        <v>0.0</v>
      </c>
      <c r="O232" s="2">
        <v>0.0</v>
      </c>
      <c r="P232" s="2">
        <v>338.0</v>
      </c>
      <c r="Q232" s="2">
        <v>146.0</v>
      </c>
      <c r="R232" s="2">
        <v>16.0</v>
      </c>
      <c r="S232" s="2">
        <v>19.1880321130913</v>
      </c>
      <c r="T232" s="2">
        <v>8.51591778428931</v>
      </c>
      <c r="U232" s="2">
        <v>0.0</v>
      </c>
      <c r="V232" s="2">
        <v>9.0</v>
      </c>
      <c r="W232" s="2">
        <v>6.0</v>
      </c>
      <c r="X232" s="2">
        <v>3.0</v>
      </c>
      <c r="Y232" s="2">
        <v>2.0</v>
      </c>
      <c r="Z232" s="2">
        <v>36.0</v>
      </c>
      <c r="AA232" s="2">
        <v>157.0</v>
      </c>
      <c r="AB232" s="2">
        <v>0.0</v>
      </c>
      <c r="AC232" s="2">
        <v>0.0</v>
      </c>
      <c r="AD232" s="2">
        <v>0.0</v>
      </c>
      <c r="AE232" s="2">
        <v>6.0</v>
      </c>
      <c r="AF232" s="2">
        <v>-1.79613201357846</v>
      </c>
      <c r="AG232" s="2">
        <v>0.0</v>
      </c>
      <c r="AH232" s="2">
        <v>3.0</v>
      </c>
      <c r="AI232" s="2">
        <v>3.0</v>
      </c>
      <c r="AJ232" s="2">
        <v>1.0</v>
      </c>
      <c r="AK232" s="2">
        <v>0.0</v>
      </c>
      <c r="AL232" s="2">
        <v>30.0</v>
      </c>
      <c r="AM232" s="2">
        <v>38.0</v>
      </c>
      <c r="AN232" s="2">
        <v>318.0</v>
      </c>
      <c r="AO232" s="2">
        <v>2.0</v>
      </c>
      <c r="AP232" s="2">
        <v>0.0</v>
      </c>
      <c r="AQ232" s="2">
        <v>0.0</v>
      </c>
      <c r="AR232" s="2">
        <v>338.0</v>
      </c>
      <c r="AS232" s="2">
        <v>146.0</v>
      </c>
      <c r="AT232" s="2">
        <v>16.0</v>
      </c>
      <c r="AU232" s="2">
        <v>19.6938962707237</v>
      </c>
      <c r="AV232" s="2">
        <v>0.0</v>
      </c>
      <c r="AW232" s="2">
        <v>9.0</v>
      </c>
      <c r="AX232" s="2">
        <v>6.0</v>
      </c>
      <c r="AY232" s="2">
        <v>3.0</v>
      </c>
      <c r="AZ232" s="2">
        <v>2.0</v>
      </c>
      <c r="BA232" s="2">
        <v>0.0</v>
      </c>
      <c r="BB232" s="2">
        <v>25.0</v>
      </c>
      <c r="BC232" s="2">
        <v>1.0</v>
      </c>
      <c r="BD232" s="2">
        <v>19.0</v>
      </c>
      <c r="BE232" s="2">
        <v>4.0</v>
      </c>
      <c r="BF232" s="2">
        <v>24.0</v>
      </c>
      <c r="BG232" s="2">
        <v>1.0</v>
      </c>
      <c r="BH232" s="2">
        <v>2.0</v>
      </c>
      <c r="BI232" s="2">
        <v>18.0</v>
      </c>
      <c r="BJ232" s="2">
        <v>6.0</v>
      </c>
      <c r="BK232" s="2">
        <v>1.0</v>
      </c>
      <c r="BL232" s="2">
        <v>0.0</v>
      </c>
      <c r="BM232" s="2">
        <v>5.0</v>
      </c>
      <c r="BN232" s="2">
        <v>0.0</v>
      </c>
      <c r="BO232" s="2">
        <v>0.0</v>
      </c>
      <c r="BP232" s="2">
        <v>0.0</v>
      </c>
      <c r="BQ232" s="2">
        <v>0.0</v>
      </c>
      <c r="BR232" s="2">
        <v>0.0</v>
      </c>
      <c r="BS232" s="2">
        <v>0.0</v>
      </c>
      <c r="BT232" s="2">
        <v>0.0</v>
      </c>
      <c r="BU232" s="2">
        <v>0.0</v>
      </c>
      <c r="BV232" s="2">
        <v>0.0</v>
      </c>
      <c r="BW232" s="2">
        <v>8.0</v>
      </c>
      <c r="BX232" s="2">
        <v>55.0</v>
      </c>
      <c r="BY232" s="2">
        <v>3.0</v>
      </c>
      <c r="BZ232" s="2">
        <v>0.0</v>
      </c>
      <c r="CA232" s="2">
        <v>0.0</v>
      </c>
      <c r="CB232" s="2">
        <v>0.0</v>
      </c>
      <c r="CC232" s="2">
        <v>0.0</v>
      </c>
      <c r="CD232" s="2">
        <v>0.0</v>
      </c>
      <c r="CE232" s="2">
        <v>2.0</v>
      </c>
      <c r="CF232" s="2">
        <v>11.0</v>
      </c>
      <c r="CG232" s="2">
        <v>3.0</v>
      </c>
      <c r="CH232" s="2">
        <v>70.0</v>
      </c>
      <c r="CI232" s="2">
        <v>4.0</v>
      </c>
      <c r="CJ232" s="2">
        <v>4.0</v>
      </c>
      <c r="CK232" s="2">
        <v>0.0</v>
      </c>
      <c r="CL232" s="2">
        <v>0.0</v>
      </c>
      <c r="CM232" s="2">
        <v>37.0</v>
      </c>
      <c r="CN232" s="2">
        <v>1.0</v>
      </c>
      <c r="CO232" s="2">
        <v>0.0</v>
      </c>
      <c r="CP232" s="2">
        <v>0.0</v>
      </c>
      <c r="CQ232" s="2">
        <v>4.0</v>
      </c>
      <c r="CR232" s="2">
        <v>0.0</v>
      </c>
      <c r="CS232" s="2">
        <v>0.0</v>
      </c>
      <c r="CT232" s="2">
        <v>0.0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0.0</v>
      </c>
      <c r="DA232" s="2" t="s">
        <v>2126</v>
      </c>
      <c r="DD232" s="2">
        <v>134.0</v>
      </c>
      <c r="DE232" s="2">
        <v>0.0</v>
      </c>
      <c r="DF232" s="2">
        <v>0.0</v>
      </c>
      <c r="DG232" s="2">
        <v>2.0</v>
      </c>
      <c r="DH232" s="2">
        <v>2.0</v>
      </c>
      <c r="DI232" s="2">
        <v>0.0</v>
      </c>
      <c r="DJ232" s="2">
        <v>0.0</v>
      </c>
      <c r="DK232" s="2">
        <v>1.0</v>
      </c>
      <c r="DL232" s="2">
        <v>0.0</v>
      </c>
      <c r="DM232" s="2">
        <v>0.0</v>
      </c>
      <c r="DN232" s="2">
        <v>0.0</v>
      </c>
      <c r="DO232" s="2">
        <v>0.0</v>
      </c>
      <c r="DP232" s="2">
        <v>0.0</v>
      </c>
      <c r="DQ232" s="2">
        <v>2.0</v>
      </c>
      <c r="DR232" s="2">
        <v>0.0</v>
      </c>
      <c r="DS232" s="2">
        <v>53.0</v>
      </c>
      <c r="DT232" s="2">
        <v>96.0</v>
      </c>
      <c r="DU232" s="2">
        <v>1.0</v>
      </c>
      <c r="DV232" s="2">
        <v>1.0</v>
      </c>
      <c r="DW232" s="2">
        <v>1.0</v>
      </c>
      <c r="DX232" s="2">
        <v>0.0</v>
      </c>
      <c r="DY232" s="2">
        <v>0.0</v>
      </c>
      <c r="DZ232" s="2">
        <v>0.0</v>
      </c>
      <c r="EA232" s="2">
        <v>0.0</v>
      </c>
      <c r="EB232" s="2">
        <v>0.0</v>
      </c>
      <c r="EC232" s="2">
        <v>96.0</v>
      </c>
      <c r="EE232" s="2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2">
        <v>2025.0</v>
      </c>
      <c r="B233" s="2">
        <v>8.0</v>
      </c>
      <c r="C233" s="2" t="s">
        <v>210</v>
      </c>
      <c r="D233" s="2" t="s">
        <v>390</v>
      </c>
      <c r="E233" s="2" t="s">
        <v>840</v>
      </c>
      <c r="F233" s="2" t="s">
        <v>250</v>
      </c>
      <c r="G233" s="2">
        <v>21.0</v>
      </c>
      <c r="H233" s="2">
        <v>31.0</v>
      </c>
      <c r="I233" s="2">
        <v>272.0</v>
      </c>
      <c r="J233" s="2">
        <v>3.0</v>
      </c>
      <c r="K233" s="2">
        <v>0.0</v>
      </c>
      <c r="L233" s="2">
        <v>3.0</v>
      </c>
      <c r="M233" s="2">
        <v>-16.0</v>
      </c>
      <c r="N233" s="2">
        <v>0.0</v>
      </c>
      <c r="O233" s="2">
        <v>0.0</v>
      </c>
      <c r="P233" s="2">
        <v>267.0</v>
      </c>
      <c r="Q233" s="2">
        <v>110.0</v>
      </c>
      <c r="R233" s="2">
        <v>14.0</v>
      </c>
      <c r="S233" s="2">
        <v>11.7266107377593</v>
      </c>
      <c r="T233" s="2">
        <v>7.13597695742335</v>
      </c>
      <c r="U233" s="2">
        <v>0.0</v>
      </c>
      <c r="V233" s="2">
        <v>14.0</v>
      </c>
      <c r="W233" s="2">
        <v>7.0</v>
      </c>
      <c r="X233" s="2">
        <v>3.0</v>
      </c>
      <c r="Y233" s="2">
        <v>1.0</v>
      </c>
      <c r="Z233" s="2">
        <v>18.0</v>
      </c>
      <c r="AA233" s="2">
        <v>164.0</v>
      </c>
      <c r="AB233" s="2">
        <v>2.0</v>
      </c>
      <c r="AC233" s="2">
        <v>0.0</v>
      </c>
      <c r="AD233" s="2">
        <v>0.0</v>
      </c>
      <c r="AE233" s="2">
        <v>7.0</v>
      </c>
      <c r="AF233" s="2">
        <v>8.1138399746269</v>
      </c>
      <c r="AG233" s="2">
        <v>0.0</v>
      </c>
      <c r="AH233" s="2">
        <v>5.0</v>
      </c>
      <c r="AI233" s="2">
        <v>4.0</v>
      </c>
      <c r="AJ233" s="2">
        <v>1.0</v>
      </c>
      <c r="AK233" s="2">
        <v>1.0</v>
      </c>
      <c r="AL233" s="2">
        <v>21.0</v>
      </c>
      <c r="AM233" s="2">
        <v>28.0</v>
      </c>
      <c r="AN233" s="2">
        <v>272.0</v>
      </c>
      <c r="AO233" s="2">
        <v>3.0</v>
      </c>
      <c r="AP233" s="2">
        <v>0.0</v>
      </c>
      <c r="AQ233" s="2">
        <v>0.0</v>
      </c>
      <c r="AR233" s="2">
        <v>267.0</v>
      </c>
      <c r="AS233" s="2">
        <v>110.0</v>
      </c>
      <c r="AT233" s="2">
        <v>14.0</v>
      </c>
      <c r="AU233" s="2">
        <v>16.6931150700195</v>
      </c>
      <c r="AV233" s="2">
        <v>0.0</v>
      </c>
      <c r="AW233" s="2">
        <v>14.0</v>
      </c>
      <c r="AX233" s="2">
        <v>7.0</v>
      </c>
      <c r="AY233" s="2">
        <v>3.0</v>
      </c>
      <c r="AZ233" s="2">
        <v>1.0</v>
      </c>
      <c r="BA233" s="2">
        <v>0.0</v>
      </c>
      <c r="BB233" s="2">
        <v>43.0</v>
      </c>
      <c r="BC233" s="2">
        <v>1.0</v>
      </c>
      <c r="BD233" s="2">
        <v>25.0</v>
      </c>
      <c r="BE233" s="2">
        <v>8.0</v>
      </c>
      <c r="BF233" s="2">
        <v>33.0</v>
      </c>
      <c r="BG233" s="2">
        <v>0.0</v>
      </c>
      <c r="BH233" s="2">
        <v>4.0</v>
      </c>
      <c r="BI233" s="2">
        <v>31.0</v>
      </c>
      <c r="BJ233" s="2">
        <v>7.0</v>
      </c>
      <c r="BK233" s="2">
        <v>1.0</v>
      </c>
      <c r="BL233" s="2">
        <v>0.0</v>
      </c>
      <c r="BM233" s="2">
        <v>4.0</v>
      </c>
      <c r="BN233" s="2">
        <v>0.0</v>
      </c>
      <c r="BO233" s="2">
        <v>0.0</v>
      </c>
      <c r="BP233" s="2">
        <v>0.0</v>
      </c>
      <c r="BQ233" s="2">
        <v>0.0</v>
      </c>
      <c r="BR233" s="2">
        <v>0.0</v>
      </c>
      <c r="BS233" s="2">
        <v>0.0</v>
      </c>
      <c r="BT233" s="2">
        <v>0.0</v>
      </c>
      <c r="BU233" s="2">
        <v>0.0</v>
      </c>
      <c r="BV233" s="2">
        <v>0.0</v>
      </c>
      <c r="BW233" s="2">
        <v>3.0</v>
      </c>
      <c r="BX233" s="2">
        <v>32.0</v>
      </c>
      <c r="BY233" s="2">
        <v>2.0</v>
      </c>
      <c r="BZ233" s="2">
        <v>0.0</v>
      </c>
      <c r="CA233" s="2">
        <v>0.0</v>
      </c>
      <c r="CB233" s="2">
        <v>0.0</v>
      </c>
      <c r="CC233" s="2">
        <v>0.0</v>
      </c>
      <c r="CD233" s="2">
        <v>0.0</v>
      </c>
      <c r="CE233" s="2">
        <v>2.0</v>
      </c>
      <c r="CF233" s="2">
        <v>33.0</v>
      </c>
      <c r="CG233" s="2">
        <v>2.0</v>
      </c>
      <c r="CH233" s="2">
        <v>42.0</v>
      </c>
      <c r="CI233" s="2">
        <v>1.0</v>
      </c>
      <c r="CJ233" s="2">
        <v>1.0</v>
      </c>
      <c r="CK233" s="2">
        <v>0.0</v>
      </c>
      <c r="CL233" s="2">
        <v>0.0</v>
      </c>
      <c r="CM233" s="2">
        <v>43.0</v>
      </c>
      <c r="CN233" s="2">
        <v>1.0</v>
      </c>
      <c r="CO233" s="2">
        <v>0.0</v>
      </c>
      <c r="CP233" s="2">
        <v>0.0</v>
      </c>
      <c r="CQ233" s="2">
        <v>0.0</v>
      </c>
      <c r="CR233" s="2">
        <v>1.0</v>
      </c>
      <c r="CS233" s="2">
        <v>0.0</v>
      </c>
      <c r="CT233" s="2">
        <v>0.0</v>
      </c>
      <c r="CU233" s="2">
        <v>0.0</v>
      </c>
      <c r="CV233" s="2">
        <v>0.0</v>
      </c>
      <c r="CW233" s="2">
        <v>0.0</v>
      </c>
      <c r="CX233" s="2">
        <v>0.0</v>
      </c>
      <c r="CY233" s="2">
        <v>0.0</v>
      </c>
      <c r="CZ233" s="2">
        <v>0.0</v>
      </c>
      <c r="DA233" s="2" t="s">
        <v>2033</v>
      </c>
      <c r="DD233" s="2">
        <v>43.0</v>
      </c>
      <c r="DE233" s="2">
        <v>0.0</v>
      </c>
      <c r="DF233" s="2">
        <v>0.0</v>
      </c>
      <c r="DG233" s="2">
        <v>5.0</v>
      </c>
      <c r="DH233" s="2">
        <v>5.0</v>
      </c>
      <c r="DI233" s="2">
        <v>0.0</v>
      </c>
      <c r="DJ233" s="2">
        <v>0.0</v>
      </c>
      <c r="DK233" s="2">
        <v>1.0</v>
      </c>
      <c r="DL233" s="2">
        <v>0.0</v>
      </c>
      <c r="DM233" s="2">
        <v>0.0</v>
      </c>
      <c r="DN233" s="2">
        <v>0.0</v>
      </c>
      <c r="DO233" s="2">
        <v>0.0</v>
      </c>
      <c r="DP233" s="2">
        <v>0.0</v>
      </c>
      <c r="DQ233" s="2">
        <v>4.0</v>
      </c>
      <c r="DR233" s="2">
        <v>0.0</v>
      </c>
      <c r="DS233" s="2">
        <v>49.0</v>
      </c>
      <c r="DT233" s="2">
        <v>189.0</v>
      </c>
      <c r="DU233" s="2">
        <v>1.0</v>
      </c>
      <c r="DV233" s="2">
        <v>2.0</v>
      </c>
      <c r="DW233" s="2">
        <v>0.0</v>
      </c>
      <c r="DX233" s="2">
        <v>0.0</v>
      </c>
      <c r="DY233" s="2">
        <v>2.0</v>
      </c>
      <c r="DZ233" s="2">
        <v>0.0</v>
      </c>
      <c r="EA233" s="2">
        <v>0.0</v>
      </c>
      <c r="EB233" s="2">
        <v>0.0</v>
      </c>
      <c r="EC233" s="2">
        <v>189.0</v>
      </c>
      <c r="EE233" s="2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2">
        <v>2025.0</v>
      </c>
      <c r="B234" s="2">
        <v>8.0</v>
      </c>
      <c r="C234" s="2" t="s">
        <v>143</v>
      </c>
      <c r="D234" s="2" t="s">
        <v>390</v>
      </c>
      <c r="E234" s="2" t="s">
        <v>844</v>
      </c>
      <c r="F234" s="2" t="s">
        <v>253</v>
      </c>
      <c r="G234" s="2">
        <v>25.0</v>
      </c>
      <c r="H234" s="2">
        <v>34.0</v>
      </c>
      <c r="I234" s="2">
        <v>299.0</v>
      </c>
      <c r="J234" s="2">
        <v>3.0</v>
      </c>
      <c r="K234" s="2">
        <v>2.0</v>
      </c>
      <c r="L234" s="2">
        <v>3.0</v>
      </c>
      <c r="M234" s="2">
        <v>-15.0</v>
      </c>
      <c r="N234" s="2">
        <v>0.0</v>
      </c>
      <c r="O234" s="2">
        <v>0.0</v>
      </c>
      <c r="P234" s="2">
        <v>219.0</v>
      </c>
      <c r="Q234" s="2">
        <v>173.0</v>
      </c>
      <c r="R234" s="2">
        <v>16.0</v>
      </c>
      <c r="S234" s="2">
        <v>13.7287036630441</v>
      </c>
      <c r="T234" s="2">
        <v>10.9032199718058</v>
      </c>
      <c r="U234" s="2">
        <v>0.0</v>
      </c>
      <c r="V234" s="2">
        <v>14.0</v>
      </c>
      <c r="W234" s="2">
        <v>6.0</v>
      </c>
      <c r="X234" s="2">
        <v>5.0</v>
      </c>
      <c r="Y234" s="2">
        <v>0.0</v>
      </c>
      <c r="Z234" s="2">
        <v>30.0</v>
      </c>
      <c r="AA234" s="2">
        <v>148.0</v>
      </c>
      <c r="AB234" s="2">
        <v>1.0</v>
      </c>
      <c r="AC234" s="2">
        <v>1.0</v>
      </c>
      <c r="AD234" s="2">
        <v>0.0</v>
      </c>
      <c r="AE234" s="2">
        <v>8.0</v>
      </c>
      <c r="AF234" s="2">
        <v>2.82222637755331</v>
      </c>
      <c r="AG234" s="2">
        <v>0.0</v>
      </c>
      <c r="AH234" s="2">
        <v>4.0</v>
      </c>
      <c r="AI234" s="2">
        <v>2.0</v>
      </c>
      <c r="AJ234" s="2">
        <v>0.0</v>
      </c>
      <c r="AK234" s="2">
        <v>0.0</v>
      </c>
      <c r="AL234" s="2">
        <v>25.0</v>
      </c>
      <c r="AM234" s="2">
        <v>32.0</v>
      </c>
      <c r="AN234" s="2">
        <v>299.0</v>
      </c>
      <c r="AO234" s="2">
        <v>3.0</v>
      </c>
      <c r="AP234" s="2">
        <v>1.0</v>
      </c>
      <c r="AQ234" s="2">
        <v>0.0</v>
      </c>
      <c r="AR234" s="2">
        <v>219.0</v>
      </c>
      <c r="AS234" s="2">
        <v>173.0</v>
      </c>
      <c r="AT234" s="2">
        <v>16.0</v>
      </c>
      <c r="AU234" s="2">
        <v>15.177524134866</v>
      </c>
      <c r="AV234" s="2">
        <v>0.0</v>
      </c>
      <c r="AW234" s="2">
        <v>14.0</v>
      </c>
      <c r="AX234" s="2">
        <v>6.0</v>
      </c>
      <c r="AY234" s="2">
        <v>5.0</v>
      </c>
      <c r="AZ234" s="2">
        <v>0.0</v>
      </c>
      <c r="BA234" s="2">
        <v>0.0</v>
      </c>
      <c r="BB234" s="2">
        <v>28.0</v>
      </c>
      <c r="BC234" s="2">
        <v>0.0</v>
      </c>
      <c r="BD234" s="2">
        <v>36.0</v>
      </c>
      <c r="BE234" s="2">
        <v>3.0</v>
      </c>
      <c r="BF234" s="2">
        <v>15.0</v>
      </c>
      <c r="BG234" s="2">
        <v>1.0</v>
      </c>
      <c r="BH234" s="2">
        <v>2.0</v>
      </c>
      <c r="BI234" s="2">
        <v>13.0</v>
      </c>
      <c r="BJ234" s="2">
        <v>4.0</v>
      </c>
      <c r="BK234" s="2">
        <v>2.0</v>
      </c>
      <c r="BL234" s="2">
        <v>10.0</v>
      </c>
      <c r="BM234" s="2">
        <v>3.0</v>
      </c>
      <c r="BN234" s="2">
        <v>0.0</v>
      </c>
      <c r="BO234" s="2">
        <v>0.0</v>
      </c>
      <c r="BP234" s="2">
        <v>0.0</v>
      </c>
      <c r="BQ234" s="2">
        <v>0.0</v>
      </c>
      <c r="BR234" s="2">
        <v>2.0</v>
      </c>
      <c r="BS234" s="2">
        <v>0.0</v>
      </c>
      <c r="BT234" s="2">
        <v>0.0</v>
      </c>
      <c r="BU234" s="2">
        <v>0.0</v>
      </c>
      <c r="BV234" s="2">
        <v>0.0</v>
      </c>
      <c r="BW234" s="2">
        <v>9.0</v>
      </c>
      <c r="BX234" s="2">
        <v>95.0</v>
      </c>
      <c r="BY234" s="2">
        <v>4.0</v>
      </c>
      <c r="BZ234" s="2">
        <v>2.0</v>
      </c>
      <c r="CA234" s="2">
        <v>0.0</v>
      </c>
      <c r="CB234" s="2">
        <v>0.0</v>
      </c>
      <c r="CC234" s="2">
        <v>2.0</v>
      </c>
      <c r="CD234" s="2">
        <v>0.0</v>
      </c>
      <c r="CE234" s="2">
        <v>2.0</v>
      </c>
      <c r="CF234" s="2">
        <v>13.0</v>
      </c>
      <c r="CG234" s="2">
        <v>2.0</v>
      </c>
      <c r="CH234" s="2">
        <v>46.0</v>
      </c>
      <c r="CI234" s="2">
        <v>0.0</v>
      </c>
      <c r="CJ234" s="2">
        <v>0.0</v>
      </c>
      <c r="CK234" s="2">
        <v>0.0</v>
      </c>
      <c r="CL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0.0</v>
      </c>
      <c r="CT234" s="2">
        <v>0.0</v>
      </c>
      <c r="CU234" s="2">
        <v>0.0</v>
      </c>
      <c r="CV234" s="2">
        <v>0.0</v>
      </c>
      <c r="CW234" s="2">
        <v>0.0</v>
      </c>
      <c r="CX234" s="2">
        <v>0.0</v>
      </c>
      <c r="CY234" s="2">
        <v>0.0</v>
      </c>
      <c r="CZ234" s="2">
        <v>0.0</v>
      </c>
      <c r="DD234" s="2">
        <v>0.0</v>
      </c>
      <c r="DE234" s="2">
        <v>0.0</v>
      </c>
      <c r="DF234" s="2">
        <v>0.0</v>
      </c>
      <c r="DG234" s="2">
        <v>4.0</v>
      </c>
      <c r="DH234" s="2">
        <v>4.0</v>
      </c>
      <c r="DI234" s="2">
        <v>0.0</v>
      </c>
      <c r="DJ234" s="2">
        <v>0.0</v>
      </c>
      <c r="DK234" s="2">
        <v>1.0</v>
      </c>
      <c r="DL234" s="2">
        <v>0.0</v>
      </c>
      <c r="DM234" s="2">
        <v>0.0</v>
      </c>
      <c r="DN234" s="2">
        <v>0.0</v>
      </c>
      <c r="DO234" s="2">
        <v>0.0</v>
      </c>
      <c r="DP234" s="2">
        <v>0.0</v>
      </c>
      <c r="DQ234" s="2">
        <v>1.0</v>
      </c>
      <c r="DR234" s="2">
        <v>0.0</v>
      </c>
      <c r="DS234" s="2">
        <v>56.0</v>
      </c>
      <c r="DT234" s="2">
        <v>56.0</v>
      </c>
      <c r="DU234" s="2">
        <v>0.0</v>
      </c>
      <c r="DV234" s="2">
        <v>0.0</v>
      </c>
      <c r="DW234" s="2">
        <v>0.0</v>
      </c>
      <c r="DX234" s="2">
        <v>0.0</v>
      </c>
      <c r="DY234" s="2">
        <v>0.0</v>
      </c>
      <c r="DZ234" s="2">
        <v>1.0</v>
      </c>
      <c r="EA234" s="2">
        <v>14.0</v>
      </c>
      <c r="EB234" s="2">
        <v>0.0</v>
      </c>
      <c r="EC234" s="2">
        <v>42.0</v>
      </c>
      <c r="EE234" s="2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2">
        <v>2025.0</v>
      </c>
      <c r="B235" s="2">
        <v>8.0</v>
      </c>
      <c r="C235" s="2" t="s">
        <v>220</v>
      </c>
      <c r="D235" s="2" t="s">
        <v>390</v>
      </c>
      <c r="E235" s="2" t="s">
        <v>814</v>
      </c>
      <c r="F235" s="2" t="s">
        <v>144</v>
      </c>
      <c r="G235" s="2">
        <v>18.0</v>
      </c>
      <c r="H235" s="2">
        <v>25.0</v>
      </c>
      <c r="I235" s="2">
        <v>227.0</v>
      </c>
      <c r="J235" s="2">
        <v>3.0</v>
      </c>
      <c r="K235" s="2">
        <v>1.0</v>
      </c>
      <c r="L235" s="2">
        <v>2.0</v>
      </c>
      <c r="M235" s="2">
        <v>-15.0</v>
      </c>
      <c r="N235" s="2">
        <v>0.0</v>
      </c>
      <c r="O235" s="2">
        <v>0.0</v>
      </c>
      <c r="P235" s="2">
        <v>206.0</v>
      </c>
      <c r="Q235" s="2">
        <v>75.0</v>
      </c>
      <c r="R235" s="2">
        <v>13.0</v>
      </c>
      <c r="S235" s="2">
        <v>11.6075315437159</v>
      </c>
      <c r="T235" s="2">
        <v>9.11166866620382</v>
      </c>
      <c r="U235" s="2">
        <v>0.0</v>
      </c>
      <c r="V235" s="2">
        <v>10.0</v>
      </c>
      <c r="W235" s="2">
        <v>4.0</v>
      </c>
      <c r="X235" s="2">
        <v>2.0</v>
      </c>
      <c r="Y235" s="2">
        <v>1.0</v>
      </c>
      <c r="Z235" s="2">
        <v>43.0</v>
      </c>
      <c r="AA235" s="2">
        <v>207.0</v>
      </c>
      <c r="AB235" s="2">
        <v>1.0</v>
      </c>
      <c r="AC235" s="2">
        <v>0.0</v>
      </c>
      <c r="AD235" s="2">
        <v>0.0</v>
      </c>
      <c r="AE235" s="2">
        <v>14.0</v>
      </c>
      <c r="AF235" s="2">
        <v>2.65026536457941</v>
      </c>
      <c r="AG235" s="2">
        <v>0.0</v>
      </c>
      <c r="AH235" s="2">
        <v>5.0</v>
      </c>
      <c r="AI235" s="2">
        <v>5.0</v>
      </c>
      <c r="AJ235" s="2">
        <v>1.0</v>
      </c>
      <c r="AK235" s="2">
        <v>0.0</v>
      </c>
      <c r="AL235" s="2">
        <v>18.0</v>
      </c>
      <c r="AM235" s="2">
        <v>24.0</v>
      </c>
      <c r="AN235" s="2">
        <v>227.0</v>
      </c>
      <c r="AO235" s="2">
        <v>3.0</v>
      </c>
      <c r="AP235" s="2">
        <v>0.0</v>
      </c>
      <c r="AQ235" s="2">
        <v>0.0</v>
      </c>
      <c r="AR235" s="2">
        <v>206.0</v>
      </c>
      <c r="AS235" s="2">
        <v>75.0</v>
      </c>
      <c r="AT235" s="2">
        <v>13.0</v>
      </c>
      <c r="AU235" s="2">
        <v>15.5389296410252</v>
      </c>
      <c r="AV235" s="2">
        <v>0.0</v>
      </c>
      <c r="AW235" s="2">
        <v>10.0</v>
      </c>
      <c r="AX235" s="2">
        <v>4.0</v>
      </c>
      <c r="AY235" s="2">
        <v>2.0</v>
      </c>
      <c r="AZ235" s="2">
        <v>1.0</v>
      </c>
      <c r="BA235" s="2">
        <v>0.0</v>
      </c>
      <c r="BB235" s="2">
        <v>32.0</v>
      </c>
      <c r="BC235" s="2">
        <v>1.0</v>
      </c>
      <c r="BD235" s="2">
        <v>13.0</v>
      </c>
      <c r="BE235" s="2">
        <v>7.0</v>
      </c>
      <c r="BF235" s="2">
        <v>30.0</v>
      </c>
      <c r="BG235" s="2">
        <v>1.0</v>
      </c>
      <c r="BH235" s="2">
        <v>5.0</v>
      </c>
      <c r="BI235" s="2">
        <v>27.0</v>
      </c>
      <c r="BJ235" s="2">
        <v>8.0</v>
      </c>
      <c r="BK235" s="2">
        <v>1.0</v>
      </c>
      <c r="BL235" s="2">
        <v>15.0</v>
      </c>
      <c r="BM235" s="2">
        <v>7.0</v>
      </c>
      <c r="BN235" s="2">
        <v>0.0</v>
      </c>
      <c r="BO235" s="2">
        <v>0.0</v>
      </c>
      <c r="BP235" s="2">
        <v>0.0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8.0</v>
      </c>
      <c r="BX235" s="2">
        <v>46.0</v>
      </c>
      <c r="BY235" s="2">
        <v>2.0</v>
      </c>
      <c r="BZ235" s="2">
        <v>0.0</v>
      </c>
      <c r="CA235" s="2">
        <v>0.0</v>
      </c>
      <c r="CB235" s="2">
        <v>0.0</v>
      </c>
      <c r="CC235" s="2">
        <v>0.0</v>
      </c>
      <c r="CD235" s="2">
        <v>0.0</v>
      </c>
      <c r="CE235" s="2">
        <v>1.0</v>
      </c>
      <c r="CF235" s="2">
        <v>0.0</v>
      </c>
      <c r="CG235" s="2">
        <v>3.0</v>
      </c>
      <c r="CH235" s="2">
        <v>75.0</v>
      </c>
      <c r="CI235" s="2">
        <v>3.0</v>
      </c>
      <c r="CJ235" s="2">
        <v>4.0</v>
      </c>
      <c r="CK235" s="2">
        <v>1.0</v>
      </c>
      <c r="CL235" s="2">
        <v>0.0</v>
      </c>
      <c r="CM235" s="2">
        <v>45.0</v>
      </c>
      <c r="CN235" s="2">
        <v>0.75</v>
      </c>
      <c r="CO235" s="2">
        <v>0.0</v>
      </c>
      <c r="CP235" s="2">
        <v>0.0</v>
      </c>
      <c r="CQ235" s="2">
        <v>1.0</v>
      </c>
      <c r="CR235" s="2">
        <v>2.0</v>
      </c>
      <c r="CS235" s="2">
        <v>0.0</v>
      </c>
      <c r="CT235" s="2">
        <v>0.0</v>
      </c>
      <c r="CU235" s="2">
        <v>0.0</v>
      </c>
      <c r="CV235" s="2">
        <v>0.0</v>
      </c>
      <c r="CW235" s="2">
        <v>0.0</v>
      </c>
      <c r="CX235" s="2">
        <v>1.0</v>
      </c>
      <c r="CY235" s="2">
        <v>0.0</v>
      </c>
      <c r="CZ235" s="2">
        <v>0.0</v>
      </c>
      <c r="DA235" s="2" t="s">
        <v>2127</v>
      </c>
      <c r="DB235" s="2" t="s">
        <v>2107</v>
      </c>
      <c r="DD235" s="2">
        <v>122.0</v>
      </c>
      <c r="DE235" s="2">
        <v>49.0</v>
      </c>
      <c r="DF235" s="2">
        <v>0.0</v>
      </c>
      <c r="DG235" s="2">
        <v>4.0</v>
      </c>
      <c r="DH235" s="2">
        <v>4.0</v>
      </c>
      <c r="DI235" s="2">
        <v>0.0</v>
      </c>
      <c r="DJ235" s="2">
        <v>0.0</v>
      </c>
      <c r="DK235" s="2">
        <v>1.0</v>
      </c>
      <c r="DL235" s="2">
        <v>0.0</v>
      </c>
      <c r="DM235" s="2">
        <v>0.0</v>
      </c>
      <c r="DN235" s="2">
        <v>0.0</v>
      </c>
      <c r="DO235" s="2">
        <v>0.0</v>
      </c>
      <c r="DP235" s="2">
        <v>0.0</v>
      </c>
      <c r="DQ235" s="2">
        <v>0.0</v>
      </c>
      <c r="DR235" s="2">
        <v>0.0</v>
      </c>
      <c r="DT235" s="2">
        <v>0.0</v>
      </c>
      <c r="DU235" s="2">
        <v>0.0</v>
      </c>
      <c r="DV235" s="2">
        <v>0.0</v>
      </c>
      <c r="DW235" s="2">
        <v>0.0</v>
      </c>
      <c r="DX235" s="2">
        <v>0.0</v>
      </c>
      <c r="DY235" s="2">
        <v>0.0</v>
      </c>
      <c r="DZ235" s="2">
        <v>0.0</v>
      </c>
      <c r="EA235" s="2">
        <v>0.0</v>
      </c>
      <c r="EB235" s="2">
        <v>0.0</v>
      </c>
      <c r="EC235" s="2">
        <v>0.0</v>
      </c>
      <c r="EE235" s="2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2">
        <v>2025.0</v>
      </c>
      <c r="B236" s="2">
        <v>8.0</v>
      </c>
      <c r="C236" s="2" t="s">
        <v>225</v>
      </c>
      <c r="D236" s="2" t="s">
        <v>390</v>
      </c>
      <c r="E236" s="2" t="s">
        <v>817</v>
      </c>
      <c r="F236" s="2" t="s">
        <v>132</v>
      </c>
      <c r="G236" s="2">
        <v>21.0</v>
      </c>
      <c r="H236" s="2">
        <v>27.0</v>
      </c>
      <c r="I236" s="2">
        <v>205.0</v>
      </c>
      <c r="J236" s="2">
        <v>4.0</v>
      </c>
      <c r="K236" s="2">
        <v>0.0</v>
      </c>
      <c r="L236" s="2">
        <v>1.0</v>
      </c>
      <c r="M236" s="2">
        <v>-8.0</v>
      </c>
      <c r="N236" s="2">
        <v>0.0</v>
      </c>
      <c r="O236" s="2">
        <v>0.0</v>
      </c>
      <c r="P236" s="2">
        <v>101.0</v>
      </c>
      <c r="Q236" s="2">
        <v>148.0</v>
      </c>
      <c r="R236" s="2">
        <v>10.0</v>
      </c>
      <c r="S236" s="2">
        <v>6.22096112755051</v>
      </c>
      <c r="T236" s="2">
        <v>2.26293923678222</v>
      </c>
      <c r="U236" s="2">
        <v>0.0</v>
      </c>
      <c r="V236" s="2">
        <v>8.0</v>
      </c>
      <c r="W236" s="2">
        <v>6.0</v>
      </c>
      <c r="X236" s="2">
        <v>3.0</v>
      </c>
      <c r="Y236" s="2">
        <v>1.0</v>
      </c>
      <c r="Z236" s="2">
        <v>37.0</v>
      </c>
      <c r="AA236" s="2">
        <v>141.0</v>
      </c>
      <c r="AB236" s="2">
        <v>0.0</v>
      </c>
      <c r="AC236" s="2">
        <v>0.0</v>
      </c>
      <c r="AD236" s="2">
        <v>0.0</v>
      </c>
      <c r="AE236" s="2">
        <v>11.0</v>
      </c>
      <c r="AF236" s="2">
        <v>3.05162809837056</v>
      </c>
      <c r="AG236" s="2">
        <v>0.0</v>
      </c>
      <c r="AH236" s="2">
        <v>5.0</v>
      </c>
      <c r="AI236" s="2">
        <v>2.0</v>
      </c>
      <c r="AJ236" s="2">
        <v>0.0</v>
      </c>
      <c r="AK236" s="2">
        <v>0.0</v>
      </c>
      <c r="AL236" s="2">
        <v>21.0</v>
      </c>
      <c r="AM236" s="2">
        <v>27.0</v>
      </c>
      <c r="AN236" s="2">
        <v>205.0</v>
      </c>
      <c r="AO236" s="2">
        <v>4.0</v>
      </c>
      <c r="AP236" s="2">
        <v>0.0</v>
      </c>
      <c r="AQ236" s="2">
        <v>0.0</v>
      </c>
      <c r="AR236" s="2">
        <v>101.0</v>
      </c>
      <c r="AS236" s="2">
        <v>148.0</v>
      </c>
      <c r="AT236" s="2">
        <v>10.0</v>
      </c>
      <c r="AU236" s="2">
        <v>8.17340358032768</v>
      </c>
      <c r="AV236" s="2">
        <v>0.0</v>
      </c>
      <c r="AW236" s="2">
        <v>8.0</v>
      </c>
      <c r="AX236" s="2">
        <v>6.0</v>
      </c>
      <c r="AY236" s="2">
        <v>3.0</v>
      </c>
      <c r="AZ236" s="2">
        <v>1.0</v>
      </c>
      <c r="BA236" s="2">
        <v>0.0</v>
      </c>
      <c r="BB236" s="2">
        <v>30.0</v>
      </c>
      <c r="BC236" s="2">
        <v>1.0</v>
      </c>
      <c r="BD236" s="2">
        <v>27.0</v>
      </c>
      <c r="BE236" s="2">
        <v>4.0</v>
      </c>
      <c r="BF236" s="2">
        <v>10.0</v>
      </c>
      <c r="BG236" s="2">
        <v>0.0</v>
      </c>
      <c r="BH236" s="2">
        <v>1.0</v>
      </c>
      <c r="BI236" s="2">
        <v>5.0</v>
      </c>
      <c r="BJ236" s="2">
        <v>4.0</v>
      </c>
      <c r="BK236" s="2">
        <v>0.0</v>
      </c>
      <c r="BL236" s="2">
        <v>0.0</v>
      </c>
      <c r="BM236" s="2">
        <v>2.0</v>
      </c>
      <c r="BN236" s="2">
        <v>0.0</v>
      </c>
      <c r="BO236" s="2">
        <v>0.0</v>
      </c>
      <c r="BP236" s="2">
        <v>0.0</v>
      </c>
      <c r="BQ236" s="2">
        <v>0.0</v>
      </c>
      <c r="BR236" s="2">
        <v>0.0</v>
      </c>
      <c r="BS236" s="2">
        <v>0.0</v>
      </c>
      <c r="BT236" s="2">
        <v>1.0</v>
      </c>
      <c r="BU236" s="2">
        <v>6.0</v>
      </c>
      <c r="BV236" s="2">
        <v>0.0</v>
      </c>
      <c r="BW236" s="2">
        <v>4.0</v>
      </c>
      <c r="BX236" s="2">
        <v>54.0</v>
      </c>
      <c r="BY236" s="2">
        <v>5.0</v>
      </c>
      <c r="BZ236" s="2">
        <v>0.0</v>
      </c>
      <c r="CA236" s="2">
        <v>0.0</v>
      </c>
      <c r="CB236" s="2">
        <v>0.0</v>
      </c>
      <c r="CC236" s="2">
        <v>0.0</v>
      </c>
      <c r="CD236" s="2">
        <v>0.0</v>
      </c>
      <c r="CE236" s="2">
        <v>2.0</v>
      </c>
      <c r="CF236" s="2">
        <v>9.0</v>
      </c>
      <c r="CG236" s="2">
        <v>2.0</v>
      </c>
      <c r="CH236" s="2">
        <v>57.0</v>
      </c>
      <c r="CI236" s="2">
        <v>2.0</v>
      </c>
      <c r="CJ236" s="2">
        <v>2.0</v>
      </c>
      <c r="CK236" s="2">
        <v>0.0</v>
      </c>
      <c r="CL236" s="2">
        <v>0.0</v>
      </c>
      <c r="CM236" s="2">
        <v>36.0</v>
      </c>
      <c r="CN236" s="2">
        <v>1.0</v>
      </c>
      <c r="CO236" s="2">
        <v>0.0</v>
      </c>
      <c r="CP236" s="2">
        <v>0.0</v>
      </c>
      <c r="CQ236" s="2">
        <v>2.0</v>
      </c>
      <c r="CR236" s="2">
        <v>0.0</v>
      </c>
      <c r="CS236" s="2">
        <v>0.0</v>
      </c>
      <c r="CT236" s="2">
        <v>0.0</v>
      </c>
      <c r="CU236" s="2">
        <v>0.0</v>
      </c>
      <c r="CV236" s="2">
        <v>0.0</v>
      </c>
      <c r="CW236" s="2">
        <v>0.0</v>
      </c>
      <c r="CX236" s="2">
        <v>0.0</v>
      </c>
      <c r="CY236" s="2">
        <v>0.0</v>
      </c>
      <c r="CZ236" s="2">
        <v>0.0</v>
      </c>
      <c r="DA236" s="2" t="s">
        <v>2128</v>
      </c>
      <c r="DD236" s="2">
        <v>70.0</v>
      </c>
      <c r="DE236" s="2">
        <v>0.0</v>
      </c>
      <c r="DF236" s="2">
        <v>0.0</v>
      </c>
      <c r="DG236" s="2">
        <v>4.0</v>
      </c>
      <c r="DH236" s="2">
        <v>4.0</v>
      </c>
      <c r="DI236" s="2">
        <v>0.0</v>
      </c>
      <c r="DJ236" s="2">
        <v>0.0</v>
      </c>
      <c r="DK236" s="2">
        <v>1.0</v>
      </c>
      <c r="DL236" s="2">
        <v>0.0</v>
      </c>
      <c r="DM236" s="2">
        <v>0.0</v>
      </c>
      <c r="DN236" s="2">
        <v>0.0</v>
      </c>
      <c r="DO236" s="2">
        <v>0.0</v>
      </c>
      <c r="DP236" s="2">
        <v>0.0</v>
      </c>
      <c r="DQ236" s="2">
        <v>3.0</v>
      </c>
      <c r="DR236" s="2">
        <v>0.0</v>
      </c>
      <c r="DS236" s="2">
        <v>52.0</v>
      </c>
      <c r="DT236" s="2">
        <v>148.0</v>
      </c>
      <c r="DU236" s="2">
        <v>1.0</v>
      </c>
      <c r="DV236" s="2">
        <v>0.0</v>
      </c>
      <c r="DW236" s="2">
        <v>0.0</v>
      </c>
      <c r="DX236" s="2">
        <v>0.0</v>
      </c>
      <c r="DY236" s="2">
        <v>1.0</v>
      </c>
      <c r="DZ236" s="2">
        <v>2.0</v>
      </c>
      <c r="EA236" s="2">
        <v>11.0</v>
      </c>
      <c r="EB236" s="2">
        <v>0.0</v>
      </c>
      <c r="EC236" s="2">
        <v>137.0</v>
      </c>
      <c r="EE236" s="2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2">
        <v>2025.0</v>
      </c>
      <c r="B237" s="2">
        <v>8.0</v>
      </c>
      <c r="C237" s="2" t="s">
        <v>144</v>
      </c>
      <c r="D237" s="2" t="s">
        <v>390</v>
      </c>
      <c r="E237" s="2" t="s">
        <v>814</v>
      </c>
      <c r="F237" s="2" t="s">
        <v>220</v>
      </c>
      <c r="G237" s="2">
        <v>18.0</v>
      </c>
      <c r="H237" s="2">
        <v>31.0</v>
      </c>
      <c r="I237" s="2">
        <v>157.0</v>
      </c>
      <c r="J237" s="2">
        <v>1.0</v>
      </c>
      <c r="K237" s="2">
        <v>1.0</v>
      </c>
      <c r="L237" s="2">
        <v>5.0</v>
      </c>
      <c r="M237" s="2">
        <v>-27.0</v>
      </c>
      <c r="N237" s="2">
        <v>1.0</v>
      </c>
      <c r="O237" s="2">
        <v>0.0</v>
      </c>
      <c r="P237" s="2">
        <v>108.0</v>
      </c>
      <c r="Q237" s="2">
        <v>126.0</v>
      </c>
      <c r="R237" s="2">
        <v>9.0</v>
      </c>
      <c r="S237" s="2">
        <v>-12.7507708275064</v>
      </c>
      <c r="T237" s="2">
        <v>-11.7918059229851</v>
      </c>
      <c r="U237" s="2">
        <v>0.0</v>
      </c>
      <c r="V237" s="2">
        <v>9.0</v>
      </c>
      <c r="W237" s="2">
        <v>2.0</v>
      </c>
      <c r="X237" s="2">
        <v>0.0</v>
      </c>
      <c r="Y237" s="2">
        <v>0.0</v>
      </c>
      <c r="Z237" s="2">
        <v>11.0</v>
      </c>
      <c r="AA237" s="2">
        <v>34.0</v>
      </c>
      <c r="AB237" s="2">
        <v>0.0</v>
      </c>
      <c r="AC237" s="2">
        <v>0.0</v>
      </c>
      <c r="AD237" s="2">
        <v>0.0</v>
      </c>
      <c r="AE237" s="2">
        <v>1.0</v>
      </c>
      <c r="AF237" s="2">
        <v>-7.18839368323097</v>
      </c>
      <c r="AG237" s="2">
        <v>0.0</v>
      </c>
      <c r="AH237" s="2">
        <v>1.0</v>
      </c>
      <c r="AI237" s="2">
        <v>0.0</v>
      </c>
      <c r="AJ237" s="2">
        <v>0.0</v>
      </c>
      <c r="AK237" s="2">
        <v>0.0</v>
      </c>
      <c r="AL237" s="2">
        <v>18.0</v>
      </c>
      <c r="AM237" s="2">
        <v>30.0</v>
      </c>
      <c r="AN237" s="2">
        <v>157.0</v>
      </c>
      <c r="AO237" s="2">
        <v>1.0</v>
      </c>
      <c r="AP237" s="2">
        <v>0.0</v>
      </c>
      <c r="AQ237" s="2">
        <v>0.0</v>
      </c>
      <c r="AR237" s="2">
        <v>108.0</v>
      </c>
      <c r="AS237" s="2">
        <v>126.0</v>
      </c>
      <c r="AT237" s="2">
        <v>9.0</v>
      </c>
      <c r="AU237" s="2">
        <v>-4.03330027869228</v>
      </c>
      <c r="AV237" s="2">
        <v>0.0</v>
      </c>
      <c r="AW237" s="2">
        <v>9.0</v>
      </c>
      <c r="AX237" s="2">
        <v>2.0</v>
      </c>
      <c r="AY237" s="2">
        <v>0.0</v>
      </c>
      <c r="AZ237" s="2">
        <v>0.0</v>
      </c>
      <c r="BA237" s="2">
        <v>0.0</v>
      </c>
      <c r="BB237" s="2">
        <v>46.0</v>
      </c>
      <c r="BC237" s="2">
        <v>1.0</v>
      </c>
      <c r="BD237" s="2">
        <v>33.0</v>
      </c>
      <c r="BE237" s="2">
        <v>10.0</v>
      </c>
      <c r="BF237" s="2">
        <v>30.0</v>
      </c>
      <c r="BG237" s="2">
        <v>0.0</v>
      </c>
      <c r="BH237" s="2">
        <v>2.0</v>
      </c>
      <c r="BI237" s="2">
        <v>15.0</v>
      </c>
      <c r="BJ237" s="2">
        <v>8.0</v>
      </c>
      <c r="BK237" s="2">
        <v>1.0</v>
      </c>
      <c r="BL237" s="2">
        <v>0.0</v>
      </c>
      <c r="BM237" s="2">
        <v>2.0</v>
      </c>
      <c r="BN237" s="2">
        <v>0.0</v>
      </c>
      <c r="BO237" s="2">
        <v>0.0</v>
      </c>
      <c r="BP237" s="2">
        <v>0.0</v>
      </c>
      <c r="BQ237" s="2">
        <v>0.0</v>
      </c>
      <c r="BR237" s="2">
        <v>1.0</v>
      </c>
      <c r="BS237" s="2">
        <v>0.0</v>
      </c>
      <c r="BT237" s="2">
        <v>0.0</v>
      </c>
      <c r="BU237" s="2">
        <v>0.0</v>
      </c>
      <c r="BV237" s="2">
        <v>0.0</v>
      </c>
      <c r="BW237" s="2">
        <v>8.0</v>
      </c>
      <c r="BX237" s="2">
        <v>66.0</v>
      </c>
      <c r="BY237" s="2">
        <v>3.0</v>
      </c>
      <c r="BZ237" s="2">
        <v>1.0</v>
      </c>
      <c r="CA237" s="2">
        <v>0.0</v>
      </c>
      <c r="CB237" s="2">
        <v>0.0</v>
      </c>
      <c r="CC237" s="2">
        <v>1.0</v>
      </c>
      <c r="CD237" s="2">
        <v>0.0</v>
      </c>
      <c r="CE237" s="2">
        <v>0.0</v>
      </c>
      <c r="CF237" s="2">
        <v>0.0</v>
      </c>
      <c r="CG237" s="2">
        <v>5.0</v>
      </c>
      <c r="CH237" s="2">
        <v>135.0</v>
      </c>
      <c r="CI237" s="2">
        <v>1.0</v>
      </c>
      <c r="CJ237" s="2">
        <v>2.0</v>
      </c>
      <c r="CK237" s="2">
        <v>1.0</v>
      </c>
      <c r="CL237" s="2">
        <v>0.0</v>
      </c>
      <c r="CM237" s="2">
        <v>54.0</v>
      </c>
      <c r="CN237" s="2">
        <v>0.5</v>
      </c>
      <c r="CO237" s="2">
        <v>0.0</v>
      </c>
      <c r="CP237" s="2">
        <v>0.0</v>
      </c>
      <c r="CQ237" s="2">
        <v>0.0</v>
      </c>
      <c r="CR237" s="2">
        <v>0.0</v>
      </c>
      <c r="CS237" s="2">
        <v>1.0</v>
      </c>
      <c r="CT237" s="2">
        <v>0.0</v>
      </c>
      <c r="CU237" s="2">
        <v>0.0</v>
      </c>
      <c r="CV237" s="2">
        <v>0.0</v>
      </c>
      <c r="CW237" s="2">
        <v>0.0</v>
      </c>
      <c r="CX237" s="2">
        <v>0.0</v>
      </c>
      <c r="CY237" s="2">
        <v>1.0</v>
      </c>
      <c r="CZ237" s="2">
        <v>0.0</v>
      </c>
      <c r="DA237" s="2" t="s">
        <v>2018</v>
      </c>
      <c r="DB237" s="2" t="s">
        <v>2072</v>
      </c>
      <c r="DD237" s="2">
        <v>54.0</v>
      </c>
      <c r="DE237" s="2">
        <v>53.0</v>
      </c>
      <c r="DF237" s="2">
        <v>0.0</v>
      </c>
      <c r="DG237" s="2">
        <v>1.0</v>
      </c>
      <c r="DH237" s="2">
        <v>1.0</v>
      </c>
      <c r="DI237" s="2">
        <v>0.0</v>
      </c>
      <c r="DJ237" s="2">
        <v>0.0</v>
      </c>
      <c r="DK237" s="2">
        <v>1.0</v>
      </c>
      <c r="DL237" s="2">
        <v>0.0</v>
      </c>
      <c r="DM237" s="2">
        <v>0.0</v>
      </c>
      <c r="DN237" s="2">
        <v>0.0</v>
      </c>
      <c r="DO237" s="2">
        <v>0.0</v>
      </c>
      <c r="DP237" s="2">
        <v>0.0</v>
      </c>
      <c r="DQ237" s="2">
        <v>4.0</v>
      </c>
      <c r="DR237" s="2">
        <v>0.0</v>
      </c>
      <c r="DS237" s="2">
        <v>51.0</v>
      </c>
      <c r="DT237" s="2">
        <v>184.0</v>
      </c>
      <c r="DU237" s="2">
        <v>3.0</v>
      </c>
      <c r="DV237" s="2">
        <v>0.0</v>
      </c>
      <c r="DW237" s="2">
        <v>1.0</v>
      </c>
      <c r="DX237" s="2">
        <v>0.0</v>
      </c>
      <c r="DY237" s="2">
        <v>2.0</v>
      </c>
      <c r="DZ237" s="2">
        <v>1.0</v>
      </c>
      <c r="EA237" s="2">
        <v>0.0</v>
      </c>
      <c r="EB237" s="2">
        <v>0.0</v>
      </c>
      <c r="EC237" s="2">
        <v>184.0</v>
      </c>
      <c r="EE237" s="2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2">
        <v>2025.0</v>
      </c>
      <c r="B238" s="2">
        <v>8.0</v>
      </c>
      <c r="C238" s="2" t="s">
        <v>145</v>
      </c>
      <c r="D238" s="2" t="s">
        <v>390</v>
      </c>
      <c r="E238" s="2" t="s">
        <v>832</v>
      </c>
      <c r="F238" s="2" t="s">
        <v>196</v>
      </c>
      <c r="G238" s="2">
        <v>18.0</v>
      </c>
      <c r="H238" s="2">
        <v>24.0</v>
      </c>
      <c r="I238" s="2">
        <v>282.0</v>
      </c>
      <c r="J238" s="2">
        <v>3.0</v>
      </c>
      <c r="K238" s="2">
        <v>1.0</v>
      </c>
      <c r="L238" s="2">
        <v>6.0</v>
      </c>
      <c r="M238" s="2">
        <v>-37.0</v>
      </c>
      <c r="N238" s="2">
        <v>1.0</v>
      </c>
      <c r="O238" s="2">
        <v>0.0</v>
      </c>
      <c r="P238" s="2">
        <v>277.0</v>
      </c>
      <c r="Q238" s="2">
        <v>80.0</v>
      </c>
      <c r="R238" s="2">
        <v>11.0</v>
      </c>
      <c r="S238" s="2">
        <v>6.42118273890168</v>
      </c>
      <c r="T238" s="2">
        <v>18.7140074761018</v>
      </c>
      <c r="U238" s="2">
        <v>0.0</v>
      </c>
      <c r="V238" s="2">
        <v>10.0</v>
      </c>
      <c r="W238" s="2">
        <v>7.0</v>
      </c>
      <c r="X238" s="2">
        <v>5.0</v>
      </c>
      <c r="Y238" s="2">
        <v>1.0</v>
      </c>
      <c r="Z238" s="2">
        <v>35.0</v>
      </c>
      <c r="AA238" s="2">
        <v>177.0</v>
      </c>
      <c r="AB238" s="2">
        <v>0.0</v>
      </c>
      <c r="AC238" s="2">
        <v>1.0</v>
      </c>
      <c r="AD238" s="2">
        <v>1.0</v>
      </c>
      <c r="AE238" s="2">
        <v>10.0</v>
      </c>
      <c r="AF238" s="2">
        <v>-6.16873923648382</v>
      </c>
      <c r="AG238" s="2">
        <v>0.0</v>
      </c>
      <c r="AH238" s="2">
        <v>6.0</v>
      </c>
      <c r="AI238" s="2">
        <v>5.0</v>
      </c>
      <c r="AJ238" s="2">
        <v>2.0</v>
      </c>
      <c r="AK238" s="2">
        <v>0.0</v>
      </c>
      <c r="AL238" s="2">
        <v>18.0</v>
      </c>
      <c r="AM238" s="2">
        <v>23.0</v>
      </c>
      <c r="AN238" s="2">
        <v>282.0</v>
      </c>
      <c r="AO238" s="2">
        <v>3.0</v>
      </c>
      <c r="AP238" s="2">
        <v>0.0</v>
      </c>
      <c r="AQ238" s="2">
        <v>0.0</v>
      </c>
      <c r="AR238" s="2">
        <v>277.0</v>
      </c>
      <c r="AS238" s="2">
        <v>80.0</v>
      </c>
      <c r="AT238" s="2">
        <v>11.0</v>
      </c>
      <c r="AU238" s="2">
        <v>15.0516880126378</v>
      </c>
      <c r="AV238" s="2">
        <v>0.0</v>
      </c>
      <c r="AW238" s="2">
        <v>10.0</v>
      </c>
      <c r="AX238" s="2">
        <v>7.0</v>
      </c>
      <c r="AY238" s="2">
        <v>5.0</v>
      </c>
      <c r="AZ238" s="2">
        <v>1.0</v>
      </c>
      <c r="BA238" s="2">
        <v>0.0</v>
      </c>
      <c r="BB238" s="2">
        <v>27.0</v>
      </c>
      <c r="BC238" s="2">
        <v>1.0</v>
      </c>
      <c r="BD238" s="2">
        <v>33.0</v>
      </c>
      <c r="BE238" s="2">
        <v>7.0</v>
      </c>
      <c r="BF238" s="2">
        <v>23.0</v>
      </c>
      <c r="BG238" s="2">
        <v>0.0</v>
      </c>
      <c r="BH238" s="2">
        <v>1.0</v>
      </c>
      <c r="BI238" s="2">
        <v>11.0</v>
      </c>
      <c r="BJ238" s="2">
        <v>2.0</v>
      </c>
      <c r="BK238" s="2">
        <v>2.0</v>
      </c>
      <c r="BL238" s="2">
        <v>33.0</v>
      </c>
      <c r="BM238" s="2">
        <v>8.0</v>
      </c>
      <c r="BN238" s="2">
        <v>0.0</v>
      </c>
      <c r="BO238" s="2">
        <v>0.0</v>
      </c>
      <c r="BP238" s="2">
        <v>1.0</v>
      </c>
      <c r="BQ238" s="2">
        <v>0.0</v>
      </c>
      <c r="BR238" s="2">
        <v>1.0</v>
      </c>
      <c r="BS238" s="2">
        <v>0.0</v>
      </c>
      <c r="BT238" s="2">
        <v>0.0</v>
      </c>
      <c r="BU238" s="2">
        <v>0.0</v>
      </c>
      <c r="BV238" s="2">
        <v>0.0</v>
      </c>
      <c r="BW238" s="2">
        <v>7.0</v>
      </c>
      <c r="BX238" s="2">
        <v>54.0</v>
      </c>
      <c r="BY238" s="2">
        <v>4.0</v>
      </c>
      <c r="BZ238" s="2">
        <v>2.0</v>
      </c>
      <c r="CA238" s="2">
        <v>0.0</v>
      </c>
      <c r="CB238" s="2">
        <v>0.0</v>
      </c>
      <c r="CC238" s="2">
        <v>2.0</v>
      </c>
      <c r="CD238" s="2">
        <v>1.0</v>
      </c>
      <c r="CE238" s="2">
        <v>1.0</v>
      </c>
      <c r="CF238" s="2">
        <v>8.0</v>
      </c>
      <c r="CG238" s="2">
        <v>2.0</v>
      </c>
      <c r="CH238" s="2">
        <v>55.0</v>
      </c>
      <c r="CI238" s="2">
        <v>3.0</v>
      </c>
      <c r="CJ238" s="2">
        <v>3.0</v>
      </c>
      <c r="CK238" s="2">
        <v>0.0</v>
      </c>
      <c r="CL238" s="2">
        <v>0.0</v>
      </c>
      <c r="CM238" s="2">
        <v>42.0</v>
      </c>
      <c r="CN238" s="2">
        <v>1.0</v>
      </c>
      <c r="CO238" s="2">
        <v>0.0</v>
      </c>
      <c r="CP238" s="2">
        <v>0.0</v>
      </c>
      <c r="CQ238" s="2">
        <v>2.0</v>
      </c>
      <c r="CR238" s="2">
        <v>1.0</v>
      </c>
      <c r="CS238" s="2">
        <v>0.0</v>
      </c>
      <c r="CT238" s="2">
        <v>0.0</v>
      </c>
      <c r="CU238" s="2">
        <v>0.0</v>
      </c>
      <c r="CV238" s="2">
        <v>0.0</v>
      </c>
      <c r="CW238" s="2">
        <v>0.0</v>
      </c>
      <c r="CX238" s="2">
        <v>0.0</v>
      </c>
      <c r="CY238" s="2">
        <v>0.0</v>
      </c>
      <c r="CZ238" s="2">
        <v>0.0</v>
      </c>
      <c r="DA238" s="2" t="s">
        <v>2129</v>
      </c>
      <c r="DD238" s="2">
        <v>110.0</v>
      </c>
      <c r="DE238" s="2">
        <v>0.0</v>
      </c>
      <c r="DF238" s="2">
        <v>0.0</v>
      </c>
      <c r="DG238" s="2">
        <v>3.0</v>
      </c>
      <c r="DH238" s="2">
        <v>3.0</v>
      </c>
      <c r="DI238" s="2">
        <v>0.0</v>
      </c>
      <c r="DJ238" s="2">
        <v>0.0</v>
      </c>
      <c r="DK238" s="2">
        <v>1.0</v>
      </c>
      <c r="DL238" s="2">
        <v>0.0</v>
      </c>
      <c r="DM238" s="2">
        <v>0.0</v>
      </c>
      <c r="DN238" s="2">
        <v>0.0</v>
      </c>
      <c r="DO238" s="2">
        <v>0.0</v>
      </c>
      <c r="DP238" s="2">
        <v>0.0</v>
      </c>
      <c r="DQ238" s="2">
        <v>3.0</v>
      </c>
      <c r="DR238" s="2">
        <v>0.0</v>
      </c>
      <c r="DS238" s="2">
        <v>61.0</v>
      </c>
      <c r="DT238" s="2">
        <v>124.0</v>
      </c>
      <c r="DU238" s="2">
        <v>1.0</v>
      </c>
      <c r="DV238" s="2">
        <v>1.0</v>
      </c>
      <c r="DW238" s="2">
        <v>0.0</v>
      </c>
      <c r="DX238" s="2">
        <v>1.0</v>
      </c>
      <c r="DY238" s="2">
        <v>0.0</v>
      </c>
      <c r="DZ238" s="2">
        <v>1.0</v>
      </c>
      <c r="EA238" s="2">
        <v>7.0</v>
      </c>
      <c r="EB238" s="2">
        <v>0.0</v>
      </c>
      <c r="EC238" s="2">
        <v>97.0</v>
      </c>
      <c r="EE238" s="2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2">
        <v>2025.0</v>
      </c>
      <c r="B239" s="2">
        <v>8.0</v>
      </c>
      <c r="C239" s="2" t="s">
        <v>232</v>
      </c>
      <c r="D239" s="2" t="s">
        <v>390</v>
      </c>
      <c r="E239" s="2" t="s">
        <v>836</v>
      </c>
      <c r="F239" s="2" t="s">
        <v>150</v>
      </c>
      <c r="G239" s="2">
        <v>32.0</v>
      </c>
      <c r="H239" s="2">
        <v>51.0</v>
      </c>
      <c r="I239" s="2">
        <v>264.0</v>
      </c>
      <c r="J239" s="2">
        <v>0.0</v>
      </c>
      <c r="K239" s="2">
        <v>2.0</v>
      </c>
      <c r="L239" s="2">
        <v>5.0</v>
      </c>
      <c r="M239" s="2">
        <v>-37.0</v>
      </c>
      <c r="N239" s="2">
        <v>0.0</v>
      </c>
      <c r="O239" s="2">
        <v>0.0</v>
      </c>
      <c r="P239" s="2">
        <v>419.0</v>
      </c>
      <c r="Q239" s="2">
        <v>97.0</v>
      </c>
      <c r="R239" s="2">
        <v>13.0</v>
      </c>
      <c r="S239" s="2">
        <v>-22.0828960913486</v>
      </c>
      <c r="T239" s="2">
        <v>-6.08038645982742</v>
      </c>
      <c r="U239" s="2">
        <v>0.0</v>
      </c>
      <c r="V239" s="2">
        <v>12.0</v>
      </c>
      <c r="W239" s="2">
        <v>2.0</v>
      </c>
      <c r="X239" s="2">
        <v>1.0</v>
      </c>
      <c r="Y239" s="2">
        <v>0.0</v>
      </c>
      <c r="Z239" s="2">
        <v>15.0</v>
      </c>
      <c r="AA239" s="2">
        <v>48.0</v>
      </c>
      <c r="AB239" s="2">
        <v>0.0</v>
      </c>
      <c r="AC239" s="2">
        <v>1.0</v>
      </c>
      <c r="AD239" s="2">
        <v>1.0</v>
      </c>
      <c r="AE239" s="2">
        <v>4.0</v>
      </c>
      <c r="AF239" s="2">
        <v>-6.29430831153877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32.0</v>
      </c>
      <c r="AM239" s="2">
        <v>50.0</v>
      </c>
      <c r="AN239" s="2">
        <v>264.0</v>
      </c>
      <c r="AO239" s="2">
        <v>0.0</v>
      </c>
      <c r="AP239" s="2">
        <v>1.0</v>
      </c>
      <c r="AQ239" s="2">
        <v>1.0</v>
      </c>
      <c r="AR239" s="2">
        <v>419.0</v>
      </c>
      <c r="AS239" s="2">
        <v>97.0</v>
      </c>
      <c r="AT239" s="2">
        <v>13.0</v>
      </c>
      <c r="AU239" s="2">
        <v>-18.3514911441734</v>
      </c>
      <c r="AV239" s="2">
        <v>0.0</v>
      </c>
      <c r="AW239" s="2">
        <v>12.0</v>
      </c>
      <c r="AX239" s="2">
        <v>2.0</v>
      </c>
      <c r="AY239" s="2">
        <v>1.0</v>
      </c>
      <c r="AZ239" s="2">
        <v>0.0</v>
      </c>
      <c r="BA239" s="2">
        <v>0.0</v>
      </c>
      <c r="BB239" s="2">
        <v>34.0</v>
      </c>
      <c r="BC239" s="2">
        <v>0.0</v>
      </c>
      <c r="BD239" s="2">
        <v>32.0</v>
      </c>
      <c r="BE239" s="2">
        <v>2.0</v>
      </c>
      <c r="BF239" s="2">
        <v>17.0</v>
      </c>
      <c r="BG239" s="2">
        <v>2.0</v>
      </c>
      <c r="BH239" s="2">
        <v>3.0</v>
      </c>
      <c r="BI239" s="2">
        <v>28.0</v>
      </c>
      <c r="BJ239" s="2">
        <v>4.0</v>
      </c>
      <c r="BK239" s="2">
        <v>0.0</v>
      </c>
      <c r="BL239" s="2">
        <v>0.0</v>
      </c>
      <c r="BM239" s="2">
        <v>4.0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1.0</v>
      </c>
      <c r="BU239" s="2">
        <v>-5.0</v>
      </c>
      <c r="BV239" s="2">
        <v>0.0</v>
      </c>
      <c r="BW239" s="2">
        <v>8.0</v>
      </c>
      <c r="BX239" s="2">
        <v>40.0</v>
      </c>
      <c r="BY239" s="2">
        <v>6.0</v>
      </c>
      <c r="BZ239" s="2">
        <v>2.0</v>
      </c>
      <c r="CA239" s="2">
        <v>0.0</v>
      </c>
      <c r="CB239" s="2">
        <v>0.0</v>
      </c>
      <c r="CC239" s="2">
        <v>2.0</v>
      </c>
      <c r="CD239" s="2">
        <v>2.0</v>
      </c>
      <c r="CE239" s="2">
        <v>1.0</v>
      </c>
      <c r="CF239" s="2">
        <v>8.0</v>
      </c>
      <c r="CG239" s="2">
        <v>6.0</v>
      </c>
      <c r="CH239" s="2">
        <v>142.0</v>
      </c>
      <c r="CI239" s="2">
        <v>1.0</v>
      </c>
      <c r="CJ239" s="2">
        <v>1.0</v>
      </c>
      <c r="CK239" s="2">
        <v>0.0</v>
      </c>
      <c r="CL239" s="2">
        <v>0.0</v>
      </c>
      <c r="CM239" s="2">
        <v>48.0</v>
      </c>
      <c r="CN239" s="2">
        <v>1.0</v>
      </c>
      <c r="CO239" s="2">
        <v>0.0</v>
      </c>
      <c r="CP239" s="2">
        <v>0.0</v>
      </c>
      <c r="CQ239" s="2">
        <v>0.0</v>
      </c>
      <c r="CR239" s="2">
        <v>1.0</v>
      </c>
      <c r="CS239" s="2">
        <v>0.0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 t="s">
        <v>1965</v>
      </c>
      <c r="DD239" s="2">
        <v>48.0</v>
      </c>
      <c r="DE239" s="2">
        <v>0.0</v>
      </c>
      <c r="DF239" s="2">
        <v>0.0</v>
      </c>
      <c r="DG239" s="2">
        <v>0.0</v>
      </c>
      <c r="DH239" s="2">
        <v>0.0</v>
      </c>
      <c r="DI239" s="2">
        <v>0.0</v>
      </c>
      <c r="DJ239" s="2">
        <v>0.0</v>
      </c>
      <c r="DL239" s="2">
        <v>0.0</v>
      </c>
      <c r="DM239" s="2">
        <v>0.0</v>
      </c>
      <c r="DN239" s="2">
        <v>0.0</v>
      </c>
      <c r="DO239" s="2">
        <v>0.0</v>
      </c>
      <c r="DP239" s="2">
        <v>0.0</v>
      </c>
      <c r="DQ239" s="2">
        <v>3.0</v>
      </c>
      <c r="DR239" s="2">
        <v>0.0</v>
      </c>
      <c r="DS239" s="2">
        <v>55.0</v>
      </c>
      <c r="DT239" s="2">
        <v>121.0</v>
      </c>
      <c r="DU239" s="2">
        <v>2.0</v>
      </c>
      <c r="DV239" s="2">
        <v>0.0</v>
      </c>
      <c r="DW239" s="2">
        <v>0.0</v>
      </c>
      <c r="DX239" s="2">
        <v>0.0</v>
      </c>
      <c r="DY239" s="2">
        <v>2.0</v>
      </c>
      <c r="DZ239" s="2">
        <v>1.0</v>
      </c>
      <c r="EA239" s="2">
        <v>8.0</v>
      </c>
      <c r="EB239" s="2">
        <v>0.0</v>
      </c>
      <c r="EC239" s="2">
        <v>113.0</v>
      </c>
      <c r="EE239" s="2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2">
        <v>2025.0</v>
      </c>
      <c r="B240" s="2">
        <v>8.0</v>
      </c>
      <c r="C240" s="2" t="s">
        <v>235</v>
      </c>
      <c r="D240" s="2" t="s">
        <v>390</v>
      </c>
      <c r="E240" s="2" t="s">
        <v>834</v>
      </c>
      <c r="F240" s="2" t="s">
        <v>147</v>
      </c>
      <c r="G240" s="2">
        <v>14.0</v>
      </c>
      <c r="H240" s="2">
        <v>24.0</v>
      </c>
      <c r="I240" s="2">
        <v>193.0</v>
      </c>
      <c r="J240" s="2">
        <v>1.0</v>
      </c>
      <c r="K240" s="2">
        <v>0.0</v>
      </c>
      <c r="L240" s="2">
        <v>5.0</v>
      </c>
      <c r="M240" s="2">
        <v>-15.0</v>
      </c>
      <c r="N240" s="2">
        <v>0.0</v>
      </c>
      <c r="O240" s="2">
        <v>0.0</v>
      </c>
      <c r="P240" s="2">
        <v>235.0</v>
      </c>
      <c r="Q240" s="2">
        <v>72.0</v>
      </c>
      <c r="R240" s="2">
        <v>9.0</v>
      </c>
      <c r="S240" s="2">
        <v>3.37211062951934</v>
      </c>
      <c r="T240" s="2">
        <v>1.81812996214086</v>
      </c>
      <c r="U240" s="2">
        <v>0.0</v>
      </c>
      <c r="V240" s="2">
        <v>7.0</v>
      </c>
      <c r="W240" s="2">
        <v>6.0</v>
      </c>
      <c r="X240" s="2">
        <v>3.0</v>
      </c>
      <c r="Y240" s="2">
        <v>0.0</v>
      </c>
      <c r="Z240" s="2">
        <v>21.0</v>
      </c>
      <c r="AA240" s="2">
        <v>68.0</v>
      </c>
      <c r="AB240" s="2">
        <v>1.0</v>
      </c>
      <c r="AC240" s="2">
        <v>0.0</v>
      </c>
      <c r="AD240" s="2">
        <v>0.0</v>
      </c>
      <c r="AE240" s="2">
        <v>4.0</v>
      </c>
      <c r="AF240" s="2">
        <v>1.04487466014689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14.0</v>
      </c>
      <c r="AM240" s="2">
        <v>22.0</v>
      </c>
      <c r="AN240" s="2">
        <v>193.0</v>
      </c>
      <c r="AO240" s="2">
        <v>1.0</v>
      </c>
      <c r="AP240" s="2">
        <v>0.0</v>
      </c>
      <c r="AQ240" s="2">
        <v>0.0</v>
      </c>
      <c r="AR240" s="2">
        <v>235.0</v>
      </c>
      <c r="AS240" s="2">
        <v>72.0</v>
      </c>
      <c r="AT240" s="2">
        <v>9.0</v>
      </c>
      <c r="AU240" s="2">
        <v>9.91994848979892</v>
      </c>
      <c r="AV240" s="2">
        <v>0.0</v>
      </c>
      <c r="AW240" s="2">
        <v>7.0</v>
      </c>
      <c r="AX240" s="2">
        <v>6.0</v>
      </c>
      <c r="AY240" s="2">
        <v>3.0</v>
      </c>
      <c r="AZ240" s="2">
        <v>0.0</v>
      </c>
      <c r="BA240" s="2">
        <v>0.0</v>
      </c>
      <c r="BB240" s="2">
        <v>33.0</v>
      </c>
      <c r="BC240" s="2">
        <v>0.0</v>
      </c>
      <c r="BD240" s="2">
        <v>28.0</v>
      </c>
      <c r="BE240" s="2">
        <v>3.0</v>
      </c>
      <c r="BF240" s="2">
        <v>22.0</v>
      </c>
      <c r="BG240" s="2">
        <v>0.0</v>
      </c>
      <c r="BH240" s="2">
        <v>4.0</v>
      </c>
      <c r="BI240" s="2">
        <v>28.0</v>
      </c>
      <c r="BJ240" s="2">
        <v>5.0</v>
      </c>
      <c r="BK240" s="2">
        <v>0.0</v>
      </c>
      <c r="BL240" s="2">
        <v>0.0</v>
      </c>
      <c r="BM240" s="2">
        <v>4.0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7.0</v>
      </c>
      <c r="BX240" s="2">
        <v>54.0</v>
      </c>
      <c r="BY240" s="2">
        <v>3.0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5.0</v>
      </c>
      <c r="CH240" s="2">
        <v>145.0</v>
      </c>
      <c r="CI240" s="2">
        <v>2.0</v>
      </c>
      <c r="CJ240" s="2">
        <v>2.0</v>
      </c>
      <c r="CK240" s="2">
        <v>0.0</v>
      </c>
      <c r="CL240" s="2">
        <v>0.0</v>
      </c>
      <c r="CM240" s="2">
        <v>47.0</v>
      </c>
      <c r="CN240" s="2">
        <v>1.0</v>
      </c>
      <c r="CO240" s="2">
        <v>0.0</v>
      </c>
      <c r="CP240" s="2">
        <v>0.0</v>
      </c>
      <c r="CQ240" s="2">
        <v>1.0</v>
      </c>
      <c r="CR240" s="2">
        <v>1.0</v>
      </c>
      <c r="CS240" s="2">
        <v>0.0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 t="s">
        <v>2130</v>
      </c>
      <c r="DD240" s="2">
        <v>81.0</v>
      </c>
      <c r="DE240" s="2">
        <v>0.0</v>
      </c>
      <c r="DF240" s="2">
        <v>0.0</v>
      </c>
      <c r="DG240" s="2">
        <v>2.0</v>
      </c>
      <c r="DH240" s="2">
        <v>2.0</v>
      </c>
      <c r="DI240" s="2">
        <v>0.0</v>
      </c>
      <c r="DJ240" s="2">
        <v>0.0</v>
      </c>
      <c r="DK240" s="2">
        <v>1.0</v>
      </c>
      <c r="DL240" s="2">
        <v>0.0</v>
      </c>
      <c r="DM240" s="2">
        <v>0.0</v>
      </c>
      <c r="DN240" s="2">
        <v>0.0</v>
      </c>
      <c r="DO240" s="2">
        <v>0.0</v>
      </c>
      <c r="DP240" s="2">
        <v>0.0</v>
      </c>
      <c r="DQ240" s="2">
        <v>4.0</v>
      </c>
      <c r="DR240" s="2">
        <v>0.0</v>
      </c>
      <c r="DS240" s="2">
        <v>58.0</v>
      </c>
      <c r="DT240" s="2">
        <v>194.0</v>
      </c>
      <c r="DU240" s="2">
        <v>1.0</v>
      </c>
      <c r="DV240" s="2">
        <v>1.0</v>
      </c>
      <c r="DW240" s="2">
        <v>0.0</v>
      </c>
      <c r="DX240" s="2">
        <v>0.0</v>
      </c>
      <c r="DY240" s="2">
        <v>2.0</v>
      </c>
      <c r="DZ240" s="2">
        <v>1.0</v>
      </c>
      <c r="EA240" s="2">
        <v>17.0</v>
      </c>
      <c r="EB240" s="2">
        <v>0.0</v>
      </c>
      <c r="EC240" s="2">
        <v>177.0</v>
      </c>
      <c r="EE240" s="2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2">
        <v>2025.0</v>
      </c>
      <c r="B241" s="2">
        <v>8.0</v>
      </c>
      <c r="C241" s="2" t="s">
        <v>238</v>
      </c>
      <c r="D241" s="2" t="s">
        <v>390</v>
      </c>
      <c r="E241" s="2" t="s">
        <v>828</v>
      </c>
      <c r="F241" s="2" t="s">
        <v>138</v>
      </c>
      <c r="G241" s="2">
        <v>22.0</v>
      </c>
      <c r="H241" s="2">
        <v>33.0</v>
      </c>
      <c r="I241" s="2">
        <v>248.0</v>
      </c>
      <c r="J241" s="2">
        <v>2.0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184.0</v>
      </c>
      <c r="Q241" s="2">
        <v>152.0</v>
      </c>
      <c r="R241" s="2">
        <v>13.0</v>
      </c>
      <c r="S241" s="2">
        <v>16.2426791179393</v>
      </c>
      <c r="T241" s="2">
        <v>5.57048072417577</v>
      </c>
      <c r="U241" s="2">
        <v>1.0</v>
      </c>
      <c r="V241" s="2">
        <v>10.0</v>
      </c>
      <c r="W241" s="2">
        <v>4.0</v>
      </c>
      <c r="X241" s="2">
        <v>4.0</v>
      </c>
      <c r="Y241" s="2">
        <v>0.0</v>
      </c>
      <c r="Z241" s="2">
        <v>37.0</v>
      </c>
      <c r="AA241" s="2">
        <v>254.0</v>
      </c>
      <c r="AB241" s="2">
        <v>2.0</v>
      </c>
      <c r="AC241" s="2">
        <v>0.0</v>
      </c>
      <c r="AD241" s="2">
        <v>0.0</v>
      </c>
      <c r="AE241" s="2">
        <v>11.0</v>
      </c>
      <c r="AF241" s="2">
        <v>5.55030731226101</v>
      </c>
      <c r="AG241" s="2">
        <v>1.0</v>
      </c>
      <c r="AH241" s="2">
        <v>6.0</v>
      </c>
      <c r="AI241" s="2">
        <v>4.0</v>
      </c>
      <c r="AJ241" s="2">
        <v>4.0</v>
      </c>
      <c r="AK241" s="2">
        <v>1.0</v>
      </c>
      <c r="AL241" s="2">
        <v>22.0</v>
      </c>
      <c r="AM241" s="2">
        <v>30.0</v>
      </c>
      <c r="AN241" s="2">
        <v>248.0</v>
      </c>
      <c r="AO241" s="2">
        <v>2.0</v>
      </c>
      <c r="AP241" s="2">
        <v>0.0</v>
      </c>
      <c r="AQ241" s="2">
        <v>0.0</v>
      </c>
      <c r="AR241" s="2">
        <v>184.0</v>
      </c>
      <c r="AS241" s="2">
        <v>152.0</v>
      </c>
      <c r="AT241" s="2">
        <v>13.0</v>
      </c>
      <c r="AU241" s="2">
        <v>19.2415072878291</v>
      </c>
      <c r="AV241" s="2">
        <v>1.0</v>
      </c>
      <c r="AW241" s="2">
        <v>10.0</v>
      </c>
      <c r="AX241" s="2">
        <v>4.0</v>
      </c>
      <c r="AY241" s="2">
        <v>4.0</v>
      </c>
      <c r="AZ241" s="2">
        <v>0.0</v>
      </c>
      <c r="BA241" s="2">
        <v>0.0</v>
      </c>
      <c r="BB241" s="2">
        <v>30.0</v>
      </c>
      <c r="BC241" s="2">
        <v>0.0</v>
      </c>
      <c r="BD241" s="2">
        <v>30.0</v>
      </c>
      <c r="BE241" s="2">
        <v>3.0</v>
      </c>
      <c r="BF241" s="2">
        <v>13.0</v>
      </c>
      <c r="BG241" s="2">
        <v>0.0</v>
      </c>
      <c r="BH241" s="2">
        <v>1.0</v>
      </c>
      <c r="BI241" s="2">
        <v>6.0</v>
      </c>
      <c r="BJ241" s="2">
        <v>2.0</v>
      </c>
      <c r="BK241" s="2">
        <v>0.0</v>
      </c>
      <c r="BL241" s="2">
        <v>0.0</v>
      </c>
      <c r="BM241" s="2">
        <v>7.0</v>
      </c>
      <c r="BN241" s="2">
        <v>0.0</v>
      </c>
      <c r="BO241" s="2">
        <v>0.0</v>
      </c>
      <c r="BP241" s="2">
        <v>0.0</v>
      </c>
      <c r="BQ241" s="2">
        <v>0.0</v>
      </c>
      <c r="BR241" s="2">
        <v>0.0</v>
      </c>
      <c r="BS241" s="2">
        <v>0.0</v>
      </c>
      <c r="BT241" s="2">
        <v>0.0</v>
      </c>
      <c r="BU241" s="2">
        <v>0.0</v>
      </c>
      <c r="BV241" s="2">
        <v>0.0</v>
      </c>
      <c r="BW241" s="2">
        <v>4.0</v>
      </c>
      <c r="BX241" s="2">
        <v>25.0</v>
      </c>
      <c r="BY241" s="2">
        <v>3.0</v>
      </c>
      <c r="BZ241" s="2">
        <v>0.0</v>
      </c>
      <c r="CA241" s="2">
        <v>0.0</v>
      </c>
      <c r="CB241" s="2">
        <v>0.0</v>
      </c>
      <c r="CC241" s="2">
        <v>0.0</v>
      </c>
      <c r="CD241" s="2">
        <v>0.0</v>
      </c>
      <c r="CE241" s="2">
        <v>3.0</v>
      </c>
      <c r="CF241" s="2">
        <v>38.0</v>
      </c>
      <c r="CG241" s="2">
        <v>6.0</v>
      </c>
      <c r="CH241" s="2">
        <v>150.0</v>
      </c>
      <c r="CI241" s="2">
        <v>3.0</v>
      </c>
      <c r="CJ241" s="2">
        <v>3.0</v>
      </c>
      <c r="CK241" s="2">
        <v>0.0</v>
      </c>
      <c r="CL241" s="2">
        <v>0.0</v>
      </c>
      <c r="CM241" s="2">
        <v>46.0</v>
      </c>
      <c r="CN241" s="2">
        <v>1.0</v>
      </c>
      <c r="CO241" s="2">
        <v>0.0</v>
      </c>
      <c r="CP241" s="2">
        <v>2.0</v>
      </c>
      <c r="CQ241" s="2">
        <v>0.0</v>
      </c>
      <c r="CR241" s="2">
        <v>1.0</v>
      </c>
      <c r="CS241" s="2">
        <v>0.0</v>
      </c>
      <c r="CT241" s="2">
        <v>0.0</v>
      </c>
      <c r="CU241" s="2">
        <v>0.0</v>
      </c>
      <c r="CV241" s="2">
        <v>0.0</v>
      </c>
      <c r="CW241" s="2">
        <v>0.0</v>
      </c>
      <c r="CX241" s="2">
        <v>0.0</v>
      </c>
      <c r="CY241" s="2">
        <v>0.0</v>
      </c>
      <c r="CZ241" s="2">
        <v>0.0</v>
      </c>
      <c r="DA241" s="2" t="s">
        <v>2131</v>
      </c>
      <c r="DD241" s="2">
        <v>95.0</v>
      </c>
      <c r="DE241" s="2">
        <v>0.0</v>
      </c>
      <c r="DF241" s="2">
        <v>0.0</v>
      </c>
      <c r="DG241" s="2">
        <v>2.0</v>
      </c>
      <c r="DH241" s="2">
        <v>2.0</v>
      </c>
      <c r="DI241" s="2">
        <v>0.0</v>
      </c>
      <c r="DJ241" s="2">
        <v>0.0</v>
      </c>
      <c r="DK241" s="2">
        <v>1.0</v>
      </c>
      <c r="DL241" s="2">
        <v>0.0</v>
      </c>
      <c r="DM241" s="2">
        <v>0.0</v>
      </c>
      <c r="DN241" s="2">
        <v>0.0</v>
      </c>
      <c r="DO241" s="2">
        <v>0.0</v>
      </c>
      <c r="DP241" s="2">
        <v>0.0</v>
      </c>
      <c r="DQ241" s="2">
        <v>2.0</v>
      </c>
      <c r="DR241" s="2">
        <v>0.0</v>
      </c>
      <c r="DS241" s="2">
        <v>43.0</v>
      </c>
      <c r="DT241" s="2">
        <v>81.0</v>
      </c>
      <c r="DU241" s="2">
        <v>0.0</v>
      </c>
      <c r="DV241" s="2">
        <v>0.0</v>
      </c>
      <c r="DW241" s="2">
        <v>0.0</v>
      </c>
      <c r="DX241" s="2">
        <v>1.0</v>
      </c>
      <c r="DY241" s="2">
        <v>1.0</v>
      </c>
      <c r="DZ241" s="2">
        <v>0.0</v>
      </c>
      <c r="EA241" s="2">
        <v>0.0</v>
      </c>
      <c r="EB241" s="2">
        <v>0.0</v>
      </c>
      <c r="EC241" s="2">
        <v>61.0</v>
      </c>
      <c r="EE241" s="2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2">
        <v>2025.0</v>
      </c>
      <c r="B242" s="2">
        <v>8.0</v>
      </c>
      <c r="C242" s="2" t="s">
        <v>147</v>
      </c>
      <c r="D242" s="2" t="s">
        <v>390</v>
      </c>
      <c r="E242" s="2" t="s">
        <v>834</v>
      </c>
      <c r="F242" s="2" t="s">
        <v>235</v>
      </c>
      <c r="G242" s="2">
        <v>15.0</v>
      </c>
      <c r="H242" s="2">
        <v>20.0</v>
      </c>
      <c r="I242" s="2">
        <v>179.0</v>
      </c>
      <c r="J242" s="2">
        <v>4.0</v>
      </c>
      <c r="K242" s="2">
        <v>0.0</v>
      </c>
      <c r="L242" s="2">
        <v>4.0</v>
      </c>
      <c r="M242" s="2">
        <v>-28.0</v>
      </c>
      <c r="N242" s="2">
        <v>0.0</v>
      </c>
      <c r="O242" s="2">
        <v>0.0</v>
      </c>
      <c r="P242" s="2">
        <v>147.0</v>
      </c>
      <c r="Q242" s="2">
        <v>87.0</v>
      </c>
      <c r="R242" s="2">
        <v>10.0</v>
      </c>
      <c r="S242" s="2">
        <v>8.02651468837371</v>
      </c>
      <c r="T242" s="2">
        <v>9.82363268733025</v>
      </c>
      <c r="U242" s="2">
        <v>0.0</v>
      </c>
      <c r="V242" s="2">
        <v>8.0</v>
      </c>
      <c r="W242" s="2">
        <v>3.0</v>
      </c>
      <c r="X242" s="2">
        <v>2.0</v>
      </c>
      <c r="Y242" s="2">
        <v>1.0</v>
      </c>
      <c r="Z242" s="2">
        <v>33.0</v>
      </c>
      <c r="AA242" s="2">
        <v>276.0</v>
      </c>
      <c r="AB242" s="2">
        <v>1.0</v>
      </c>
      <c r="AC242" s="2">
        <v>0.0</v>
      </c>
      <c r="AD242" s="2">
        <v>0.0</v>
      </c>
      <c r="AE242" s="2">
        <v>12.0</v>
      </c>
      <c r="AF242" s="2">
        <v>12.9768676342792</v>
      </c>
      <c r="AG242" s="2">
        <v>0.0</v>
      </c>
      <c r="AH242" s="2">
        <v>8.0</v>
      </c>
      <c r="AI242" s="2">
        <v>6.0</v>
      </c>
      <c r="AJ242" s="2">
        <v>3.0</v>
      </c>
      <c r="AK242" s="2">
        <v>1.0</v>
      </c>
      <c r="AL242" s="2">
        <v>15.0</v>
      </c>
      <c r="AM242" s="2">
        <v>20.0</v>
      </c>
      <c r="AN242" s="2">
        <v>179.0</v>
      </c>
      <c r="AO242" s="2">
        <v>4.0</v>
      </c>
      <c r="AP242" s="2">
        <v>0.0</v>
      </c>
      <c r="AQ242" s="2">
        <v>0.0</v>
      </c>
      <c r="AR242" s="2">
        <v>147.0</v>
      </c>
      <c r="AS242" s="2">
        <v>87.0</v>
      </c>
      <c r="AT242" s="2">
        <v>10.0</v>
      </c>
      <c r="AU242" s="2">
        <v>13.9716515251037</v>
      </c>
      <c r="AV242" s="2">
        <v>0.0</v>
      </c>
      <c r="AW242" s="2">
        <v>8.0</v>
      </c>
      <c r="AX242" s="2">
        <v>3.0</v>
      </c>
      <c r="AY242" s="2">
        <v>2.0</v>
      </c>
      <c r="AZ242" s="2">
        <v>1.0</v>
      </c>
      <c r="BA242" s="2">
        <v>0.0</v>
      </c>
      <c r="BB242" s="2">
        <v>35.0</v>
      </c>
      <c r="BC242" s="2">
        <v>0.0</v>
      </c>
      <c r="BD242" s="2">
        <v>14.0</v>
      </c>
      <c r="BE242" s="2">
        <v>7.0</v>
      </c>
      <c r="BF242" s="2">
        <v>19.0</v>
      </c>
      <c r="BG242" s="2">
        <v>0.0</v>
      </c>
      <c r="BH242" s="2">
        <v>5.0</v>
      </c>
      <c r="BI242" s="2">
        <v>15.0</v>
      </c>
      <c r="BJ242" s="2">
        <v>6.0</v>
      </c>
      <c r="BK242" s="2">
        <v>0.0</v>
      </c>
      <c r="BL242" s="2">
        <v>0.0</v>
      </c>
      <c r="BM242" s="2">
        <v>4.0</v>
      </c>
      <c r="BN242" s="2">
        <v>0.0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0.0</v>
      </c>
      <c r="BU242" s="2">
        <v>0.0</v>
      </c>
      <c r="BV242" s="2">
        <v>0.0</v>
      </c>
      <c r="BW242" s="2">
        <v>5.0</v>
      </c>
      <c r="BX242" s="2">
        <v>30.0</v>
      </c>
      <c r="BY242" s="2">
        <v>1.0</v>
      </c>
      <c r="BZ242" s="2">
        <v>0.0</v>
      </c>
      <c r="CA242" s="2">
        <v>0.0</v>
      </c>
      <c r="CB242" s="2">
        <v>0.0</v>
      </c>
      <c r="CC242" s="2">
        <v>0.0</v>
      </c>
      <c r="CD242" s="2">
        <v>0.0</v>
      </c>
      <c r="CE242" s="2">
        <v>1.0</v>
      </c>
      <c r="CF242" s="2">
        <v>17.0</v>
      </c>
      <c r="CG242" s="2">
        <v>3.0</v>
      </c>
      <c r="CH242" s="2">
        <v>99.0</v>
      </c>
      <c r="CI242" s="2">
        <v>1.0</v>
      </c>
      <c r="CJ242" s="2">
        <v>2.0</v>
      </c>
      <c r="CK242" s="2">
        <v>1.0</v>
      </c>
      <c r="CL242" s="2">
        <v>0.0</v>
      </c>
      <c r="CM242" s="2">
        <v>40.0</v>
      </c>
      <c r="CN242" s="2">
        <v>0.5</v>
      </c>
      <c r="CO242" s="2">
        <v>0.0</v>
      </c>
      <c r="CP242" s="2">
        <v>0.0</v>
      </c>
      <c r="CQ242" s="2">
        <v>0.0</v>
      </c>
      <c r="CR242" s="2">
        <v>1.0</v>
      </c>
      <c r="CS242" s="2">
        <v>0.0</v>
      </c>
      <c r="CT242" s="2">
        <v>0.0</v>
      </c>
      <c r="CU242" s="2">
        <v>0.0</v>
      </c>
      <c r="CV242" s="2">
        <v>0.0</v>
      </c>
      <c r="CW242" s="2">
        <v>0.0</v>
      </c>
      <c r="CX242" s="2">
        <v>0.0</v>
      </c>
      <c r="CY242" s="2">
        <v>1.0</v>
      </c>
      <c r="CZ242" s="2">
        <v>0.0</v>
      </c>
      <c r="DA242" s="2" t="s">
        <v>1984</v>
      </c>
      <c r="DB242" s="2" t="s">
        <v>1981</v>
      </c>
      <c r="DD242" s="2">
        <v>40.0</v>
      </c>
      <c r="DE242" s="2">
        <v>58.0</v>
      </c>
      <c r="DF242" s="2">
        <v>0.0</v>
      </c>
      <c r="DG242" s="2">
        <v>5.0</v>
      </c>
      <c r="DH242" s="2">
        <v>5.0</v>
      </c>
      <c r="DI242" s="2">
        <v>0.0</v>
      </c>
      <c r="DJ242" s="2">
        <v>0.0</v>
      </c>
      <c r="DK242" s="2">
        <v>1.0</v>
      </c>
      <c r="DL242" s="2">
        <v>0.0</v>
      </c>
      <c r="DM242" s="2">
        <v>0.0</v>
      </c>
      <c r="DN242" s="2">
        <v>0.0</v>
      </c>
      <c r="DO242" s="2">
        <v>0.0</v>
      </c>
      <c r="DP242" s="2">
        <v>0.0</v>
      </c>
      <c r="DQ242" s="2">
        <v>1.0</v>
      </c>
      <c r="DR242" s="2">
        <v>0.0</v>
      </c>
      <c r="DS242" s="2">
        <v>57.0</v>
      </c>
      <c r="DT242" s="2">
        <v>57.0</v>
      </c>
      <c r="DU242" s="2">
        <v>0.0</v>
      </c>
      <c r="DV242" s="2">
        <v>0.0</v>
      </c>
      <c r="DW242" s="2">
        <v>0.0</v>
      </c>
      <c r="DX242" s="2">
        <v>0.0</v>
      </c>
      <c r="DY242" s="2">
        <v>1.0</v>
      </c>
      <c r="DZ242" s="2">
        <v>0.0</v>
      </c>
      <c r="EA242" s="2">
        <v>0.0</v>
      </c>
      <c r="EB242" s="2">
        <v>0.0</v>
      </c>
      <c r="EC242" s="2">
        <v>57.0</v>
      </c>
      <c r="EE242" s="2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2">
        <v>2025.0</v>
      </c>
      <c r="B243" s="2">
        <v>8.0</v>
      </c>
      <c r="C243" s="2" t="s">
        <v>242</v>
      </c>
      <c r="D243" s="2" t="s">
        <v>390</v>
      </c>
      <c r="E243" s="2" t="s">
        <v>842</v>
      </c>
      <c r="F243" s="2" t="s">
        <v>205</v>
      </c>
      <c r="G243" s="2">
        <v>24.0</v>
      </c>
      <c r="H243" s="2">
        <v>36.0</v>
      </c>
      <c r="I243" s="2">
        <v>219.0</v>
      </c>
      <c r="J243" s="2">
        <v>2.0</v>
      </c>
      <c r="K243" s="2">
        <v>0.0</v>
      </c>
      <c r="L243" s="2">
        <v>3.0</v>
      </c>
      <c r="M243" s="2">
        <v>-17.0</v>
      </c>
      <c r="N243" s="2">
        <v>0.0</v>
      </c>
      <c r="O243" s="2">
        <v>0.0</v>
      </c>
      <c r="P243" s="2">
        <v>240.0</v>
      </c>
      <c r="Q243" s="2">
        <v>88.0</v>
      </c>
      <c r="R243" s="2">
        <v>10.0</v>
      </c>
      <c r="S243" s="2">
        <v>-4.05235293107559</v>
      </c>
      <c r="T243" s="2">
        <v>4.96228141710162</v>
      </c>
      <c r="U243" s="2">
        <v>0.0</v>
      </c>
      <c r="V243" s="2">
        <v>9.0</v>
      </c>
      <c r="W243" s="2">
        <v>3.0</v>
      </c>
      <c r="X243" s="2">
        <v>3.0</v>
      </c>
      <c r="Y243" s="2">
        <v>1.0</v>
      </c>
      <c r="Z243" s="2">
        <v>18.0</v>
      </c>
      <c r="AA243" s="2">
        <v>93.0</v>
      </c>
      <c r="AB243" s="2">
        <v>0.0</v>
      </c>
      <c r="AC243" s="2">
        <v>0.0</v>
      </c>
      <c r="AD243" s="2">
        <v>0.0</v>
      </c>
      <c r="AE243" s="2">
        <v>4.0</v>
      </c>
      <c r="AF243" s="2">
        <v>-1.25077416564454</v>
      </c>
      <c r="AG243" s="2">
        <v>0.0</v>
      </c>
      <c r="AH243" s="2">
        <v>2.0</v>
      </c>
      <c r="AI243" s="2">
        <v>2.0</v>
      </c>
      <c r="AJ243" s="2">
        <v>0.0</v>
      </c>
      <c r="AK243" s="2">
        <v>0.0</v>
      </c>
      <c r="AL243" s="2">
        <v>24.0</v>
      </c>
      <c r="AM243" s="2">
        <v>32.0</v>
      </c>
      <c r="AN243" s="2">
        <v>219.0</v>
      </c>
      <c r="AO243" s="2">
        <v>2.0</v>
      </c>
      <c r="AP243" s="2">
        <v>1.0</v>
      </c>
      <c r="AQ243" s="2">
        <v>1.0</v>
      </c>
      <c r="AR243" s="2">
        <v>240.0</v>
      </c>
      <c r="AS243" s="2">
        <v>88.0</v>
      </c>
      <c r="AT243" s="2">
        <v>10.0</v>
      </c>
      <c r="AU243" s="2">
        <v>-0.692738033202919</v>
      </c>
      <c r="AV243" s="2">
        <v>0.0</v>
      </c>
      <c r="AW243" s="2">
        <v>9.0</v>
      </c>
      <c r="AX243" s="2">
        <v>3.0</v>
      </c>
      <c r="AY243" s="2">
        <v>3.0</v>
      </c>
      <c r="AZ243" s="2">
        <v>1.0</v>
      </c>
      <c r="BA243" s="2">
        <v>0.0</v>
      </c>
      <c r="BB243" s="2">
        <v>41.0</v>
      </c>
      <c r="BC243" s="2">
        <v>0.0</v>
      </c>
      <c r="BD243" s="2">
        <v>32.0</v>
      </c>
      <c r="BE243" s="2">
        <v>1.0</v>
      </c>
      <c r="BF243" s="2">
        <v>1.0</v>
      </c>
      <c r="BG243" s="2">
        <v>1.0</v>
      </c>
      <c r="BH243" s="2">
        <v>0.0</v>
      </c>
      <c r="BI243" s="2">
        <v>0.0</v>
      </c>
      <c r="BJ243" s="2">
        <v>5.0</v>
      </c>
      <c r="BK243" s="2">
        <v>0.0</v>
      </c>
      <c r="BL243" s="2">
        <v>0.0</v>
      </c>
      <c r="BM243" s="2">
        <v>1.0</v>
      </c>
      <c r="BN243" s="2">
        <v>0.0</v>
      </c>
      <c r="BO243" s="2">
        <v>0.0</v>
      </c>
      <c r="BP243" s="2">
        <v>0.0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</v>
      </c>
      <c r="BV243" s="2">
        <v>0.0</v>
      </c>
      <c r="BW243" s="2">
        <v>6.0</v>
      </c>
      <c r="BX243" s="2">
        <v>65.0</v>
      </c>
      <c r="BY243" s="2">
        <v>3.0</v>
      </c>
      <c r="BZ243" s="2">
        <v>1.0</v>
      </c>
      <c r="CA243" s="2">
        <v>0.0</v>
      </c>
      <c r="CB243" s="2">
        <v>0.0</v>
      </c>
      <c r="CC243" s="2">
        <v>1.0</v>
      </c>
      <c r="CD243" s="2">
        <v>1.0</v>
      </c>
      <c r="CE243" s="2">
        <v>2.0</v>
      </c>
      <c r="CF243" s="2">
        <v>21.0</v>
      </c>
      <c r="CG243" s="2">
        <v>6.0</v>
      </c>
      <c r="CH243" s="2">
        <v>123.0</v>
      </c>
      <c r="CI243" s="2">
        <v>4.0</v>
      </c>
      <c r="CJ243" s="2">
        <v>4.0</v>
      </c>
      <c r="CK243" s="2">
        <v>0.0</v>
      </c>
      <c r="CL243" s="2">
        <v>0.0</v>
      </c>
      <c r="CM243" s="2">
        <v>56.0</v>
      </c>
      <c r="CN243" s="2">
        <v>1.0</v>
      </c>
      <c r="CO243" s="2">
        <v>0.0</v>
      </c>
      <c r="CP243" s="2">
        <v>0.0</v>
      </c>
      <c r="CQ243" s="2">
        <v>0.0</v>
      </c>
      <c r="CR243" s="2">
        <v>1.0</v>
      </c>
      <c r="CS243" s="2">
        <v>3.0</v>
      </c>
      <c r="CT243" s="2">
        <v>0.0</v>
      </c>
      <c r="CU243" s="2">
        <v>0.0</v>
      </c>
      <c r="CV243" s="2">
        <v>0.0</v>
      </c>
      <c r="CW243" s="2">
        <v>0.0</v>
      </c>
      <c r="CX243" s="2">
        <v>0.0</v>
      </c>
      <c r="CY243" s="2">
        <v>0.0</v>
      </c>
      <c r="CZ243" s="2">
        <v>0.0</v>
      </c>
      <c r="DA243" s="2" t="s">
        <v>2132</v>
      </c>
      <c r="DD243" s="2">
        <v>210.0</v>
      </c>
      <c r="DE243" s="2">
        <v>0.0</v>
      </c>
      <c r="DF243" s="2">
        <v>0.0</v>
      </c>
      <c r="DG243" s="2">
        <v>1.0</v>
      </c>
      <c r="DH243" s="2">
        <v>1.0</v>
      </c>
      <c r="DI243" s="2">
        <v>0.0</v>
      </c>
      <c r="DJ243" s="2">
        <v>0.0</v>
      </c>
      <c r="DK243" s="2">
        <v>1.0</v>
      </c>
      <c r="DL243" s="2">
        <v>0.0</v>
      </c>
      <c r="DM243" s="2">
        <v>0.0</v>
      </c>
      <c r="DN243" s="2">
        <v>0.0</v>
      </c>
      <c r="DO243" s="2">
        <v>0.0</v>
      </c>
      <c r="DP243" s="2">
        <v>0.0</v>
      </c>
      <c r="DQ243" s="2">
        <v>4.0</v>
      </c>
      <c r="DR243" s="2">
        <v>0.0</v>
      </c>
      <c r="DS243" s="2">
        <v>51.0</v>
      </c>
      <c r="DT243" s="2">
        <v>194.0</v>
      </c>
      <c r="DU243" s="2">
        <v>1.0</v>
      </c>
      <c r="DV243" s="2">
        <v>0.0</v>
      </c>
      <c r="DW243" s="2">
        <v>0.0</v>
      </c>
      <c r="DX243" s="2">
        <v>0.0</v>
      </c>
      <c r="DY243" s="2">
        <v>0.0</v>
      </c>
      <c r="DZ243" s="2">
        <v>4.0</v>
      </c>
      <c r="EA243" s="2">
        <v>17.0</v>
      </c>
      <c r="EB243" s="2">
        <v>0.0</v>
      </c>
      <c r="EC243" s="2">
        <v>177.0</v>
      </c>
      <c r="EE243" s="2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2">
        <v>2025.0</v>
      </c>
      <c r="B244" s="2">
        <v>8.0</v>
      </c>
      <c r="C244" s="2" t="s">
        <v>246</v>
      </c>
      <c r="D244" s="2" t="s">
        <v>390</v>
      </c>
      <c r="E244" s="2" t="s">
        <v>830</v>
      </c>
      <c r="F244" s="2" t="s">
        <v>140</v>
      </c>
      <c r="G244" s="2">
        <v>19.0</v>
      </c>
      <c r="H244" s="2">
        <v>32.0</v>
      </c>
      <c r="I244" s="2">
        <v>193.0</v>
      </c>
      <c r="J244" s="2">
        <v>2.0</v>
      </c>
      <c r="K244" s="2">
        <v>1.0</v>
      </c>
      <c r="L244" s="2">
        <v>2.0</v>
      </c>
      <c r="M244" s="2">
        <v>-18.0</v>
      </c>
      <c r="N244" s="2">
        <v>0.0</v>
      </c>
      <c r="O244" s="2">
        <v>0.0</v>
      </c>
      <c r="P244" s="2">
        <v>319.0</v>
      </c>
      <c r="Q244" s="2">
        <v>64.0</v>
      </c>
      <c r="R244" s="2">
        <v>10.0</v>
      </c>
      <c r="S244" s="2">
        <v>-2.79156947917352</v>
      </c>
      <c r="T244" s="2">
        <v>-2.34662380910689</v>
      </c>
      <c r="U244" s="2">
        <v>1.0</v>
      </c>
      <c r="V244" s="2">
        <v>7.0</v>
      </c>
      <c r="W244" s="2">
        <v>6.0</v>
      </c>
      <c r="X244" s="2">
        <v>2.0</v>
      </c>
      <c r="Y244" s="2">
        <v>0.0</v>
      </c>
      <c r="Z244" s="2">
        <v>10.0</v>
      </c>
      <c r="AA244" s="2">
        <v>48.0</v>
      </c>
      <c r="AB244" s="2">
        <v>0.0</v>
      </c>
      <c r="AC244" s="2">
        <v>0.0</v>
      </c>
      <c r="AD244" s="2">
        <v>0.0</v>
      </c>
      <c r="AE244" s="2">
        <v>2.0</v>
      </c>
      <c r="AF244" s="2">
        <v>0.989112641429529</v>
      </c>
      <c r="AG244" s="2">
        <v>0.0</v>
      </c>
      <c r="AH244" s="2">
        <v>2.0</v>
      </c>
      <c r="AI244" s="2">
        <v>1.0</v>
      </c>
      <c r="AJ244" s="2">
        <v>0.0</v>
      </c>
      <c r="AK244" s="2">
        <v>0.0</v>
      </c>
      <c r="AL244" s="2">
        <v>19.0</v>
      </c>
      <c r="AM244" s="2">
        <v>31.0</v>
      </c>
      <c r="AN244" s="2">
        <v>193.0</v>
      </c>
      <c r="AO244" s="2">
        <v>2.0</v>
      </c>
      <c r="AP244" s="2">
        <v>0.0</v>
      </c>
      <c r="AQ244" s="2">
        <v>0.0</v>
      </c>
      <c r="AR244" s="2">
        <v>319.0</v>
      </c>
      <c r="AS244" s="2">
        <v>64.0</v>
      </c>
      <c r="AT244" s="2">
        <v>10.0</v>
      </c>
      <c r="AU244" s="2">
        <v>0.856345458582044</v>
      </c>
      <c r="AV244" s="2">
        <v>1.0</v>
      </c>
      <c r="AW244" s="2">
        <v>7.0</v>
      </c>
      <c r="AX244" s="2">
        <v>6.0</v>
      </c>
      <c r="AY244" s="2">
        <v>2.0</v>
      </c>
      <c r="AZ244" s="2">
        <v>0.0</v>
      </c>
      <c r="BA244" s="2">
        <v>0.0</v>
      </c>
      <c r="BB244" s="2">
        <v>45.0</v>
      </c>
      <c r="BC244" s="2">
        <v>1.0</v>
      </c>
      <c r="BD244" s="2">
        <v>45.0</v>
      </c>
      <c r="BE244" s="2">
        <v>3.0</v>
      </c>
      <c r="BF244" s="2">
        <v>8.0</v>
      </c>
      <c r="BG244" s="2">
        <v>0.0</v>
      </c>
      <c r="BH244" s="2">
        <v>0.0</v>
      </c>
      <c r="BI244" s="2">
        <v>0.0</v>
      </c>
      <c r="BJ244" s="2">
        <v>2.0</v>
      </c>
      <c r="BK244" s="2">
        <v>1.0</v>
      </c>
      <c r="BL244" s="2">
        <v>26.0</v>
      </c>
      <c r="BM244" s="2">
        <v>2.0</v>
      </c>
      <c r="BN244" s="2">
        <v>0.0</v>
      </c>
      <c r="BO244" s="2">
        <v>1.0</v>
      </c>
      <c r="BP244" s="2">
        <v>0.0</v>
      </c>
      <c r="BQ244" s="2">
        <v>0.0</v>
      </c>
      <c r="BR244" s="2">
        <v>1.0</v>
      </c>
      <c r="BS244" s="2">
        <v>0.0</v>
      </c>
      <c r="BT244" s="2">
        <v>0.0</v>
      </c>
      <c r="BU244" s="2">
        <v>0.0</v>
      </c>
      <c r="BV244" s="2">
        <v>0.0</v>
      </c>
      <c r="BW244" s="2">
        <v>4.0</v>
      </c>
      <c r="BX244" s="2">
        <v>30.0</v>
      </c>
      <c r="BY244" s="2">
        <v>5.0</v>
      </c>
      <c r="BZ244" s="2">
        <v>1.0</v>
      </c>
      <c r="CA244" s="2">
        <v>0.0</v>
      </c>
      <c r="CB244" s="2">
        <v>0.0</v>
      </c>
      <c r="CC244" s="2">
        <v>1.0</v>
      </c>
      <c r="CD244" s="2">
        <v>0.0</v>
      </c>
      <c r="CE244" s="2">
        <v>0.0</v>
      </c>
      <c r="CF244" s="2">
        <v>0.0</v>
      </c>
      <c r="CG244" s="2">
        <v>5.0</v>
      </c>
      <c r="CH244" s="2">
        <v>151.0</v>
      </c>
      <c r="CI244" s="2">
        <v>0.0</v>
      </c>
      <c r="CJ244" s="2">
        <v>0.0</v>
      </c>
      <c r="CK244" s="2">
        <v>0.0</v>
      </c>
      <c r="CL244" s="2">
        <v>0.0</v>
      </c>
      <c r="CO244" s="2">
        <v>0.0</v>
      </c>
      <c r="CP244" s="2">
        <v>0.0</v>
      </c>
      <c r="CQ244" s="2">
        <v>0.0</v>
      </c>
      <c r="CR244" s="2">
        <v>0.0</v>
      </c>
      <c r="CS244" s="2">
        <v>0.0</v>
      </c>
      <c r="CT244" s="2">
        <v>0.0</v>
      </c>
      <c r="CU244" s="2">
        <v>0.0</v>
      </c>
      <c r="CV244" s="2">
        <v>0.0</v>
      </c>
      <c r="CW244" s="2">
        <v>0.0</v>
      </c>
      <c r="CX244" s="2">
        <v>0.0</v>
      </c>
      <c r="CY244" s="2">
        <v>0.0</v>
      </c>
      <c r="CZ244" s="2">
        <v>0.0</v>
      </c>
      <c r="DD244" s="2">
        <v>0.0</v>
      </c>
      <c r="DE244" s="2">
        <v>0.0</v>
      </c>
      <c r="DF244" s="2">
        <v>0.0</v>
      </c>
      <c r="DG244" s="2">
        <v>1.0</v>
      </c>
      <c r="DH244" s="2">
        <v>1.0</v>
      </c>
      <c r="DI244" s="2">
        <v>0.0</v>
      </c>
      <c r="DJ244" s="2">
        <v>0.0</v>
      </c>
      <c r="DK244" s="2">
        <v>1.0</v>
      </c>
      <c r="DL244" s="2">
        <v>0.0</v>
      </c>
      <c r="DM244" s="2">
        <v>0.0</v>
      </c>
      <c r="DN244" s="2">
        <v>0.0</v>
      </c>
      <c r="DO244" s="2">
        <v>0.0</v>
      </c>
      <c r="DP244" s="2">
        <v>0.0</v>
      </c>
      <c r="DQ244" s="2">
        <v>5.0</v>
      </c>
      <c r="DR244" s="2">
        <v>0.0</v>
      </c>
      <c r="DS244" s="2">
        <v>54.0</v>
      </c>
      <c r="DT244" s="2">
        <v>238.0</v>
      </c>
      <c r="DU244" s="2">
        <v>3.0</v>
      </c>
      <c r="DV244" s="2">
        <v>0.0</v>
      </c>
      <c r="DW244" s="2">
        <v>1.0</v>
      </c>
      <c r="DX244" s="2">
        <v>0.0</v>
      </c>
      <c r="DY244" s="2">
        <v>2.0</v>
      </c>
      <c r="DZ244" s="2">
        <v>2.0</v>
      </c>
      <c r="EA244" s="2">
        <v>11.0</v>
      </c>
      <c r="EB244" s="2">
        <v>0.0</v>
      </c>
      <c r="EC244" s="2">
        <v>227.0</v>
      </c>
      <c r="EE244" s="2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2">
        <v>2025.0</v>
      </c>
      <c r="B245" s="2">
        <v>8.0</v>
      </c>
      <c r="C245" s="2" t="s">
        <v>150</v>
      </c>
      <c r="D245" s="2" t="s">
        <v>390</v>
      </c>
      <c r="E245" s="2" t="s">
        <v>836</v>
      </c>
      <c r="F245" s="2" t="s">
        <v>232</v>
      </c>
      <c r="G245" s="2">
        <v>15.0</v>
      </c>
      <c r="H245" s="2">
        <v>24.0</v>
      </c>
      <c r="I245" s="2">
        <v>152.0</v>
      </c>
      <c r="J245" s="2">
        <v>0.0</v>
      </c>
      <c r="K245" s="2">
        <v>0.0</v>
      </c>
      <c r="L245" s="2">
        <v>3.0</v>
      </c>
      <c r="M245" s="2">
        <v>-28.0</v>
      </c>
      <c r="N245" s="2">
        <v>1.0</v>
      </c>
      <c r="O245" s="2">
        <v>1.0</v>
      </c>
      <c r="P245" s="2">
        <v>162.0</v>
      </c>
      <c r="Q245" s="2">
        <v>86.0</v>
      </c>
      <c r="R245" s="2">
        <v>8.0</v>
      </c>
      <c r="S245" s="2">
        <v>-1.77036246395053</v>
      </c>
      <c r="T245" s="2">
        <v>-9.64493975043297</v>
      </c>
      <c r="U245" s="2">
        <v>0.0</v>
      </c>
      <c r="V245" s="2">
        <v>7.0</v>
      </c>
      <c r="W245" s="2">
        <v>4.0</v>
      </c>
      <c r="X245" s="2">
        <v>2.0</v>
      </c>
      <c r="Y245" s="2">
        <v>0.0</v>
      </c>
      <c r="Z245" s="2">
        <v>29.0</v>
      </c>
      <c r="AA245" s="2">
        <v>88.0</v>
      </c>
      <c r="AB245" s="2">
        <v>1.0</v>
      </c>
      <c r="AC245" s="2">
        <v>1.0</v>
      </c>
      <c r="AD245" s="2">
        <v>0.0</v>
      </c>
      <c r="AE245" s="2">
        <v>5.0</v>
      </c>
      <c r="AF245" s="2">
        <v>-6.51483526178299</v>
      </c>
      <c r="AG245" s="2">
        <v>0.0</v>
      </c>
      <c r="AH245" s="2">
        <v>1.0</v>
      </c>
      <c r="AI245" s="2">
        <v>1.0</v>
      </c>
      <c r="AJ245" s="2">
        <v>0.0</v>
      </c>
      <c r="AK245" s="2">
        <v>0.0</v>
      </c>
      <c r="AL245" s="2">
        <v>15.0</v>
      </c>
      <c r="AM245" s="2">
        <v>24.0</v>
      </c>
      <c r="AN245" s="2">
        <v>152.0</v>
      </c>
      <c r="AO245" s="2">
        <v>0.0</v>
      </c>
      <c r="AP245" s="2">
        <v>0.0</v>
      </c>
      <c r="AQ245" s="2">
        <v>0.0</v>
      </c>
      <c r="AR245" s="2">
        <v>162.0</v>
      </c>
      <c r="AS245" s="2">
        <v>86.0</v>
      </c>
      <c r="AT245" s="2">
        <v>8.0</v>
      </c>
      <c r="AU245" s="2">
        <v>5.134059490407</v>
      </c>
      <c r="AV245" s="2">
        <v>0.0</v>
      </c>
      <c r="AW245" s="2">
        <v>7.0</v>
      </c>
      <c r="AX245" s="2">
        <v>4.0</v>
      </c>
      <c r="AY245" s="2">
        <v>2.0</v>
      </c>
      <c r="AZ245" s="2">
        <v>0.0</v>
      </c>
      <c r="BA245" s="2">
        <v>0.0</v>
      </c>
      <c r="BB245" s="2">
        <v>41.0</v>
      </c>
      <c r="BC245" s="2">
        <v>0.0</v>
      </c>
      <c r="BD245" s="2">
        <v>32.0</v>
      </c>
      <c r="BE245" s="2">
        <v>5.0</v>
      </c>
      <c r="BF245" s="2">
        <v>32.0</v>
      </c>
      <c r="BG245" s="2">
        <v>2.0</v>
      </c>
      <c r="BH245" s="2">
        <v>5.0</v>
      </c>
      <c r="BI245" s="2">
        <v>37.0</v>
      </c>
      <c r="BJ245" s="2">
        <v>8.0</v>
      </c>
      <c r="BK245" s="2">
        <v>2.0</v>
      </c>
      <c r="BL245" s="2">
        <v>3.0</v>
      </c>
      <c r="BM245" s="2">
        <v>7.0</v>
      </c>
      <c r="BN245" s="2">
        <v>1.0</v>
      </c>
      <c r="BO245" s="2">
        <v>0.0</v>
      </c>
      <c r="BP245" s="2">
        <v>0.0</v>
      </c>
      <c r="BQ245" s="2">
        <v>0.0</v>
      </c>
      <c r="BR245" s="2">
        <v>0.0</v>
      </c>
      <c r="BS245" s="2">
        <v>0.0</v>
      </c>
      <c r="BT245" s="2">
        <v>2.0</v>
      </c>
      <c r="BU245" s="2">
        <v>0.0</v>
      </c>
      <c r="BV245" s="2">
        <v>0.0</v>
      </c>
      <c r="BW245" s="2">
        <v>4.0</v>
      </c>
      <c r="BX245" s="2">
        <v>25.0</v>
      </c>
      <c r="BY245" s="2">
        <v>0.0</v>
      </c>
      <c r="BZ245" s="2">
        <v>2.0</v>
      </c>
      <c r="CA245" s="2">
        <v>0.0</v>
      </c>
      <c r="CB245" s="2">
        <v>1.0</v>
      </c>
      <c r="CC245" s="2">
        <v>2.0</v>
      </c>
      <c r="CD245" s="2">
        <v>1.0</v>
      </c>
      <c r="CE245" s="2">
        <v>1.0</v>
      </c>
      <c r="CF245" s="2">
        <v>8.0</v>
      </c>
      <c r="CG245" s="2">
        <v>2.0</v>
      </c>
      <c r="CH245" s="2">
        <v>50.0</v>
      </c>
      <c r="CI245" s="2">
        <v>3.0</v>
      </c>
      <c r="CJ245" s="2">
        <v>3.0</v>
      </c>
      <c r="CK245" s="2">
        <v>0.0</v>
      </c>
      <c r="CL245" s="2">
        <v>0.0</v>
      </c>
      <c r="CM245" s="2">
        <v>55.0</v>
      </c>
      <c r="CN245" s="2">
        <v>1.0</v>
      </c>
      <c r="CO245" s="2">
        <v>0.0</v>
      </c>
      <c r="CP245" s="2">
        <v>0.0</v>
      </c>
      <c r="CQ245" s="2">
        <v>0.0</v>
      </c>
      <c r="CR245" s="2">
        <v>0.0</v>
      </c>
      <c r="CS245" s="2">
        <v>3.0</v>
      </c>
      <c r="CT245" s="2">
        <v>0.0</v>
      </c>
      <c r="CU245" s="2">
        <v>0.0</v>
      </c>
      <c r="CV245" s="2">
        <v>0.0</v>
      </c>
      <c r="CW245" s="2">
        <v>0.0</v>
      </c>
      <c r="CX245" s="2">
        <v>0.0</v>
      </c>
      <c r="CY245" s="2">
        <v>0.0</v>
      </c>
      <c r="CZ245" s="2">
        <v>0.0</v>
      </c>
      <c r="DA245" s="2" t="s">
        <v>2133</v>
      </c>
      <c r="DD245" s="2">
        <v>161.0</v>
      </c>
      <c r="DE245" s="2">
        <v>0.0</v>
      </c>
      <c r="DF245" s="2">
        <v>0.0</v>
      </c>
      <c r="DG245" s="2">
        <v>2.0</v>
      </c>
      <c r="DH245" s="2">
        <v>2.0</v>
      </c>
      <c r="DI245" s="2">
        <v>0.0</v>
      </c>
      <c r="DJ245" s="2">
        <v>0.0</v>
      </c>
      <c r="DK245" s="2">
        <v>1.0</v>
      </c>
      <c r="DL245" s="2">
        <v>0.0</v>
      </c>
      <c r="DM245" s="2">
        <v>0.0</v>
      </c>
      <c r="DN245" s="2">
        <v>0.0</v>
      </c>
      <c r="DO245" s="2">
        <v>0.0</v>
      </c>
      <c r="DP245" s="2">
        <v>0.0</v>
      </c>
      <c r="DQ245" s="2">
        <v>3.0</v>
      </c>
      <c r="DR245" s="2">
        <v>0.0</v>
      </c>
      <c r="DS245" s="2">
        <v>58.0</v>
      </c>
      <c r="DT245" s="2">
        <v>151.0</v>
      </c>
      <c r="DU245" s="2">
        <v>1.0</v>
      </c>
      <c r="DV245" s="2">
        <v>0.0</v>
      </c>
      <c r="DW245" s="2">
        <v>0.0</v>
      </c>
      <c r="DX245" s="2">
        <v>0.0</v>
      </c>
      <c r="DY245" s="2">
        <v>2.0</v>
      </c>
      <c r="DZ245" s="2">
        <v>1.0</v>
      </c>
      <c r="EA245" s="2">
        <v>8.0</v>
      </c>
      <c r="EB245" s="2">
        <v>0.0</v>
      </c>
      <c r="EC245" s="2">
        <v>143.0</v>
      </c>
      <c r="EE245" s="2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2">
        <v>2025.0</v>
      </c>
      <c r="B246" s="2">
        <v>8.0</v>
      </c>
      <c r="C246" s="2" t="s">
        <v>250</v>
      </c>
      <c r="D246" s="2" t="s">
        <v>390</v>
      </c>
      <c r="E246" s="2" t="s">
        <v>840</v>
      </c>
      <c r="F246" s="2" t="s">
        <v>210</v>
      </c>
      <c r="G246" s="2">
        <v>22.0</v>
      </c>
      <c r="H246" s="2">
        <v>38.0</v>
      </c>
      <c r="I246" s="2">
        <v>259.0</v>
      </c>
      <c r="J246" s="2">
        <v>1.0</v>
      </c>
      <c r="K246" s="2">
        <v>1.0</v>
      </c>
      <c r="L246" s="2">
        <v>4.0</v>
      </c>
      <c r="M246" s="2">
        <v>-31.0</v>
      </c>
      <c r="N246" s="2">
        <v>0.0</v>
      </c>
      <c r="O246" s="2">
        <v>0.0</v>
      </c>
      <c r="P246" s="2">
        <v>328.0</v>
      </c>
      <c r="Q246" s="2">
        <v>101.0</v>
      </c>
      <c r="R246" s="2">
        <v>13.0</v>
      </c>
      <c r="S246" s="2">
        <v>-7.9033597597881</v>
      </c>
      <c r="T246" s="2">
        <v>-7.1540509526794</v>
      </c>
      <c r="U246" s="2">
        <v>0.0</v>
      </c>
      <c r="V246" s="2">
        <v>11.0</v>
      </c>
      <c r="W246" s="2">
        <v>8.0</v>
      </c>
      <c r="X246" s="2">
        <v>4.0</v>
      </c>
      <c r="Y246" s="2">
        <v>0.0</v>
      </c>
      <c r="Z246" s="2">
        <v>25.0</v>
      </c>
      <c r="AA246" s="2">
        <v>113.0</v>
      </c>
      <c r="AB246" s="2">
        <v>1.0</v>
      </c>
      <c r="AC246" s="2">
        <v>0.0</v>
      </c>
      <c r="AD246" s="2">
        <v>0.0</v>
      </c>
      <c r="AE246" s="2">
        <v>5.0</v>
      </c>
      <c r="AF246" s="2">
        <v>2.59534042316955</v>
      </c>
      <c r="AG246" s="2">
        <v>0.0</v>
      </c>
      <c r="AH246" s="2">
        <v>3.0</v>
      </c>
      <c r="AI246" s="2">
        <v>1.0</v>
      </c>
      <c r="AJ246" s="2">
        <v>1.0</v>
      </c>
      <c r="AK246" s="2">
        <v>1.0</v>
      </c>
      <c r="AL246" s="2">
        <v>22.0</v>
      </c>
      <c r="AM246" s="2">
        <v>37.0</v>
      </c>
      <c r="AN246" s="2">
        <v>259.0</v>
      </c>
      <c r="AO246" s="2">
        <v>1.0</v>
      </c>
      <c r="AP246" s="2">
        <v>0.0</v>
      </c>
      <c r="AQ246" s="2">
        <v>0.0</v>
      </c>
      <c r="AR246" s="2">
        <v>328.0</v>
      </c>
      <c r="AS246" s="2">
        <v>101.0</v>
      </c>
      <c r="AT246" s="2">
        <v>13.0</v>
      </c>
      <c r="AU246" s="2">
        <v>-0.1855756136938</v>
      </c>
      <c r="AV246" s="2">
        <v>0.0</v>
      </c>
      <c r="AW246" s="2">
        <v>11.0</v>
      </c>
      <c r="AX246" s="2">
        <v>8.0</v>
      </c>
      <c r="AY246" s="2">
        <v>4.0</v>
      </c>
      <c r="AZ246" s="2">
        <v>0.0</v>
      </c>
      <c r="BA246" s="2">
        <v>0.0</v>
      </c>
      <c r="BB246" s="2">
        <v>35.0</v>
      </c>
      <c r="BC246" s="2">
        <v>0.0</v>
      </c>
      <c r="BD246" s="2">
        <v>12.0</v>
      </c>
      <c r="BE246" s="2">
        <v>5.0</v>
      </c>
      <c r="BF246" s="2">
        <v>27.0</v>
      </c>
      <c r="BG246" s="2">
        <v>0.0</v>
      </c>
      <c r="BH246" s="2">
        <v>3.0</v>
      </c>
      <c r="BI246" s="2">
        <v>16.0</v>
      </c>
      <c r="BJ246" s="2">
        <v>5.0</v>
      </c>
      <c r="BK246" s="2">
        <v>0.0</v>
      </c>
      <c r="BL246" s="2">
        <v>0.0</v>
      </c>
      <c r="BM246" s="2">
        <v>4.0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3.0</v>
      </c>
      <c r="BX246" s="2">
        <v>34.0</v>
      </c>
      <c r="BY246" s="2">
        <v>3.0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7.0</v>
      </c>
      <c r="CH246" s="2">
        <v>175.0</v>
      </c>
      <c r="CI246" s="2">
        <v>0.0</v>
      </c>
      <c r="CJ246" s="2">
        <v>1.0</v>
      </c>
      <c r="CK246" s="2">
        <v>1.0</v>
      </c>
      <c r="CL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0.0</v>
      </c>
      <c r="CS246" s="2">
        <v>0.0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1.0</v>
      </c>
      <c r="CZ246" s="2">
        <v>0.0</v>
      </c>
      <c r="DB246" s="2" t="s">
        <v>1981</v>
      </c>
      <c r="DD246" s="2">
        <v>0.0</v>
      </c>
      <c r="DE246" s="2">
        <v>58.0</v>
      </c>
      <c r="DF246" s="2">
        <v>0.0</v>
      </c>
      <c r="DG246" s="2">
        <v>2.0</v>
      </c>
      <c r="DH246" s="2">
        <v>2.0</v>
      </c>
      <c r="DI246" s="2">
        <v>0.0</v>
      </c>
      <c r="DJ246" s="2">
        <v>0.0</v>
      </c>
      <c r="DK246" s="2">
        <v>1.0</v>
      </c>
      <c r="DL246" s="2">
        <v>0.0</v>
      </c>
      <c r="DM246" s="2">
        <v>0.0</v>
      </c>
      <c r="DN246" s="2">
        <v>0.0</v>
      </c>
      <c r="DO246" s="2">
        <v>0.0</v>
      </c>
      <c r="DP246" s="2">
        <v>0.0</v>
      </c>
      <c r="DQ246" s="2">
        <v>5.0</v>
      </c>
      <c r="DR246" s="2">
        <v>0.0</v>
      </c>
      <c r="DS246" s="2">
        <v>49.0</v>
      </c>
      <c r="DT246" s="2">
        <v>215.0</v>
      </c>
      <c r="DU246" s="2">
        <v>1.0</v>
      </c>
      <c r="DV246" s="2">
        <v>0.0</v>
      </c>
      <c r="DW246" s="2">
        <v>0.0</v>
      </c>
      <c r="DX246" s="2">
        <v>1.0</v>
      </c>
      <c r="DY246" s="2">
        <v>2.0</v>
      </c>
      <c r="DZ246" s="2">
        <v>2.0</v>
      </c>
      <c r="EA246" s="2">
        <v>33.0</v>
      </c>
      <c r="EB246" s="2">
        <v>0.0</v>
      </c>
      <c r="EC246" s="2">
        <v>162.0</v>
      </c>
      <c r="EE246" s="2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2">
        <v>2025.0</v>
      </c>
      <c r="B247" s="2">
        <v>8.0</v>
      </c>
      <c r="C247" s="2" t="s">
        <v>253</v>
      </c>
      <c r="D247" s="2" t="s">
        <v>390</v>
      </c>
      <c r="E247" s="2" t="s">
        <v>844</v>
      </c>
      <c r="F247" s="2" t="s">
        <v>143</v>
      </c>
      <c r="G247" s="2">
        <v>21.0</v>
      </c>
      <c r="H247" s="2">
        <v>30.0</v>
      </c>
      <c r="I247" s="2">
        <v>213.0</v>
      </c>
      <c r="J247" s="2">
        <v>1.0</v>
      </c>
      <c r="K247" s="2">
        <v>2.0</v>
      </c>
      <c r="L247" s="2">
        <v>2.0</v>
      </c>
      <c r="M247" s="2">
        <v>-13.0</v>
      </c>
      <c r="N247" s="2">
        <v>0.0</v>
      </c>
      <c r="O247" s="2">
        <v>0.0</v>
      </c>
      <c r="P247" s="2">
        <v>162.0</v>
      </c>
      <c r="Q247" s="2">
        <v>122.0</v>
      </c>
      <c r="R247" s="2">
        <v>9.0</v>
      </c>
      <c r="S247" s="2">
        <v>-7.40416934655514</v>
      </c>
      <c r="T247" s="2">
        <v>1.12503439188004</v>
      </c>
      <c r="U247" s="2">
        <v>0.0</v>
      </c>
      <c r="V247" s="2">
        <v>9.0</v>
      </c>
      <c r="W247" s="2">
        <v>7.0</v>
      </c>
      <c r="X247" s="2">
        <v>4.0</v>
      </c>
      <c r="Y247" s="2">
        <v>0.0</v>
      </c>
      <c r="Z247" s="2">
        <v>20.0</v>
      </c>
      <c r="AA247" s="2">
        <v>60.0</v>
      </c>
      <c r="AB247" s="2">
        <v>0.0</v>
      </c>
      <c r="AC247" s="2">
        <v>1.0</v>
      </c>
      <c r="AD247" s="2">
        <v>0.0</v>
      </c>
      <c r="AE247" s="2">
        <v>4.0</v>
      </c>
      <c r="AF247" s="2">
        <v>-2.0106815637555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21.0</v>
      </c>
      <c r="AM247" s="2">
        <v>30.0</v>
      </c>
      <c r="AN247" s="2">
        <v>213.0</v>
      </c>
      <c r="AO247" s="2">
        <v>1.0</v>
      </c>
      <c r="AP247" s="2">
        <v>0.0</v>
      </c>
      <c r="AQ247" s="2">
        <v>0.0</v>
      </c>
      <c r="AR247" s="2">
        <v>162.0</v>
      </c>
      <c r="AS247" s="2">
        <v>122.0</v>
      </c>
      <c r="AT247" s="2">
        <v>9.0</v>
      </c>
      <c r="AU247" s="2">
        <v>-3.09314407326747</v>
      </c>
      <c r="AV247" s="2">
        <v>0.0</v>
      </c>
      <c r="AW247" s="2">
        <v>9.0</v>
      </c>
      <c r="AX247" s="2">
        <v>7.0</v>
      </c>
      <c r="AY247" s="2">
        <v>4.0</v>
      </c>
      <c r="AZ247" s="2">
        <v>0.0</v>
      </c>
      <c r="BA247" s="2">
        <v>0.0</v>
      </c>
      <c r="BB247" s="2">
        <v>47.0</v>
      </c>
      <c r="BC247" s="2">
        <v>1.0</v>
      </c>
      <c r="BD247" s="2">
        <v>23.0</v>
      </c>
      <c r="BE247" s="2">
        <v>4.0</v>
      </c>
      <c r="BF247" s="2">
        <v>9.0</v>
      </c>
      <c r="BG247" s="2">
        <v>2.0</v>
      </c>
      <c r="BH247" s="2">
        <v>3.0</v>
      </c>
      <c r="BI247" s="2">
        <v>15.0</v>
      </c>
      <c r="BJ247" s="2">
        <v>7.0</v>
      </c>
      <c r="BK247" s="2">
        <v>2.0</v>
      </c>
      <c r="BL247" s="2">
        <v>1.0</v>
      </c>
      <c r="BM247" s="2">
        <v>3.0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3.0</v>
      </c>
      <c r="BX247" s="2">
        <v>35.0</v>
      </c>
      <c r="BY247" s="2">
        <v>0.0</v>
      </c>
      <c r="BZ247" s="2">
        <v>1.0</v>
      </c>
      <c r="CA247" s="2">
        <v>0.0</v>
      </c>
      <c r="CB247" s="2">
        <v>1.0</v>
      </c>
      <c r="CC247" s="2">
        <v>1.0</v>
      </c>
      <c r="CD247" s="2">
        <v>0.0</v>
      </c>
      <c r="CE247" s="2">
        <v>1.0</v>
      </c>
      <c r="CF247" s="2">
        <v>14.0</v>
      </c>
      <c r="CG247" s="2">
        <v>3.0</v>
      </c>
      <c r="CH247" s="2">
        <v>67.0</v>
      </c>
      <c r="CI247" s="2">
        <v>0.0</v>
      </c>
      <c r="CJ247" s="2">
        <v>0.0</v>
      </c>
      <c r="CK247" s="2">
        <v>0.0</v>
      </c>
      <c r="CL247" s="2">
        <v>0.0</v>
      </c>
      <c r="CO247" s="2">
        <v>0.0</v>
      </c>
      <c r="CP247" s="2">
        <v>0.0</v>
      </c>
      <c r="CQ247" s="2">
        <v>0.0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D247" s="2">
        <v>0.0</v>
      </c>
      <c r="DE247" s="2">
        <v>0.0</v>
      </c>
      <c r="DF247" s="2">
        <v>0.0</v>
      </c>
      <c r="DG247" s="2">
        <v>1.0</v>
      </c>
      <c r="DH247" s="2">
        <v>1.0</v>
      </c>
      <c r="DI247" s="2">
        <v>0.0</v>
      </c>
      <c r="DJ247" s="2">
        <v>0.0</v>
      </c>
      <c r="DK247" s="2">
        <v>1.0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3.0</v>
      </c>
      <c r="DR247" s="2">
        <v>0.0</v>
      </c>
      <c r="DS247" s="2">
        <v>59.0</v>
      </c>
      <c r="DT247" s="2">
        <v>142.0</v>
      </c>
      <c r="DU247" s="2">
        <v>1.0</v>
      </c>
      <c r="DV247" s="2">
        <v>0.0</v>
      </c>
      <c r="DW247" s="2">
        <v>0.0</v>
      </c>
      <c r="DX247" s="2">
        <v>0.0</v>
      </c>
      <c r="DY247" s="2">
        <v>1.0</v>
      </c>
      <c r="DZ247" s="2">
        <v>2.0</v>
      </c>
      <c r="EA247" s="2">
        <v>13.0</v>
      </c>
      <c r="EB247" s="2">
        <v>0.0</v>
      </c>
      <c r="EC247" s="2">
        <v>129.0</v>
      </c>
      <c r="EE247" s="2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2">
        <v>2025.0</v>
      </c>
      <c r="B248" s="2">
        <v>9.0</v>
      </c>
      <c r="C248" s="2" t="s">
        <v>178</v>
      </c>
      <c r="D248" s="2" t="s">
        <v>390</v>
      </c>
      <c r="E248" s="2" t="s">
        <v>876</v>
      </c>
      <c r="F248" s="2" t="s">
        <v>146</v>
      </c>
      <c r="G248" s="2">
        <v>21.0</v>
      </c>
      <c r="H248" s="2">
        <v>31.0</v>
      </c>
      <c r="I248" s="2">
        <v>261.0</v>
      </c>
      <c r="J248" s="2">
        <v>2.0</v>
      </c>
      <c r="K248" s="2">
        <v>0.0</v>
      </c>
      <c r="L248" s="2">
        <v>5.0</v>
      </c>
      <c r="M248" s="2">
        <v>-40.0</v>
      </c>
      <c r="N248" s="2">
        <v>0.0</v>
      </c>
      <c r="O248" s="2">
        <v>0.0</v>
      </c>
      <c r="P248" s="2">
        <v>248.0</v>
      </c>
      <c r="Q248" s="2">
        <v>127.0</v>
      </c>
      <c r="R248" s="2">
        <v>14.0</v>
      </c>
      <c r="S248" s="2">
        <v>7.01036849825345</v>
      </c>
      <c r="T248" s="2">
        <v>7.37609637194666</v>
      </c>
      <c r="U248" s="2">
        <v>0.0</v>
      </c>
      <c r="V248" s="2">
        <v>11.0</v>
      </c>
      <c r="W248" s="2">
        <v>7.0</v>
      </c>
      <c r="X248" s="2">
        <v>2.0</v>
      </c>
      <c r="Y248" s="2">
        <v>1.0</v>
      </c>
      <c r="Z248" s="2">
        <v>29.0</v>
      </c>
      <c r="AA248" s="2">
        <v>119.0</v>
      </c>
      <c r="AB248" s="2">
        <v>1.0</v>
      </c>
      <c r="AC248" s="2">
        <v>1.0</v>
      </c>
      <c r="AD248" s="2">
        <v>0.0</v>
      </c>
      <c r="AE248" s="2">
        <v>8.0</v>
      </c>
      <c r="AF248" s="2">
        <v>0.128873956971802</v>
      </c>
      <c r="AG248" s="2">
        <v>0.0</v>
      </c>
      <c r="AH248" s="2">
        <v>4.0</v>
      </c>
      <c r="AI248" s="2">
        <v>3.0</v>
      </c>
      <c r="AJ248" s="2">
        <v>0.0</v>
      </c>
      <c r="AK248" s="2">
        <v>0.0</v>
      </c>
      <c r="AL248" s="2">
        <v>21.0</v>
      </c>
      <c r="AM248" s="2">
        <v>29.0</v>
      </c>
      <c r="AN248" s="2">
        <v>261.0</v>
      </c>
      <c r="AO248" s="2">
        <v>2.0</v>
      </c>
      <c r="AP248" s="2">
        <v>0.0</v>
      </c>
      <c r="AQ248" s="2">
        <v>0.0</v>
      </c>
      <c r="AR248" s="2">
        <v>248.0</v>
      </c>
      <c r="AS248" s="2">
        <v>127.0</v>
      </c>
      <c r="AT248" s="2">
        <v>14.0</v>
      </c>
      <c r="AU248" s="2">
        <v>16.8095358700741</v>
      </c>
      <c r="AV248" s="2">
        <v>0.0</v>
      </c>
      <c r="AW248" s="2">
        <v>11.0</v>
      </c>
      <c r="AX248" s="2">
        <v>7.0</v>
      </c>
      <c r="AY248" s="2">
        <v>2.0</v>
      </c>
      <c r="AZ248" s="2">
        <v>1.0</v>
      </c>
      <c r="BA248" s="2">
        <v>0.0</v>
      </c>
      <c r="BB248" s="2">
        <v>42.0</v>
      </c>
      <c r="BC248" s="2">
        <v>1.0</v>
      </c>
      <c r="BD248" s="2">
        <v>27.0</v>
      </c>
      <c r="BE248" s="2">
        <v>6.0</v>
      </c>
      <c r="BF248" s="2">
        <v>42.0</v>
      </c>
      <c r="BG248" s="2">
        <v>4.0</v>
      </c>
      <c r="BH248" s="2">
        <v>5.0</v>
      </c>
      <c r="BI248" s="2">
        <v>40.0</v>
      </c>
      <c r="BJ248" s="2">
        <v>9.0</v>
      </c>
      <c r="BK248" s="2">
        <v>1.0</v>
      </c>
      <c r="BL248" s="2">
        <v>0.0</v>
      </c>
      <c r="BM248" s="2">
        <v>6.0</v>
      </c>
      <c r="BN248" s="2">
        <v>0.0</v>
      </c>
      <c r="BO248" s="2">
        <v>0.0</v>
      </c>
      <c r="BP248" s="2">
        <v>0.0</v>
      </c>
      <c r="BQ248" s="2">
        <v>0.0</v>
      </c>
      <c r="BR248" s="2">
        <v>1.0</v>
      </c>
      <c r="BS248" s="2">
        <v>-2.0</v>
      </c>
      <c r="BT248" s="2">
        <v>2.0</v>
      </c>
      <c r="BU248" s="2">
        <v>1.0</v>
      </c>
      <c r="BV248" s="2">
        <v>0.0</v>
      </c>
      <c r="BW248" s="2">
        <v>2.0</v>
      </c>
      <c r="BX248" s="2">
        <v>10.0</v>
      </c>
      <c r="BY248" s="2">
        <v>1.0</v>
      </c>
      <c r="BZ248" s="2">
        <v>0.0</v>
      </c>
      <c r="CA248" s="2">
        <v>1.0</v>
      </c>
      <c r="CB248" s="2">
        <v>0.0</v>
      </c>
      <c r="CC248" s="2">
        <v>1.0</v>
      </c>
      <c r="CD248" s="2">
        <v>0.0</v>
      </c>
      <c r="CE248" s="2">
        <v>1.0</v>
      </c>
      <c r="CF248" s="2">
        <v>5.0</v>
      </c>
      <c r="CG248" s="2">
        <v>4.0</v>
      </c>
      <c r="CH248" s="2">
        <v>102.0</v>
      </c>
      <c r="CI248" s="2">
        <v>2.0</v>
      </c>
      <c r="CJ248" s="2">
        <v>2.0</v>
      </c>
      <c r="CK248" s="2">
        <v>0.0</v>
      </c>
      <c r="CL248" s="2">
        <v>0.0</v>
      </c>
      <c r="CM248" s="2">
        <v>48.0</v>
      </c>
      <c r="CN248" s="2">
        <v>1.0</v>
      </c>
      <c r="CO248" s="2">
        <v>0.0</v>
      </c>
      <c r="CP248" s="2">
        <v>0.0</v>
      </c>
      <c r="CQ248" s="2">
        <v>1.0</v>
      </c>
      <c r="CR248" s="2">
        <v>1.0</v>
      </c>
      <c r="CS248" s="2">
        <v>0.0</v>
      </c>
      <c r="CT248" s="2">
        <v>0.0</v>
      </c>
      <c r="CU248" s="2">
        <v>0.0</v>
      </c>
      <c r="CV248" s="2">
        <v>0.0</v>
      </c>
      <c r="CW248" s="2">
        <v>0.0</v>
      </c>
      <c r="CX248" s="2">
        <v>0.0</v>
      </c>
      <c r="CY248" s="2">
        <v>0.0</v>
      </c>
      <c r="CZ248" s="2">
        <v>0.0</v>
      </c>
      <c r="DA248" s="2" t="s">
        <v>2134</v>
      </c>
      <c r="DD248" s="2">
        <v>82.0</v>
      </c>
      <c r="DE248" s="2">
        <v>0.0</v>
      </c>
      <c r="DF248" s="2">
        <v>0.0</v>
      </c>
      <c r="DG248" s="2">
        <v>3.0</v>
      </c>
      <c r="DH248" s="2">
        <v>3.0</v>
      </c>
      <c r="DI248" s="2">
        <v>0.0</v>
      </c>
      <c r="DJ248" s="2">
        <v>0.0</v>
      </c>
      <c r="DK248" s="2">
        <v>1.0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2.0</v>
      </c>
      <c r="DR248" s="2">
        <v>1.0</v>
      </c>
      <c r="DS248" s="2">
        <v>47.0</v>
      </c>
      <c r="DT248" s="2">
        <v>87.0</v>
      </c>
      <c r="DU248" s="2">
        <v>0.0</v>
      </c>
      <c r="DV248" s="2">
        <v>0.0</v>
      </c>
      <c r="DW248" s="2">
        <v>0.0</v>
      </c>
      <c r="DX248" s="2">
        <v>0.0</v>
      </c>
      <c r="DY248" s="2">
        <v>1.0</v>
      </c>
      <c r="DZ248" s="2">
        <v>1.0</v>
      </c>
      <c r="EA248" s="2">
        <v>6.0</v>
      </c>
      <c r="EB248" s="2">
        <v>0.0</v>
      </c>
      <c r="EC248" s="2">
        <v>81.0</v>
      </c>
      <c r="EE248" s="2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2">
        <v>2025.0</v>
      </c>
      <c r="B249" s="2">
        <v>9.0</v>
      </c>
      <c r="C249" s="2" t="s">
        <v>132</v>
      </c>
      <c r="D249" s="2" t="s">
        <v>390</v>
      </c>
      <c r="E249" s="2" t="s">
        <v>859</v>
      </c>
      <c r="F249" s="2" t="s">
        <v>145</v>
      </c>
      <c r="G249" s="2">
        <v>22.0</v>
      </c>
      <c r="H249" s="2">
        <v>37.0</v>
      </c>
      <c r="I249" s="2">
        <v>221.0</v>
      </c>
      <c r="J249" s="2">
        <v>3.0</v>
      </c>
      <c r="K249" s="2">
        <v>0.0</v>
      </c>
      <c r="L249" s="2">
        <v>1.0</v>
      </c>
      <c r="M249" s="2">
        <v>-4.0</v>
      </c>
      <c r="N249" s="2">
        <v>1.0</v>
      </c>
      <c r="O249" s="2">
        <v>0.0</v>
      </c>
      <c r="P249" s="2">
        <v>304.0</v>
      </c>
      <c r="Q249" s="2">
        <v>53.0</v>
      </c>
      <c r="R249" s="2">
        <v>13.0</v>
      </c>
      <c r="S249" s="2">
        <v>3.74243171121626</v>
      </c>
      <c r="T249" s="2">
        <v>4.72175794489244</v>
      </c>
      <c r="U249" s="2">
        <v>0.0</v>
      </c>
      <c r="V249" s="2">
        <v>9.0</v>
      </c>
      <c r="W249" s="2">
        <v>4.0</v>
      </c>
      <c r="X249" s="2">
        <v>3.0</v>
      </c>
      <c r="Y249" s="2">
        <v>1.0</v>
      </c>
      <c r="Z249" s="2">
        <v>16.0</v>
      </c>
      <c r="AA249" s="2">
        <v>71.0</v>
      </c>
      <c r="AB249" s="2">
        <v>0.0</v>
      </c>
      <c r="AC249" s="2">
        <v>0.0</v>
      </c>
      <c r="AD249" s="2">
        <v>0.0</v>
      </c>
      <c r="AE249" s="2">
        <v>3.0</v>
      </c>
      <c r="AF249" s="2">
        <v>0.0225245511392131</v>
      </c>
      <c r="AG249" s="2">
        <v>0.0</v>
      </c>
      <c r="AH249" s="2">
        <v>2.0</v>
      </c>
      <c r="AI249" s="2">
        <v>2.0</v>
      </c>
      <c r="AJ249" s="2">
        <v>0.0</v>
      </c>
      <c r="AK249" s="2">
        <v>0.0</v>
      </c>
      <c r="AL249" s="2">
        <v>22.0</v>
      </c>
      <c r="AM249" s="2">
        <v>34.0</v>
      </c>
      <c r="AN249" s="2">
        <v>221.0</v>
      </c>
      <c r="AO249" s="2">
        <v>3.0</v>
      </c>
      <c r="AP249" s="2">
        <v>0.0</v>
      </c>
      <c r="AQ249" s="2">
        <v>0.0</v>
      </c>
      <c r="AR249" s="2">
        <v>304.0</v>
      </c>
      <c r="AS249" s="2">
        <v>53.0</v>
      </c>
      <c r="AT249" s="2">
        <v>13.0</v>
      </c>
      <c r="AU249" s="2">
        <v>7.53113742782436</v>
      </c>
      <c r="AV249" s="2">
        <v>0.0</v>
      </c>
      <c r="AW249" s="2">
        <v>9.0</v>
      </c>
      <c r="AX249" s="2">
        <v>4.0</v>
      </c>
      <c r="AY249" s="2">
        <v>3.0</v>
      </c>
      <c r="AZ249" s="2">
        <v>1.0</v>
      </c>
      <c r="BA249" s="2">
        <v>0.0</v>
      </c>
      <c r="BB249" s="2">
        <v>47.0</v>
      </c>
      <c r="BC249" s="2">
        <v>0.0</v>
      </c>
      <c r="BD249" s="2">
        <v>20.0</v>
      </c>
      <c r="BE249" s="2">
        <v>7.0</v>
      </c>
      <c r="BF249" s="2">
        <v>46.0</v>
      </c>
      <c r="BG249" s="2">
        <v>2.0</v>
      </c>
      <c r="BH249" s="2">
        <v>6.0</v>
      </c>
      <c r="BI249" s="2">
        <v>38.0</v>
      </c>
      <c r="BJ249" s="2">
        <v>6.0</v>
      </c>
      <c r="BK249" s="2">
        <v>1.0</v>
      </c>
      <c r="BL249" s="2">
        <v>17.0</v>
      </c>
      <c r="BM249" s="2">
        <v>3.0</v>
      </c>
      <c r="BN249" s="2">
        <v>0.0</v>
      </c>
      <c r="BO249" s="2">
        <v>0.0</v>
      </c>
      <c r="BP249" s="2">
        <v>0.0</v>
      </c>
      <c r="BQ249" s="2">
        <v>0.0</v>
      </c>
      <c r="BR249" s="2">
        <v>1.0</v>
      </c>
      <c r="BS249" s="2">
        <v>0.0</v>
      </c>
      <c r="BT249" s="2">
        <v>1.0</v>
      </c>
      <c r="BU249" s="2">
        <v>27.0</v>
      </c>
      <c r="BV249" s="2">
        <v>0.0</v>
      </c>
      <c r="BW249" s="2">
        <v>5.0</v>
      </c>
      <c r="BX249" s="2">
        <v>40.0</v>
      </c>
      <c r="BY249" s="2">
        <v>6.0</v>
      </c>
      <c r="BZ249" s="2">
        <v>1.0</v>
      </c>
      <c r="CA249" s="2">
        <v>0.0</v>
      </c>
      <c r="CB249" s="2">
        <v>0.0</v>
      </c>
      <c r="CC249" s="2">
        <v>1.0</v>
      </c>
      <c r="CD249" s="2">
        <v>0.0</v>
      </c>
      <c r="CE249" s="2">
        <v>2.0</v>
      </c>
      <c r="CF249" s="2">
        <v>28.0</v>
      </c>
      <c r="CG249" s="2">
        <v>5.0</v>
      </c>
      <c r="CH249" s="2">
        <v>120.0</v>
      </c>
      <c r="CI249" s="2">
        <v>1.0</v>
      </c>
      <c r="CJ249" s="2">
        <v>1.0</v>
      </c>
      <c r="CK249" s="2">
        <v>0.0</v>
      </c>
      <c r="CL249" s="2">
        <v>0.0</v>
      </c>
      <c r="CM249" s="2">
        <v>38.0</v>
      </c>
      <c r="CN249" s="2">
        <v>1.0</v>
      </c>
      <c r="CO249" s="2">
        <v>0.0</v>
      </c>
      <c r="CP249" s="2">
        <v>0.0</v>
      </c>
      <c r="CQ249" s="2">
        <v>1.0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 t="s">
        <v>1999</v>
      </c>
      <c r="DD249" s="2">
        <v>38.0</v>
      </c>
      <c r="DE249" s="2">
        <v>0.0</v>
      </c>
      <c r="DF249" s="2">
        <v>0.0</v>
      </c>
      <c r="DG249" s="2">
        <v>2.0</v>
      </c>
      <c r="DH249" s="2">
        <v>3.0</v>
      </c>
      <c r="DI249" s="2">
        <v>1.0</v>
      </c>
      <c r="DJ249" s="2">
        <v>0.0</v>
      </c>
      <c r="DK249" s="2">
        <v>0.666666666666667</v>
      </c>
      <c r="DL249" s="2">
        <v>0.0</v>
      </c>
      <c r="DM249" s="2">
        <v>0.0</v>
      </c>
      <c r="DN249" s="2">
        <v>0.0</v>
      </c>
      <c r="DO249" s="2">
        <v>0.0</v>
      </c>
      <c r="DP249" s="2">
        <v>0.0</v>
      </c>
      <c r="DQ249" s="2">
        <v>5.0</v>
      </c>
      <c r="DR249" s="2">
        <v>0.0</v>
      </c>
      <c r="DS249" s="2">
        <v>46.0</v>
      </c>
      <c r="DT249" s="2">
        <v>217.0</v>
      </c>
      <c r="DU249" s="2">
        <v>2.0</v>
      </c>
      <c r="DV249" s="2">
        <v>1.0</v>
      </c>
      <c r="DW249" s="2">
        <v>0.0</v>
      </c>
      <c r="DX249" s="2">
        <v>0.0</v>
      </c>
      <c r="DY249" s="2">
        <v>2.0</v>
      </c>
      <c r="DZ249" s="2">
        <v>2.0</v>
      </c>
      <c r="EA249" s="2">
        <v>15.0</v>
      </c>
      <c r="EB249" s="2">
        <v>0.0</v>
      </c>
      <c r="EC249" s="2">
        <v>202.0</v>
      </c>
      <c r="EE249" s="2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2">
        <v>2025.0</v>
      </c>
      <c r="B250" s="2">
        <v>9.0</v>
      </c>
      <c r="C250" s="2" t="s">
        <v>148</v>
      </c>
      <c r="D250" s="2" t="s">
        <v>390</v>
      </c>
      <c r="E250" s="2" t="s">
        <v>847</v>
      </c>
      <c r="F250" s="2" t="s">
        <v>225</v>
      </c>
      <c r="G250" s="2">
        <v>18.0</v>
      </c>
      <c r="H250" s="2">
        <v>23.0</v>
      </c>
      <c r="I250" s="2">
        <v>204.0</v>
      </c>
      <c r="J250" s="2">
        <v>4.0</v>
      </c>
      <c r="K250" s="2">
        <v>0.0</v>
      </c>
      <c r="L250" s="2">
        <v>2.0</v>
      </c>
      <c r="M250" s="2">
        <v>-16.0</v>
      </c>
      <c r="N250" s="2">
        <v>0.0</v>
      </c>
      <c r="O250" s="2">
        <v>0.0</v>
      </c>
      <c r="P250" s="2">
        <v>207.0</v>
      </c>
      <c r="Q250" s="2">
        <v>91.0</v>
      </c>
      <c r="R250" s="2">
        <v>11.0</v>
      </c>
      <c r="S250" s="2">
        <v>10.4017084909137</v>
      </c>
      <c r="T250" s="2">
        <v>18.1044198896574</v>
      </c>
      <c r="U250" s="2">
        <v>0.0</v>
      </c>
      <c r="V250" s="2">
        <v>7.0</v>
      </c>
      <c r="W250" s="2">
        <v>4.0</v>
      </c>
      <c r="X250" s="2">
        <v>4.0</v>
      </c>
      <c r="Y250" s="2">
        <v>0.0</v>
      </c>
      <c r="Z250" s="2">
        <v>31.0</v>
      </c>
      <c r="AA250" s="2">
        <v>150.0</v>
      </c>
      <c r="AB250" s="2">
        <v>0.0</v>
      </c>
      <c r="AC250" s="2">
        <v>0.0</v>
      </c>
      <c r="AD250" s="2">
        <v>0.0</v>
      </c>
      <c r="AE250" s="2">
        <v>7.0</v>
      </c>
      <c r="AF250" s="2">
        <v>-0.944566052523442</v>
      </c>
      <c r="AG250" s="2">
        <v>0.0</v>
      </c>
      <c r="AH250" s="2">
        <v>5.0</v>
      </c>
      <c r="AI250" s="2">
        <v>5.0</v>
      </c>
      <c r="AJ250" s="2">
        <v>1.0</v>
      </c>
      <c r="AK250" s="2">
        <v>0.0</v>
      </c>
      <c r="AL250" s="2">
        <v>18.0</v>
      </c>
      <c r="AM250" s="2">
        <v>23.0</v>
      </c>
      <c r="AN250" s="2">
        <v>204.0</v>
      </c>
      <c r="AO250" s="2">
        <v>4.0</v>
      </c>
      <c r="AP250" s="2">
        <v>0.0</v>
      </c>
      <c r="AQ250" s="2">
        <v>0.0</v>
      </c>
      <c r="AR250" s="2">
        <v>207.0</v>
      </c>
      <c r="AS250" s="2">
        <v>91.0</v>
      </c>
      <c r="AT250" s="2">
        <v>11.0</v>
      </c>
      <c r="AU250" s="2">
        <v>13.5624648551457</v>
      </c>
      <c r="AV250" s="2">
        <v>0.0</v>
      </c>
      <c r="AW250" s="2">
        <v>7.0</v>
      </c>
      <c r="AX250" s="2">
        <v>4.0</v>
      </c>
      <c r="AY250" s="2">
        <v>4.0</v>
      </c>
      <c r="AZ250" s="2">
        <v>0.0</v>
      </c>
      <c r="BA250" s="2">
        <v>0.0</v>
      </c>
      <c r="BB250" s="2">
        <v>40.0</v>
      </c>
      <c r="BC250" s="2">
        <v>1.0</v>
      </c>
      <c r="BD250" s="2">
        <v>25.0</v>
      </c>
      <c r="BE250" s="2">
        <v>3.0</v>
      </c>
      <c r="BF250" s="2">
        <v>5.0</v>
      </c>
      <c r="BG250" s="2">
        <v>2.0</v>
      </c>
      <c r="BH250" s="2">
        <v>2.0</v>
      </c>
      <c r="BI250" s="2">
        <v>16.0</v>
      </c>
      <c r="BJ250" s="2">
        <v>5.0</v>
      </c>
      <c r="BK250" s="2">
        <v>1.0</v>
      </c>
      <c r="BL250" s="2">
        <v>9.0</v>
      </c>
      <c r="BM250" s="2">
        <v>4.0</v>
      </c>
      <c r="BN250" s="2">
        <v>0.0</v>
      </c>
      <c r="BO250" s="2">
        <v>0.0</v>
      </c>
      <c r="BP250" s="2">
        <v>0.0</v>
      </c>
      <c r="BQ250" s="2">
        <v>0.0</v>
      </c>
      <c r="BR250" s="2">
        <v>0.0</v>
      </c>
      <c r="BS250" s="2">
        <v>0.0</v>
      </c>
      <c r="BT250" s="2">
        <v>2.0</v>
      </c>
      <c r="BU250" s="2">
        <v>11.0</v>
      </c>
      <c r="BV250" s="2">
        <v>0.0</v>
      </c>
      <c r="BW250" s="2">
        <v>5.0</v>
      </c>
      <c r="BX250" s="2">
        <v>56.0</v>
      </c>
      <c r="BY250" s="2">
        <v>3.0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</v>
      </c>
      <c r="CE250" s="2">
        <v>1.0</v>
      </c>
      <c r="CF250" s="2">
        <v>17.0</v>
      </c>
      <c r="CG250" s="2">
        <v>3.0</v>
      </c>
      <c r="CH250" s="2">
        <v>77.0</v>
      </c>
      <c r="CI250" s="2">
        <v>0.0</v>
      </c>
      <c r="CJ250" s="2">
        <v>0.0</v>
      </c>
      <c r="CK250" s="2">
        <v>0.0</v>
      </c>
      <c r="CL250" s="2">
        <v>0.0</v>
      </c>
      <c r="CO250" s="2">
        <v>0.0</v>
      </c>
      <c r="CP250" s="2">
        <v>0.0</v>
      </c>
      <c r="CQ250" s="2">
        <v>0.0</v>
      </c>
      <c r="CR250" s="2">
        <v>0.0</v>
      </c>
      <c r="CS250" s="2">
        <v>0.0</v>
      </c>
      <c r="CT250" s="2">
        <v>0.0</v>
      </c>
      <c r="CU250" s="2">
        <v>0.0</v>
      </c>
      <c r="CV250" s="2">
        <v>0.0</v>
      </c>
      <c r="CW250" s="2">
        <v>0.0</v>
      </c>
      <c r="CX250" s="2">
        <v>0.0</v>
      </c>
      <c r="CY250" s="2">
        <v>0.0</v>
      </c>
      <c r="CZ250" s="2">
        <v>0.0</v>
      </c>
      <c r="DD250" s="2">
        <v>0.0</v>
      </c>
      <c r="DE250" s="2">
        <v>0.0</v>
      </c>
      <c r="DF250" s="2">
        <v>0.0</v>
      </c>
      <c r="DG250" s="2">
        <v>4.0</v>
      </c>
      <c r="DH250" s="2">
        <v>4.0</v>
      </c>
      <c r="DI250" s="2">
        <v>0.0</v>
      </c>
      <c r="DJ250" s="2">
        <v>0.0</v>
      </c>
      <c r="DK250" s="2">
        <v>1.0</v>
      </c>
      <c r="DL250" s="2">
        <v>0.0</v>
      </c>
      <c r="DM250" s="2">
        <v>0.0</v>
      </c>
      <c r="DN250" s="2">
        <v>0.0</v>
      </c>
      <c r="DO250" s="2">
        <v>0.0</v>
      </c>
      <c r="DP250" s="2">
        <v>0.0</v>
      </c>
      <c r="DQ250" s="2">
        <v>6.0</v>
      </c>
      <c r="DR250" s="2">
        <v>0.0</v>
      </c>
      <c r="DS250" s="2">
        <v>64.0</v>
      </c>
      <c r="DT250" s="2">
        <v>336.0</v>
      </c>
      <c r="DU250" s="2">
        <v>4.0</v>
      </c>
      <c r="DV250" s="2">
        <v>1.0</v>
      </c>
      <c r="DW250" s="2">
        <v>1.0</v>
      </c>
      <c r="DX250" s="2">
        <v>1.0</v>
      </c>
      <c r="DY250" s="2">
        <v>1.0</v>
      </c>
      <c r="DZ250" s="2">
        <v>2.0</v>
      </c>
      <c r="EA250" s="2">
        <v>38.0</v>
      </c>
      <c r="EB250" s="2">
        <v>0.0</v>
      </c>
      <c r="EC250" s="2">
        <v>278.0</v>
      </c>
      <c r="EE250" s="2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2">
        <v>2025.0</v>
      </c>
      <c r="B251" s="2">
        <v>9.0</v>
      </c>
      <c r="C251" s="2" t="s">
        <v>136</v>
      </c>
      <c r="D251" s="2" t="s">
        <v>390</v>
      </c>
      <c r="E251" s="2" t="s">
        <v>872</v>
      </c>
      <c r="F251" s="2" t="s">
        <v>143</v>
      </c>
      <c r="G251" s="2">
        <v>23.0</v>
      </c>
      <c r="H251" s="2">
        <v>26.0</v>
      </c>
      <c r="I251" s="2">
        <v>273.0</v>
      </c>
      <c r="J251" s="2">
        <v>1.0</v>
      </c>
      <c r="K251" s="2">
        <v>0.0</v>
      </c>
      <c r="L251" s="2">
        <v>3.0</v>
      </c>
      <c r="M251" s="2">
        <v>-10.0</v>
      </c>
      <c r="N251" s="2">
        <v>0.0</v>
      </c>
      <c r="O251" s="2">
        <v>0.0</v>
      </c>
      <c r="P251" s="2">
        <v>133.0</v>
      </c>
      <c r="Q251" s="2">
        <v>169.0</v>
      </c>
      <c r="R251" s="2">
        <v>13.0</v>
      </c>
      <c r="S251" s="2">
        <v>9.60338803616469</v>
      </c>
      <c r="T251" s="2">
        <v>18.4424661397934</v>
      </c>
      <c r="U251" s="2">
        <v>0.0</v>
      </c>
      <c r="V251" s="2">
        <v>9.0</v>
      </c>
      <c r="W251" s="2">
        <v>6.0</v>
      </c>
      <c r="X251" s="2">
        <v>5.0</v>
      </c>
      <c r="Y251" s="2">
        <v>1.0</v>
      </c>
      <c r="Z251" s="2">
        <v>35.0</v>
      </c>
      <c r="AA251" s="2">
        <v>141.0</v>
      </c>
      <c r="AB251" s="2">
        <v>3.0</v>
      </c>
      <c r="AC251" s="2">
        <v>0.0</v>
      </c>
      <c r="AD251" s="2">
        <v>0.0</v>
      </c>
      <c r="AE251" s="2">
        <v>9.0</v>
      </c>
      <c r="AF251" s="2">
        <v>4.97316578710183</v>
      </c>
      <c r="AG251" s="2">
        <v>0.0</v>
      </c>
      <c r="AH251" s="2">
        <v>4.0</v>
      </c>
      <c r="AI251" s="2">
        <v>3.0</v>
      </c>
      <c r="AJ251" s="2">
        <v>0.0</v>
      </c>
      <c r="AK251" s="2">
        <v>0.0</v>
      </c>
      <c r="AL251" s="2">
        <v>23.0</v>
      </c>
      <c r="AM251" s="2">
        <v>25.0</v>
      </c>
      <c r="AN251" s="2">
        <v>273.0</v>
      </c>
      <c r="AO251" s="2">
        <v>1.0</v>
      </c>
      <c r="AP251" s="2">
        <v>0.0</v>
      </c>
      <c r="AQ251" s="2">
        <v>0.0</v>
      </c>
      <c r="AR251" s="2">
        <v>133.0</v>
      </c>
      <c r="AS251" s="2">
        <v>169.0</v>
      </c>
      <c r="AT251" s="2">
        <v>13.0</v>
      </c>
      <c r="AU251" s="2">
        <v>15.0545954522968</v>
      </c>
      <c r="AV251" s="2">
        <v>0.0</v>
      </c>
      <c r="AW251" s="2">
        <v>9.0</v>
      </c>
      <c r="AX251" s="2">
        <v>6.0</v>
      </c>
      <c r="AY251" s="2">
        <v>5.0</v>
      </c>
      <c r="AZ251" s="2">
        <v>1.0</v>
      </c>
      <c r="BA251" s="2">
        <v>0.0</v>
      </c>
      <c r="BB251" s="2">
        <v>27.0</v>
      </c>
      <c r="BC251" s="2">
        <v>0.0</v>
      </c>
      <c r="BD251" s="2">
        <v>28.0</v>
      </c>
      <c r="BE251" s="2">
        <v>5.0</v>
      </c>
      <c r="BF251" s="2">
        <v>20.0</v>
      </c>
      <c r="BG251" s="2">
        <v>0.0</v>
      </c>
      <c r="BH251" s="2">
        <v>3.0</v>
      </c>
      <c r="BI251" s="2">
        <v>24.0</v>
      </c>
      <c r="BJ251" s="2">
        <v>15.0</v>
      </c>
      <c r="BK251" s="2">
        <v>1.0</v>
      </c>
      <c r="BL251" s="2">
        <v>0.0</v>
      </c>
      <c r="BM251" s="2">
        <v>5.0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</v>
      </c>
      <c r="BV251" s="2">
        <v>0.0</v>
      </c>
      <c r="BW251" s="2">
        <v>4.0</v>
      </c>
      <c r="BX251" s="2">
        <v>40.0</v>
      </c>
      <c r="BY251" s="2">
        <v>6.0</v>
      </c>
      <c r="BZ251" s="2">
        <v>0.0</v>
      </c>
      <c r="CA251" s="2">
        <v>0.0</v>
      </c>
      <c r="CB251" s="2">
        <v>0.0</v>
      </c>
      <c r="CC251" s="2">
        <v>0.0</v>
      </c>
      <c r="CD251" s="2">
        <v>0.0</v>
      </c>
      <c r="CE251" s="2">
        <v>2.0</v>
      </c>
      <c r="CF251" s="2">
        <v>14.0</v>
      </c>
      <c r="CG251" s="2">
        <v>4.0</v>
      </c>
      <c r="CH251" s="2">
        <v>105.0</v>
      </c>
      <c r="CI251" s="2">
        <v>0.0</v>
      </c>
      <c r="CJ251" s="2">
        <v>1.0</v>
      </c>
      <c r="CK251" s="2">
        <v>1.0</v>
      </c>
      <c r="CL251" s="2">
        <v>0.0</v>
      </c>
      <c r="CN251" s="2">
        <v>0.0</v>
      </c>
      <c r="CO251" s="2">
        <v>0.0</v>
      </c>
      <c r="CP251" s="2">
        <v>0.0</v>
      </c>
      <c r="CQ251" s="2">
        <v>0.0</v>
      </c>
      <c r="CR251" s="2">
        <v>0.0</v>
      </c>
      <c r="CS251" s="2">
        <v>0.0</v>
      </c>
      <c r="CT251" s="2">
        <v>0.0</v>
      </c>
      <c r="CU251" s="2">
        <v>0.0</v>
      </c>
      <c r="CV251" s="2">
        <v>0.0</v>
      </c>
      <c r="CW251" s="2">
        <v>0.0</v>
      </c>
      <c r="CX251" s="2">
        <v>0.0</v>
      </c>
      <c r="CY251" s="2">
        <v>1.0</v>
      </c>
      <c r="CZ251" s="2">
        <v>0.0</v>
      </c>
      <c r="DB251" s="2" t="s">
        <v>2034</v>
      </c>
      <c r="DD251" s="2">
        <v>0.0</v>
      </c>
      <c r="DE251" s="2">
        <v>52.0</v>
      </c>
      <c r="DF251" s="2">
        <v>0.0</v>
      </c>
      <c r="DG251" s="2">
        <v>4.0</v>
      </c>
      <c r="DH251" s="2">
        <v>4.0</v>
      </c>
      <c r="DI251" s="2">
        <v>0.0</v>
      </c>
      <c r="DJ251" s="2">
        <v>0.0</v>
      </c>
      <c r="DK251" s="2">
        <v>1.0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3.0</v>
      </c>
      <c r="DR251" s="2">
        <v>0.0</v>
      </c>
      <c r="DS251" s="2">
        <v>49.0</v>
      </c>
      <c r="DT251" s="2">
        <v>126.0</v>
      </c>
      <c r="DU251" s="2">
        <v>2.0</v>
      </c>
      <c r="DV251" s="2">
        <v>0.0</v>
      </c>
      <c r="DW251" s="2">
        <v>1.0</v>
      </c>
      <c r="DX251" s="2">
        <v>0.0</v>
      </c>
      <c r="DY251" s="2">
        <v>1.0</v>
      </c>
      <c r="DZ251" s="2">
        <v>1.0</v>
      </c>
      <c r="EA251" s="2">
        <v>5.0</v>
      </c>
      <c r="EB251" s="2">
        <v>0.0</v>
      </c>
      <c r="EC251" s="2">
        <v>121.0</v>
      </c>
      <c r="EE251" s="2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2">
        <v>2025.0</v>
      </c>
      <c r="B252" s="2">
        <v>9.0</v>
      </c>
      <c r="C252" s="2" t="s">
        <v>189</v>
      </c>
      <c r="D252" s="2" t="s">
        <v>390</v>
      </c>
      <c r="E252" s="2" t="s">
        <v>855</v>
      </c>
      <c r="F252" s="2" t="s">
        <v>205</v>
      </c>
      <c r="G252" s="2">
        <v>11.0</v>
      </c>
      <c r="H252" s="2">
        <v>20.0</v>
      </c>
      <c r="I252" s="2">
        <v>102.0</v>
      </c>
      <c r="J252" s="2">
        <v>0.0</v>
      </c>
      <c r="K252" s="2">
        <v>1.0</v>
      </c>
      <c r="L252" s="2">
        <v>1.0</v>
      </c>
      <c r="M252" s="2">
        <v>0.0</v>
      </c>
      <c r="N252" s="2">
        <v>1.0</v>
      </c>
      <c r="O252" s="2">
        <v>0.0</v>
      </c>
      <c r="P252" s="2">
        <v>125.0</v>
      </c>
      <c r="Q252" s="2">
        <v>23.0</v>
      </c>
      <c r="R252" s="2">
        <v>6.0</v>
      </c>
      <c r="S252" s="2">
        <v>-3.30548286213889</v>
      </c>
      <c r="T252" s="2">
        <v>-11.4973651735406</v>
      </c>
      <c r="U252" s="2">
        <v>0.0</v>
      </c>
      <c r="V252" s="2">
        <v>4.0</v>
      </c>
      <c r="W252" s="2">
        <v>3.0</v>
      </c>
      <c r="X252" s="2">
        <v>1.0</v>
      </c>
      <c r="Y252" s="2">
        <v>0.0</v>
      </c>
      <c r="Z252" s="2">
        <v>33.0</v>
      </c>
      <c r="AA252" s="2">
        <v>163.0</v>
      </c>
      <c r="AB252" s="2">
        <v>2.0</v>
      </c>
      <c r="AC252" s="2">
        <v>0.0</v>
      </c>
      <c r="AD252" s="2">
        <v>0.0</v>
      </c>
      <c r="AE252" s="2">
        <v>11.0</v>
      </c>
      <c r="AF252" s="2">
        <v>8.41579193435282</v>
      </c>
      <c r="AG252" s="2">
        <v>0.0</v>
      </c>
      <c r="AH252" s="2">
        <v>3.0</v>
      </c>
      <c r="AI252" s="2">
        <v>3.0</v>
      </c>
      <c r="AJ252" s="2">
        <v>1.0</v>
      </c>
      <c r="AK252" s="2">
        <v>0.0</v>
      </c>
      <c r="AL252" s="2">
        <v>11.0</v>
      </c>
      <c r="AM252" s="2">
        <v>19.0</v>
      </c>
      <c r="AN252" s="2">
        <v>102.0</v>
      </c>
      <c r="AO252" s="2">
        <v>0.0</v>
      </c>
      <c r="AP252" s="2">
        <v>0.0</v>
      </c>
      <c r="AQ252" s="2">
        <v>0.0</v>
      </c>
      <c r="AR252" s="2">
        <v>125.0</v>
      </c>
      <c r="AS252" s="2">
        <v>23.0</v>
      </c>
      <c r="AT252" s="2">
        <v>6.0</v>
      </c>
      <c r="AU252" s="2">
        <v>-2.89006926529692</v>
      </c>
      <c r="AV252" s="2">
        <v>0.0</v>
      </c>
      <c r="AW252" s="2">
        <v>4.0</v>
      </c>
      <c r="AX252" s="2">
        <v>3.0</v>
      </c>
      <c r="AY252" s="2">
        <v>1.0</v>
      </c>
      <c r="AZ252" s="2">
        <v>0.0</v>
      </c>
      <c r="BA252" s="2">
        <v>0.0</v>
      </c>
      <c r="BB252" s="2">
        <v>36.0</v>
      </c>
      <c r="BC252" s="2">
        <v>1.0</v>
      </c>
      <c r="BD252" s="2">
        <v>39.0</v>
      </c>
      <c r="BE252" s="2">
        <v>4.0</v>
      </c>
      <c r="BF252" s="2">
        <v>18.0</v>
      </c>
      <c r="BG252" s="2">
        <v>1.0</v>
      </c>
      <c r="BH252" s="2">
        <v>1.0</v>
      </c>
      <c r="BI252" s="2">
        <v>8.0</v>
      </c>
      <c r="BJ252" s="2">
        <v>6.0</v>
      </c>
      <c r="BK252" s="2">
        <v>1.0</v>
      </c>
      <c r="BL252" s="2">
        <v>36.0</v>
      </c>
      <c r="BM252" s="2">
        <v>4.0</v>
      </c>
      <c r="BN252" s="2">
        <v>0.0</v>
      </c>
      <c r="BO252" s="2">
        <v>0.0</v>
      </c>
      <c r="BP252" s="2">
        <v>0.0</v>
      </c>
      <c r="BQ252" s="2">
        <v>0.0</v>
      </c>
      <c r="BR252" s="2">
        <v>1.0</v>
      </c>
      <c r="BS252" s="2">
        <v>6.0</v>
      </c>
      <c r="BT252" s="2">
        <v>1.0</v>
      </c>
      <c r="BU252" s="2">
        <v>0.0</v>
      </c>
      <c r="BV252" s="2">
        <v>0.0</v>
      </c>
      <c r="BW252" s="2">
        <v>5.0</v>
      </c>
      <c r="BX252" s="2">
        <v>39.0</v>
      </c>
      <c r="BY252" s="2">
        <v>3.0</v>
      </c>
      <c r="BZ252" s="2">
        <v>1.0</v>
      </c>
      <c r="CA252" s="2">
        <v>0.0</v>
      </c>
      <c r="CB252" s="2">
        <v>0.0</v>
      </c>
      <c r="CC252" s="2">
        <v>1.0</v>
      </c>
      <c r="CD252" s="2">
        <v>0.0</v>
      </c>
      <c r="CE252" s="2">
        <v>0.0</v>
      </c>
      <c r="CF252" s="2">
        <v>0.0</v>
      </c>
      <c r="CG252" s="2">
        <v>3.0</v>
      </c>
      <c r="CH252" s="2">
        <v>70.0</v>
      </c>
      <c r="CI252" s="2">
        <v>1.0</v>
      </c>
      <c r="CJ252" s="2">
        <v>1.0</v>
      </c>
      <c r="CK252" s="2">
        <v>0.0</v>
      </c>
      <c r="CL252" s="2">
        <v>0.0</v>
      </c>
      <c r="CM252" s="2">
        <v>49.0</v>
      </c>
      <c r="CN252" s="2">
        <v>1.0</v>
      </c>
      <c r="CO252" s="2">
        <v>0.0</v>
      </c>
      <c r="CP252" s="2">
        <v>0.0</v>
      </c>
      <c r="CQ252" s="2">
        <v>0.0</v>
      </c>
      <c r="CR252" s="2">
        <v>1.0</v>
      </c>
      <c r="CS252" s="2">
        <v>0.0</v>
      </c>
      <c r="CT252" s="2">
        <v>0.0</v>
      </c>
      <c r="CU252" s="2">
        <v>0.0</v>
      </c>
      <c r="CV252" s="2">
        <v>0.0</v>
      </c>
      <c r="CW252" s="2">
        <v>0.0</v>
      </c>
      <c r="CX252" s="2">
        <v>0.0</v>
      </c>
      <c r="CY252" s="2">
        <v>0.0</v>
      </c>
      <c r="CZ252" s="2">
        <v>0.0</v>
      </c>
      <c r="DA252" s="2" t="s">
        <v>2107</v>
      </c>
      <c r="DD252" s="2">
        <v>49.0</v>
      </c>
      <c r="DE252" s="2">
        <v>0.0</v>
      </c>
      <c r="DF252" s="2">
        <v>0.0</v>
      </c>
      <c r="DG252" s="2">
        <v>1.0</v>
      </c>
      <c r="DH252" s="2">
        <v>2.0</v>
      </c>
      <c r="DI252" s="2">
        <v>1.0</v>
      </c>
      <c r="DJ252" s="2">
        <v>0.0</v>
      </c>
      <c r="DK252" s="2">
        <v>0.5</v>
      </c>
      <c r="DL252" s="2">
        <v>1.0</v>
      </c>
      <c r="DM252" s="2">
        <v>1.0</v>
      </c>
      <c r="DN252" s="2">
        <v>0.0</v>
      </c>
      <c r="DO252" s="2">
        <v>0.0</v>
      </c>
      <c r="DP252" s="2">
        <v>49.0</v>
      </c>
      <c r="DQ252" s="2">
        <v>3.0</v>
      </c>
      <c r="DR252" s="2">
        <v>0.0</v>
      </c>
      <c r="DS252" s="2">
        <v>51.0</v>
      </c>
      <c r="DT252" s="2">
        <v>134.0</v>
      </c>
      <c r="DU252" s="2">
        <v>1.0</v>
      </c>
      <c r="DV252" s="2">
        <v>0.0</v>
      </c>
      <c r="DW252" s="2">
        <v>0.0</v>
      </c>
      <c r="DX252" s="2">
        <v>0.0</v>
      </c>
      <c r="DY252" s="2">
        <v>1.0</v>
      </c>
      <c r="DZ252" s="2">
        <v>2.0</v>
      </c>
      <c r="EA252" s="2">
        <v>6.0</v>
      </c>
      <c r="EB252" s="2">
        <v>0.0</v>
      </c>
      <c r="EC252" s="2">
        <v>128.0</v>
      </c>
      <c r="EE252" s="2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2">
        <v>2025.0</v>
      </c>
      <c r="B253" s="2">
        <v>9.0</v>
      </c>
      <c r="C253" s="2" t="s">
        <v>137</v>
      </c>
      <c r="D253" s="2" t="s">
        <v>390</v>
      </c>
      <c r="E253" s="2" t="s">
        <v>850</v>
      </c>
      <c r="F253" s="2" t="s">
        <v>138</v>
      </c>
      <c r="G253" s="2">
        <v>22.0</v>
      </c>
      <c r="H253" s="2">
        <v>37.0</v>
      </c>
      <c r="I253" s="2">
        <v>302.0</v>
      </c>
      <c r="J253" s="2">
        <v>4.0</v>
      </c>
      <c r="K253" s="2">
        <v>0.0</v>
      </c>
      <c r="L253" s="2">
        <v>2.0</v>
      </c>
      <c r="M253" s="2">
        <v>-9.0</v>
      </c>
      <c r="N253" s="2">
        <v>0.0</v>
      </c>
      <c r="O253" s="2">
        <v>0.0</v>
      </c>
      <c r="P253" s="2">
        <v>295.0</v>
      </c>
      <c r="Q253" s="2">
        <v>190.0</v>
      </c>
      <c r="R253" s="2">
        <v>17.0</v>
      </c>
      <c r="S253" s="2">
        <v>18.8184043636424</v>
      </c>
      <c r="T253" s="2">
        <v>-0.147023884689107</v>
      </c>
      <c r="U253" s="2">
        <v>0.0</v>
      </c>
      <c r="V253" s="2">
        <v>15.0</v>
      </c>
      <c r="W253" s="2">
        <v>6.0</v>
      </c>
      <c r="X253" s="2">
        <v>4.0</v>
      </c>
      <c r="Y253" s="2">
        <v>1.0</v>
      </c>
      <c r="Z253" s="2">
        <v>37.0</v>
      </c>
      <c r="AA253" s="2">
        <v>283.0</v>
      </c>
      <c r="AB253" s="2">
        <v>2.0</v>
      </c>
      <c r="AC253" s="2">
        <v>0.0</v>
      </c>
      <c r="AD253" s="2">
        <v>0.0</v>
      </c>
      <c r="AE253" s="2">
        <v>11.0</v>
      </c>
      <c r="AF253" s="2">
        <v>16.0732974243583</v>
      </c>
      <c r="AG253" s="2">
        <v>0.0</v>
      </c>
      <c r="AH253" s="2">
        <v>8.0</v>
      </c>
      <c r="AI253" s="2">
        <v>8.0</v>
      </c>
      <c r="AJ253" s="2">
        <v>2.0</v>
      </c>
      <c r="AK253" s="2">
        <v>0.0</v>
      </c>
      <c r="AL253" s="2">
        <v>22.0</v>
      </c>
      <c r="AM253" s="2">
        <v>34.0</v>
      </c>
      <c r="AN253" s="2">
        <v>302.0</v>
      </c>
      <c r="AO253" s="2">
        <v>4.0</v>
      </c>
      <c r="AP253" s="2">
        <v>0.0</v>
      </c>
      <c r="AQ253" s="2">
        <v>0.0</v>
      </c>
      <c r="AR253" s="2">
        <v>295.0</v>
      </c>
      <c r="AS253" s="2">
        <v>190.0</v>
      </c>
      <c r="AT253" s="2">
        <v>17.0</v>
      </c>
      <c r="AU253" s="2">
        <v>23.2210296283111</v>
      </c>
      <c r="AV253" s="2">
        <v>0.0</v>
      </c>
      <c r="AW253" s="2">
        <v>15.0</v>
      </c>
      <c r="AX253" s="2">
        <v>6.0</v>
      </c>
      <c r="AY253" s="2">
        <v>4.0</v>
      </c>
      <c r="AZ253" s="2">
        <v>1.0</v>
      </c>
      <c r="BA253" s="2">
        <v>0.0</v>
      </c>
      <c r="BB253" s="2">
        <v>38.0</v>
      </c>
      <c r="BC253" s="2">
        <v>1.0</v>
      </c>
      <c r="BD253" s="2">
        <v>27.0</v>
      </c>
      <c r="BE253" s="2">
        <v>4.0</v>
      </c>
      <c r="BF253" s="2">
        <v>23.0</v>
      </c>
      <c r="BG253" s="2">
        <v>1.0</v>
      </c>
      <c r="BH253" s="2">
        <v>3.0</v>
      </c>
      <c r="BI253" s="2">
        <v>21.0</v>
      </c>
      <c r="BJ253" s="2">
        <v>5.0</v>
      </c>
      <c r="BK253" s="2">
        <v>2.0</v>
      </c>
      <c r="BL253" s="2">
        <v>6.0</v>
      </c>
      <c r="BM253" s="2">
        <v>7.0</v>
      </c>
      <c r="BN253" s="2">
        <v>0.0</v>
      </c>
      <c r="BO253" s="2">
        <v>0.0</v>
      </c>
      <c r="BP253" s="2">
        <v>0.0</v>
      </c>
      <c r="BQ253" s="2">
        <v>0.0</v>
      </c>
      <c r="BR253" s="2">
        <v>0.0</v>
      </c>
      <c r="BS253" s="2">
        <v>0.0</v>
      </c>
      <c r="BT253" s="2">
        <v>1.0</v>
      </c>
      <c r="BU253" s="2">
        <v>0.0</v>
      </c>
      <c r="BV253" s="2">
        <v>0.0</v>
      </c>
      <c r="BW253" s="2">
        <v>7.0</v>
      </c>
      <c r="BX253" s="2">
        <v>43.0</v>
      </c>
      <c r="BY253" s="2">
        <v>5.0</v>
      </c>
      <c r="BZ253" s="2">
        <v>0.0</v>
      </c>
      <c r="CA253" s="2">
        <v>0.0</v>
      </c>
      <c r="CB253" s="2">
        <v>0.0</v>
      </c>
      <c r="CC253" s="2">
        <v>0.0</v>
      </c>
      <c r="CD253" s="2">
        <v>0.0</v>
      </c>
      <c r="CE253" s="2">
        <v>0.0</v>
      </c>
      <c r="CF253" s="2">
        <v>0.0</v>
      </c>
      <c r="CG253" s="2">
        <v>6.0</v>
      </c>
      <c r="CH253" s="2">
        <v>134.0</v>
      </c>
      <c r="CI253" s="2">
        <v>2.0</v>
      </c>
      <c r="CJ253" s="2">
        <v>3.0</v>
      </c>
      <c r="CK253" s="2">
        <v>0.0</v>
      </c>
      <c r="CL253" s="2">
        <v>1.0</v>
      </c>
      <c r="CM253" s="2">
        <v>36.0</v>
      </c>
      <c r="CN253" s="2">
        <v>0.666666666666667</v>
      </c>
      <c r="CO253" s="2">
        <v>0.0</v>
      </c>
      <c r="CP253" s="2">
        <v>1.0</v>
      </c>
      <c r="CQ253" s="2">
        <v>1.0</v>
      </c>
      <c r="CR253" s="2">
        <v>0.0</v>
      </c>
      <c r="CS253" s="2">
        <v>0.0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0.0</v>
      </c>
      <c r="DA253" s="2" t="s">
        <v>2035</v>
      </c>
      <c r="DC253" s="2" t="s">
        <v>2036</v>
      </c>
      <c r="DD253" s="2">
        <v>60.0</v>
      </c>
      <c r="DE253" s="2">
        <v>0.0</v>
      </c>
      <c r="DF253" s="2">
        <v>47.0</v>
      </c>
      <c r="DG253" s="2">
        <v>5.0</v>
      </c>
      <c r="DH253" s="2">
        <v>5.0</v>
      </c>
      <c r="DI253" s="2">
        <v>0.0</v>
      </c>
      <c r="DJ253" s="2">
        <v>0.0</v>
      </c>
      <c r="DK253" s="2">
        <v>1.0</v>
      </c>
      <c r="DL253" s="2">
        <v>0.0</v>
      </c>
      <c r="DM253" s="2">
        <v>0.0</v>
      </c>
      <c r="DN253" s="2">
        <v>0.0</v>
      </c>
      <c r="DO253" s="2">
        <v>0.0</v>
      </c>
      <c r="DP253" s="2">
        <v>0.0</v>
      </c>
      <c r="DQ253" s="2">
        <v>2.0</v>
      </c>
      <c r="DR253" s="2">
        <v>0.0</v>
      </c>
      <c r="DS253" s="2">
        <v>69.0</v>
      </c>
      <c r="DT253" s="2">
        <v>117.0</v>
      </c>
      <c r="DU253" s="2">
        <v>1.0</v>
      </c>
      <c r="DV253" s="2">
        <v>0.0</v>
      </c>
      <c r="DW253" s="2">
        <v>0.0</v>
      </c>
      <c r="DX253" s="2">
        <v>0.0</v>
      </c>
      <c r="DY253" s="2">
        <v>0.0</v>
      </c>
      <c r="DZ253" s="2">
        <v>2.0</v>
      </c>
      <c r="EA253" s="2">
        <v>12.0</v>
      </c>
      <c r="EB253" s="2">
        <v>0.0</v>
      </c>
      <c r="EC253" s="2">
        <v>105.0</v>
      </c>
      <c r="EE253" s="2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2">
        <v>2025.0</v>
      </c>
      <c r="B254" s="2">
        <v>9.0</v>
      </c>
      <c r="C254" s="2" t="s">
        <v>138</v>
      </c>
      <c r="D254" s="2" t="s">
        <v>390</v>
      </c>
      <c r="E254" s="2" t="s">
        <v>850</v>
      </c>
      <c r="F254" s="2" t="s">
        <v>137</v>
      </c>
      <c r="G254" s="2">
        <v>31.0</v>
      </c>
      <c r="H254" s="2">
        <v>47.0</v>
      </c>
      <c r="I254" s="2">
        <v>470.0</v>
      </c>
      <c r="J254" s="2">
        <v>4.0</v>
      </c>
      <c r="K254" s="2">
        <v>2.0</v>
      </c>
      <c r="L254" s="2">
        <v>3.0</v>
      </c>
      <c r="M254" s="2">
        <v>-21.0</v>
      </c>
      <c r="N254" s="2">
        <v>1.0</v>
      </c>
      <c r="O254" s="2">
        <v>1.0</v>
      </c>
      <c r="P254" s="2">
        <v>427.0</v>
      </c>
      <c r="Q254" s="2">
        <v>183.0</v>
      </c>
      <c r="R254" s="2">
        <v>22.0</v>
      </c>
      <c r="S254" s="2">
        <v>16.7317453197961</v>
      </c>
      <c r="T254" s="2">
        <v>2.81568540467156</v>
      </c>
      <c r="U254" s="2">
        <v>1.0</v>
      </c>
      <c r="V254" s="2">
        <v>19.0</v>
      </c>
      <c r="W254" s="2">
        <v>12.0</v>
      </c>
      <c r="X254" s="2">
        <v>10.0</v>
      </c>
      <c r="Y254" s="2">
        <v>1.0</v>
      </c>
      <c r="Z254" s="2">
        <v>15.0</v>
      </c>
      <c r="AA254" s="2">
        <v>46.0</v>
      </c>
      <c r="AB254" s="2">
        <v>0.0</v>
      </c>
      <c r="AC254" s="2">
        <v>0.0</v>
      </c>
      <c r="AD254" s="2">
        <v>0.0</v>
      </c>
      <c r="AE254" s="2">
        <v>3.0</v>
      </c>
      <c r="AF254" s="2">
        <v>-1.72524776268983</v>
      </c>
      <c r="AG254" s="2">
        <v>0.0</v>
      </c>
      <c r="AH254" s="2">
        <v>1.0</v>
      </c>
      <c r="AI254" s="2">
        <v>1.0</v>
      </c>
      <c r="AJ254" s="2">
        <v>0.0</v>
      </c>
      <c r="AK254" s="2">
        <v>0.0</v>
      </c>
      <c r="AL254" s="2">
        <v>31.0</v>
      </c>
      <c r="AM254" s="2">
        <v>45.0</v>
      </c>
      <c r="AN254" s="2">
        <v>470.0</v>
      </c>
      <c r="AO254" s="2">
        <v>4.0</v>
      </c>
      <c r="AP254" s="2">
        <v>0.0</v>
      </c>
      <c r="AQ254" s="2">
        <v>0.0</v>
      </c>
      <c r="AR254" s="2">
        <v>427.0</v>
      </c>
      <c r="AS254" s="2">
        <v>183.0</v>
      </c>
      <c r="AT254" s="2">
        <v>22.0</v>
      </c>
      <c r="AU254" s="2">
        <v>28.4048089622526</v>
      </c>
      <c r="AV254" s="2">
        <v>1.0</v>
      </c>
      <c r="AW254" s="2">
        <v>19.0</v>
      </c>
      <c r="AX254" s="2">
        <v>12.0</v>
      </c>
      <c r="AY254" s="2">
        <v>10.0</v>
      </c>
      <c r="AZ254" s="2">
        <v>1.0</v>
      </c>
      <c r="BA254" s="2">
        <v>1.0</v>
      </c>
      <c r="BB254" s="2">
        <v>37.0</v>
      </c>
      <c r="BC254" s="2">
        <v>0.0</v>
      </c>
      <c r="BD254" s="2">
        <v>48.0</v>
      </c>
      <c r="BE254" s="2">
        <v>2.0</v>
      </c>
      <c r="BF254" s="2">
        <v>9.0</v>
      </c>
      <c r="BG254" s="2">
        <v>0.0</v>
      </c>
      <c r="BH254" s="2">
        <v>2.0</v>
      </c>
      <c r="BI254" s="2">
        <v>9.0</v>
      </c>
      <c r="BJ254" s="2">
        <v>7.0</v>
      </c>
      <c r="BK254" s="2">
        <v>0.0</v>
      </c>
      <c r="BL254" s="2">
        <v>0.0</v>
      </c>
      <c r="BM254" s="2">
        <v>6.0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</v>
      </c>
      <c r="BU254" s="2">
        <v>0.0</v>
      </c>
      <c r="BV254" s="2">
        <v>0.0</v>
      </c>
      <c r="BW254" s="2">
        <v>7.0</v>
      </c>
      <c r="BX254" s="2">
        <v>49.0</v>
      </c>
      <c r="BY254" s="2">
        <v>7.0</v>
      </c>
      <c r="BZ254" s="2">
        <v>1.0</v>
      </c>
      <c r="CA254" s="2">
        <v>0.0</v>
      </c>
      <c r="CB254" s="2">
        <v>0.0</v>
      </c>
      <c r="CC254" s="2">
        <v>1.0</v>
      </c>
      <c r="CD254" s="2">
        <v>1.0</v>
      </c>
      <c r="CE254" s="2">
        <v>2.0</v>
      </c>
      <c r="CF254" s="2">
        <v>12.0</v>
      </c>
      <c r="CG254" s="2">
        <v>8.0</v>
      </c>
      <c r="CH254" s="2">
        <v>297.0</v>
      </c>
      <c r="CI254" s="2">
        <v>2.0</v>
      </c>
      <c r="CJ254" s="2">
        <v>3.0</v>
      </c>
      <c r="CK254" s="2">
        <v>1.0</v>
      </c>
      <c r="CL254" s="2">
        <v>0.0</v>
      </c>
      <c r="CM254" s="2">
        <v>41.0</v>
      </c>
      <c r="CN254" s="2">
        <v>0.666666666666667</v>
      </c>
      <c r="CO254" s="2">
        <v>0.0</v>
      </c>
      <c r="CP254" s="2">
        <v>0.0</v>
      </c>
      <c r="CQ254" s="2">
        <v>1.0</v>
      </c>
      <c r="CR254" s="2">
        <v>1.0</v>
      </c>
      <c r="CS254" s="2">
        <v>0.0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1.0</v>
      </c>
      <c r="CZ254" s="2">
        <v>0.0</v>
      </c>
      <c r="DA254" s="2" t="s">
        <v>2135</v>
      </c>
      <c r="DB254" s="2" t="s">
        <v>2018</v>
      </c>
      <c r="DD254" s="2">
        <v>74.0</v>
      </c>
      <c r="DE254" s="2">
        <v>54.0</v>
      </c>
      <c r="DF254" s="2">
        <v>0.0</v>
      </c>
      <c r="DG254" s="2">
        <v>4.0</v>
      </c>
      <c r="DH254" s="2">
        <v>4.0</v>
      </c>
      <c r="DI254" s="2">
        <v>0.0</v>
      </c>
      <c r="DJ254" s="2">
        <v>0.0</v>
      </c>
      <c r="DK254" s="2">
        <v>1.0</v>
      </c>
      <c r="DL254" s="2">
        <v>0.0</v>
      </c>
      <c r="DM254" s="2">
        <v>0.0</v>
      </c>
      <c r="DN254" s="2">
        <v>0.0</v>
      </c>
      <c r="DO254" s="2">
        <v>0.0</v>
      </c>
      <c r="DP254" s="2">
        <v>0.0</v>
      </c>
      <c r="DQ254" s="2">
        <v>1.0</v>
      </c>
      <c r="DR254" s="2">
        <v>0.0</v>
      </c>
      <c r="DS254" s="2">
        <v>53.0</v>
      </c>
      <c r="DT254" s="2">
        <v>53.0</v>
      </c>
      <c r="DU254" s="2">
        <v>1.0</v>
      </c>
      <c r="DV254" s="2">
        <v>0.0</v>
      </c>
      <c r="DW254" s="2">
        <v>0.0</v>
      </c>
      <c r="DX254" s="2">
        <v>0.0</v>
      </c>
      <c r="DY254" s="2">
        <v>1.0</v>
      </c>
      <c r="DZ254" s="2">
        <v>0.0</v>
      </c>
      <c r="EA254" s="2">
        <v>0.0</v>
      </c>
      <c r="EB254" s="2">
        <v>0.0</v>
      </c>
      <c r="EC254" s="2">
        <v>53.0</v>
      </c>
      <c r="EE254" s="2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2">
        <v>2025.0</v>
      </c>
      <c r="B255" s="2">
        <v>9.0</v>
      </c>
      <c r="C255" s="2" t="s">
        <v>146</v>
      </c>
      <c r="D255" s="2" t="s">
        <v>390</v>
      </c>
      <c r="E255" s="2" t="s">
        <v>876</v>
      </c>
      <c r="F255" s="2" t="s">
        <v>178</v>
      </c>
      <c r="G255" s="2">
        <v>24.0</v>
      </c>
      <c r="H255" s="2">
        <v>39.0</v>
      </c>
      <c r="I255" s="2">
        <v>250.0</v>
      </c>
      <c r="J255" s="2">
        <v>1.0</v>
      </c>
      <c r="K255" s="2">
        <v>1.0</v>
      </c>
      <c r="L255" s="2">
        <v>5.0</v>
      </c>
      <c r="M255" s="2">
        <v>-40.0</v>
      </c>
      <c r="N255" s="2">
        <v>0.0</v>
      </c>
      <c r="O255" s="2">
        <v>0.0</v>
      </c>
      <c r="P255" s="2">
        <v>400.0</v>
      </c>
      <c r="Q255" s="2">
        <v>91.0</v>
      </c>
      <c r="R255" s="2">
        <v>14.0</v>
      </c>
      <c r="S255" s="2">
        <v>-4.50267879378913</v>
      </c>
      <c r="T255" s="2">
        <v>-0.485124439001083</v>
      </c>
      <c r="U255" s="2">
        <v>0.0</v>
      </c>
      <c r="V255" s="2">
        <v>11.0</v>
      </c>
      <c r="W255" s="2">
        <v>4.0</v>
      </c>
      <c r="X255" s="2">
        <v>2.0</v>
      </c>
      <c r="Y255" s="2">
        <v>0.0</v>
      </c>
      <c r="Z255" s="2">
        <v>21.0</v>
      </c>
      <c r="AA255" s="2">
        <v>123.0</v>
      </c>
      <c r="AB255" s="2">
        <v>0.0</v>
      </c>
      <c r="AC255" s="2">
        <v>0.0</v>
      </c>
      <c r="AD255" s="2">
        <v>0.0</v>
      </c>
      <c r="AE255" s="2">
        <v>8.0</v>
      </c>
      <c r="AF255" s="2">
        <v>3.38213453034405</v>
      </c>
      <c r="AG255" s="2">
        <v>0.0</v>
      </c>
      <c r="AH255" s="2">
        <v>4.0</v>
      </c>
      <c r="AI255" s="2">
        <v>3.0</v>
      </c>
      <c r="AJ255" s="2">
        <v>0.0</v>
      </c>
      <c r="AK255" s="2">
        <v>0.0</v>
      </c>
      <c r="AL255" s="2">
        <v>24.0</v>
      </c>
      <c r="AM255" s="2">
        <v>36.0</v>
      </c>
      <c r="AN255" s="2">
        <v>250.0</v>
      </c>
      <c r="AO255" s="2">
        <v>1.0</v>
      </c>
      <c r="AP255" s="2">
        <v>4.0</v>
      </c>
      <c r="AQ255" s="2">
        <v>2.0</v>
      </c>
      <c r="AR255" s="2">
        <v>400.0</v>
      </c>
      <c r="AS255" s="2">
        <v>89.0</v>
      </c>
      <c r="AT255" s="2">
        <v>14.0</v>
      </c>
      <c r="AU255" s="2">
        <v>-2.32166090657431</v>
      </c>
      <c r="AV255" s="2">
        <v>0.0</v>
      </c>
      <c r="AW255" s="2">
        <v>11.0</v>
      </c>
      <c r="AX255" s="2">
        <v>4.0</v>
      </c>
      <c r="AY255" s="2">
        <v>2.0</v>
      </c>
      <c r="AZ255" s="2">
        <v>0.0</v>
      </c>
      <c r="BA255" s="2">
        <v>1.0</v>
      </c>
      <c r="BB255" s="2">
        <v>39.0</v>
      </c>
      <c r="BC255" s="2">
        <v>1.0</v>
      </c>
      <c r="BD255" s="2">
        <v>33.0</v>
      </c>
      <c r="BE255" s="2">
        <v>8.0</v>
      </c>
      <c r="BF255" s="2">
        <v>46.0</v>
      </c>
      <c r="BG255" s="2">
        <v>0.0</v>
      </c>
      <c r="BH255" s="2">
        <v>5.0</v>
      </c>
      <c r="BI255" s="2">
        <v>40.0</v>
      </c>
      <c r="BJ255" s="2">
        <v>11.0</v>
      </c>
      <c r="BK255" s="2">
        <v>0.0</v>
      </c>
      <c r="BL255" s="2">
        <v>0.0</v>
      </c>
      <c r="BM255" s="2">
        <v>2.0</v>
      </c>
      <c r="BN255" s="2">
        <v>0.0</v>
      </c>
      <c r="BO255" s="2">
        <v>0.0</v>
      </c>
      <c r="BP255" s="2">
        <v>0.0</v>
      </c>
      <c r="BQ255" s="2">
        <v>0.0</v>
      </c>
      <c r="BR255" s="2">
        <v>2.0</v>
      </c>
      <c r="BS255" s="2">
        <v>0.0</v>
      </c>
      <c r="BT255" s="2">
        <v>0.0</v>
      </c>
      <c r="BU255" s="2">
        <v>0.0</v>
      </c>
      <c r="BV255" s="2">
        <v>0.0</v>
      </c>
      <c r="BW255" s="2">
        <v>6.0</v>
      </c>
      <c r="BX255" s="2">
        <v>55.0</v>
      </c>
      <c r="BY255" s="2">
        <v>6.0</v>
      </c>
      <c r="BZ255" s="2">
        <v>4.0</v>
      </c>
      <c r="CA255" s="2">
        <v>0.0</v>
      </c>
      <c r="CB255" s="2">
        <v>0.0</v>
      </c>
      <c r="CC255" s="2">
        <v>4.0</v>
      </c>
      <c r="CD255" s="2">
        <v>2.0</v>
      </c>
      <c r="CE255" s="2">
        <v>1.0</v>
      </c>
      <c r="CF255" s="2">
        <v>6.0</v>
      </c>
      <c r="CG255" s="2">
        <v>6.0</v>
      </c>
      <c r="CH255" s="2">
        <v>151.0</v>
      </c>
      <c r="CI255" s="2">
        <v>1.0</v>
      </c>
      <c r="CJ255" s="2">
        <v>2.0</v>
      </c>
      <c r="CK255" s="2">
        <v>1.0</v>
      </c>
      <c r="CL255" s="2">
        <v>0.0</v>
      </c>
      <c r="CM255" s="2">
        <v>26.0</v>
      </c>
      <c r="CN255" s="2">
        <v>0.5</v>
      </c>
      <c r="CO255" s="2">
        <v>0.0</v>
      </c>
      <c r="CP255" s="2">
        <v>1.0</v>
      </c>
      <c r="CQ255" s="2">
        <v>0.0</v>
      </c>
      <c r="CR255" s="2">
        <v>0.0</v>
      </c>
      <c r="CS255" s="2">
        <v>0.0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1.0</v>
      </c>
      <c r="DA255" s="2" t="s">
        <v>2055</v>
      </c>
      <c r="DB255" s="2" t="s">
        <v>2136</v>
      </c>
      <c r="DD255" s="2">
        <v>26.0</v>
      </c>
      <c r="DE255" s="2">
        <v>68.0</v>
      </c>
      <c r="DF255" s="2">
        <v>0.0</v>
      </c>
      <c r="DG255" s="2">
        <v>2.0</v>
      </c>
      <c r="DH255" s="2">
        <v>2.0</v>
      </c>
      <c r="DI255" s="2">
        <v>0.0</v>
      </c>
      <c r="DJ255" s="2">
        <v>0.0</v>
      </c>
      <c r="DK255" s="2">
        <v>1.0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1.0</v>
      </c>
      <c r="DR255" s="2">
        <v>0.0</v>
      </c>
      <c r="DS255" s="2">
        <v>41.0</v>
      </c>
      <c r="DT255" s="2">
        <v>41.0</v>
      </c>
      <c r="DU255" s="2">
        <v>0.0</v>
      </c>
      <c r="DV255" s="2">
        <v>0.0</v>
      </c>
      <c r="DW255" s="2">
        <v>0.0</v>
      </c>
      <c r="DX255" s="2">
        <v>0.0</v>
      </c>
      <c r="DY255" s="2">
        <v>0.0</v>
      </c>
      <c r="DZ255" s="2">
        <v>1.0</v>
      </c>
      <c r="EA255" s="2">
        <v>5.0</v>
      </c>
      <c r="EB255" s="2">
        <v>0.0</v>
      </c>
      <c r="EC255" s="2">
        <v>36.0</v>
      </c>
      <c r="EE255" s="2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2">
        <v>2025.0</v>
      </c>
      <c r="B256" s="2">
        <v>9.0</v>
      </c>
      <c r="C256" s="2" t="s">
        <v>139</v>
      </c>
      <c r="D256" s="2" t="s">
        <v>390</v>
      </c>
      <c r="E256" s="2" t="s">
        <v>857</v>
      </c>
      <c r="F256" s="2" t="s">
        <v>140</v>
      </c>
      <c r="G256" s="2">
        <v>18.0</v>
      </c>
      <c r="H256" s="2">
        <v>37.0</v>
      </c>
      <c r="I256" s="2">
        <v>173.0</v>
      </c>
      <c r="J256" s="2">
        <v>2.0</v>
      </c>
      <c r="K256" s="2">
        <v>1.0</v>
      </c>
      <c r="L256" s="2">
        <v>1.0</v>
      </c>
      <c r="M256" s="2">
        <v>-2.0</v>
      </c>
      <c r="N256" s="2">
        <v>0.0</v>
      </c>
      <c r="O256" s="2">
        <v>0.0</v>
      </c>
      <c r="P256" s="2">
        <v>441.0</v>
      </c>
      <c r="Q256" s="2">
        <v>92.0</v>
      </c>
      <c r="R256" s="2">
        <v>9.0</v>
      </c>
      <c r="S256" s="2">
        <v>-3.50015967123193</v>
      </c>
      <c r="T256" s="2">
        <v>-10.228743447977</v>
      </c>
      <c r="U256" s="2">
        <v>1.0</v>
      </c>
      <c r="V256" s="2">
        <v>8.0</v>
      </c>
      <c r="W256" s="2">
        <v>4.0</v>
      </c>
      <c r="X256" s="2">
        <v>3.0</v>
      </c>
      <c r="Y256" s="2">
        <v>0.0</v>
      </c>
      <c r="Z256" s="2">
        <v>23.0</v>
      </c>
      <c r="AA256" s="2">
        <v>100.0</v>
      </c>
      <c r="AB256" s="2">
        <v>0.0</v>
      </c>
      <c r="AC256" s="2">
        <v>0.0</v>
      </c>
      <c r="AD256" s="2">
        <v>0.0</v>
      </c>
      <c r="AE256" s="2">
        <v>6.0</v>
      </c>
      <c r="AF256" s="2">
        <v>-2.07991120988882</v>
      </c>
      <c r="AG256" s="2">
        <v>0.0</v>
      </c>
      <c r="AH256" s="2">
        <v>2.0</v>
      </c>
      <c r="AI256" s="2">
        <v>2.0</v>
      </c>
      <c r="AJ256" s="2">
        <v>1.0</v>
      </c>
      <c r="AK256" s="2">
        <v>0.0</v>
      </c>
      <c r="AL256" s="2">
        <v>18.0</v>
      </c>
      <c r="AM256" s="2">
        <v>34.0</v>
      </c>
      <c r="AN256" s="2">
        <v>173.0</v>
      </c>
      <c r="AO256" s="2">
        <v>2.0</v>
      </c>
      <c r="AP256" s="2">
        <v>0.0</v>
      </c>
      <c r="AQ256" s="2">
        <v>0.0</v>
      </c>
      <c r="AR256" s="2">
        <v>441.0</v>
      </c>
      <c r="AS256" s="2">
        <v>92.0</v>
      </c>
      <c r="AT256" s="2">
        <v>9.0</v>
      </c>
      <c r="AU256" s="2">
        <v>-1.01718311738671</v>
      </c>
      <c r="AV256" s="2">
        <v>1.0</v>
      </c>
      <c r="AW256" s="2">
        <v>8.0</v>
      </c>
      <c r="AX256" s="2">
        <v>4.0</v>
      </c>
      <c r="AY256" s="2">
        <v>3.0</v>
      </c>
      <c r="AZ256" s="2">
        <v>0.0</v>
      </c>
      <c r="BA256" s="2">
        <v>0.0</v>
      </c>
      <c r="BB256" s="2">
        <v>43.0</v>
      </c>
      <c r="BC256" s="2">
        <v>0.0</v>
      </c>
      <c r="BD256" s="2">
        <v>34.0</v>
      </c>
      <c r="BE256" s="2">
        <v>4.0</v>
      </c>
      <c r="BF256" s="2">
        <v>25.0</v>
      </c>
      <c r="BG256" s="2">
        <v>0.0</v>
      </c>
      <c r="BH256" s="2">
        <v>4.0</v>
      </c>
      <c r="BI256" s="2">
        <v>25.0</v>
      </c>
      <c r="BJ256" s="2">
        <v>7.0</v>
      </c>
      <c r="BK256" s="2">
        <v>0.0</v>
      </c>
      <c r="BL256" s="2">
        <v>0.0</v>
      </c>
      <c r="BM256" s="2">
        <v>7.0</v>
      </c>
      <c r="BN256" s="2">
        <v>0.0</v>
      </c>
      <c r="BO256" s="2">
        <v>1.0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0.0</v>
      </c>
      <c r="BU256" s="2">
        <v>0.0</v>
      </c>
      <c r="BV256" s="2">
        <v>0.0</v>
      </c>
      <c r="BW256" s="2">
        <v>4.0</v>
      </c>
      <c r="BX256" s="2">
        <v>41.0</v>
      </c>
      <c r="BY256" s="2">
        <v>6.0</v>
      </c>
      <c r="BZ256" s="2">
        <v>0.0</v>
      </c>
      <c r="CA256" s="2">
        <v>1.0</v>
      </c>
      <c r="CB256" s="2">
        <v>0.0</v>
      </c>
      <c r="CC256" s="2">
        <v>1.0</v>
      </c>
      <c r="CD256" s="2">
        <v>1.0</v>
      </c>
      <c r="CE256" s="2">
        <v>4.0</v>
      </c>
      <c r="CF256" s="2">
        <v>30.0</v>
      </c>
      <c r="CG256" s="2">
        <v>3.0</v>
      </c>
      <c r="CH256" s="2">
        <v>76.0</v>
      </c>
      <c r="CI256" s="2">
        <v>1.0</v>
      </c>
      <c r="CJ256" s="2">
        <v>2.0</v>
      </c>
      <c r="CK256" s="2">
        <v>0.0</v>
      </c>
      <c r="CL256" s="2">
        <v>1.0</v>
      </c>
      <c r="CM256" s="2">
        <v>34.0</v>
      </c>
      <c r="CN256" s="2">
        <v>0.5</v>
      </c>
      <c r="CO256" s="2">
        <v>0.0</v>
      </c>
      <c r="CP256" s="2">
        <v>0.0</v>
      </c>
      <c r="CQ256" s="2">
        <v>1.0</v>
      </c>
      <c r="CR256" s="2">
        <v>0.0</v>
      </c>
      <c r="CS256" s="2">
        <v>0.0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 t="s">
        <v>2001</v>
      </c>
      <c r="DC256" s="2" t="s">
        <v>2015</v>
      </c>
      <c r="DD256" s="2">
        <v>34.0</v>
      </c>
      <c r="DE256" s="2">
        <v>0.0</v>
      </c>
      <c r="DF256" s="2">
        <v>51.0</v>
      </c>
      <c r="DG256" s="2">
        <v>1.0</v>
      </c>
      <c r="DH256" s="2">
        <v>1.0</v>
      </c>
      <c r="DI256" s="2">
        <v>0.0</v>
      </c>
      <c r="DJ256" s="2">
        <v>0.0</v>
      </c>
      <c r="DK256" s="2">
        <v>1.0</v>
      </c>
      <c r="DL256" s="2">
        <v>1.0</v>
      </c>
      <c r="DM256" s="2">
        <v>1.0</v>
      </c>
      <c r="DN256" s="2">
        <v>0.0</v>
      </c>
      <c r="DO256" s="2">
        <v>0.0</v>
      </c>
      <c r="DP256" s="2">
        <v>34.0</v>
      </c>
      <c r="DQ256" s="2">
        <v>8.0</v>
      </c>
      <c r="DR256" s="2">
        <v>0.0</v>
      </c>
      <c r="DS256" s="2">
        <v>76.0</v>
      </c>
      <c r="DT256" s="2">
        <v>428.0</v>
      </c>
      <c r="DU256" s="2">
        <v>2.0</v>
      </c>
      <c r="DV256" s="2">
        <v>1.0</v>
      </c>
      <c r="DW256" s="2">
        <v>1.0</v>
      </c>
      <c r="DX256" s="2">
        <v>1.0</v>
      </c>
      <c r="DY256" s="2">
        <v>1.0</v>
      </c>
      <c r="DZ256" s="2">
        <v>4.0</v>
      </c>
      <c r="EA256" s="2">
        <v>62.0</v>
      </c>
      <c r="EB256" s="2">
        <v>0.0</v>
      </c>
      <c r="EC256" s="2">
        <v>346.0</v>
      </c>
      <c r="EE256" s="2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2">
        <v>2025.0</v>
      </c>
      <c r="B257" s="2">
        <v>9.0</v>
      </c>
      <c r="C257" s="2" t="s">
        <v>202</v>
      </c>
      <c r="D257" s="2" t="s">
        <v>390</v>
      </c>
      <c r="E257" s="2" t="s">
        <v>853</v>
      </c>
      <c r="F257" s="2" t="s">
        <v>144</v>
      </c>
      <c r="G257" s="2">
        <v>25.0</v>
      </c>
      <c r="H257" s="2">
        <v>37.0</v>
      </c>
      <c r="I257" s="2">
        <v>284.0</v>
      </c>
      <c r="J257" s="2">
        <v>2.0</v>
      </c>
      <c r="K257" s="2">
        <v>0.0</v>
      </c>
      <c r="L257" s="2">
        <v>5.0</v>
      </c>
      <c r="M257" s="2">
        <v>-44.0</v>
      </c>
      <c r="N257" s="2">
        <v>0.0</v>
      </c>
      <c r="O257" s="2">
        <v>0.0</v>
      </c>
      <c r="P257" s="2">
        <v>249.0</v>
      </c>
      <c r="Q257" s="2">
        <v>141.0</v>
      </c>
      <c r="R257" s="2">
        <v>11.0</v>
      </c>
      <c r="S257" s="2">
        <v>4.1288096063834</v>
      </c>
      <c r="T257" s="2">
        <v>-2.5155874590079</v>
      </c>
      <c r="U257" s="2">
        <v>0.0</v>
      </c>
      <c r="V257" s="2">
        <v>12.0</v>
      </c>
      <c r="W257" s="2">
        <v>6.0</v>
      </c>
      <c r="X257" s="2">
        <v>2.0</v>
      </c>
      <c r="Y257" s="2">
        <v>1.0</v>
      </c>
      <c r="Z257" s="2">
        <v>20.0</v>
      </c>
      <c r="AA257" s="2">
        <v>65.0</v>
      </c>
      <c r="AB257" s="2">
        <v>1.0</v>
      </c>
      <c r="AC257" s="2">
        <v>1.0</v>
      </c>
      <c r="AD257" s="2">
        <v>1.0</v>
      </c>
      <c r="AE257" s="2">
        <v>3.0</v>
      </c>
      <c r="AF257" s="2">
        <v>-4.56761191762053</v>
      </c>
      <c r="AG257" s="2">
        <v>0.0</v>
      </c>
      <c r="AH257" s="2">
        <v>2.0</v>
      </c>
      <c r="AI257" s="2">
        <v>0.0</v>
      </c>
      <c r="AJ257" s="2">
        <v>0.0</v>
      </c>
      <c r="AK257" s="2">
        <v>0.0</v>
      </c>
      <c r="AL257" s="2">
        <v>25.0</v>
      </c>
      <c r="AM257" s="2">
        <v>36.0</v>
      </c>
      <c r="AN257" s="2">
        <v>284.0</v>
      </c>
      <c r="AO257" s="2">
        <v>2.0</v>
      </c>
      <c r="AP257" s="2">
        <v>0.0</v>
      </c>
      <c r="AQ257" s="2">
        <v>0.0</v>
      </c>
      <c r="AR257" s="2">
        <v>249.0</v>
      </c>
      <c r="AS257" s="2">
        <v>141.0</v>
      </c>
      <c r="AT257" s="2">
        <v>11.0</v>
      </c>
      <c r="AU257" s="2">
        <v>14.9326112286071</v>
      </c>
      <c r="AV257" s="2">
        <v>0.0</v>
      </c>
      <c r="AW257" s="2">
        <v>12.0</v>
      </c>
      <c r="AX257" s="2">
        <v>6.0</v>
      </c>
      <c r="AY257" s="2">
        <v>2.0</v>
      </c>
      <c r="AZ257" s="2">
        <v>1.0</v>
      </c>
      <c r="BA257" s="2">
        <v>0.0</v>
      </c>
      <c r="BB257" s="2">
        <v>35.0</v>
      </c>
      <c r="BC257" s="2">
        <v>1.0</v>
      </c>
      <c r="BD257" s="2">
        <v>25.0</v>
      </c>
      <c r="BE257" s="2">
        <v>7.0</v>
      </c>
      <c r="BF257" s="2">
        <v>34.0</v>
      </c>
      <c r="BG257" s="2">
        <v>0.0</v>
      </c>
      <c r="BH257" s="2">
        <v>5.0</v>
      </c>
      <c r="BI257" s="2">
        <v>27.0</v>
      </c>
      <c r="BJ257" s="2">
        <v>9.0</v>
      </c>
      <c r="BK257" s="2">
        <v>1.0</v>
      </c>
      <c r="BL257" s="2">
        <v>0.0</v>
      </c>
      <c r="BM257" s="2">
        <v>3.0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0.0</v>
      </c>
      <c r="BW257" s="2">
        <v>10.0</v>
      </c>
      <c r="BX257" s="2">
        <v>76.0</v>
      </c>
      <c r="BY257" s="2">
        <v>4.0</v>
      </c>
      <c r="BZ257" s="2">
        <v>1.0</v>
      </c>
      <c r="CA257" s="2">
        <v>0.0</v>
      </c>
      <c r="CB257" s="2">
        <v>0.0</v>
      </c>
      <c r="CC257" s="2">
        <v>1.0</v>
      </c>
      <c r="CD257" s="2">
        <v>1.0</v>
      </c>
      <c r="CE257" s="2">
        <v>2.0</v>
      </c>
      <c r="CF257" s="2">
        <v>15.0</v>
      </c>
      <c r="CG257" s="2">
        <v>6.0</v>
      </c>
      <c r="CH257" s="2">
        <v>170.0</v>
      </c>
      <c r="CI257" s="2">
        <v>1.0</v>
      </c>
      <c r="CJ257" s="2">
        <v>2.0</v>
      </c>
      <c r="CK257" s="2">
        <v>0.0</v>
      </c>
      <c r="CL257" s="2">
        <v>1.0</v>
      </c>
      <c r="CM257" s="2">
        <v>41.0</v>
      </c>
      <c r="CN257" s="2">
        <v>0.5</v>
      </c>
      <c r="CO257" s="2">
        <v>0.0</v>
      </c>
      <c r="CP257" s="2">
        <v>0.0</v>
      </c>
      <c r="CQ257" s="2">
        <v>0.0</v>
      </c>
      <c r="CR257" s="2">
        <v>1.0</v>
      </c>
      <c r="CS257" s="2">
        <v>0.0</v>
      </c>
      <c r="CT257" s="2">
        <v>0.0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0.0</v>
      </c>
      <c r="DA257" s="2" t="s">
        <v>2025</v>
      </c>
      <c r="DC257" s="2" t="s">
        <v>1969</v>
      </c>
      <c r="DD257" s="2">
        <v>41.0</v>
      </c>
      <c r="DE257" s="2">
        <v>0.0</v>
      </c>
      <c r="DF257" s="2">
        <v>45.0</v>
      </c>
      <c r="DG257" s="2">
        <v>3.0</v>
      </c>
      <c r="DH257" s="2">
        <v>3.0</v>
      </c>
      <c r="DI257" s="2">
        <v>0.0</v>
      </c>
      <c r="DJ257" s="2">
        <v>0.0</v>
      </c>
      <c r="DK257" s="2">
        <v>1.0</v>
      </c>
      <c r="DL257" s="2">
        <v>0.0</v>
      </c>
      <c r="DM257" s="2">
        <v>0.0</v>
      </c>
      <c r="DN257" s="2">
        <v>0.0</v>
      </c>
      <c r="DO257" s="2">
        <v>0.0</v>
      </c>
      <c r="DP257" s="2">
        <v>0.0</v>
      </c>
      <c r="DQ257" s="2">
        <v>5.0</v>
      </c>
      <c r="DR257" s="2">
        <v>0.0</v>
      </c>
      <c r="DS257" s="2">
        <v>58.0</v>
      </c>
      <c r="DT257" s="2">
        <v>238.0</v>
      </c>
      <c r="DU257" s="2">
        <v>2.0</v>
      </c>
      <c r="DV257" s="2">
        <v>0.0</v>
      </c>
      <c r="DW257" s="2">
        <v>1.0</v>
      </c>
      <c r="DX257" s="2">
        <v>0.0</v>
      </c>
      <c r="DY257" s="2">
        <v>3.0</v>
      </c>
      <c r="DZ257" s="2">
        <v>1.0</v>
      </c>
      <c r="EA257" s="2">
        <v>7.0</v>
      </c>
      <c r="EB257" s="2">
        <v>0.0</v>
      </c>
      <c r="EC257" s="2">
        <v>231.0</v>
      </c>
      <c r="EE257" s="2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2">
        <v>2025.0</v>
      </c>
      <c r="B258" s="2">
        <v>9.0</v>
      </c>
      <c r="C258" s="2" t="s">
        <v>205</v>
      </c>
      <c r="D258" s="2" t="s">
        <v>390</v>
      </c>
      <c r="E258" s="2" t="s">
        <v>855</v>
      </c>
      <c r="F258" s="2" t="s">
        <v>189</v>
      </c>
      <c r="G258" s="2">
        <v>26.0</v>
      </c>
      <c r="H258" s="2">
        <v>37.0</v>
      </c>
      <c r="I258" s="2">
        <v>273.0</v>
      </c>
      <c r="J258" s="2">
        <v>0.0</v>
      </c>
      <c r="K258" s="2">
        <v>1.0</v>
      </c>
      <c r="L258" s="2">
        <v>1.0</v>
      </c>
      <c r="M258" s="2">
        <v>-8.0</v>
      </c>
      <c r="N258" s="2">
        <v>0.0</v>
      </c>
      <c r="O258" s="2">
        <v>0.0</v>
      </c>
      <c r="P258" s="2">
        <v>325.0</v>
      </c>
      <c r="Q258" s="2">
        <v>101.0</v>
      </c>
      <c r="R258" s="2">
        <v>13.0</v>
      </c>
      <c r="S258" s="2">
        <v>5.89999847200096</v>
      </c>
      <c r="T258" s="2">
        <v>9.10083600452968</v>
      </c>
      <c r="U258" s="2">
        <v>0.0</v>
      </c>
      <c r="V258" s="2">
        <v>9.0</v>
      </c>
      <c r="W258" s="2">
        <v>5.0</v>
      </c>
      <c r="X258" s="2">
        <v>4.0</v>
      </c>
      <c r="Y258" s="2">
        <v>1.0</v>
      </c>
      <c r="Z258" s="2">
        <v>25.0</v>
      </c>
      <c r="AA258" s="2">
        <v>104.0</v>
      </c>
      <c r="AB258" s="2">
        <v>1.0</v>
      </c>
      <c r="AC258" s="2">
        <v>1.0</v>
      </c>
      <c r="AD258" s="2">
        <v>1.0</v>
      </c>
      <c r="AE258" s="2">
        <v>7.0</v>
      </c>
      <c r="AF258" s="2">
        <v>-3.22095320149674</v>
      </c>
      <c r="AG258" s="2">
        <v>0.0</v>
      </c>
      <c r="AH258" s="2">
        <v>2.0</v>
      </c>
      <c r="AI258" s="2">
        <v>2.0</v>
      </c>
      <c r="AJ258" s="2">
        <v>0.0</v>
      </c>
      <c r="AK258" s="2">
        <v>0.0</v>
      </c>
      <c r="AL258" s="2">
        <v>26.0</v>
      </c>
      <c r="AM258" s="2">
        <v>35.0</v>
      </c>
      <c r="AN258" s="2">
        <v>273.0</v>
      </c>
      <c r="AO258" s="2">
        <v>0.0</v>
      </c>
      <c r="AP258" s="2">
        <v>0.0</v>
      </c>
      <c r="AQ258" s="2">
        <v>0.0</v>
      </c>
      <c r="AR258" s="2">
        <v>325.0</v>
      </c>
      <c r="AS258" s="2">
        <v>101.0</v>
      </c>
      <c r="AT258" s="2">
        <v>13.0</v>
      </c>
      <c r="AU258" s="2">
        <v>8.62631054005914</v>
      </c>
      <c r="AV258" s="2">
        <v>0.0</v>
      </c>
      <c r="AW258" s="2">
        <v>9.0</v>
      </c>
      <c r="AX258" s="2">
        <v>5.0</v>
      </c>
      <c r="AY258" s="2">
        <v>4.0</v>
      </c>
      <c r="AZ258" s="2">
        <v>1.0</v>
      </c>
      <c r="BA258" s="2">
        <v>0.0</v>
      </c>
      <c r="BB258" s="2">
        <v>25.0</v>
      </c>
      <c r="BC258" s="2">
        <v>0.0</v>
      </c>
      <c r="BD258" s="2">
        <v>46.0</v>
      </c>
      <c r="BE258" s="2">
        <v>1.0</v>
      </c>
      <c r="BF258" s="2">
        <v>2.0</v>
      </c>
      <c r="BG258" s="2">
        <v>1.0</v>
      </c>
      <c r="BH258" s="2">
        <v>1.0</v>
      </c>
      <c r="BI258" s="2">
        <v>0.0</v>
      </c>
      <c r="BJ258" s="2">
        <v>2.0</v>
      </c>
      <c r="BK258" s="2">
        <v>1.0</v>
      </c>
      <c r="BL258" s="2">
        <v>0.0</v>
      </c>
      <c r="BM258" s="2">
        <v>1.0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7.0</v>
      </c>
      <c r="BX258" s="2">
        <v>42.0</v>
      </c>
      <c r="BY258" s="2">
        <v>5.0</v>
      </c>
      <c r="BZ258" s="2">
        <v>1.0</v>
      </c>
      <c r="CA258" s="2">
        <v>0.0</v>
      </c>
      <c r="CB258" s="2">
        <v>0.0</v>
      </c>
      <c r="CC258" s="2">
        <v>1.0</v>
      </c>
      <c r="CD258" s="2">
        <v>1.0</v>
      </c>
      <c r="CE258" s="2">
        <v>2.0</v>
      </c>
      <c r="CF258" s="2">
        <v>6.0</v>
      </c>
      <c r="CG258" s="2">
        <v>3.0</v>
      </c>
      <c r="CH258" s="2">
        <v>68.0</v>
      </c>
      <c r="CI258" s="2">
        <v>2.0</v>
      </c>
      <c r="CJ258" s="2">
        <v>3.0</v>
      </c>
      <c r="CK258" s="2">
        <v>1.0</v>
      </c>
      <c r="CL258" s="2">
        <v>0.0</v>
      </c>
      <c r="CM258" s="2">
        <v>49.0</v>
      </c>
      <c r="CN258" s="2">
        <v>0.666666666666667</v>
      </c>
      <c r="CO258" s="2">
        <v>0.0</v>
      </c>
      <c r="CP258" s="2">
        <v>1.0</v>
      </c>
      <c r="CQ258" s="2">
        <v>0.0</v>
      </c>
      <c r="CR258" s="2">
        <v>1.0</v>
      </c>
      <c r="CS258" s="2">
        <v>0.0</v>
      </c>
      <c r="CT258" s="2">
        <v>0.0</v>
      </c>
      <c r="CU258" s="2">
        <v>0.0</v>
      </c>
      <c r="CV258" s="2">
        <v>0.0</v>
      </c>
      <c r="CW258" s="2">
        <v>0.0</v>
      </c>
      <c r="CX258" s="2">
        <v>1.0</v>
      </c>
      <c r="CY258" s="2">
        <v>0.0</v>
      </c>
      <c r="CZ258" s="2">
        <v>0.0</v>
      </c>
      <c r="DA258" s="2" t="s">
        <v>2137</v>
      </c>
      <c r="DB258" s="2" t="s">
        <v>2033</v>
      </c>
      <c r="DD258" s="2">
        <v>76.0</v>
      </c>
      <c r="DE258" s="2">
        <v>43.0</v>
      </c>
      <c r="DF258" s="2">
        <v>0.0</v>
      </c>
      <c r="DG258" s="2">
        <v>1.0</v>
      </c>
      <c r="DH258" s="2">
        <v>1.0</v>
      </c>
      <c r="DI258" s="2">
        <v>0.0</v>
      </c>
      <c r="DJ258" s="2">
        <v>0.0</v>
      </c>
      <c r="DK258" s="2">
        <v>1.0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0.0</v>
      </c>
      <c r="DR258" s="2">
        <v>0.0</v>
      </c>
      <c r="DT258" s="2">
        <v>0.0</v>
      </c>
      <c r="DU258" s="2">
        <v>0.0</v>
      </c>
      <c r="DV258" s="2">
        <v>0.0</v>
      </c>
      <c r="DW258" s="2">
        <v>0.0</v>
      </c>
      <c r="DX258" s="2">
        <v>0.0</v>
      </c>
      <c r="DY258" s="2">
        <v>0.0</v>
      </c>
      <c r="DZ258" s="2">
        <v>0.0</v>
      </c>
      <c r="EA258" s="2">
        <v>0.0</v>
      </c>
      <c r="EB258" s="2">
        <v>0.0</v>
      </c>
      <c r="EC258" s="2">
        <v>0.0</v>
      </c>
      <c r="EE258" s="2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2">
        <v>2025.0</v>
      </c>
      <c r="B259" s="2">
        <v>9.0</v>
      </c>
      <c r="C259" s="2" t="s">
        <v>140</v>
      </c>
      <c r="D259" s="2" t="s">
        <v>390</v>
      </c>
      <c r="E259" s="2" t="s">
        <v>857</v>
      </c>
      <c r="F259" s="2" t="s">
        <v>139</v>
      </c>
      <c r="G259" s="2">
        <v>23.0</v>
      </c>
      <c r="H259" s="2">
        <v>40.0</v>
      </c>
      <c r="I259" s="2">
        <v>216.0</v>
      </c>
      <c r="J259" s="2">
        <v>0.0</v>
      </c>
      <c r="K259" s="2">
        <v>0.0</v>
      </c>
      <c r="L259" s="2">
        <v>4.0</v>
      </c>
      <c r="M259" s="2">
        <v>-25.0</v>
      </c>
      <c r="N259" s="2">
        <v>0.0</v>
      </c>
      <c r="O259" s="2">
        <v>0.0</v>
      </c>
      <c r="P259" s="2">
        <v>331.0</v>
      </c>
      <c r="Q259" s="2">
        <v>69.0</v>
      </c>
      <c r="R259" s="2">
        <v>11.0</v>
      </c>
      <c r="S259" s="2">
        <v>-2.59217511305929</v>
      </c>
      <c r="T259" s="2">
        <v>-11.8366342324477</v>
      </c>
      <c r="U259" s="2">
        <v>0.0</v>
      </c>
      <c r="V259" s="2">
        <v>7.0</v>
      </c>
      <c r="W259" s="2">
        <v>3.0</v>
      </c>
      <c r="X259" s="2">
        <v>2.0</v>
      </c>
      <c r="Y259" s="2">
        <v>1.0</v>
      </c>
      <c r="Z259" s="2">
        <v>28.0</v>
      </c>
      <c r="AA259" s="2">
        <v>77.0</v>
      </c>
      <c r="AB259" s="2">
        <v>0.0</v>
      </c>
      <c r="AC259" s="2">
        <v>0.0</v>
      </c>
      <c r="AD259" s="2">
        <v>0.0</v>
      </c>
      <c r="AE259" s="2">
        <v>2.0</v>
      </c>
      <c r="AF259" s="2">
        <v>-8.17189286858775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23.0</v>
      </c>
      <c r="AM259" s="2">
        <v>39.0</v>
      </c>
      <c r="AN259" s="2">
        <v>216.0</v>
      </c>
      <c r="AO259" s="2">
        <v>0.0</v>
      </c>
      <c r="AP259" s="2">
        <v>0.0</v>
      </c>
      <c r="AQ259" s="2">
        <v>0.0</v>
      </c>
      <c r="AR259" s="2">
        <v>331.0</v>
      </c>
      <c r="AS259" s="2">
        <v>69.0</v>
      </c>
      <c r="AT259" s="2">
        <v>11.0</v>
      </c>
      <c r="AU259" s="2">
        <v>3.1301288559963</v>
      </c>
      <c r="AV259" s="2">
        <v>0.0</v>
      </c>
      <c r="AW259" s="2">
        <v>7.0</v>
      </c>
      <c r="AX259" s="2">
        <v>3.0</v>
      </c>
      <c r="AY259" s="2">
        <v>2.0</v>
      </c>
      <c r="AZ259" s="2">
        <v>1.0</v>
      </c>
      <c r="BA259" s="2">
        <v>0.0</v>
      </c>
      <c r="BB259" s="2">
        <v>28.0</v>
      </c>
      <c r="BC259" s="2">
        <v>0.0</v>
      </c>
      <c r="BD259" s="2">
        <v>36.0</v>
      </c>
      <c r="BE259" s="2">
        <v>4.0</v>
      </c>
      <c r="BF259" s="2">
        <v>16.0</v>
      </c>
      <c r="BG259" s="2">
        <v>0.0</v>
      </c>
      <c r="BH259" s="2">
        <v>1.0</v>
      </c>
      <c r="BI259" s="2">
        <v>2.0</v>
      </c>
      <c r="BJ259" s="2">
        <v>4.0</v>
      </c>
      <c r="BK259" s="2">
        <v>1.0</v>
      </c>
      <c r="BL259" s="2">
        <v>0.0</v>
      </c>
      <c r="BM259" s="2">
        <v>7.0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1.0</v>
      </c>
      <c r="BU259" s="2">
        <v>0.0</v>
      </c>
      <c r="BV259" s="2">
        <v>0.0</v>
      </c>
      <c r="BW259" s="2">
        <v>4.0</v>
      </c>
      <c r="BX259" s="2">
        <v>29.0</v>
      </c>
      <c r="BY259" s="2">
        <v>6.0</v>
      </c>
      <c r="BZ259" s="2">
        <v>0.0</v>
      </c>
      <c r="CA259" s="2">
        <v>0.0</v>
      </c>
      <c r="CB259" s="2">
        <v>0.0</v>
      </c>
      <c r="CC259" s="2">
        <v>0.0</v>
      </c>
      <c r="CD259" s="2">
        <v>0.0</v>
      </c>
      <c r="CE259" s="2">
        <v>4.0</v>
      </c>
      <c r="CF259" s="2">
        <v>62.0</v>
      </c>
      <c r="CG259" s="2">
        <v>3.0</v>
      </c>
      <c r="CH259" s="2">
        <v>85.0</v>
      </c>
      <c r="CI259" s="2">
        <v>5.0</v>
      </c>
      <c r="CJ259" s="2">
        <v>6.0</v>
      </c>
      <c r="CK259" s="2">
        <v>1.0</v>
      </c>
      <c r="CL259" s="2">
        <v>0.0</v>
      </c>
      <c r="CM259" s="2">
        <v>41.0</v>
      </c>
      <c r="CN259" s="2">
        <v>0.833333333333333</v>
      </c>
      <c r="CO259" s="2">
        <v>0.0</v>
      </c>
      <c r="CP259" s="2">
        <v>1.0</v>
      </c>
      <c r="CQ259" s="2">
        <v>1.0</v>
      </c>
      <c r="CR259" s="2">
        <v>3.0</v>
      </c>
      <c r="CS259" s="2">
        <v>0.0</v>
      </c>
      <c r="CT259" s="2">
        <v>0.0</v>
      </c>
      <c r="CU259" s="2">
        <v>0.0</v>
      </c>
      <c r="CV259" s="2">
        <v>0.0</v>
      </c>
      <c r="CW259" s="2">
        <v>0.0</v>
      </c>
      <c r="CX259" s="2">
        <v>0.0</v>
      </c>
      <c r="CY259" s="2">
        <v>1.0</v>
      </c>
      <c r="CZ259" s="2">
        <v>0.0</v>
      </c>
      <c r="DA259" s="2" t="s">
        <v>2138</v>
      </c>
      <c r="DB259" s="2" t="s">
        <v>2015</v>
      </c>
      <c r="DD259" s="2">
        <v>183.0</v>
      </c>
      <c r="DE259" s="2">
        <v>51.0</v>
      </c>
      <c r="DF259" s="2">
        <v>0.0</v>
      </c>
      <c r="DG259" s="2">
        <v>0.0</v>
      </c>
      <c r="DH259" s="2">
        <v>0.0</v>
      </c>
      <c r="DI259" s="2">
        <v>0.0</v>
      </c>
      <c r="DJ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0.0</v>
      </c>
      <c r="DQ259" s="2">
        <v>8.0</v>
      </c>
      <c r="DR259" s="2">
        <v>0.0</v>
      </c>
      <c r="DS259" s="2">
        <v>73.0</v>
      </c>
      <c r="DT259" s="2">
        <v>420.0</v>
      </c>
      <c r="DU259" s="2">
        <v>2.0</v>
      </c>
      <c r="DV259" s="2">
        <v>0.0</v>
      </c>
      <c r="DW259" s="2">
        <v>0.0</v>
      </c>
      <c r="DX259" s="2">
        <v>2.0</v>
      </c>
      <c r="DY259" s="2">
        <v>2.0</v>
      </c>
      <c r="DZ259" s="2">
        <v>4.0</v>
      </c>
      <c r="EA259" s="2">
        <v>30.0</v>
      </c>
      <c r="EB259" s="2">
        <v>0.0</v>
      </c>
      <c r="EC259" s="2">
        <v>350.0</v>
      </c>
      <c r="EE259" s="2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2">
        <v>2025.0</v>
      </c>
      <c r="B260" s="2">
        <v>9.0</v>
      </c>
      <c r="C260" s="2" t="s">
        <v>210</v>
      </c>
      <c r="D260" s="2" t="s">
        <v>390</v>
      </c>
      <c r="E260" s="2" t="s">
        <v>863</v>
      </c>
      <c r="F260" s="2" t="s">
        <v>242</v>
      </c>
      <c r="G260" s="2">
        <v>31.0</v>
      </c>
      <c r="H260" s="2">
        <v>50.0</v>
      </c>
      <c r="I260" s="2">
        <v>342.0</v>
      </c>
      <c r="J260" s="2">
        <v>1.0</v>
      </c>
      <c r="K260" s="2">
        <v>3.0</v>
      </c>
      <c r="L260" s="2">
        <v>5.0</v>
      </c>
      <c r="M260" s="2">
        <v>-29.0</v>
      </c>
      <c r="N260" s="2">
        <v>2.0</v>
      </c>
      <c r="O260" s="2">
        <v>2.0</v>
      </c>
      <c r="P260" s="2">
        <v>432.0</v>
      </c>
      <c r="Q260" s="2">
        <v>88.0</v>
      </c>
      <c r="R260" s="2">
        <v>17.0</v>
      </c>
      <c r="S260" s="2">
        <v>-16.2580278187284</v>
      </c>
      <c r="T260" s="2">
        <v>-1.62910154710213</v>
      </c>
      <c r="U260" s="2">
        <v>0.0</v>
      </c>
      <c r="V260" s="2">
        <v>14.0</v>
      </c>
      <c r="W260" s="2">
        <v>8.0</v>
      </c>
      <c r="X260" s="2">
        <v>3.0</v>
      </c>
      <c r="Y260" s="2">
        <v>0.0</v>
      </c>
      <c r="Z260" s="2">
        <v>19.0</v>
      </c>
      <c r="AA260" s="2">
        <v>55.0</v>
      </c>
      <c r="AB260" s="2">
        <v>1.0</v>
      </c>
      <c r="AC260" s="2">
        <v>1.0</v>
      </c>
      <c r="AD260" s="2">
        <v>0.0</v>
      </c>
      <c r="AE260" s="2">
        <v>6.0</v>
      </c>
      <c r="AF260" s="2">
        <v>7.334570960782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31.0</v>
      </c>
      <c r="AM260" s="2">
        <v>48.0</v>
      </c>
      <c r="AN260" s="2">
        <v>342.0</v>
      </c>
      <c r="AO260" s="2">
        <v>1.0</v>
      </c>
      <c r="AP260" s="2">
        <v>0.0</v>
      </c>
      <c r="AQ260" s="2">
        <v>0.0</v>
      </c>
      <c r="AR260" s="2">
        <v>432.0</v>
      </c>
      <c r="AS260" s="2">
        <v>88.0</v>
      </c>
      <c r="AT260" s="2">
        <v>17.0</v>
      </c>
      <c r="AU260" s="2">
        <v>-0.586917893126296</v>
      </c>
      <c r="AV260" s="2">
        <v>0.0</v>
      </c>
      <c r="AW260" s="2">
        <v>14.0</v>
      </c>
      <c r="AX260" s="2">
        <v>8.0</v>
      </c>
      <c r="AY260" s="2">
        <v>3.0</v>
      </c>
      <c r="AZ260" s="2">
        <v>0.0</v>
      </c>
      <c r="BA260" s="2">
        <v>0.0</v>
      </c>
      <c r="BB260" s="2">
        <v>37.0</v>
      </c>
      <c r="BC260" s="2">
        <v>0.0</v>
      </c>
      <c r="BD260" s="2">
        <v>34.0</v>
      </c>
      <c r="BE260" s="2">
        <v>6.0</v>
      </c>
      <c r="BF260" s="2">
        <v>25.0</v>
      </c>
      <c r="BG260" s="2">
        <v>1.0</v>
      </c>
      <c r="BH260" s="2">
        <v>3.0</v>
      </c>
      <c r="BI260" s="2">
        <v>16.0</v>
      </c>
      <c r="BJ260" s="2">
        <v>4.0</v>
      </c>
      <c r="BK260" s="2">
        <v>0.0</v>
      </c>
      <c r="BL260" s="2">
        <v>0.0</v>
      </c>
      <c r="BM260" s="2">
        <v>3.0</v>
      </c>
      <c r="BN260" s="2">
        <v>0.0</v>
      </c>
      <c r="BO260" s="2">
        <v>1.0</v>
      </c>
      <c r="BP260" s="2">
        <v>0.0</v>
      </c>
      <c r="BQ260" s="2">
        <v>0.0</v>
      </c>
      <c r="BR260" s="2">
        <v>1.0</v>
      </c>
      <c r="BS260" s="2">
        <v>0.0</v>
      </c>
      <c r="BT260" s="2">
        <v>1.0</v>
      </c>
      <c r="BU260" s="2">
        <v>0.0</v>
      </c>
      <c r="BV260" s="2">
        <v>0.0</v>
      </c>
      <c r="BW260" s="2">
        <v>5.0</v>
      </c>
      <c r="BX260" s="2">
        <v>53.0</v>
      </c>
      <c r="BY260" s="2">
        <v>3.0</v>
      </c>
      <c r="BZ260" s="2">
        <v>3.0</v>
      </c>
      <c r="CA260" s="2">
        <v>1.0</v>
      </c>
      <c r="CB260" s="2">
        <v>0.0</v>
      </c>
      <c r="CC260" s="2">
        <v>4.0</v>
      </c>
      <c r="CD260" s="2">
        <v>3.0</v>
      </c>
      <c r="CE260" s="2">
        <v>3.0</v>
      </c>
      <c r="CF260" s="2">
        <v>23.0</v>
      </c>
      <c r="CG260" s="2">
        <v>4.0</v>
      </c>
      <c r="CH260" s="2">
        <v>100.0</v>
      </c>
      <c r="CI260" s="2">
        <v>2.0</v>
      </c>
      <c r="CJ260" s="2">
        <v>2.0</v>
      </c>
      <c r="CK260" s="2">
        <v>0.0</v>
      </c>
      <c r="CL260" s="2">
        <v>0.0</v>
      </c>
      <c r="CM260" s="2">
        <v>53.0</v>
      </c>
      <c r="CN260" s="2">
        <v>1.0</v>
      </c>
      <c r="CO260" s="2">
        <v>0.0</v>
      </c>
      <c r="CP260" s="2">
        <v>0.0</v>
      </c>
      <c r="CQ260" s="2">
        <v>0.0</v>
      </c>
      <c r="CR260" s="2">
        <v>0.0</v>
      </c>
      <c r="CS260" s="2">
        <v>2.0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 t="s">
        <v>2139</v>
      </c>
      <c r="DD260" s="2">
        <v>105.0</v>
      </c>
      <c r="DE260" s="2">
        <v>0.0</v>
      </c>
      <c r="DF260" s="2">
        <v>0.0</v>
      </c>
      <c r="DG260" s="2">
        <v>2.0</v>
      </c>
      <c r="DH260" s="2">
        <v>2.0</v>
      </c>
      <c r="DI260" s="2">
        <v>0.0</v>
      </c>
      <c r="DJ260" s="2">
        <v>0.0</v>
      </c>
      <c r="DK260" s="2">
        <v>1.0</v>
      </c>
      <c r="DL260" s="2">
        <v>0.0</v>
      </c>
      <c r="DM260" s="2">
        <v>0.0</v>
      </c>
      <c r="DN260" s="2">
        <v>0.0</v>
      </c>
      <c r="DO260" s="2">
        <v>0.0</v>
      </c>
      <c r="DP260" s="2">
        <v>0.0</v>
      </c>
      <c r="DQ260" s="2">
        <v>2.0</v>
      </c>
      <c r="DR260" s="2">
        <v>0.0</v>
      </c>
      <c r="DS260" s="2">
        <v>57.0</v>
      </c>
      <c r="DT260" s="2">
        <v>110.0</v>
      </c>
      <c r="DU260" s="2">
        <v>1.0</v>
      </c>
      <c r="DV260" s="2">
        <v>0.0</v>
      </c>
      <c r="DW260" s="2">
        <v>0.0</v>
      </c>
      <c r="DX260" s="2">
        <v>0.0</v>
      </c>
      <c r="DY260" s="2">
        <v>0.0</v>
      </c>
      <c r="DZ260" s="2">
        <v>2.0</v>
      </c>
      <c r="EA260" s="2">
        <v>23.0</v>
      </c>
      <c r="EB260" s="2">
        <v>0.0</v>
      </c>
      <c r="EC260" s="2">
        <v>87.0</v>
      </c>
      <c r="EE260" s="2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2">
        <v>2025.0</v>
      </c>
      <c r="B261" s="2">
        <v>9.0</v>
      </c>
      <c r="C261" s="2" t="s">
        <v>141</v>
      </c>
      <c r="D261" s="2" t="s">
        <v>390</v>
      </c>
      <c r="E261" s="2" t="s">
        <v>870</v>
      </c>
      <c r="F261" s="2" t="s">
        <v>222</v>
      </c>
      <c r="G261" s="2">
        <v>23.0</v>
      </c>
      <c r="H261" s="2">
        <v>34.0</v>
      </c>
      <c r="I261" s="2">
        <v>220.0</v>
      </c>
      <c r="J261" s="2">
        <v>0.0</v>
      </c>
      <c r="K261" s="2">
        <v>1.0</v>
      </c>
      <c r="L261" s="2">
        <v>1.0</v>
      </c>
      <c r="M261" s="2">
        <v>-4.0</v>
      </c>
      <c r="N261" s="2">
        <v>0.0</v>
      </c>
      <c r="O261" s="2">
        <v>0.0</v>
      </c>
      <c r="P261" s="2">
        <v>289.0</v>
      </c>
      <c r="Q261" s="2">
        <v>90.0</v>
      </c>
      <c r="R261" s="2">
        <v>9.0</v>
      </c>
      <c r="S261" s="2">
        <v>-0.757149316633521</v>
      </c>
      <c r="T261" s="2">
        <v>-0.0047951033621123</v>
      </c>
      <c r="U261" s="2">
        <v>0.0</v>
      </c>
      <c r="V261" s="2">
        <v>11.0</v>
      </c>
      <c r="W261" s="2">
        <v>5.0</v>
      </c>
      <c r="X261" s="2">
        <v>2.0</v>
      </c>
      <c r="Y261" s="2">
        <v>0.0</v>
      </c>
      <c r="Z261" s="2">
        <v>42.0</v>
      </c>
      <c r="AA261" s="2">
        <v>151.0</v>
      </c>
      <c r="AB261" s="2">
        <v>3.0</v>
      </c>
      <c r="AC261" s="2">
        <v>0.0</v>
      </c>
      <c r="AD261" s="2">
        <v>0.0</v>
      </c>
      <c r="AE261" s="2">
        <v>15.0</v>
      </c>
      <c r="AF261" s="2">
        <v>12.8399801919464</v>
      </c>
      <c r="AG261" s="2">
        <v>0.0</v>
      </c>
      <c r="AH261" s="2">
        <v>5.0</v>
      </c>
      <c r="AI261" s="2">
        <v>1.0</v>
      </c>
      <c r="AJ261" s="2">
        <v>1.0</v>
      </c>
      <c r="AK261" s="2">
        <v>0.0</v>
      </c>
      <c r="AL261" s="2">
        <v>23.0</v>
      </c>
      <c r="AM261" s="2">
        <v>33.0</v>
      </c>
      <c r="AN261" s="2">
        <v>220.0</v>
      </c>
      <c r="AO261" s="2">
        <v>0.0</v>
      </c>
      <c r="AP261" s="2">
        <v>0.0</v>
      </c>
      <c r="AQ261" s="2">
        <v>0.0</v>
      </c>
      <c r="AR261" s="2">
        <v>289.0</v>
      </c>
      <c r="AS261" s="2">
        <v>90.0</v>
      </c>
      <c r="AT261" s="2">
        <v>9.0</v>
      </c>
      <c r="AU261" s="2">
        <v>0.289447480911896</v>
      </c>
      <c r="AV261" s="2">
        <v>0.0</v>
      </c>
      <c r="AW261" s="2">
        <v>11.0</v>
      </c>
      <c r="AX261" s="2">
        <v>5.0</v>
      </c>
      <c r="AY261" s="2">
        <v>2.0</v>
      </c>
      <c r="AZ261" s="2">
        <v>0.0</v>
      </c>
      <c r="BA261" s="2">
        <v>0.0</v>
      </c>
      <c r="BB261" s="2">
        <v>32.0</v>
      </c>
      <c r="BC261" s="2">
        <v>3.0</v>
      </c>
      <c r="BD261" s="2">
        <v>37.0</v>
      </c>
      <c r="BE261" s="2">
        <v>5.0</v>
      </c>
      <c r="BF261" s="2">
        <v>9.0</v>
      </c>
      <c r="BG261" s="2">
        <v>0.0</v>
      </c>
      <c r="BH261" s="2">
        <v>2.0</v>
      </c>
      <c r="BI261" s="2">
        <v>10.0</v>
      </c>
      <c r="BJ261" s="2">
        <v>4.0</v>
      </c>
      <c r="BK261" s="2">
        <v>1.0</v>
      </c>
      <c r="BL261" s="2">
        <v>0.0</v>
      </c>
      <c r="BM261" s="2">
        <v>5.0</v>
      </c>
      <c r="BN261" s="2">
        <v>0.0</v>
      </c>
      <c r="BO261" s="2">
        <v>0.0</v>
      </c>
      <c r="BP261" s="2">
        <v>0.0</v>
      </c>
      <c r="BQ261" s="2">
        <v>0.0</v>
      </c>
      <c r="BR261" s="2">
        <v>1.0</v>
      </c>
      <c r="BS261" s="2">
        <v>0.0</v>
      </c>
      <c r="BT261" s="2">
        <v>0.0</v>
      </c>
      <c r="BU261" s="2">
        <v>0.0</v>
      </c>
      <c r="BV261" s="2">
        <v>0.0</v>
      </c>
      <c r="BW261" s="2">
        <v>9.0</v>
      </c>
      <c r="BX261" s="2">
        <v>80.0</v>
      </c>
      <c r="BY261" s="2">
        <v>8.0</v>
      </c>
      <c r="BZ261" s="2">
        <v>0.0</v>
      </c>
      <c r="CA261" s="2">
        <v>1.0</v>
      </c>
      <c r="CB261" s="2">
        <v>0.0</v>
      </c>
      <c r="CC261" s="2">
        <v>1.0</v>
      </c>
      <c r="CD261" s="2">
        <v>0.0</v>
      </c>
      <c r="CE261" s="2">
        <v>1.0</v>
      </c>
      <c r="CF261" s="2">
        <v>4.0</v>
      </c>
      <c r="CG261" s="2">
        <v>5.0</v>
      </c>
      <c r="CH261" s="2">
        <v>155.0</v>
      </c>
      <c r="CI261" s="2">
        <v>3.0</v>
      </c>
      <c r="CJ261" s="2">
        <v>3.0</v>
      </c>
      <c r="CK261" s="2">
        <v>0.0</v>
      </c>
      <c r="CL261" s="2">
        <v>0.0</v>
      </c>
      <c r="CM261" s="2">
        <v>68.0</v>
      </c>
      <c r="CN261" s="2">
        <v>1.0</v>
      </c>
      <c r="CO261" s="2">
        <v>0.0</v>
      </c>
      <c r="CP261" s="2">
        <v>0.0</v>
      </c>
      <c r="CQ261" s="2">
        <v>1.0</v>
      </c>
      <c r="CR261" s="2">
        <v>1.0</v>
      </c>
      <c r="CS261" s="2">
        <v>0.0</v>
      </c>
      <c r="CT261" s="2">
        <v>1.0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0.0</v>
      </c>
      <c r="DA261" s="2" t="s">
        <v>2140</v>
      </c>
      <c r="DD261" s="2">
        <v>149.0</v>
      </c>
      <c r="DE261" s="2">
        <v>0.0</v>
      </c>
      <c r="DF261" s="2">
        <v>0.0</v>
      </c>
      <c r="DG261" s="2">
        <v>3.0</v>
      </c>
      <c r="DH261" s="2">
        <v>3.0</v>
      </c>
      <c r="DI261" s="2">
        <v>0.0</v>
      </c>
      <c r="DJ261" s="2">
        <v>0.0</v>
      </c>
      <c r="DK261" s="2">
        <v>1.0</v>
      </c>
      <c r="DL261" s="2">
        <v>0.0</v>
      </c>
      <c r="DM261" s="2">
        <v>0.0</v>
      </c>
      <c r="DN261" s="2">
        <v>0.0</v>
      </c>
      <c r="DO261" s="2">
        <v>0.0</v>
      </c>
      <c r="DP261" s="2">
        <v>0.0</v>
      </c>
      <c r="DQ261" s="2">
        <v>2.0</v>
      </c>
      <c r="DR261" s="2">
        <v>0.0</v>
      </c>
      <c r="DS261" s="2">
        <v>41.0</v>
      </c>
      <c r="DT261" s="2">
        <v>73.0</v>
      </c>
      <c r="DU261" s="2">
        <v>1.0</v>
      </c>
      <c r="DV261" s="2">
        <v>1.0</v>
      </c>
      <c r="DW261" s="2">
        <v>0.0</v>
      </c>
      <c r="DX261" s="2">
        <v>0.0</v>
      </c>
      <c r="DY261" s="2">
        <v>1.0</v>
      </c>
      <c r="DZ261" s="2">
        <v>0.0</v>
      </c>
      <c r="EA261" s="2">
        <v>0.0</v>
      </c>
      <c r="EB261" s="2">
        <v>0.0</v>
      </c>
      <c r="EC261" s="2">
        <v>73.0</v>
      </c>
      <c r="EE261" s="2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2">
        <v>2025.0</v>
      </c>
      <c r="B262" s="2">
        <v>9.0</v>
      </c>
      <c r="C262" s="2" t="s">
        <v>143</v>
      </c>
      <c r="D262" s="2" t="s">
        <v>390</v>
      </c>
      <c r="E262" s="2" t="s">
        <v>872</v>
      </c>
      <c r="F262" s="2" t="s">
        <v>136</v>
      </c>
      <c r="G262" s="2">
        <v>15.0</v>
      </c>
      <c r="H262" s="2">
        <v>34.0</v>
      </c>
      <c r="I262" s="2">
        <v>250.0</v>
      </c>
      <c r="J262" s="2">
        <v>0.0</v>
      </c>
      <c r="K262" s="2">
        <v>1.0</v>
      </c>
      <c r="L262" s="2">
        <v>3.0</v>
      </c>
      <c r="M262" s="2">
        <v>-24.0</v>
      </c>
      <c r="N262" s="2">
        <v>0.0</v>
      </c>
      <c r="O262" s="2">
        <v>0.0</v>
      </c>
      <c r="P262" s="2">
        <v>493.0</v>
      </c>
      <c r="Q262" s="2">
        <v>64.0</v>
      </c>
      <c r="R262" s="2">
        <v>10.0</v>
      </c>
      <c r="S262" s="2">
        <v>-1.68272083781376</v>
      </c>
      <c r="T262" s="2">
        <v>-4.38976626971672</v>
      </c>
      <c r="U262" s="2">
        <v>1.0</v>
      </c>
      <c r="V262" s="2">
        <v>9.0</v>
      </c>
      <c r="W262" s="2">
        <v>8.0</v>
      </c>
      <c r="X262" s="2">
        <v>7.0</v>
      </c>
      <c r="Y262" s="2">
        <v>1.0</v>
      </c>
      <c r="Z262" s="2">
        <v>20.0</v>
      </c>
      <c r="AA262" s="2">
        <v>79.0</v>
      </c>
      <c r="AB262" s="2">
        <v>2.0</v>
      </c>
      <c r="AC262" s="2">
        <v>0.0</v>
      </c>
      <c r="AD262" s="2">
        <v>0.0</v>
      </c>
      <c r="AE262" s="2">
        <v>5.0</v>
      </c>
      <c r="AF262" s="2">
        <v>3.73473590431968</v>
      </c>
      <c r="AG262" s="2">
        <v>0.0</v>
      </c>
      <c r="AH262" s="2">
        <v>1.0</v>
      </c>
      <c r="AI262" s="2">
        <v>1.0</v>
      </c>
      <c r="AJ262" s="2">
        <v>0.0</v>
      </c>
      <c r="AK262" s="2">
        <v>0.0</v>
      </c>
      <c r="AL262" s="2">
        <v>15.0</v>
      </c>
      <c r="AM262" s="2">
        <v>29.0</v>
      </c>
      <c r="AN262" s="2">
        <v>250.0</v>
      </c>
      <c r="AO262" s="2">
        <v>0.0</v>
      </c>
      <c r="AP262" s="2">
        <v>0.0</v>
      </c>
      <c r="AQ262" s="2">
        <v>0.0</v>
      </c>
      <c r="AR262" s="2">
        <v>493.0</v>
      </c>
      <c r="AS262" s="2">
        <v>64.0</v>
      </c>
      <c r="AT262" s="2">
        <v>10.0</v>
      </c>
      <c r="AU262" s="2">
        <v>7.41406134359822</v>
      </c>
      <c r="AV262" s="2">
        <v>1.0</v>
      </c>
      <c r="AW262" s="2">
        <v>9.0</v>
      </c>
      <c r="AX262" s="2">
        <v>8.0</v>
      </c>
      <c r="AY262" s="2">
        <v>7.0</v>
      </c>
      <c r="AZ262" s="2">
        <v>1.0</v>
      </c>
      <c r="BA262" s="2">
        <v>0.0</v>
      </c>
      <c r="BB262" s="2">
        <v>39.0</v>
      </c>
      <c r="BC262" s="2">
        <v>0.0</v>
      </c>
      <c r="BD262" s="2">
        <v>48.0</v>
      </c>
      <c r="BE262" s="2">
        <v>3.0</v>
      </c>
      <c r="BF262" s="2">
        <v>12.0</v>
      </c>
      <c r="BG262" s="2">
        <v>0.0</v>
      </c>
      <c r="BH262" s="2">
        <v>3.0</v>
      </c>
      <c r="BI262" s="2">
        <v>10.0</v>
      </c>
      <c r="BJ262" s="2">
        <v>6.0</v>
      </c>
      <c r="BK262" s="2">
        <v>0.0</v>
      </c>
      <c r="BL262" s="2">
        <v>0.0</v>
      </c>
      <c r="BM262" s="2">
        <v>1.0</v>
      </c>
      <c r="BN262" s="2">
        <v>0.0</v>
      </c>
      <c r="BO262" s="2">
        <v>0.0</v>
      </c>
      <c r="BP262" s="2">
        <v>0.0</v>
      </c>
      <c r="BQ262" s="2">
        <v>0.0</v>
      </c>
      <c r="BR262" s="2">
        <v>0.0</v>
      </c>
      <c r="BS262" s="2">
        <v>0.0</v>
      </c>
      <c r="BT262" s="2">
        <v>0.0</v>
      </c>
      <c r="BU262" s="2">
        <v>0.0</v>
      </c>
      <c r="BV262" s="2">
        <v>0.0</v>
      </c>
      <c r="BW262" s="2">
        <v>3.0</v>
      </c>
      <c r="BX262" s="2">
        <v>25.0</v>
      </c>
      <c r="BY262" s="2">
        <v>6.0</v>
      </c>
      <c r="BZ262" s="2">
        <v>0.0</v>
      </c>
      <c r="CA262" s="2">
        <v>0.0</v>
      </c>
      <c r="CB262" s="2">
        <v>0.0</v>
      </c>
      <c r="CC262" s="2">
        <v>0.0</v>
      </c>
      <c r="CD262" s="2">
        <v>0.0</v>
      </c>
      <c r="CE262" s="2">
        <v>1.0</v>
      </c>
      <c r="CF262" s="2">
        <v>5.0</v>
      </c>
      <c r="CG262" s="2">
        <v>5.0</v>
      </c>
      <c r="CH262" s="2">
        <v>158.0</v>
      </c>
      <c r="CI262" s="2">
        <v>2.0</v>
      </c>
      <c r="CJ262" s="2">
        <v>2.0</v>
      </c>
      <c r="CK262" s="2">
        <v>0.0</v>
      </c>
      <c r="CL262" s="2">
        <v>0.0</v>
      </c>
      <c r="CM262" s="2">
        <v>46.0</v>
      </c>
      <c r="CN262" s="2">
        <v>1.0</v>
      </c>
      <c r="CO262" s="2">
        <v>1.0</v>
      </c>
      <c r="CP262" s="2">
        <v>0.0</v>
      </c>
      <c r="CQ262" s="2">
        <v>0.0</v>
      </c>
      <c r="CR262" s="2">
        <v>1.0</v>
      </c>
      <c r="CS262" s="2">
        <v>0.0</v>
      </c>
      <c r="CT262" s="2">
        <v>0.0</v>
      </c>
      <c r="CU262" s="2">
        <v>0.0</v>
      </c>
      <c r="CV262" s="2">
        <v>0.0</v>
      </c>
      <c r="CW262" s="2">
        <v>0.0</v>
      </c>
      <c r="CX262" s="2">
        <v>0.0</v>
      </c>
      <c r="CY262" s="2">
        <v>0.0</v>
      </c>
      <c r="CZ262" s="2">
        <v>0.0</v>
      </c>
      <c r="DA262" s="2" t="s">
        <v>2141</v>
      </c>
      <c r="DD262" s="2">
        <v>65.0</v>
      </c>
      <c r="DE262" s="2">
        <v>0.0</v>
      </c>
      <c r="DF262" s="2">
        <v>0.0</v>
      </c>
      <c r="DG262" s="2">
        <v>1.0</v>
      </c>
      <c r="DH262" s="2">
        <v>1.0</v>
      </c>
      <c r="DI262" s="2">
        <v>0.0</v>
      </c>
      <c r="DJ262" s="2">
        <v>0.0</v>
      </c>
      <c r="DK262" s="2">
        <v>1.0</v>
      </c>
      <c r="DL262" s="2">
        <v>0.0</v>
      </c>
      <c r="DM262" s="2">
        <v>0.0</v>
      </c>
      <c r="DN262" s="2">
        <v>0.0</v>
      </c>
      <c r="DO262" s="2">
        <v>0.0</v>
      </c>
      <c r="DP262" s="2">
        <v>0.0</v>
      </c>
      <c r="DQ262" s="2">
        <v>3.0</v>
      </c>
      <c r="DR262" s="2">
        <v>0.0</v>
      </c>
      <c r="DS262" s="2">
        <v>60.0</v>
      </c>
      <c r="DT262" s="2">
        <v>146.0</v>
      </c>
      <c r="DU262" s="2">
        <v>1.0</v>
      </c>
      <c r="DV262" s="2">
        <v>0.0</v>
      </c>
      <c r="DW262" s="2">
        <v>0.0</v>
      </c>
      <c r="DX262" s="2">
        <v>0.0</v>
      </c>
      <c r="DY262" s="2">
        <v>1.0</v>
      </c>
      <c r="DZ262" s="2">
        <v>2.0</v>
      </c>
      <c r="EA262" s="2">
        <v>14.0</v>
      </c>
      <c r="EB262" s="2">
        <v>0.0</v>
      </c>
      <c r="EC262" s="2">
        <v>132.0</v>
      </c>
      <c r="EE262" s="2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2">
        <v>2025.0</v>
      </c>
      <c r="B263" s="2">
        <v>9.0</v>
      </c>
      <c r="C263" s="2" t="s">
        <v>142</v>
      </c>
      <c r="D263" s="2" t="s">
        <v>390</v>
      </c>
      <c r="E263" s="2" t="s">
        <v>867</v>
      </c>
      <c r="F263" s="2" t="s">
        <v>232</v>
      </c>
      <c r="G263" s="2">
        <v>24.0</v>
      </c>
      <c r="H263" s="2">
        <v>32.0</v>
      </c>
      <c r="I263" s="2">
        <v>281.0</v>
      </c>
      <c r="J263" s="2">
        <v>4.0</v>
      </c>
      <c r="K263" s="2">
        <v>0.0</v>
      </c>
      <c r="L263" s="2">
        <v>2.0</v>
      </c>
      <c r="M263" s="2">
        <v>-14.0</v>
      </c>
      <c r="N263" s="2">
        <v>0.0</v>
      </c>
      <c r="O263" s="2">
        <v>0.0</v>
      </c>
      <c r="P263" s="2">
        <v>319.0</v>
      </c>
      <c r="Q263" s="2">
        <v>105.0</v>
      </c>
      <c r="R263" s="2">
        <v>14.0</v>
      </c>
      <c r="S263" s="2">
        <v>11.8387410286137</v>
      </c>
      <c r="T263" s="2">
        <v>12.6798230794168</v>
      </c>
      <c r="U263" s="2">
        <v>0.0</v>
      </c>
      <c r="V263" s="2">
        <v>9.0</v>
      </c>
      <c r="W263" s="2">
        <v>6.0</v>
      </c>
      <c r="X263" s="2">
        <v>4.0</v>
      </c>
      <c r="Y263" s="2">
        <v>0.0</v>
      </c>
      <c r="Z263" s="2">
        <v>43.0</v>
      </c>
      <c r="AA263" s="2">
        <v>171.0</v>
      </c>
      <c r="AB263" s="2">
        <v>1.0</v>
      </c>
      <c r="AC263" s="2">
        <v>0.0</v>
      </c>
      <c r="AD263" s="2">
        <v>0.0</v>
      </c>
      <c r="AE263" s="2">
        <v>13.0</v>
      </c>
      <c r="AF263" s="2">
        <v>4.43737854430219</v>
      </c>
      <c r="AG263" s="2">
        <v>0.0</v>
      </c>
      <c r="AH263" s="2">
        <v>4.0</v>
      </c>
      <c r="AI263" s="2">
        <v>2.0</v>
      </c>
      <c r="AJ263" s="2">
        <v>1.0</v>
      </c>
      <c r="AK263" s="2">
        <v>0.0</v>
      </c>
      <c r="AL263" s="2">
        <v>24.0</v>
      </c>
      <c r="AM263" s="2">
        <v>31.0</v>
      </c>
      <c r="AN263" s="2">
        <v>281.0</v>
      </c>
      <c r="AO263" s="2">
        <v>4.0</v>
      </c>
      <c r="AP263" s="2">
        <v>0.0</v>
      </c>
      <c r="AQ263" s="2">
        <v>0.0</v>
      </c>
      <c r="AR263" s="2">
        <v>319.0</v>
      </c>
      <c r="AS263" s="2">
        <v>105.0</v>
      </c>
      <c r="AT263" s="2">
        <v>14.0</v>
      </c>
      <c r="AU263" s="2">
        <v>15.5717499496437</v>
      </c>
      <c r="AV263" s="2">
        <v>0.0</v>
      </c>
      <c r="AW263" s="2">
        <v>9.0</v>
      </c>
      <c r="AX263" s="2">
        <v>6.0</v>
      </c>
      <c r="AY263" s="2">
        <v>4.0</v>
      </c>
      <c r="AZ263" s="2">
        <v>0.0</v>
      </c>
      <c r="BA263" s="2">
        <v>0.0</v>
      </c>
      <c r="BB263" s="2">
        <v>19.0</v>
      </c>
      <c r="BC263" s="2">
        <v>1.0</v>
      </c>
      <c r="BD263" s="2">
        <v>21.0</v>
      </c>
      <c r="BE263" s="2">
        <v>2.0</v>
      </c>
      <c r="BF263" s="2">
        <v>10.0</v>
      </c>
      <c r="BG263" s="2">
        <v>1.0</v>
      </c>
      <c r="BH263" s="2">
        <v>1.0</v>
      </c>
      <c r="BI263" s="2">
        <v>9.0</v>
      </c>
      <c r="BJ263" s="2">
        <v>2.0</v>
      </c>
      <c r="BK263" s="2">
        <v>1.0</v>
      </c>
      <c r="BL263" s="2">
        <v>7.0</v>
      </c>
      <c r="BM263" s="2">
        <v>5.0</v>
      </c>
      <c r="BN263" s="2">
        <v>0.0</v>
      </c>
      <c r="BO263" s="2">
        <v>0.0</v>
      </c>
      <c r="BP263" s="2">
        <v>0.0</v>
      </c>
      <c r="BQ263" s="2">
        <v>0.0</v>
      </c>
      <c r="BR263" s="2">
        <v>0.0</v>
      </c>
      <c r="BS263" s="2">
        <v>0.0</v>
      </c>
      <c r="BT263" s="2">
        <v>1.0</v>
      </c>
      <c r="BU263" s="2">
        <v>0.0</v>
      </c>
      <c r="BV263" s="2">
        <v>0.0</v>
      </c>
      <c r="BW263" s="2">
        <v>3.0</v>
      </c>
      <c r="BX263" s="2">
        <v>32.0</v>
      </c>
      <c r="BY263" s="2">
        <v>3.0</v>
      </c>
      <c r="BZ263" s="2">
        <v>0.0</v>
      </c>
      <c r="CA263" s="2">
        <v>0.0</v>
      </c>
      <c r="CB263" s="2">
        <v>0.0</v>
      </c>
      <c r="CC263" s="2">
        <v>0.0</v>
      </c>
      <c r="CD263" s="2">
        <v>0.0</v>
      </c>
      <c r="CE263" s="2">
        <v>2.0</v>
      </c>
      <c r="CF263" s="2">
        <v>11.0</v>
      </c>
      <c r="CG263" s="2">
        <v>0.0</v>
      </c>
      <c r="CH263" s="2">
        <v>0.0</v>
      </c>
      <c r="CI263" s="2">
        <v>0.0</v>
      </c>
      <c r="CJ263" s="2">
        <v>1.0</v>
      </c>
      <c r="CK263" s="2">
        <v>1.0</v>
      </c>
      <c r="CL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0.0</v>
      </c>
      <c r="CS263" s="2">
        <v>0.0</v>
      </c>
      <c r="CT263" s="2">
        <v>0.0</v>
      </c>
      <c r="CU263" s="2">
        <v>0.0</v>
      </c>
      <c r="CV263" s="2">
        <v>0.0</v>
      </c>
      <c r="CW263" s="2">
        <v>1.0</v>
      </c>
      <c r="CX263" s="2">
        <v>0.0</v>
      </c>
      <c r="CY263" s="2">
        <v>0.0</v>
      </c>
      <c r="CZ263" s="2">
        <v>0.0</v>
      </c>
      <c r="DB263" s="2" t="s">
        <v>2026</v>
      </c>
      <c r="DD263" s="2">
        <v>0.0</v>
      </c>
      <c r="DE263" s="2">
        <v>39.0</v>
      </c>
      <c r="DF263" s="2">
        <v>0.0</v>
      </c>
      <c r="DG263" s="2">
        <v>4.0</v>
      </c>
      <c r="DH263" s="2">
        <v>5.0</v>
      </c>
      <c r="DI263" s="2">
        <v>1.0</v>
      </c>
      <c r="DJ263" s="2">
        <v>0.0</v>
      </c>
      <c r="DK263" s="2">
        <v>0.8</v>
      </c>
      <c r="DL263" s="2">
        <v>0.0</v>
      </c>
      <c r="DM263" s="2">
        <v>0.0</v>
      </c>
      <c r="DN263" s="2">
        <v>0.0</v>
      </c>
      <c r="DO263" s="2">
        <v>0.0</v>
      </c>
      <c r="DP263" s="2">
        <v>0.0</v>
      </c>
      <c r="DQ263" s="2">
        <v>2.0</v>
      </c>
      <c r="DR263" s="2">
        <v>0.0</v>
      </c>
      <c r="DS263" s="2">
        <v>50.0</v>
      </c>
      <c r="DT263" s="2">
        <v>100.0</v>
      </c>
      <c r="DU263" s="2">
        <v>1.0</v>
      </c>
      <c r="DV263" s="2">
        <v>1.0</v>
      </c>
      <c r="DW263" s="2">
        <v>0.0</v>
      </c>
      <c r="DX263" s="2">
        <v>0.0</v>
      </c>
      <c r="DY263" s="2">
        <v>0.0</v>
      </c>
      <c r="DZ263" s="2">
        <v>1.0</v>
      </c>
      <c r="EA263" s="2">
        <v>9.0</v>
      </c>
      <c r="EB263" s="2">
        <v>0.0</v>
      </c>
      <c r="EC263" s="2">
        <v>91.0</v>
      </c>
      <c r="EE263" s="2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2">
        <v>2025.0</v>
      </c>
      <c r="B264" s="2">
        <v>9.0</v>
      </c>
      <c r="C264" s="2" t="s">
        <v>220</v>
      </c>
      <c r="D264" s="2" t="s">
        <v>390</v>
      </c>
      <c r="E264" s="2" t="s">
        <v>865</v>
      </c>
      <c r="F264" s="2" t="s">
        <v>250</v>
      </c>
      <c r="G264" s="2">
        <v>19.0</v>
      </c>
      <c r="H264" s="2">
        <v>29.0</v>
      </c>
      <c r="I264" s="2">
        <v>250.0</v>
      </c>
      <c r="J264" s="2">
        <v>2.0</v>
      </c>
      <c r="K264" s="2">
        <v>1.0</v>
      </c>
      <c r="L264" s="2">
        <v>6.0</v>
      </c>
      <c r="M264" s="2">
        <v>-38.0</v>
      </c>
      <c r="N264" s="2">
        <v>0.0</v>
      </c>
      <c r="O264" s="2">
        <v>0.0</v>
      </c>
      <c r="P264" s="2">
        <v>311.0</v>
      </c>
      <c r="Q264" s="2">
        <v>104.0</v>
      </c>
      <c r="R264" s="2">
        <v>12.0</v>
      </c>
      <c r="S264" s="2">
        <v>1.83361711576235</v>
      </c>
      <c r="T264" s="2">
        <v>6.47519826889038</v>
      </c>
      <c r="U264" s="2">
        <v>0.0</v>
      </c>
      <c r="V264" s="2">
        <v>11.0</v>
      </c>
      <c r="W264" s="2">
        <v>6.0</v>
      </c>
      <c r="X264" s="2">
        <v>4.0</v>
      </c>
      <c r="Y264" s="2">
        <v>0.0</v>
      </c>
      <c r="Z264" s="2">
        <v>30.0</v>
      </c>
      <c r="AA264" s="2">
        <v>131.0</v>
      </c>
      <c r="AB264" s="2">
        <v>1.0</v>
      </c>
      <c r="AC264" s="2">
        <v>1.0</v>
      </c>
      <c r="AD264" s="2">
        <v>0.0</v>
      </c>
      <c r="AE264" s="2">
        <v>8.0</v>
      </c>
      <c r="AF264" s="2">
        <v>1.6938555346569</v>
      </c>
      <c r="AG264" s="2">
        <v>0.0</v>
      </c>
      <c r="AH264" s="2">
        <v>2.0</v>
      </c>
      <c r="AI264" s="2">
        <v>1.0</v>
      </c>
      <c r="AJ264" s="2">
        <v>1.0</v>
      </c>
      <c r="AK264" s="2">
        <v>0.0</v>
      </c>
      <c r="AL264" s="2">
        <v>19.0</v>
      </c>
      <c r="AM264" s="2">
        <v>28.0</v>
      </c>
      <c r="AN264" s="2">
        <v>250.0</v>
      </c>
      <c r="AO264" s="2">
        <v>2.0</v>
      </c>
      <c r="AP264" s="2">
        <v>0.0</v>
      </c>
      <c r="AQ264" s="2">
        <v>0.0</v>
      </c>
      <c r="AR264" s="2">
        <v>311.0</v>
      </c>
      <c r="AS264" s="2">
        <v>104.0</v>
      </c>
      <c r="AT264" s="2">
        <v>12.0</v>
      </c>
      <c r="AU264" s="2">
        <v>10.3989857344894</v>
      </c>
      <c r="AV264" s="2">
        <v>0.0</v>
      </c>
      <c r="AW264" s="2">
        <v>11.0</v>
      </c>
      <c r="AX264" s="2">
        <v>6.0</v>
      </c>
      <c r="AY264" s="2">
        <v>4.0</v>
      </c>
      <c r="AZ264" s="2">
        <v>0.0</v>
      </c>
      <c r="BA264" s="2">
        <v>0.0</v>
      </c>
      <c r="BB264" s="2">
        <v>29.0</v>
      </c>
      <c r="BC264" s="2">
        <v>0.0</v>
      </c>
      <c r="BD264" s="2">
        <v>22.0</v>
      </c>
      <c r="BE264" s="2">
        <v>4.0</v>
      </c>
      <c r="BF264" s="2">
        <v>27.0</v>
      </c>
      <c r="BG264" s="2">
        <v>1.0</v>
      </c>
      <c r="BH264" s="2">
        <v>4.0</v>
      </c>
      <c r="BI264" s="2">
        <v>27.0</v>
      </c>
      <c r="BJ264" s="2">
        <v>5.0</v>
      </c>
      <c r="BK264" s="2">
        <v>0.0</v>
      </c>
      <c r="BL264" s="2">
        <v>0.0</v>
      </c>
      <c r="BM264" s="2">
        <v>3.0</v>
      </c>
      <c r="BN264" s="2">
        <v>0.0</v>
      </c>
      <c r="BO264" s="2">
        <v>0.0</v>
      </c>
      <c r="BP264" s="2">
        <v>0.0</v>
      </c>
      <c r="BQ264" s="2">
        <v>0.0</v>
      </c>
      <c r="BR264" s="2">
        <v>1.0</v>
      </c>
      <c r="BS264" s="2">
        <v>0.0</v>
      </c>
      <c r="BT264" s="2">
        <v>0.0</v>
      </c>
      <c r="BU264" s="2">
        <v>0.0</v>
      </c>
      <c r="BV264" s="2">
        <v>0.0</v>
      </c>
      <c r="BW264" s="2">
        <v>3.0</v>
      </c>
      <c r="BX264" s="2">
        <v>20.0</v>
      </c>
      <c r="BY264" s="2">
        <v>1.0</v>
      </c>
      <c r="BZ264" s="2">
        <v>1.0</v>
      </c>
      <c r="CA264" s="2">
        <v>0.0</v>
      </c>
      <c r="CB264" s="2">
        <v>0.0</v>
      </c>
      <c r="CC264" s="2">
        <v>1.0</v>
      </c>
      <c r="CD264" s="2">
        <v>0.0</v>
      </c>
      <c r="CE264" s="2">
        <v>2.0</v>
      </c>
      <c r="CF264" s="2">
        <v>9.0</v>
      </c>
      <c r="CG264" s="2">
        <v>3.0</v>
      </c>
      <c r="CH264" s="2">
        <v>72.0</v>
      </c>
      <c r="CI264" s="2">
        <v>2.0</v>
      </c>
      <c r="CJ264" s="2">
        <v>2.0</v>
      </c>
      <c r="CK264" s="2">
        <v>0.0</v>
      </c>
      <c r="CL264" s="2">
        <v>0.0</v>
      </c>
      <c r="CM264" s="2">
        <v>52.0</v>
      </c>
      <c r="CN264" s="2">
        <v>1.0</v>
      </c>
      <c r="CO264" s="2">
        <v>0.0</v>
      </c>
      <c r="CP264" s="2">
        <v>1.0</v>
      </c>
      <c r="CQ264" s="2">
        <v>0.0</v>
      </c>
      <c r="CR264" s="2">
        <v>0.0</v>
      </c>
      <c r="CS264" s="2">
        <v>1.0</v>
      </c>
      <c r="CT264" s="2">
        <v>0.0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 t="s">
        <v>2142</v>
      </c>
      <c r="DD264" s="2">
        <v>79.0</v>
      </c>
      <c r="DE264" s="2">
        <v>0.0</v>
      </c>
      <c r="DF264" s="2">
        <v>0.0</v>
      </c>
      <c r="DG264" s="2">
        <v>3.0</v>
      </c>
      <c r="DH264" s="2">
        <v>3.0</v>
      </c>
      <c r="DI264" s="2">
        <v>0.0</v>
      </c>
      <c r="DJ264" s="2">
        <v>0.0</v>
      </c>
      <c r="DK264" s="2">
        <v>1.0</v>
      </c>
      <c r="DL264" s="2">
        <v>0.0</v>
      </c>
      <c r="DM264" s="2">
        <v>0.0</v>
      </c>
      <c r="DN264" s="2">
        <v>0.0</v>
      </c>
      <c r="DO264" s="2">
        <v>0.0</v>
      </c>
      <c r="DP264" s="2">
        <v>0.0</v>
      </c>
      <c r="DQ264" s="2">
        <v>4.0</v>
      </c>
      <c r="DR264" s="2">
        <v>0.0</v>
      </c>
      <c r="DS264" s="2">
        <v>60.0</v>
      </c>
      <c r="DT264" s="2">
        <v>209.0</v>
      </c>
      <c r="DU264" s="2">
        <v>0.0</v>
      </c>
      <c r="DV264" s="2">
        <v>0.0</v>
      </c>
      <c r="DW264" s="2">
        <v>0.0</v>
      </c>
      <c r="DX264" s="2">
        <v>0.0</v>
      </c>
      <c r="DY264" s="2">
        <v>1.0</v>
      </c>
      <c r="DZ264" s="2">
        <v>3.0</v>
      </c>
      <c r="EA264" s="2">
        <v>98.0</v>
      </c>
      <c r="EB264" s="2">
        <v>1.0</v>
      </c>
      <c r="EC264" s="2">
        <v>111.0</v>
      </c>
      <c r="EE264" s="2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2">
        <v>2025.0</v>
      </c>
      <c r="B265" s="2">
        <v>9.0</v>
      </c>
      <c r="C265" s="2" t="s">
        <v>222</v>
      </c>
      <c r="D265" s="2" t="s">
        <v>390</v>
      </c>
      <c r="E265" s="2" t="s">
        <v>870</v>
      </c>
      <c r="F265" s="2" t="s">
        <v>141</v>
      </c>
      <c r="G265" s="2">
        <v>29.0</v>
      </c>
      <c r="H265" s="2">
        <v>39.0</v>
      </c>
      <c r="I265" s="2">
        <v>284.0</v>
      </c>
      <c r="J265" s="2">
        <v>4.0</v>
      </c>
      <c r="K265" s="2">
        <v>1.0</v>
      </c>
      <c r="L265" s="2">
        <v>2.0</v>
      </c>
      <c r="M265" s="2">
        <v>-10.0</v>
      </c>
      <c r="N265" s="2">
        <v>0.0</v>
      </c>
      <c r="O265" s="2">
        <v>0.0</v>
      </c>
      <c r="P265" s="2">
        <v>162.0</v>
      </c>
      <c r="Q265" s="2">
        <v>196.0</v>
      </c>
      <c r="R265" s="2">
        <v>17.0</v>
      </c>
      <c r="S265" s="2">
        <v>11.3963925467252</v>
      </c>
      <c r="T265" s="2">
        <v>1.52995970688368</v>
      </c>
      <c r="U265" s="2">
        <v>0.0</v>
      </c>
      <c r="V265" s="2">
        <v>13.0</v>
      </c>
      <c r="W265" s="2">
        <v>3.0</v>
      </c>
      <c r="X265" s="2">
        <v>3.0</v>
      </c>
      <c r="Y265" s="2">
        <v>0.0</v>
      </c>
      <c r="Z265" s="2">
        <v>19.0</v>
      </c>
      <c r="AA265" s="2">
        <v>57.0</v>
      </c>
      <c r="AB265" s="2">
        <v>0.0</v>
      </c>
      <c r="AC265" s="2">
        <v>0.0</v>
      </c>
      <c r="AD265" s="2">
        <v>0.0</v>
      </c>
      <c r="AE265" s="2">
        <v>5.0</v>
      </c>
      <c r="AF265" s="2">
        <v>-2.92344734200742</v>
      </c>
      <c r="AG265" s="2">
        <v>0.0</v>
      </c>
      <c r="AH265" s="2">
        <v>2.0</v>
      </c>
      <c r="AI265" s="2">
        <v>2.0</v>
      </c>
      <c r="AJ265" s="2">
        <v>0.0</v>
      </c>
      <c r="AK265" s="2">
        <v>0.0</v>
      </c>
      <c r="AL265" s="2">
        <v>29.0</v>
      </c>
      <c r="AM265" s="2">
        <v>38.0</v>
      </c>
      <c r="AN265" s="2">
        <v>284.0</v>
      </c>
      <c r="AO265" s="2">
        <v>4.0</v>
      </c>
      <c r="AP265" s="2">
        <v>0.0</v>
      </c>
      <c r="AQ265" s="2">
        <v>0.0</v>
      </c>
      <c r="AR265" s="2">
        <v>162.0</v>
      </c>
      <c r="AS265" s="2">
        <v>196.0</v>
      </c>
      <c r="AT265" s="2">
        <v>17.0</v>
      </c>
      <c r="AU265" s="2">
        <v>13.2481706857362</v>
      </c>
      <c r="AV265" s="2">
        <v>0.0</v>
      </c>
      <c r="AW265" s="2">
        <v>13.0</v>
      </c>
      <c r="AX265" s="2">
        <v>3.0</v>
      </c>
      <c r="AY265" s="2">
        <v>3.0</v>
      </c>
      <c r="AZ265" s="2">
        <v>0.0</v>
      </c>
      <c r="BA265" s="2">
        <v>0.0</v>
      </c>
      <c r="BB265" s="2">
        <v>55.0</v>
      </c>
      <c r="BC265" s="2">
        <v>2.0</v>
      </c>
      <c r="BD265" s="2">
        <v>28.0</v>
      </c>
      <c r="BE265" s="2">
        <v>7.0</v>
      </c>
      <c r="BF265" s="2">
        <v>13.0</v>
      </c>
      <c r="BG265" s="2">
        <v>0.0</v>
      </c>
      <c r="BH265" s="2">
        <v>1.0</v>
      </c>
      <c r="BI265" s="2">
        <v>4.0</v>
      </c>
      <c r="BJ265" s="2">
        <v>2.0</v>
      </c>
      <c r="BK265" s="2">
        <v>1.0</v>
      </c>
      <c r="BL265" s="2">
        <v>0.0</v>
      </c>
      <c r="BM265" s="2">
        <v>4.0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</v>
      </c>
      <c r="BV265" s="2">
        <v>0.0</v>
      </c>
      <c r="BW265" s="2">
        <v>7.0</v>
      </c>
      <c r="BX265" s="2">
        <v>55.0</v>
      </c>
      <c r="BY265" s="2">
        <v>2.0</v>
      </c>
      <c r="BZ265" s="2">
        <v>0.0</v>
      </c>
      <c r="CA265" s="2">
        <v>0.0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6.0</v>
      </c>
      <c r="CH265" s="2">
        <v>232.0</v>
      </c>
      <c r="CI265" s="2">
        <v>1.0</v>
      </c>
      <c r="CJ265" s="2">
        <v>1.0</v>
      </c>
      <c r="CK265" s="2">
        <v>0.0</v>
      </c>
      <c r="CL265" s="2">
        <v>0.0</v>
      </c>
      <c r="CM265" s="2">
        <v>24.0</v>
      </c>
      <c r="CN265" s="2">
        <v>1.0</v>
      </c>
      <c r="CO265" s="2">
        <v>0.0</v>
      </c>
      <c r="CP265" s="2">
        <v>1.0</v>
      </c>
      <c r="CQ265" s="2">
        <v>0.0</v>
      </c>
      <c r="CR265" s="2">
        <v>0.0</v>
      </c>
      <c r="CS265" s="2">
        <v>0.0</v>
      </c>
      <c r="CT265" s="2">
        <v>0.0</v>
      </c>
      <c r="CU265" s="2">
        <v>0.0</v>
      </c>
      <c r="CV265" s="2">
        <v>0.0</v>
      </c>
      <c r="CW265" s="2">
        <v>0.0</v>
      </c>
      <c r="CX265" s="2">
        <v>0.0</v>
      </c>
      <c r="CY265" s="2">
        <v>0.0</v>
      </c>
      <c r="CZ265" s="2">
        <v>0.0</v>
      </c>
      <c r="DA265" s="2" t="s">
        <v>2101</v>
      </c>
      <c r="DD265" s="2">
        <v>24.0</v>
      </c>
      <c r="DE265" s="2">
        <v>0.0</v>
      </c>
      <c r="DF265" s="2">
        <v>0.0</v>
      </c>
      <c r="DG265" s="2">
        <v>2.0</v>
      </c>
      <c r="DH265" s="2">
        <v>3.0</v>
      </c>
      <c r="DI265" s="2">
        <v>1.0</v>
      </c>
      <c r="DJ265" s="2">
        <v>0.0</v>
      </c>
      <c r="DK265" s="2">
        <v>0.666666666666667</v>
      </c>
      <c r="DL265" s="2">
        <v>0.0</v>
      </c>
      <c r="DM265" s="2">
        <v>0.0</v>
      </c>
      <c r="DN265" s="2">
        <v>0.0</v>
      </c>
      <c r="DO265" s="2">
        <v>0.0</v>
      </c>
      <c r="DP265" s="2">
        <v>0.0</v>
      </c>
      <c r="DQ265" s="2">
        <v>1.0</v>
      </c>
      <c r="DR265" s="2">
        <v>0.0</v>
      </c>
      <c r="DS265" s="2">
        <v>56.0</v>
      </c>
      <c r="DT265" s="2">
        <v>56.0</v>
      </c>
      <c r="DU265" s="2">
        <v>1.0</v>
      </c>
      <c r="DV265" s="2">
        <v>0.0</v>
      </c>
      <c r="DW265" s="2">
        <v>0.0</v>
      </c>
      <c r="DX265" s="2">
        <v>0.0</v>
      </c>
      <c r="DY265" s="2">
        <v>0.0</v>
      </c>
      <c r="DZ265" s="2">
        <v>1.0</v>
      </c>
      <c r="EA265" s="2">
        <v>4.0</v>
      </c>
      <c r="EB265" s="2">
        <v>0.0</v>
      </c>
      <c r="EC265" s="2">
        <v>52.0</v>
      </c>
      <c r="EE265" s="2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2">
        <v>2025.0</v>
      </c>
      <c r="B266" s="2">
        <v>9.0</v>
      </c>
      <c r="C266" s="2" t="s">
        <v>225</v>
      </c>
      <c r="D266" s="2" t="s">
        <v>390</v>
      </c>
      <c r="E266" s="2" t="s">
        <v>847</v>
      </c>
      <c r="F266" s="2" t="s">
        <v>148</v>
      </c>
      <c r="G266" s="2">
        <v>25.0</v>
      </c>
      <c r="H266" s="2">
        <v>40.0</v>
      </c>
      <c r="I266" s="2">
        <v>261.0</v>
      </c>
      <c r="J266" s="2">
        <v>0.0</v>
      </c>
      <c r="K266" s="2">
        <v>1.0</v>
      </c>
      <c r="L266" s="2">
        <v>2.0</v>
      </c>
      <c r="M266" s="2">
        <v>-16.0</v>
      </c>
      <c r="N266" s="2">
        <v>0.0</v>
      </c>
      <c r="O266" s="2">
        <v>0.0</v>
      </c>
      <c r="P266" s="2">
        <v>271.0</v>
      </c>
      <c r="Q266" s="2">
        <v>141.0</v>
      </c>
      <c r="R266" s="2">
        <v>12.0</v>
      </c>
      <c r="S266" s="2">
        <v>3.51162501647882</v>
      </c>
      <c r="T266" s="2">
        <v>-2.95143538230174</v>
      </c>
      <c r="U266" s="2">
        <v>0.0</v>
      </c>
      <c r="V266" s="2">
        <v>10.0</v>
      </c>
      <c r="W266" s="2">
        <v>6.0</v>
      </c>
      <c r="X266" s="2">
        <v>3.0</v>
      </c>
      <c r="Y266" s="2">
        <v>0.0</v>
      </c>
      <c r="Z266" s="2">
        <v>20.0</v>
      </c>
      <c r="AA266" s="2">
        <v>87.0</v>
      </c>
      <c r="AB266" s="2">
        <v>0.0</v>
      </c>
      <c r="AC266" s="2">
        <v>1.0</v>
      </c>
      <c r="AD266" s="2">
        <v>1.0</v>
      </c>
      <c r="AE266" s="2">
        <v>4.0</v>
      </c>
      <c r="AF266" s="2">
        <v>-9.5706152721366</v>
      </c>
      <c r="AG266" s="2">
        <v>0.0</v>
      </c>
      <c r="AH266" s="2">
        <v>3.0</v>
      </c>
      <c r="AI266" s="2">
        <v>3.0</v>
      </c>
      <c r="AJ266" s="2">
        <v>1.0</v>
      </c>
      <c r="AK266" s="2">
        <v>0.0</v>
      </c>
      <c r="AL266" s="2">
        <v>25.0</v>
      </c>
      <c r="AM266" s="2">
        <v>37.0</v>
      </c>
      <c r="AN266" s="2">
        <v>261.0</v>
      </c>
      <c r="AO266" s="2">
        <v>0.0</v>
      </c>
      <c r="AP266" s="2">
        <v>1.0</v>
      </c>
      <c r="AQ266" s="2">
        <v>1.0</v>
      </c>
      <c r="AR266" s="2">
        <v>271.0</v>
      </c>
      <c r="AS266" s="2">
        <v>141.0</v>
      </c>
      <c r="AT266" s="2">
        <v>12.0</v>
      </c>
      <c r="AU266" s="2">
        <v>1.84519431273616</v>
      </c>
      <c r="AV266" s="2">
        <v>0.0</v>
      </c>
      <c r="AW266" s="2">
        <v>10.0</v>
      </c>
      <c r="AX266" s="2">
        <v>6.0</v>
      </c>
      <c r="AY266" s="2">
        <v>3.0</v>
      </c>
      <c r="AZ266" s="2">
        <v>0.0</v>
      </c>
      <c r="BA266" s="2">
        <v>0.0</v>
      </c>
      <c r="BB266" s="2">
        <v>32.0</v>
      </c>
      <c r="BC266" s="2">
        <v>4.0</v>
      </c>
      <c r="BD266" s="2">
        <v>34.0</v>
      </c>
      <c r="BE266" s="2">
        <v>5.0</v>
      </c>
      <c r="BF266" s="2">
        <v>19.0</v>
      </c>
      <c r="BG266" s="2">
        <v>0.0</v>
      </c>
      <c r="BH266" s="2">
        <v>2.0</v>
      </c>
      <c r="BI266" s="2">
        <v>16.0</v>
      </c>
      <c r="BJ266" s="2">
        <v>4.0</v>
      </c>
      <c r="BK266" s="2">
        <v>0.0</v>
      </c>
      <c r="BL266" s="2">
        <v>0.0</v>
      </c>
      <c r="BM266" s="2">
        <v>1.0</v>
      </c>
      <c r="BN266" s="2">
        <v>0.0</v>
      </c>
      <c r="BO266" s="2">
        <v>0.0</v>
      </c>
      <c r="BP266" s="2">
        <v>0.0</v>
      </c>
      <c r="BQ266" s="2">
        <v>0.0</v>
      </c>
      <c r="BR266" s="2">
        <v>0.0</v>
      </c>
      <c r="BS266" s="2">
        <v>0.0</v>
      </c>
      <c r="BT266" s="2">
        <v>0.0</v>
      </c>
      <c r="BU266" s="2">
        <v>0.0</v>
      </c>
      <c r="BV266" s="2">
        <v>0.0</v>
      </c>
      <c r="BW266" s="2">
        <v>5.0</v>
      </c>
      <c r="BX266" s="2">
        <v>45.0</v>
      </c>
      <c r="BY266" s="2">
        <v>5.0</v>
      </c>
      <c r="BZ266" s="2">
        <v>2.0</v>
      </c>
      <c r="CA266" s="2">
        <v>0.0</v>
      </c>
      <c r="CB266" s="2">
        <v>0.0</v>
      </c>
      <c r="CC266" s="2">
        <v>2.0</v>
      </c>
      <c r="CD266" s="2">
        <v>2.0</v>
      </c>
      <c r="CE266" s="2">
        <v>2.0</v>
      </c>
      <c r="CF266" s="2">
        <v>38.0</v>
      </c>
      <c r="CG266" s="2">
        <v>4.0</v>
      </c>
      <c r="CH266" s="2">
        <v>89.0</v>
      </c>
      <c r="CI266" s="2">
        <v>2.0</v>
      </c>
      <c r="CJ266" s="2">
        <v>3.0</v>
      </c>
      <c r="CK266" s="2">
        <v>1.0</v>
      </c>
      <c r="CL266" s="2">
        <v>0.0</v>
      </c>
      <c r="CM266" s="2">
        <v>49.0</v>
      </c>
      <c r="CN266" s="2">
        <v>0.666666666666667</v>
      </c>
      <c r="CO266" s="2">
        <v>0.0</v>
      </c>
      <c r="CP266" s="2">
        <v>0.0</v>
      </c>
      <c r="CQ266" s="2">
        <v>0.0</v>
      </c>
      <c r="CR266" s="2">
        <v>2.0</v>
      </c>
      <c r="CS266" s="2">
        <v>0.0</v>
      </c>
      <c r="CT266" s="2">
        <v>0.0</v>
      </c>
      <c r="CU266" s="2">
        <v>0.0</v>
      </c>
      <c r="CV266" s="2">
        <v>0.0</v>
      </c>
      <c r="CW266" s="2">
        <v>1.0</v>
      </c>
      <c r="CX266" s="2">
        <v>0.0</v>
      </c>
      <c r="CY266" s="2">
        <v>0.0</v>
      </c>
      <c r="CZ266" s="2">
        <v>0.0</v>
      </c>
      <c r="DA266" s="2" t="s">
        <v>2143</v>
      </c>
      <c r="DB266" s="2" t="s">
        <v>1968</v>
      </c>
      <c r="DD266" s="2">
        <v>92.0</v>
      </c>
      <c r="DE266" s="2">
        <v>35.0</v>
      </c>
      <c r="DF266" s="2">
        <v>0.0</v>
      </c>
      <c r="DG266" s="2">
        <v>0.0</v>
      </c>
      <c r="DH266" s="2">
        <v>0.0</v>
      </c>
      <c r="DI266" s="2">
        <v>0.0</v>
      </c>
      <c r="DJ266" s="2">
        <v>0.0</v>
      </c>
      <c r="DL266" s="2">
        <v>0.0</v>
      </c>
      <c r="DM266" s="2">
        <v>0.0</v>
      </c>
      <c r="DN266" s="2">
        <v>0.0</v>
      </c>
      <c r="DO266" s="2">
        <v>0.0</v>
      </c>
      <c r="DP266" s="2">
        <v>0.0</v>
      </c>
      <c r="DQ266" s="2">
        <v>3.0</v>
      </c>
      <c r="DR266" s="2">
        <v>0.0</v>
      </c>
      <c r="DS266" s="2">
        <v>47.0</v>
      </c>
      <c r="DT266" s="2">
        <v>128.0</v>
      </c>
      <c r="DU266" s="2">
        <v>1.0</v>
      </c>
      <c r="DV266" s="2">
        <v>1.0</v>
      </c>
      <c r="DW266" s="2">
        <v>1.0</v>
      </c>
      <c r="DX266" s="2">
        <v>0.0</v>
      </c>
      <c r="DY266" s="2">
        <v>0.0</v>
      </c>
      <c r="DZ266" s="2">
        <v>1.0</v>
      </c>
      <c r="EA266" s="2">
        <v>17.0</v>
      </c>
      <c r="EB266" s="2">
        <v>0.0</v>
      </c>
      <c r="EC266" s="2">
        <v>111.0</v>
      </c>
      <c r="EE266" s="2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2">
        <v>2025.0</v>
      </c>
      <c r="B267" s="2">
        <v>9.0</v>
      </c>
      <c r="C267" s="2" t="s">
        <v>144</v>
      </c>
      <c r="D267" s="2" t="s">
        <v>390</v>
      </c>
      <c r="E267" s="2" t="s">
        <v>853</v>
      </c>
      <c r="F267" s="2" t="s">
        <v>202</v>
      </c>
      <c r="G267" s="2">
        <v>14.0</v>
      </c>
      <c r="H267" s="2">
        <v>25.0</v>
      </c>
      <c r="I267" s="2">
        <v>143.0</v>
      </c>
      <c r="J267" s="2">
        <v>2.0</v>
      </c>
      <c r="K267" s="2">
        <v>1.0</v>
      </c>
      <c r="L267" s="2">
        <v>5.0</v>
      </c>
      <c r="M267" s="2">
        <v>-27.0</v>
      </c>
      <c r="N267" s="2">
        <v>0.0</v>
      </c>
      <c r="O267" s="2">
        <v>0.0</v>
      </c>
      <c r="P267" s="2">
        <v>258.0</v>
      </c>
      <c r="Q267" s="2">
        <v>33.0</v>
      </c>
      <c r="R267" s="2">
        <v>8.0</v>
      </c>
      <c r="S267" s="2">
        <v>-7.41834461734904</v>
      </c>
      <c r="T267" s="2">
        <v>-0.122888969338459</v>
      </c>
      <c r="U267" s="2">
        <v>0.0</v>
      </c>
      <c r="V267" s="2">
        <v>7.0</v>
      </c>
      <c r="W267" s="2">
        <v>4.0</v>
      </c>
      <c r="X267" s="2">
        <v>2.0</v>
      </c>
      <c r="Y267" s="2">
        <v>0.0</v>
      </c>
      <c r="Z267" s="2">
        <v>29.0</v>
      </c>
      <c r="AA267" s="2">
        <v>142.0</v>
      </c>
      <c r="AB267" s="2">
        <v>1.0</v>
      </c>
      <c r="AC267" s="2">
        <v>1.0</v>
      </c>
      <c r="AD267" s="2">
        <v>0.0</v>
      </c>
      <c r="AE267" s="2">
        <v>7.0</v>
      </c>
      <c r="AF267" s="2">
        <v>6.23436340969056</v>
      </c>
      <c r="AG267" s="2">
        <v>0.0</v>
      </c>
      <c r="AH267" s="2">
        <v>5.0</v>
      </c>
      <c r="AI267" s="2">
        <v>4.0</v>
      </c>
      <c r="AJ267" s="2">
        <v>1.0</v>
      </c>
      <c r="AK267" s="2">
        <v>0.0</v>
      </c>
      <c r="AL267" s="2">
        <v>14.0</v>
      </c>
      <c r="AM267" s="2">
        <v>23.0</v>
      </c>
      <c r="AN267" s="2">
        <v>143.0</v>
      </c>
      <c r="AO267" s="2">
        <v>2.0</v>
      </c>
      <c r="AP267" s="2">
        <v>0.0</v>
      </c>
      <c r="AQ267" s="2">
        <v>0.0</v>
      </c>
      <c r="AR267" s="2">
        <v>258.0</v>
      </c>
      <c r="AS267" s="2">
        <v>33.0</v>
      </c>
      <c r="AT267" s="2">
        <v>8.0</v>
      </c>
      <c r="AU267" s="2">
        <v>2.13357377483044</v>
      </c>
      <c r="AV267" s="2">
        <v>0.0</v>
      </c>
      <c r="AW267" s="2">
        <v>7.0</v>
      </c>
      <c r="AX267" s="2">
        <v>4.0</v>
      </c>
      <c r="AY267" s="2">
        <v>2.0</v>
      </c>
      <c r="AZ267" s="2">
        <v>0.0</v>
      </c>
      <c r="BA267" s="2">
        <v>0.0</v>
      </c>
      <c r="BB267" s="2">
        <v>32.0</v>
      </c>
      <c r="BC267" s="2">
        <v>2.0</v>
      </c>
      <c r="BD267" s="2">
        <v>46.0</v>
      </c>
      <c r="BE267" s="2">
        <v>10.0</v>
      </c>
      <c r="BF267" s="2">
        <v>54.0</v>
      </c>
      <c r="BG267" s="2">
        <v>1.0</v>
      </c>
      <c r="BH267" s="2">
        <v>5.0</v>
      </c>
      <c r="BI267" s="2">
        <v>44.0</v>
      </c>
      <c r="BJ267" s="2">
        <v>11.0</v>
      </c>
      <c r="BK267" s="2">
        <v>0.0</v>
      </c>
      <c r="BL267" s="2">
        <v>0.0</v>
      </c>
      <c r="BM267" s="2">
        <v>1.0</v>
      </c>
      <c r="BN267" s="2">
        <v>0.0</v>
      </c>
      <c r="BO267" s="2">
        <v>0.0</v>
      </c>
      <c r="BP267" s="2">
        <v>0.0</v>
      </c>
      <c r="BQ267" s="2">
        <v>41.0</v>
      </c>
      <c r="BR267" s="2">
        <v>1.0</v>
      </c>
      <c r="BS267" s="2">
        <v>-2.0</v>
      </c>
      <c r="BT267" s="2">
        <v>1.0</v>
      </c>
      <c r="BU267" s="2">
        <v>-1.0</v>
      </c>
      <c r="BV267" s="2">
        <v>0.0</v>
      </c>
      <c r="BW267" s="2">
        <v>7.0</v>
      </c>
      <c r="BX267" s="2">
        <v>56.0</v>
      </c>
      <c r="BY267" s="2">
        <v>1.0</v>
      </c>
      <c r="BZ267" s="2">
        <v>0.0</v>
      </c>
      <c r="CA267" s="2">
        <v>1.0</v>
      </c>
      <c r="CB267" s="2">
        <v>0.0</v>
      </c>
      <c r="CC267" s="2">
        <v>1.0</v>
      </c>
      <c r="CD267" s="2">
        <v>0.0</v>
      </c>
      <c r="CE267" s="2">
        <v>1.0</v>
      </c>
      <c r="CF267" s="2">
        <v>7.0</v>
      </c>
      <c r="CG267" s="2">
        <v>5.0</v>
      </c>
      <c r="CH267" s="2">
        <v>164.0</v>
      </c>
      <c r="CI267" s="2">
        <v>2.0</v>
      </c>
      <c r="CJ267" s="2">
        <v>2.0</v>
      </c>
      <c r="CK267" s="2">
        <v>0.0</v>
      </c>
      <c r="CL267" s="2">
        <v>0.0</v>
      </c>
      <c r="CM267" s="2">
        <v>50.0</v>
      </c>
      <c r="CN267" s="2">
        <v>1.0</v>
      </c>
      <c r="CO267" s="2">
        <v>0.0</v>
      </c>
      <c r="CP267" s="2">
        <v>1.0</v>
      </c>
      <c r="CQ267" s="2">
        <v>0.0</v>
      </c>
      <c r="CR267" s="2">
        <v>0.0</v>
      </c>
      <c r="CS267" s="2">
        <v>1.0</v>
      </c>
      <c r="CT267" s="2">
        <v>0.0</v>
      </c>
      <c r="CU267" s="2">
        <v>0.0</v>
      </c>
      <c r="CV267" s="2">
        <v>0.0</v>
      </c>
      <c r="CW267" s="2">
        <v>0.0</v>
      </c>
      <c r="CX267" s="2">
        <v>0.0</v>
      </c>
      <c r="CY267" s="2">
        <v>0.0</v>
      </c>
      <c r="CZ267" s="2">
        <v>0.0</v>
      </c>
      <c r="DA267" s="2" t="s">
        <v>2144</v>
      </c>
      <c r="DD267" s="2">
        <v>70.0</v>
      </c>
      <c r="DE267" s="2">
        <v>0.0</v>
      </c>
      <c r="DF267" s="2">
        <v>0.0</v>
      </c>
      <c r="DG267" s="2">
        <v>3.0</v>
      </c>
      <c r="DH267" s="2">
        <v>3.0</v>
      </c>
      <c r="DI267" s="2">
        <v>0.0</v>
      </c>
      <c r="DJ267" s="2">
        <v>0.0</v>
      </c>
      <c r="DK267" s="2">
        <v>1.0</v>
      </c>
      <c r="DL267" s="2">
        <v>0.0</v>
      </c>
      <c r="DM267" s="2">
        <v>0.0</v>
      </c>
      <c r="DN267" s="2">
        <v>0.0</v>
      </c>
      <c r="DO267" s="2">
        <v>0.0</v>
      </c>
      <c r="DP267" s="2">
        <v>0.0</v>
      </c>
      <c r="DQ267" s="2">
        <v>4.0</v>
      </c>
      <c r="DR267" s="2">
        <v>0.0</v>
      </c>
      <c r="DS267" s="2">
        <v>51.0</v>
      </c>
      <c r="DT267" s="2">
        <v>176.0</v>
      </c>
      <c r="DU267" s="2">
        <v>2.0</v>
      </c>
      <c r="DV267" s="2">
        <v>1.0</v>
      </c>
      <c r="DW267" s="2">
        <v>0.0</v>
      </c>
      <c r="DX267" s="2">
        <v>0.0</v>
      </c>
      <c r="DY267" s="2">
        <v>1.0</v>
      </c>
      <c r="DZ267" s="2">
        <v>2.0</v>
      </c>
      <c r="EA267" s="2">
        <v>15.0</v>
      </c>
      <c r="EB267" s="2">
        <v>0.0</v>
      </c>
      <c r="EC267" s="2">
        <v>161.0</v>
      </c>
      <c r="EE267" s="2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2">
        <v>2025.0</v>
      </c>
      <c r="B268" s="2">
        <v>9.0</v>
      </c>
      <c r="C268" s="2" t="s">
        <v>145</v>
      </c>
      <c r="D268" s="2" t="s">
        <v>390</v>
      </c>
      <c r="E268" s="2" t="s">
        <v>859</v>
      </c>
      <c r="F268" s="2" t="s">
        <v>132</v>
      </c>
      <c r="G268" s="2">
        <v>19.0</v>
      </c>
      <c r="H268" s="2">
        <v>29.0</v>
      </c>
      <c r="I268" s="2">
        <v>259.0</v>
      </c>
      <c r="J268" s="2">
        <v>2.0</v>
      </c>
      <c r="K268" s="2">
        <v>1.0</v>
      </c>
      <c r="L268" s="2">
        <v>6.0</v>
      </c>
      <c r="M268" s="2">
        <v>-38.0</v>
      </c>
      <c r="N268" s="2">
        <v>2.0</v>
      </c>
      <c r="O268" s="2">
        <v>1.0</v>
      </c>
      <c r="P268" s="2">
        <v>310.0</v>
      </c>
      <c r="Q268" s="2">
        <v>111.0</v>
      </c>
      <c r="R268" s="2">
        <v>14.0</v>
      </c>
      <c r="S268" s="2">
        <v>0.423726848424723</v>
      </c>
      <c r="T268" s="2">
        <v>5.32756373286247</v>
      </c>
      <c r="U268" s="2">
        <v>0.0</v>
      </c>
      <c r="V268" s="2">
        <v>12.0</v>
      </c>
      <c r="W268" s="2">
        <v>6.0</v>
      </c>
      <c r="X268" s="2">
        <v>3.0</v>
      </c>
      <c r="Y268" s="2">
        <v>1.0</v>
      </c>
      <c r="Z268" s="2">
        <v>33.0</v>
      </c>
      <c r="AA268" s="2">
        <v>110.0</v>
      </c>
      <c r="AB268" s="2">
        <v>1.0</v>
      </c>
      <c r="AC268" s="2">
        <v>0.0</v>
      </c>
      <c r="AD268" s="2">
        <v>0.0</v>
      </c>
      <c r="AE268" s="2">
        <v>9.0</v>
      </c>
      <c r="AF268" s="2">
        <v>0.448533828544896</v>
      </c>
      <c r="AG268" s="2">
        <v>0.0</v>
      </c>
      <c r="AH268" s="2">
        <v>2.0</v>
      </c>
      <c r="AI268" s="2">
        <v>1.0</v>
      </c>
      <c r="AJ268" s="2">
        <v>0.0</v>
      </c>
      <c r="AK268" s="2">
        <v>0.0</v>
      </c>
      <c r="AL268" s="2">
        <v>19.0</v>
      </c>
      <c r="AM268" s="2">
        <v>28.0</v>
      </c>
      <c r="AN268" s="2">
        <v>259.0</v>
      </c>
      <c r="AO268" s="2">
        <v>2.0</v>
      </c>
      <c r="AP268" s="2">
        <v>0.0</v>
      </c>
      <c r="AQ268" s="2">
        <v>0.0</v>
      </c>
      <c r="AR268" s="2">
        <v>310.0</v>
      </c>
      <c r="AS268" s="2">
        <v>111.0</v>
      </c>
      <c r="AT268" s="2">
        <v>14.0</v>
      </c>
      <c r="AU268" s="2">
        <v>12.8978390192896</v>
      </c>
      <c r="AV268" s="2">
        <v>0.0</v>
      </c>
      <c r="AW268" s="2">
        <v>12.0</v>
      </c>
      <c r="AX268" s="2">
        <v>6.0</v>
      </c>
      <c r="AY268" s="2">
        <v>3.0</v>
      </c>
      <c r="AZ268" s="2">
        <v>1.0</v>
      </c>
      <c r="BA268" s="2">
        <v>0.0</v>
      </c>
      <c r="BB268" s="2">
        <v>32.0</v>
      </c>
      <c r="BC268" s="2">
        <v>0.0</v>
      </c>
      <c r="BD268" s="2">
        <v>20.0</v>
      </c>
      <c r="BE268" s="2">
        <v>2.0</v>
      </c>
      <c r="BF268" s="2">
        <v>9.0</v>
      </c>
      <c r="BG268" s="2">
        <v>1.0</v>
      </c>
      <c r="BH268" s="2">
        <v>1.0</v>
      </c>
      <c r="BI268" s="2">
        <v>4.0</v>
      </c>
      <c r="BJ268" s="2">
        <v>4.0</v>
      </c>
      <c r="BK268" s="2">
        <v>0.0</v>
      </c>
      <c r="BL268" s="2">
        <v>0.0</v>
      </c>
      <c r="BM268" s="2">
        <v>5.0</v>
      </c>
      <c r="BN268" s="2">
        <v>0.0</v>
      </c>
      <c r="BO268" s="2">
        <v>0.0</v>
      </c>
      <c r="BP268" s="2">
        <v>0.0</v>
      </c>
      <c r="BQ268" s="2">
        <v>0.0</v>
      </c>
      <c r="BR268" s="2">
        <v>1.0</v>
      </c>
      <c r="BS268" s="2">
        <v>0.0</v>
      </c>
      <c r="BT268" s="2">
        <v>0.0</v>
      </c>
      <c r="BU268" s="2">
        <v>0.0</v>
      </c>
      <c r="BV268" s="2">
        <v>0.0</v>
      </c>
      <c r="BW268" s="2">
        <v>2.0</v>
      </c>
      <c r="BX268" s="2">
        <v>15.0</v>
      </c>
      <c r="BY268" s="2">
        <v>3.0</v>
      </c>
      <c r="BZ268" s="2">
        <v>2.0</v>
      </c>
      <c r="CA268" s="2">
        <v>0.0</v>
      </c>
      <c r="CB268" s="2">
        <v>0.0</v>
      </c>
      <c r="CC268" s="2">
        <v>2.0</v>
      </c>
      <c r="CD268" s="2">
        <v>1.0</v>
      </c>
      <c r="CE268" s="2">
        <v>2.0</v>
      </c>
      <c r="CF268" s="2">
        <v>15.0</v>
      </c>
      <c r="CG268" s="2">
        <v>3.0</v>
      </c>
      <c r="CH268" s="2">
        <v>79.0</v>
      </c>
      <c r="CI268" s="2">
        <v>1.0</v>
      </c>
      <c r="CJ268" s="2">
        <v>1.0</v>
      </c>
      <c r="CK268" s="2">
        <v>0.0</v>
      </c>
      <c r="CL268" s="2">
        <v>0.0</v>
      </c>
      <c r="CM268" s="2">
        <v>32.0</v>
      </c>
      <c r="CN268" s="2">
        <v>1.0</v>
      </c>
      <c r="CO268" s="2">
        <v>0.0</v>
      </c>
      <c r="CP268" s="2">
        <v>0.0</v>
      </c>
      <c r="CQ268" s="2">
        <v>1.0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 t="s">
        <v>1991</v>
      </c>
      <c r="DD268" s="2">
        <v>32.0</v>
      </c>
      <c r="DE268" s="2">
        <v>0.0</v>
      </c>
      <c r="DF268" s="2">
        <v>0.0</v>
      </c>
      <c r="DG268" s="2">
        <v>3.0</v>
      </c>
      <c r="DH268" s="2">
        <v>3.0</v>
      </c>
      <c r="DI268" s="2">
        <v>0.0</v>
      </c>
      <c r="DJ268" s="2">
        <v>0.0</v>
      </c>
      <c r="DK268" s="2">
        <v>1.0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3.0</v>
      </c>
      <c r="DR268" s="2">
        <v>0.0</v>
      </c>
      <c r="DS268" s="2">
        <v>61.0</v>
      </c>
      <c r="DT268" s="2">
        <v>150.0</v>
      </c>
      <c r="DU268" s="2">
        <v>2.0</v>
      </c>
      <c r="DV268" s="2">
        <v>0.0</v>
      </c>
      <c r="DW268" s="2">
        <v>0.0</v>
      </c>
      <c r="DX268" s="2">
        <v>0.0</v>
      </c>
      <c r="DY268" s="2">
        <v>1.0</v>
      </c>
      <c r="DZ268" s="2">
        <v>2.0</v>
      </c>
      <c r="EA268" s="2">
        <v>28.0</v>
      </c>
      <c r="EB268" s="2">
        <v>0.0</v>
      </c>
      <c r="EC268" s="2">
        <v>122.0</v>
      </c>
      <c r="EE268" s="2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2">
        <v>2025.0</v>
      </c>
      <c r="B269" s="2">
        <v>9.0</v>
      </c>
      <c r="C269" s="2" t="s">
        <v>232</v>
      </c>
      <c r="D269" s="2" t="s">
        <v>390</v>
      </c>
      <c r="E269" s="2" t="s">
        <v>867</v>
      </c>
      <c r="F269" s="2" t="s">
        <v>142</v>
      </c>
      <c r="G269" s="2">
        <v>15.0</v>
      </c>
      <c r="H269" s="2">
        <v>25.0</v>
      </c>
      <c r="I269" s="2">
        <v>176.0</v>
      </c>
      <c r="J269" s="2">
        <v>1.0</v>
      </c>
      <c r="K269" s="2">
        <v>1.0</v>
      </c>
      <c r="L269" s="2">
        <v>1.0</v>
      </c>
      <c r="M269" s="2">
        <v>-9.0</v>
      </c>
      <c r="N269" s="2">
        <v>0.0</v>
      </c>
      <c r="O269" s="2">
        <v>0.0</v>
      </c>
      <c r="P269" s="2">
        <v>218.0</v>
      </c>
      <c r="Q269" s="2">
        <v>47.0</v>
      </c>
      <c r="R269" s="2">
        <v>8.0</v>
      </c>
      <c r="S269" s="2">
        <v>-0.828732179128565</v>
      </c>
      <c r="T269" s="2">
        <v>-6.38462863862515</v>
      </c>
      <c r="U269" s="2">
        <v>0.0</v>
      </c>
      <c r="V269" s="2">
        <v>8.0</v>
      </c>
      <c r="W269" s="2">
        <v>4.0</v>
      </c>
      <c r="X269" s="2">
        <v>3.0</v>
      </c>
      <c r="Y269" s="2">
        <v>0.0</v>
      </c>
      <c r="Z269" s="2">
        <v>14.0</v>
      </c>
      <c r="AA269" s="2">
        <v>57.0</v>
      </c>
      <c r="AB269" s="2">
        <v>0.0</v>
      </c>
      <c r="AC269" s="2">
        <v>1.0</v>
      </c>
      <c r="AD269" s="2">
        <v>1.0</v>
      </c>
      <c r="AE269" s="2">
        <v>1.0</v>
      </c>
      <c r="AF269" s="2">
        <v>-11.8637852398679</v>
      </c>
      <c r="AG269" s="2">
        <v>0.0</v>
      </c>
      <c r="AH269" s="2">
        <v>1.0</v>
      </c>
      <c r="AI269" s="2">
        <v>1.0</v>
      </c>
      <c r="AJ269" s="2">
        <v>1.0</v>
      </c>
      <c r="AK269" s="2">
        <v>0.0</v>
      </c>
      <c r="AL269" s="2">
        <v>15.0</v>
      </c>
      <c r="AM269" s="2">
        <v>24.0</v>
      </c>
      <c r="AN269" s="2">
        <v>176.0</v>
      </c>
      <c r="AO269" s="2">
        <v>1.0</v>
      </c>
      <c r="AP269" s="2">
        <v>0.0</v>
      </c>
      <c r="AQ269" s="2">
        <v>0.0</v>
      </c>
      <c r="AR269" s="2">
        <v>218.0</v>
      </c>
      <c r="AS269" s="2">
        <v>47.0</v>
      </c>
      <c r="AT269" s="2">
        <v>8.0</v>
      </c>
      <c r="AU269" s="2">
        <v>1.36641397047788</v>
      </c>
      <c r="AV269" s="2">
        <v>0.0</v>
      </c>
      <c r="AW269" s="2">
        <v>8.0</v>
      </c>
      <c r="AX269" s="2">
        <v>4.0</v>
      </c>
      <c r="AY269" s="2">
        <v>3.0</v>
      </c>
      <c r="AZ269" s="2">
        <v>0.0</v>
      </c>
      <c r="BA269" s="2">
        <v>0.0</v>
      </c>
      <c r="BB269" s="2">
        <v>34.0</v>
      </c>
      <c r="BC269" s="2">
        <v>2.0</v>
      </c>
      <c r="BD269" s="2">
        <v>54.0</v>
      </c>
      <c r="BE269" s="2">
        <v>4.0</v>
      </c>
      <c r="BF269" s="2">
        <v>24.0</v>
      </c>
      <c r="BG269" s="2">
        <v>0.0</v>
      </c>
      <c r="BH269" s="2">
        <v>2.0</v>
      </c>
      <c r="BI269" s="2">
        <v>14.0</v>
      </c>
      <c r="BJ269" s="2">
        <v>4.0</v>
      </c>
      <c r="BK269" s="2">
        <v>0.0</v>
      </c>
      <c r="BL269" s="2">
        <v>0.0</v>
      </c>
      <c r="BM269" s="2">
        <v>4.0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0.0</v>
      </c>
      <c r="BW269" s="2">
        <v>5.0</v>
      </c>
      <c r="BX269" s="2">
        <v>33.0</v>
      </c>
      <c r="BY269" s="2">
        <v>3.0</v>
      </c>
      <c r="BZ269" s="2">
        <v>1.0</v>
      </c>
      <c r="CA269" s="2">
        <v>0.0</v>
      </c>
      <c r="CB269" s="2">
        <v>0.0</v>
      </c>
      <c r="CC269" s="2">
        <v>1.0</v>
      </c>
      <c r="CD269" s="2">
        <v>1.0</v>
      </c>
      <c r="CE269" s="2">
        <v>1.0</v>
      </c>
      <c r="CF269" s="2">
        <v>9.0</v>
      </c>
      <c r="CG269" s="2">
        <v>1.0</v>
      </c>
      <c r="CH269" s="2">
        <v>29.0</v>
      </c>
      <c r="CI269" s="2">
        <v>1.0</v>
      </c>
      <c r="CJ269" s="2">
        <v>1.0</v>
      </c>
      <c r="CK269" s="2">
        <v>0.0</v>
      </c>
      <c r="CL269" s="2">
        <v>0.0</v>
      </c>
      <c r="CM269" s="2">
        <v>39.0</v>
      </c>
      <c r="CN269" s="2">
        <v>1.0</v>
      </c>
      <c r="CO269" s="2">
        <v>0.0</v>
      </c>
      <c r="CP269" s="2">
        <v>0.0</v>
      </c>
      <c r="CQ269" s="2">
        <v>1.0</v>
      </c>
      <c r="CR269" s="2">
        <v>0.0</v>
      </c>
      <c r="CS269" s="2">
        <v>0.0</v>
      </c>
      <c r="CT269" s="2">
        <v>0.0</v>
      </c>
      <c r="CU269" s="2">
        <v>0.0</v>
      </c>
      <c r="CV269" s="2">
        <v>0.0</v>
      </c>
      <c r="CW269" s="2">
        <v>0.0</v>
      </c>
      <c r="CX269" s="2">
        <v>0.0</v>
      </c>
      <c r="CY269" s="2">
        <v>0.0</v>
      </c>
      <c r="CZ269" s="2">
        <v>0.0</v>
      </c>
      <c r="DA269" s="2" t="s">
        <v>2026</v>
      </c>
      <c r="DD269" s="2">
        <v>39.0</v>
      </c>
      <c r="DE269" s="2">
        <v>0.0</v>
      </c>
      <c r="DF269" s="2">
        <v>0.0</v>
      </c>
      <c r="DG269" s="2">
        <v>1.0</v>
      </c>
      <c r="DH269" s="2">
        <v>1.0</v>
      </c>
      <c r="DI269" s="2">
        <v>0.0</v>
      </c>
      <c r="DJ269" s="2">
        <v>0.0</v>
      </c>
      <c r="DK269" s="2">
        <v>1.0</v>
      </c>
      <c r="DL269" s="2">
        <v>0.0</v>
      </c>
      <c r="DM269" s="2">
        <v>0.0</v>
      </c>
      <c r="DN269" s="2">
        <v>0.0</v>
      </c>
      <c r="DO269" s="2">
        <v>0.0</v>
      </c>
      <c r="DP269" s="2">
        <v>0.0</v>
      </c>
      <c r="DQ269" s="2">
        <v>4.0</v>
      </c>
      <c r="DR269" s="2">
        <v>0.0</v>
      </c>
      <c r="DS269" s="2">
        <v>49.0</v>
      </c>
      <c r="DT269" s="2">
        <v>184.0</v>
      </c>
      <c r="DU269" s="2">
        <v>2.0</v>
      </c>
      <c r="DV269" s="2">
        <v>0.0</v>
      </c>
      <c r="DW269" s="2">
        <v>0.0</v>
      </c>
      <c r="DX269" s="2">
        <v>0.0</v>
      </c>
      <c r="DY269" s="2">
        <v>2.0</v>
      </c>
      <c r="DZ269" s="2">
        <v>2.0</v>
      </c>
      <c r="EA269" s="2">
        <v>11.0</v>
      </c>
      <c r="EB269" s="2">
        <v>0.0</v>
      </c>
      <c r="EC269" s="2">
        <v>173.0</v>
      </c>
      <c r="EE269" s="2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2">
        <v>2025.0</v>
      </c>
      <c r="B270" s="2">
        <v>9.0</v>
      </c>
      <c r="C270" s="2" t="s">
        <v>235</v>
      </c>
      <c r="D270" s="2" t="s">
        <v>390</v>
      </c>
      <c r="E270" s="2" t="s">
        <v>861</v>
      </c>
      <c r="F270" s="2" t="s">
        <v>246</v>
      </c>
      <c r="G270" s="2">
        <v>24.0</v>
      </c>
      <c r="H270" s="2">
        <v>33.0</v>
      </c>
      <c r="I270" s="2">
        <v>191.0</v>
      </c>
      <c r="J270" s="2">
        <v>2.0</v>
      </c>
      <c r="K270" s="2">
        <v>0.0</v>
      </c>
      <c r="L270" s="2">
        <v>2.0</v>
      </c>
      <c r="M270" s="2">
        <v>-12.0</v>
      </c>
      <c r="N270" s="2">
        <v>0.0</v>
      </c>
      <c r="O270" s="2">
        <v>0.0</v>
      </c>
      <c r="P270" s="2">
        <v>217.0</v>
      </c>
      <c r="Q270" s="2">
        <v>79.0</v>
      </c>
      <c r="R270" s="2">
        <v>7.0</v>
      </c>
      <c r="S270" s="2">
        <v>1.71027115934445</v>
      </c>
      <c r="T270" s="2">
        <v>3.73614560812712</v>
      </c>
      <c r="U270" s="2">
        <v>0.0</v>
      </c>
      <c r="V270" s="2">
        <v>5.0</v>
      </c>
      <c r="W270" s="2">
        <v>3.0</v>
      </c>
      <c r="X270" s="2">
        <v>2.0</v>
      </c>
      <c r="Y270" s="2">
        <v>0.0</v>
      </c>
      <c r="Z270" s="2">
        <v>21.0</v>
      </c>
      <c r="AA270" s="2">
        <v>117.0</v>
      </c>
      <c r="AB270" s="2">
        <v>1.0</v>
      </c>
      <c r="AC270" s="2">
        <v>0.0</v>
      </c>
      <c r="AD270" s="2">
        <v>0.0</v>
      </c>
      <c r="AE270" s="2">
        <v>10.0</v>
      </c>
      <c r="AF270" s="2">
        <v>7.81800018227659</v>
      </c>
      <c r="AG270" s="2">
        <v>0.0</v>
      </c>
      <c r="AH270" s="2">
        <v>4.0</v>
      </c>
      <c r="AI270" s="2">
        <v>2.0</v>
      </c>
      <c r="AJ270" s="2">
        <v>0.0</v>
      </c>
      <c r="AK270" s="2">
        <v>0.0</v>
      </c>
      <c r="AL270" s="2">
        <v>24.0</v>
      </c>
      <c r="AM270" s="2">
        <v>32.0</v>
      </c>
      <c r="AN270" s="2">
        <v>191.0</v>
      </c>
      <c r="AO270" s="2">
        <v>2.0</v>
      </c>
      <c r="AP270" s="2">
        <v>0.0</v>
      </c>
      <c r="AQ270" s="2">
        <v>0.0</v>
      </c>
      <c r="AR270" s="2">
        <v>217.0</v>
      </c>
      <c r="AS270" s="2">
        <v>79.0</v>
      </c>
      <c r="AT270" s="2">
        <v>7.0</v>
      </c>
      <c r="AU270" s="2">
        <v>4.40916444493374</v>
      </c>
      <c r="AV270" s="2">
        <v>0.0</v>
      </c>
      <c r="AW270" s="2">
        <v>5.0</v>
      </c>
      <c r="AX270" s="2">
        <v>3.0</v>
      </c>
      <c r="AY270" s="2">
        <v>2.0</v>
      </c>
      <c r="AZ270" s="2">
        <v>0.0</v>
      </c>
      <c r="BA270" s="2">
        <v>0.0</v>
      </c>
      <c r="BB270" s="2">
        <v>34.0</v>
      </c>
      <c r="BC270" s="2">
        <v>5.0</v>
      </c>
      <c r="BD270" s="2">
        <v>47.0</v>
      </c>
      <c r="BE270" s="2">
        <v>7.0</v>
      </c>
      <c r="BF270" s="2">
        <v>26.0</v>
      </c>
      <c r="BG270" s="2">
        <v>1.0</v>
      </c>
      <c r="BH270" s="2">
        <v>2.0</v>
      </c>
      <c r="BI270" s="2">
        <v>14.0</v>
      </c>
      <c r="BJ270" s="2">
        <v>3.0</v>
      </c>
      <c r="BK270" s="2">
        <v>0.0</v>
      </c>
      <c r="BL270" s="2">
        <v>0.0</v>
      </c>
      <c r="BM270" s="2">
        <v>2.0</v>
      </c>
      <c r="BN270" s="2">
        <v>0.0</v>
      </c>
      <c r="BO270" s="2">
        <v>0.0</v>
      </c>
      <c r="BP270" s="2">
        <v>0.0</v>
      </c>
      <c r="BQ270" s="2">
        <v>0.0</v>
      </c>
      <c r="BR270" s="2">
        <v>0.0</v>
      </c>
      <c r="BS270" s="2">
        <v>0.0</v>
      </c>
      <c r="BT270" s="2">
        <v>1.0</v>
      </c>
      <c r="BU270" s="2">
        <v>-4.0</v>
      </c>
      <c r="BV270" s="2">
        <v>0.0</v>
      </c>
      <c r="BW270" s="2">
        <v>5.0</v>
      </c>
      <c r="BX270" s="2">
        <v>23.0</v>
      </c>
      <c r="BY270" s="2">
        <v>3.0</v>
      </c>
      <c r="BZ270" s="2">
        <v>0.0</v>
      </c>
      <c r="CA270" s="2">
        <v>0.0</v>
      </c>
      <c r="CB270" s="2">
        <v>0.0</v>
      </c>
      <c r="CC270" s="2">
        <v>0.0</v>
      </c>
      <c r="CD270" s="2">
        <v>0.0</v>
      </c>
      <c r="CE270" s="2">
        <v>0.0</v>
      </c>
      <c r="CF270" s="2">
        <v>0.0</v>
      </c>
      <c r="CG270" s="2">
        <v>7.0</v>
      </c>
      <c r="CH270" s="2">
        <v>191.0</v>
      </c>
      <c r="CI270" s="2">
        <v>1.0</v>
      </c>
      <c r="CJ270" s="2">
        <v>2.0</v>
      </c>
      <c r="CK270" s="2">
        <v>1.0</v>
      </c>
      <c r="CL270" s="2">
        <v>0.0</v>
      </c>
      <c r="CM270" s="2">
        <v>22.0</v>
      </c>
      <c r="CN270" s="2">
        <v>0.5</v>
      </c>
      <c r="CO270" s="2">
        <v>0.0</v>
      </c>
      <c r="CP270" s="2">
        <v>1.0</v>
      </c>
      <c r="CQ270" s="2">
        <v>0.0</v>
      </c>
      <c r="CR270" s="2">
        <v>0.0</v>
      </c>
      <c r="CS270" s="2">
        <v>0.0</v>
      </c>
      <c r="CT270" s="2">
        <v>0.0</v>
      </c>
      <c r="CU270" s="2">
        <v>0.0</v>
      </c>
      <c r="CV270" s="2">
        <v>0.0</v>
      </c>
      <c r="CW270" s="2">
        <v>0.0</v>
      </c>
      <c r="CX270" s="2">
        <v>1.0</v>
      </c>
      <c r="CY270" s="2">
        <v>0.0</v>
      </c>
      <c r="CZ270" s="2">
        <v>0.0</v>
      </c>
      <c r="DA270" s="2" t="s">
        <v>2057</v>
      </c>
      <c r="DB270" s="2" t="s">
        <v>1969</v>
      </c>
      <c r="DD270" s="2">
        <v>22.0</v>
      </c>
      <c r="DE270" s="2">
        <v>45.0</v>
      </c>
      <c r="DF270" s="2">
        <v>0.0</v>
      </c>
      <c r="DG270" s="2">
        <v>3.0</v>
      </c>
      <c r="DH270" s="2">
        <v>3.0</v>
      </c>
      <c r="DI270" s="2">
        <v>0.0</v>
      </c>
      <c r="DJ270" s="2">
        <v>0.0</v>
      </c>
      <c r="DK270" s="2">
        <v>1.0</v>
      </c>
      <c r="DL270" s="2">
        <v>0.0</v>
      </c>
      <c r="DM270" s="2">
        <v>0.0</v>
      </c>
      <c r="DN270" s="2">
        <v>0.0</v>
      </c>
      <c r="DO270" s="2">
        <v>0.0</v>
      </c>
      <c r="DP270" s="2">
        <v>0.0</v>
      </c>
      <c r="DQ270" s="2">
        <v>5.0</v>
      </c>
      <c r="DR270" s="2">
        <v>0.0</v>
      </c>
      <c r="DS270" s="2">
        <v>60.0</v>
      </c>
      <c r="DT270" s="2">
        <v>233.0</v>
      </c>
      <c r="DU270" s="2">
        <v>1.0</v>
      </c>
      <c r="DV270" s="2">
        <v>0.0</v>
      </c>
      <c r="DW270" s="2">
        <v>0.0</v>
      </c>
      <c r="DX270" s="2">
        <v>1.0</v>
      </c>
      <c r="DY270" s="2">
        <v>1.0</v>
      </c>
      <c r="DZ270" s="2">
        <v>3.0</v>
      </c>
      <c r="EA270" s="2">
        <v>34.0</v>
      </c>
      <c r="EB270" s="2">
        <v>0.0</v>
      </c>
      <c r="EC270" s="2">
        <v>179.0</v>
      </c>
      <c r="EE270" s="2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2">
        <v>2025.0</v>
      </c>
      <c r="B271" s="2">
        <v>9.0</v>
      </c>
      <c r="C271" s="2" t="s">
        <v>242</v>
      </c>
      <c r="D271" s="2" t="s">
        <v>390</v>
      </c>
      <c r="E271" s="2" t="s">
        <v>863</v>
      </c>
      <c r="F271" s="2" t="s">
        <v>210</v>
      </c>
      <c r="G271" s="2">
        <v>25.0</v>
      </c>
      <c r="H271" s="2">
        <v>35.0</v>
      </c>
      <c r="I271" s="2">
        <v>203.0</v>
      </c>
      <c r="J271" s="2">
        <v>1.0</v>
      </c>
      <c r="K271" s="2">
        <v>0.0</v>
      </c>
      <c r="L271" s="2">
        <v>3.0</v>
      </c>
      <c r="M271" s="2">
        <v>-16.0</v>
      </c>
      <c r="N271" s="2">
        <v>0.0</v>
      </c>
      <c r="O271" s="2">
        <v>0.0</v>
      </c>
      <c r="P271" s="2">
        <v>103.0</v>
      </c>
      <c r="Q271" s="2">
        <v>148.0</v>
      </c>
      <c r="R271" s="2">
        <v>10.0</v>
      </c>
      <c r="S271" s="2">
        <v>0.0109541692459927</v>
      </c>
      <c r="T271" s="2">
        <v>-2.64782224382673</v>
      </c>
      <c r="U271" s="2">
        <v>0.0</v>
      </c>
      <c r="V271" s="2">
        <v>10.0</v>
      </c>
      <c r="W271" s="2">
        <v>2.0</v>
      </c>
      <c r="X271" s="2">
        <v>0.0</v>
      </c>
      <c r="Y271" s="2">
        <v>0.0</v>
      </c>
      <c r="Z271" s="2">
        <v>23.0</v>
      </c>
      <c r="AA271" s="2">
        <v>38.0</v>
      </c>
      <c r="AB271" s="2">
        <v>2.0</v>
      </c>
      <c r="AC271" s="2">
        <v>0.0</v>
      </c>
      <c r="AD271" s="2">
        <v>0.0</v>
      </c>
      <c r="AE271" s="2">
        <v>5.0</v>
      </c>
      <c r="AF271" s="2">
        <v>-3.52358775853645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25.0</v>
      </c>
      <c r="AM271" s="2">
        <v>35.0</v>
      </c>
      <c r="AN271" s="2">
        <v>203.0</v>
      </c>
      <c r="AO271" s="2">
        <v>1.0</v>
      </c>
      <c r="AP271" s="2">
        <v>1.0</v>
      </c>
      <c r="AQ271" s="2">
        <v>1.0</v>
      </c>
      <c r="AR271" s="2">
        <v>103.0</v>
      </c>
      <c r="AS271" s="2">
        <v>148.0</v>
      </c>
      <c r="AT271" s="2">
        <v>10.0</v>
      </c>
      <c r="AU271" s="2">
        <v>0.0633970681034</v>
      </c>
      <c r="AV271" s="2">
        <v>0.0</v>
      </c>
      <c r="AW271" s="2">
        <v>10.0</v>
      </c>
      <c r="AX271" s="2">
        <v>2.0</v>
      </c>
      <c r="AY271" s="2">
        <v>0.0</v>
      </c>
      <c r="AZ271" s="2">
        <v>0.0</v>
      </c>
      <c r="BA271" s="2">
        <v>0.0</v>
      </c>
      <c r="BB271" s="2">
        <v>40.0</v>
      </c>
      <c r="BC271" s="2">
        <v>2.0</v>
      </c>
      <c r="BD271" s="2">
        <v>32.0</v>
      </c>
      <c r="BE271" s="2">
        <v>5.0</v>
      </c>
      <c r="BF271" s="2">
        <v>30.0</v>
      </c>
      <c r="BG271" s="2">
        <v>3.0</v>
      </c>
      <c r="BH271" s="2">
        <v>5.0</v>
      </c>
      <c r="BI271" s="2">
        <v>29.0</v>
      </c>
      <c r="BJ271" s="2">
        <v>6.0</v>
      </c>
      <c r="BK271" s="2">
        <v>3.0</v>
      </c>
      <c r="BL271" s="2">
        <v>21.0</v>
      </c>
      <c r="BM271" s="2">
        <v>13.0</v>
      </c>
      <c r="BN271" s="2">
        <v>0.0</v>
      </c>
      <c r="BO271" s="2">
        <v>0.0</v>
      </c>
      <c r="BP271" s="2">
        <v>0.0</v>
      </c>
      <c r="BQ271" s="2">
        <v>0.0</v>
      </c>
      <c r="BR271" s="2">
        <v>0.0</v>
      </c>
      <c r="BS271" s="2">
        <v>0.0</v>
      </c>
      <c r="BT271" s="2">
        <v>3.0</v>
      </c>
      <c r="BU271" s="2">
        <v>0.0</v>
      </c>
      <c r="BV271" s="2">
        <v>0.0</v>
      </c>
      <c r="BW271" s="2">
        <v>8.0</v>
      </c>
      <c r="BX271" s="2">
        <v>46.0</v>
      </c>
      <c r="BY271" s="2">
        <v>3.0</v>
      </c>
      <c r="BZ271" s="2">
        <v>1.0</v>
      </c>
      <c r="CA271" s="2">
        <v>0.0</v>
      </c>
      <c r="CB271" s="2">
        <v>0.0</v>
      </c>
      <c r="CC271" s="2">
        <v>1.0</v>
      </c>
      <c r="CD271" s="2">
        <v>1.0</v>
      </c>
      <c r="CE271" s="2">
        <v>2.0</v>
      </c>
      <c r="CF271" s="2">
        <v>23.0</v>
      </c>
      <c r="CG271" s="2">
        <v>3.0</v>
      </c>
      <c r="CH271" s="2">
        <v>74.0</v>
      </c>
      <c r="CI271" s="2">
        <v>2.0</v>
      </c>
      <c r="CJ271" s="2">
        <v>2.0</v>
      </c>
      <c r="CK271" s="2">
        <v>0.0</v>
      </c>
      <c r="CL271" s="2">
        <v>0.0</v>
      </c>
      <c r="CM271" s="2">
        <v>46.0</v>
      </c>
      <c r="CN271" s="2">
        <v>1.0</v>
      </c>
      <c r="CO271" s="2">
        <v>0.0</v>
      </c>
      <c r="CP271" s="2">
        <v>1.0</v>
      </c>
      <c r="CQ271" s="2">
        <v>0.0</v>
      </c>
      <c r="CR271" s="2">
        <v>1.0</v>
      </c>
      <c r="CS271" s="2">
        <v>0.0</v>
      </c>
      <c r="CT271" s="2">
        <v>0.0</v>
      </c>
      <c r="CU271" s="2">
        <v>0.0</v>
      </c>
      <c r="CV271" s="2">
        <v>0.0</v>
      </c>
      <c r="CW271" s="2">
        <v>0.0</v>
      </c>
      <c r="CX271" s="2">
        <v>0.0</v>
      </c>
      <c r="CY271" s="2">
        <v>0.0</v>
      </c>
      <c r="CZ271" s="2">
        <v>0.0</v>
      </c>
      <c r="DA271" s="2" t="s">
        <v>2145</v>
      </c>
      <c r="DD271" s="2">
        <v>71.0</v>
      </c>
      <c r="DE271" s="2">
        <v>0.0</v>
      </c>
      <c r="DF271" s="2">
        <v>0.0</v>
      </c>
      <c r="DG271" s="2">
        <v>3.0</v>
      </c>
      <c r="DH271" s="2">
        <v>3.0</v>
      </c>
      <c r="DI271" s="2">
        <v>0.0</v>
      </c>
      <c r="DJ271" s="2">
        <v>0.0</v>
      </c>
      <c r="DK271" s="2">
        <v>1.0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5.0</v>
      </c>
      <c r="DR271" s="2">
        <v>0.0</v>
      </c>
      <c r="DS271" s="2">
        <v>67.0</v>
      </c>
      <c r="DT271" s="2">
        <v>252.0</v>
      </c>
      <c r="DU271" s="2">
        <v>2.0</v>
      </c>
      <c r="DV271" s="2">
        <v>0.0</v>
      </c>
      <c r="DW271" s="2">
        <v>1.0</v>
      </c>
      <c r="DX271" s="2">
        <v>0.0</v>
      </c>
      <c r="DY271" s="2">
        <v>1.0</v>
      </c>
      <c r="DZ271" s="2">
        <v>3.0</v>
      </c>
      <c r="EA271" s="2">
        <v>23.0</v>
      </c>
      <c r="EB271" s="2">
        <v>0.0</v>
      </c>
      <c r="EC271" s="2">
        <v>229.0</v>
      </c>
      <c r="EE271" s="2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2">
        <v>2025.0</v>
      </c>
      <c r="B272" s="2">
        <v>9.0</v>
      </c>
      <c r="C272" s="2" t="s">
        <v>149</v>
      </c>
      <c r="D272" s="2" t="s">
        <v>390</v>
      </c>
      <c r="E272" s="2" t="s">
        <v>874</v>
      </c>
      <c r="F272" s="2" t="s">
        <v>253</v>
      </c>
      <c r="G272" s="2">
        <v>21.0</v>
      </c>
      <c r="H272" s="2">
        <v>24.0</v>
      </c>
      <c r="I272" s="2">
        <v>330.0</v>
      </c>
      <c r="J272" s="2">
        <v>4.0</v>
      </c>
      <c r="K272" s="2">
        <v>1.0</v>
      </c>
      <c r="L272" s="2">
        <v>0.0</v>
      </c>
      <c r="M272" s="2">
        <v>0.0</v>
      </c>
      <c r="N272" s="2">
        <v>0.0</v>
      </c>
      <c r="O272" s="2">
        <v>0.0</v>
      </c>
      <c r="P272" s="2">
        <v>207.0</v>
      </c>
      <c r="Q272" s="2">
        <v>145.0</v>
      </c>
      <c r="R272" s="2">
        <v>13.0</v>
      </c>
      <c r="S272" s="2">
        <v>22.447935086084</v>
      </c>
      <c r="T272" s="2">
        <v>23.5387157648802</v>
      </c>
      <c r="U272" s="2">
        <v>0.0</v>
      </c>
      <c r="V272" s="2">
        <v>13.0</v>
      </c>
      <c r="W272" s="2">
        <v>8.0</v>
      </c>
      <c r="X272" s="2">
        <v>7.0</v>
      </c>
      <c r="Y272" s="2">
        <v>1.0</v>
      </c>
      <c r="Z272" s="2">
        <v>24.0</v>
      </c>
      <c r="AA272" s="2">
        <v>88.0</v>
      </c>
      <c r="AB272" s="2">
        <v>1.0</v>
      </c>
      <c r="AC272" s="2">
        <v>0.0</v>
      </c>
      <c r="AD272" s="2">
        <v>0.0</v>
      </c>
      <c r="AE272" s="2">
        <v>5.0</v>
      </c>
      <c r="AF272" s="2">
        <v>-0.923984005057719</v>
      </c>
      <c r="AG272" s="2">
        <v>0.0</v>
      </c>
      <c r="AH272" s="2">
        <v>3.0</v>
      </c>
      <c r="AI272" s="2">
        <v>1.0</v>
      </c>
      <c r="AJ272" s="2">
        <v>0.0</v>
      </c>
      <c r="AK272" s="2">
        <v>0.0</v>
      </c>
      <c r="AL272" s="2">
        <v>21.0</v>
      </c>
      <c r="AM272" s="2">
        <v>24.0</v>
      </c>
      <c r="AN272" s="2">
        <v>330.0</v>
      </c>
      <c r="AO272" s="2">
        <v>4.0</v>
      </c>
      <c r="AP272" s="2">
        <v>1.0</v>
      </c>
      <c r="AQ272" s="2">
        <v>0.0</v>
      </c>
      <c r="AR272" s="2">
        <v>207.0</v>
      </c>
      <c r="AS272" s="2">
        <v>145.0</v>
      </c>
      <c r="AT272" s="2">
        <v>13.0</v>
      </c>
      <c r="AU272" s="2">
        <v>22.447935086084</v>
      </c>
      <c r="AV272" s="2">
        <v>0.0</v>
      </c>
      <c r="AW272" s="2">
        <v>13.0</v>
      </c>
      <c r="AX272" s="2">
        <v>8.0</v>
      </c>
      <c r="AY272" s="2">
        <v>7.0</v>
      </c>
      <c r="AZ272" s="2">
        <v>1.0</v>
      </c>
      <c r="BA272" s="2">
        <v>0.0</v>
      </c>
      <c r="BB272" s="2">
        <v>30.0</v>
      </c>
      <c r="BC272" s="2">
        <v>2.0</v>
      </c>
      <c r="BD272" s="2">
        <v>56.0</v>
      </c>
      <c r="BE272" s="2">
        <v>5.0</v>
      </c>
      <c r="BF272" s="2">
        <v>12.0</v>
      </c>
      <c r="BG272" s="2">
        <v>1.0</v>
      </c>
      <c r="BH272" s="2">
        <v>4.0</v>
      </c>
      <c r="BI272" s="2">
        <v>20.0</v>
      </c>
      <c r="BJ272" s="2">
        <v>7.0</v>
      </c>
      <c r="BK272" s="2">
        <v>1.0</v>
      </c>
      <c r="BL272" s="2">
        <v>0.0</v>
      </c>
      <c r="BM272" s="2">
        <v>3.0</v>
      </c>
      <c r="BN272" s="2">
        <v>0.0</v>
      </c>
      <c r="BO272" s="2">
        <v>0.0</v>
      </c>
      <c r="BP272" s="2">
        <v>0.0</v>
      </c>
      <c r="BQ272" s="2">
        <v>0.0</v>
      </c>
      <c r="BR272" s="2">
        <v>1.0</v>
      </c>
      <c r="BS272" s="2">
        <v>0.0</v>
      </c>
      <c r="BT272" s="2">
        <v>1.0</v>
      </c>
      <c r="BU272" s="2">
        <v>0.0</v>
      </c>
      <c r="BV272" s="2">
        <v>0.0</v>
      </c>
      <c r="BW272" s="2">
        <v>5.0</v>
      </c>
      <c r="BX272" s="2">
        <v>44.0</v>
      </c>
      <c r="BY272" s="2">
        <v>4.0</v>
      </c>
      <c r="BZ272" s="2">
        <v>1.0</v>
      </c>
      <c r="CA272" s="2">
        <v>0.0</v>
      </c>
      <c r="CB272" s="2">
        <v>0.0</v>
      </c>
      <c r="CC272" s="2">
        <v>1.0</v>
      </c>
      <c r="CD272" s="2">
        <v>0.0</v>
      </c>
      <c r="CE272" s="2">
        <v>0.0</v>
      </c>
      <c r="CF272" s="2">
        <v>0.0</v>
      </c>
      <c r="CG272" s="2">
        <v>3.0</v>
      </c>
      <c r="CH272" s="2">
        <v>58.0</v>
      </c>
      <c r="CI272" s="2">
        <v>1.0</v>
      </c>
      <c r="CJ272" s="2">
        <v>1.0</v>
      </c>
      <c r="CK272" s="2">
        <v>0.0</v>
      </c>
      <c r="CL272" s="2">
        <v>0.0</v>
      </c>
      <c r="CM272" s="2">
        <v>41.0</v>
      </c>
      <c r="CN272" s="2">
        <v>1.0</v>
      </c>
      <c r="CO272" s="2">
        <v>0.0</v>
      </c>
      <c r="CP272" s="2">
        <v>0.0</v>
      </c>
      <c r="CQ272" s="2">
        <v>0.0</v>
      </c>
      <c r="CR272" s="2">
        <v>1.0</v>
      </c>
      <c r="CS272" s="2">
        <v>0.0</v>
      </c>
      <c r="CT272" s="2">
        <v>0.0</v>
      </c>
      <c r="CU272" s="2">
        <v>0.0</v>
      </c>
      <c r="CV272" s="2">
        <v>0.0</v>
      </c>
      <c r="CW272" s="2">
        <v>0.0</v>
      </c>
      <c r="CX272" s="2">
        <v>0.0</v>
      </c>
      <c r="CY272" s="2">
        <v>0.0</v>
      </c>
      <c r="CZ272" s="2">
        <v>0.0</v>
      </c>
      <c r="DA272" s="2" t="s">
        <v>2025</v>
      </c>
      <c r="DD272" s="2">
        <v>41.0</v>
      </c>
      <c r="DE272" s="2">
        <v>0.0</v>
      </c>
      <c r="DF272" s="2">
        <v>0.0</v>
      </c>
      <c r="DG272" s="2">
        <v>5.0</v>
      </c>
      <c r="DH272" s="2">
        <v>5.0</v>
      </c>
      <c r="DI272" s="2">
        <v>0.0</v>
      </c>
      <c r="DJ272" s="2">
        <v>0.0</v>
      </c>
      <c r="DK272" s="2">
        <v>1.0</v>
      </c>
      <c r="DL272" s="2">
        <v>0.0</v>
      </c>
      <c r="DM272" s="2">
        <v>0.0</v>
      </c>
      <c r="DN272" s="2">
        <v>0.0</v>
      </c>
      <c r="DO272" s="2">
        <v>0.0</v>
      </c>
      <c r="DP272" s="2">
        <v>0.0</v>
      </c>
      <c r="DQ272" s="2">
        <v>3.0</v>
      </c>
      <c r="DR272" s="2">
        <v>0.0</v>
      </c>
      <c r="DS272" s="2">
        <v>58.0</v>
      </c>
      <c r="DT272" s="2">
        <v>155.0</v>
      </c>
      <c r="DU272" s="2">
        <v>1.0</v>
      </c>
      <c r="DV272" s="2">
        <v>0.0</v>
      </c>
      <c r="DW272" s="2">
        <v>0.0</v>
      </c>
      <c r="DX272" s="2">
        <v>0.0</v>
      </c>
      <c r="DY272" s="2">
        <v>1.0</v>
      </c>
      <c r="DZ272" s="2">
        <v>2.0</v>
      </c>
      <c r="EA272" s="2">
        <v>15.0</v>
      </c>
      <c r="EB272" s="2">
        <v>0.0</v>
      </c>
      <c r="EC272" s="2">
        <v>140.0</v>
      </c>
      <c r="EE272" s="2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2">
        <v>2025.0</v>
      </c>
      <c r="B273" s="2">
        <v>9.0</v>
      </c>
      <c r="C273" s="2" t="s">
        <v>246</v>
      </c>
      <c r="D273" s="2" t="s">
        <v>390</v>
      </c>
      <c r="E273" s="2" t="s">
        <v>861</v>
      </c>
      <c r="F273" s="2" t="s">
        <v>235</v>
      </c>
      <c r="G273" s="2">
        <v>19.0</v>
      </c>
      <c r="H273" s="2">
        <v>24.0</v>
      </c>
      <c r="I273" s="2">
        <v>235.0</v>
      </c>
      <c r="J273" s="2">
        <v>2.0</v>
      </c>
      <c r="K273" s="2">
        <v>0.0</v>
      </c>
      <c r="L273" s="2">
        <v>2.0</v>
      </c>
      <c r="M273" s="2">
        <v>-14.0</v>
      </c>
      <c r="N273" s="2">
        <v>1.0</v>
      </c>
      <c r="O273" s="2">
        <v>1.0</v>
      </c>
      <c r="P273" s="2">
        <v>160.0</v>
      </c>
      <c r="Q273" s="2">
        <v>112.0</v>
      </c>
      <c r="R273" s="2">
        <v>13.0</v>
      </c>
      <c r="S273" s="2">
        <v>13.4907009531857</v>
      </c>
      <c r="T273" s="2">
        <v>12.0277166366577</v>
      </c>
      <c r="U273" s="2">
        <v>0.0</v>
      </c>
      <c r="V273" s="2">
        <v>11.0</v>
      </c>
      <c r="W273" s="2">
        <v>5.0</v>
      </c>
      <c r="X273" s="2">
        <v>4.0</v>
      </c>
      <c r="Y273" s="2">
        <v>0.0</v>
      </c>
      <c r="Z273" s="2">
        <v>39.0</v>
      </c>
      <c r="AA273" s="2">
        <v>159.0</v>
      </c>
      <c r="AB273" s="2">
        <v>2.0</v>
      </c>
      <c r="AC273" s="2">
        <v>0.0</v>
      </c>
      <c r="AD273" s="2">
        <v>0.0</v>
      </c>
      <c r="AE273" s="2">
        <v>10.0</v>
      </c>
      <c r="AF273" s="2">
        <v>4.97246976243332</v>
      </c>
      <c r="AG273" s="2">
        <v>0.0</v>
      </c>
      <c r="AH273" s="2">
        <v>6.0</v>
      </c>
      <c r="AI273" s="2">
        <v>4.0</v>
      </c>
      <c r="AJ273" s="2">
        <v>0.0</v>
      </c>
      <c r="AK273" s="2">
        <v>0.0</v>
      </c>
      <c r="AL273" s="2">
        <v>19.0</v>
      </c>
      <c r="AM273" s="2">
        <v>23.0</v>
      </c>
      <c r="AN273" s="2">
        <v>235.0</v>
      </c>
      <c r="AO273" s="2">
        <v>2.0</v>
      </c>
      <c r="AP273" s="2">
        <v>0.0</v>
      </c>
      <c r="AQ273" s="2">
        <v>0.0</v>
      </c>
      <c r="AR273" s="2">
        <v>160.0</v>
      </c>
      <c r="AS273" s="2">
        <v>112.0</v>
      </c>
      <c r="AT273" s="2">
        <v>13.0</v>
      </c>
      <c r="AU273" s="2">
        <v>17.5405645645919</v>
      </c>
      <c r="AV273" s="2">
        <v>0.0</v>
      </c>
      <c r="AW273" s="2">
        <v>11.0</v>
      </c>
      <c r="AX273" s="2">
        <v>5.0</v>
      </c>
      <c r="AY273" s="2">
        <v>4.0</v>
      </c>
      <c r="AZ273" s="2">
        <v>0.0</v>
      </c>
      <c r="BA273" s="2">
        <v>0.0</v>
      </c>
      <c r="BB273" s="2">
        <v>34.0</v>
      </c>
      <c r="BC273" s="2">
        <v>1.0</v>
      </c>
      <c r="BD273" s="2">
        <v>35.0</v>
      </c>
      <c r="BE273" s="2">
        <v>3.0</v>
      </c>
      <c r="BF273" s="2">
        <v>14.0</v>
      </c>
      <c r="BG273" s="2">
        <v>0.0</v>
      </c>
      <c r="BH273" s="2">
        <v>2.0</v>
      </c>
      <c r="BI273" s="2">
        <v>12.0</v>
      </c>
      <c r="BJ273" s="2">
        <v>3.0</v>
      </c>
      <c r="BK273" s="2">
        <v>0.0</v>
      </c>
      <c r="BL273" s="2">
        <v>0.0</v>
      </c>
      <c r="BM273" s="2">
        <v>4.0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6.0</v>
      </c>
      <c r="BX273" s="2">
        <v>34.0</v>
      </c>
      <c r="BY273" s="2">
        <v>4.0</v>
      </c>
      <c r="BZ273" s="2">
        <v>1.0</v>
      </c>
      <c r="CA273" s="2">
        <v>0.0</v>
      </c>
      <c r="CB273" s="2">
        <v>0.0</v>
      </c>
      <c r="CC273" s="2">
        <v>1.0</v>
      </c>
      <c r="CD273" s="2">
        <v>1.0</v>
      </c>
      <c r="CE273" s="2">
        <v>3.0</v>
      </c>
      <c r="CF273" s="2">
        <v>34.0</v>
      </c>
      <c r="CG273" s="2">
        <v>3.0</v>
      </c>
      <c r="CH273" s="2">
        <v>92.0</v>
      </c>
      <c r="CI273" s="2">
        <v>2.0</v>
      </c>
      <c r="CJ273" s="2">
        <v>2.0</v>
      </c>
      <c r="CK273" s="2">
        <v>0.0</v>
      </c>
      <c r="CL273" s="2">
        <v>0.0</v>
      </c>
      <c r="CM273" s="2">
        <v>54.0</v>
      </c>
      <c r="CN273" s="2">
        <v>1.0</v>
      </c>
      <c r="CO273" s="2">
        <v>0.0</v>
      </c>
      <c r="CP273" s="2">
        <v>0.0</v>
      </c>
      <c r="CQ273" s="2">
        <v>1.0</v>
      </c>
      <c r="CR273" s="2">
        <v>0.0</v>
      </c>
      <c r="CS273" s="2">
        <v>1.0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 t="s">
        <v>2146</v>
      </c>
      <c r="DD273" s="2">
        <v>87.0</v>
      </c>
      <c r="DE273" s="2">
        <v>0.0</v>
      </c>
      <c r="DF273" s="2">
        <v>0.0</v>
      </c>
      <c r="DG273" s="2">
        <v>4.0</v>
      </c>
      <c r="DH273" s="2">
        <v>4.0</v>
      </c>
      <c r="DI273" s="2">
        <v>0.0</v>
      </c>
      <c r="DJ273" s="2">
        <v>0.0</v>
      </c>
      <c r="DK273" s="2">
        <v>1.0</v>
      </c>
      <c r="DL273" s="2">
        <v>0.0</v>
      </c>
      <c r="DM273" s="2">
        <v>0.0</v>
      </c>
      <c r="DN273" s="2">
        <v>0.0</v>
      </c>
      <c r="DO273" s="2">
        <v>0.0</v>
      </c>
      <c r="DP273" s="2">
        <v>0.0</v>
      </c>
      <c r="DQ273" s="2">
        <v>2.0</v>
      </c>
      <c r="DR273" s="2">
        <v>0.0</v>
      </c>
      <c r="DS273" s="2">
        <v>50.0</v>
      </c>
      <c r="DT273" s="2">
        <v>87.0</v>
      </c>
      <c r="DU273" s="2">
        <v>1.0</v>
      </c>
      <c r="DV273" s="2">
        <v>0.0</v>
      </c>
      <c r="DW273" s="2">
        <v>1.0</v>
      </c>
      <c r="DX273" s="2">
        <v>0.0</v>
      </c>
      <c r="DY273" s="2">
        <v>1.0</v>
      </c>
      <c r="DZ273" s="2">
        <v>0.0</v>
      </c>
      <c r="EA273" s="2">
        <v>0.0</v>
      </c>
      <c r="EB273" s="2">
        <v>0.0</v>
      </c>
      <c r="EC273" s="2">
        <v>87.0</v>
      </c>
      <c r="EE273" s="2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2">
        <v>2025.0</v>
      </c>
      <c r="B274" s="2">
        <v>9.0</v>
      </c>
      <c r="C274" s="2" t="s">
        <v>250</v>
      </c>
      <c r="D274" s="2" t="s">
        <v>390</v>
      </c>
      <c r="E274" s="2" t="s">
        <v>865</v>
      </c>
      <c r="F274" s="2" t="s">
        <v>220</v>
      </c>
      <c r="G274" s="2">
        <v>12.0</v>
      </c>
      <c r="H274" s="2">
        <v>21.0</v>
      </c>
      <c r="I274" s="2">
        <v>145.0</v>
      </c>
      <c r="J274" s="2">
        <v>0.0</v>
      </c>
      <c r="K274" s="2">
        <v>0.0</v>
      </c>
      <c r="L274" s="2">
        <v>4.0</v>
      </c>
      <c r="M274" s="2">
        <v>-27.0</v>
      </c>
      <c r="N274" s="2">
        <v>1.0</v>
      </c>
      <c r="O274" s="2">
        <v>0.0</v>
      </c>
      <c r="P274" s="2">
        <v>183.0</v>
      </c>
      <c r="Q274" s="2">
        <v>85.0</v>
      </c>
      <c r="R274" s="2">
        <v>7.0</v>
      </c>
      <c r="S274" s="2">
        <v>-1.69269068850554</v>
      </c>
      <c r="T274" s="2">
        <v>-11.7846615257717</v>
      </c>
      <c r="U274" s="2">
        <v>0.0</v>
      </c>
      <c r="V274" s="2">
        <v>6.0</v>
      </c>
      <c r="W274" s="2">
        <v>3.0</v>
      </c>
      <c r="X274" s="2">
        <v>3.0</v>
      </c>
      <c r="Y274" s="2">
        <v>0.0</v>
      </c>
      <c r="Z274" s="2">
        <v>19.0</v>
      </c>
      <c r="AA274" s="2">
        <v>88.0</v>
      </c>
      <c r="AB274" s="2">
        <v>0.0</v>
      </c>
      <c r="AC274" s="2">
        <v>1.0</v>
      </c>
      <c r="AD274" s="2">
        <v>0.0</v>
      </c>
      <c r="AE274" s="2">
        <v>3.0</v>
      </c>
      <c r="AF274" s="2">
        <v>-6.10583594875809</v>
      </c>
      <c r="AG274" s="2">
        <v>0.0</v>
      </c>
      <c r="AH274" s="2">
        <v>4.0</v>
      </c>
      <c r="AI274" s="2">
        <v>2.0</v>
      </c>
      <c r="AJ274" s="2">
        <v>0.0</v>
      </c>
      <c r="AK274" s="2">
        <v>0.0</v>
      </c>
      <c r="AL274" s="2">
        <v>12.0</v>
      </c>
      <c r="AM274" s="2">
        <v>21.0</v>
      </c>
      <c r="AN274" s="2">
        <v>145.0</v>
      </c>
      <c r="AO274" s="2">
        <v>0.0</v>
      </c>
      <c r="AP274" s="2">
        <v>0.0</v>
      </c>
      <c r="AQ274" s="2">
        <v>0.0</v>
      </c>
      <c r="AR274" s="2">
        <v>183.0</v>
      </c>
      <c r="AS274" s="2">
        <v>85.0</v>
      </c>
      <c r="AT274" s="2">
        <v>7.0</v>
      </c>
      <c r="AU274" s="2">
        <v>3.40208592847921</v>
      </c>
      <c r="AV274" s="2">
        <v>0.0</v>
      </c>
      <c r="AW274" s="2">
        <v>6.0</v>
      </c>
      <c r="AX274" s="2">
        <v>3.0</v>
      </c>
      <c r="AY274" s="2">
        <v>3.0</v>
      </c>
      <c r="AZ274" s="2">
        <v>0.0</v>
      </c>
      <c r="BA274" s="2">
        <v>1.0</v>
      </c>
      <c r="BB274" s="2">
        <v>41.0</v>
      </c>
      <c r="BC274" s="2">
        <v>1.0</v>
      </c>
      <c r="BD274" s="2">
        <v>29.0</v>
      </c>
      <c r="BE274" s="2">
        <v>6.0</v>
      </c>
      <c r="BF274" s="2">
        <v>40.0</v>
      </c>
      <c r="BG274" s="2">
        <v>1.0</v>
      </c>
      <c r="BH274" s="2">
        <v>6.0</v>
      </c>
      <c r="BI274" s="2">
        <v>38.0</v>
      </c>
      <c r="BJ274" s="2">
        <v>11.0</v>
      </c>
      <c r="BK274" s="2">
        <v>1.0</v>
      </c>
      <c r="BL274" s="2">
        <v>24.0</v>
      </c>
      <c r="BM274" s="2">
        <v>4.0</v>
      </c>
      <c r="BN274" s="2">
        <v>1.0</v>
      </c>
      <c r="BO274" s="2">
        <v>0.0</v>
      </c>
      <c r="BP274" s="2">
        <v>0.0</v>
      </c>
      <c r="BQ274" s="2">
        <v>0.0</v>
      </c>
      <c r="BR274" s="2">
        <v>2.0</v>
      </c>
      <c r="BS274" s="2">
        <v>-2.0</v>
      </c>
      <c r="BT274" s="2">
        <v>0.0</v>
      </c>
      <c r="BU274" s="2">
        <v>0.0</v>
      </c>
      <c r="BV274" s="2">
        <v>0.0</v>
      </c>
      <c r="BW274" s="2">
        <v>7.0</v>
      </c>
      <c r="BX274" s="2">
        <v>60.0</v>
      </c>
      <c r="BY274" s="2">
        <v>3.0</v>
      </c>
      <c r="BZ274" s="2">
        <v>1.0</v>
      </c>
      <c r="CA274" s="2">
        <v>1.0</v>
      </c>
      <c r="CB274" s="2">
        <v>0.0</v>
      </c>
      <c r="CC274" s="2">
        <v>2.0</v>
      </c>
      <c r="CD274" s="2">
        <v>0.0</v>
      </c>
      <c r="CE274" s="2">
        <v>3.0</v>
      </c>
      <c r="CF274" s="2">
        <v>98.0</v>
      </c>
      <c r="CG274" s="2">
        <v>4.0</v>
      </c>
      <c r="CH274" s="2">
        <v>117.0</v>
      </c>
      <c r="CI274" s="2">
        <v>2.0</v>
      </c>
      <c r="CJ274" s="2">
        <v>2.0</v>
      </c>
      <c r="CK274" s="2">
        <v>0.0</v>
      </c>
      <c r="CL274" s="2">
        <v>0.0</v>
      </c>
      <c r="CM274" s="2">
        <v>49.0</v>
      </c>
      <c r="CN274" s="2">
        <v>1.0</v>
      </c>
      <c r="CO274" s="2">
        <v>0.0</v>
      </c>
      <c r="CP274" s="2">
        <v>0.0</v>
      </c>
      <c r="CQ274" s="2">
        <v>1.0</v>
      </c>
      <c r="CR274" s="2">
        <v>1.0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 t="s">
        <v>2147</v>
      </c>
      <c r="DD274" s="2">
        <v>86.0</v>
      </c>
      <c r="DE274" s="2">
        <v>0.0</v>
      </c>
      <c r="DF274" s="2">
        <v>0.0</v>
      </c>
      <c r="DG274" s="2">
        <v>2.0</v>
      </c>
      <c r="DH274" s="2">
        <v>2.0</v>
      </c>
      <c r="DI274" s="2">
        <v>0.0</v>
      </c>
      <c r="DJ274" s="2">
        <v>0.0</v>
      </c>
      <c r="DK274" s="2">
        <v>1.0</v>
      </c>
      <c r="DL274" s="2">
        <v>0.0</v>
      </c>
      <c r="DM274" s="2">
        <v>0.0</v>
      </c>
      <c r="DN274" s="2">
        <v>0.0</v>
      </c>
      <c r="DO274" s="2">
        <v>0.0</v>
      </c>
      <c r="DP274" s="2">
        <v>0.0</v>
      </c>
      <c r="DQ274" s="2">
        <v>5.0</v>
      </c>
      <c r="DR274" s="2">
        <v>0.0</v>
      </c>
      <c r="DS274" s="2">
        <v>41.0</v>
      </c>
      <c r="DT274" s="2">
        <v>187.0</v>
      </c>
      <c r="DU274" s="2">
        <v>2.0</v>
      </c>
      <c r="DV274" s="2">
        <v>0.0</v>
      </c>
      <c r="DW274" s="2">
        <v>0.0</v>
      </c>
      <c r="DX274" s="2">
        <v>0.0</v>
      </c>
      <c r="DY274" s="2">
        <v>3.0</v>
      </c>
      <c r="DZ274" s="2">
        <v>2.0</v>
      </c>
      <c r="EA274" s="2">
        <v>9.0</v>
      </c>
      <c r="EB274" s="2">
        <v>0.0</v>
      </c>
      <c r="EC274" s="2">
        <v>178.0</v>
      </c>
      <c r="EE274" s="2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2">
        <v>2025.0</v>
      </c>
      <c r="B275" s="2">
        <v>9.0</v>
      </c>
      <c r="C275" s="2" t="s">
        <v>253</v>
      </c>
      <c r="D275" s="2" t="s">
        <v>390</v>
      </c>
      <c r="E275" s="2" t="s">
        <v>874</v>
      </c>
      <c r="F275" s="2" t="s">
        <v>149</v>
      </c>
      <c r="G275" s="2">
        <v>16.0</v>
      </c>
      <c r="H275" s="2">
        <v>22.0</v>
      </c>
      <c r="I275" s="2">
        <v>153.0</v>
      </c>
      <c r="J275" s="2">
        <v>0.0</v>
      </c>
      <c r="K275" s="2">
        <v>1.0</v>
      </c>
      <c r="L275" s="2">
        <v>4.0</v>
      </c>
      <c r="M275" s="2">
        <v>-20.0</v>
      </c>
      <c r="N275" s="2">
        <v>0.0</v>
      </c>
      <c r="O275" s="2">
        <v>0.0</v>
      </c>
      <c r="P275" s="2">
        <v>125.0</v>
      </c>
      <c r="Q275" s="2">
        <v>71.0</v>
      </c>
      <c r="R275" s="2">
        <v>8.0</v>
      </c>
      <c r="S275" s="2">
        <v>-1.32997166473069</v>
      </c>
      <c r="T275" s="2">
        <v>4.00167065007346</v>
      </c>
      <c r="U275" s="2">
        <v>0.0</v>
      </c>
      <c r="V275" s="2">
        <v>6.0</v>
      </c>
      <c r="W275" s="2">
        <v>2.0</v>
      </c>
      <c r="X275" s="2">
        <v>1.0</v>
      </c>
      <c r="Y275" s="2">
        <v>0.0</v>
      </c>
      <c r="Z275" s="2">
        <v>36.0</v>
      </c>
      <c r="AA275" s="2">
        <v>157.0</v>
      </c>
      <c r="AB275" s="2">
        <v>2.0</v>
      </c>
      <c r="AC275" s="2">
        <v>0.0</v>
      </c>
      <c r="AD275" s="2">
        <v>0.0</v>
      </c>
      <c r="AE275" s="2">
        <v>9.0</v>
      </c>
      <c r="AF275" s="2">
        <v>0.110673513874644</v>
      </c>
      <c r="AG275" s="2">
        <v>0.0</v>
      </c>
      <c r="AH275" s="2">
        <v>3.0</v>
      </c>
      <c r="AI275" s="2">
        <v>2.0</v>
      </c>
      <c r="AJ275" s="2">
        <v>0.0</v>
      </c>
      <c r="AK275" s="2">
        <v>0.0</v>
      </c>
      <c r="AL275" s="2">
        <v>16.0</v>
      </c>
      <c r="AM275" s="2">
        <v>21.0</v>
      </c>
      <c r="AN275" s="2">
        <v>153.0</v>
      </c>
      <c r="AO275" s="2">
        <v>0.0</v>
      </c>
      <c r="AP275" s="2">
        <v>0.0</v>
      </c>
      <c r="AQ275" s="2">
        <v>0.0</v>
      </c>
      <c r="AR275" s="2">
        <v>125.0</v>
      </c>
      <c r="AS275" s="2">
        <v>71.0</v>
      </c>
      <c r="AT275" s="2">
        <v>8.0</v>
      </c>
      <c r="AU275" s="2">
        <v>6.08347543107811</v>
      </c>
      <c r="AV275" s="2">
        <v>0.0</v>
      </c>
      <c r="AW275" s="2">
        <v>6.0</v>
      </c>
      <c r="AX275" s="2">
        <v>2.0</v>
      </c>
      <c r="AY275" s="2">
        <v>1.0</v>
      </c>
      <c r="AZ275" s="2">
        <v>0.0</v>
      </c>
      <c r="BA275" s="2">
        <v>0.0</v>
      </c>
      <c r="BB275" s="2">
        <v>26.0</v>
      </c>
      <c r="BC275" s="2">
        <v>2.0</v>
      </c>
      <c r="BD275" s="2">
        <v>34.0</v>
      </c>
      <c r="BE275" s="2">
        <v>2.0</v>
      </c>
      <c r="BF275" s="2">
        <v>5.0</v>
      </c>
      <c r="BG275" s="2">
        <v>1.0</v>
      </c>
      <c r="BH275" s="2">
        <v>0.0</v>
      </c>
      <c r="BI275" s="2">
        <v>0.0</v>
      </c>
      <c r="BJ275" s="2">
        <v>1.0</v>
      </c>
      <c r="BK275" s="2">
        <v>1.0</v>
      </c>
      <c r="BL275" s="2">
        <v>0.0</v>
      </c>
      <c r="BM275" s="2">
        <v>3.0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8.0</v>
      </c>
      <c r="BX275" s="2">
        <v>87.0</v>
      </c>
      <c r="BY275" s="2">
        <v>2.0</v>
      </c>
      <c r="BZ275" s="2">
        <v>1.0</v>
      </c>
      <c r="CA275" s="2">
        <v>0.0</v>
      </c>
      <c r="CB275" s="2">
        <v>0.0</v>
      </c>
      <c r="CC275" s="2">
        <v>1.0</v>
      </c>
      <c r="CD275" s="2">
        <v>1.0</v>
      </c>
      <c r="CE275" s="2">
        <v>2.0</v>
      </c>
      <c r="CF275" s="2">
        <v>15.0</v>
      </c>
      <c r="CG275" s="2">
        <v>3.0</v>
      </c>
      <c r="CH275" s="2">
        <v>75.0</v>
      </c>
      <c r="CI275" s="2">
        <v>0.0</v>
      </c>
      <c r="CJ275" s="2">
        <v>0.0</v>
      </c>
      <c r="CK275" s="2">
        <v>0.0</v>
      </c>
      <c r="CL275" s="2">
        <v>0.0</v>
      </c>
      <c r="CO275" s="2">
        <v>0.0</v>
      </c>
      <c r="CP275" s="2">
        <v>0.0</v>
      </c>
      <c r="CQ275" s="2">
        <v>0.0</v>
      </c>
      <c r="CR275" s="2">
        <v>0.0</v>
      </c>
      <c r="CS275" s="2">
        <v>0.0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D275" s="2">
        <v>0.0</v>
      </c>
      <c r="DE275" s="2">
        <v>0.0</v>
      </c>
      <c r="DF275" s="2">
        <v>0.0</v>
      </c>
      <c r="DG275" s="2">
        <v>2.0</v>
      </c>
      <c r="DH275" s="2">
        <v>2.0</v>
      </c>
      <c r="DI275" s="2">
        <v>0.0</v>
      </c>
      <c r="DJ275" s="2">
        <v>0.0</v>
      </c>
      <c r="DK275" s="2">
        <v>1.0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4.0</v>
      </c>
      <c r="DR275" s="2">
        <v>0.0</v>
      </c>
      <c r="DS275" s="2">
        <v>63.0</v>
      </c>
      <c r="DT275" s="2">
        <v>191.0</v>
      </c>
      <c r="DU275" s="2">
        <v>4.0</v>
      </c>
      <c r="DV275" s="2">
        <v>0.0</v>
      </c>
      <c r="DW275" s="2">
        <v>1.0</v>
      </c>
      <c r="DX275" s="2">
        <v>0.0</v>
      </c>
      <c r="DY275" s="2">
        <v>3.0</v>
      </c>
      <c r="DZ275" s="2">
        <v>0.0</v>
      </c>
      <c r="EA275" s="2">
        <v>0.0</v>
      </c>
      <c r="EB275" s="2">
        <v>0.0</v>
      </c>
      <c r="EC275" s="2">
        <v>191.0</v>
      </c>
      <c r="EE275" s="2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2">
        <v>2025.0</v>
      </c>
      <c r="B276" s="2">
        <v>10.0</v>
      </c>
      <c r="C276" s="2" t="s">
        <v>178</v>
      </c>
      <c r="D276" s="2" t="s">
        <v>390</v>
      </c>
      <c r="E276" s="2" t="s">
        <v>901</v>
      </c>
      <c r="F276" s="2" t="s">
        <v>149</v>
      </c>
      <c r="G276" s="2">
        <v>22.0</v>
      </c>
      <c r="H276" s="2">
        <v>45.0</v>
      </c>
      <c r="I276" s="2">
        <v>258.0</v>
      </c>
      <c r="J276" s="2">
        <v>2.0</v>
      </c>
      <c r="K276" s="2">
        <v>0.0</v>
      </c>
      <c r="L276" s="2">
        <v>5.0</v>
      </c>
      <c r="M276" s="2">
        <v>-52.0</v>
      </c>
      <c r="N276" s="2">
        <v>2.0</v>
      </c>
      <c r="O276" s="2">
        <v>2.0</v>
      </c>
      <c r="P276" s="2">
        <v>329.0</v>
      </c>
      <c r="Q276" s="2">
        <v>119.0</v>
      </c>
      <c r="R276" s="2">
        <v>13.0</v>
      </c>
      <c r="S276" s="2">
        <v>-12.4921904177608</v>
      </c>
      <c r="T276" s="2">
        <v>-11.3510465757413</v>
      </c>
      <c r="U276" s="2">
        <v>1.0</v>
      </c>
      <c r="V276" s="2">
        <v>11.0</v>
      </c>
      <c r="W276" s="2">
        <v>5.0</v>
      </c>
      <c r="X276" s="2">
        <v>3.0</v>
      </c>
      <c r="Y276" s="2">
        <v>0.0</v>
      </c>
      <c r="Z276" s="2">
        <v>23.0</v>
      </c>
      <c r="AA276" s="2">
        <v>129.0</v>
      </c>
      <c r="AB276" s="2">
        <v>1.0</v>
      </c>
      <c r="AC276" s="2">
        <v>0.0</v>
      </c>
      <c r="AD276" s="2">
        <v>0.0</v>
      </c>
      <c r="AE276" s="2">
        <v>7.0</v>
      </c>
      <c r="AF276" s="2">
        <v>-3.11461622072966</v>
      </c>
      <c r="AG276" s="2">
        <v>0.0</v>
      </c>
      <c r="AH276" s="2">
        <v>3.0</v>
      </c>
      <c r="AI276" s="2">
        <v>2.0</v>
      </c>
      <c r="AJ276" s="2">
        <v>1.0</v>
      </c>
      <c r="AK276" s="2">
        <v>1.0</v>
      </c>
      <c r="AL276" s="2">
        <v>22.0</v>
      </c>
      <c r="AM276" s="2">
        <v>44.0</v>
      </c>
      <c r="AN276" s="2">
        <v>258.0</v>
      </c>
      <c r="AO276" s="2">
        <v>2.0</v>
      </c>
      <c r="AP276" s="2">
        <v>0.0</v>
      </c>
      <c r="AQ276" s="2">
        <v>0.0</v>
      </c>
      <c r="AR276" s="2">
        <v>329.0</v>
      </c>
      <c r="AS276" s="2">
        <v>119.0</v>
      </c>
      <c r="AT276" s="2">
        <v>13.0</v>
      </c>
      <c r="AU276" s="2">
        <v>9.12486670377269</v>
      </c>
      <c r="AV276" s="2">
        <v>1.0</v>
      </c>
      <c r="AW276" s="2">
        <v>11.0</v>
      </c>
      <c r="AX276" s="2">
        <v>5.0</v>
      </c>
      <c r="AY276" s="2">
        <v>3.0</v>
      </c>
      <c r="AZ276" s="2">
        <v>0.0</v>
      </c>
      <c r="BA276" s="2">
        <v>0.0</v>
      </c>
      <c r="BB276" s="2">
        <v>35.0</v>
      </c>
      <c r="BC276" s="2">
        <v>3.0</v>
      </c>
      <c r="BD276" s="2">
        <v>29.0</v>
      </c>
      <c r="BE276" s="2">
        <v>5.0</v>
      </c>
      <c r="BF276" s="2">
        <v>13.0</v>
      </c>
      <c r="BG276" s="2">
        <v>2.0</v>
      </c>
      <c r="BH276" s="2">
        <v>1.0</v>
      </c>
      <c r="BI276" s="2">
        <v>4.0</v>
      </c>
      <c r="BJ276" s="2">
        <v>1.0</v>
      </c>
      <c r="BK276" s="2">
        <v>1.0</v>
      </c>
      <c r="BL276" s="2">
        <v>4.0</v>
      </c>
      <c r="BM276" s="2">
        <v>2.0</v>
      </c>
      <c r="BN276" s="2">
        <v>0.0</v>
      </c>
      <c r="BO276" s="2">
        <v>0.0</v>
      </c>
      <c r="BP276" s="2">
        <v>0.0</v>
      </c>
      <c r="BQ276" s="2">
        <v>0.0</v>
      </c>
      <c r="BR276" s="2">
        <v>0.0</v>
      </c>
      <c r="BS276" s="2">
        <v>0.0</v>
      </c>
      <c r="BT276" s="2">
        <v>2.0</v>
      </c>
      <c r="BU276" s="2">
        <v>2.0</v>
      </c>
      <c r="BV276" s="2">
        <v>0.0</v>
      </c>
      <c r="BW276" s="2">
        <v>5.0</v>
      </c>
      <c r="BX276" s="2">
        <v>37.0</v>
      </c>
      <c r="BY276" s="2">
        <v>2.0</v>
      </c>
      <c r="BZ276" s="2">
        <v>2.0</v>
      </c>
      <c r="CA276" s="2">
        <v>0.0</v>
      </c>
      <c r="CB276" s="2">
        <v>0.0</v>
      </c>
      <c r="CC276" s="2">
        <v>2.0</v>
      </c>
      <c r="CD276" s="2">
        <v>2.0</v>
      </c>
      <c r="CE276" s="2">
        <v>0.0</v>
      </c>
      <c r="CF276" s="2">
        <v>0.0</v>
      </c>
      <c r="CG276" s="2">
        <v>7.0</v>
      </c>
      <c r="CH276" s="2">
        <v>146.0</v>
      </c>
      <c r="CI276" s="2">
        <v>0.0</v>
      </c>
      <c r="CJ276" s="2">
        <v>0.0</v>
      </c>
      <c r="CK276" s="2">
        <v>0.0</v>
      </c>
      <c r="CL276" s="2">
        <v>0.0</v>
      </c>
      <c r="CO276" s="2">
        <v>0.0</v>
      </c>
      <c r="CP276" s="2">
        <v>0.0</v>
      </c>
      <c r="CQ276" s="2">
        <v>0.0</v>
      </c>
      <c r="CR276" s="2">
        <v>0.0</v>
      </c>
      <c r="CS276" s="2">
        <v>0.0</v>
      </c>
      <c r="CT276" s="2">
        <v>0.0</v>
      </c>
      <c r="CU276" s="2">
        <v>0.0</v>
      </c>
      <c r="CV276" s="2">
        <v>0.0</v>
      </c>
      <c r="CW276" s="2">
        <v>0.0</v>
      </c>
      <c r="CX276" s="2">
        <v>0.0</v>
      </c>
      <c r="CY276" s="2">
        <v>0.0</v>
      </c>
      <c r="CZ276" s="2">
        <v>0.0</v>
      </c>
      <c r="DD276" s="2">
        <v>0.0</v>
      </c>
      <c r="DE276" s="2">
        <v>0.0</v>
      </c>
      <c r="DF276" s="2">
        <v>0.0</v>
      </c>
      <c r="DG276" s="2">
        <v>2.0</v>
      </c>
      <c r="DH276" s="2">
        <v>2.0</v>
      </c>
      <c r="DI276" s="2">
        <v>0.0</v>
      </c>
      <c r="DJ276" s="2">
        <v>0.0</v>
      </c>
      <c r="DK276" s="2">
        <v>1.0</v>
      </c>
      <c r="DL276" s="2">
        <v>0.0</v>
      </c>
      <c r="DM276" s="2">
        <v>0.0</v>
      </c>
      <c r="DN276" s="2">
        <v>0.0</v>
      </c>
      <c r="DO276" s="2">
        <v>0.0</v>
      </c>
      <c r="DP276" s="2">
        <v>0.0</v>
      </c>
      <c r="DQ276" s="2">
        <v>4.0</v>
      </c>
      <c r="DR276" s="2">
        <v>0.0</v>
      </c>
      <c r="DS276" s="2">
        <v>45.0</v>
      </c>
      <c r="DT276" s="2">
        <v>163.0</v>
      </c>
      <c r="DU276" s="2">
        <v>2.0</v>
      </c>
      <c r="DV276" s="2">
        <v>0.0</v>
      </c>
      <c r="DW276" s="2">
        <v>0.0</v>
      </c>
      <c r="DX276" s="2">
        <v>0.0</v>
      </c>
      <c r="DY276" s="2">
        <v>4.0</v>
      </c>
      <c r="DZ276" s="2">
        <v>0.0</v>
      </c>
      <c r="EA276" s="2">
        <v>0.0</v>
      </c>
      <c r="EB276" s="2">
        <v>0.0</v>
      </c>
      <c r="EC276" s="2">
        <v>163.0</v>
      </c>
      <c r="EE276" s="2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2">
        <v>2025.0</v>
      </c>
      <c r="B277" s="2">
        <v>10.0</v>
      </c>
      <c r="C277" s="2" t="s">
        <v>132</v>
      </c>
      <c r="D277" s="2" t="s">
        <v>390</v>
      </c>
      <c r="E277" s="2" t="s">
        <v>882</v>
      </c>
      <c r="F277" s="2" t="s">
        <v>210</v>
      </c>
      <c r="G277" s="2">
        <v>12.0</v>
      </c>
      <c r="H277" s="2">
        <v>28.0</v>
      </c>
      <c r="I277" s="2">
        <v>177.0</v>
      </c>
      <c r="J277" s="2">
        <v>1.0</v>
      </c>
      <c r="K277" s="2">
        <v>0.0</v>
      </c>
      <c r="L277" s="2">
        <v>3.0</v>
      </c>
      <c r="M277" s="2">
        <v>-27.0</v>
      </c>
      <c r="N277" s="2">
        <v>1.0</v>
      </c>
      <c r="O277" s="2">
        <v>1.0</v>
      </c>
      <c r="P277" s="2">
        <v>288.0</v>
      </c>
      <c r="Q277" s="2">
        <v>47.0</v>
      </c>
      <c r="R277" s="2">
        <v>10.0</v>
      </c>
      <c r="S277" s="2">
        <v>-8.05006359761033</v>
      </c>
      <c r="T277" s="2">
        <v>-16.3497189283371</v>
      </c>
      <c r="U277" s="2">
        <v>1.0</v>
      </c>
      <c r="V277" s="2">
        <v>10.0</v>
      </c>
      <c r="W277" s="2">
        <v>5.0</v>
      </c>
      <c r="X277" s="2">
        <v>2.0</v>
      </c>
      <c r="Y277" s="2">
        <v>0.0</v>
      </c>
      <c r="Z277" s="2">
        <v>29.0</v>
      </c>
      <c r="AA277" s="2">
        <v>140.0</v>
      </c>
      <c r="AB277" s="2">
        <v>2.0</v>
      </c>
      <c r="AC277" s="2">
        <v>0.0</v>
      </c>
      <c r="AD277" s="2">
        <v>0.0</v>
      </c>
      <c r="AE277" s="2">
        <v>10.0</v>
      </c>
      <c r="AF277" s="2">
        <v>4.04487736016745</v>
      </c>
      <c r="AG277" s="2">
        <v>0.0</v>
      </c>
      <c r="AH277" s="2">
        <v>5.0</v>
      </c>
      <c r="AI277" s="2">
        <v>2.0</v>
      </c>
      <c r="AJ277" s="2">
        <v>0.0</v>
      </c>
      <c r="AK277" s="2">
        <v>0.0</v>
      </c>
      <c r="AL277" s="2">
        <v>12.0</v>
      </c>
      <c r="AM277" s="2">
        <v>25.0</v>
      </c>
      <c r="AN277" s="2">
        <v>177.0</v>
      </c>
      <c r="AO277" s="2">
        <v>1.0</v>
      </c>
      <c r="AP277" s="2">
        <v>0.0</v>
      </c>
      <c r="AQ277" s="2">
        <v>0.0</v>
      </c>
      <c r="AR277" s="2">
        <v>288.0</v>
      </c>
      <c r="AS277" s="2">
        <v>47.0</v>
      </c>
      <c r="AT277" s="2">
        <v>10.0</v>
      </c>
      <c r="AU277" s="2">
        <v>2.93092195259956</v>
      </c>
      <c r="AV277" s="2">
        <v>1.0</v>
      </c>
      <c r="AW277" s="2">
        <v>10.0</v>
      </c>
      <c r="AX277" s="2">
        <v>5.0</v>
      </c>
      <c r="AY277" s="2">
        <v>2.0</v>
      </c>
      <c r="AZ277" s="2">
        <v>0.0</v>
      </c>
      <c r="BA277" s="2">
        <v>0.0</v>
      </c>
      <c r="BB277" s="2">
        <v>47.0</v>
      </c>
      <c r="BC277" s="2">
        <v>1.0</v>
      </c>
      <c r="BD277" s="2">
        <v>47.0</v>
      </c>
      <c r="BE277" s="2">
        <v>9.0</v>
      </c>
      <c r="BF277" s="2">
        <v>62.0</v>
      </c>
      <c r="BG277" s="2">
        <v>4.0</v>
      </c>
      <c r="BH277" s="2">
        <v>7.0</v>
      </c>
      <c r="BI277" s="2">
        <v>59.0</v>
      </c>
      <c r="BJ277" s="2">
        <v>7.0</v>
      </c>
      <c r="BK277" s="2">
        <v>1.0</v>
      </c>
      <c r="BL277" s="2">
        <v>3.0</v>
      </c>
      <c r="BM277" s="2">
        <v>5.0</v>
      </c>
      <c r="BN277" s="2">
        <v>0.0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1.0</v>
      </c>
      <c r="BU277" s="2">
        <v>0.0</v>
      </c>
      <c r="BV277" s="2">
        <v>0.0</v>
      </c>
      <c r="BW277" s="2">
        <v>3.0</v>
      </c>
      <c r="BX277" s="2">
        <v>35.0</v>
      </c>
      <c r="BY277" s="2">
        <v>2.0</v>
      </c>
      <c r="BZ277" s="2">
        <v>1.0</v>
      </c>
      <c r="CA277" s="2">
        <v>0.0</v>
      </c>
      <c r="CB277" s="2">
        <v>0.0</v>
      </c>
      <c r="CC277" s="2">
        <v>1.0</v>
      </c>
      <c r="CD277" s="2">
        <v>1.0</v>
      </c>
      <c r="CE277" s="2">
        <v>0.0</v>
      </c>
      <c r="CF277" s="2">
        <v>0.0</v>
      </c>
      <c r="CG277" s="2">
        <v>7.0</v>
      </c>
      <c r="CH277" s="2">
        <v>155.0</v>
      </c>
      <c r="CI277" s="2">
        <v>1.0</v>
      </c>
      <c r="CJ277" s="2">
        <v>1.0</v>
      </c>
      <c r="CK277" s="2">
        <v>0.0</v>
      </c>
      <c r="CL277" s="2">
        <v>0.0</v>
      </c>
      <c r="CM277" s="2">
        <v>43.0</v>
      </c>
      <c r="CN277" s="2">
        <v>1.0</v>
      </c>
      <c r="CO277" s="2">
        <v>0.0</v>
      </c>
      <c r="CP277" s="2">
        <v>0.0</v>
      </c>
      <c r="CQ277" s="2">
        <v>0.0</v>
      </c>
      <c r="CR277" s="2">
        <v>1.0</v>
      </c>
      <c r="CS277" s="2">
        <v>0.0</v>
      </c>
      <c r="CT277" s="2">
        <v>0.0</v>
      </c>
      <c r="CU277" s="2">
        <v>0.0</v>
      </c>
      <c r="CV277" s="2">
        <v>0.0</v>
      </c>
      <c r="CW277" s="2">
        <v>0.0</v>
      </c>
      <c r="CX277" s="2">
        <v>0.0</v>
      </c>
      <c r="CY277" s="2">
        <v>0.0</v>
      </c>
      <c r="CZ277" s="2">
        <v>0.0</v>
      </c>
      <c r="DA277" s="2" t="s">
        <v>2033</v>
      </c>
      <c r="DD277" s="2">
        <v>43.0</v>
      </c>
      <c r="DE277" s="2">
        <v>0.0</v>
      </c>
      <c r="DF277" s="2">
        <v>0.0</v>
      </c>
      <c r="DG277" s="2">
        <v>2.0</v>
      </c>
      <c r="DH277" s="2">
        <v>2.0</v>
      </c>
      <c r="DI277" s="2">
        <v>0.0</v>
      </c>
      <c r="DJ277" s="2">
        <v>0.0</v>
      </c>
      <c r="DK277" s="2">
        <v>1.0</v>
      </c>
      <c r="DL277" s="2">
        <v>0.0</v>
      </c>
      <c r="DM277" s="2">
        <v>0.0</v>
      </c>
      <c r="DN277" s="2">
        <v>0.0</v>
      </c>
      <c r="DO277" s="2">
        <v>0.0</v>
      </c>
      <c r="DP277" s="2">
        <v>0.0</v>
      </c>
      <c r="DQ277" s="2">
        <v>6.0</v>
      </c>
      <c r="DR277" s="2">
        <v>0.0</v>
      </c>
      <c r="DS277" s="2">
        <v>50.0</v>
      </c>
      <c r="DT277" s="2">
        <v>263.0</v>
      </c>
      <c r="DU277" s="2">
        <v>4.0</v>
      </c>
      <c r="DV277" s="2">
        <v>0.0</v>
      </c>
      <c r="DW277" s="2">
        <v>1.0</v>
      </c>
      <c r="DX277" s="2">
        <v>0.0</v>
      </c>
      <c r="DY277" s="2">
        <v>2.0</v>
      </c>
      <c r="DZ277" s="2">
        <v>3.0</v>
      </c>
      <c r="EA277" s="2">
        <v>32.0</v>
      </c>
      <c r="EB277" s="2">
        <v>0.0</v>
      </c>
      <c r="EC277" s="2">
        <v>231.0</v>
      </c>
      <c r="EE277" s="2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2">
        <v>2025.0</v>
      </c>
      <c r="B278" s="2">
        <v>10.0</v>
      </c>
      <c r="C278" s="2" t="s">
        <v>148</v>
      </c>
      <c r="D278" s="2" t="s">
        <v>390</v>
      </c>
      <c r="E278" s="2" t="s">
        <v>895</v>
      </c>
      <c r="F278" s="2" t="s">
        <v>144</v>
      </c>
      <c r="G278" s="2">
        <v>17.0</v>
      </c>
      <c r="H278" s="2">
        <v>29.0</v>
      </c>
      <c r="I278" s="2">
        <v>176.0</v>
      </c>
      <c r="J278" s="2">
        <v>1.0</v>
      </c>
      <c r="K278" s="2">
        <v>0.0</v>
      </c>
      <c r="L278" s="2">
        <v>1.0</v>
      </c>
      <c r="M278" s="2">
        <v>-7.0</v>
      </c>
      <c r="N278" s="2">
        <v>0.0</v>
      </c>
      <c r="O278" s="2">
        <v>0.0</v>
      </c>
      <c r="P278" s="2">
        <v>119.0</v>
      </c>
      <c r="Q278" s="2">
        <v>100.0</v>
      </c>
      <c r="R278" s="2">
        <v>9.0</v>
      </c>
      <c r="S278" s="2">
        <v>-1.38979655075828</v>
      </c>
      <c r="T278" s="2">
        <v>-13.4963293160711</v>
      </c>
      <c r="U278" s="2">
        <v>1.0</v>
      </c>
      <c r="V278" s="2">
        <v>8.0</v>
      </c>
      <c r="W278" s="2">
        <v>4.0</v>
      </c>
      <c r="X278" s="2">
        <v>3.0</v>
      </c>
      <c r="Y278" s="2">
        <v>0.0</v>
      </c>
      <c r="Z278" s="2">
        <v>36.0</v>
      </c>
      <c r="AA278" s="2">
        <v>152.0</v>
      </c>
      <c r="AB278" s="2">
        <v>1.0</v>
      </c>
      <c r="AC278" s="2">
        <v>1.0</v>
      </c>
      <c r="AD278" s="2">
        <v>0.0</v>
      </c>
      <c r="AE278" s="2">
        <v>11.0</v>
      </c>
      <c r="AF278" s="2">
        <v>-0.313154704499423</v>
      </c>
      <c r="AG278" s="2">
        <v>0.0</v>
      </c>
      <c r="AH278" s="2">
        <v>3.0</v>
      </c>
      <c r="AI278" s="2">
        <v>3.0</v>
      </c>
      <c r="AJ278" s="2">
        <v>1.0</v>
      </c>
      <c r="AK278" s="2">
        <v>0.0</v>
      </c>
      <c r="AL278" s="2">
        <v>17.0</v>
      </c>
      <c r="AM278" s="2">
        <v>28.0</v>
      </c>
      <c r="AN278" s="2">
        <v>176.0</v>
      </c>
      <c r="AO278" s="2">
        <v>1.0</v>
      </c>
      <c r="AP278" s="2">
        <v>0.0</v>
      </c>
      <c r="AQ278" s="2">
        <v>0.0</v>
      </c>
      <c r="AR278" s="2">
        <v>119.0</v>
      </c>
      <c r="AS278" s="2">
        <v>100.0</v>
      </c>
      <c r="AT278" s="2">
        <v>9.0</v>
      </c>
      <c r="AU278" s="2">
        <v>1.25198531544292</v>
      </c>
      <c r="AV278" s="2">
        <v>1.0</v>
      </c>
      <c r="AW278" s="2">
        <v>8.0</v>
      </c>
      <c r="AX278" s="2">
        <v>4.0</v>
      </c>
      <c r="AY278" s="2">
        <v>3.0</v>
      </c>
      <c r="AZ278" s="2">
        <v>0.0</v>
      </c>
      <c r="BA278" s="2">
        <v>0.0</v>
      </c>
      <c r="BB278" s="2">
        <v>36.0</v>
      </c>
      <c r="BC278" s="2">
        <v>0.0</v>
      </c>
      <c r="BD278" s="2">
        <v>18.0</v>
      </c>
      <c r="BE278" s="2">
        <v>3.0</v>
      </c>
      <c r="BF278" s="2">
        <v>9.0</v>
      </c>
      <c r="BG278" s="2">
        <v>2.0</v>
      </c>
      <c r="BH278" s="2">
        <v>1.0</v>
      </c>
      <c r="BI278" s="2">
        <v>3.0</v>
      </c>
      <c r="BJ278" s="2">
        <v>12.0</v>
      </c>
      <c r="BK278" s="2">
        <v>2.0</v>
      </c>
      <c r="BL278" s="2">
        <v>27.0</v>
      </c>
      <c r="BM278" s="2">
        <v>13.0</v>
      </c>
      <c r="BN278" s="2">
        <v>0.0</v>
      </c>
      <c r="BO278" s="2">
        <v>0.0</v>
      </c>
      <c r="BP278" s="2">
        <v>0.0</v>
      </c>
      <c r="BQ278" s="2">
        <v>0.0</v>
      </c>
      <c r="BR278" s="2">
        <v>1.0</v>
      </c>
      <c r="BS278" s="2">
        <v>0.0</v>
      </c>
      <c r="BT278" s="2">
        <v>1.0</v>
      </c>
      <c r="BU278" s="2">
        <v>0.0</v>
      </c>
      <c r="BV278" s="2">
        <v>0.0</v>
      </c>
      <c r="BW278" s="2">
        <v>5.0</v>
      </c>
      <c r="BX278" s="2">
        <v>62.0</v>
      </c>
      <c r="BY278" s="2">
        <v>4.0</v>
      </c>
      <c r="BZ278" s="2">
        <v>2.0</v>
      </c>
      <c r="CA278" s="2">
        <v>1.0</v>
      </c>
      <c r="CB278" s="2">
        <v>2.0</v>
      </c>
      <c r="CC278" s="2">
        <v>3.0</v>
      </c>
      <c r="CD278" s="2">
        <v>0.0</v>
      </c>
      <c r="CE278" s="2">
        <v>1.0</v>
      </c>
      <c r="CF278" s="2">
        <v>19.0</v>
      </c>
      <c r="CG278" s="2">
        <v>5.0</v>
      </c>
      <c r="CH278" s="2">
        <v>131.0</v>
      </c>
      <c r="CI278" s="2">
        <v>4.0</v>
      </c>
      <c r="CJ278" s="2">
        <v>5.0</v>
      </c>
      <c r="CK278" s="2">
        <v>1.0</v>
      </c>
      <c r="CL278" s="2">
        <v>0.0</v>
      </c>
      <c r="CM278" s="2">
        <v>44.0</v>
      </c>
      <c r="CN278" s="2">
        <v>0.8</v>
      </c>
      <c r="CO278" s="2">
        <v>0.0</v>
      </c>
      <c r="CP278" s="2">
        <v>2.0</v>
      </c>
      <c r="CQ278" s="2">
        <v>1.0</v>
      </c>
      <c r="CR278" s="2">
        <v>1.0</v>
      </c>
      <c r="CS278" s="2">
        <v>0.0</v>
      </c>
      <c r="CT278" s="2">
        <v>0.0</v>
      </c>
      <c r="CU278" s="2">
        <v>0.0</v>
      </c>
      <c r="CV278" s="2">
        <v>0.0</v>
      </c>
      <c r="CW278" s="2">
        <v>0.0</v>
      </c>
      <c r="CX278" s="2">
        <v>0.0</v>
      </c>
      <c r="CY278" s="2">
        <v>1.0</v>
      </c>
      <c r="CZ278" s="2">
        <v>0.0</v>
      </c>
      <c r="DA278" s="2" t="s">
        <v>2148</v>
      </c>
      <c r="DB278" s="2" t="s">
        <v>2007</v>
      </c>
      <c r="DD278" s="2">
        <v>124.0</v>
      </c>
      <c r="DE278" s="2">
        <v>56.0</v>
      </c>
      <c r="DF278" s="2">
        <v>0.0</v>
      </c>
      <c r="DG278" s="2">
        <v>1.0</v>
      </c>
      <c r="DH278" s="2">
        <v>1.0</v>
      </c>
      <c r="DI278" s="2">
        <v>0.0</v>
      </c>
      <c r="DJ278" s="2">
        <v>0.0</v>
      </c>
      <c r="DK278" s="2">
        <v>1.0</v>
      </c>
      <c r="DL278" s="2">
        <v>0.0</v>
      </c>
      <c r="DM278" s="2">
        <v>0.0</v>
      </c>
      <c r="DN278" s="2">
        <v>0.0</v>
      </c>
      <c r="DO278" s="2">
        <v>0.0</v>
      </c>
      <c r="DP278" s="2">
        <v>0.0</v>
      </c>
      <c r="DQ278" s="2">
        <v>5.0</v>
      </c>
      <c r="DR278" s="2">
        <v>0.0</v>
      </c>
      <c r="DS278" s="2">
        <v>58.0</v>
      </c>
      <c r="DT278" s="2">
        <v>248.0</v>
      </c>
      <c r="DU278" s="2">
        <v>3.0</v>
      </c>
      <c r="DV278" s="2">
        <v>2.0</v>
      </c>
      <c r="DW278" s="2">
        <v>0.0</v>
      </c>
      <c r="DX278" s="2">
        <v>0.0</v>
      </c>
      <c r="DY278" s="2">
        <v>0.0</v>
      </c>
      <c r="DZ278" s="2">
        <v>3.0</v>
      </c>
      <c r="EA278" s="2">
        <v>5.0</v>
      </c>
      <c r="EB278" s="2">
        <v>0.0</v>
      </c>
      <c r="EC278" s="2">
        <v>243.0</v>
      </c>
      <c r="EE278" s="2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2">
        <v>2025.0</v>
      </c>
      <c r="B279" s="2">
        <v>10.0</v>
      </c>
      <c r="C279" s="2" t="s">
        <v>136</v>
      </c>
      <c r="D279" s="2" t="s">
        <v>390</v>
      </c>
      <c r="E279" s="2" t="s">
        <v>893</v>
      </c>
      <c r="F279" s="2" t="s">
        <v>225</v>
      </c>
      <c r="G279" s="2">
        <v>28.0</v>
      </c>
      <c r="H279" s="2">
        <v>40.0</v>
      </c>
      <c r="I279" s="2">
        <v>306.0</v>
      </c>
      <c r="J279" s="2">
        <v>2.0</v>
      </c>
      <c r="K279" s="2">
        <v>1.0</v>
      </c>
      <c r="L279" s="2">
        <v>3.0</v>
      </c>
      <c r="M279" s="2">
        <v>-17.0</v>
      </c>
      <c r="N279" s="2">
        <v>0.0</v>
      </c>
      <c r="O279" s="2">
        <v>0.0</v>
      </c>
      <c r="P279" s="2">
        <v>404.0</v>
      </c>
      <c r="Q279" s="2">
        <v>114.0</v>
      </c>
      <c r="R279" s="2">
        <v>12.0</v>
      </c>
      <c r="S279" s="2">
        <v>4.18633139254246</v>
      </c>
      <c r="T279" s="2">
        <v>7.70525680138515</v>
      </c>
      <c r="U279" s="2">
        <v>0.0</v>
      </c>
      <c r="V279" s="2">
        <v>11.0</v>
      </c>
      <c r="W279" s="2">
        <v>9.0</v>
      </c>
      <c r="X279" s="2">
        <v>7.0</v>
      </c>
      <c r="Y279" s="2">
        <v>0.0</v>
      </c>
      <c r="Z279" s="2">
        <v>22.0</v>
      </c>
      <c r="AA279" s="2">
        <v>87.0</v>
      </c>
      <c r="AB279" s="2">
        <v>0.0</v>
      </c>
      <c r="AC279" s="2">
        <v>2.0</v>
      </c>
      <c r="AD279" s="2">
        <v>2.0</v>
      </c>
      <c r="AE279" s="2">
        <v>4.0</v>
      </c>
      <c r="AF279" s="2">
        <v>-9.04641274077585</v>
      </c>
      <c r="AG279" s="2">
        <v>0.0</v>
      </c>
      <c r="AH279" s="2">
        <v>2.0</v>
      </c>
      <c r="AI279" s="2">
        <v>2.0</v>
      </c>
      <c r="AJ279" s="2">
        <v>0.0</v>
      </c>
      <c r="AK279" s="2">
        <v>0.0</v>
      </c>
      <c r="AL279" s="2">
        <v>28.0</v>
      </c>
      <c r="AM279" s="2">
        <v>39.0</v>
      </c>
      <c r="AN279" s="2">
        <v>306.0</v>
      </c>
      <c r="AO279" s="2">
        <v>2.0</v>
      </c>
      <c r="AP279" s="2">
        <v>0.0</v>
      </c>
      <c r="AQ279" s="2">
        <v>0.0</v>
      </c>
      <c r="AR279" s="2">
        <v>404.0</v>
      </c>
      <c r="AS279" s="2">
        <v>114.0</v>
      </c>
      <c r="AT279" s="2">
        <v>12.0</v>
      </c>
      <c r="AU279" s="2">
        <v>6.71361091935262</v>
      </c>
      <c r="AV279" s="2">
        <v>0.0</v>
      </c>
      <c r="AW279" s="2">
        <v>11.0</v>
      </c>
      <c r="AX279" s="2">
        <v>9.0</v>
      </c>
      <c r="AY279" s="2">
        <v>7.0</v>
      </c>
      <c r="AZ279" s="2">
        <v>0.0</v>
      </c>
      <c r="BA279" s="2">
        <v>0.0</v>
      </c>
      <c r="BB279" s="2">
        <v>31.0</v>
      </c>
      <c r="BC279" s="2">
        <v>1.0</v>
      </c>
      <c r="BD279" s="2">
        <v>23.0</v>
      </c>
      <c r="BE279" s="2">
        <v>6.0</v>
      </c>
      <c r="BF279" s="2">
        <v>16.0</v>
      </c>
      <c r="BG279" s="2">
        <v>0.0</v>
      </c>
      <c r="BH279" s="2">
        <v>0.0</v>
      </c>
      <c r="BI279" s="2">
        <v>0.0</v>
      </c>
      <c r="BJ279" s="2">
        <v>2.0</v>
      </c>
      <c r="BK279" s="2">
        <v>2.0</v>
      </c>
      <c r="BL279" s="2">
        <v>1.0</v>
      </c>
      <c r="BM279" s="2">
        <v>4.0</v>
      </c>
      <c r="BN279" s="2">
        <v>0.0</v>
      </c>
      <c r="BO279" s="2">
        <v>0.0</v>
      </c>
      <c r="BP279" s="2">
        <v>0.0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</v>
      </c>
      <c r="BV279" s="2">
        <v>0.0</v>
      </c>
      <c r="BW279" s="2">
        <v>6.0</v>
      </c>
      <c r="BX279" s="2">
        <v>67.0</v>
      </c>
      <c r="BY279" s="2">
        <v>3.0</v>
      </c>
      <c r="BZ279" s="2">
        <v>2.0</v>
      </c>
      <c r="CA279" s="2">
        <v>0.0</v>
      </c>
      <c r="CB279" s="2">
        <v>0.0</v>
      </c>
      <c r="CC279" s="2">
        <v>2.0</v>
      </c>
      <c r="CD279" s="2">
        <v>2.0</v>
      </c>
      <c r="CE279" s="2">
        <v>1.0</v>
      </c>
      <c r="CF279" s="2">
        <v>7.0</v>
      </c>
      <c r="CG279" s="2">
        <v>4.0</v>
      </c>
      <c r="CH279" s="2">
        <v>93.0</v>
      </c>
      <c r="CI279" s="2">
        <v>0.0</v>
      </c>
      <c r="CJ279" s="2">
        <v>0.0</v>
      </c>
      <c r="CK279" s="2">
        <v>0.0</v>
      </c>
      <c r="CL279" s="2">
        <v>0.0</v>
      </c>
      <c r="CO279" s="2">
        <v>0.0</v>
      </c>
      <c r="CP279" s="2">
        <v>0.0</v>
      </c>
      <c r="CQ279" s="2">
        <v>0.0</v>
      </c>
      <c r="CR279" s="2">
        <v>0.0</v>
      </c>
      <c r="CS279" s="2">
        <v>0.0</v>
      </c>
      <c r="CT279" s="2">
        <v>0.0</v>
      </c>
      <c r="CU279" s="2">
        <v>0.0</v>
      </c>
      <c r="CV279" s="2">
        <v>0.0</v>
      </c>
      <c r="CW279" s="2">
        <v>0.0</v>
      </c>
      <c r="CX279" s="2">
        <v>0.0</v>
      </c>
      <c r="CY279" s="2">
        <v>0.0</v>
      </c>
      <c r="CZ279" s="2">
        <v>0.0</v>
      </c>
      <c r="DD279" s="2">
        <v>0.0</v>
      </c>
      <c r="DE279" s="2">
        <v>0.0</v>
      </c>
      <c r="DF279" s="2">
        <v>0.0</v>
      </c>
      <c r="DG279" s="2">
        <v>1.0</v>
      </c>
      <c r="DH279" s="2">
        <v>1.0</v>
      </c>
      <c r="DI279" s="2">
        <v>0.0</v>
      </c>
      <c r="DJ279" s="2">
        <v>0.0</v>
      </c>
      <c r="DK279" s="2">
        <v>1.0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4.0</v>
      </c>
      <c r="DR279" s="2">
        <v>0.0</v>
      </c>
      <c r="DS279" s="2">
        <v>61.0</v>
      </c>
      <c r="DT279" s="2">
        <v>217.0</v>
      </c>
      <c r="DU279" s="2">
        <v>2.0</v>
      </c>
      <c r="DV279" s="2">
        <v>0.0</v>
      </c>
      <c r="DW279" s="2">
        <v>1.0</v>
      </c>
      <c r="DX279" s="2">
        <v>0.0</v>
      </c>
      <c r="DY279" s="2">
        <v>2.0</v>
      </c>
      <c r="DZ279" s="2">
        <v>1.0</v>
      </c>
      <c r="EA279" s="2">
        <v>13.0</v>
      </c>
      <c r="EB279" s="2">
        <v>0.0</v>
      </c>
      <c r="EC279" s="2">
        <v>204.0</v>
      </c>
      <c r="EE279" s="2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2">
        <v>2025.0</v>
      </c>
      <c r="B280" s="2">
        <v>10.0</v>
      </c>
      <c r="C280" s="2" t="s">
        <v>189</v>
      </c>
      <c r="D280" s="2" t="s">
        <v>390</v>
      </c>
      <c r="E280" s="2" t="s">
        <v>885</v>
      </c>
      <c r="F280" s="2" t="s">
        <v>232</v>
      </c>
      <c r="G280" s="2">
        <v>17.0</v>
      </c>
      <c r="H280" s="2">
        <v>25.0</v>
      </c>
      <c r="I280" s="2">
        <v>124.0</v>
      </c>
      <c r="J280" s="2">
        <v>0.0</v>
      </c>
      <c r="K280" s="2">
        <v>1.0</v>
      </c>
      <c r="L280" s="2">
        <v>2.0</v>
      </c>
      <c r="M280" s="2">
        <v>-22.0</v>
      </c>
      <c r="N280" s="2">
        <v>0.0</v>
      </c>
      <c r="O280" s="2">
        <v>0.0</v>
      </c>
      <c r="P280" s="2">
        <v>162.0</v>
      </c>
      <c r="Q280" s="2">
        <v>55.0</v>
      </c>
      <c r="R280" s="2">
        <v>6.0</v>
      </c>
      <c r="S280" s="2">
        <v>-11.4978759260794</v>
      </c>
      <c r="T280" s="2">
        <v>2.75781906169394</v>
      </c>
      <c r="U280" s="2">
        <v>0.0</v>
      </c>
      <c r="V280" s="2">
        <v>5.0</v>
      </c>
      <c r="W280" s="2">
        <v>1.0</v>
      </c>
      <c r="X280" s="2">
        <v>1.0</v>
      </c>
      <c r="Y280" s="2">
        <v>0.0</v>
      </c>
      <c r="Z280" s="2">
        <v>23.0</v>
      </c>
      <c r="AA280" s="2">
        <v>73.0</v>
      </c>
      <c r="AB280" s="2">
        <v>1.0</v>
      </c>
      <c r="AC280" s="2">
        <v>1.0</v>
      </c>
      <c r="AD280" s="2">
        <v>1.0</v>
      </c>
      <c r="AE280" s="2">
        <v>5.0</v>
      </c>
      <c r="AF280" s="2">
        <v>-9.47329453512793</v>
      </c>
      <c r="AG280" s="2">
        <v>0.0</v>
      </c>
      <c r="AH280" s="2">
        <v>1.0</v>
      </c>
      <c r="AI280" s="2">
        <v>1.0</v>
      </c>
      <c r="AJ280" s="2">
        <v>0.0</v>
      </c>
      <c r="AK280" s="2">
        <v>0.0</v>
      </c>
      <c r="AL280" s="2">
        <v>17.0</v>
      </c>
      <c r="AM280" s="2">
        <v>23.0</v>
      </c>
      <c r="AN280" s="2">
        <v>124.0</v>
      </c>
      <c r="AO280" s="2">
        <v>0.0</v>
      </c>
      <c r="AP280" s="2">
        <v>0.0</v>
      </c>
      <c r="AQ280" s="2">
        <v>0.0</v>
      </c>
      <c r="AR280" s="2">
        <v>162.0</v>
      </c>
      <c r="AS280" s="2">
        <v>55.0</v>
      </c>
      <c r="AT280" s="2">
        <v>6.0</v>
      </c>
      <c r="AU280" s="2">
        <v>-7.3782163747765</v>
      </c>
      <c r="AV280" s="2">
        <v>0.0</v>
      </c>
      <c r="AW280" s="2">
        <v>5.0</v>
      </c>
      <c r="AX280" s="2">
        <v>1.0</v>
      </c>
      <c r="AY280" s="2">
        <v>1.0</v>
      </c>
      <c r="AZ280" s="2">
        <v>0.0</v>
      </c>
      <c r="BA280" s="2">
        <v>0.0</v>
      </c>
      <c r="BB280" s="2">
        <v>38.0</v>
      </c>
      <c r="BC280" s="2">
        <v>3.0</v>
      </c>
      <c r="BD280" s="2">
        <v>35.0</v>
      </c>
      <c r="BE280" s="2">
        <v>6.0</v>
      </c>
      <c r="BF280" s="2">
        <v>21.0</v>
      </c>
      <c r="BG280" s="2">
        <v>0.0</v>
      </c>
      <c r="BH280" s="2">
        <v>2.0</v>
      </c>
      <c r="BI280" s="2">
        <v>16.0</v>
      </c>
      <c r="BJ280" s="2">
        <v>5.0</v>
      </c>
      <c r="BK280" s="2">
        <v>0.0</v>
      </c>
      <c r="BL280" s="2">
        <v>0.0</v>
      </c>
      <c r="BM280" s="2">
        <v>1.0</v>
      </c>
      <c r="BN280" s="2">
        <v>0.0</v>
      </c>
      <c r="BO280" s="2">
        <v>0.0</v>
      </c>
      <c r="BP280" s="2">
        <v>0.0</v>
      </c>
      <c r="BQ280" s="2">
        <v>0.0</v>
      </c>
      <c r="BR280" s="2">
        <v>0.0</v>
      </c>
      <c r="BS280" s="2">
        <v>-4.0</v>
      </c>
      <c r="BT280" s="2">
        <v>1.0</v>
      </c>
      <c r="BU280" s="2">
        <v>0.0</v>
      </c>
      <c r="BV280" s="2">
        <v>0.0</v>
      </c>
      <c r="BW280" s="2">
        <v>1.0</v>
      </c>
      <c r="BX280" s="2">
        <v>5.0</v>
      </c>
      <c r="BY280" s="2">
        <v>5.0</v>
      </c>
      <c r="BZ280" s="2">
        <v>0.0</v>
      </c>
      <c r="CA280" s="2">
        <v>1.0</v>
      </c>
      <c r="CB280" s="2">
        <v>0.0</v>
      </c>
      <c r="CC280" s="2">
        <v>1.0</v>
      </c>
      <c r="CD280" s="2">
        <v>1.0</v>
      </c>
      <c r="CE280" s="2">
        <v>2.0</v>
      </c>
      <c r="CF280" s="2">
        <v>15.0</v>
      </c>
      <c r="CG280" s="2">
        <v>4.0</v>
      </c>
      <c r="CH280" s="2">
        <v>108.0</v>
      </c>
      <c r="CI280" s="2">
        <v>0.0</v>
      </c>
      <c r="CJ280" s="2">
        <v>1.0</v>
      </c>
      <c r="CK280" s="2">
        <v>0.0</v>
      </c>
      <c r="CL280" s="2">
        <v>1.0</v>
      </c>
      <c r="CN280" s="2">
        <v>0.0</v>
      </c>
      <c r="CO280" s="2">
        <v>0.0</v>
      </c>
      <c r="CP280" s="2">
        <v>0.0</v>
      </c>
      <c r="CQ280" s="2">
        <v>0.0</v>
      </c>
      <c r="CR280" s="2">
        <v>0.0</v>
      </c>
      <c r="CS280" s="2">
        <v>0.0</v>
      </c>
      <c r="CT280" s="2">
        <v>0.0</v>
      </c>
      <c r="CU280" s="2">
        <v>0.0</v>
      </c>
      <c r="CV280" s="2">
        <v>0.0</v>
      </c>
      <c r="CW280" s="2">
        <v>0.0</v>
      </c>
      <c r="CX280" s="2">
        <v>0.0</v>
      </c>
      <c r="CY280" s="2">
        <v>0.0</v>
      </c>
      <c r="CZ280" s="2">
        <v>0.0</v>
      </c>
      <c r="DC280" s="2" t="s">
        <v>1965</v>
      </c>
      <c r="DD280" s="2">
        <v>0.0</v>
      </c>
      <c r="DE280" s="2">
        <v>0.0</v>
      </c>
      <c r="DF280" s="2">
        <v>48.0</v>
      </c>
      <c r="DG280" s="2">
        <v>1.0</v>
      </c>
      <c r="DH280" s="2">
        <v>1.0</v>
      </c>
      <c r="DI280" s="2">
        <v>0.0</v>
      </c>
      <c r="DJ280" s="2">
        <v>0.0</v>
      </c>
      <c r="DK280" s="2">
        <v>1.0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4.0</v>
      </c>
      <c r="DR280" s="2">
        <v>0.0</v>
      </c>
      <c r="DS280" s="2">
        <v>59.0</v>
      </c>
      <c r="DT280" s="2">
        <v>204.0</v>
      </c>
      <c r="DU280" s="2">
        <v>2.0</v>
      </c>
      <c r="DV280" s="2">
        <v>1.0</v>
      </c>
      <c r="DW280" s="2">
        <v>0.0</v>
      </c>
      <c r="DX280" s="2">
        <v>0.0</v>
      </c>
      <c r="DY280" s="2">
        <v>1.0</v>
      </c>
      <c r="DZ280" s="2">
        <v>2.0</v>
      </c>
      <c r="EA280" s="2">
        <v>8.0</v>
      </c>
      <c r="EB280" s="2">
        <v>0.0</v>
      </c>
      <c r="EC280" s="2">
        <v>196.0</v>
      </c>
      <c r="EE280" s="2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2">
        <v>2025.0</v>
      </c>
      <c r="B281" s="2">
        <v>10.0</v>
      </c>
      <c r="C281" s="2" t="s">
        <v>137</v>
      </c>
      <c r="D281" s="2" t="s">
        <v>390</v>
      </c>
      <c r="E281" s="2" t="s">
        <v>887</v>
      </c>
      <c r="F281" s="2" t="s">
        <v>235</v>
      </c>
      <c r="G281" s="2">
        <v>20.0</v>
      </c>
      <c r="H281" s="2">
        <v>36.0</v>
      </c>
      <c r="I281" s="2">
        <v>220.0</v>
      </c>
      <c r="J281" s="2">
        <v>1.0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345.0</v>
      </c>
      <c r="Q281" s="2">
        <v>76.0</v>
      </c>
      <c r="R281" s="2">
        <v>11.0</v>
      </c>
      <c r="S281" s="2">
        <v>-6.06136675420731</v>
      </c>
      <c r="T281" s="2">
        <v>-8.15140869882372</v>
      </c>
      <c r="U281" s="2">
        <v>0.0</v>
      </c>
      <c r="V281" s="2">
        <v>10.0</v>
      </c>
      <c r="W281" s="2">
        <v>5.0</v>
      </c>
      <c r="X281" s="2">
        <v>4.0</v>
      </c>
      <c r="Y281" s="2">
        <v>0.0</v>
      </c>
      <c r="Z281" s="2">
        <v>28.0</v>
      </c>
      <c r="AA281" s="2">
        <v>171.0</v>
      </c>
      <c r="AB281" s="2">
        <v>2.0</v>
      </c>
      <c r="AC281" s="2">
        <v>0.0</v>
      </c>
      <c r="AD281" s="2">
        <v>0.0</v>
      </c>
      <c r="AE281" s="2">
        <v>8.0</v>
      </c>
      <c r="AF281" s="2">
        <v>5.65459134124103</v>
      </c>
      <c r="AG281" s="2">
        <v>0.0</v>
      </c>
      <c r="AH281" s="2">
        <v>5.0</v>
      </c>
      <c r="AI281" s="2">
        <v>4.0</v>
      </c>
      <c r="AJ281" s="2">
        <v>2.0</v>
      </c>
      <c r="AK281" s="2">
        <v>0.0</v>
      </c>
      <c r="AL281" s="2">
        <v>20.0</v>
      </c>
      <c r="AM281" s="2">
        <v>36.0</v>
      </c>
      <c r="AN281" s="2">
        <v>220.0</v>
      </c>
      <c r="AO281" s="2">
        <v>1.0</v>
      </c>
      <c r="AP281" s="2">
        <v>0.0</v>
      </c>
      <c r="AQ281" s="2">
        <v>0.0</v>
      </c>
      <c r="AR281" s="2">
        <v>345.0</v>
      </c>
      <c r="AS281" s="2">
        <v>76.0</v>
      </c>
      <c r="AT281" s="2">
        <v>11.0</v>
      </c>
      <c r="AU281" s="2">
        <v>-6.06136675420731</v>
      </c>
      <c r="AV281" s="2">
        <v>0.0</v>
      </c>
      <c r="AW281" s="2">
        <v>10.0</v>
      </c>
      <c r="AX281" s="2">
        <v>5.0</v>
      </c>
      <c r="AY281" s="2">
        <v>4.0</v>
      </c>
      <c r="AZ281" s="2">
        <v>0.0</v>
      </c>
      <c r="BA281" s="2">
        <v>0.0</v>
      </c>
      <c r="BB281" s="2">
        <v>38.0</v>
      </c>
      <c r="BC281" s="2">
        <v>1.0</v>
      </c>
      <c r="BD281" s="2">
        <v>29.0</v>
      </c>
      <c r="BE281" s="2">
        <v>7.0</v>
      </c>
      <c r="BF281" s="2">
        <v>26.0</v>
      </c>
      <c r="BG281" s="2">
        <v>1.0</v>
      </c>
      <c r="BH281" s="2">
        <v>4.0</v>
      </c>
      <c r="BI281" s="2">
        <v>25.0</v>
      </c>
      <c r="BJ281" s="2">
        <v>9.0</v>
      </c>
      <c r="BK281" s="2">
        <v>0.0</v>
      </c>
      <c r="BL281" s="2">
        <v>0.0</v>
      </c>
      <c r="BM281" s="2">
        <v>5.0</v>
      </c>
      <c r="BN281" s="2">
        <v>0.0</v>
      </c>
      <c r="BO281" s="2">
        <v>0.0</v>
      </c>
      <c r="BP281" s="2">
        <v>0.0</v>
      </c>
      <c r="BQ281" s="2">
        <v>0.0</v>
      </c>
      <c r="BR281" s="2">
        <v>0.0</v>
      </c>
      <c r="BS281" s="2">
        <v>0.0</v>
      </c>
      <c r="BT281" s="2">
        <v>1.0</v>
      </c>
      <c r="BU281" s="2">
        <v>-1.0</v>
      </c>
      <c r="BV281" s="2">
        <v>0.0</v>
      </c>
      <c r="BW281" s="2">
        <v>3.0</v>
      </c>
      <c r="BX281" s="2">
        <v>25.0</v>
      </c>
      <c r="BY281" s="2">
        <v>2.0</v>
      </c>
      <c r="BZ281" s="2">
        <v>0.0</v>
      </c>
      <c r="CA281" s="2">
        <v>0.0</v>
      </c>
      <c r="CB281" s="2">
        <v>0.0</v>
      </c>
      <c r="CC281" s="2">
        <v>0.0</v>
      </c>
      <c r="CD281" s="2">
        <v>0.0</v>
      </c>
      <c r="CE281" s="2">
        <v>1.0</v>
      </c>
      <c r="CF281" s="2">
        <v>13.0</v>
      </c>
      <c r="CG281" s="2">
        <v>2.0</v>
      </c>
      <c r="CH281" s="2">
        <v>46.0</v>
      </c>
      <c r="CI281" s="2">
        <v>1.0</v>
      </c>
      <c r="CJ281" s="2">
        <v>1.0</v>
      </c>
      <c r="CK281" s="2">
        <v>0.0</v>
      </c>
      <c r="CL281" s="2">
        <v>0.0</v>
      </c>
      <c r="CM281" s="2">
        <v>22.0</v>
      </c>
      <c r="CN281" s="2">
        <v>1.0</v>
      </c>
      <c r="CO281" s="2">
        <v>0.0</v>
      </c>
      <c r="CP281" s="2">
        <v>1.0</v>
      </c>
      <c r="CQ281" s="2">
        <v>0.0</v>
      </c>
      <c r="CR281" s="2">
        <v>0.0</v>
      </c>
      <c r="CS281" s="2">
        <v>0.0</v>
      </c>
      <c r="CT281" s="2">
        <v>0.0</v>
      </c>
      <c r="CU281" s="2">
        <v>0.0</v>
      </c>
      <c r="CV281" s="2">
        <v>0.0</v>
      </c>
      <c r="CW281" s="2">
        <v>0.0</v>
      </c>
      <c r="CX281" s="2">
        <v>0.0</v>
      </c>
      <c r="CY281" s="2">
        <v>0.0</v>
      </c>
      <c r="CZ281" s="2">
        <v>0.0</v>
      </c>
      <c r="DA281" s="2" t="s">
        <v>2057</v>
      </c>
      <c r="DD281" s="2">
        <v>22.0</v>
      </c>
      <c r="DE281" s="2">
        <v>0.0</v>
      </c>
      <c r="DF281" s="2">
        <v>0.0</v>
      </c>
      <c r="DG281" s="2">
        <v>3.0</v>
      </c>
      <c r="DH281" s="2">
        <v>3.0</v>
      </c>
      <c r="DI281" s="2">
        <v>0.0</v>
      </c>
      <c r="DJ281" s="2">
        <v>0.0</v>
      </c>
      <c r="DK281" s="2">
        <v>1.0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3.0</v>
      </c>
      <c r="DR281" s="2">
        <v>0.0</v>
      </c>
      <c r="DS281" s="2">
        <v>59.0</v>
      </c>
      <c r="DT281" s="2">
        <v>135.0</v>
      </c>
      <c r="DU281" s="2">
        <v>1.0</v>
      </c>
      <c r="DV281" s="2">
        <v>0.0</v>
      </c>
      <c r="DW281" s="2">
        <v>0.0</v>
      </c>
      <c r="DX281" s="2">
        <v>2.0</v>
      </c>
      <c r="DY281" s="2">
        <v>1.0</v>
      </c>
      <c r="DZ281" s="2">
        <v>0.0</v>
      </c>
      <c r="EA281" s="2">
        <v>0.0</v>
      </c>
      <c r="EB281" s="2">
        <v>0.0</v>
      </c>
      <c r="EC281" s="2">
        <v>95.0</v>
      </c>
      <c r="EE281" s="2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2">
        <v>2025.0</v>
      </c>
      <c r="B282" s="2">
        <v>10.0</v>
      </c>
      <c r="C282" s="2" t="s">
        <v>196</v>
      </c>
      <c r="D282" s="2" t="s">
        <v>390</v>
      </c>
      <c r="E282" s="2" t="s">
        <v>897</v>
      </c>
      <c r="F282" s="2" t="s">
        <v>238</v>
      </c>
      <c r="G282" s="2">
        <v>17.0</v>
      </c>
      <c r="H282" s="2">
        <v>32.0</v>
      </c>
      <c r="I282" s="2">
        <v>167.0</v>
      </c>
      <c r="J282" s="2">
        <v>2.0</v>
      </c>
      <c r="K282" s="2">
        <v>0.0</v>
      </c>
      <c r="L282" s="2">
        <v>6.0</v>
      </c>
      <c r="M282" s="2">
        <v>-47.0</v>
      </c>
      <c r="N282" s="2">
        <v>0.0</v>
      </c>
      <c r="O282" s="2">
        <v>0.0</v>
      </c>
      <c r="P282" s="2">
        <v>200.0</v>
      </c>
      <c r="Q282" s="2">
        <v>76.0</v>
      </c>
      <c r="R282" s="2">
        <v>8.0</v>
      </c>
      <c r="S282" s="2">
        <v>-7.38952940577144</v>
      </c>
      <c r="T282" s="2">
        <v>-16.4121434092522</v>
      </c>
      <c r="U282" s="2">
        <v>0.0</v>
      </c>
      <c r="V282" s="2">
        <v>9.0</v>
      </c>
      <c r="W282" s="2">
        <v>2.0</v>
      </c>
      <c r="X282" s="2">
        <v>2.0</v>
      </c>
      <c r="Y282" s="2">
        <v>0.0</v>
      </c>
      <c r="Z282" s="2">
        <v>32.0</v>
      </c>
      <c r="AA282" s="2">
        <v>158.0</v>
      </c>
      <c r="AB282" s="2">
        <v>0.0</v>
      </c>
      <c r="AC282" s="2">
        <v>0.0</v>
      </c>
      <c r="AD282" s="2">
        <v>0.0</v>
      </c>
      <c r="AE282" s="2">
        <v>10.0</v>
      </c>
      <c r="AF282" s="2">
        <v>1.62196687026881</v>
      </c>
      <c r="AG282" s="2">
        <v>0.0</v>
      </c>
      <c r="AH282" s="2">
        <v>6.0</v>
      </c>
      <c r="AI282" s="2">
        <v>4.0</v>
      </c>
      <c r="AJ282" s="2">
        <v>0.0</v>
      </c>
      <c r="AK282" s="2">
        <v>0.0</v>
      </c>
      <c r="AL282" s="2">
        <v>17.0</v>
      </c>
      <c r="AM282" s="2">
        <v>32.0</v>
      </c>
      <c r="AN282" s="2">
        <v>167.0</v>
      </c>
      <c r="AO282" s="2">
        <v>2.0</v>
      </c>
      <c r="AP282" s="2">
        <v>0.0</v>
      </c>
      <c r="AQ282" s="2">
        <v>0.0</v>
      </c>
      <c r="AR282" s="2">
        <v>200.0</v>
      </c>
      <c r="AS282" s="2">
        <v>76.0</v>
      </c>
      <c r="AT282" s="2">
        <v>8.0</v>
      </c>
      <c r="AU282" s="2">
        <v>2.4836139880244</v>
      </c>
      <c r="AV282" s="2">
        <v>0.0</v>
      </c>
      <c r="AW282" s="2">
        <v>9.0</v>
      </c>
      <c r="AX282" s="2">
        <v>2.0</v>
      </c>
      <c r="AY282" s="2">
        <v>2.0</v>
      </c>
      <c r="AZ282" s="2">
        <v>0.0</v>
      </c>
      <c r="BA282" s="2">
        <v>0.0</v>
      </c>
      <c r="BB282" s="2">
        <v>28.0</v>
      </c>
      <c r="BC282" s="2">
        <v>3.0</v>
      </c>
      <c r="BD282" s="2">
        <v>33.0</v>
      </c>
      <c r="BE282" s="2">
        <v>10.0</v>
      </c>
      <c r="BF282" s="2">
        <v>41.0</v>
      </c>
      <c r="BG282" s="2">
        <v>0.0</v>
      </c>
      <c r="BH282" s="2">
        <v>3.0</v>
      </c>
      <c r="BI282" s="2">
        <v>12.0</v>
      </c>
      <c r="BJ282" s="2">
        <v>8.0</v>
      </c>
      <c r="BK282" s="2">
        <v>1.0</v>
      </c>
      <c r="BL282" s="2">
        <v>15.0</v>
      </c>
      <c r="BM282" s="2">
        <v>5.0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0.0</v>
      </c>
      <c r="BW282" s="2">
        <v>10.0</v>
      </c>
      <c r="BX282" s="2">
        <v>78.0</v>
      </c>
      <c r="BY282" s="2">
        <v>6.0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1.0</v>
      </c>
      <c r="CF282" s="2">
        <v>15.0</v>
      </c>
      <c r="CG282" s="2">
        <v>5.0</v>
      </c>
      <c r="CH282" s="2">
        <v>126.0</v>
      </c>
      <c r="CI282" s="2">
        <v>2.0</v>
      </c>
      <c r="CJ282" s="2">
        <v>2.0</v>
      </c>
      <c r="CK282" s="2">
        <v>0.0</v>
      </c>
      <c r="CL282" s="2">
        <v>0.0</v>
      </c>
      <c r="CM282" s="2">
        <v>45.0</v>
      </c>
      <c r="CN282" s="2">
        <v>1.0</v>
      </c>
      <c r="CO282" s="2">
        <v>0.0</v>
      </c>
      <c r="CP282" s="2">
        <v>1.0</v>
      </c>
      <c r="CQ282" s="2">
        <v>0.0</v>
      </c>
      <c r="CR282" s="2">
        <v>1.0</v>
      </c>
      <c r="CS282" s="2">
        <v>0.0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0.0</v>
      </c>
      <c r="DA282" s="2" t="s">
        <v>2149</v>
      </c>
      <c r="DD282" s="2">
        <v>74.0</v>
      </c>
      <c r="DE282" s="2">
        <v>0.0</v>
      </c>
      <c r="DF282" s="2">
        <v>0.0</v>
      </c>
      <c r="DG282" s="2">
        <v>2.0</v>
      </c>
      <c r="DH282" s="2">
        <v>2.0</v>
      </c>
      <c r="DI282" s="2">
        <v>0.0</v>
      </c>
      <c r="DJ282" s="2">
        <v>0.0</v>
      </c>
      <c r="DK282" s="2">
        <v>1.0</v>
      </c>
      <c r="DL282" s="2">
        <v>0.0</v>
      </c>
      <c r="DM282" s="2">
        <v>0.0</v>
      </c>
      <c r="DN282" s="2">
        <v>0.0</v>
      </c>
      <c r="DO282" s="2">
        <v>0.0</v>
      </c>
      <c r="DP282" s="2">
        <v>0.0</v>
      </c>
      <c r="DQ282" s="2">
        <v>7.0</v>
      </c>
      <c r="DR282" s="2">
        <v>0.0</v>
      </c>
      <c r="DS282" s="2">
        <v>60.0</v>
      </c>
      <c r="DT282" s="2">
        <v>351.0</v>
      </c>
      <c r="DU282" s="2">
        <v>0.0</v>
      </c>
      <c r="DV282" s="2">
        <v>0.0</v>
      </c>
      <c r="DW282" s="2">
        <v>1.0</v>
      </c>
      <c r="DX282" s="2">
        <v>1.0</v>
      </c>
      <c r="DY282" s="2">
        <v>0.0</v>
      </c>
      <c r="DZ282" s="2">
        <v>5.0</v>
      </c>
      <c r="EA282" s="2">
        <v>126.0</v>
      </c>
      <c r="EB282" s="2">
        <v>1.0</v>
      </c>
      <c r="EC282" s="2">
        <v>205.0</v>
      </c>
      <c r="EE282" s="2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2">
        <v>2025.0</v>
      </c>
      <c r="B283" s="2">
        <v>10.0</v>
      </c>
      <c r="C283" s="2" t="s">
        <v>139</v>
      </c>
      <c r="D283" s="2" t="s">
        <v>390</v>
      </c>
      <c r="E283" s="2" t="s">
        <v>879</v>
      </c>
      <c r="F283" s="2" t="s">
        <v>222</v>
      </c>
      <c r="G283" s="2">
        <v>16.0</v>
      </c>
      <c r="H283" s="2">
        <v>28.0</v>
      </c>
      <c r="I283" s="2">
        <v>150.0</v>
      </c>
      <c r="J283" s="2">
        <v>1.0</v>
      </c>
      <c r="K283" s="2">
        <v>2.0</v>
      </c>
      <c r="L283" s="2">
        <v>2.0</v>
      </c>
      <c r="M283" s="2">
        <v>-14.0</v>
      </c>
      <c r="N283" s="2">
        <v>0.0</v>
      </c>
      <c r="O283" s="2">
        <v>0.0</v>
      </c>
      <c r="P283" s="2">
        <v>247.0</v>
      </c>
      <c r="Q283" s="2">
        <v>77.0</v>
      </c>
      <c r="R283" s="2">
        <v>5.0</v>
      </c>
      <c r="S283" s="2">
        <v>-10.575725868243</v>
      </c>
      <c r="T283" s="2">
        <v>-7.19163820699409</v>
      </c>
      <c r="U283" s="2">
        <v>0.0</v>
      </c>
      <c r="V283" s="2">
        <v>5.0</v>
      </c>
      <c r="W283" s="2">
        <v>2.0</v>
      </c>
      <c r="X283" s="2">
        <v>1.0</v>
      </c>
      <c r="Y283" s="2">
        <v>1.0</v>
      </c>
      <c r="Z283" s="2">
        <v>27.0</v>
      </c>
      <c r="AA283" s="2">
        <v>84.0</v>
      </c>
      <c r="AB283" s="2">
        <v>0.0</v>
      </c>
      <c r="AC283" s="2">
        <v>0.0</v>
      </c>
      <c r="AD283" s="2">
        <v>0.0</v>
      </c>
      <c r="AE283" s="2">
        <v>5.0</v>
      </c>
      <c r="AF283" s="2">
        <v>-6.84825837780954</v>
      </c>
      <c r="AG283" s="2">
        <v>0.0</v>
      </c>
      <c r="AH283" s="2">
        <v>1.0</v>
      </c>
      <c r="AI283" s="2">
        <v>1.0</v>
      </c>
      <c r="AJ283" s="2">
        <v>0.0</v>
      </c>
      <c r="AK283" s="2">
        <v>0.0</v>
      </c>
      <c r="AL283" s="2">
        <v>16.0</v>
      </c>
      <c r="AM283" s="2">
        <v>27.0</v>
      </c>
      <c r="AN283" s="2">
        <v>150.0</v>
      </c>
      <c r="AO283" s="2">
        <v>1.0</v>
      </c>
      <c r="AP283" s="2">
        <v>0.0</v>
      </c>
      <c r="AQ283" s="2">
        <v>0.0</v>
      </c>
      <c r="AR283" s="2">
        <v>247.0</v>
      </c>
      <c r="AS283" s="2">
        <v>77.0</v>
      </c>
      <c r="AT283" s="2">
        <v>5.0</v>
      </c>
      <c r="AU283" s="2">
        <v>-2.89482181769238</v>
      </c>
      <c r="AV283" s="2">
        <v>0.0</v>
      </c>
      <c r="AW283" s="2">
        <v>5.0</v>
      </c>
      <c r="AX283" s="2">
        <v>2.0</v>
      </c>
      <c r="AY283" s="2">
        <v>1.0</v>
      </c>
      <c r="AZ283" s="2">
        <v>1.0</v>
      </c>
      <c r="BA283" s="2">
        <v>0.0</v>
      </c>
      <c r="BB283" s="2">
        <v>35.0</v>
      </c>
      <c r="BC283" s="2">
        <v>0.0</v>
      </c>
      <c r="BD283" s="2">
        <v>34.0</v>
      </c>
      <c r="BE283" s="2">
        <v>5.0</v>
      </c>
      <c r="BF283" s="2">
        <v>28.0</v>
      </c>
      <c r="BG283" s="2">
        <v>1.0</v>
      </c>
      <c r="BH283" s="2">
        <v>6.0</v>
      </c>
      <c r="BI283" s="2">
        <v>29.0</v>
      </c>
      <c r="BJ283" s="2">
        <v>11.0</v>
      </c>
      <c r="BK283" s="2">
        <v>1.0</v>
      </c>
      <c r="BL283" s="2">
        <v>23.0</v>
      </c>
      <c r="BM283" s="2">
        <v>3.0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</v>
      </c>
      <c r="BV283" s="2">
        <v>0.0</v>
      </c>
      <c r="BW283" s="2">
        <v>11.0</v>
      </c>
      <c r="BX283" s="2">
        <v>78.0</v>
      </c>
      <c r="BY283" s="2">
        <v>2.0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1.0</v>
      </c>
      <c r="CF283" s="2">
        <v>-1.0</v>
      </c>
      <c r="CG283" s="2">
        <v>2.0</v>
      </c>
      <c r="CH283" s="2">
        <v>35.0</v>
      </c>
      <c r="CI283" s="2">
        <v>1.0</v>
      </c>
      <c r="CJ283" s="2">
        <v>2.0</v>
      </c>
      <c r="CK283" s="2">
        <v>1.0</v>
      </c>
      <c r="CL283" s="2">
        <v>0.0</v>
      </c>
      <c r="CM283" s="2">
        <v>32.0</v>
      </c>
      <c r="CN283" s="2">
        <v>0.5</v>
      </c>
      <c r="CO283" s="2">
        <v>0.0</v>
      </c>
      <c r="CP283" s="2">
        <v>0.0</v>
      </c>
      <c r="CQ283" s="2">
        <v>1.0</v>
      </c>
      <c r="CR283" s="2">
        <v>0.0</v>
      </c>
      <c r="CS283" s="2">
        <v>0.0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1.0</v>
      </c>
      <c r="CZ283" s="2">
        <v>0.0</v>
      </c>
      <c r="DA283" s="2" t="s">
        <v>1991</v>
      </c>
      <c r="DB283" s="2" t="s">
        <v>2150</v>
      </c>
      <c r="DD283" s="2">
        <v>32.0</v>
      </c>
      <c r="DE283" s="2">
        <v>59.0</v>
      </c>
      <c r="DF283" s="2">
        <v>0.0</v>
      </c>
      <c r="DG283" s="2">
        <v>1.0</v>
      </c>
      <c r="DH283" s="2">
        <v>1.0</v>
      </c>
      <c r="DI283" s="2">
        <v>0.0</v>
      </c>
      <c r="DJ283" s="2">
        <v>0.0</v>
      </c>
      <c r="DK283" s="2">
        <v>1.0</v>
      </c>
      <c r="DL283" s="2">
        <v>0.0</v>
      </c>
      <c r="DM283" s="2">
        <v>0.0</v>
      </c>
      <c r="DN283" s="2">
        <v>0.0</v>
      </c>
      <c r="DO283" s="2">
        <v>0.0</v>
      </c>
      <c r="DP283" s="2">
        <v>0.0</v>
      </c>
      <c r="DQ283" s="2">
        <v>7.0</v>
      </c>
      <c r="DR283" s="2">
        <v>0.0</v>
      </c>
      <c r="DS283" s="2">
        <v>54.0</v>
      </c>
      <c r="DT283" s="2">
        <v>293.0</v>
      </c>
      <c r="DU283" s="2">
        <v>0.0</v>
      </c>
      <c r="DV283" s="2">
        <v>3.0</v>
      </c>
      <c r="DW283" s="2">
        <v>0.0</v>
      </c>
      <c r="DX283" s="2">
        <v>1.0</v>
      </c>
      <c r="DY283" s="2">
        <v>0.0</v>
      </c>
      <c r="DZ283" s="2">
        <v>3.0</v>
      </c>
      <c r="EA283" s="2">
        <v>2.0</v>
      </c>
      <c r="EB283" s="2">
        <v>0.0</v>
      </c>
      <c r="EC283" s="2">
        <v>271.0</v>
      </c>
      <c r="EE283" s="2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2">
        <v>2025.0</v>
      </c>
      <c r="B284" s="2">
        <v>10.0</v>
      </c>
      <c r="C284" s="2" t="s">
        <v>202</v>
      </c>
      <c r="D284" s="2" t="s">
        <v>390</v>
      </c>
      <c r="E284" s="2" t="s">
        <v>905</v>
      </c>
      <c r="F284" s="2" t="s">
        <v>253</v>
      </c>
      <c r="G284" s="2">
        <v>25.0</v>
      </c>
      <c r="H284" s="2">
        <v>35.0</v>
      </c>
      <c r="I284" s="2">
        <v>320.0</v>
      </c>
      <c r="J284" s="2">
        <v>3.0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173.0</v>
      </c>
      <c r="Q284" s="2">
        <v>192.0</v>
      </c>
      <c r="R284" s="2">
        <v>19.0</v>
      </c>
      <c r="S284" s="2">
        <v>23.9883616689004</v>
      </c>
      <c r="T284" s="2">
        <v>9.60123417899013</v>
      </c>
      <c r="U284" s="2">
        <v>0.0</v>
      </c>
      <c r="V284" s="2">
        <v>16.0</v>
      </c>
      <c r="W284" s="2">
        <v>6.0</v>
      </c>
      <c r="X284" s="2">
        <v>2.0</v>
      </c>
      <c r="Y284" s="2">
        <v>1.0</v>
      </c>
      <c r="Z284" s="2">
        <v>33.0</v>
      </c>
      <c r="AA284" s="2">
        <v>226.0</v>
      </c>
      <c r="AB284" s="2">
        <v>2.0</v>
      </c>
      <c r="AC284" s="2">
        <v>0.0</v>
      </c>
      <c r="AD284" s="2">
        <v>0.0</v>
      </c>
      <c r="AE284" s="2">
        <v>11.0</v>
      </c>
      <c r="AF284" s="2">
        <v>8.31623308244161</v>
      </c>
      <c r="AG284" s="2">
        <v>1.0</v>
      </c>
      <c r="AH284" s="2">
        <v>6.0</v>
      </c>
      <c r="AI284" s="2">
        <v>5.0</v>
      </c>
      <c r="AJ284" s="2">
        <v>2.0</v>
      </c>
      <c r="AK284" s="2">
        <v>1.0</v>
      </c>
      <c r="AL284" s="2">
        <v>25.0</v>
      </c>
      <c r="AM284" s="2">
        <v>32.0</v>
      </c>
      <c r="AN284" s="2">
        <v>320.0</v>
      </c>
      <c r="AO284" s="2">
        <v>3.0</v>
      </c>
      <c r="AP284" s="2">
        <v>0.0</v>
      </c>
      <c r="AQ284" s="2">
        <v>0.0</v>
      </c>
      <c r="AR284" s="2">
        <v>173.0</v>
      </c>
      <c r="AS284" s="2">
        <v>192.0</v>
      </c>
      <c r="AT284" s="2">
        <v>19.0</v>
      </c>
      <c r="AU284" s="2">
        <v>26.1551776675235</v>
      </c>
      <c r="AV284" s="2">
        <v>0.0</v>
      </c>
      <c r="AW284" s="2">
        <v>16.0</v>
      </c>
      <c r="AX284" s="2">
        <v>6.0</v>
      </c>
      <c r="AY284" s="2">
        <v>2.0</v>
      </c>
      <c r="AZ284" s="2">
        <v>1.0</v>
      </c>
      <c r="BA284" s="2">
        <v>0.0</v>
      </c>
      <c r="BB284" s="2">
        <v>36.0</v>
      </c>
      <c r="BC284" s="2">
        <v>0.0</v>
      </c>
      <c r="BD284" s="2">
        <v>22.0</v>
      </c>
      <c r="BE284" s="2">
        <v>3.0</v>
      </c>
      <c r="BF284" s="2">
        <v>17.0</v>
      </c>
      <c r="BG284" s="2">
        <v>0.0</v>
      </c>
      <c r="BH284" s="2">
        <v>2.0</v>
      </c>
      <c r="BI284" s="2">
        <v>18.0</v>
      </c>
      <c r="BJ284" s="2">
        <v>6.0</v>
      </c>
      <c r="BK284" s="2">
        <v>0.0</v>
      </c>
      <c r="BL284" s="2">
        <v>0.0</v>
      </c>
      <c r="BM284" s="2">
        <v>4.0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3.0</v>
      </c>
      <c r="BX284" s="2">
        <v>1.0</v>
      </c>
      <c r="BY284" s="2">
        <v>2.0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3.0</v>
      </c>
      <c r="CF284" s="2">
        <v>3.0</v>
      </c>
      <c r="CG284" s="2">
        <v>3.0</v>
      </c>
      <c r="CH284" s="2">
        <v>60.0</v>
      </c>
      <c r="CI284" s="2">
        <v>3.0</v>
      </c>
      <c r="CJ284" s="2">
        <v>3.0</v>
      </c>
      <c r="CK284" s="2">
        <v>0.0</v>
      </c>
      <c r="CL284" s="2">
        <v>0.0</v>
      </c>
      <c r="CM284" s="2">
        <v>48.0</v>
      </c>
      <c r="CN284" s="2">
        <v>1.0</v>
      </c>
      <c r="CO284" s="2">
        <v>0.0</v>
      </c>
      <c r="CP284" s="2">
        <v>2.0</v>
      </c>
      <c r="CQ284" s="2">
        <v>0.0</v>
      </c>
      <c r="CR284" s="2">
        <v>1.0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 t="s">
        <v>2151</v>
      </c>
      <c r="DD284" s="2">
        <v>98.0</v>
      </c>
      <c r="DE284" s="2">
        <v>0.0</v>
      </c>
      <c r="DF284" s="2">
        <v>0.0</v>
      </c>
      <c r="DG284" s="2">
        <v>3.0</v>
      </c>
      <c r="DH284" s="2">
        <v>4.0</v>
      </c>
      <c r="DI284" s="2">
        <v>0.0</v>
      </c>
      <c r="DJ284" s="2">
        <v>1.0</v>
      </c>
      <c r="DK284" s="2">
        <v>0.75</v>
      </c>
      <c r="DL284" s="2">
        <v>0.0</v>
      </c>
      <c r="DM284" s="2">
        <v>0.0</v>
      </c>
      <c r="DN284" s="2">
        <v>0.0</v>
      </c>
      <c r="DO284" s="2">
        <v>0.0</v>
      </c>
      <c r="DP284" s="2">
        <v>0.0</v>
      </c>
      <c r="DQ284" s="2">
        <v>0.0</v>
      </c>
      <c r="DR284" s="2">
        <v>0.0</v>
      </c>
      <c r="DT284" s="2">
        <v>0.0</v>
      </c>
      <c r="DU284" s="2">
        <v>0.0</v>
      </c>
      <c r="DV284" s="2">
        <v>0.0</v>
      </c>
      <c r="DW284" s="2">
        <v>0.0</v>
      </c>
      <c r="DX284" s="2">
        <v>0.0</v>
      </c>
      <c r="DY284" s="2">
        <v>0.0</v>
      </c>
      <c r="DZ284" s="2">
        <v>0.0</v>
      </c>
      <c r="EA284" s="2">
        <v>0.0</v>
      </c>
      <c r="EB284" s="2">
        <v>0.0</v>
      </c>
      <c r="EC284" s="2">
        <v>0.0</v>
      </c>
      <c r="EE284" s="2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2">
        <v>2025.0</v>
      </c>
      <c r="B285" s="2">
        <v>10.0</v>
      </c>
      <c r="C285" s="2" t="s">
        <v>205</v>
      </c>
      <c r="D285" s="2" t="s">
        <v>390</v>
      </c>
      <c r="E285" s="2" t="s">
        <v>909</v>
      </c>
      <c r="F285" s="2" t="s">
        <v>147</v>
      </c>
      <c r="G285" s="2">
        <v>20.0</v>
      </c>
      <c r="H285" s="2">
        <v>36.0</v>
      </c>
      <c r="I285" s="2">
        <v>176.0</v>
      </c>
      <c r="J285" s="2">
        <v>0.0</v>
      </c>
      <c r="K285" s="2">
        <v>0.0</v>
      </c>
      <c r="L285" s="2">
        <v>3.0</v>
      </c>
      <c r="M285" s="2">
        <v>-19.0</v>
      </c>
      <c r="N285" s="2">
        <v>1.0</v>
      </c>
      <c r="O285" s="2">
        <v>1.0</v>
      </c>
      <c r="P285" s="2">
        <v>304.0</v>
      </c>
      <c r="Q285" s="2">
        <v>71.0</v>
      </c>
      <c r="R285" s="2">
        <v>10.0</v>
      </c>
      <c r="S285" s="2">
        <v>-8.13769077183433</v>
      </c>
      <c r="T285" s="2">
        <v>-6.45908979755459</v>
      </c>
      <c r="U285" s="2">
        <v>0.0</v>
      </c>
      <c r="V285" s="2">
        <v>6.0</v>
      </c>
      <c r="W285" s="2">
        <v>4.0</v>
      </c>
      <c r="X285" s="2">
        <v>3.0</v>
      </c>
      <c r="Y285" s="2">
        <v>0.0</v>
      </c>
      <c r="Z285" s="2">
        <v>27.0</v>
      </c>
      <c r="AA285" s="2">
        <v>104.0</v>
      </c>
      <c r="AB285" s="2">
        <v>1.0</v>
      </c>
      <c r="AC285" s="2">
        <v>2.0</v>
      </c>
      <c r="AD285" s="2">
        <v>1.0</v>
      </c>
      <c r="AE285" s="2">
        <v>7.0</v>
      </c>
      <c r="AF285" s="2">
        <v>-3.18889862217475</v>
      </c>
      <c r="AG285" s="2">
        <v>0.0</v>
      </c>
      <c r="AH285" s="2">
        <v>3.0</v>
      </c>
      <c r="AI285" s="2">
        <v>1.0</v>
      </c>
      <c r="AJ285" s="2">
        <v>0.0</v>
      </c>
      <c r="AK285" s="2">
        <v>0.0</v>
      </c>
      <c r="AL285" s="2">
        <v>20.0</v>
      </c>
      <c r="AM285" s="2">
        <v>33.0</v>
      </c>
      <c r="AN285" s="2">
        <v>176.0</v>
      </c>
      <c r="AO285" s="2">
        <v>0.0</v>
      </c>
      <c r="AP285" s="2">
        <v>0.0</v>
      </c>
      <c r="AQ285" s="2">
        <v>0.0</v>
      </c>
      <c r="AR285" s="2">
        <v>304.0</v>
      </c>
      <c r="AS285" s="2">
        <v>71.0</v>
      </c>
      <c r="AT285" s="2">
        <v>10.0</v>
      </c>
      <c r="AU285" s="2">
        <v>-1.09341760212556</v>
      </c>
      <c r="AV285" s="2">
        <v>0.0</v>
      </c>
      <c r="AW285" s="2">
        <v>6.0</v>
      </c>
      <c r="AX285" s="2">
        <v>4.0</v>
      </c>
      <c r="AY285" s="2">
        <v>3.0</v>
      </c>
      <c r="AZ285" s="2">
        <v>0.0</v>
      </c>
      <c r="BA285" s="2">
        <v>0.0</v>
      </c>
      <c r="BB285" s="2">
        <v>34.0</v>
      </c>
      <c r="BC285" s="2">
        <v>1.0</v>
      </c>
      <c r="BD285" s="2">
        <v>31.0</v>
      </c>
      <c r="BE285" s="2">
        <v>6.0</v>
      </c>
      <c r="BF285" s="2">
        <v>16.0</v>
      </c>
      <c r="BG285" s="2">
        <v>1.0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2.0</v>
      </c>
      <c r="BN285" s="2">
        <v>0.0</v>
      </c>
      <c r="BO285" s="2">
        <v>0.0</v>
      </c>
      <c r="BP285" s="2">
        <v>0.0</v>
      </c>
      <c r="BQ285" s="2">
        <v>0.0</v>
      </c>
      <c r="BR285" s="2">
        <v>1.0</v>
      </c>
      <c r="BS285" s="2">
        <v>-3.0</v>
      </c>
      <c r="BT285" s="2">
        <v>1.0</v>
      </c>
      <c r="BU285" s="2">
        <v>22.0</v>
      </c>
      <c r="BV285" s="2">
        <v>0.0</v>
      </c>
      <c r="BW285" s="2">
        <v>4.0</v>
      </c>
      <c r="BX285" s="2">
        <v>20.0</v>
      </c>
      <c r="BY285" s="2">
        <v>6.0</v>
      </c>
      <c r="BZ285" s="2">
        <v>2.0</v>
      </c>
      <c r="CA285" s="2">
        <v>1.0</v>
      </c>
      <c r="CB285" s="2">
        <v>0.0</v>
      </c>
      <c r="CC285" s="2">
        <v>3.0</v>
      </c>
      <c r="CD285" s="2">
        <v>2.0</v>
      </c>
      <c r="CE285" s="2">
        <v>2.0</v>
      </c>
      <c r="CF285" s="2">
        <v>22.0</v>
      </c>
      <c r="CG285" s="2">
        <v>3.0</v>
      </c>
      <c r="CH285" s="2">
        <v>77.0</v>
      </c>
      <c r="CI285" s="2">
        <v>0.0</v>
      </c>
      <c r="CJ285" s="2">
        <v>1.0</v>
      </c>
      <c r="CK285" s="2">
        <v>1.0</v>
      </c>
      <c r="CL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1.0</v>
      </c>
      <c r="DB285" s="2" t="s">
        <v>2049</v>
      </c>
      <c r="DD285" s="2">
        <v>0.0</v>
      </c>
      <c r="DE285" s="2">
        <v>64.0</v>
      </c>
      <c r="DF285" s="2">
        <v>0.0</v>
      </c>
      <c r="DG285" s="2">
        <v>1.0</v>
      </c>
      <c r="DH285" s="2">
        <v>1.0</v>
      </c>
      <c r="DI285" s="2">
        <v>0.0</v>
      </c>
      <c r="DJ285" s="2">
        <v>0.0</v>
      </c>
      <c r="DK285" s="2">
        <v>1.0</v>
      </c>
      <c r="DL285" s="2">
        <v>0.0</v>
      </c>
      <c r="DM285" s="2">
        <v>0.0</v>
      </c>
      <c r="DN285" s="2">
        <v>0.0</v>
      </c>
      <c r="DO285" s="2">
        <v>0.0</v>
      </c>
      <c r="DP285" s="2">
        <v>0.0</v>
      </c>
      <c r="DQ285" s="2">
        <v>5.0</v>
      </c>
      <c r="DR285" s="2">
        <v>0.0</v>
      </c>
      <c r="DS285" s="2">
        <v>59.0</v>
      </c>
      <c r="DT285" s="2">
        <v>239.0</v>
      </c>
      <c r="DU285" s="2">
        <v>1.0</v>
      </c>
      <c r="DV285" s="2">
        <v>0.0</v>
      </c>
      <c r="DW285" s="2">
        <v>0.0</v>
      </c>
      <c r="DX285" s="2">
        <v>2.0</v>
      </c>
      <c r="DY285" s="2">
        <v>1.0</v>
      </c>
      <c r="DZ285" s="2">
        <v>2.0</v>
      </c>
      <c r="EA285" s="2">
        <v>31.0</v>
      </c>
      <c r="EB285" s="2">
        <v>0.0</v>
      </c>
      <c r="EC285" s="2">
        <v>168.0</v>
      </c>
      <c r="EE285" s="2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2">
        <v>2025.0</v>
      </c>
      <c r="B286" s="2">
        <v>10.0</v>
      </c>
      <c r="C286" s="2" t="s">
        <v>140</v>
      </c>
      <c r="D286" s="2" t="s">
        <v>390</v>
      </c>
      <c r="E286" s="2" t="s">
        <v>889</v>
      </c>
      <c r="F286" s="2" t="s">
        <v>141</v>
      </c>
      <c r="G286" s="2">
        <v>27.0</v>
      </c>
      <c r="H286" s="2">
        <v>45.0</v>
      </c>
      <c r="I286" s="2">
        <v>292.0</v>
      </c>
      <c r="J286" s="2">
        <v>2.0</v>
      </c>
      <c r="K286" s="2">
        <v>1.0</v>
      </c>
      <c r="L286" s="2">
        <v>2.0</v>
      </c>
      <c r="M286" s="2">
        <v>-10.0</v>
      </c>
      <c r="N286" s="2">
        <v>0.0</v>
      </c>
      <c r="O286" s="2">
        <v>0.0</v>
      </c>
      <c r="P286" s="2">
        <v>427.0</v>
      </c>
      <c r="Q286" s="2">
        <v>76.0</v>
      </c>
      <c r="R286" s="2">
        <v>17.0</v>
      </c>
      <c r="S286" s="2">
        <v>0.754407670829039</v>
      </c>
      <c r="T286" s="2">
        <v>-3.25932658531449</v>
      </c>
      <c r="U286" s="2">
        <v>1.0</v>
      </c>
      <c r="V286" s="2">
        <v>10.0</v>
      </c>
      <c r="W286" s="2">
        <v>6.0</v>
      </c>
      <c r="X286" s="2">
        <v>4.0</v>
      </c>
      <c r="Y286" s="2">
        <v>1.0</v>
      </c>
      <c r="Z286" s="2">
        <v>22.0</v>
      </c>
      <c r="AA286" s="2">
        <v>130.0</v>
      </c>
      <c r="AB286" s="2">
        <v>2.0</v>
      </c>
      <c r="AC286" s="2">
        <v>1.0</v>
      </c>
      <c r="AD286" s="2">
        <v>0.0</v>
      </c>
      <c r="AE286" s="2">
        <v>8.0</v>
      </c>
      <c r="AF286" s="2">
        <v>4.54529228839977</v>
      </c>
      <c r="AG286" s="2">
        <v>0.0</v>
      </c>
      <c r="AH286" s="2">
        <v>5.0</v>
      </c>
      <c r="AI286" s="2">
        <v>4.0</v>
      </c>
      <c r="AJ286" s="2">
        <v>1.0</v>
      </c>
      <c r="AK286" s="2">
        <v>0.0</v>
      </c>
      <c r="AL286" s="2">
        <v>27.0</v>
      </c>
      <c r="AM286" s="2">
        <v>44.0</v>
      </c>
      <c r="AN286" s="2">
        <v>292.0</v>
      </c>
      <c r="AO286" s="2">
        <v>2.0</v>
      </c>
      <c r="AP286" s="2">
        <v>0.0</v>
      </c>
      <c r="AQ286" s="2">
        <v>0.0</v>
      </c>
      <c r="AR286" s="2">
        <v>427.0</v>
      </c>
      <c r="AS286" s="2">
        <v>76.0</v>
      </c>
      <c r="AT286" s="2">
        <v>17.0</v>
      </c>
      <c r="AU286" s="2">
        <v>3.19861797524203</v>
      </c>
      <c r="AV286" s="2">
        <v>1.0</v>
      </c>
      <c r="AW286" s="2">
        <v>10.0</v>
      </c>
      <c r="AX286" s="2">
        <v>6.0</v>
      </c>
      <c r="AY286" s="2">
        <v>4.0</v>
      </c>
      <c r="AZ286" s="2">
        <v>1.0</v>
      </c>
      <c r="BA286" s="2">
        <v>0.0</v>
      </c>
      <c r="BB286" s="2">
        <v>38.0</v>
      </c>
      <c r="BC286" s="2">
        <v>0.0</v>
      </c>
      <c r="BD286" s="2">
        <v>26.0</v>
      </c>
      <c r="BE286" s="2">
        <v>8.0</v>
      </c>
      <c r="BF286" s="2">
        <v>48.0</v>
      </c>
      <c r="BG286" s="2">
        <v>2.0</v>
      </c>
      <c r="BH286" s="2">
        <v>5.0</v>
      </c>
      <c r="BI286" s="2">
        <v>39.0</v>
      </c>
      <c r="BJ286" s="2">
        <v>6.0</v>
      </c>
      <c r="BK286" s="2">
        <v>1.0</v>
      </c>
      <c r="BL286" s="2">
        <v>0.0</v>
      </c>
      <c r="BM286" s="2">
        <v>9.0</v>
      </c>
      <c r="BN286" s="2">
        <v>0.0</v>
      </c>
      <c r="BO286" s="2">
        <v>0.0</v>
      </c>
      <c r="BP286" s="2">
        <v>0.0</v>
      </c>
      <c r="BQ286" s="2">
        <v>0.0</v>
      </c>
      <c r="BR286" s="2">
        <v>1.0</v>
      </c>
      <c r="BS286" s="2">
        <v>-5.0</v>
      </c>
      <c r="BT286" s="2">
        <v>1.0</v>
      </c>
      <c r="BU286" s="2">
        <v>32.0</v>
      </c>
      <c r="BV286" s="2">
        <v>1.0</v>
      </c>
      <c r="BW286" s="2">
        <v>11.0</v>
      </c>
      <c r="BX286" s="2">
        <v>80.0</v>
      </c>
      <c r="BY286" s="2">
        <v>4.0</v>
      </c>
      <c r="BZ286" s="2">
        <v>1.0</v>
      </c>
      <c r="CA286" s="2">
        <v>1.0</v>
      </c>
      <c r="CB286" s="2">
        <v>0.0</v>
      </c>
      <c r="CC286" s="2">
        <v>2.0</v>
      </c>
      <c r="CD286" s="2">
        <v>1.0</v>
      </c>
      <c r="CE286" s="2">
        <v>1.0</v>
      </c>
      <c r="CF286" s="2">
        <v>8.0</v>
      </c>
      <c r="CG286" s="2">
        <v>3.0</v>
      </c>
      <c r="CH286" s="2">
        <v>71.0</v>
      </c>
      <c r="CI286" s="2">
        <v>1.0</v>
      </c>
      <c r="CJ286" s="2">
        <v>1.0</v>
      </c>
      <c r="CK286" s="2">
        <v>0.0</v>
      </c>
      <c r="CL286" s="2">
        <v>0.0</v>
      </c>
      <c r="CM286" s="2">
        <v>23.0</v>
      </c>
      <c r="CN286" s="2">
        <v>1.0</v>
      </c>
      <c r="CO286" s="2">
        <v>0.0</v>
      </c>
      <c r="CP286" s="2">
        <v>1.0</v>
      </c>
      <c r="CQ286" s="2">
        <v>0.0</v>
      </c>
      <c r="CR286" s="2">
        <v>0.0</v>
      </c>
      <c r="CS286" s="2">
        <v>0.0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0.0</v>
      </c>
      <c r="DA286" s="2" t="s">
        <v>2152</v>
      </c>
      <c r="DD286" s="2">
        <v>23.0</v>
      </c>
      <c r="DE286" s="2">
        <v>0.0</v>
      </c>
      <c r="DF286" s="2">
        <v>0.0</v>
      </c>
      <c r="DG286" s="2">
        <v>1.0</v>
      </c>
      <c r="DH286" s="2">
        <v>1.0</v>
      </c>
      <c r="DI286" s="2">
        <v>0.0</v>
      </c>
      <c r="DJ286" s="2">
        <v>0.0</v>
      </c>
      <c r="DK286" s="2">
        <v>1.0</v>
      </c>
      <c r="DL286" s="2">
        <v>0.0</v>
      </c>
      <c r="DM286" s="2">
        <v>0.0</v>
      </c>
      <c r="DN286" s="2">
        <v>0.0</v>
      </c>
      <c r="DO286" s="2">
        <v>0.0</v>
      </c>
      <c r="DP286" s="2">
        <v>0.0</v>
      </c>
      <c r="DQ286" s="2">
        <v>2.0</v>
      </c>
      <c r="DR286" s="2">
        <v>0.0</v>
      </c>
      <c r="DS286" s="2">
        <v>68.0</v>
      </c>
      <c r="DT286" s="2">
        <v>108.0</v>
      </c>
      <c r="DU286" s="2">
        <v>0.0</v>
      </c>
      <c r="DV286" s="2">
        <v>0.0</v>
      </c>
      <c r="DW286" s="2">
        <v>0.0</v>
      </c>
      <c r="DX286" s="2">
        <v>0.0</v>
      </c>
      <c r="DY286" s="2">
        <v>0.0</v>
      </c>
      <c r="DZ286" s="2">
        <v>2.0</v>
      </c>
      <c r="EA286" s="2">
        <v>90.0</v>
      </c>
      <c r="EB286" s="2">
        <v>1.0</v>
      </c>
      <c r="EC286" s="2">
        <v>18.0</v>
      </c>
      <c r="EE286" s="2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2">
        <v>2025.0</v>
      </c>
      <c r="B287" s="2">
        <v>10.0</v>
      </c>
      <c r="C287" s="2" t="s">
        <v>210</v>
      </c>
      <c r="D287" s="2" t="s">
        <v>390</v>
      </c>
      <c r="E287" s="2" t="s">
        <v>882</v>
      </c>
      <c r="F287" s="2" t="s">
        <v>132</v>
      </c>
      <c r="G287" s="2">
        <v>19.0</v>
      </c>
      <c r="H287" s="2">
        <v>26.0</v>
      </c>
      <c r="I287" s="2">
        <v>255.0</v>
      </c>
      <c r="J287" s="2">
        <v>1.0</v>
      </c>
      <c r="K287" s="2">
        <v>1.0</v>
      </c>
      <c r="L287" s="2">
        <v>7.0</v>
      </c>
      <c r="M287" s="2">
        <v>-59.0</v>
      </c>
      <c r="N287" s="2">
        <v>3.0</v>
      </c>
      <c r="O287" s="2">
        <v>1.0</v>
      </c>
      <c r="P287" s="2">
        <v>209.0</v>
      </c>
      <c r="Q287" s="2">
        <v>134.0</v>
      </c>
      <c r="R287" s="2">
        <v>10.0</v>
      </c>
      <c r="S287" s="2">
        <v>-2.11333849455145</v>
      </c>
      <c r="T287" s="2">
        <v>3.07265703494732</v>
      </c>
      <c r="U287" s="2">
        <v>0.0</v>
      </c>
      <c r="V287" s="2">
        <v>11.0</v>
      </c>
      <c r="W287" s="2">
        <v>5.0</v>
      </c>
      <c r="X287" s="2">
        <v>5.0</v>
      </c>
      <c r="Y287" s="2">
        <v>0.0</v>
      </c>
      <c r="Z287" s="2">
        <v>41.0</v>
      </c>
      <c r="AA287" s="2">
        <v>323.0</v>
      </c>
      <c r="AB287" s="2">
        <v>3.0</v>
      </c>
      <c r="AC287" s="2">
        <v>0.0</v>
      </c>
      <c r="AD287" s="2">
        <v>0.0</v>
      </c>
      <c r="AE287" s="2">
        <v>15.0</v>
      </c>
      <c r="AF287" s="2">
        <v>13.4375390614971</v>
      </c>
      <c r="AG287" s="2">
        <v>0.0</v>
      </c>
      <c r="AH287" s="2">
        <v>8.0</v>
      </c>
      <c r="AI287" s="2">
        <v>7.0</v>
      </c>
      <c r="AJ287" s="2">
        <v>3.0</v>
      </c>
      <c r="AK287" s="2">
        <v>1.0</v>
      </c>
      <c r="AL287" s="2">
        <v>19.0</v>
      </c>
      <c r="AM287" s="2">
        <v>26.0</v>
      </c>
      <c r="AN287" s="2">
        <v>255.0</v>
      </c>
      <c r="AO287" s="2">
        <v>1.0</v>
      </c>
      <c r="AP287" s="2">
        <v>1.0</v>
      </c>
      <c r="AQ287" s="2">
        <v>0.0</v>
      </c>
      <c r="AR287" s="2">
        <v>209.0</v>
      </c>
      <c r="AS287" s="2">
        <v>134.0</v>
      </c>
      <c r="AT287" s="2">
        <v>10.0</v>
      </c>
      <c r="AU287" s="2">
        <v>11.3562749021273</v>
      </c>
      <c r="AV287" s="2">
        <v>0.0</v>
      </c>
      <c r="AW287" s="2">
        <v>11.0</v>
      </c>
      <c r="AX287" s="2">
        <v>5.0</v>
      </c>
      <c r="AY287" s="2">
        <v>5.0</v>
      </c>
      <c r="AZ287" s="2">
        <v>0.0</v>
      </c>
      <c r="BA287" s="2">
        <v>0.0</v>
      </c>
      <c r="BB287" s="2">
        <v>35.0</v>
      </c>
      <c r="BC287" s="2">
        <v>0.0</v>
      </c>
      <c r="BD287" s="2">
        <v>28.0</v>
      </c>
      <c r="BE287" s="2">
        <v>4.0</v>
      </c>
      <c r="BF287" s="2">
        <v>33.0</v>
      </c>
      <c r="BG287" s="2">
        <v>1.0</v>
      </c>
      <c r="BH287" s="2">
        <v>3.0</v>
      </c>
      <c r="BI287" s="2">
        <v>27.0</v>
      </c>
      <c r="BJ287" s="2">
        <v>3.0</v>
      </c>
      <c r="BK287" s="2">
        <v>0.0</v>
      </c>
      <c r="BL287" s="2">
        <v>0.0</v>
      </c>
      <c r="BM287" s="2">
        <v>3.0</v>
      </c>
      <c r="BN287" s="2">
        <v>0.0</v>
      </c>
      <c r="BO287" s="2">
        <v>0.0</v>
      </c>
      <c r="BP287" s="2">
        <v>0.0</v>
      </c>
      <c r="BQ287" s="2">
        <v>0.0</v>
      </c>
      <c r="BR287" s="2">
        <v>2.0</v>
      </c>
      <c r="BS287" s="2">
        <v>0.0</v>
      </c>
      <c r="BT287" s="2">
        <v>1.0</v>
      </c>
      <c r="BU287" s="2">
        <v>8.0</v>
      </c>
      <c r="BV287" s="2">
        <v>0.0</v>
      </c>
      <c r="BW287" s="2">
        <v>7.0</v>
      </c>
      <c r="BX287" s="2">
        <v>56.0</v>
      </c>
      <c r="BY287" s="2">
        <v>3.0</v>
      </c>
      <c r="BZ287" s="2">
        <v>4.0</v>
      </c>
      <c r="CA287" s="2">
        <v>0.0</v>
      </c>
      <c r="CB287" s="2">
        <v>1.0</v>
      </c>
      <c r="CC287" s="2">
        <v>4.0</v>
      </c>
      <c r="CD287" s="2">
        <v>1.0</v>
      </c>
      <c r="CE287" s="2">
        <v>3.0</v>
      </c>
      <c r="CF287" s="2">
        <v>32.0</v>
      </c>
      <c r="CG287" s="2">
        <v>4.0</v>
      </c>
      <c r="CH287" s="2">
        <v>139.0</v>
      </c>
      <c r="CI287" s="2">
        <v>2.0</v>
      </c>
      <c r="CJ287" s="2">
        <v>3.0</v>
      </c>
      <c r="CK287" s="2">
        <v>1.0</v>
      </c>
      <c r="CL287" s="2">
        <v>0.0</v>
      </c>
      <c r="CM287" s="2">
        <v>44.0</v>
      </c>
      <c r="CN287" s="2">
        <v>0.666666666666667</v>
      </c>
      <c r="CO287" s="2">
        <v>0.0</v>
      </c>
      <c r="CP287" s="2">
        <v>0.0</v>
      </c>
      <c r="CQ287" s="2">
        <v>1.0</v>
      </c>
      <c r="CR287" s="2">
        <v>1.0</v>
      </c>
      <c r="CS287" s="2">
        <v>0.0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1.0</v>
      </c>
      <c r="CZ287" s="2">
        <v>0.0</v>
      </c>
      <c r="DA287" s="2" t="s">
        <v>2153</v>
      </c>
      <c r="DB287" s="2" t="s">
        <v>2072</v>
      </c>
      <c r="DD287" s="2">
        <v>78.0</v>
      </c>
      <c r="DE287" s="2">
        <v>53.0</v>
      </c>
      <c r="DF287" s="2">
        <v>0.0</v>
      </c>
      <c r="DG287" s="2">
        <v>1.0</v>
      </c>
      <c r="DH287" s="2">
        <v>2.0</v>
      </c>
      <c r="DI287" s="2">
        <v>1.0</v>
      </c>
      <c r="DJ287" s="2">
        <v>0.0</v>
      </c>
      <c r="DK287" s="2">
        <v>0.5</v>
      </c>
      <c r="DL287" s="2">
        <v>0.0</v>
      </c>
      <c r="DM287" s="2">
        <v>0.0</v>
      </c>
      <c r="DN287" s="2">
        <v>0.0</v>
      </c>
      <c r="DO287" s="2">
        <v>0.0</v>
      </c>
      <c r="DP287" s="2">
        <v>0.0</v>
      </c>
      <c r="DQ287" s="2">
        <v>1.0</v>
      </c>
      <c r="DR287" s="2">
        <v>0.0</v>
      </c>
      <c r="DS287" s="2">
        <v>44.0</v>
      </c>
      <c r="DT287" s="2">
        <v>44.0</v>
      </c>
      <c r="DU287" s="2">
        <v>0.0</v>
      </c>
      <c r="DV287" s="2">
        <v>0.0</v>
      </c>
      <c r="DW287" s="2">
        <v>0.0</v>
      </c>
      <c r="DX287" s="2">
        <v>0.0</v>
      </c>
      <c r="DY287" s="2">
        <v>1.0</v>
      </c>
      <c r="DZ287" s="2">
        <v>0.0</v>
      </c>
      <c r="EA287" s="2">
        <v>0.0</v>
      </c>
      <c r="EB287" s="2">
        <v>0.0</v>
      </c>
      <c r="EC287" s="2">
        <v>44.0</v>
      </c>
      <c r="EE287" s="2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2">
        <v>2025.0</v>
      </c>
      <c r="B288" s="2">
        <v>10.0</v>
      </c>
      <c r="C288" s="2" t="s">
        <v>141</v>
      </c>
      <c r="D288" s="2" t="s">
        <v>390</v>
      </c>
      <c r="E288" s="2" t="s">
        <v>889</v>
      </c>
      <c r="F288" s="2" t="s">
        <v>140</v>
      </c>
      <c r="G288" s="2">
        <v>13.0</v>
      </c>
      <c r="H288" s="2">
        <v>23.0</v>
      </c>
      <c r="I288" s="2">
        <v>158.0</v>
      </c>
      <c r="J288" s="2">
        <v>1.0</v>
      </c>
      <c r="K288" s="2">
        <v>1.0</v>
      </c>
      <c r="L288" s="2">
        <v>5.0</v>
      </c>
      <c r="M288" s="2">
        <v>-39.0</v>
      </c>
      <c r="N288" s="2">
        <v>2.0</v>
      </c>
      <c r="O288" s="2">
        <v>1.0</v>
      </c>
      <c r="P288" s="2">
        <v>146.0</v>
      </c>
      <c r="Q288" s="2">
        <v>77.0</v>
      </c>
      <c r="R288" s="2">
        <v>7.0</v>
      </c>
      <c r="S288" s="2">
        <v>-7.29207538423307</v>
      </c>
      <c r="T288" s="2">
        <v>-14.4266659798829</v>
      </c>
      <c r="U288" s="2">
        <v>0.0</v>
      </c>
      <c r="V288" s="2">
        <v>7.0</v>
      </c>
      <c r="W288" s="2">
        <v>4.0</v>
      </c>
      <c r="X288" s="2">
        <v>2.0</v>
      </c>
      <c r="Y288" s="2">
        <v>0.0</v>
      </c>
      <c r="Z288" s="2">
        <v>27.0</v>
      </c>
      <c r="AA288" s="2">
        <v>94.0</v>
      </c>
      <c r="AB288" s="2">
        <v>1.0</v>
      </c>
      <c r="AC288" s="2">
        <v>0.0</v>
      </c>
      <c r="AD288" s="2">
        <v>0.0</v>
      </c>
      <c r="AE288" s="2">
        <v>6.0</v>
      </c>
      <c r="AF288" s="2">
        <v>-5.89976264028488</v>
      </c>
      <c r="AG288" s="2">
        <v>0.0</v>
      </c>
      <c r="AH288" s="2">
        <v>3.0</v>
      </c>
      <c r="AI288" s="2">
        <v>2.0</v>
      </c>
      <c r="AJ288" s="2">
        <v>1.0</v>
      </c>
      <c r="AK288" s="2">
        <v>0.0</v>
      </c>
      <c r="AL288" s="2">
        <v>13.0</v>
      </c>
      <c r="AM288" s="2">
        <v>23.0</v>
      </c>
      <c r="AN288" s="2">
        <v>158.0</v>
      </c>
      <c r="AO288" s="2">
        <v>1.0</v>
      </c>
      <c r="AP288" s="2">
        <v>0.0</v>
      </c>
      <c r="AQ288" s="2">
        <v>0.0</v>
      </c>
      <c r="AR288" s="2">
        <v>146.0</v>
      </c>
      <c r="AS288" s="2">
        <v>77.0</v>
      </c>
      <c r="AT288" s="2">
        <v>7.0</v>
      </c>
      <c r="AU288" s="2">
        <v>5.3781842659233</v>
      </c>
      <c r="AV288" s="2">
        <v>0.0</v>
      </c>
      <c r="AW288" s="2">
        <v>7.0</v>
      </c>
      <c r="AX288" s="2">
        <v>4.0</v>
      </c>
      <c r="AY288" s="2">
        <v>2.0</v>
      </c>
      <c r="AZ288" s="2">
        <v>0.0</v>
      </c>
      <c r="BA288" s="2">
        <v>1.0</v>
      </c>
      <c r="BB288" s="2">
        <v>28.0</v>
      </c>
      <c r="BC288" s="2">
        <v>1.0</v>
      </c>
      <c r="BD288" s="2">
        <v>41.0</v>
      </c>
      <c r="BE288" s="2">
        <v>5.0</v>
      </c>
      <c r="BF288" s="2">
        <v>16.0</v>
      </c>
      <c r="BG288" s="2">
        <v>1.0</v>
      </c>
      <c r="BH288" s="2">
        <v>2.0</v>
      </c>
      <c r="BI288" s="2">
        <v>10.0</v>
      </c>
      <c r="BJ288" s="2">
        <v>3.0</v>
      </c>
      <c r="BK288" s="2">
        <v>1.0</v>
      </c>
      <c r="BL288" s="2">
        <v>0.0</v>
      </c>
      <c r="BM288" s="2">
        <v>8.0</v>
      </c>
      <c r="BN288" s="2">
        <v>0.0</v>
      </c>
      <c r="BO288" s="2">
        <v>0.0</v>
      </c>
      <c r="BP288" s="2">
        <v>0.0</v>
      </c>
      <c r="BQ288" s="2">
        <v>0.0</v>
      </c>
      <c r="BR288" s="2">
        <v>1.0</v>
      </c>
      <c r="BS288" s="2">
        <v>0.0</v>
      </c>
      <c r="BT288" s="2">
        <v>1.0</v>
      </c>
      <c r="BU288" s="2">
        <v>0.0</v>
      </c>
      <c r="BV288" s="2">
        <v>0.0</v>
      </c>
      <c r="BW288" s="2">
        <v>9.0</v>
      </c>
      <c r="BX288" s="2">
        <v>90.0</v>
      </c>
      <c r="BY288" s="2">
        <v>5.0</v>
      </c>
      <c r="BZ288" s="2">
        <v>2.0</v>
      </c>
      <c r="CA288" s="2">
        <v>0.0</v>
      </c>
      <c r="CB288" s="2">
        <v>0.0</v>
      </c>
      <c r="CC288" s="2">
        <v>2.0</v>
      </c>
      <c r="CD288" s="2">
        <v>1.0</v>
      </c>
      <c r="CE288" s="2">
        <v>2.0</v>
      </c>
      <c r="CF288" s="2">
        <v>90.0</v>
      </c>
      <c r="CG288" s="2">
        <v>6.0</v>
      </c>
      <c r="CH288" s="2">
        <v>160.0</v>
      </c>
      <c r="CI288" s="2">
        <v>3.0</v>
      </c>
      <c r="CJ288" s="2">
        <v>3.0</v>
      </c>
      <c r="CK288" s="2">
        <v>0.0</v>
      </c>
      <c r="CL288" s="2">
        <v>0.0</v>
      </c>
      <c r="CM288" s="2">
        <v>53.0</v>
      </c>
      <c r="CN288" s="2">
        <v>1.0</v>
      </c>
      <c r="CO288" s="2">
        <v>0.0</v>
      </c>
      <c r="CP288" s="2">
        <v>0.0</v>
      </c>
      <c r="CQ288" s="2">
        <v>2.0</v>
      </c>
      <c r="CR288" s="2">
        <v>0.0</v>
      </c>
      <c r="CS288" s="2">
        <v>1.0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 t="s">
        <v>2154</v>
      </c>
      <c r="DD288" s="2">
        <v>118.0</v>
      </c>
      <c r="DE288" s="2">
        <v>0.0</v>
      </c>
      <c r="DF288" s="2">
        <v>0.0</v>
      </c>
      <c r="DG288" s="2">
        <v>2.0</v>
      </c>
      <c r="DH288" s="2">
        <v>2.0</v>
      </c>
      <c r="DI288" s="2">
        <v>0.0</v>
      </c>
      <c r="DJ288" s="2">
        <v>0.0</v>
      </c>
      <c r="DK288" s="2">
        <v>1.0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3.0</v>
      </c>
      <c r="DR288" s="2">
        <v>0.0</v>
      </c>
      <c r="DS288" s="2">
        <v>53.0</v>
      </c>
      <c r="DT288" s="2">
        <v>137.0</v>
      </c>
      <c r="DU288" s="2">
        <v>2.0</v>
      </c>
      <c r="DV288" s="2">
        <v>0.0</v>
      </c>
      <c r="DW288" s="2">
        <v>1.0</v>
      </c>
      <c r="DX288" s="2">
        <v>0.0</v>
      </c>
      <c r="DY288" s="2">
        <v>1.0</v>
      </c>
      <c r="DZ288" s="2">
        <v>1.0</v>
      </c>
      <c r="EA288" s="2">
        <v>8.0</v>
      </c>
      <c r="EB288" s="2">
        <v>0.0</v>
      </c>
      <c r="EC288" s="2">
        <v>129.0</v>
      </c>
      <c r="EE288" s="2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2">
        <v>2025.0</v>
      </c>
      <c r="B289" s="2">
        <v>10.0</v>
      </c>
      <c r="C289" s="2" t="s">
        <v>142</v>
      </c>
      <c r="D289" s="2" t="s">
        <v>390</v>
      </c>
      <c r="E289" s="2" t="s">
        <v>903</v>
      </c>
      <c r="F289" s="2" t="s">
        <v>246</v>
      </c>
      <c r="G289" s="2">
        <v>24.0</v>
      </c>
      <c r="H289" s="2">
        <v>36.0</v>
      </c>
      <c r="I289" s="2">
        <v>280.0</v>
      </c>
      <c r="J289" s="2">
        <v>4.0</v>
      </c>
      <c r="K289" s="2">
        <v>0.0</v>
      </c>
      <c r="L289" s="2">
        <v>1.0</v>
      </c>
      <c r="M289" s="2">
        <v>-5.0</v>
      </c>
      <c r="N289" s="2">
        <v>0.0</v>
      </c>
      <c r="O289" s="2">
        <v>0.0</v>
      </c>
      <c r="P289" s="2">
        <v>332.0</v>
      </c>
      <c r="Q289" s="2">
        <v>142.0</v>
      </c>
      <c r="R289" s="2">
        <v>20.0</v>
      </c>
      <c r="S289" s="2">
        <v>22.6301585333131</v>
      </c>
      <c r="T289" s="2">
        <v>10.5948607711231</v>
      </c>
      <c r="U289" s="2">
        <v>0.0</v>
      </c>
      <c r="V289" s="2">
        <v>15.0</v>
      </c>
      <c r="W289" s="2">
        <v>4.0</v>
      </c>
      <c r="X289" s="2">
        <v>3.0</v>
      </c>
      <c r="Y289" s="2">
        <v>0.0</v>
      </c>
      <c r="Z289" s="2">
        <v>30.0</v>
      </c>
      <c r="AA289" s="2">
        <v>126.0</v>
      </c>
      <c r="AB289" s="2">
        <v>2.0</v>
      </c>
      <c r="AC289" s="2">
        <v>0.0</v>
      </c>
      <c r="AD289" s="2">
        <v>0.0</v>
      </c>
      <c r="AE289" s="2">
        <v>9.0</v>
      </c>
      <c r="AF289" s="2">
        <v>0.475754399230937</v>
      </c>
      <c r="AG289" s="2">
        <v>0.0</v>
      </c>
      <c r="AH289" s="2">
        <v>3.0</v>
      </c>
      <c r="AI289" s="2">
        <v>3.0</v>
      </c>
      <c r="AJ289" s="2">
        <v>0.0</v>
      </c>
      <c r="AK289" s="2">
        <v>0.0</v>
      </c>
      <c r="AL289" s="2">
        <v>24.0</v>
      </c>
      <c r="AM289" s="2">
        <v>34.0</v>
      </c>
      <c r="AN289" s="2">
        <v>280.0</v>
      </c>
      <c r="AO289" s="2">
        <v>4.0</v>
      </c>
      <c r="AP289" s="2">
        <v>0.0</v>
      </c>
      <c r="AQ289" s="2">
        <v>0.0</v>
      </c>
      <c r="AR289" s="2">
        <v>332.0</v>
      </c>
      <c r="AS289" s="2">
        <v>142.0</v>
      </c>
      <c r="AT289" s="2">
        <v>20.0</v>
      </c>
      <c r="AU289" s="2">
        <v>24.8215802372724</v>
      </c>
      <c r="AV289" s="2">
        <v>0.0</v>
      </c>
      <c r="AW289" s="2">
        <v>15.0</v>
      </c>
      <c r="AX289" s="2">
        <v>4.0</v>
      </c>
      <c r="AY289" s="2">
        <v>3.0</v>
      </c>
      <c r="AZ289" s="2">
        <v>0.0</v>
      </c>
      <c r="BA289" s="2">
        <v>0.0</v>
      </c>
      <c r="BB289" s="2">
        <v>34.0</v>
      </c>
      <c r="BC289" s="2">
        <v>2.0</v>
      </c>
      <c r="BD289" s="2">
        <v>34.0</v>
      </c>
      <c r="BE289" s="2">
        <v>2.0</v>
      </c>
      <c r="BF289" s="2">
        <v>3.0</v>
      </c>
      <c r="BG289" s="2">
        <v>1.0</v>
      </c>
      <c r="BH289" s="2">
        <v>0.0</v>
      </c>
      <c r="BI289" s="2">
        <v>0.0</v>
      </c>
      <c r="BJ289" s="2">
        <v>1.0</v>
      </c>
      <c r="BK289" s="2">
        <v>1.0</v>
      </c>
      <c r="BL289" s="2">
        <v>5.0</v>
      </c>
      <c r="BM289" s="2">
        <v>5.0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1.0</v>
      </c>
      <c r="BU289" s="2">
        <v>13.0</v>
      </c>
      <c r="BV289" s="2">
        <v>0.0</v>
      </c>
      <c r="BW289" s="2">
        <v>0.0</v>
      </c>
      <c r="BX289" s="2">
        <v>0.0</v>
      </c>
      <c r="BY289" s="2">
        <v>3.0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1.0</v>
      </c>
      <c r="CF289" s="2">
        <v>5.0</v>
      </c>
      <c r="CG289" s="2">
        <v>4.0</v>
      </c>
      <c r="CH289" s="2">
        <v>110.0</v>
      </c>
      <c r="CI289" s="2">
        <v>0.0</v>
      </c>
      <c r="CJ289" s="2">
        <v>0.0</v>
      </c>
      <c r="CK289" s="2">
        <v>0.0</v>
      </c>
      <c r="CL289" s="2">
        <v>0.0</v>
      </c>
      <c r="CO289" s="2">
        <v>0.0</v>
      </c>
      <c r="CP289" s="2">
        <v>0.0</v>
      </c>
      <c r="CQ289" s="2">
        <v>0.0</v>
      </c>
      <c r="CR289" s="2">
        <v>0.0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D289" s="2">
        <v>0.0</v>
      </c>
      <c r="DE289" s="2">
        <v>0.0</v>
      </c>
      <c r="DF289" s="2">
        <v>0.0</v>
      </c>
      <c r="DG289" s="2">
        <v>6.0</v>
      </c>
      <c r="DH289" s="2">
        <v>6.0</v>
      </c>
      <c r="DI289" s="2">
        <v>0.0</v>
      </c>
      <c r="DJ289" s="2">
        <v>0.0</v>
      </c>
      <c r="DK289" s="2">
        <v>1.0</v>
      </c>
      <c r="DL289" s="2">
        <v>0.0</v>
      </c>
      <c r="DM289" s="2">
        <v>0.0</v>
      </c>
      <c r="DN289" s="2">
        <v>0.0</v>
      </c>
      <c r="DO289" s="2">
        <v>0.0</v>
      </c>
      <c r="DP289" s="2">
        <v>0.0</v>
      </c>
      <c r="DQ289" s="2">
        <v>2.0</v>
      </c>
      <c r="DR289" s="2">
        <v>0.0</v>
      </c>
      <c r="DS289" s="2">
        <v>48.0</v>
      </c>
      <c r="DT289" s="2">
        <v>73.0</v>
      </c>
      <c r="DU289" s="2">
        <v>1.0</v>
      </c>
      <c r="DV289" s="2">
        <v>1.0</v>
      </c>
      <c r="DW289" s="2">
        <v>0.0</v>
      </c>
      <c r="DX289" s="2">
        <v>0.0</v>
      </c>
      <c r="DY289" s="2">
        <v>0.0</v>
      </c>
      <c r="DZ289" s="2">
        <v>1.0</v>
      </c>
      <c r="EA289" s="2">
        <v>27.0</v>
      </c>
      <c r="EB289" s="2">
        <v>0.0</v>
      </c>
      <c r="EC289" s="2">
        <v>46.0</v>
      </c>
      <c r="EE289" s="2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2">
        <v>2025.0</v>
      </c>
      <c r="B290" s="2">
        <v>10.0</v>
      </c>
      <c r="C290" s="2" t="s">
        <v>220</v>
      </c>
      <c r="D290" s="2" t="s">
        <v>390</v>
      </c>
      <c r="E290" s="2" t="s">
        <v>907</v>
      </c>
      <c r="F290" s="2" t="s">
        <v>242</v>
      </c>
      <c r="G290" s="2">
        <v>20.0</v>
      </c>
      <c r="H290" s="2">
        <v>33.0</v>
      </c>
      <c r="I290" s="2">
        <v>220.0</v>
      </c>
      <c r="J290" s="2">
        <v>1.0</v>
      </c>
      <c r="K290" s="2">
        <v>0.0</v>
      </c>
      <c r="L290" s="2">
        <v>5.0</v>
      </c>
      <c r="M290" s="2">
        <v>-21.0</v>
      </c>
      <c r="N290" s="2">
        <v>0.0</v>
      </c>
      <c r="O290" s="2">
        <v>0.0</v>
      </c>
      <c r="P290" s="2">
        <v>156.0</v>
      </c>
      <c r="Q290" s="2">
        <v>179.0</v>
      </c>
      <c r="R290" s="2">
        <v>7.0</v>
      </c>
      <c r="S290" s="2">
        <v>-6.66106734300756</v>
      </c>
      <c r="T290" s="2">
        <v>-14.1030844413873</v>
      </c>
      <c r="U290" s="2">
        <v>0.0</v>
      </c>
      <c r="V290" s="2">
        <v>8.0</v>
      </c>
      <c r="W290" s="2">
        <v>3.0</v>
      </c>
      <c r="X290" s="2">
        <v>1.0</v>
      </c>
      <c r="Y290" s="2">
        <v>1.0</v>
      </c>
      <c r="Z290" s="2">
        <v>31.0</v>
      </c>
      <c r="AA290" s="2">
        <v>115.0</v>
      </c>
      <c r="AB290" s="2">
        <v>1.0</v>
      </c>
      <c r="AC290" s="2">
        <v>0.0</v>
      </c>
      <c r="AD290" s="2">
        <v>0.0</v>
      </c>
      <c r="AE290" s="2">
        <v>11.0</v>
      </c>
      <c r="AF290" s="2">
        <v>-1.02281588684144</v>
      </c>
      <c r="AG290" s="2">
        <v>0.0</v>
      </c>
      <c r="AH290" s="2">
        <v>5.0</v>
      </c>
      <c r="AI290" s="2">
        <v>2.0</v>
      </c>
      <c r="AJ290" s="2">
        <v>0.0</v>
      </c>
      <c r="AK290" s="2">
        <v>0.0</v>
      </c>
      <c r="AL290" s="2">
        <v>20.0</v>
      </c>
      <c r="AM290" s="2">
        <v>33.0</v>
      </c>
      <c r="AN290" s="2">
        <v>220.0</v>
      </c>
      <c r="AO290" s="2">
        <v>1.0</v>
      </c>
      <c r="AP290" s="2">
        <v>0.0</v>
      </c>
      <c r="AQ290" s="2">
        <v>0.0</v>
      </c>
      <c r="AR290" s="2">
        <v>156.0</v>
      </c>
      <c r="AS290" s="2">
        <v>179.0</v>
      </c>
      <c r="AT290" s="2">
        <v>7.0</v>
      </c>
      <c r="AU290" s="2">
        <v>1.02413431981787</v>
      </c>
      <c r="AV290" s="2">
        <v>0.0</v>
      </c>
      <c r="AW290" s="2">
        <v>8.0</v>
      </c>
      <c r="AX290" s="2">
        <v>3.0</v>
      </c>
      <c r="AY290" s="2">
        <v>1.0</v>
      </c>
      <c r="AZ290" s="2">
        <v>1.0</v>
      </c>
      <c r="BA290" s="2">
        <v>0.0</v>
      </c>
      <c r="BB290" s="2">
        <v>30.0</v>
      </c>
      <c r="BC290" s="2">
        <v>0.0</v>
      </c>
      <c r="BD290" s="2">
        <v>16.0</v>
      </c>
      <c r="BE290" s="2">
        <v>4.0</v>
      </c>
      <c r="BF290" s="2">
        <v>15.0</v>
      </c>
      <c r="BG290" s="2">
        <v>1.0</v>
      </c>
      <c r="BH290" s="2">
        <v>3.0</v>
      </c>
      <c r="BI290" s="2">
        <v>13.0</v>
      </c>
      <c r="BJ290" s="2">
        <v>5.0</v>
      </c>
      <c r="BK290" s="2">
        <v>2.0</v>
      </c>
      <c r="BL290" s="2">
        <v>31.0</v>
      </c>
      <c r="BM290" s="2">
        <v>5.0</v>
      </c>
      <c r="BN290" s="2">
        <v>0.0</v>
      </c>
      <c r="BO290" s="2">
        <v>0.0</v>
      </c>
      <c r="BP290" s="2">
        <v>1.0</v>
      </c>
      <c r="BQ290" s="2">
        <v>0.0</v>
      </c>
      <c r="BR290" s="2">
        <v>0.0</v>
      </c>
      <c r="BS290" s="2">
        <v>0.0</v>
      </c>
      <c r="BT290" s="2">
        <v>1.0</v>
      </c>
      <c r="BU290" s="2">
        <v>0.0</v>
      </c>
      <c r="BV290" s="2">
        <v>0.0</v>
      </c>
      <c r="BW290" s="2">
        <v>8.0</v>
      </c>
      <c r="BX290" s="2">
        <v>55.0</v>
      </c>
      <c r="BY290" s="2">
        <v>3.0</v>
      </c>
      <c r="BZ290" s="2">
        <v>0.0</v>
      </c>
      <c r="CA290" s="2">
        <v>0.0</v>
      </c>
      <c r="CB290" s="2">
        <v>0.0</v>
      </c>
      <c r="CC290" s="2">
        <v>0.0</v>
      </c>
      <c r="CD290" s="2">
        <v>0.0</v>
      </c>
      <c r="CE290" s="2">
        <v>1.0</v>
      </c>
      <c r="CF290" s="2">
        <v>5.0</v>
      </c>
      <c r="CG290" s="2">
        <v>3.0</v>
      </c>
      <c r="CH290" s="2">
        <v>76.0</v>
      </c>
      <c r="CI290" s="2">
        <v>3.0</v>
      </c>
      <c r="CJ290" s="2">
        <v>4.0</v>
      </c>
      <c r="CK290" s="2">
        <v>1.0</v>
      </c>
      <c r="CL290" s="2">
        <v>0.0</v>
      </c>
      <c r="CM290" s="2">
        <v>59.0</v>
      </c>
      <c r="CN290" s="2">
        <v>0.75</v>
      </c>
      <c r="CO290" s="2">
        <v>0.0</v>
      </c>
      <c r="CP290" s="2">
        <v>0.0</v>
      </c>
      <c r="CQ290" s="2">
        <v>1.0</v>
      </c>
      <c r="CR290" s="2">
        <v>1.0</v>
      </c>
      <c r="CS290" s="2">
        <v>1.0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1.0</v>
      </c>
      <c r="CZ290" s="2">
        <v>0.0</v>
      </c>
      <c r="DA290" s="2" t="s">
        <v>2155</v>
      </c>
      <c r="DB290" s="2" t="s">
        <v>2002</v>
      </c>
      <c r="DD290" s="2">
        <v>133.0</v>
      </c>
      <c r="DE290" s="2">
        <v>55.0</v>
      </c>
      <c r="DF290" s="2">
        <v>0.0</v>
      </c>
      <c r="DG290" s="2">
        <v>2.0</v>
      </c>
      <c r="DH290" s="2">
        <v>2.0</v>
      </c>
      <c r="DI290" s="2">
        <v>0.0</v>
      </c>
      <c r="DJ290" s="2">
        <v>0.0</v>
      </c>
      <c r="DK290" s="2">
        <v>1.0</v>
      </c>
      <c r="DL290" s="2">
        <v>0.0</v>
      </c>
      <c r="DM290" s="2">
        <v>0.0</v>
      </c>
      <c r="DN290" s="2">
        <v>0.0</v>
      </c>
      <c r="DO290" s="2">
        <v>0.0</v>
      </c>
      <c r="DP290" s="2">
        <v>0.0</v>
      </c>
      <c r="DQ290" s="2">
        <v>6.0</v>
      </c>
      <c r="DR290" s="2">
        <v>0.0</v>
      </c>
      <c r="DS290" s="2">
        <v>55.0</v>
      </c>
      <c r="DT290" s="2">
        <v>263.0</v>
      </c>
      <c r="DU290" s="2">
        <v>3.0</v>
      </c>
      <c r="DV290" s="2">
        <v>1.0</v>
      </c>
      <c r="DW290" s="2">
        <v>1.0</v>
      </c>
      <c r="DX290" s="2">
        <v>0.0</v>
      </c>
      <c r="DY290" s="2">
        <v>2.0</v>
      </c>
      <c r="DZ290" s="2">
        <v>2.0</v>
      </c>
      <c r="EA290" s="2">
        <v>11.0</v>
      </c>
      <c r="EB290" s="2">
        <v>0.0</v>
      </c>
      <c r="EC290" s="2">
        <v>252.0</v>
      </c>
      <c r="EE290" s="2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2">
        <v>2025.0</v>
      </c>
      <c r="B291" s="2">
        <v>10.0</v>
      </c>
      <c r="C291" s="2" t="s">
        <v>222</v>
      </c>
      <c r="D291" s="2" t="s">
        <v>390</v>
      </c>
      <c r="E291" s="2" t="s">
        <v>879</v>
      </c>
      <c r="F291" s="2" t="s">
        <v>139</v>
      </c>
      <c r="G291" s="2">
        <v>16.0</v>
      </c>
      <c r="H291" s="2">
        <v>27.0</v>
      </c>
      <c r="I291" s="2">
        <v>143.0</v>
      </c>
      <c r="J291" s="2">
        <v>0.0</v>
      </c>
      <c r="K291" s="2">
        <v>1.0</v>
      </c>
      <c r="L291" s="2">
        <v>6.0</v>
      </c>
      <c r="M291" s="2">
        <v>-29.0</v>
      </c>
      <c r="N291" s="2">
        <v>0.0</v>
      </c>
      <c r="O291" s="2">
        <v>0.0</v>
      </c>
      <c r="P291" s="2">
        <v>61.0</v>
      </c>
      <c r="Q291" s="2">
        <v>84.0</v>
      </c>
      <c r="R291" s="2">
        <v>6.0</v>
      </c>
      <c r="S291" s="2">
        <v>-17.3046415772494</v>
      </c>
      <c r="T291" s="2">
        <v>-9.33603239059448</v>
      </c>
      <c r="U291" s="2">
        <v>0.0</v>
      </c>
      <c r="V291" s="2">
        <v>5.0</v>
      </c>
      <c r="W291" s="2">
        <v>3.0</v>
      </c>
      <c r="X291" s="2">
        <v>2.0</v>
      </c>
      <c r="Y291" s="2">
        <v>0.0</v>
      </c>
      <c r="Z291" s="2">
        <v>25.0</v>
      </c>
      <c r="AA291" s="2">
        <v>74.0</v>
      </c>
      <c r="AB291" s="2">
        <v>1.0</v>
      </c>
      <c r="AC291" s="2">
        <v>0.0</v>
      </c>
      <c r="AD291" s="2">
        <v>0.0</v>
      </c>
      <c r="AE291" s="2">
        <v>4.0</v>
      </c>
      <c r="AF291" s="2">
        <v>-5.31855157966493</v>
      </c>
      <c r="AG291" s="2">
        <v>0.0</v>
      </c>
      <c r="AH291" s="2">
        <v>1.0</v>
      </c>
      <c r="AI291" s="2">
        <v>0.0</v>
      </c>
      <c r="AJ291" s="2">
        <v>0.0</v>
      </c>
      <c r="AK291" s="2">
        <v>0.0</v>
      </c>
      <c r="AL291" s="2">
        <v>16.0</v>
      </c>
      <c r="AM291" s="2">
        <v>25.0</v>
      </c>
      <c r="AN291" s="2">
        <v>143.0</v>
      </c>
      <c r="AO291" s="2">
        <v>0.0</v>
      </c>
      <c r="AP291" s="2">
        <v>1.0</v>
      </c>
      <c r="AQ291" s="2">
        <v>0.0</v>
      </c>
      <c r="AR291" s="2">
        <v>61.0</v>
      </c>
      <c r="AS291" s="2">
        <v>84.0</v>
      </c>
      <c r="AT291" s="2">
        <v>6.0</v>
      </c>
      <c r="AU291" s="2">
        <v>-3.47434494947083</v>
      </c>
      <c r="AV291" s="2">
        <v>0.0</v>
      </c>
      <c r="AW291" s="2">
        <v>5.0</v>
      </c>
      <c r="AX291" s="2">
        <v>3.0</v>
      </c>
      <c r="AY291" s="2">
        <v>2.0</v>
      </c>
      <c r="AZ291" s="2">
        <v>0.0</v>
      </c>
      <c r="BA291" s="2">
        <v>0.0</v>
      </c>
      <c r="BB291" s="2">
        <v>32.0</v>
      </c>
      <c r="BC291" s="2">
        <v>0.0</v>
      </c>
      <c r="BD291" s="2">
        <v>28.0</v>
      </c>
      <c r="BE291" s="2">
        <v>4.0</v>
      </c>
      <c r="BF291" s="2">
        <v>18.0</v>
      </c>
      <c r="BG291" s="2">
        <v>0.0</v>
      </c>
      <c r="BH291" s="2">
        <v>2.0</v>
      </c>
      <c r="BI291" s="2">
        <v>14.0</v>
      </c>
      <c r="BJ291" s="2">
        <v>4.0</v>
      </c>
      <c r="BK291" s="2">
        <v>2.0</v>
      </c>
      <c r="BL291" s="2">
        <v>26.0</v>
      </c>
      <c r="BM291" s="2">
        <v>4.0</v>
      </c>
      <c r="BN291" s="2">
        <v>0.0</v>
      </c>
      <c r="BO291" s="2">
        <v>0.0</v>
      </c>
      <c r="BP291" s="2">
        <v>0.0</v>
      </c>
      <c r="BQ291" s="2">
        <v>0.0</v>
      </c>
      <c r="BR291" s="2">
        <v>1.0</v>
      </c>
      <c r="BS291" s="2">
        <v>0.0</v>
      </c>
      <c r="BT291" s="2">
        <v>0.0</v>
      </c>
      <c r="BU291" s="2">
        <v>0.0</v>
      </c>
      <c r="BV291" s="2">
        <v>0.0</v>
      </c>
      <c r="BW291" s="2">
        <v>11.0</v>
      </c>
      <c r="BX291" s="2">
        <v>83.0</v>
      </c>
      <c r="BY291" s="2">
        <v>4.0</v>
      </c>
      <c r="BZ291" s="2">
        <v>1.0</v>
      </c>
      <c r="CA291" s="2">
        <v>1.0</v>
      </c>
      <c r="CB291" s="2">
        <v>1.0</v>
      </c>
      <c r="CC291" s="2">
        <v>2.0</v>
      </c>
      <c r="CD291" s="2">
        <v>0.0</v>
      </c>
      <c r="CE291" s="2">
        <v>3.0</v>
      </c>
      <c r="CF291" s="2">
        <v>2.0</v>
      </c>
      <c r="CG291" s="2">
        <v>1.0</v>
      </c>
      <c r="CH291" s="2">
        <v>28.0</v>
      </c>
      <c r="CI291" s="2">
        <v>0.0</v>
      </c>
      <c r="CJ291" s="2">
        <v>1.0</v>
      </c>
      <c r="CK291" s="2">
        <v>1.0</v>
      </c>
      <c r="CL291" s="2">
        <v>0.0</v>
      </c>
      <c r="CN291" s="2">
        <v>0.0</v>
      </c>
      <c r="CO291" s="2">
        <v>0.0</v>
      </c>
      <c r="CP291" s="2">
        <v>0.0</v>
      </c>
      <c r="CQ291" s="2">
        <v>0.0</v>
      </c>
      <c r="CR291" s="2">
        <v>0.0</v>
      </c>
      <c r="CS291" s="2">
        <v>0.0</v>
      </c>
      <c r="CT291" s="2">
        <v>0.0</v>
      </c>
      <c r="CU291" s="2">
        <v>0.0</v>
      </c>
      <c r="CV291" s="2">
        <v>0.0</v>
      </c>
      <c r="CW291" s="2">
        <v>0.0</v>
      </c>
      <c r="CX291" s="2">
        <v>1.0</v>
      </c>
      <c r="CY291" s="2">
        <v>0.0</v>
      </c>
      <c r="CZ291" s="2">
        <v>0.0</v>
      </c>
      <c r="DB291" s="2" t="s">
        <v>1965</v>
      </c>
      <c r="DD291" s="2">
        <v>0.0</v>
      </c>
      <c r="DE291" s="2">
        <v>48.0</v>
      </c>
      <c r="DF291" s="2">
        <v>0.0</v>
      </c>
      <c r="DG291" s="2">
        <v>1.0</v>
      </c>
      <c r="DH291" s="2">
        <v>1.0</v>
      </c>
      <c r="DI291" s="2">
        <v>0.0</v>
      </c>
      <c r="DJ291" s="2">
        <v>0.0</v>
      </c>
      <c r="DK291" s="2">
        <v>1.0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7.0</v>
      </c>
      <c r="DR291" s="2">
        <v>1.0</v>
      </c>
      <c r="DS291" s="2">
        <v>48.0</v>
      </c>
      <c r="DT291" s="2">
        <v>299.0</v>
      </c>
      <c r="DU291" s="2">
        <v>3.0</v>
      </c>
      <c r="DV291" s="2">
        <v>4.0</v>
      </c>
      <c r="DW291" s="2">
        <v>0.0</v>
      </c>
      <c r="DX291" s="2">
        <v>1.0</v>
      </c>
      <c r="DY291" s="2">
        <v>1.0</v>
      </c>
      <c r="DZ291" s="2">
        <v>1.0</v>
      </c>
      <c r="EA291" s="2">
        <v>-1.0</v>
      </c>
      <c r="EB291" s="2">
        <v>0.0</v>
      </c>
      <c r="EC291" s="2">
        <v>280.0</v>
      </c>
      <c r="EE291" s="2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2">
        <v>2025.0</v>
      </c>
      <c r="B292" s="2">
        <v>10.0</v>
      </c>
      <c r="C292" s="2" t="s">
        <v>225</v>
      </c>
      <c r="D292" s="2" t="s">
        <v>390</v>
      </c>
      <c r="E292" s="2" t="s">
        <v>893</v>
      </c>
      <c r="F292" s="2" t="s">
        <v>136</v>
      </c>
      <c r="G292" s="2">
        <v>15.0</v>
      </c>
      <c r="H292" s="2">
        <v>21.0</v>
      </c>
      <c r="I292" s="2">
        <v>173.0</v>
      </c>
      <c r="J292" s="2">
        <v>2.0</v>
      </c>
      <c r="K292" s="2">
        <v>2.0</v>
      </c>
      <c r="L292" s="2">
        <v>0.0</v>
      </c>
      <c r="M292" s="2">
        <v>0.0</v>
      </c>
      <c r="N292" s="2">
        <v>0.0</v>
      </c>
      <c r="O292" s="2">
        <v>0.0</v>
      </c>
      <c r="P292" s="2">
        <v>188.0</v>
      </c>
      <c r="Q292" s="2">
        <v>89.0</v>
      </c>
      <c r="R292" s="2">
        <v>9.0</v>
      </c>
      <c r="S292" s="2">
        <v>9.00747013627551</v>
      </c>
      <c r="T292" s="2">
        <v>5.90169969059172</v>
      </c>
      <c r="U292" s="2">
        <v>0.0</v>
      </c>
      <c r="V292" s="2">
        <v>7.0</v>
      </c>
      <c r="W292" s="2">
        <v>3.0</v>
      </c>
      <c r="X292" s="2">
        <v>3.0</v>
      </c>
      <c r="Y292" s="2">
        <v>0.0</v>
      </c>
      <c r="Z292" s="2">
        <v>32.0</v>
      </c>
      <c r="AA292" s="2">
        <v>197.0</v>
      </c>
      <c r="AB292" s="2">
        <v>2.0</v>
      </c>
      <c r="AC292" s="2">
        <v>0.0</v>
      </c>
      <c r="AD292" s="2">
        <v>0.0</v>
      </c>
      <c r="AE292" s="2">
        <v>9.0</v>
      </c>
      <c r="AF292" s="2">
        <v>6.9206625516911</v>
      </c>
      <c r="AG292" s="2">
        <v>0.0</v>
      </c>
      <c r="AH292" s="2">
        <v>6.0</v>
      </c>
      <c r="AI292" s="2">
        <v>6.0</v>
      </c>
      <c r="AJ292" s="2">
        <v>2.0</v>
      </c>
      <c r="AK292" s="2">
        <v>1.0</v>
      </c>
      <c r="AL292" s="2">
        <v>15.0</v>
      </c>
      <c r="AM292" s="2">
        <v>21.0</v>
      </c>
      <c r="AN292" s="2">
        <v>173.0</v>
      </c>
      <c r="AO292" s="2">
        <v>2.0</v>
      </c>
      <c r="AP292" s="2">
        <v>0.0</v>
      </c>
      <c r="AQ292" s="2">
        <v>0.0</v>
      </c>
      <c r="AR292" s="2">
        <v>188.0</v>
      </c>
      <c r="AS292" s="2">
        <v>89.0</v>
      </c>
      <c r="AT292" s="2">
        <v>9.0</v>
      </c>
      <c r="AU292" s="2">
        <v>9.00747013627551</v>
      </c>
      <c r="AV292" s="2">
        <v>0.0</v>
      </c>
      <c r="AW292" s="2">
        <v>7.0</v>
      </c>
      <c r="AX292" s="2">
        <v>3.0</v>
      </c>
      <c r="AY292" s="2">
        <v>3.0</v>
      </c>
      <c r="AZ292" s="2">
        <v>0.0</v>
      </c>
      <c r="BA292" s="2">
        <v>0.0</v>
      </c>
      <c r="BB292" s="2">
        <v>45.0</v>
      </c>
      <c r="BC292" s="2">
        <v>2.0</v>
      </c>
      <c r="BD292" s="2">
        <v>24.0</v>
      </c>
      <c r="BE292" s="2">
        <v>6.0</v>
      </c>
      <c r="BF292" s="2">
        <v>18.0</v>
      </c>
      <c r="BG292" s="2">
        <v>2.0</v>
      </c>
      <c r="BH292" s="2">
        <v>3.0</v>
      </c>
      <c r="BI292" s="2">
        <v>17.0</v>
      </c>
      <c r="BJ292" s="2">
        <v>7.0</v>
      </c>
      <c r="BK292" s="2">
        <v>1.0</v>
      </c>
      <c r="BL292" s="2">
        <v>0.0</v>
      </c>
      <c r="BM292" s="2">
        <v>4.0</v>
      </c>
      <c r="BN292" s="2">
        <v>0.0</v>
      </c>
      <c r="BO292" s="2">
        <v>0.0</v>
      </c>
      <c r="BP292" s="2">
        <v>0.0</v>
      </c>
      <c r="BQ292" s="2">
        <v>0.0</v>
      </c>
      <c r="BR292" s="2">
        <v>0.0</v>
      </c>
      <c r="BS292" s="2">
        <v>0.0</v>
      </c>
      <c r="BT292" s="2">
        <v>2.0</v>
      </c>
      <c r="BU292" s="2">
        <v>0.0</v>
      </c>
      <c r="BV292" s="2">
        <v>0.0</v>
      </c>
      <c r="BW292" s="2">
        <v>5.0</v>
      </c>
      <c r="BX292" s="2">
        <v>35.0</v>
      </c>
      <c r="BY292" s="2">
        <v>4.0</v>
      </c>
      <c r="BZ292" s="2">
        <v>0.0</v>
      </c>
      <c r="CA292" s="2">
        <v>0.0</v>
      </c>
      <c r="CB292" s="2">
        <v>0.0</v>
      </c>
      <c r="CC292" s="2">
        <v>0.0</v>
      </c>
      <c r="CD292" s="2">
        <v>0.0</v>
      </c>
      <c r="CE292" s="2">
        <v>1.0</v>
      </c>
      <c r="CF292" s="2">
        <v>13.0</v>
      </c>
      <c r="CG292" s="2">
        <v>1.0</v>
      </c>
      <c r="CH292" s="2">
        <v>24.0</v>
      </c>
      <c r="CI292" s="2">
        <v>1.0</v>
      </c>
      <c r="CJ292" s="2">
        <v>1.0</v>
      </c>
      <c r="CK292" s="2">
        <v>0.0</v>
      </c>
      <c r="CL292" s="2">
        <v>0.0</v>
      </c>
      <c r="CM292" s="2">
        <v>46.0</v>
      </c>
      <c r="CN292" s="2">
        <v>1.0</v>
      </c>
      <c r="CO292" s="2">
        <v>0.0</v>
      </c>
      <c r="CP292" s="2">
        <v>0.0</v>
      </c>
      <c r="CQ292" s="2">
        <v>0.0</v>
      </c>
      <c r="CR292" s="2">
        <v>1.0</v>
      </c>
      <c r="CS292" s="2">
        <v>0.0</v>
      </c>
      <c r="CT292" s="2">
        <v>0.0</v>
      </c>
      <c r="CU292" s="2">
        <v>0.0</v>
      </c>
      <c r="CV292" s="2">
        <v>0.0</v>
      </c>
      <c r="CW292" s="2">
        <v>0.0</v>
      </c>
      <c r="CX292" s="2">
        <v>0.0</v>
      </c>
      <c r="CY292" s="2">
        <v>0.0</v>
      </c>
      <c r="CZ292" s="2">
        <v>0.0</v>
      </c>
      <c r="DA292" s="2" t="s">
        <v>1960</v>
      </c>
      <c r="DD292" s="2">
        <v>46.0</v>
      </c>
      <c r="DE292" s="2">
        <v>0.0</v>
      </c>
      <c r="DF292" s="2">
        <v>0.0</v>
      </c>
      <c r="DG292" s="2">
        <v>3.0</v>
      </c>
      <c r="DH292" s="2">
        <v>4.0</v>
      </c>
      <c r="DI292" s="2">
        <v>1.0</v>
      </c>
      <c r="DJ292" s="2">
        <v>0.0</v>
      </c>
      <c r="DK292" s="2">
        <v>0.75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3.0</v>
      </c>
      <c r="DR292" s="2">
        <v>0.0</v>
      </c>
      <c r="DS292" s="2">
        <v>61.0</v>
      </c>
      <c r="DT292" s="2">
        <v>153.0</v>
      </c>
      <c r="DU292" s="2">
        <v>2.0</v>
      </c>
      <c r="DV292" s="2">
        <v>0.0</v>
      </c>
      <c r="DW292" s="2">
        <v>1.0</v>
      </c>
      <c r="DX292" s="2">
        <v>1.0</v>
      </c>
      <c r="DY292" s="2">
        <v>0.0</v>
      </c>
      <c r="DZ292" s="2">
        <v>1.0</v>
      </c>
      <c r="EA292" s="2">
        <v>7.0</v>
      </c>
      <c r="EB292" s="2">
        <v>0.0</v>
      </c>
      <c r="EC292" s="2">
        <v>126.0</v>
      </c>
      <c r="EE292" s="2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2">
        <v>2025.0</v>
      </c>
      <c r="B293" s="2">
        <v>10.0</v>
      </c>
      <c r="C293" s="2" t="s">
        <v>144</v>
      </c>
      <c r="D293" s="2" t="s">
        <v>390</v>
      </c>
      <c r="E293" s="2" t="s">
        <v>895</v>
      </c>
      <c r="F293" s="2" t="s">
        <v>148</v>
      </c>
      <c r="G293" s="2">
        <v>20.0</v>
      </c>
      <c r="H293" s="2">
        <v>42.0</v>
      </c>
      <c r="I293" s="2">
        <v>248.0</v>
      </c>
      <c r="J293" s="2">
        <v>1.0</v>
      </c>
      <c r="K293" s="2">
        <v>2.0</v>
      </c>
      <c r="L293" s="2">
        <v>1.0</v>
      </c>
      <c r="M293" s="2">
        <v>-3.0</v>
      </c>
      <c r="N293" s="2">
        <v>0.0</v>
      </c>
      <c r="O293" s="2">
        <v>0.0</v>
      </c>
      <c r="P293" s="2">
        <v>458.0</v>
      </c>
      <c r="Q293" s="2">
        <v>114.0</v>
      </c>
      <c r="R293" s="2">
        <v>9.0</v>
      </c>
      <c r="S293" s="2">
        <v>-9.8921182502134</v>
      </c>
      <c r="T293" s="2">
        <v>-11.6277599843537</v>
      </c>
      <c r="U293" s="2">
        <v>0.0</v>
      </c>
      <c r="V293" s="2">
        <v>9.0</v>
      </c>
      <c r="W293" s="2">
        <v>4.0</v>
      </c>
      <c r="X293" s="2">
        <v>3.0</v>
      </c>
      <c r="Y293" s="2">
        <v>1.0</v>
      </c>
      <c r="Z293" s="2">
        <v>18.0</v>
      </c>
      <c r="AA293" s="2">
        <v>120.0</v>
      </c>
      <c r="AB293" s="2">
        <v>1.0</v>
      </c>
      <c r="AC293" s="2">
        <v>0.0</v>
      </c>
      <c r="AD293" s="2">
        <v>0.0</v>
      </c>
      <c r="AE293" s="2">
        <v>6.0</v>
      </c>
      <c r="AF293" s="2">
        <v>-0.063690829789266</v>
      </c>
      <c r="AG293" s="2">
        <v>0.0</v>
      </c>
      <c r="AH293" s="2">
        <v>6.0</v>
      </c>
      <c r="AI293" s="2">
        <v>4.0</v>
      </c>
      <c r="AJ293" s="2">
        <v>1.0</v>
      </c>
      <c r="AK293" s="2">
        <v>0.0</v>
      </c>
      <c r="AL293" s="2">
        <v>20.0</v>
      </c>
      <c r="AM293" s="2">
        <v>41.0</v>
      </c>
      <c r="AN293" s="2">
        <v>248.0</v>
      </c>
      <c r="AO293" s="2">
        <v>1.0</v>
      </c>
      <c r="AP293" s="2">
        <v>0.0</v>
      </c>
      <c r="AQ293" s="2">
        <v>0.0</v>
      </c>
      <c r="AR293" s="2">
        <v>458.0</v>
      </c>
      <c r="AS293" s="2">
        <v>114.0</v>
      </c>
      <c r="AT293" s="2">
        <v>9.0</v>
      </c>
      <c r="AU293" s="2">
        <v>-7.89966462886224</v>
      </c>
      <c r="AV293" s="2">
        <v>0.0</v>
      </c>
      <c r="AW293" s="2">
        <v>9.0</v>
      </c>
      <c r="AX293" s="2">
        <v>4.0</v>
      </c>
      <c r="AY293" s="2">
        <v>3.0</v>
      </c>
      <c r="AZ293" s="2">
        <v>1.0</v>
      </c>
      <c r="BA293" s="2">
        <v>0.0</v>
      </c>
      <c r="BB293" s="2">
        <v>45.0</v>
      </c>
      <c r="BC293" s="2">
        <v>1.0</v>
      </c>
      <c r="BD293" s="2">
        <v>27.0</v>
      </c>
      <c r="BE293" s="2">
        <v>3.0</v>
      </c>
      <c r="BF293" s="2">
        <v>11.0</v>
      </c>
      <c r="BG293" s="2">
        <v>2.0</v>
      </c>
      <c r="BH293" s="2">
        <v>1.0</v>
      </c>
      <c r="BI293" s="2">
        <v>7.0</v>
      </c>
      <c r="BJ293" s="2">
        <v>4.0</v>
      </c>
      <c r="BK293" s="2">
        <v>0.0</v>
      </c>
      <c r="BL293" s="2">
        <v>0.0</v>
      </c>
      <c r="BM293" s="2">
        <v>4.0</v>
      </c>
      <c r="BN293" s="2">
        <v>0.0</v>
      </c>
      <c r="BO293" s="2">
        <v>0.0</v>
      </c>
      <c r="BP293" s="2">
        <v>0.0</v>
      </c>
      <c r="BQ293" s="2">
        <v>0.0</v>
      </c>
      <c r="BR293" s="2">
        <v>1.0</v>
      </c>
      <c r="BS293" s="2">
        <v>0.0</v>
      </c>
      <c r="BT293" s="2">
        <v>0.0</v>
      </c>
      <c r="BU293" s="2">
        <v>0.0</v>
      </c>
      <c r="BV293" s="2">
        <v>0.0</v>
      </c>
      <c r="BW293" s="2">
        <v>13.0</v>
      </c>
      <c r="BX293" s="2">
        <v>102.0</v>
      </c>
      <c r="BY293" s="2">
        <v>5.0</v>
      </c>
      <c r="BZ293" s="2">
        <v>2.0</v>
      </c>
      <c r="CA293" s="2">
        <v>0.0</v>
      </c>
      <c r="CB293" s="2">
        <v>0.0</v>
      </c>
      <c r="CC293" s="2">
        <v>2.0</v>
      </c>
      <c r="CD293" s="2">
        <v>1.0</v>
      </c>
      <c r="CE293" s="2">
        <v>3.0</v>
      </c>
      <c r="CF293" s="2">
        <v>5.0</v>
      </c>
      <c r="CG293" s="2">
        <v>6.0</v>
      </c>
      <c r="CH293" s="2">
        <v>153.0</v>
      </c>
      <c r="CI293" s="2">
        <v>2.0</v>
      </c>
      <c r="CJ293" s="2">
        <v>2.0</v>
      </c>
      <c r="CK293" s="2">
        <v>0.0</v>
      </c>
      <c r="CL293" s="2">
        <v>0.0</v>
      </c>
      <c r="CM293" s="2">
        <v>49.0</v>
      </c>
      <c r="CN293" s="2">
        <v>1.0</v>
      </c>
      <c r="CO293" s="2">
        <v>0.0</v>
      </c>
      <c r="CP293" s="2">
        <v>0.0</v>
      </c>
      <c r="CQ293" s="2">
        <v>0.0</v>
      </c>
      <c r="CR293" s="2">
        <v>2.0</v>
      </c>
      <c r="CS293" s="2">
        <v>0.0</v>
      </c>
      <c r="CT293" s="2">
        <v>0.0</v>
      </c>
      <c r="CU293" s="2">
        <v>0.0</v>
      </c>
      <c r="CV293" s="2">
        <v>0.0</v>
      </c>
      <c r="CW293" s="2">
        <v>0.0</v>
      </c>
      <c r="CX293" s="2">
        <v>0.0</v>
      </c>
      <c r="CY293" s="2">
        <v>0.0</v>
      </c>
      <c r="CZ293" s="2">
        <v>0.0</v>
      </c>
      <c r="DA293" s="2" t="s">
        <v>2143</v>
      </c>
      <c r="DD293" s="2">
        <v>92.0</v>
      </c>
      <c r="DE293" s="2">
        <v>0.0</v>
      </c>
      <c r="DF293" s="2">
        <v>0.0</v>
      </c>
      <c r="DG293" s="2">
        <v>1.0</v>
      </c>
      <c r="DH293" s="2">
        <v>1.0</v>
      </c>
      <c r="DI293" s="2">
        <v>0.0</v>
      </c>
      <c r="DJ293" s="2">
        <v>0.0</v>
      </c>
      <c r="DK293" s="2">
        <v>1.0</v>
      </c>
      <c r="DL293" s="2">
        <v>0.0</v>
      </c>
      <c r="DM293" s="2">
        <v>0.0</v>
      </c>
      <c r="DN293" s="2">
        <v>0.0</v>
      </c>
      <c r="DO293" s="2">
        <v>0.0</v>
      </c>
      <c r="DP293" s="2">
        <v>0.0</v>
      </c>
      <c r="DQ293" s="2">
        <v>2.0</v>
      </c>
      <c r="DR293" s="2">
        <v>0.0</v>
      </c>
      <c r="DS293" s="2">
        <v>54.0</v>
      </c>
      <c r="DT293" s="2">
        <v>102.0</v>
      </c>
      <c r="DU293" s="2">
        <v>1.0</v>
      </c>
      <c r="DV293" s="2">
        <v>0.0</v>
      </c>
      <c r="DW293" s="2">
        <v>0.0</v>
      </c>
      <c r="DX293" s="2">
        <v>0.0</v>
      </c>
      <c r="DY293" s="2">
        <v>1.0</v>
      </c>
      <c r="DZ293" s="2">
        <v>1.0</v>
      </c>
      <c r="EA293" s="2">
        <v>19.0</v>
      </c>
      <c r="EB293" s="2">
        <v>0.0</v>
      </c>
      <c r="EC293" s="2">
        <v>83.0</v>
      </c>
      <c r="EE293" s="2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2">
        <v>2025.0</v>
      </c>
      <c r="B294" s="2">
        <v>10.0</v>
      </c>
      <c r="C294" s="2" t="s">
        <v>145</v>
      </c>
      <c r="D294" s="2" t="s">
        <v>390</v>
      </c>
      <c r="E294" s="2" t="s">
        <v>899</v>
      </c>
      <c r="F294" s="2" t="s">
        <v>150</v>
      </c>
      <c r="G294" s="2">
        <v>16.0</v>
      </c>
      <c r="H294" s="2">
        <v>31.0</v>
      </c>
      <c r="I294" s="2">
        <v>270.0</v>
      </c>
      <c r="J294" s="2">
        <v>2.0</v>
      </c>
      <c r="K294" s="2">
        <v>1.0</v>
      </c>
      <c r="L294" s="2">
        <v>1.0</v>
      </c>
      <c r="M294" s="2">
        <v>-1.0</v>
      </c>
      <c r="N294" s="2">
        <v>0.0</v>
      </c>
      <c r="O294" s="2">
        <v>0.0</v>
      </c>
      <c r="P294" s="2">
        <v>350.0</v>
      </c>
      <c r="Q294" s="2">
        <v>134.0</v>
      </c>
      <c r="R294" s="2">
        <v>9.0</v>
      </c>
      <c r="S294" s="2">
        <v>6.26684845931595</v>
      </c>
      <c r="T294" s="2">
        <v>-5.85770447706354</v>
      </c>
      <c r="U294" s="2">
        <v>0.0</v>
      </c>
      <c r="V294" s="2">
        <v>8.0</v>
      </c>
      <c r="W294" s="2">
        <v>4.0</v>
      </c>
      <c r="X294" s="2">
        <v>3.0</v>
      </c>
      <c r="Y294" s="2">
        <v>2.0</v>
      </c>
      <c r="Z294" s="2">
        <v>27.0</v>
      </c>
      <c r="AA294" s="2">
        <v>166.0</v>
      </c>
      <c r="AB294" s="2">
        <v>2.0</v>
      </c>
      <c r="AC294" s="2">
        <v>0.0</v>
      </c>
      <c r="AD294" s="2">
        <v>0.0</v>
      </c>
      <c r="AE294" s="2">
        <v>5.0</v>
      </c>
      <c r="AF294" s="2">
        <v>3.13215776451398</v>
      </c>
      <c r="AG294" s="2">
        <v>0.0</v>
      </c>
      <c r="AH294" s="2">
        <v>3.0</v>
      </c>
      <c r="AI294" s="2">
        <v>3.0</v>
      </c>
      <c r="AJ294" s="2">
        <v>2.0</v>
      </c>
      <c r="AK294" s="2">
        <v>2.0</v>
      </c>
      <c r="AL294" s="2">
        <v>16.0</v>
      </c>
      <c r="AM294" s="2">
        <v>29.0</v>
      </c>
      <c r="AN294" s="2">
        <v>270.0</v>
      </c>
      <c r="AO294" s="2">
        <v>2.0</v>
      </c>
      <c r="AP294" s="2">
        <v>0.0</v>
      </c>
      <c r="AQ294" s="2">
        <v>0.0</v>
      </c>
      <c r="AR294" s="2">
        <v>350.0</v>
      </c>
      <c r="AS294" s="2">
        <v>134.0</v>
      </c>
      <c r="AT294" s="2">
        <v>9.0</v>
      </c>
      <c r="AU294" s="2">
        <v>8.64805000956403</v>
      </c>
      <c r="AV294" s="2">
        <v>0.0</v>
      </c>
      <c r="AW294" s="2">
        <v>8.0</v>
      </c>
      <c r="AX294" s="2">
        <v>4.0</v>
      </c>
      <c r="AY294" s="2">
        <v>3.0</v>
      </c>
      <c r="AZ294" s="2">
        <v>2.0</v>
      </c>
      <c r="BA294" s="2">
        <v>0.0</v>
      </c>
      <c r="BB294" s="2">
        <v>30.0</v>
      </c>
      <c r="BC294" s="2">
        <v>1.0</v>
      </c>
      <c r="BD294" s="2">
        <v>43.0</v>
      </c>
      <c r="BE294" s="2">
        <v>6.0</v>
      </c>
      <c r="BF294" s="2">
        <v>23.0</v>
      </c>
      <c r="BG294" s="2">
        <v>0.0</v>
      </c>
      <c r="BH294" s="2">
        <v>2.0</v>
      </c>
      <c r="BI294" s="2">
        <v>15.0</v>
      </c>
      <c r="BJ294" s="2">
        <v>5.0</v>
      </c>
      <c r="BK294" s="2">
        <v>0.0</v>
      </c>
      <c r="BL294" s="2">
        <v>0.0</v>
      </c>
      <c r="BM294" s="2">
        <v>5.0</v>
      </c>
      <c r="BN294" s="2">
        <v>0.0</v>
      </c>
      <c r="BO294" s="2">
        <v>1.0</v>
      </c>
      <c r="BP294" s="2">
        <v>0.0</v>
      </c>
      <c r="BQ294" s="2">
        <v>0.0</v>
      </c>
      <c r="BR294" s="2">
        <v>1.0</v>
      </c>
      <c r="BS294" s="2">
        <v>0.0</v>
      </c>
      <c r="BT294" s="2">
        <v>0.0</v>
      </c>
      <c r="BU294" s="2">
        <v>0.0</v>
      </c>
      <c r="BV294" s="2">
        <v>0.0</v>
      </c>
      <c r="BW294" s="2">
        <v>5.0</v>
      </c>
      <c r="BX294" s="2">
        <v>49.0</v>
      </c>
      <c r="BY294" s="2">
        <v>2.0</v>
      </c>
      <c r="BZ294" s="2">
        <v>0.0</v>
      </c>
      <c r="CA294" s="2">
        <v>1.0</v>
      </c>
      <c r="CB294" s="2">
        <v>0.0</v>
      </c>
      <c r="CC294" s="2">
        <v>1.0</v>
      </c>
      <c r="CD294" s="2">
        <v>0.0</v>
      </c>
      <c r="CE294" s="2">
        <v>3.0</v>
      </c>
      <c r="CF294" s="2">
        <v>3.0</v>
      </c>
      <c r="CG294" s="2">
        <v>2.0</v>
      </c>
      <c r="CH294" s="2">
        <v>45.0</v>
      </c>
      <c r="CI294" s="2">
        <v>0.0</v>
      </c>
      <c r="CJ294" s="2">
        <v>0.0</v>
      </c>
      <c r="CK294" s="2">
        <v>0.0</v>
      </c>
      <c r="CL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D294" s="2">
        <v>0.0</v>
      </c>
      <c r="DE294" s="2">
        <v>0.0</v>
      </c>
      <c r="DF294" s="2">
        <v>0.0</v>
      </c>
      <c r="DG294" s="2">
        <v>4.0</v>
      </c>
      <c r="DH294" s="2">
        <v>4.0</v>
      </c>
      <c r="DI294" s="2">
        <v>0.0</v>
      </c>
      <c r="DJ294" s="2">
        <v>0.0</v>
      </c>
      <c r="DK294" s="2">
        <v>1.0</v>
      </c>
      <c r="DL294" s="2">
        <v>0.0</v>
      </c>
      <c r="DM294" s="2">
        <v>0.0</v>
      </c>
      <c r="DN294" s="2">
        <v>0.0</v>
      </c>
      <c r="DO294" s="2">
        <v>0.0</v>
      </c>
      <c r="DP294" s="2">
        <v>0.0</v>
      </c>
      <c r="DQ294" s="2">
        <v>5.0</v>
      </c>
      <c r="DR294" s="2">
        <v>0.0</v>
      </c>
      <c r="DS294" s="2">
        <v>59.0</v>
      </c>
      <c r="DT294" s="2">
        <v>248.0</v>
      </c>
      <c r="DU294" s="2">
        <v>1.0</v>
      </c>
      <c r="DV294" s="2">
        <v>0.0</v>
      </c>
      <c r="DW294" s="2">
        <v>0.0</v>
      </c>
      <c r="DX294" s="2">
        <v>1.0</v>
      </c>
      <c r="DY294" s="2">
        <v>2.0</v>
      </c>
      <c r="DZ294" s="2">
        <v>2.0</v>
      </c>
      <c r="EA294" s="2">
        <v>12.0</v>
      </c>
      <c r="EB294" s="2">
        <v>0.0</v>
      </c>
      <c r="EC294" s="2">
        <v>216.0</v>
      </c>
      <c r="EE294" s="2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2">
        <v>2025.0</v>
      </c>
      <c r="B295" s="2">
        <v>10.0</v>
      </c>
      <c r="C295" s="2" t="s">
        <v>232</v>
      </c>
      <c r="D295" s="2" t="s">
        <v>390</v>
      </c>
      <c r="E295" s="2" t="s">
        <v>885</v>
      </c>
      <c r="F295" s="2" t="s">
        <v>189</v>
      </c>
      <c r="G295" s="2">
        <v>19.0</v>
      </c>
      <c r="H295" s="2">
        <v>28.0</v>
      </c>
      <c r="I295" s="2">
        <v>282.0</v>
      </c>
      <c r="J295" s="2">
        <v>2.0</v>
      </c>
      <c r="K295" s="2">
        <v>0.0</v>
      </c>
      <c r="L295" s="2">
        <v>2.0</v>
      </c>
      <c r="M295" s="2">
        <v>-16.0</v>
      </c>
      <c r="N295" s="2">
        <v>0.0</v>
      </c>
      <c r="O295" s="2">
        <v>0.0</v>
      </c>
      <c r="P295" s="2">
        <v>256.0</v>
      </c>
      <c r="Q295" s="2">
        <v>134.0</v>
      </c>
      <c r="R295" s="2">
        <v>9.0</v>
      </c>
      <c r="S295" s="2">
        <v>11.2024889048896</v>
      </c>
      <c r="T295" s="2">
        <v>10.3709341241763</v>
      </c>
      <c r="U295" s="2">
        <v>0.0</v>
      </c>
      <c r="V295" s="2">
        <v>10.0</v>
      </c>
      <c r="W295" s="2">
        <v>5.0</v>
      </c>
      <c r="X295" s="2">
        <v>4.0</v>
      </c>
      <c r="Y295" s="2">
        <v>2.0</v>
      </c>
      <c r="Z295" s="2">
        <v>37.0</v>
      </c>
      <c r="AA295" s="2">
        <v>122.0</v>
      </c>
      <c r="AB295" s="2">
        <v>0.0</v>
      </c>
      <c r="AC295" s="2">
        <v>0.0</v>
      </c>
      <c r="AD295" s="2">
        <v>0.0</v>
      </c>
      <c r="AE295" s="2">
        <v>8.0</v>
      </c>
      <c r="AF295" s="2">
        <v>-5.86078253714368</v>
      </c>
      <c r="AG295" s="2">
        <v>0.0</v>
      </c>
      <c r="AH295" s="2">
        <v>3.0</v>
      </c>
      <c r="AI295" s="2">
        <v>2.0</v>
      </c>
      <c r="AJ295" s="2">
        <v>0.0</v>
      </c>
      <c r="AK295" s="2">
        <v>0.0</v>
      </c>
      <c r="AL295" s="2">
        <v>19.0</v>
      </c>
      <c r="AM295" s="2">
        <v>26.0</v>
      </c>
      <c r="AN295" s="2">
        <v>282.0</v>
      </c>
      <c r="AO295" s="2">
        <v>2.0</v>
      </c>
      <c r="AP295" s="2">
        <v>0.0</v>
      </c>
      <c r="AQ295" s="2">
        <v>0.0</v>
      </c>
      <c r="AR295" s="2">
        <v>256.0</v>
      </c>
      <c r="AS295" s="2">
        <v>134.0</v>
      </c>
      <c r="AT295" s="2">
        <v>9.0</v>
      </c>
      <c r="AU295" s="2">
        <v>18.7132514360835</v>
      </c>
      <c r="AV295" s="2">
        <v>0.0</v>
      </c>
      <c r="AW295" s="2">
        <v>10.0</v>
      </c>
      <c r="AX295" s="2">
        <v>5.0</v>
      </c>
      <c r="AY295" s="2">
        <v>4.0</v>
      </c>
      <c r="AZ295" s="2">
        <v>2.0</v>
      </c>
      <c r="BA295" s="2">
        <v>0.0</v>
      </c>
      <c r="BB295" s="2">
        <v>27.0</v>
      </c>
      <c r="BC295" s="2">
        <v>1.0</v>
      </c>
      <c r="BD295" s="2">
        <v>35.0</v>
      </c>
      <c r="BE295" s="2">
        <v>4.0</v>
      </c>
      <c r="BF295" s="2">
        <v>24.0</v>
      </c>
      <c r="BG295" s="2">
        <v>0.0</v>
      </c>
      <c r="BH295" s="2">
        <v>2.0</v>
      </c>
      <c r="BI295" s="2">
        <v>22.0</v>
      </c>
      <c r="BJ295" s="2">
        <v>3.0</v>
      </c>
      <c r="BK295" s="2">
        <v>1.0</v>
      </c>
      <c r="BL295" s="2">
        <v>11.0</v>
      </c>
      <c r="BM295" s="2">
        <v>4.0</v>
      </c>
      <c r="BN295" s="2">
        <v>0.0</v>
      </c>
      <c r="BO295" s="2">
        <v>1.0</v>
      </c>
      <c r="BP295" s="2">
        <v>0.0</v>
      </c>
      <c r="BQ295" s="2">
        <v>0.0</v>
      </c>
      <c r="BR295" s="2">
        <v>0.0</v>
      </c>
      <c r="BS295" s="2">
        <v>0.0</v>
      </c>
      <c r="BT295" s="2">
        <v>1.0</v>
      </c>
      <c r="BU295" s="2">
        <v>0.0</v>
      </c>
      <c r="BV295" s="2">
        <v>0.0</v>
      </c>
      <c r="BW295" s="2">
        <v>6.0</v>
      </c>
      <c r="BX295" s="2">
        <v>60.0</v>
      </c>
      <c r="BY295" s="2">
        <v>1.0</v>
      </c>
      <c r="BZ295" s="2">
        <v>0.0</v>
      </c>
      <c r="CA295" s="2">
        <v>1.0</v>
      </c>
      <c r="CB295" s="2">
        <v>0.0</v>
      </c>
      <c r="CC295" s="2">
        <v>1.0</v>
      </c>
      <c r="CD295" s="2">
        <v>1.0</v>
      </c>
      <c r="CE295" s="2">
        <v>2.0</v>
      </c>
      <c r="CF295" s="2">
        <v>8.0</v>
      </c>
      <c r="CG295" s="2">
        <v>1.0</v>
      </c>
      <c r="CH295" s="2">
        <v>31.0</v>
      </c>
      <c r="CI295" s="2">
        <v>1.0</v>
      </c>
      <c r="CJ295" s="2">
        <v>1.0</v>
      </c>
      <c r="CK295" s="2">
        <v>0.0</v>
      </c>
      <c r="CL295" s="2">
        <v>0.0</v>
      </c>
      <c r="CM295" s="2">
        <v>20.0</v>
      </c>
      <c r="CN295" s="2">
        <v>1.0</v>
      </c>
      <c r="CO295" s="2">
        <v>0.0</v>
      </c>
      <c r="CP295" s="2">
        <v>1.0</v>
      </c>
      <c r="CQ295" s="2">
        <v>0.0</v>
      </c>
      <c r="CR295" s="2">
        <v>0.0</v>
      </c>
      <c r="CS295" s="2">
        <v>0.0</v>
      </c>
      <c r="CT295" s="2">
        <v>0.0</v>
      </c>
      <c r="CU295" s="2">
        <v>0.0</v>
      </c>
      <c r="CV295" s="2">
        <v>0.0</v>
      </c>
      <c r="CW295" s="2">
        <v>0.0</v>
      </c>
      <c r="CX295" s="2">
        <v>0.0</v>
      </c>
      <c r="CY295" s="2">
        <v>0.0</v>
      </c>
      <c r="CZ295" s="2">
        <v>0.0</v>
      </c>
      <c r="DA295" s="2" t="s">
        <v>2156</v>
      </c>
      <c r="DD295" s="2">
        <v>20.0</v>
      </c>
      <c r="DE295" s="2">
        <v>0.0</v>
      </c>
      <c r="DF295" s="2">
        <v>0.0</v>
      </c>
      <c r="DG295" s="2">
        <v>2.0</v>
      </c>
      <c r="DH295" s="2">
        <v>2.0</v>
      </c>
      <c r="DI295" s="2">
        <v>0.0</v>
      </c>
      <c r="DJ295" s="2">
        <v>0.0</v>
      </c>
      <c r="DK295" s="2">
        <v>1.0</v>
      </c>
      <c r="DL295" s="2">
        <v>0.0</v>
      </c>
      <c r="DM295" s="2">
        <v>0.0</v>
      </c>
      <c r="DN295" s="2">
        <v>0.0</v>
      </c>
      <c r="DO295" s="2">
        <v>0.0</v>
      </c>
      <c r="DP295" s="2">
        <v>0.0</v>
      </c>
      <c r="DQ295" s="2">
        <v>4.0</v>
      </c>
      <c r="DR295" s="2">
        <v>0.0</v>
      </c>
      <c r="DS295" s="2">
        <v>54.0</v>
      </c>
      <c r="DT295" s="2">
        <v>177.0</v>
      </c>
      <c r="DU295" s="2">
        <v>3.0</v>
      </c>
      <c r="DV295" s="2">
        <v>1.0</v>
      </c>
      <c r="DW295" s="2">
        <v>0.0</v>
      </c>
      <c r="DX295" s="2">
        <v>0.0</v>
      </c>
      <c r="DY295" s="2">
        <v>1.0</v>
      </c>
      <c r="DZ295" s="2">
        <v>2.0</v>
      </c>
      <c r="EA295" s="2">
        <v>15.0</v>
      </c>
      <c r="EB295" s="2">
        <v>0.0</v>
      </c>
      <c r="EC295" s="2">
        <v>162.0</v>
      </c>
      <c r="EE295" s="2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2">
        <v>2025.0</v>
      </c>
      <c r="B296" s="2">
        <v>10.0</v>
      </c>
      <c r="C296" s="2" t="s">
        <v>235</v>
      </c>
      <c r="D296" s="2" t="s">
        <v>390</v>
      </c>
      <c r="E296" s="2" t="s">
        <v>887</v>
      </c>
      <c r="F296" s="2" t="s">
        <v>137</v>
      </c>
      <c r="G296" s="2">
        <v>22.0</v>
      </c>
      <c r="H296" s="2">
        <v>36.0</v>
      </c>
      <c r="I296" s="2">
        <v>287.0</v>
      </c>
      <c r="J296" s="2">
        <v>0.0</v>
      </c>
      <c r="K296" s="2">
        <v>0.0</v>
      </c>
      <c r="L296" s="2">
        <v>4.0</v>
      </c>
      <c r="M296" s="2">
        <v>-25.0</v>
      </c>
      <c r="N296" s="2">
        <v>0.0</v>
      </c>
      <c r="O296" s="2">
        <v>0.0</v>
      </c>
      <c r="P296" s="2">
        <v>291.0</v>
      </c>
      <c r="Q296" s="2">
        <v>123.0</v>
      </c>
      <c r="R296" s="2">
        <v>11.0</v>
      </c>
      <c r="S296" s="2">
        <v>0.839488032584119</v>
      </c>
      <c r="T296" s="2">
        <v>5.11575089767575</v>
      </c>
      <c r="U296" s="2">
        <v>0.0</v>
      </c>
      <c r="V296" s="2">
        <v>11.0</v>
      </c>
      <c r="W296" s="2">
        <v>6.0</v>
      </c>
      <c r="X296" s="2">
        <v>5.0</v>
      </c>
      <c r="Y296" s="2">
        <v>1.0</v>
      </c>
      <c r="Z296" s="2">
        <v>30.0</v>
      </c>
      <c r="AA296" s="2">
        <v>169.0</v>
      </c>
      <c r="AB296" s="2">
        <v>2.0</v>
      </c>
      <c r="AC296" s="2">
        <v>1.0</v>
      </c>
      <c r="AD296" s="2">
        <v>1.0</v>
      </c>
      <c r="AE296" s="2">
        <v>8.0</v>
      </c>
      <c r="AF296" s="2">
        <v>-0.504039805322187</v>
      </c>
      <c r="AG296" s="2">
        <v>0.0</v>
      </c>
      <c r="AH296" s="2">
        <v>7.0</v>
      </c>
      <c r="AI296" s="2">
        <v>4.0</v>
      </c>
      <c r="AJ296" s="2">
        <v>1.0</v>
      </c>
      <c r="AK296" s="2">
        <v>0.0</v>
      </c>
      <c r="AL296" s="2">
        <v>22.0</v>
      </c>
      <c r="AM296" s="2">
        <v>32.0</v>
      </c>
      <c r="AN296" s="2">
        <v>287.0</v>
      </c>
      <c r="AO296" s="2">
        <v>0.0</v>
      </c>
      <c r="AP296" s="2">
        <v>0.0</v>
      </c>
      <c r="AQ296" s="2">
        <v>0.0</v>
      </c>
      <c r="AR296" s="2">
        <v>291.0</v>
      </c>
      <c r="AS296" s="2">
        <v>123.0</v>
      </c>
      <c r="AT296" s="2">
        <v>11.0</v>
      </c>
      <c r="AU296" s="2">
        <v>9.14484139638538</v>
      </c>
      <c r="AV296" s="2">
        <v>0.0</v>
      </c>
      <c r="AW296" s="2">
        <v>11.0</v>
      </c>
      <c r="AX296" s="2">
        <v>6.0</v>
      </c>
      <c r="AY296" s="2">
        <v>5.0</v>
      </c>
      <c r="AZ296" s="2">
        <v>1.0</v>
      </c>
      <c r="BA296" s="2">
        <v>0.0</v>
      </c>
      <c r="BB296" s="2">
        <v>30.0</v>
      </c>
      <c r="BC296" s="2">
        <v>2.0</v>
      </c>
      <c r="BD296" s="2">
        <v>32.0</v>
      </c>
      <c r="BE296" s="2">
        <v>2.0</v>
      </c>
      <c r="BF296" s="2">
        <v>5.0</v>
      </c>
      <c r="BG296" s="2">
        <v>0.0</v>
      </c>
      <c r="BH296" s="2">
        <v>0.0</v>
      </c>
      <c r="BI296" s="2">
        <v>0.0</v>
      </c>
      <c r="BJ296" s="2">
        <v>3.0</v>
      </c>
      <c r="BK296" s="2">
        <v>0.0</v>
      </c>
      <c r="BL296" s="2">
        <v>0.0</v>
      </c>
      <c r="BM296" s="2">
        <v>2.0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10.0</v>
      </c>
      <c r="BX296" s="2">
        <v>69.0</v>
      </c>
      <c r="BY296" s="2">
        <v>3.0</v>
      </c>
      <c r="BZ296" s="2">
        <v>1.0</v>
      </c>
      <c r="CA296" s="2">
        <v>0.0</v>
      </c>
      <c r="CB296" s="2">
        <v>0.0</v>
      </c>
      <c r="CC296" s="2">
        <v>1.0</v>
      </c>
      <c r="CD296" s="2">
        <v>1.0</v>
      </c>
      <c r="CE296" s="2">
        <v>0.0</v>
      </c>
      <c r="CF296" s="2">
        <v>0.0</v>
      </c>
      <c r="CG296" s="2">
        <v>1.0</v>
      </c>
      <c r="CH296" s="2">
        <v>39.0</v>
      </c>
      <c r="CI296" s="2">
        <v>2.0</v>
      </c>
      <c r="CJ296" s="2">
        <v>2.0</v>
      </c>
      <c r="CK296" s="2">
        <v>0.0</v>
      </c>
      <c r="CL296" s="2">
        <v>0.0</v>
      </c>
      <c r="CM296" s="2">
        <v>32.0</v>
      </c>
      <c r="CN296" s="2">
        <v>1.0</v>
      </c>
      <c r="CO296" s="2">
        <v>1.0</v>
      </c>
      <c r="CP296" s="2">
        <v>0.0</v>
      </c>
      <c r="CQ296" s="2">
        <v>1.0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0.0</v>
      </c>
      <c r="DA296" s="2" t="s">
        <v>2157</v>
      </c>
      <c r="DD296" s="2">
        <v>51.0</v>
      </c>
      <c r="DE296" s="2">
        <v>0.0</v>
      </c>
      <c r="DF296" s="2">
        <v>0.0</v>
      </c>
      <c r="DG296" s="2">
        <v>2.0</v>
      </c>
      <c r="DH296" s="2">
        <v>2.0</v>
      </c>
      <c r="DI296" s="2">
        <v>0.0</v>
      </c>
      <c r="DJ296" s="2">
        <v>0.0</v>
      </c>
      <c r="DK296" s="2">
        <v>1.0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3.0</v>
      </c>
      <c r="DR296" s="2">
        <v>0.0</v>
      </c>
      <c r="DS296" s="2">
        <v>54.0</v>
      </c>
      <c r="DT296" s="2">
        <v>110.0</v>
      </c>
      <c r="DU296" s="2">
        <v>1.0</v>
      </c>
      <c r="DV296" s="2">
        <v>1.0</v>
      </c>
      <c r="DW296" s="2">
        <v>0.0</v>
      </c>
      <c r="DX296" s="2">
        <v>0.0</v>
      </c>
      <c r="DY296" s="2">
        <v>1.0</v>
      </c>
      <c r="DZ296" s="2">
        <v>1.0</v>
      </c>
      <c r="EA296" s="2">
        <v>13.0</v>
      </c>
      <c r="EB296" s="2">
        <v>0.0</v>
      </c>
      <c r="EC296" s="2">
        <v>97.0</v>
      </c>
      <c r="EE296" s="2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2">
        <v>2025.0</v>
      </c>
      <c r="B297" s="2">
        <v>10.0</v>
      </c>
      <c r="C297" s="2" t="s">
        <v>238</v>
      </c>
      <c r="D297" s="2" t="s">
        <v>390</v>
      </c>
      <c r="E297" s="2" t="s">
        <v>897</v>
      </c>
      <c r="F297" s="2" t="s">
        <v>196</v>
      </c>
      <c r="G297" s="2">
        <v>6.0</v>
      </c>
      <c r="H297" s="2">
        <v>11.0</v>
      </c>
      <c r="I297" s="2">
        <v>54.0</v>
      </c>
      <c r="J297" s="2">
        <v>1.0</v>
      </c>
      <c r="K297" s="2">
        <v>1.0</v>
      </c>
      <c r="L297" s="2">
        <v>3.0</v>
      </c>
      <c r="M297" s="2">
        <v>-12.0</v>
      </c>
      <c r="N297" s="2">
        <v>0.0</v>
      </c>
      <c r="O297" s="2">
        <v>0.0</v>
      </c>
      <c r="P297" s="2">
        <v>38.0</v>
      </c>
      <c r="Q297" s="2">
        <v>67.0</v>
      </c>
      <c r="R297" s="2">
        <v>1.0</v>
      </c>
      <c r="S297" s="2">
        <v>-10.1757875726908</v>
      </c>
      <c r="T297" s="2">
        <v>-13.6570039120587</v>
      </c>
      <c r="U297" s="2">
        <v>0.0</v>
      </c>
      <c r="V297" s="2">
        <v>1.0</v>
      </c>
      <c r="W297" s="2">
        <v>1.0</v>
      </c>
      <c r="X297" s="2">
        <v>1.0</v>
      </c>
      <c r="Y297" s="2">
        <v>1.0</v>
      </c>
      <c r="Z297" s="2">
        <v>33.0</v>
      </c>
      <c r="AA297" s="2">
        <v>127.0</v>
      </c>
      <c r="AB297" s="2">
        <v>0.0</v>
      </c>
      <c r="AC297" s="2">
        <v>0.0</v>
      </c>
      <c r="AD297" s="2">
        <v>0.0</v>
      </c>
      <c r="AE297" s="2">
        <v>8.0</v>
      </c>
      <c r="AF297" s="2">
        <v>-4.54937178035492</v>
      </c>
      <c r="AG297" s="2">
        <v>0.0</v>
      </c>
      <c r="AH297" s="2">
        <v>6.0</v>
      </c>
      <c r="AI297" s="2">
        <v>5.0</v>
      </c>
      <c r="AJ297" s="2">
        <v>2.0</v>
      </c>
      <c r="AK297" s="2">
        <v>0.0</v>
      </c>
      <c r="AL297" s="2">
        <v>6.0</v>
      </c>
      <c r="AM297" s="2">
        <v>11.0</v>
      </c>
      <c r="AN297" s="2">
        <v>54.0</v>
      </c>
      <c r="AO297" s="2">
        <v>1.0</v>
      </c>
      <c r="AP297" s="2">
        <v>0.0</v>
      </c>
      <c r="AQ297" s="2">
        <v>0.0</v>
      </c>
      <c r="AR297" s="2">
        <v>38.0</v>
      </c>
      <c r="AS297" s="2">
        <v>67.0</v>
      </c>
      <c r="AT297" s="2">
        <v>1.0</v>
      </c>
      <c r="AU297" s="2">
        <v>-6.96059473254718</v>
      </c>
      <c r="AV297" s="2">
        <v>0.0</v>
      </c>
      <c r="AW297" s="2">
        <v>1.0</v>
      </c>
      <c r="AX297" s="2">
        <v>1.0</v>
      </c>
      <c r="AY297" s="2">
        <v>1.0</v>
      </c>
      <c r="AZ297" s="2">
        <v>1.0</v>
      </c>
      <c r="BA297" s="2">
        <v>2.0</v>
      </c>
      <c r="BB297" s="2">
        <v>47.0</v>
      </c>
      <c r="BC297" s="2">
        <v>1.0</v>
      </c>
      <c r="BD297" s="2">
        <v>25.0</v>
      </c>
      <c r="BE297" s="2">
        <v>10.0</v>
      </c>
      <c r="BF297" s="2">
        <v>63.0</v>
      </c>
      <c r="BG297" s="2">
        <v>0.0</v>
      </c>
      <c r="BH297" s="2">
        <v>6.0</v>
      </c>
      <c r="BI297" s="2">
        <v>47.0</v>
      </c>
      <c r="BJ297" s="2">
        <v>7.0</v>
      </c>
      <c r="BK297" s="2">
        <v>0.0</v>
      </c>
      <c r="BL297" s="2">
        <v>0.0</v>
      </c>
      <c r="BM297" s="2">
        <v>3.0</v>
      </c>
      <c r="BN297" s="2">
        <v>0.0</v>
      </c>
      <c r="BO297" s="2">
        <v>0.0</v>
      </c>
      <c r="BP297" s="2">
        <v>0.0</v>
      </c>
      <c r="BQ297" s="2">
        <v>0.0</v>
      </c>
      <c r="BR297" s="2">
        <v>0.0</v>
      </c>
      <c r="BS297" s="2">
        <v>0.0</v>
      </c>
      <c r="BT297" s="2">
        <v>0.0</v>
      </c>
      <c r="BU297" s="2">
        <v>0.0</v>
      </c>
      <c r="BV297" s="2">
        <v>0.0</v>
      </c>
      <c r="BW297" s="2">
        <v>7.0</v>
      </c>
      <c r="BX297" s="2">
        <v>61.0</v>
      </c>
      <c r="BY297" s="2">
        <v>3.0</v>
      </c>
      <c r="BZ297" s="2">
        <v>0.0</v>
      </c>
      <c r="CA297" s="2">
        <v>0.0</v>
      </c>
      <c r="CB297" s="2">
        <v>0.0</v>
      </c>
      <c r="CC297" s="2">
        <v>0.0</v>
      </c>
      <c r="CD297" s="2">
        <v>0.0</v>
      </c>
      <c r="CE297" s="2">
        <v>5.0</v>
      </c>
      <c r="CF297" s="2">
        <v>126.0</v>
      </c>
      <c r="CG297" s="2">
        <v>4.0</v>
      </c>
      <c r="CH297" s="2">
        <v>166.0</v>
      </c>
      <c r="CI297" s="2">
        <v>2.0</v>
      </c>
      <c r="CJ297" s="2">
        <v>2.0</v>
      </c>
      <c r="CK297" s="2">
        <v>0.0</v>
      </c>
      <c r="CL297" s="2">
        <v>0.0</v>
      </c>
      <c r="CM297" s="2">
        <v>37.0</v>
      </c>
      <c r="CN297" s="2">
        <v>1.0</v>
      </c>
      <c r="CO297" s="2">
        <v>0.0</v>
      </c>
      <c r="CP297" s="2">
        <v>1.0</v>
      </c>
      <c r="CQ297" s="2">
        <v>1.0</v>
      </c>
      <c r="CR297" s="2">
        <v>0.0</v>
      </c>
      <c r="CS297" s="2">
        <v>0.0</v>
      </c>
      <c r="CT297" s="2">
        <v>0.0</v>
      </c>
      <c r="CU297" s="2">
        <v>0.0</v>
      </c>
      <c r="CV297" s="2">
        <v>0.0</v>
      </c>
      <c r="CW297" s="2">
        <v>0.0</v>
      </c>
      <c r="CX297" s="2">
        <v>0.0</v>
      </c>
      <c r="CY297" s="2">
        <v>0.0</v>
      </c>
      <c r="CZ297" s="2">
        <v>0.0</v>
      </c>
      <c r="DA297" s="2" t="s">
        <v>2158</v>
      </c>
      <c r="DD297" s="2">
        <v>63.0</v>
      </c>
      <c r="DE297" s="2">
        <v>0.0</v>
      </c>
      <c r="DF297" s="2">
        <v>0.0</v>
      </c>
      <c r="DG297" s="2">
        <v>3.0</v>
      </c>
      <c r="DH297" s="2">
        <v>3.0</v>
      </c>
      <c r="DI297" s="2">
        <v>0.0</v>
      </c>
      <c r="DJ297" s="2">
        <v>0.0</v>
      </c>
      <c r="DK297" s="2">
        <v>1.0</v>
      </c>
      <c r="DL297" s="2">
        <v>0.0</v>
      </c>
      <c r="DM297" s="2">
        <v>0.0</v>
      </c>
      <c r="DN297" s="2">
        <v>0.0</v>
      </c>
      <c r="DO297" s="2">
        <v>0.0</v>
      </c>
      <c r="DP297" s="2">
        <v>0.0</v>
      </c>
      <c r="DQ297" s="2">
        <v>5.0</v>
      </c>
      <c r="DR297" s="2">
        <v>0.0</v>
      </c>
      <c r="DS297" s="2">
        <v>55.0</v>
      </c>
      <c r="DT297" s="2">
        <v>249.0</v>
      </c>
      <c r="DU297" s="2">
        <v>3.0</v>
      </c>
      <c r="DV297" s="2">
        <v>0.0</v>
      </c>
      <c r="DW297" s="2">
        <v>1.0</v>
      </c>
      <c r="DX297" s="2">
        <v>0.0</v>
      </c>
      <c r="DY297" s="2">
        <v>3.0</v>
      </c>
      <c r="DZ297" s="2">
        <v>1.0</v>
      </c>
      <c r="EA297" s="2">
        <v>15.0</v>
      </c>
      <c r="EB297" s="2">
        <v>0.0</v>
      </c>
      <c r="EC297" s="2">
        <v>234.0</v>
      </c>
      <c r="EE297" s="2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2">
        <v>2025.0</v>
      </c>
      <c r="B298" s="2">
        <v>10.0</v>
      </c>
      <c r="C298" s="2" t="s">
        <v>147</v>
      </c>
      <c r="D298" s="2" t="s">
        <v>390</v>
      </c>
      <c r="E298" s="2" t="s">
        <v>909</v>
      </c>
      <c r="F298" s="2" t="s">
        <v>205</v>
      </c>
      <c r="G298" s="2">
        <v>15.0</v>
      </c>
      <c r="H298" s="2">
        <v>26.0</v>
      </c>
      <c r="I298" s="2">
        <v>183.0</v>
      </c>
      <c r="J298" s="2">
        <v>1.0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229.0</v>
      </c>
      <c r="Q298" s="2">
        <v>92.0</v>
      </c>
      <c r="R298" s="2">
        <v>8.0</v>
      </c>
      <c r="S298" s="2">
        <v>8.49402574551641</v>
      </c>
      <c r="T298" s="2">
        <v>-0.792824055837548</v>
      </c>
      <c r="U298" s="2">
        <v>0.0</v>
      </c>
      <c r="V298" s="2">
        <v>5.0</v>
      </c>
      <c r="W298" s="2">
        <v>4.0</v>
      </c>
      <c r="X298" s="2">
        <v>3.0</v>
      </c>
      <c r="Y298" s="2">
        <v>1.0</v>
      </c>
      <c r="Z298" s="2">
        <v>34.0</v>
      </c>
      <c r="AA298" s="2">
        <v>111.0</v>
      </c>
      <c r="AB298" s="2">
        <v>0.0</v>
      </c>
      <c r="AC298" s="2">
        <v>1.0</v>
      </c>
      <c r="AD298" s="2">
        <v>1.0</v>
      </c>
      <c r="AE298" s="2">
        <v>4.0</v>
      </c>
      <c r="AF298" s="2">
        <v>-13.1867823999474</v>
      </c>
      <c r="AG298" s="2">
        <v>0.0</v>
      </c>
      <c r="AH298" s="2">
        <v>2.0</v>
      </c>
      <c r="AI298" s="2">
        <v>1.0</v>
      </c>
      <c r="AJ298" s="2">
        <v>0.0</v>
      </c>
      <c r="AK298" s="2">
        <v>0.0</v>
      </c>
      <c r="AL298" s="2">
        <v>15.0</v>
      </c>
      <c r="AM298" s="2">
        <v>23.0</v>
      </c>
      <c r="AN298" s="2">
        <v>183.0</v>
      </c>
      <c r="AO298" s="2">
        <v>1.0</v>
      </c>
      <c r="AP298" s="2">
        <v>0.0</v>
      </c>
      <c r="AQ298" s="2">
        <v>0.0</v>
      </c>
      <c r="AR298" s="2">
        <v>229.0</v>
      </c>
      <c r="AS298" s="2">
        <v>92.0</v>
      </c>
      <c r="AT298" s="2">
        <v>8.0</v>
      </c>
      <c r="AU298" s="2">
        <v>9.43892930066795</v>
      </c>
      <c r="AV298" s="2">
        <v>0.0</v>
      </c>
      <c r="AW298" s="2">
        <v>5.0</v>
      </c>
      <c r="AX298" s="2">
        <v>4.0</v>
      </c>
      <c r="AY298" s="2">
        <v>3.0</v>
      </c>
      <c r="AZ298" s="2">
        <v>1.0</v>
      </c>
      <c r="BA298" s="2">
        <v>0.0</v>
      </c>
      <c r="BB298" s="2">
        <v>39.0</v>
      </c>
      <c r="BC298" s="2">
        <v>2.0</v>
      </c>
      <c r="BD298" s="2">
        <v>26.0</v>
      </c>
      <c r="BE298" s="2">
        <v>5.0</v>
      </c>
      <c r="BF298" s="2">
        <v>29.0</v>
      </c>
      <c r="BG298" s="2">
        <v>2.0</v>
      </c>
      <c r="BH298" s="2">
        <v>3.0</v>
      </c>
      <c r="BI298" s="2">
        <v>19.0</v>
      </c>
      <c r="BJ298" s="2">
        <v>8.0</v>
      </c>
      <c r="BK298" s="2">
        <v>0.0</v>
      </c>
      <c r="BL298" s="2">
        <v>0.0</v>
      </c>
      <c r="BM298" s="2">
        <v>5.0</v>
      </c>
      <c r="BN298" s="2">
        <v>0.0</v>
      </c>
      <c r="BO298" s="2">
        <v>0.0</v>
      </c>
      <c r="BP298" s="2">
        <v>0.0</v>
      </c>
      <c r="BQ298" s="2">
        <v>0.0</v>
      </c>
      <c r="BR298" s="2">
        <v>0.0</v>
      </c>
      <c r="BS298" s="2">
        <v>0.0</v>
      </c>
      <c r="BT298" s="2">
        <v>2.0</v>
      </c>
      <c r="BU298" s="2">
        <v>0.0</v>
      </c>
      <c r="BV298" s="2">
        <v>0.0</v>
      </c>
      <c r="BW298" s="2">
        <v>7.0</v>
      </c>
      <c r="BX298" s="2">
        <v>61.0</v>
      </c>
      <c r="BY298" s="2">
        <v>3.0</v>
      </c>
      <c r="BZ298" s="2">
        <v>1.0</v>
      </c>
      <c r="CA298" s="2">
        <v>0.0</v>
      </c>
      <c r="CB298" s="2">
        <v>0.0</v>
      </c>
      <c r="CC298" s="2">
        <v>1.0</v>
      </c>
      <c r="CD298" s="2">
        <v>1.0</v>
      </c>
      <c r="CE298" s="2">
        <v>2.0</v>
      </c>
      <c r="CF298" s="2">
        <v>31.0</v>
      </c>
      <c r="CG298" s="2">
        <v>2.0</v>
      </c>
      <c r="CH298" s="2">
        <v>51.0</v>
      </c>
      <c r="CI298" s="2">
        <v>1.0</v>
      </c>
      <c r="CJ298" s="2">
        <v>1.0</v>
      </c>
      <c r="CK298" s="2">
        <v>0.0</v>
      </c>
      <c r="CL298" s="2">
        <v>0.0</v>
      </c>
      <c r="CM298" s="2">
        <v>39.0</v>
      </c>
      <c r="CN298" s="2">
        <v>1.0</v>
      </c>
      <c r="CO298" s="2">
        <v>0.0</v>
      </c>
      <c r="CP298" s="2">
        <v>0.0</v>
      </c>
      <c r="CQ298" s="2">
        <v>1.0</v>
      </c>
      <c r="CR298" s="2">
        <v>0.0</v>
      </c>
      <c r="CS298" s="2">
        <v>0.0</v>
      </c>
      <c r="CT298" s="2">
        <v>0.0</v>
      </c>
      <c r="CU298" s="2">
        <v>0.0</v>
      </c>
      <c r="CV298" s="2">
        <v>0.0</v>
      </c>
      <c r="CW298" s="2">
        <v>0.0</v>
      </c>
      <c r="CX298" s="2">
        <v>0.0</v>
      </c>
      <c r="CY298" s="2">
        <v>0.0</v>
      </c>
      <c r="CZ298" s="2">
        <v>0.0</v>
      </c>
      <c r="DA298" s="2" t="s">
        <v>2026</v>
      </c>
      <c r="DD298" s="2">
        <v>39.0</v>
      </c>
      <c r="DE298" s="2">
        <v>0.0</v>
      </c>
      <c r="DF298" s="2">
        <v>0.0</v>
      </c>
      <c r="DG298" s="2">
        <v>1.0</v>
      </c>
      <c r="DH298" s="2">
        <v>1.0</v>
      </c>
      <c r="DI298" s="2">
        <v>0.0</v>
      </c>
      <c r="DJ298" s="2">
        <v>0.0</v>
      </c>
      <c r="DK298" s="2">
        <v>1.0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5.0</v>
      </c>
      <c r="DR298" s="2">
        <v>0.0</v>
      </c>
      <c r="DS298" s="2">
        <v>66.0</v>
      </c>
      <c r="DT298" s="2">
        <v>238.0</v>
      </c>
      <c r="DU298" s="2">
        <v>1.0</v>
      </c>
      <c r="DV298" s="2">
        <v>0.0</v>
      </c>
      <c r="DW298" s="2">
        <v>1.0</v>
      </c>
      <c r="DX298" s="2">
        <v>1.0</v>
      </c>
      <c r="DY298" s="2">
        <v>1.0</v>
      </c>
      <c r="DZ298" s="2">
        <v>2.0</v>
      </c>
      <c r="EA298" s="2">
        <v>22.0</v>
      </c>
      <c r="EB298" s="2">
        <v>0.0</v>
      </c>
      <c r="EC298" s="2">
        <v>196.0</v>
      </c>
      <c r="EE298" s="2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2">
        <v>2025.0</v>
      </c>
      <c r="B299" s="2">
        <v>10.0</v>
      </c>
      <c r="C299" s="2" t="s">
        <v>242</v>
      </c>
      <c r="D299" s="2" t="s">
        <v>390</v>
      </c>
      <c r="E299" s="2" t="s">
        <v>907</v>
      </c>
      <c r="F299" s="2" t="s">
        <v>220</v>
      </c>
      <c r="G299" s="2">
        <v>16.0</v>
      </c>
      <c r="H299" s="2">
        <v>31.0</v>
      </c>
      <c r="I299" s="2">
        <v>161.0</v>
      </c>
      <c r="J299" s="2">
        <v>1.0</v>
      </c>
      <c r="K299" s="2">
        <v>2.0</v>
      </c>
      <c r="L299" s="2">
        <v>3.0</v>
      </c>
      <c r="M299" s="2">
        <v>-13.0</v>
      </c>
      <c r="N299" s="2">
        <v>1.0</v>
      </c>
      <c r="O299" s="2">
        <v>0.0</v>
      </c>
      <c r="P299" s="2">
        <v>251.0</v>
      </c>
      <c r="Q299" s="2">
        <v>114.0</v>
      </c>
      <c r="R299" s="2">
        <v>6.0</v>
      </c>
      <c r="S299" s="2">
        <v>-18.0900405267528</v>
      </c>
      <c r="T299" s="2">
        <v>-10.8302453798907</v>
      </c>
      <c r="U299" s="2">
        <v>0.0</v>
      </c>
      <c r="V299" s="2">
        <v>6.0</v>
      </c>
      <c r="W299" s="2">
        <v>3.0</v>
      </c>
      <c r="X299" s="2">
        <v>1.0</v>
      </c>
      <c r="Y299" s="2">
        <v>0.0</v>
      </c>
      <c r="Z299" s="2">
        <v>16.0</v>
      </c>
      <c r="AA299" s="2">
        <v>73.0</v>
      </c>
      <c r="AB299" s="2">
        <v>0.0</v>
      </c>
      <c r="AC299" s="2">
        <v>0.0</v>
      </c>
      <c r="AD299" s="2">
        <v>0.0</v>
      </c>
      <c r="AE299" s="2">
        <v>4.0</v>
      </c>
      <c r="AF299" s="2">
        <v>-0.740225144312717</v>
      </c>
      <c r="AG299" s="2">
        <v>0.0</v>
      </c>
      <c r="AH299" s="2">
        <v>2.0</v>
      </c>
      <c r="AI299" s="2">
        <v>1.0</v>
      </c>
      <c r="AJ299" s="2">
        <v>0.0</v>
      </c>
      <c r="AK299" s="2">
        <v>0.0</v>
      </c>
      <c r="AL299" s="2">
        <v>16.0</v>
      </c>
      <c r="AM299" s="2">
        <v>28.0</v>
      </c>
      <c r="AN299" s="2">
        <v>161.0</v>
      </c>
      <c r="AO299" s="2">
        <v>1.0</v>
      </c>
      <c r="AP299" s="2">
        <v>0.0</v>
      </c>
      <c r="AQ299" s="2">
        <v>0.0</v>
      </c>
      <c r="AR299" s="2">
        <v>251.0</v>
      </c>
      <c r="AS299" s="2">
        <v>114.0</v>
      </c>
      <c r="AT299" s="2">
        <v>6.0</v>
      </c>
      <c r="AU299" s="2">
        <v>-12.3060867094244</v>
      </c>
      <c r="AV299" s="2">
        <v>0.0</v>
      </c>
      <c r="AW299" s="2">
        <v>6.0</v>
      </c>
      <c r="AX299" s="2">
        <v>3.0</v>
      </c>
      <c r="AY299" s="2">
        <v>1.0</v>
      </c>
      <c r="AZ299" s="2">
        <v>0.0</v>
      </c>
      <c r="BA299" s="2">
        <v>0.0</v>
      </c>
      <c r="BB299" s="2">
        <v>36.0</v>
      </c>
      <c r="BC299" s="2">
        <v>0.0</v>
      </c>
      <c r="BD299" s="2">
        <v>46.0</v>
      </c>
      <c r="BE299" s="2">
        <v>11.0</v>
      </c>
      <c r="BF299" s="2">
        <v>33.0</v>
      </c>
      <c r="BG299" s="2">
        <v>0.0</v>
      </c>
      <c r="BH299" s="2">
        <v>5.0</v>
      </c>
      <c r="BI299" s="2">
        <v>21.0</v>
      </c>
      <c r="BJ299" s="2">
        <v>9.0</v>
      </c>
      <c r="BK299" s="2">
        <v>0.0</v>
      </c>
      <c r="BL299" s="2">
        <v>0.0</v>
      </c>
      <c r="BM299" s="2">
        <v>5.0</v>
      </c>
      <c r="BN299" s="2">
        <v>0.0</v>
      </c>
      <c r="BO299" s="2">
        <v>1.0</v>
      </c>
      <c r="BP299" s="2">
        <v>0.0</v>
      </c>
      <c r="BQ299" s="2">
        <v>0.0</v>
      </c>
      <c r="BR299" s="2">
        <v>1.0</v>
      </c>
      <c r="BS299" s="2">
        <v>0.0</v>
      </c>
      <c r="BT299" s="2">
        <v>0.0</v>
      </c>
      <c r="BU299" s="2">
        <v>0.0</v>
      </c>
      <c r="BV299" s="2">
        <v>0.0</v>
      </c>
      <c r="BW299" s="2">
        <v>4.0</v>
      </c>
      <c r="BX299" s="2">
        <v>29.0</v>
      </c>
      <c r="BY299" s="2">
        <v>4.0</v>
      </c>
      <c r="BZ299" s="2">
        <v>1.0</v>
      </c>
      <c r="CA299" s="2">
        <v>1.0</v>
      </c>
      <c r="CB299" s="2">
        <v>0.0</v>
      </c>
      <c r="CC299" s="2">
        <v>2.0</v>
      </c>
      <c r="CD299" s="2">
        <v>1.0</v>
      </c>
      <c r="CE299" s="2">
        <v>2.0</v>
      </c>
      <c r="CF299" s="2">
        <v>11.0</v>
      </c>
      <c r="CG299" s="2">
        <v>3.0</v>
      </c>
      <c r="CH299" s="2">
        <v>84.0</v>
      </c>
      <c r="CI299" s="2">
        <v>1.0</v>
      </c>
      <c r="CJ299" s="2">
        <v>2.0</v>
      </c>
      <c r="CK299" s="2">
        <v>1.0</v>
      </c>
      <c r="CL299" s="2">
        <v>0.0</v>
      </c>
      <c r="CM299" s="2">
        <v>59.0</v>
      </c>
      <c r="CN299" s="2">
        <v>0.5</v>
      </c>
      <c r="CO299" s="2">
        <v>0.0</v>
      </c>
      <c r="CP299" s="2">
        <v>0.0</v>
      </c>
      <c r="CQ299" s="2">
        <v>0.0</v>
      </c>
      <c r="CR299" s="2">
        <v>0.0</v>
      </c>
      <c r="CS299" s="2">
        <v>1.0</v>
      </c>
      <c r="CT299" s="2">
        <v>0.0</v>
      </c>
      <c r="CU299" s="2">
        <v>0.0</v>
      </c>
      <c r="CV299" s="2">
        <v>0.0</v>
      </c>
      <c r="CW299" s="2">
        <v>0.0</v>
      </c>
      <c r="CX299" s="2">
        <v>1.0</v>
      </c>
      <c r="CY299" s="2">
        <v>0.0</v>
      </c>
      <c r="CZ299" s="2">
        <v>0.0</v>
      </c>
      <c r="DA299" s="2" t="s">
        <v>2150</v>
      </c>
      <c r="DB299" s="2" t="s">
        <v>1969</v>
      </c>
      <c r="DD299" s="2">
        <v>59.0</v>
      </c>
      <c r="DE299" s="2">
        <v>45.0</v>
      </c>
      <c r="DF299" s="2">
        <v>0.0</v>
      </c>
      <c r="DG299" s="2">
        <v>1.0</v>
      </c>
      <c r="DH299" s="2">
        <v>1.0</v>
      </c>
      <c r="DI299" s="2">
        <v>0.0</v>
      </c>
      <c r="DJ299" s="2">
        <v>0.0</v>
      </c>
      <c r="DK299" s="2">
        <v>1.0</v>
      </c>
      <c r="DL299" s="2">
        <v>0.0</v>
      </c>
      <c r="DM299" s="2">
        <v>0.0</v>
      </c>
      <c r="DN299" s="2">
        <v>0.0</v>
      </c>
      <c r="DO299" s="2">
        <v>0.0</v>
      </c>
      <c r="DP299" s="2">
        <v>0.0</v>
      </c>
      <c r="DQ299" s="2">
        <v>4.0</v>
      </c>
      <c r="DR299" s="2">
        <v>0.0</v>
      </c>
      <c r="DS299" s="2">
        <v>51.0</v>
      </c>
      <c r="DT299" s="2">
        <v>183.0</v>
      </c>
      <c r="DU299" s="2">
        <v>2.0</v>
      </c>
      <c r="DV299" s="2">
        <v>0.0</v>
      </c>
      <c r="DW299" s="2">
        <v>0.0</v>
      </c>
      <c r="DX299" s="2">
        <v>0.0</v>
      </c>
      <c r="DY299" s="2">
        <v>3.0</v>
      </c>
      <c r="DZ299" s="2">
        <v>1.0</v>
      </c>
      <c r="EA299" s="2">
        <v>5.0</v>
      </c>
      <c r="EB299" s="2">
        <v>0.0</v>
      </c>
      <c r="EC299" s="2">
        <v>178.0</v>
      </c>
      <c r="EE299" s="2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2">
        <v>2025.0</v>
      </c>
      <c r="B300" s="2">
        <v>10.0</v>
      </c>
      <c r="C300" s="2" t="s">
        <v>149</v>
      </c>
      <c r="D300" s="2" t="s">
        <v>390</v>
      </c>
      <c r="E300" s="2" t="s">
        <v>901</v>
      </c>
      <c r="F300" s="2" t="s">
        <v>178</v>
      </c>
      <c r="G300" s="2">
        <v>10.0</v>
      </c>
      <c r="H300" s="2">
        <v>12.0</v>
      </c>
      <c r="I300" s="2">
        <v>178.0</v>
      </c>
      <c r="J300" s="2">
        <v>1.0</v>
      </c>
      <c r="K300" s="2">
        <v>1.0</v>
      </c>
      <c r="L300" s="2">
        <v>1.0</v>
      </c>
      <c r="M300" s="2">
        <v>-4.0</v>
      </c>
      <c r="N300" s="2">
        <v>1.0</v>
      </c>
      <c r="O300" s="2">
        <v>1.0</v>
      </c>
      <c r="P300" s="2">
        <v>128.0</v>
      </c>
      <c r="Q300" s="2">
        <v>79.0</v>
      </c>
      <c r="R300" s="2">
        <v>6.0</v>
      </c>
      <c r="S300" s="2">
        <v>4.09513975489924</v>
      </c>
      <c r="T300" s="2">
        <v>18.8896216452122</v>
      </c>
      <c r="U300" s="2">
        <v>0.0</v>
      </c>
      <c r="V300" s="2">
        <v>5.0</v>
      </c>
      <c r="W300" s="2">
        <v>3.0</v>
      </c>
      <c r="X300" s="2">
        <v>2.0</v>
      </c>
      <c r="Y300" s="2">
        <v>2.0</v>
      </c>
      <c r="Z300" s="2">
        <v>46.0</v>
      </c>
      <c r="AA300" s="2">
        <v>198.0</v>
      </c>
      <c r="AB300" s="2">
        <v>2.0</v>
      </c>
      <c r="AC300" s="2">
        <v>2.0</v>
      </c>
      <c r="AD300" s="2">
        <v>1.0</v>
      </c>
      <c r="AE300" s="2">
        <v>14.0</v>
      </c>
      <c r="AF300" s="2">
        <v>-0.115116662104002</v>
      </c>
      <c r="AG300" s="2">
        <v>0.0</v>
      </c>
      <c r="AH300" s="2">
        <v>6.0</v>
      </c>
      <c r="AI300" s="2">
        <v>3.0</v>
      </c>
      <c r="AJ300" s="2">
        <v>2.0</v>
      </c>
      <c r="AK300" s="2">
        <v>0.0</v>
      </c>
      <c r="AL300" s="2">
        <v>10.0</v>
      </c>
      <c r="AM300" s="2">
        <v>12.0</v>
      </c>
      <c r="AN300" s="2">
        <v>178.0</v>
      </c>
      <c r="AO300" s="2">
        <v>1.0</v>
      </c>
      <c r="AP300" s="2">
        <v>0.0</v>
      </c>
      <c r="AQ300" s="2">
        <v>0.0</v>
      </c>
      <c r="AR300" s="2">
        <v>128.0</v>
      </c>
      <c r="AS300" s="2">
        <v>79.0</v>
      </c>
      <c r="AT300" s="2">
        <v>6.0</v>
      </c>
      <c r="AU300" s="2">
        <v>9.15872755445113</v>
      </c>
      <c r="AV300" s="2">
        <v>0.0</v>
      </c>
      <c r="AW300" s="2">
        <v>5.0</v>
      </c>
      <c r="AX300" s="2">
        <v>3.0</v>
      </c>
      <c r="AY300" s="2">
        <v>2.0</v>
      </c>
      <c r="AZ300" s="2">
        <v>2.0</v>
      </c>
      <c r="BA300" s="2">
        <v>0.0</v>
      </c>
      <c r="BB300" s="2">
        <v>40.0</v>
      </c>
      <c r="BC300" s="2">
        <v>1.0</v>
      </c>
      <c r="BD300" s="2">
        <v>31.0</v>
      </c>
      <c r="BE300" s="2">
        <v>10.0</v>
      </c>
      <c r="BF300" s="2">
        <v>54.0</v>
      </c>
      <c r="BG300" s="2">
        <v>2.0</v>
      </c>
      <c r="BH300" s="2">
        <v>5.0</v>
      </c>
      <c r="BI300" s="2">
        <v>52.0</v>
      </c>
      <c r="BJ300" s="2">
        <v>10.0</v>
      </c>
      <c r="BK300" s="2">
        <v>0.0</v>
      </c>
      <c r="BL300" s="2">
        <v>0.0</v>
      </c>
      <c r="BM300" s="2">
        <v>10.0</v>
      </c>
      <c r="BN300" s="2">
        <v>0.0</v>
      </c>
      <c r="BO300" s="2">
        <v>0.0</v>
      </c>
      <c r="BP300" s="2">
        <v>0.0</v>
      </c>
      <c r="BQ300" s="2">
        <v>0.0</v>
      </c>
      <c r="BR300" s="2">
        <v>2.0</v>
      </c>
      <c r="BS300" s="2">
        <v>3.0</v>
      </c>
      <c r="BT300" s="2">
        <v>2.0</v>
      </c>
      <c r="BU300" s="2">
        <v>56.0</v>
      </c>
      <c r="BV300" s="2">
        <v>2.0</v>
      </c>
      <c r="BW300" s="2">
        <v>3.0</v>
      </c>
      <c r="BX300" s="2">
        <v>20.0</v>
      </c>
      <c r="BY300" s="2">
        <v>4.0</v>
      </c>
      <c r="BZ300" s="2">
        <v>2.0</v>
      </c>
      <c r="CA300" s="2">
        <v>2.0</v>
      </c>
      <c r="CB300" s="2">
        <v>0.0</v>
      </c>
      <c r="CC300" s="2">
        <v>4.0</v>
      </c>
      <c r="CD300" s="2">
        <v>2.0</v>
      </c>
      <c r="CE300" s="2">
        <v>0.0</v>
      </c>
      <c r="CF300" s="2">
        <v>0.0</v>
      </c>
      <c r="CG300" s="2">
        <v>3.0</v>
      </c>
      <c r="CH300" s="2">
        <v>67.0</v>
      </c>
      <c r="CI300" s="2">
        <v>3.0</v>
      </c>
      <c r="CJ300" s="2">
        <v>3.0</v>
      </c>
      <c r="CK300" s="2">
        <v>0.0</v>
      </c>
      <c r="CL300" s="2">
        <v>0.0</v>
      </c>
      <c r="CM300" s="2">
        <v>46.0</v>
      </c>
      <c r="CN300" s="2">
        <v>1.0</v>
      </c>
      <c r="CO300" s="2">
        <v>0.0</v>
      </c>
      <c r="CP300" s="2">
        <v>0.0</v>
      </c>
      <c r="CQ300" s="2">
        <v>2.0</v>
      </c>
      <c r="CR300" s="2">
        <v>1.0</v>
      </c>
      <c r="CS300" s="2">
        <v>0.0</v>
      </c>
      <c r="CT300" s="2">
        <v>0.0</v>
      </c>
      <c r="CU300" s="2">
        <v>0.0</v>
      </c>
      <c r="CV300" s="2">
        <v>0.0</v>
      </c>
      <c r="CW300" s="2">
        <v>0.0</v>
      </c>
      <c r="CX300" s="2">
        <v>0.0</v>
      </c>
      <c r="CY300" s="2">
        <v>0.0</v>
      </c>
      <c r="CZ300" s="2">
        <v>0.0</v>
      </c>
      <c r="DA300" s="2" t="s">
        <v>2159</v>
      </c>
      <c r="DD300" s="2">
        <v>112.0</v>
      </c>
      <c r="DE300" s="2">
        <v>0.0</v>
      </c>
      <c r="DF300" s="2">
        <v>0.0</v>
      </c>
      <c r="DG300" s="2">
        <v>5.0</v>
      </c>
      <c r="DH300" s="2">
        <v>5.0</v>
      </c>
      <c r="DI300" s="2">
        <v>0.0</v>
      </c>
      <c r="DJ300" s="2">
        <v>0.0</v>
      </c>
      <c r="DK300" s="2">
        <v>1.0</v>
      </c>
      <c r="DL300" s="2">
        <v>0.0</v>
      </c>
      <c r="DM300" s="2">
        <v>0.0</v>
      </c>
      <c r="DN300" s="2">
        <v>0.0</v>
      </c>
      <c r="DO300" s="2">
        <v>0.0</v>
      </c>
      <c r="DP300" s="2">
        <v>0.0</v>
      </c>
      <c r="DQ300" s="2">
        <v>0.0</v>
      </c>
      <c r="DR300" s="2">
        <v>0.0</v>
      </c>
      <c r="DT300" s="2">
        <v>0.0</v>
      </c>
      <c r="DU300" s="2">
        <v>0.0</v>
      </c>
      <c r="DV300" s="2">
        <v>0.0</v>
      </c>
      <c r="DW300" s="2">
        <v>0.0</v>
      </c>
      <c r="DX300" s="2">
        <v>0.0</v>
      </c>
      <c r="DY300" s="2">
        <v>0.0</v>
      </c>
      <c r="DZ300" s="2">
        <v>0.0</v>
      </c>
      <c r="EA300" s="2">
        <v>0.0</v>
      </c>
      <c r="EB300" s="2">
        <v>0.0</v>
      </c>
      <c r="EC300" s="2">
        <v>0.0</v>
      </c>
      <c r="EE300" s="2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2">
        <v>2025.0</v>
      </c>
      <c r="B301" s="2">
        <v>10.0</v>
      </c>
      <c r="C301" s="2" t="s">
        <v>246</v>
      </c>
      <c r="D301" s="2" t="s">
        <v>390</v>
      </c>
      <c r="E301" s="2" t="s">
        <v>903</v>
      </c>
      <c r="F301" s="2" t="s">
        <v>142</v>
      </c>
      <c r="G301" s="2">
        <v>33.0</v>
      </c>
      <c r="H301" s="2">
        <v>39.0</v>
      </c>
      <c r="I301" s="2">
        <v>319.0</v>
      </c>
      <c r="J301" s="2">
        <v>3.0</v>
      </c>
      <c r="K301" s="2">
        <v>1.0</v>
      </c>
      <c r="L301" s="2">
        <v>0.0</v>
      </c>
      <c r="M301" s="2">
        <v>0.0</v>
      </c>
      <c r="N301" s="2">
        <v>0.0</v>
      </c>
      <c r="O301" s="2">
        <v>0.0</v>
      </c>
      <c r="P301" s="2">
        <v>282.0</v>
      </c>
      <c r="Q301" s="2">
        <v>101.0</v>
      </c>
      <c r="R301" s="2">
        <v>16.0</v>
      </c>
      <c r="S301" s="2">
        <v>18.2526789496625</v>
      </c>
      <c r="T301" s="2">
        <v>14.9748279498174</v>
      </c>
      <c r="U301" s="2">
        <v>0.0</v>
      </c>
      <c r="V301" s="2">
        <v>14.0</v>
      </c>
      <c r="W301" s="2">
        <v>5.0</v>
      </c>
      <c r="X301" s="2">
        <v>2.0</v>
      </c>
      <c r="Y301" s="2">
        <v>0.0</v>
      </c>
      <c r="Z301" s="2">
        <v>21.0</v>
      </c>
      <c r="AA301" s="2">
        <v>74.0</v>
      </c>
      <c r="AB301" s="2">
        <v>1.0</v>
      </c>
      <c r="AC301" s="2">
        <v>0.0</v>
      </c>
      <c r="AD301" s="2">
        <v>0.0</v>
      </c>
      <c r="AE301" s="2">
        <v>8.0</v>
      </c>
      <c r="AF301" s="2">
        <v>-4.08294265752193</v>
      </c>
      <c r="AG301" s="2">
        <v>0.0</v>
      </c>
      <c r="AH301" s="2">
        <v>2.0</v>
      </c>
      <c r="AI301" s="2">
        <v>1.0</v>
      </c>
      <c r="AJ301" s="2">
        <v>0.0</v>
      </c>
      <c r="AK301" s="2">
        <v>0.0</v>
      </c>
      <c r="AL301" s="2">
        <v>33.0</v>
      </c>
      <c r="AM301" s="2">
        <v>39.0</v>
      </c>
      <c r="AN301" s="2">
        <v>319.0</v>
      </c>
      <c r="AO301" s="2">
        <v>3.0</v>
      </c>
      <c r="AP301" s="2">
        <v>1.0</v>
      </c>
      <c r="AQ301" s="2">
        <v>1.0</v>
      </c>
      <c r="AR301" s="2">
        <v>282.0</v>
      </c>
      <c r="AS301" s="2">
        <v>101.0</v>
      </c>
      <c r="AT301" s="2">
        <v>16.0</v>
      </c>
      <c r="AU301" s="2">
        <v>11.8075904782601</v>
      </c>
      <c r="AV301" s="2">
        <v>0.0</v>
      </c>
      <c r="AW301" s="2">
        <v>14.0</v>
      </c>
      <c r="AX301" s="2">
        <v>5.0</v>
      </c>
      <c r="AY301" s="2">
        <v>2.0</v>
      </c>
      <c r="AZ301" s="2">
        <v>0.0</v>
      </c>
      <c r="BA301" s="2">
        <v>0.0</v>
      </c>
      <c r="BB301" s="2">
        <v>31.0</v>
      </c>
      <c r="BC301" s="2">
        <v>2.0</v>
      </c>
      <c r="BD301" s="2">
        <v>42.0</v>
      </c>
      <c r="BE301" s="2">
        <v>3.0</v>
      </c>
      <c r="BF301" s="2">
        <v>7.0</v>
      </c>
      <c r="BG301" s="2">
        <v>0.0</v>
      </c>
      <c r="BH301" s="2">
        <v>1.0</v>
      </c>
      <c r="BI301" s="2">
        <v>5.0</v>
      </c>
      <c r="BJ301" s="2">
        <v>8.0</v>
      </c>
      <c r="BK301" s="2">
        <v>0.0</v>
      </c>
      <c r="BL301" s="2">
        <v>0.0</v>
      </c>
      <c r="BM301" s="2">
        <v>3.0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0.0</v>
      </c>
      <c r="BU301" s="2">
        <v>0.0</v>
      </c>
      <c r="BV301" s="2">
        <v>0.0</v>
      </c>
      <c r="BW301" s="2">
        <v>7.0</v>
      </c>
      <c r="BX301" s="2">
        <v>45.0</v>
      </c>
      <c r="BY301" s="2">
        <v>5.0</v>
      </c>
      <c r="BZ301" s="2">
        <v>1.0</v>
      </c>
      <c r="CA301" s="2">
        <v>0.0</v>
      </c>
      <c r="CB301" s="2">
        <v>0.0</v>
      </c>
      <c r="CC301" s="2">
        <v>1.0</v>
      </c>
      <c r="CD301" s="2">
        <v>1.0</v>
      </c>
      <c r="CE301" s="2">
        <v>1.0</v>
      </c>
      <c r="CF301" s="2">
        <v>27.0</v>
      </c>
      <c r="CG301" s="2">
        <v>1.0</v>
      </c>
      <c r="CH301" s="2">
        <v>16.0</v>
      </c>
      <c r="CI301" s="2">
        <v>0.0</v>
      </c>
      <c r="CJ301" s="2">
        <v>0.0</v>
      </c>
      <c r="CK301" s="2">
        <v>0.0</v>
      </c>
      <c r="CL301" s="2">
        <v>0.0</v>
      </c>
      <c r="CO301" s="2">
        <v>0.0</v>
      </c>
      <c r="CP301" s="2">
        <v>0.0</v>
      </c>
      <c r="CQ301" s="2">
        <v>0.0</v>
      </c>
      <c r="CR301" s="2">
        <v>0.0</v>
      </c>
      <c r="CS301" s="2">
        <v>0.0</v>
      </c>
      <c r="CT301" s="2">
        <v>0.0</v>
      </c>
      <c r="CU301" s="2">
        <v>0.0</v>
      </c>
      <c r="CV301" s="2">
        <v>0.0</v>
      </c>
      <c r="CW301" s="2">
        <v>0.0</v>
      </c>
      <c r="CX301" s="2">
        <v>0.0</v>
      </c>
      <c r="CY301" s="2">
        <v>0.0</v>
      </c>
      <c r="CZ301" s="2">
        <v>0.0</v>
      </c>
      <c r="DD301" s="2">
        <v>0.0</v>
      </c>
      <c r="DE301" s="2">
        <v>0.0</v>
      </c>
      <c r="DF301" s="2">
        <v>0.0</v>
      </c>
      <c r="DG301" s="2">
        <v>2.0</v>
      </c>
      <c r="DH301" s="2">
        <v>3.0</v>
      </c>
      <c r="DI301" s="2">
        <v>0.0</v>
      </c>
      <c r="DJ301" s="2">
        <v>1.0</v>
      </c>
      <c r="DK301" s="2">
        <v>0.666666666666667</v>
      </c>
      <c r="DL301" s="2">
        <v>0.0</v>
      </c>
      <c r="DM301" s="2">
        <v>0.0</v>
      </c>
      <c r="DN301" s="2">
        <v>0.0</v>
      </c>
      <c r="DO301" s="2">
        <v>0.0</v>
      </c>
      <c r="DP301" s="2">
        <v>0.0</v>
      </c>
      <c r="DQ301" s="2">
        <v>2.0</v>
      </c>
      <c r="DR301" s="2">
        <v>0.0</v>
      </c>
      <c r="DS301" s="2">
        <v>48.0</v>
      </c>
      <c r="DT301" s="2">
        <v>87.0</v>
      </c>
      <c r="DU301" s="2">
        <v>2.0</v>
      </c>
      <c r="DV301" s="2">
        <v>0.0</v>
      </c>
      <c r="DW301" s="2">
        <v>1.0</v>
      </c>
      <c r="DX301" s="2">
        <v>0.0</v>
      </c>
      <c r="DY301" s="2">
        <v>0.0</v>
      </c>
      <c r="DZ301" s="2">
        <v>1.0</v>
      </c>
      <c r="EA301" s="2">
        <v>5.0</v>
      </c>
      <c r="EB301" s="2">
        <v>0.0</v>
      </c>
      <c r="EC301" s="2">
        <v>82.0</v>
      </c>
      <c r="EE301" s="2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2">
        <v>2025.0</v>
      </c>
      <c r="B302" s="2">
        <v>10.0</v>
      </c>
      <c r="C302" s="2" t="s">
        <v>150</v>
      </c>
      <c r="D302" s="2" t="s">
        <v>390</v>
      </c>
      <c r="E302" s="2" t="s">
        <v>899</v>
      </c>
      <c r="F302" s="2" t="s">
        <v>145</v>
      </c>
      <c r="G302" s="2">
        <v>28.0</v>
      </c>
      <c r="H302" s="2">
        <v>43.0</v>
      </c>
      <c r="I302" s="2">
        <v>273.0</v>
      </c>
      <c r="J302" s="2">
        <v>3.0</v>
      </c>
      <c r="K302" s="2">
        <v>0.0</v>
      </c>
      <c r="L302" s="2">
        <v>2.0</v>
      </c>
      <c r="M302" s="2">
        <v>-15.0</v>
      </c>
      <c r="N302" s="2">
        <v>0.0</v>
      </c>
      <c r="O302" s="2">
        <v>0.0</v>
      </c>
      <c r="P302" s="2">
        <v>282.0</v>
      </c>
      <c r="Q302" s="2">
        <v>132.0</v>
      </c>
      <c r="R302" s="2">
        <v>14.0</v>
      </c>
      <c r="S302" s="2">
        <v>0.968220839278859</v>
      </c>
      <c r="T302" s="2">
        <v>-2.53880481387294</v>
      </c>
      <c r="U302" s="2">
        <v>0.0</v>
      </c>
      <c r="V302" s="2">
        <v>14.0</v>
      </c>
      <c r="W302" s="2">
        <v>5.0</v>
      </c>
      <c r="X302" s="2">
        <v>4.0</v>
      </c>
      <c r="Y302" s="2">
        <v>0.0</v>
      </c>
      <c r="Z302" s="2">
        <v>21.0</v>
      </c>
      <c r="AA302" s="2">
        <v>113.0</v>
      </c>
      <c r="AB302" s="2">
        <v>0.0</v>
      </c>
      <c r="AC302" s="2">
        <v>0.0</v>
      </c>
      <c r="AD302" s="2">
        <v>0.0</v>
      </c>
      <c r="AE302" s="2">
        <v>9.0</v>
      </c>
      <c r="AF302" s="2">
        <v>2.00240300629241</v>
      </c>
      <c r="AG302" s="2">
        <v>0.0</v>
      </c>
      <c r="AH302" s="2">
        <v>5.0</v>
      </c>
      <c r="AI302" s="2">
        <v>3.0</v>
      </c>
      <c r="AJ302" s="2">
        <v>0.0</v>
      </c>
      <c r="AK302" s="2">
        <v>0.0</v>
      </c>
      <c r="AL302" s="2">
        <v>28.0</v>
      </c>
      <c r="AM302" s="2">
        <v>43.0</v>
      </c>
      <c r="AN302" s="2">
        <v>273.0</v>
      </c>
      <c r="AO302" s="2">
        <v>3.0</v>
      </c>
      <c r="AP302" s="2">
        <v>0.0</v>
      </c>
      <c r="AQ302" s="2">
        <v>0.0</v>
      </c>
      <c r="AR302" s="2">
        <v>282.0</v>
      </c>
      <c r="AS302" s="2">
        <v>132.0</v>
      </c>
      <c r="AT302" s="2">
        <v>14.0</v>
      </c>
      <c r="AU302" s="2">
        <v>4.79104733932958</v>
      </c>
      <c r="AV302" s="2">
        <v>0.0</v>
      </c>
      <c r="AW302" s="2">
        <v>14.0</v>
      </c>
      <c r="AX302" s="2">
        <v>5.0</v>
      </c>
      <c r="AY302" s="2">
        <v>4.0</v>
      </c>
      <c r="AZ302" s="2">
        <v>0.0</v>
      </c>
      <c r="BA302" s="2">
        <v>0.0</v>
      </c>
      <c r="BB302" s="2">
        <v>33.0</v>
      </c>
      <c r="BC302" s="2">
        <v>1.0</v>
      </c>
      <c r="BD302" s="2">
        <v>19.0</v>
      </c>
      <c r="BE302" s="2">
        <v>3.0</v>
      </c>
      <c r="BF302" s="2">
        <v>7.0</v>
      </c>
      <c r="BG302" s="2">
        <v>0.0</v>
      </c>
      <c r="BH302" s="2">
        <v>1.0</v>
      </c>
      <c r="BI302" s="2">
        <v>1.0</v>
      </c>
      <c r="BJ302" s="2">
        <v>6.0</v>
      </c>
      <c r="BK302" s="2">
        <v>1.0</v>
      </c>
      <c r="BL302" s="2">
        <v>0.0</v>
      </c>
      <c r="BM302" s="2">
        <v>5.0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6.0</v>
      </c>
      <c r="BX302" s="2">
        <v>40.0</v>
      </c>
      <c r="BY302" s="2">
        <v>6.0</v>
      </c>
      <c r="BZ302" s="2">
        <v>0.0</v>
      </c>
      <c r="CA302" s="2">
        <v>0.0</v>
      </c>
      <c r="CB302" s="2">
        <v>0.0</v>
      </c>
      <c r="CC302" s="2">
        <v>0.0</v>
      </c>
      <c r="CD302" s="2">
        <v>0.0</v>
      </c>
      <c r="CE302" s="2">
        <v>2.0</v>
      </c>
      <c r="CF302" s="2">
        <v>12.0</v>
      </c>
      <c r="CG302" s="2">
        <v>2.0</v>
      </c>
      <c r="CH302" s="2">
        <v>48.0</v>
      </c>
      <c r="CI302" s="2">
        <v>1.0</v>
      </c>
      <c r="CJ302" s="2">
        <v>1.0</v>
      </c>
      <c r="CK302" s="2">
        <v>0.0</v>
      </c>
      <c r="CL302" s="2">
        <v>0.0</v>
      </c>
      <c r="CM302" s="2">
        <v>36.0</v>
      </c>
      <c r="CN302" s="2">
        <v>1.0</v>
      </c>
      <c r="CO302" s="2">
        <v>0.0</v>
      </c>
      <c r="CP302" s="2">
        <v>0.0</v>
      </c>
      <c r="CQ302" s="2">
        <v>1.0</v>
      </c>
      <c r="CR302" s="2">
        <v>0.0</v>
      </c>
      <c r="CS302" s="2">
        <v>0.0</v>
      </c>
      <c r="CT302" s="2">
        <v>0.0</v>
      </c>
      <c r="CU302" s="2">
        <v>0.0</v>
      </c>
      <c r="CV302" s="2">
        <v>0.0</v>
      </c>
      <c r="CW302" s="2">
        <v>0.0</v>
      </c>
      <c r="CX302" s="2">
        <v>0.0</v>
      </c>
      <c r="CY302" s="2">
        <v>0.0</v>
      </c>
      <c r="CZ302" s="2">
        <v>0.0</v>
      </c>
      <c r="DA302" s="2" t="s">
        <v>1970</v>
      </c>
      <c r="DD302" s="2">
        <v>36.0</v>
      </c>
      <c r="DE302" s="2">
        <v>0.0</v>
      </c>
      <c r="DF302" s="2">
        <v>0.0</v>
      </c>
      <c r="DG302" s="2">
        <v>2.0</v>
      </c>
      <c r="DH302" s="2">
        <v>2.0</v>
      </c>
      <c r="DI302" s="2">
        <v>0.0</v>
      </c>
      <c r="DJ302" s="2">
        <v>0.0</v>
      </c>
      <c r="DK302" s="2">
        <v>1.0</v>
      </c>
      <c r="DL302" s="2">
        <v>0.0</v>
      </c>
      <c r="DM302" s="2">
        <v>0.0</v>
      </c>
      <c r="DN302" s="2">
        <v>0.0</v>
      </c>
      <c r="DO302" s="2">
        <v>0.0</v>
      </c>
      <c r="DP302" s="2">
        <v>0.0</v>
      </c>
      <c r="DQ302" s="2">
        <v>6.0</v>
      </c>
      <c r="DR302" s="2">
        <v>0.0</v>
      </c>
      <c r="DS302" s="2">
        <v>50.0</v>
      </c>
      <c r="DT302" s="2">
        <v>258.0</v>
      </c>
      <c r="DU302" s="2">
        <v>2.0</v>
      </c>
      <c r="DV302" s="2">
        <v>0.0</v>
      </c>
      <c r="DW302" s="2">
        <v>0.0</v>
      </c>
      <c r="DX302" s="2">
        <v>1.0</v>
      </c>
      <c r="DY302" s="2">
        <v>2.0</v>
      </c>
      <c r="DZ302" s="2">
        <v>3.0</v>
      </c>
      <c r="EA302" s="2">
        <v>3.0</v>
      </c>
      <c r="EB302" s="2">
        <v>0.0</v>
      </c>
      <c r="EC302" s="2">
        <v>235.0</v>
      </c>
      <c r="EE302" s="2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2">
        <v>2025.0</v>
      </c>
      <c r="B303" s="2">
        <v>10.0</v>
      </c>
      <c r="C303" s="2" t="s">
        <v>253</v>
      </c>
      <c r="D303" s="2" t="s">
        <v>390</v>
      </c>
      <c r="E303" s="2" t="s">
        <v>905</v>
      </c>
      <c r="F303" s="2" t="s">
        <v>202</v>
      </c>
      <c r="G303" s="2">
        <v>16.0</v>
      </c>
      <c r="H303" s="2">
        <v>22.0</v>
      </c>
      <c r="I303" s="2">
        <v>213.0</v>
      </c>
      <c r="J303" s="2">
        <v>2.0</v>
      </c>
      <c r="K303" s="2">
        <v>0.0</v>
      </c>
      <c r="L303" s="2">
        <v>2.0</v>
      </c>
      <c r="M303" s="2">
        <v>-18.0</v>
      </c>
      <c r="N303" s="2">
        <v>0.0</v>
      </c>
      <c r="O303" s="2">
        <v>0.0</v>
      </c>
      <c r="P303" s="2">
        <v>288.0</v>
      </c>
      <c r="Q303" s="2">
        <v>39.0</v>
      </c>
      <c r="R303" s="2">
        <v>9.0</v>
      </c>
      <c r="S303" s="2">
        <v>10.9237322372734</v>
      </c>
      <c r="T303" s="2">
        <v>14.2503999850967</v>
      </c>
      <c r="U303" s="2">
        <v>0.0</v>
      </c>
      <c r="V303" s="2">
        <v>7.0</v>
      </c>
      <c r="W303" s="2">
        <v>5.0</v>
      </c>
      <c r="X303" s="2">
        <v>3.0</v>
      </c>
      <c r="Y303" s="2">
        <v>1.0</v>
      </c>
      <c r="Z303" s="2">
        <v>27.0</v>
      </c>
      <c r="AA303" s="2">
        <v>93.0</v>
      </c>
      <c r="AB303" s="2">
        <v>1.0</v>
      </c>
      <c r="AC303" s="2">
        <v>0.0</v>
      </c>
      <c r="AD303" s="2">
        <v>0.0</v>
      </c>
      <c r="AE303" s="2">
        <v>5.0</v>
      </c>
      <c r="AF303" s="2">
        <v>-1.91870835727593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16.0</v>
      </c>
      <c r="AM303" s="2">
        <v>22.0</v>
      </c>
      <c r="AN303" s="2">
        <v>213.0</v>
      </c>
      <c r="AO303" s="2">
        <v>2.0</v>
      </c>
      <c r="AP303" s="2">
        <v>0.0</v>
      </c>
      <c r="AQ303" s="2">
        <v>0.0</v>
      </c>
      <c r="AR303" s="2">
        <v>288.0</v>
      </c>
      <c r="AS303" s="2">
        <v>39.0</v>
      </c>
      <c r="AT303" s="2">
        <v>9.0</v>
      </c>
      <c r="AU303" s="2">
        <v>14.2570578896791</v>
      </c>
      <c r="AV303" s="2">
        <v>0.0</v>
      </c>
      <c r="AW303" s="2">
        <v>7.0</v>
      </c>
      <c r="AX303" s="2">
        <v>5.0</v>
      </c>
      <c r="AY303" s="2">
        <v>3.0</v>
      </c>
      <c r="AZ303" s="2">
        <v>1.0</v>
      </c>
      <c r="BA303" s="2">
        <v>0.0</v>
      </c>
      <c r="BB303" s="2">
        <v>38.0</v>
      </c>
      <c r="BC303" s="2">
        <v>0.0</v>
      </c>
      <c r="BD303" s="2">
        <v>40.0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5.0</v>
      </c>
      <c r="BK303" s="2">
        <v>0.0</v>
      </c>
      <c r="BL303" s="2">
        <v>0.0</v>
      </c>
      <c r="BM303" s="2">
        <v>3.0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8.0</v>
      </c>
      <c r="BX303" s="2">
        <v>61.0</v>
      </c>
      <c r="BY303" s="2">
        <v>3.0</v>
      </c>
      <c r="BZ303" s="2">
        <v>0.0</v>
      </c>
      <c r="CA303" s="2">
        <v>0.0</v>
      </c>
      <c r="CB303" s="2">
        <v>0.0</v>
      </c>
      <c r="CC303" s="2">
        <v>0.0</v>
      </c>
      <c r="CD303" s="2">
        <v>0.0</v>
      </c>
      <c r="CE303" s="2">
        <v>0.0</v>
      </c>
      <c r="CF303" s="2">
        <v>0.0</v>
      </c>
      <c r="CG303" s="2">
        <v>7.0</v>
      </c>
      <c r="CH303" s="2">
        <v>191.0</v>
      </c>
      <c r="CI303" s="2">
        <v>1.0</v>
      </c>
      <c r="CJ303" s="2">
        <v>1.0</v>
      </c>
      <c r="CK303" s="2">
        <v>0.0</v>
      </c>
      <c r="CL303" s="2">
        <v>0.0</v>
      </c>
      <c r="CM303" s="2">
        <v>44.0</v>
      </c>
      <c r="CN303" s="2">
        <v>1.0</v>
      </c>
      <c r="CO303" s="2">
        <v>0.0</v>
      </c>
      <c r="CP303" s="2">
        <v>0.0</v>
      </c>
      <c r="CQ303" s="2">
        <v>0.0</v>
      </c>
      <c r="CR303" s="2">
        <v>1.0</v>
      </c>
      <c r="CS303" s="2">
        <v>0.0</v>
      </c>
      <c r="CT303" s="2">
        <v>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 t="s">
        <v>1962</v>
      </c>
      <c r="DD303" s="2">
        <v>44.0</v>
      </c>
      <c r="DE303" s="2">
        <v>0.0</v>
      </c>
      <c r="DF303" s="2">
        <v>0.0</v>
      </c>
      <c r="DG303" s="2">
        <v>1.0</v>
      </c>
      <c r="DH303" s="2">
        <v>1.0</v>
      </c>
      <c r="DI303" s="2">
        <v>0.0</v>
      </c>
      <c r="DJ303" s="2">
        <v>0.0</v>
      </c>
      <c r="DK303" s="2">
        <v>1.0</v>
      </c>
      <c r="DL303" s="2">
        <v>0.0</v>
      </c>
      <c r="DM303" s="2">
        <v>0.0</v>
      </c>
      <c r="DN303" s="2">
        <v>0.0</v>
      </c>
      <c r="DO303" s="2">
        <v>0.0</v>
      </c>
      <c r="DP303" s="2">
        <v>0.0</v>
      </c>
      <c r="DQ303" s="2">
        <v>4.0</v>
      </c>
      <c r="DR303" s="2">
        <v>0.0</v>
      </c>
      <c r="DS303" s="2">
        <v>56.0</v>
      </c>
      <c r="DT303" s="2">
        <v>200.0</v>
      </c>
      <c r="DU303" s="2">
        <v>2.0</v>
      </c>
      <c r="DV303" s="2">
        <v>0.0</v>
      </c>
      <c r="DW303" s="2">
        <v>0.0</v>
      </c>
      <c r="DX303" s="2">
        <v>0.0</v>
      </c>
      <c r="DY303" s="2">
        <v>1.0</v>
      </c>
      <c r="DZ303" s="2">
        <v>3.0</v>
      </c>
      <c r="EA303" s="2">
        <v>3.0</v>
      </c>
      <c r="EB303" s="2">
        <v>0.0</v>
      </c>
      <c r="EC303" s="2">
        <v>197.0</v>
      </c>
      <c r="EE303" s="2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2">
        <v>2025.0</v>
      </c>
      <c r="B304" s="2">
        <v>11.0</v>
      </c>
      <c r="C304" s="2" t="s">
        <v>178</v>
      </c>
      <c r="D304" s="2" t="s">
        <v>390</v>
      </c>
      <c r="E304" s="2" t="s">
        <v>934</v>
      </c>
      <c r="F304" s="2" t="s">
        <v>246</v>
      </c>
      <c r="G304" s="2">
        <v>47.0</v>
      </c>
      <c r="H304" s="2">
        <v>57.0</v>
      </c>
      <c r="I304" s="2">
        <v>452.0</v>
      </c>
      <c r="J304" s="2">
        <v>2.0</v>
      </c>
      <c r="K304" s="2">
        <v>2.0</v>
      </c>
      <c r="L304" s="2">
        <v>0.0</v>
      </c>
      <c r="M304" s="2">
        <v>0.0</v>
      </c>
      <c r="N304" s="2">
        <v>0.0</v>
      </c>
      <c r="O304" s="2">
        <v>0.0</v>
      </c>
      <c r="P304" s="2">
        <v>388.0</v>
      </c>
      <c r="Q304" s="2">
        <v>198.0</v>
      </c>
      <c r="R304" s="2">
        <v>18.0</v>
      </c>
      <c r="S304" s="2">
        <v>9.21293589649557</v>
      </c>
      <c r="T304" s="2">
        <v>12.4360208000456</v>
      </c>
      <c r="U304" s="2">
        <v>0.0</v>
      </c>
      <c r="V304" s="2">
        <v>15.0</v>
      </c>
      <c r="W304" s="2">
        <v>10.0</v>
      </c>
      <c r="X304" s="2">
        <v>4.0</v>
      </c>
      <c r="Y304" s="2">
        <v>0.0</v>
      </c>
      <c r="Z304" s="2">
        <v>14.0</v>
      </c>
      <c r="AA304" s="2">
        <v>36.0</v>
      </c>
      <c r="AB304" s="2">
        <v>1.0</v>
      </c>
      <c r="AC304" s="2">
        <v>0.0</v>
      </c>
      <c r="AD304" s="2">
        <v>0.0</v>
      </c>
      <c r="AE304" s="2">
        <v>5.0</v>
      </c>
      <c r="AF304" s="2">
        <v>-1.93119104638742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47.0</v>
      </c>
      <c r="AM304" s="2">
        <v>56.0</v>
      </c>
      <c r="AN304" s="2">
        <v>452.0</v>
      </c>
      <c r="AO304" s="2">
        <v>2.0</v>
      </c>
      <c r="AP304" s="2">
        <v>1.0</v>
      </c>
      <c r="AQ304" s="2">
        <v>1.0</v>
      </c>
      <c r="AR304" s="2">
        <v>388.0</v>
      </c>
      <c r="AS304" s="2">
        <v>198.0</v>
      </c>
      <c r="AT304" s="2">
        <v>18.0</v>
      </c>
      <c r="AU304" s="2">
        <v>6.84563777161364</v>
      </c>
      <c r="AV304" s="2">
        <v>0.0</v>
      </c>
      <c r="AW304" s="2">
        <v>15.0</v>
      </c>
      <c r="AX304" s="2">
        <v>10.0</v>
      </c>
      <c r="AY304" s="2">
        <v>4.0</v>
      </c>
      <c r="AZ304" s="2">
        <v>0.0</v>
      </c>
      <c r="BA304" s="2">
        <v>0.0</v>
      </c>
      <c r="BB304" s="2">
        <v>27.0</v>
      </c>
      <c r="BC304" s="2">
        <v>1.0</v>
      </c>
      <c r="BD304" s="2">
        <v>31.0</v>
      </c>
      <c r="BE304" s="2">
        <v>3.0</v>
      </c>
      <c r="BF304" s="2">
        <v>23.0</v>
      </c>
      <c r="BG304" s="2">
        <v>0.0</v>
      </c>
      <c r="BH304" s="2">
        <v>1.0</v>
      </c>
      <c r="BI304" s="2">
        <v>14.0</v>
      </c>
      <c r="BJ304" s="2">
        <v>3.0</v>
      </c>
      <c r="BK304" s="2">
        <v>0.0</v>
      </c>
      <c r="BL304" s="2">
        <v>0.0</v>
      </c>
      <c r="BM304" s="2">
        <v>4.0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17.0</v>
      </c>
      <c r="BX304" s="2">
        <v>130.0</v>
      </c>
      <c r="BY304" s="2">
        <v>5.0</v>
      </c>
      <c r="BZ304" s="2">
        <v>1.0</v>
      </c>
      <c r="CA304" s="2">
        <v>0.0</v>
      </c>
      <c r="CB304" s="2">
        <v>0.0</v>
      </c>
      <c r="CC304" s="2">
        <v>1.0</v>
      </c>
      <c r="CD304" s="2">
        <v>1.0</v>
      </c>
      <c r="CE304" s="2">
        <v>2.0</v>
      </c>
      <c r="CF304" s="2">
        <v>51.0</v>
      </c>
      <c r="CG304" s="2">
        <v>7.0</v>
      </c>
      <c r="CH304" s="2">
        <v>180.0</v>
      </c>
      <c r="CI304" s="2">
        <v>1.0</v>
      </c>
      <c r="CJ304" s="2">
        <v>2.0</v>
      </c>
      <c r="CK304" s="2">
        <v>1.0</v>
      </c>
      <c r="CL304" s="2">
        <v>0.0</v>
      </c>
      <c r="CM304" s="2">
        <v>26.0</v>
      </c>
      <c r="CN304" s="2">
        <v>0.5</v>
      </c>
      <c r="CO304" s="2">
        <v>0.0</v>
      </c>
      <c r="CP304" s="2">
        <v>1.0</v>
      </c>
      <c r="CQ304" s="2">
        <v>0.0</v>
      </c>
      <c r="CR304" s="2">
        <v>0.0</v>
      </c>
      <c r="CS304" s="2">
        <v>0.0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1.0</v>
      </c>
      <c r="CZ304" s="2">
        <v>0.0</v>
      </c>
      <c r="DA304" s="2" t="s">
        <v>2055</v>
      </c>
      <c r="DB304" s="2" t="s">
        <v>1981</v>
      </c>
      <c r="DD304" s="2">
        <v>26.0</v>
      </c>
      <c r="DE304" s="2">
        <v>58.0</v>
      </c>
      <c r="DF304" s="2">
        <v>0.0</v>
      </c>
      <c r="DG304" s="2">
        <v>1.0</v>
      </c>
      <c r="DH304" s="2">
        <v>1.0</v>
      </c>
      <c r="DI304" s="2">
        <v>0.0</v>
      </c>
      <c r="DJ304" s="2">
        <v>0.0</v>
      </c>
      <c r="DK304" s="2">
        <v>1.0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3.0</v>
      </c>
      <c r="DR304" s="2">
        <v>0.0</v>
      </c>
      <c r="DS304" s="2">
        <v>46.0</v>
      </c>
      <c r="DT304" s="2">
        <v>122.0</v>
      </c>
      <c r="DU304" s="2">
        <v>0.0</v>
      </c>
      <c r="DV304" s="2">
        <v>0.0</v>
      </c>
      <c r="DW304" s="2">
        <v>1.0</v>
      </c>
      <c r="DX304" s="2">
        <v>0.0</v>
      </c>
      <c r="DY304" s="2">
        <v>1.0</v>
      </c>
      <c r="DZ304" s="2">
        <v>1.0</v>
      </c>
      <c r="EA304" s="2">
        <v>9.0</v>
      </c>
      <c r="EB304" s="2">
        <v>0.0</v>
      </c>
      <c r="EC304" s="2">
        <v>113.0</v>
      </c>
      <c r="EE304" s="2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2">
        <v>2025.0</v>
      </c>
      <c r="B305" s="2">
        <v>11.0</v>
      </c>
      <c r="C305" s="2" t="s">
        <v>132</v>
      </c>
      <c r="D305" s="2" t="s">
        <v>390</v>
      </c>
      <c r="E305" s="2" t="s">
        <v>918</v>
      </c>
      <c r="F305" s="2" t="s">
        <v>189</v>
      </c>
      <c r="G305" s="2">
        <v>19.0</v>
      </c>
      <c r="H305" s="2">
        <v>30.0</v>
      </c>
      <c r="I305" s="2">
        <v>223.0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255.0</v>
      </c>
      <c r="Q305" s="2">
        <v>107.0</v>
      </c>
      <c r="R305" s="2">
        <v>11.0</v>
      </c>
      <c r="S305" s="2">
        <v>6.94603395107581</v>
      </c>
      <c r="T305" s="2">
        <v>-5.19735926184161</v>
      </c>
      <c r="U305" s="2">
        <v>0.0</v>
      </c>
      <c r="V305" s="2">
        <v>9.0</v>
      </c>
      <c r="W305" s="2">
        <v>4.0</v>
      </c>
      <c r="X305" s="2">
        <v>4.0</v>
      </c>
      <c r="Y305" s="2">
        <v>1.0</v>
      </c>
      <c r="Z305" s="2">
        <v>28.0</v>
      </c>
      <c r="AA305" s="2">
        <v>125.0</v>
      </c>
      <c r="AB305" s="2">
        <v>3.0</v>
      </c>
      <c r="AC305" s="2">
        <v>0.0</v>
      </c>
      <c r="AD305" s="2">
        <v>0.0</v>
      </c>
      <c r="AE305" s="2">
        <v>8.0</v>
      </c>
      <c r="AF305" s="2">
        <v>0.409392550514895</v>
      </c>
      <c r="AG305" s="2">
        <v>0.0</v>
      </c>
      <c r="AH305" s="2">
        <v>3.0</v>
      </c>
      <c r="AI305" s="2">
        <v>2.0</v>
      </c>
      <c r="AJ305" s="2">
        <v>0.0</v>
      </c>
      <c r="AK305" s="2">
        <v>0.0</v>
      </c>
      <c r="AL305" s="2">
        <v>19.0</v>
      </c>
      <c r="AM305" s="2">
        <v>29.0</v>
      </c>
      <c r="AN305" s="2">
        <v>223.0</v>
      </c>
      <c r="AO305" s="2">
        <v>0.0</v>
      </c>
      <c r="AP305" s="2">
        <v>1.0</v>
      </c>
      <c r="AQ305" s="2">
        <v>0.0</v>
      </c>
      <c r="AR305" s="2">
        <v>255.0</v>
      </c>
      <c r="AS305" s="2">
        <v>107.0</v>
      </c>
      <c r="AT305" s="2">
        <v>11.0</v>
      </c>
      <c r="AU305" s="2">
        <v>8.42524650664447</v>
      </c>
      <c r="AV305" s="2">
        <v>0.0</v>
      </c>
      <c r="AW305" s="2">
        <v>9.0</v>
      </c>
      <c r="AX305" s="2">
        <v>4.0</v>
      </c>
      <c r="AY305" s="2">
        <v>4.0</v>
      </c>
      <c r="AZ305" s="2">
        <v>1.0</v>
      </c>
      <c r="BA305" s="2">
        <v>0.0</v>
      </c>
      <c r="BB305" s="2">
        <v>52.0</v>
      </c>
      <c r="BC305" s="2">
        <v>0.0</v>
      </c>
      <c r="BD305" s="2">
        <v>16.0</v>
      </c>
      <c r="BE305" s="2">
        <v>6.0</v>
      </c>
      <c r="BF305" s="2">
        <v>31.0</v>
      </c>
      <c r="BG305" s="2">
        <v>0.0</v>
      </c>
      <c r="BH305" s="2">
        <v>5.0</v>
      </c>
      <c r="BI305" s="2">
        <v>29.0</v>
      </c>
      <c r="BJ305" s="2">
        <v>10.0</v>
      </c>
      <c r="BK305" s="2">
        <v>0.0</v>
      </c>
      <c r="BL305" s="2">
        <v>0.0</v>
      </c>
      <c r="BM305" s="2">
        <v>7.0</v>
      </c>
      <c r="BN305" s="2">
        <v>0.0</v>
      </c>
      <c r="BO305" s="2">
        <v>1.0</v>
      </c>
      <c r="BP305" s="2">
        <v>0.0</v>
      </c>
      <c r="BQ305" s="2">
        <v>0.0</v>
      </c>
      <c r="BR305" s="2">
        <v>1.0</v>
      </c>
      <c r="BS305" s="2">
        <v>0.0</v>
      </c>
      <c r="BT305" s="2">
        <v>0.0</v>
      </c>
      <c r="BU305" s="2">
        <v>0.0</v>
      </c>
      <c r="BV305" s="2">
        <v>0.0</v>
      </c>
      <c r="BW305" s="2">
        <v>6.0</v>
      </c>
      <c r="BX305" s="2">
        <v>44.0</v>
      </c>
      <c r="BY305" s="2">
        <v>4.0</v>
      </c>
      <c r="BZ305" s="2">
        <v>2.0</v>
      </c>
      <c r="CA305" s="2">
        <v>1.0</v>
      </c>
      <c r="CB305" s="2">
        <v>1.0</v>
      </c>
      <c r="CC305" s="2">
        <v>3.0</v>
      </c>
      <c r="CD305" s="2">
        <v>1.0</v>
      </c>
      <c r="CE305" s="2">
        <v>1.0</v>
      </c>
      <c r="CF305" s="2">
        <v>0.0</v>
      </c>
      <c r="CG305" s="2">
        <v>6.0</v>
      </c>
      <c r="CH305" s="2">
        <v>133.0</v>
      </c>
      <c r="CI305" s="2">
        <v>2.0</v>
      </c>
      <c r="CJ305" s="2">
        <v>2.0</v>
      </c>
      <c r="CK305" s="2">
        <v>0.0</v>
      </c>
      <c r="CL305" s="2">
        <v>0.0</v>
      </c>
      <c r="CM305" s="2">
        <v>52.0</v>
      </c>
      <c r="CN305" s="2">
        <v>1.0</v>
      </c>
      <c r="CO305" s="2">
        <v>0.0</v>
      </c>
      <c r="CP305" s="2">
        <v>0.0</v>
      </c>
      <c r="CQ305" s="2">
        <v>0.0</v>
      </c>
      <c r="CR305" s="2">
        <v>1.0</v>
      </c>
      <c r="CS305" s="2">
        <v>1.0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 t="s">
        <v>2160</v>
      </c>
      <c r="DD305" s="2">
        <v>97.0</v>
      </c>
      <c r="DE305" s="2">
        <v>0.0</v>
      </c>
      <c r="DF305" s="2">
        <v>0.0</v>
      </c>
      <c r="DG305" s="2">
        <v>3.0</v>
      </c>
      <c r="DH305" s="2">
        <v>3.0</v>
      </c>
      <c r="DI305" s="2">
        <v>0.0</v>
      </c>
      <c r="DJ305" s="2">
        <v>0.0</v>
      </c>
      <c r="DK305" s="2">
        <v>1.0</v>
      </c>
      <c r="DL305" s="2">
        <v>0.0</v>
      </c>
      <c r="DM305" s="2">
        <v>0.0</v>
      </c>
      <c r="DN305" s="2">
        <v>0.0</v>
      </c>
      <c r="DO305" s="2">
        <v>0.0</v>
      </c>
      <c r="DP305" s="2">
        <v>0.0</v>
      </c>
      <c r="DQ305" s="2">
        <v>5.0</v>
      </c>
      <c r="DR305" s="2">
        <v>0.0</v>
      </c>
      <c r="DS305" s="2">
        <v>55.0</v>
      </c>
      <c r="DT305" s="2">
        <v>255.0</v>
      </c>
      <c r="DU305" s="2">
        <v>2.0</v>
      </c>
      <c r="DV305" s="2">
        <v>1.0</v>
      </c>
      <c r="DW305" s="2">
        <v>1.0</v>
      </c>
      <c r="DX305" s="2">
        <v>0.0</v>
      </c>
      <c r="DY305" s="2">
        <v>2.0</v>
      </c>
      <c r="DZ305" s="2">
        <v>1.0</v>
      </c>
      <c r="EA305" s="2">
        <v>9.0</v>
      </c>
      <c r="EB305" s="2">
        <v>0.0</v>
      </c>
      <c r="EC305" s="2">
        <v>246.0</v>
      </c>
      <c r="EE305" s="2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2">
        <v>2025.0</v>
      </c>
      <c r="B306" s="2">
        <v>11.0</v>
      </c>
      <c r="C306" s="2" t="s">
        <v>148</v>
      </c>
      <c r="D306" s="2" t="s">
        <v>390</v>
      </c>
      <c r="E306" s="2" t="s">
        <v>938</v>
      </c>
      <c r="F306" s="2" t="s">
        <v>196</v>
      </c>
      <c r="G306" s="2">
        <v>14.0</v>
      </c>
      <c r="H306" s="2">
        <v>25.0</v>
      </c>
      <c r="I306" s="2">
        <v>193.0</v>
      </c>
      <c r="J306" s="2">
        <v>0.0</v>
      </c>
      <c r="K306" s="2">
        <v>2.0</v>
      </c>
      <c r="L306" s="2">
        <v>5.0</v>
      </c>
      <c r="M306" s="2">
        <v>-26.0</v>
      </c>
      <c r="N306" s="2">
        <v>0.0</v>
      </c>
      <c r="O306" s="2">
        <v>0.0</v>
      </c>
      <c r="P306" s="2">
        <v>199.0</v>
      </c>
      <c r="Q306" s="2">
        <v>106.0</v>
      </c>
      <c r="R306" s="2">
        <v>9.0</v>
      </c>
      <c r="S306" s="2">
        <v>-12.8480547447887</v>
      </c>
      <c r="T306" s="2">
        <v>-8.79786288738251</v>
      </c>
      <c r="U306" s="2">
        <v>0.0</v>
      </c>
      <c r="V306" s="2">
        <v>11.0</v>
      </c>
      <c r="W306" s="2">
        <v>3.0</v>
      </c>
      <c r="X306" s="2">
        <v>1.0</v>
      </c>
      <c r="Y306" s="2">
        <v>1.0</v>
      </c>
      <c r="Z306" s="2">
        <v>30.0</v>
      </c>
      <c r="AA306" s="2">
        <v>184.0</v>
      </c>
      <c r="AB306" s="2">
        <v>2.0</v>
      </c>
      <c r="AC306" s="2">
        <v>0.0</v>
      </c>
      <c r="AD306" s="2">
        <v>0.0</v>
      </c>
      <c r="AE306" s="2">
        <v>8.0</v>
      </c>
      <c r="AF306" s="2">
        <v>7.72494033051771</v>
      </c>
      <c r="AG306" s="2">
        <v>0.0</v>
      </c>
      <c r="AH306" s="2">
        <v>4.0</v>
      </c>
      <c r="AI306" s="2">
        <v>3.0</v>
      </c>
      <c r="AJ306" s="2">
        <v>2.0</v>
      </c>
      <c r="AK306" s="2">
        <v>1.0</v>
      </c>
      <c r="AL306" s="2">
        <v>14.0</v>
      </c>
      <c r="AM306" s="2">
        <v>25.0</v>
      </c>
      <c r="AN306" s="2">
        <v>193.0</v>
      </c>
      <c r="AO306" s="2">
        <v>0.0</v>
      </c>
      <c r="AP306" s="2">
        <v>0.0</v>
      </c>
      <c r="AQ306" s="2">
        <v>0.0</v>
      </c>
      <c r="AR306" s="2">
        <v>199.0</v>
      </c>
      <c r="AS306" s="2">
        <v>106.0</v>
      </c>
      <c r="AT306" s="2">
        <v>9.0</v>
      </c>
      <c r="AU306" s="2">
        <v>-6.31324938576626</v>
      </c>
      <c r="AV306" s="2">
        <v>0.0</v>
      </c>
      <c r="AW306" s="2">
        <v>11.0</v>
      </c>
      <c r="AX306" s="2">
        <v>3.0</v>
      </c>
      <c r="AY306" s="2">
        <v>1.0</v>
      </c>
      <c r="AZ306" s="2">
        <v>1.0</v>
      </c>
      <c r="BA306" s="2">
        <v>0.0</v>
      </c>
      <c r="BB306" s="2">
        <v>32.0</v>
      </c>
      <c r="BC306" s="2">
        <v>2.0</v>
      </c>
      <c r="BD306" s="2">
        <v>28.0</v>
      </c>
      <c r="BE306" s="2">
        <v>6.0</v>
      </c>
      <c r="BF306" s="2">
        <v>40.0</v>
      </c>
      <c r="BG306" s="2">
        <v>1.0</v>
      </c>
      <c r="BH306" s="2">
        <v>3.0</v>
      </c>
      <c r="BI306" s="2">
        <v>34.0</v>
      </c>
      <c r="BJ306" s="2">
        <v>10.0</v>
      </c>
      <c r="BK306" s="2">
        <v>1.0</v>
      </c>
      <c r="BL306" s="2">
        <v>14.0</v>
      </c>
      <c r="BM306" s="2">
        <v>9.0</v>
      </c>
      <c r="BN306" s="2">
        <v>0.0</v>
      </c>
      <c r="BO306" s="2">
        <v>1.0</v>
      </c>
      <c r="BP306" s="2">
        <v>0.0</v>
      </c>
      <c r="BQ306" s="2">
        <v>0.0</v>
      </c>
      <c r="BR306" s="2">
        <v>0.0</v>
      </c>
      <c r="BS306" s="2">
        <v>0.0</v>
      </c>
      <c r="BT306" s="2">
        <v>0.0</v>
      </c>
      <c r="BU306" s="2">
        <v>0.0</v>
      </c>
      <c r="BV306" s="2">
        <v>0.0</v>
      </c>
      <c r="BW306" s="2">
        <v>4.0</v>
      </c>
      <c r="BX306" s="2">
        <v>26.0</v>
      </c>
      <c r="BY306" s="2">
        <v>3.0</v>
      </c>
      <c r="BZ306" s="2">
        <v>0.0</v>
      </c>
      <c r="CA306" s="2">
        <v>1.0</v>
      </c>
      <c r="CB306" s="2">
        <v>0.0</v>
      </c>
      <c r="CC306" s="2">
        <v>1.0</v>
      </c>
      <c r="CD306" s="2">
        <v>1.0</v>
      </c>
      <c r="CE306" s="2">
        <v>3.0</v>
      </c>
      <c r="CF306" s="2">
        <v>26.0</v>
      </c>
      <c r="CG306" s="2">
        <v>4.0</v>
      </c>
      <c r="CH306" s="2">
        <v>115.0</v>
      </c>
      <c r="CI306" s="2">
        <v>3.0</v>
      </c>
      <c r="CJ306" s="2">
        <v>3.0</v>
      </c>
      <c r="CK306" s="2">
        <v>0.0</v>
      </c>
      <c r="CL306" s="2">
        <v>0.0</v>
      </c>
      <c r="CM306" s="2">
        <v>44.0</v>
      </c>
      <c r="CN306" s="2">
        <v>1.0</v>
      </c>
      <c r="CO306" s="2">
        <v>0.0</v>
      </c>
      <c r="CP306" s="2">
        <v>2.0</v>
      </c>
      <c r="CQ306" s="2">
        <v>0.0</v>
      </c>
      <c r="CR306" s="2">
        <v>1.0</v>
      </c>
      <c r="CS306" s="2">
        <v>0.0</v>
      </c>
      <c r="CT306" s="2">
        <v>0.0</v>
      </c>
      <c r="CU306" s="2">
        <v>0.0</v>
      </c>
      <c r="CV306" s="2">
        <v>0.0</v>
      </c>
      <c r="CW306" s="2">
        <v>0.0</v>
      </c>
      <c r="CX306" s="2">
        <v>0.0</v>
      </c>
      <c r="CY306" s="2">
        <v>0.0</v>
      </c>
      <c r="CZ306" s="2">
        <v>0.0</v>
      </c>
      <c r="DA306" s="2" t="s">
        <v>2161</v>
      </c>
      <c r="DD306" s="2">
        <v>93.0</v>
      </c>
      <c r="DE306" s="2">
        <v>0.0</v>
      </c>
      <c r="DF306" s="2">
        <v>0.0</v>
      </c>
      <c r="DG306" s="2">
        <v>2.0</v>
      </c>
      <c r="DH306" s="2">
        <v>2.0</v>
      </c>
      <c r="DI306" s="2">
        <v>0.0</v>
      </c>
      <c r="DJ306" s="2">
        <v>0.0</v>
      </c>
      <c r="DK306" s="2">
        <v>1.0</v>
      </c>
      <c r="DL306" s="2">
        <v>0.0</v>
      </c>
      <c r="DM306" s="2">
        <v>0.0</v>
      </c>
      <c r="DN306" s="2">
        <v>0.0</v>
      </c>
      <c r="DO306" s="2">
        <v>0.0</v>
      </c>
      <c r="DP306" s="2">
        <v>0.0</v>
      </c>
      <c r="DQ306" s="2">
        <v>4.0</v>
      </c>
      <c r="DR306" s="2">
        <v>0.0</v>
      </c>
      <c r="DS306" s="2">
        <v>52.0</v>
      </c>
      <c r="DT306" s="2">
        <v>176.0</v>
      </c>
      <c r="DU306" s="2">
        <v>2.0</v>
      </c>
      <c r="DV306" s="2">
        <v>0.0</v>
      </c>
      <c r="DW306" s="2">
        <v>0.0</v>
      </c>
      <c r="DX306" s="2">
        <v>1.0</v>
      </c>
      <c r="DY306" s="2">
        <v>1.0</v>
      </c>
      <c r="DZ306" s="2">
        <v>2.0</v>
      </c>
      <c r="EA306" s="2">
        <v>18.0</v>
      </c>
      <c r="EB306" s="2">
        <v>0.0</v>
      </c>
      <c r="EC306" s="2">
        <v>138.0</v>
      </c>
      <c r="EE306" s="2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2">
        <v>2025.0</v>
      </c>
      <c r="B307" s="2">
        <v>11.0</v>
      </c>
      <c r="C307" s="2" t="s">
        <v>136</v>
      </c>
      <c r="D307" s="2" t="s">
        <v>390</v>
      </c>
      <c r="E307" s="2" t="s">
        <v>920</v>
      </c>
      <c r="F307" s="2" t="s">
        <v>150</v>
      </c>
      <c r="G307" s="2">
        <v>19.0</v>
      </c>
      <c r="H307" s="2">
        <v>30.0</v>
      </c>
      <c r="I307" s="2">
        <v>317.0</v>
      </c>
      <c r="J307" s="2">
        <v>3.0</v>
      </c>
      <c r="K307" s="2">
        <v>2.0</v>
      </c>
      <c r="L307" s="2">
        <v>0.0</v>
      </c>
      <c r="M307" s="2">
        <v>0.0</v>
      </c>
      <c r="N307" s="2">
        <v>0.0</v>
      </c>
      <c r="O307" s="2">
        <v>0.0</v>
      </c>
      <c r="P307" s="2">
        <v>346.0</v>
      </c>
      <c r="Q307" s="2">
        <v>154.0</v>
      </c>
      <c r="R307" s="2">
        <v>13.0</v>
      </c>
      <c r="S307" s="2">
        <v>12.4408628086166</v>
      </c>
      <c r="T307" s="2">
        <v>-0.812641481558482</v>
      </c>
      <c r="U307" s="2">
        <v>0.0</v>
      </c>
      <c r="V307" s="2">
        <v>12.0</v>
      </c>
      <c r="W307" s="2">
        <v>9.0</v>
      </c>
      <c r="X307" s="2">
        <v>8.0</v>
      </c>
      <c r="Y307" s="2">
        <v>2.0</v>
      </c>
      <c r="Z307" s="2">
        <v>23.0</v>
      </c>
      <c r="AA307" s="2">
        <v>97.0</v>
      </c>
      <c r="AB307" s="2">
        <v>3.0</v>
      </c>
      <c r="AC307" s="2">
        <v>0.0</v>
      </c>
      <c r="AD307" s="2">
        <v>0.0</v>
      </c>
      <c r="AE307" s="2">
        <v>4.0</v>
      </c>
      <c r="AF307" s="2">
        <v>0.704869670385961</v>
      </c>
      <c r="AG307" s="2">
        <v>0.0</v>
      </c>
      <c r="AH307" s="2">
        <v>1.0</v>
      </c>
      <c r="AI307" s="2">
        <v>1.0</v>
      </c>
      <c r="AJ307" s="2">
        <v>0.0</v>
      </c>
      <c r="AK307" s="2">
        <v>0.0</v>
      </c>
      <c r="AL307" s="2">
        <v>19.0</v>
      </c>
      <c r="AM307" s="2">
        <v>30.0</v>
      </c>
      <c r="AN307" s="2">
        <v>317.0</v>
      </c>
      <c r="AO307" s="2">
        <v>3.0</v>
      </c>
      <c r="AP307" s="2">
        <v>1.0</v>
      </c>
      <c r="AQ307" s="2">
        <v>0.0</v>
      </c>
      <c r="AR307" s="2">
        <v>346.0</v>
      </c>
      <c r="AS307" s="2">
        <v>154.0</v>
      </c>
      <c r="AT307" s="2">
        <v>13.0</v>
      </c>
      <c r="AU307" s="2">
        <v>12.4408628086166</v>
      </c>
      <c r="AV307" s="2">
        <v>0.0</v>
      </c>
      <c r="AW307" s="2">
        <v>12.0</v>
      </c>
      <c r="AX307" s="2">
        <v>9.0</v>
      </c>
      <c r="AY307" s="2">
        <v>8.0</v>
      </c>
      <c r="AZ307" s="2">
        <v>2.0</v>
      </c>
      <c r="BA307" s="2">
        <v>0.0</v>
      </c>
      <c r="BB307" s="2">
        <v>36.0</v>
      </c>
      <c r="BC307" s="2">
        <v>4.0</v>
      </c>
      <c r="BD307" s="2">
        <v>40.0</v>
      </c>
      <c r="BE307" s="2">
        <v>3.0</v>
      </c>
      <c r="BF307" s="2">
        <v>14.0</v>
      </c>
      <c r="BG307" s="2">
        <v>1.0</v>
      </c>
      <c r="BH307" s="2">
        <v>1.0</v>
      </c>
      <c r="BI307" s="2">
        <v>8.0</v>
      </c>
      <c r="BJ307" s="2">
        <v>3.0</v>
      </c>
      <c r="BK307" s="2">
        <v>1.0</v>
      </c>
      <c r="BL307" s="2">
        <v>12.0</v>
      </c>
      <c r="BM307" s="2">
        <v>6.0</v>
      </c>
      <c r="BN307" s="2">
        <v>0.0</v>
      </c>
      <c r="BO307" s="2">
        <v>1.0</v>
      </c>
      <c r="BP307" s="2">
        <v>0.0</v>
      </c>
      <c r="BQ307" s="2">
        <v>0.0</v>
      </c>
      <c r="BR307" s="2">
        <v>1.0</v>
      </c>
      <c r="BS307" s="2">
        <v>0.0</v>
      </c>
      <c r="BT307" s="2">
        <v>1.0</v>
      </c>
      <c r="BU307" s="2">
        <v>0.0</v>
      </c>
      <c r="BV307" s="2">
        <v>0.0</v>
      </c>
      <c r="BW307" s="2">
        <v>7.0</v>
      </c>
      <c r="BX307" s="2">
        <v>45.0</v>
      </c>
      <c r="BY307" s="2">
        <v>3.0</v>
      </c>
      <c r="BZ307" s="2">
        <v>2.0</v>
      </c>
      <c r="CA307" s="2">
        <v>0.0</v>
      </c>
      <c r="CB307" s="2">
        <v>0.0</v>
      </c>
      <c r="CC307" s="2">
        <v>2.0</v>
      </c>
      <c r="CD307" s="2">
        <v>1.0</v>
      </c>
      <c r="CE307" s="2">
        <v>1.0</v>
      </c>
      <c r="CF307" s="2">
        <v>0.0</v>
      </c>
      <c r="CG307" s="2">
        <v>6.0</v>
      </c>
      <c r="CH307" s="2">
        <v>234.0</v>
      </c>
      <c r="CI307" s="2">
        <v>1.0</v>
      </c>
      <c r="CJ307" s="2">
        <v>1.0</v>
      </c>
      <c r="CK307" s="2">
        <v>0.0</v>
      </c>
      <c r="CL307" s="2">
        <v>0.0</v>
      </c>
      <c r="CM307" s="2">
        <v>39.0</v>
      </c>
      <c r="CN307" s="2">
        <v>1.0</v>
      </c>
      <c r="CO307" s="2">
        <v>0.0</v>
      </c>
      <c r="CP307" s="2">
        <v>0.0</v>
      </c>
      <c r="CQ307" s="2">
        <v>1.0</v>
      </c>
      <c r="CR307" s="2">
        <v>0.0</v>
      </c>
      <c r="CS307" s="2">
        <v>0.0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0.0</v>
      </c>
      <c r="DA307" s="2" t="s">
        <v>2026</v>
      </c>
      <c r="DD307" s="2">
        <v>39.0</v>
      </c>
      <c r="DE307" s="2">
        <v>0.0</v>
      </c>
      <c r="DF307" s="2">
        <v>0.0</v>
      </c>
      <c r="DG307" s="2">
        <v>5.0</v>
      </c>
      <c r="DH307" s="2">
        <v>5.0</v>
      </c>
      <c r="DI307" s="2">
        <v>0.0</v>
      </c>
      <c r="DJ307" s="2">
        <v>0.0</v>
      </c>
      <c r="DK307" s="2">
        <v>1.0</v>
      </c>
      <c r="DL307" s="2">
        <v>0.0</v>
      </c>
      <c r="DM307" s="2">
        <v>0.0</v>
      </c>
      <c r="DN307" s="2">
        <v>0.0</v>
      </c>
      <c r="DO307" s="2">
        <v>0.0</v>
      </c>
      <c r="DP307" s="2">
        <v>0.0</v>
      </c>
      <c r="DQ307" s="2">
        <v>2.0</v>
      </c>
      <c r="DR307" s="2">
        <v>0.0</v>
      </c>
      <c r="DS307" s="2">
        <v>51.0</v>
      </c>
      <c r="DT307" s="2">
        <v>83.0</v>
      </c>
      <c r="DU307" s="2">
        <v>1.0</v>
      </c>
      <c r="DV307" s="2">
        <v>1.0</v>
      </c>
      <c r="DW307" s="2">
        <v>1.0</v>
      </c>
      <c r="DX307" s="2">
        <v>0.0</v>
      </c>
      <c r="DY307" s="2">
        <v>0.0</v>
      </c>
      <c r="DZ307" s="2">
        <v>0.0</v>
      </c>
      <c r="EA307" s="2">
        <v>0.0</v>
      </c>
      <c r="EB307" s="2">
        <v>0.0</v>
      </c>
      <c r="EC307" s="2">
        <v>83.0</v>
      </c>
      <c r="EE307" s="2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2">
        <v>2025.0</v>
      </c>
      <c r="B308" s="2">
        <v>11.0</v>
      </c>
      <c r="C308" s="2" t="s">
        <v>189</v>
      </c>
      <c r="D308" s="2" t="s">
        <v>390</v>
      </c>
      <c r="E308" s="2" t="s">
        <v>918</v>
      </c>
      <c r="F308" s="2" t="s">
        <v>132</v>
      </c>
      <c r="G308" s="2">
        <v>31.0</v>
      </c>
      <c r="H308" s="2">
        <v>45.0</v>
      </c>
      <c r="I308" s="2">
        <v>448.0</v>
      </c>
      <c r="J308" s="2">
        <v>3.0</v>
      </c>
      <c r="K308" s="2">
        <v>0.0</v>
      </c>
      <c r="L308" s="2">
        <v>5.0</v>
      </c>
      <c r="M308" s="2">
        <v>-29.0</v>
      </c>
      <c r="N308" s="2">
        <v>0.0</v>
      </c>
      <c r="O308" s="2">
        <v>0.0</v>
      </c>
      <c r="P308" s="2">
        <v>278.0</v>
      </c>
      <c r="Q308" s="2">
        <v>247.0</v>
      </c>
      <c r="R308" s="2">
        <v>20.0</v>
      </c>
      <c r="S308" s="2">
        <v>14.2420229886573</v>
      </c>
      <c r="T308" s="2">
        <v>2.17310237613591</v>
      </c>
      <c r="U308" s="2">
        <v>1.0</v>
      </c>
      <c r="V308" s="2">
        <v>17.0</v>
      </c>
      <c r="W308" s="2">
        <v>9.0</v>
      </c>
      <c r="X308" s="2">
        <v>9.0</v>
      </c>
      <c r="Y308" s="2">
        <v>1.0</v>
      </c>
      <c r="Z308" s="2">
        <v>25.0</v>
      </c>
      <c r="AA308" s="2">
        <v>67.0</v>
      </c>
      <c r="AB308" s="2">
        <v>0.0</v>
      </c>
      <c r="AC308" s="2">
        <v>0.0</v>
      </c>
      <c r="AD308" s="2">
        <v>0.0</v>
      </c>
      <c r="AE308" s="2">
        <v>2.0</v>
      </c>
      <c r="AF308" s="2">
        <v>-4.55282160146336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31.0</v>
      </c>
      <c r="AM308" s="2">
        <v>44.0</v>
      </c>
      <c r="AN308" s="2">
        <v>448.0</v>
      </c>
      <c r="AO308" s="2">
        <v>3.0</v>
      </c>
      <c r="AP308" s="2">
        <v>0.0</v>
      </c>
      <c r="AQ308" s="2">
        <v>0.0</v>
      </c>
      <c r="AR308" s="2">
        <v>278.0</v>
      </c>
      <c r="AS308" s="2">
        <v>247.0</v>
      </c>
      <c r="AT308" s="2">
        <v>20.0</v>
      </c>
      <c r="AU308" s="2">
        <v>29.4963295688446</v>
      </c>
      <c r="AV308" s="2">
        <v>1.0</v>
      </c>
      <c r="AW308" s="2">
        <v>17.0</v>
      </c>
      <c r="AX308" s="2">
        <v>9.0</v>
      </c>
      <c r="AY308" s="2">
        <v>9.0</v>
      </c>
      <c r="AZ308" s="2">
        <v>1.0</v>
      </c>
      <c r="BA308" s="2">
        <v>0.0</v>
      </c>
      <c r="BB308" s="2">
        <v>28.0</v>
      </c>
      <c r="BC308" s="2">
        <v>1.0</v>
      </c>
      <c r="BD308" s="2">
        <v>43.0</v>
      </c>
      <c r="BE308" s="2">
        <v>2.0</v>
      </c>
      <c r="BF308" s="2">
        <v>6.0</v>
      </c>
      <c r="BG308" s="2">
        <v>2.0</v>
      </c>
      <c r="BH308" s="2">
        <v>0.0</v>
      </c>
      <c r="BI308" s="2">
        <v>0.0</v>
      </c>
      <c r="BJ308" s="2">
        <v>1.0</v>
      </c>
      <c r="BK308" s="2">
        <v>0.0</v>
      </c>
      <c r="BL308" s="2">
        <v>0.0</v>
      </c>
      <c r="BM308" s="2">
        <v>5.0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0.0</v>
      </c>
      <c r="BT308" s="2">
        <v>1.0</v>
      </c>
      <c r="BU308" s="2">
        <v>0.0</v>
      </c>
      <c r="BV308" s="2">
        <v>0.0</v>
      </c>
      <c r="BW308" s="2">
        <v>8.0</v>
      </c>
      <c r="BX308" s="2">
        <v>49.0</v>
      </c>
      <c r="BY308" s="2">
        <v>4.0</v>
      </c>
      <c r="BZ308" s="2">
        <v>0.0</v>
      </c>
      <c r="CA308" s="2">
        <v>0.0</v>
      </c>
      <c r="CB308" s="2">
        <v>0.0</v>
      </c>
      <c r="CC308" s="2">
        <v>0.0</v>
      </c>
      <c r="CD308" s="2">
        <v>0.0</v>
      </c>
      <c r="CE308" s="2">
        <v>1.0</v>
      </c>
      <c r="CF308" s="2">
        <v>9.0</v>
      </c>
      <c r="CG308" s="2">
        <v>3.0</v>
      </c>
      <c r="CH308" s="2">
        <v>77.0</v>
      </c>
      <c r="CI308" s="2">
        <v>3.0</v>
      </c>
      <c r="CJ308" s="2">
        <v>3.0</v>
      </c>
      <c r="CK308" s="2">
        <v>0.0</v>
      </c>
      <c r="CL308" s="2">
        <v>0.0</v>
      </c>
      <c r="CM308" s="2">
        <v>34.0</v>
      </c>
      <c r="CN308" s="2">
        <v>1.0</v>
      </c>
      <c r="CO308" s="2">
        <v>0.0</v>
      </c>
      <c r="CP308" s="2">
        <v>2.0</v>
      </c>
      <c r="CQ308" s="2">
        <v>1.0</v>
      </c>
      <c r="CR308" s="2">
        <v>0.0</v>
      </c>
      <c r="CS308" s="2">
        <v>0.0</v>
      </c>
      <c r="CT308" s="2">
        <v>0.0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0.0</v>
      </c>
      <c r="DA308" s="2" t="s">
        <v>2162</v>
      </c>
      <c r="DD308" s="2">
        <v>91.0</v>
      </c>
      <c r="DE308" s="2">
        <v>0.0</v>
      </c>
      <c r="DF308" s="2">
        <v>0.0</v>
      </c>
      <c r="DG308" s="2">
        <v>1.0</v>
      </c>
      <c r="DH308" s="2">
        <v>1.0</v>
      </c>
      <c r="DI308" s="2">
        <v>0.0</v>
      </c>
      <c r="DJ308" s="2">
        <v>0.0</v>
      </c>
      <c r="DK308" s="2">
        <v>1.0</v>
      </c>
      <c r="DL308" s="2">
        <v>1.0</v>
      </c>
      <c r="DM308" s="2">
        <v>1.0</v>
      </c>
      <c r="DN308" s="2">
        <v>0.0</v>
      </c>
      <c r="DO308" s="2">
        <v>0.0</v>
      </c>
      <c r="DP308" s="2">
        <v>28.0</v>
      </c>
      <c r="DQ308" s="2">
        <v>3.0</v>
      </c>
      <c r="DR308" s="2">
        <v>0.0</v>
      </c>
      <c r="DS308" s="2">
        <v>50.0</v>
      </c>
      <c r="DT308" s="2">
        <v>140.0</v>
      </c>
      <c r="DU308" s="2">
        <v>2.0</v>
      </c>
      <c r="DV308" s="2">
        <v>1.0</v>
      </c>
      <c r="DW308" s="2">
        <v>1.0</v>
      </c>
      <c r="DX308" s="2">
        <v>0.0</v>
      </c>
      <c r="DY308" s="2">
        <v>0.0</v>
      </c>
      <c r="DZ308" s="2">
        <v>1.0</v>
      </c>
      <c r="EA308" s="2">
        <v>0.0</v>
      </c>
      <c r="EB308" s="2">
        <v>0.0</v>
      </c>
      <c r="EC308" s="2">
        <v>140.0</v>
      </c>
      <c r="EE308" s="2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2">
        <v>2025.0</v>
      </c>
      <c r="B309" s="2">
        <v>11.0</v>
      </c>
      <c r="C309" s="2" t="s">
        <v>137</v>
      </c>
      <c r="D309" s="2" t="s">
        <v>390</v>
      </c>
      <c r="E309" s="2" t="s">
        <v>924</v>
      </c>
      <c r="F309" s="2" t="s">
        <v>144</v>
      </c>
      <c r="G309" s="2">
        <v>16.0</v>
      </c>
      <c r="H309" s="2">
        <v>32.0</v>
      </c>
      <c r="I309" s="2">
        <v>193.0</v>
      </c>
      <c r="J309" s="2">
        <v>0.0</v>
      </c>
      <c r="K309" s="2">
        <v>0.0</v>
      </c>
      <c r="L309" s="2">
        <v>2.0</v>
      </c>
      <c r="M309" s="2">
        <v>-13.0</v>
      </c>
      <c r="N309" s="2">
        <v>0.0</v>
      </c>
      <c r="O309" s="2">
        <v>0.0</v>
      </c>
      <c r="P309" s="2">
        <v>385.0</v>
      </c>
      <c r="Q309" s="2">
        <v>108.0</v>
      </c>
      <c r="R309" s="2">
        <v>6.0</v>
      </c>
      <c r="S309" s="2">
        <v>-0.948471798587297</v>
      </c>
      <c r="T309" s="2">
        <v>-9.48513905916895</v>
      </c>
      <c r="U309" s="2">
        <v>0.0</v>
      </c>
      <c r="V309" s="2">
        <v>9.0</v>
      </c>
      <c r="W309" s="2">
        <v>5.0</v>
      </c>
      <c r="X309" s="2">
        <v>2.0</v>
      </c>
      <c r="Y309" s="2">
        <v>0.0</v>
      </c>
      <c r="Z309" s="2">
        <v>39.0</v>
      </c>
      <c r="AA309" s="2">
        <v>140.0</v>
      </c>
      <c r="AB309" s="2">
        <v>1.0</v>
      </c>
      <c r="AC309" s="2">
        <v>1.0</v>
      </c>
      <c r="AD309" s="2">
        <v>0.0</v>
      </c>
      <c r="AE309" s="2">
        <v>13.0</v>
      </c>
      <c r="AF309" s="2">
        <v>-2.52519051462392</v>
      </c>
      <c r="AG309" s="2">
        <v>0.0</v>
      </c>
      <c r="AH309" s="2">
        <v>2.0</v>
      </c>
      <c r="AI309" s="2">
        <v>1.0</v>
      </c>
      <c r="AJ309" s="2">
        <v>0.0</v>
      </c>
      <c r="AK309" s="2">
        <v>0.0</v>
      </c>
      <c r="AL309" s="2">
        <v>16.0</v>
      </c>
      <c r="AM309" s="2">
        <v>28.0</v>
      </c>
      <c r="AN309" s="2">
        <v>193.0</v>
      </c>
      <c r="AO309" s="2">
        <v>0.0</v>
      </c>
      <c r="AP309" s="2">
        <v>0.0</v>
      </c>
      <c r="AQ309" s="2">
        <v>0.0</v>
      </c>
      <c r="AR309" s="2">
        <v>385.0</v>
      </c>
      <c r="AS309" s="2">
        <v>108.0</v>
      </c>
      <c r="AT309" s="2">
        <v>6.0</v>
      </c>
      <c r="AU309" s="2">
        <v>5.41616333970477</v>
      </c>
      <c r="AV309" s="2">
        <v>0.0</v>
      </c>
      <c r="AW309" s="2">
        <v>9.0</v>
      </c>
      <c r="AX309" s="2">
        <v>5.0</v>
      </c>
      <c r="AY309" s="2">
        <v>2.0</v>
      </c>
      <c r="AZ309" s="2">
        <v>0.0</v>
      </c>
      <c r="BA309" s="2">
        <v>0.0</v>
      </c>
      <c r="BB309" s="2">
        <v>26.0</v>
      </c>
      <c r="BC309" s="2">
        <v>0.0</v>
      </c>
      <c r="BD309" s="2">
        <v>32.0</v>
      </c>
      <c r="BE309" s="2">
        <v>1.0</v>
      </c>
      <c r="BF309" s="2">
        <v>3.0</v>
      </c>
      <c r="BG309" s="2">
        <v>1.0</v>
      </c>
      <c r="BH309" s="2">
        <v>0.0</v>
      </c>
      <c r="BI309" s="2">
        <v>0.0</v>
      </c>
      <c r="BJ309" s="2">
        <v>5.0</v>
      </c>
      <c r="BK309" s="2">
        <v>2.0</v>
      </c>
      <c r="BL309" s="2">
        <v>23.0</v>
      </c>
      <c r="BM309" s="2">
        <v>5.0</v>
      </c>
      <c r="BN309" s="2">
        <v>0.0</v>
      </c>
      <c r="BO309" s="2">
        <v>0.0</v>
      </c>
      <c r="BP309" s="2">
        <v>0.0</v>
      </c>
      <c r="BQ309" s="2">
        <v>0.0</v>
      </c>
      <c r="BR309" s="2">
        <v>1.0</v>
      </c>
      <c r="BS309" s="2">
        <v>-4.0</v>
      </c>
      <c r="BT309" s="2">
        <v>0.0</v>
      </c>
      <c r="BU309" s="2">
        <v>0.0</v>
      </c>
      <c r="BV309" s="2">
        <v>0.0</v>
      </c>
      <c r="BW309" s="2">
        <v>6.0</v>
      </c>
      <c r="BX309" s="2">
        <v>40.0</v>
      </c>
      <c r="BY309" s="2">
        <v>2.0</v>
      </c>
      <c r="BZ309" s="2">
        <v>0.0</v>
      </c>
      <c r="CA309" s="2">
        <v>1.0</v>
      </c>
      <c r="CB309" s="2">
        <v>0.0</v>
      </c>
      <c r="CC309" s="2">
        <v>1.0</v>
      </c>
      <c r="CD309" s="2">
        <v>0.0</v>
      </c>
      <c r="CE309" s="2">
        <v>2.0</v>
      </c>
      <c r="CF309" s="2">
        <v>11.0</v>
      </c>
      <c r="CG309" s="2">
        <v>3.0</v>
      </c>
      <c r="CH309" s="2">
        <v>108.0</v>
      </c>
      <c r="CI309" s="2">
        <v>4.0</v>
      </c>
      <c r="CJ309" s="2">
        <v>5.0</v>
      </c>
      <c r="CK309" s="2">
        <v>1.0</v>
      </c>
      <c r="CL309" s="2">
        <v>0.0</v>
      </c>
      <c r="CM309" s="2">
        <v>54.0</v>
      </c>
      <c r="CN309" s="2">
        <v>0.8</v>
      </c>
      <c r="CO309" s="2">
        <v>0.0</v>
      </c>
      <c r="CP309" s="2">
        <v>0.0</v>
      </c>
      <c r="CQ309" s="2">
        <v>2.0</v>
      </c>
      <c r="CR309" s="2">
        <v>1.0</v>
      </c>
      <c r="CS309" s="2">
        <v>1.0</v>
      </c>
      <c r="CT309" s="2">
        <v>0.0</v>
      </c>
      <c r="CU309" s="2">
        <v>0.0</v>
      </c>
      <c r="CV309" s="2">
        <v>0.0</v>
      </c>
      <c r="CW309" s="2">
        <v>0.0</v>
      </c>
      <c r="CX309" s="2">
        <v>1.0</v>
      </c>
      <c r="CY309" s="2">
        <v>0.0</v>
      </c>
      <c r="CZ309" s="2">
        <v>0.0</v>
      </c>
      <c r="DA309" s="2" t="s">
        <v>2163</v>
      </c>
      <c r="DB309" s="2" t="s">
        <v>1969</v>
      </c>
      <c r="DD309" s="2">
        <v>173.0</v>
      </c>
      <c r="DE309" s="2">
        <v>45.0</v>
      </c>
      <c r="DF309" s="2">
        <v>0.0</v>
      </c>
      <c r="DG309" s="2">
        <v>1.0</v>
      </c>
      <c r="DH309" s="2">
        <v>1.0</v>
      </c>
      <c r="DI309" s="2">
        <v>0.0</v>
      </c>
      <c r="DJ309" s="2">
        <v>0.0</v>
      </c>
      <c r="DK309" s="2">
        <v>1.0</v>
      </c>
      <c r="DL309" s="2">
        <v>1.0</v>
      </c>
      <c r="DM309" s="2">
        <v>1.0</v>
      </c>
      <c r="DN309" s="2">
        <v>0.0</v>
      </c>
      <c r="DO309" s="2">
        <v>0.0</v>
      </c>
      <c r="DP309" s="2">
        <v>48.0</v>
      </c>
      <c r="DQ309" s="2">
        <v>6.0</v>
      </c>
      <c r="DR309" s="2">
        <v>0.0</v>
      </c>
      <c r="DS309" s="2">
        <v>57.0</v>
      </c>
      <c r="DT309" s="2">
        <v>286.0</v>
      </c>
      <c r="DU309" s="2">
        <v>2.0</v>
      </c>
      <c r="DV309" s="2">
        <v>1.0</v>
      </c>
      <c r="DW309" s="2">
        <v>0.0</v>
      </c>
      <c r="DX309" s="2">
        <v>0.0</v>
      </c>
      <c r="DY309" s="2">
        <v>2.0</v>
      </c>
      <c r="DZ309" s="2">
        <v>3.0</v>
      </c>
      <c r="EA309" s="2">
        <v>79.0</v>
      </c>
      <c r="EB309" s="2">
        <v>0.0</v>
      </c>
      <c r="EC309" s="2">
        <v>207.0</v>
      </c>
      <c r="EE309" s="2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2">
        <v>2025.0</v>
      </c>
      <c r="B310" s="2">
        <v>11.0</v>
      </c>
      <c r="C310" s="2" t="s">
        <v>138</v>
      </c>
      <c r="D310" s="2" t="s">
        <v>390</v>
      </c>
      <c r="E310" s="2" t="s">
        <v>930</v>
      </c>
      <c r="F310" s="2" t="s">
        <v>242</v>
      </c>
      <c r="G310" s="2">
        <v>23.0</v>
      </c>
      <c r="H310" s="2">
        <v>40.0</v>
      </c>
      <c r="I310" s="2">
        <v>199.0</v>
      </c>
      <c r="J310" s="2">
        <v>1.0</v>
      </c>
      <c r="K310" s="2">
        <v>1.0</v>
      </c>
      <c r="L310" s="2">
        <v>1.0</v>
      </c>
      <c r="M310" s="2">
        <v>-7.0</v>
      </c>
      <c r="N310" s="2">
        <v>0.0</v>
      </c>
      <c r="O310" s="2">
        <v>0.0</v>
      </c>
      <c r="P310" s="2">
        <v>285.0</v>
      </c>
      <c r="Q310" s="2">
        <v>97.0</v>
      </c>
      <c r="R310" s="2">
        <v>9.0</v>
      </c>
      <c r="S310" s="2">
        <v>-9.32938856207403</v>
      </c>
      <c r="T310" s="2">
        <v>-9.60623981096806</v>
      </c>
      <c r="U310" s="2">
        <v>0.0</v>
      </c>
      <c r="V310" s="2">
        <v>7.0</v>
      </c>
      <c r="W310" s="2">
        <v>4.0</v>
      </c>
      <c r="X310" s="2">
        <v>2.0</v>
      </c>
      <c r="Y310" s="2">
        <v>0.0</v>
      </c>
      <c r="Z310" s="2">
        <v>22.0</v>
      </c>
      <c r="AA310" s="2">
        <v>105.0</v>
      </c>
      <c r="AB310" s="2">
        <v>0.0</v>
      </c>
      <c r="AC310" s="2">
        <v>0.0</v>
      </c>
      <c r="AD310" s="2">
        <v>0.0</v>
      </c>
      <c r="AE310" s="2">
        <v>6.0</v>
      </c>
      <c r="AF310" s="2">
        <v>2.4209369140882</v>
      </c>
      <c r="AG310" s="2">
        <v>0.0</v>
      </c>
      <c r="AH310" s="2">
        <v>2.0</v>
      </c>
      <c r="AI310" s="2">
        <v>2.0</v>
      </c>
      <c r="AJ310" s="2">
        <v>1.0</v>
      </c>
      <c r="AK310" s="2">
        <v>0.0</v>
      </c>
      <c r="AL310" s="2">
        <v>23.0</v>
      </c>
      <c r="AM310" s="2">
        <v>39.0</v>
      </c>
      <c r="AN310" s="2">
        <v>199.0</v>
      </c>
      <c r="AO310" s="2">
        <v>1.0</v>
      </c>
      <c r="AP310" s="2">
        <v>1.0</v>
      </c>
      <c r="AQ310" s="2">
        <v>1.0</v>
      </c>
      <c r="AR310" s="2">
        <v>285.0</v>
      </c>
      <c r="AS310" s="2">
        <v>97.0</v>
      </c>
      <c r="AT310" s="2">
        <v>9.0</v>
      </c>
      <c r="AU310" s="2">
        <v>-15.4372967997995</v>
      </c>
      <c r="AV310" s="2">
        <v>0.0</v>
      </c>
      <c r="AW310" s="2">
        <v>7.0</v>
      </c>
      <c r="AX310" s="2">
        <v>4.0</v>
      </c>
      <c r="AY310" s="2">
        <v>2.0</v>
      </c>
      <c r="AZ310" s="2">
        <v>0.0</v>
      </c>
      <c r="BA310" s="2">
        <v>0.0</v>
      </c>
      <c r="BB310" s="2">
        <v>33.0</v>
      </c>
      <c r="BC310" s="2">
        <v>2.0</v>
      </c>
      <c r="BD310" s="2">
        <v>36.0</v>
      </c>
      <c r="BE310" s="2">
        <v>3.0</v>
      </c>
      <c r="BF310" s="2">
        <v>13.0</v>
      </c>
      <c r="BG310" s="2">
        <v>0.0</v>
      </c>
      <c r="BH310" s="2">
        <v>1.0</v>
      </c>
      <c r="BI310" s="2">
        <v>11.0</v>
      </c>
      <c r="BJ310" s="2">
        <v>4.0</v>
      </c>
      <c r="BK310" s="2">
        <v>0.0</v>
      </c>
      <c r="BL310" s="2">
        <v>0.0</v>
      </c>
      <c r="BM310" s="2">
        <v>3.0</v>
      </c>
      <c r="BN310" s="2">
        <v>0.0</v>
      </c>
      <c r="BO310" s="2">
        <v>0.0</v>
      </c>
      <c r="BP310" s="2">
        <v>0.0</v>
      </c>
      <c r="BQ310" s="2">
        <v>0.0</v>
      </c>
      <c r="BR310" s="2">
        <v>0.0</v>
      </c>
      <c r="BS310" s="2">
        <v>0.0</v>
      </c>
      <c r="BT310" s="2">
        <v>0.0</v>
      </c>
      <c r="BU310" s="2">
        <v>0.0</v>
      </c>
      <c r="BV310" s="2">
        <v>0.0</v>
      </c>
      <c r="BW310" s="2">
        <v>8.0</v>
      </c>
      <c r="BX310" s="2">
        <v>67.0</v>
      </c>
      <c r="BY310" s="2">
        <v>4.0</v>
      </c>
      <c r="BZ310" s="2">
        <v>1.0</v>
      </c>
      <c r="CA310" s="2">
        <v>0.0</v>
      </c>
      <c r="CB310" s="2">
        <v>0.0</v>
      </c>
      <c r="CC310" s="2">
        <v>1.0</v>
      </c>
      <c r="CD310" s="2">
        <v>1.0</v>
      </c>
      <c r="CE310" s="2">
        <v>1.0</v>
      </c>
      <c r="CF310" s="2">
        <v>4.0</v>
      </c>
      <c r="CG310" s="2">
        <v>6.0</v>
      </c>
      <c r="CH310" s="2">
        <v>138.0</v>
      </c>
      <c r="CI310" s="2">
        <v>2.0</v>
      </c>
      <c r="CJ310" s="2">
        <v>2.0</v>
      </c>
      <c r="CK310" s="2">
        <v>0.0</v>
      </c>
      <c r="CL310" s="2">
        <v>0.0</v>
      </c>
      <c r="CM310" s="2">
        <v>48.0</v>
      </c>
      <c r="CN310" s="2">
        <v>1.0</v>
      </c>
      <c r="CO310" s="2">
        <v>0.0</v>
      </c>
      <c r="CP310" s="2">
        <v>0.0</v>
      </c>
      <c r="CQ310" s="2">
        <v>0.0</v>
      </c>
      <c r="CR310" s="2">
        <v>2.0</v>
      </c>
      <c r="CS310" s="2">
        <v>0.0</v>
      </c>
      <c r="CT310" s="2">
        <v>0.0</v>
      </c>
      <c r="CU310" s="2">
        <v>0.0</v>
      </c>
      <c r="CV310" s="2">
        <v>0.0</v>
      </c>
      <c r="CW310" s="2">
        <v>0.0</v>
      </c>
      <c r="CX310" s="2">
        <v>0.0</v>
      </c>
      <c r="CY310" s="2">
        <v>0.0</v>
      </c>
      <c r="CZ310" s="2">
        <v>0.0</v>
      </c>
      <c r="DA310" s="2" t="s">
        <v>2164</v>
      </c>
      <c r="DD310" s="2">
        <v>91.0</v>
      </c>
      <c r="DE310" s="2">
        <v>0.0</v>
      </c>
      <c r="DF310" s="2">
        <v>0.0</v>
      </c>
      <c r="DG310" s="2">
        <v>0.0</v>
      </c>
      <c r="DH310" s="2">
        <v>0.0</v>
      </c>
      <c r="DI310" s="2">
        <v>0.0</v>
      </c>
      <c r="DJ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0.0</v>
      </c>
      <c r="DQ310" s="2">
        <v>3.0</v>
      </c>
      <c r="DR310" s="2">
        <v>0.0</v>
      </c>
      <c r="DS310" s="2">
        <v>61.0</v>
      </c>
      <c r="DT310" s="2">
        <v>171.0</v>
      </c>
      <c r="DU310" s="2">
        <v>1.0</v>
      </c>
      <c r="DV310" s="2">
        <v>0.0</v>
      </c>
      <c r="DW310" s="2">
        <v>0.0</v>
      </c>
      <c r="DX310" s="2">
        <v>1.0</v>
      </c>
      <c r="DY310" s="2">
        <v>0.0</v>
      </c>
      <c r="DZ310" s="2">
        <v>2.0</v>
      </c>
      <c r="EA310" s="2">
        <v>15.0</v>
      </c>
      <c r="EB310" s="2">
        <v>0.0</v>
      </c>
      <c r="EC310" s="2">
        <v>136.0</v>
      </c>
      <c r="EE310" s="2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2">
        <v>2025.0</v>
      </c>
      <c r="B311" s="2">
        <v>11.0</v>
      </c>
      <c r="C311" s="2" t="s">
        <v>196</v>
      </c>
      <c r="D311" s="2" t="s">
        <v>390</v>
      </c>
      <c r="E311" s="2" t="s">
        <v>938</v>
      </c>
      <c r="F311" s="2" t="s">
        <v>148</v>
      </c>
      <c r="G311" s="2">
        <v>11.0</v>
      </c>
      <c r="H311" s="2">
        <v>26.0</v>
      </c>
      <c r="I311" s="2">
        <v>115.0</v>
      </c>
      <c r="J311" s="2">
        <v>0.0</v>
      </c>
      <c r="K311" s="2">
        <v>1.0</v>
      </c>
      <c r="L311" s="2">
        <v>3.0</v>
      </c>
      <c r="M311" s="2">
        <v>-34.0</v>
      </c>
      <c r="N311" s="2">
        <v>1.0</v>
      </c>
      <c r="O311" s="2">
        <v>0.0</v>
      </c>
      <c r="P311" s="2">
        <v>166.0</v>
      </c>
      <c r="Q311" s="2">
        <v>44.0</v>
      </c>
      <c r="R311" s="2">
        <v>4.0</v>
      </c>
      <c r="S311" s="2">
        <v>-16.9929609603173</v>
      </c>
      <c r="T311" s="2">
        <v>-20.8173767328262</v>
      </c>
      <c r="U311" s="2">
        <v>0.0</v>
      </c>
      <c r="V311" s="2">
        <v>4.0</v>
      </c>
      <c r="W311" s="2">
        <v>3.0</v>
      </c>
      <c r="X311" s="2">
        <v>3.0</v>
      </c>
      <c r="Y311" s="2">
        <v>0.0</v>
      </c>
      <c r="Z311" s="2">
        <v>25.0</v>
      </c>
      <c r="AA311" s="2">
        <v>106.0</v>
      </c>
      <c r="AB311" s="2">
        <v>0.0</v>
      </c>
      <c r="AC311" s="2">
        <v>0.0</v>
      </c>
      <c r="AD311" s="2">
        <v>0.0</v>
      </c>
      <c r="AE311" s="2">
        <v>5.0</v>
      </c>
      <c r="AF311" s="2">
        <v>-5.0989603328635</v>
      </c>
      <c r="AG311" s="2">
        <v>0.0</v>
      </c>
      <c r="AH311" s="2">
        <v>4.0</v>
      </c>
      <c r="AI311" s="2">
        <v>4.0</v>
      </c>
      <c r="AJ311" s="2">
        <v>0.0</v>
      </c>
      <c r="AK311" s="2">
        <v>0.0</v>
      </c>
      <c r="AL311" s="2">
        <v>11.0</v>
      </c>
      <c r="AM311" s="2">
        <v>25.0</v>
      </c>
      <c r="AN311" s="2">
        <v>115.0</v>
      </c>
      <c r="AO311" s="2">
        <v>0.0</v>
      </c>
      <c r="AP311" s="2">
        <v>0.0</v>
      </c>
      <c r="AQ311" s="2">
        <v>0.0</v>
      </c>
      <c r="AR311" s="2">
        <v>166.0</v>
      </c>
      <c r="AS311" s="2">
        <v>44.0</v>
      </c>
      <c r="AT311" s="2">
        <v>4.0</v>
      </c>
      <c r="AU311" s="2">
        <v>-8.98052067909563</v>
      </c>
      <c r="AV311" s="2">
        <v>0.0</v>
      </c>
      <c r="AW311" s="2">
        <v>4.0</v>
      </c>
      <c r="AX311" s="2">
        <v>3.0</v>
      </c>
      <c r="AY311" s="2">
        <v>3.0</v>
      </c>
      <c r="AZ311" s="2">
        <v>0.0</v>
      </c>
      <c r="BA311" s="2">
        <v>0.0</v>
      </c>
      <c r="BB311" s="2">
        <v>40.0</v>
      </c>
      <c r="BC311" s="2">
        <v>1.0</v>
      </c>
      <c r="BD311" s="2">
        <v>23.0</v>
      </c>
      <c r="BE311" s="2">
        <v>10.0</v>
      </c>
      <c r="BF311" s="2">
        <v>34.0</v>
      </c>
      <c r="BG311" s="2">
        <v>0.0</v>
      </c>
      <c r="BH311" s="2">
        <v>5.0</v>
      </c>
      <c r="BI311" s="2">
        <v>26.0</v>
      </c>
      <c r="BJ311" s="2">
        <v>7.0</v>
      </c>
      <c r="BK311" s="2">
        <v>2.0</v>
      </c>
      <c r="BL311" s="2">
        <v>32.0</v>
      </c>
      <c r="BM311" s="2">
        <v>3.0</v>
      </c>
      <c r="BN311" s="2">
        <v>1.0</v>
      </c>
      <c r="BO311" s="2">
        <v>0.0</v>
      </c>
      <c r="BP311" s="2">
        <v>0.0</v>
      </c>
      <c r="BQ311" s="2">
        <v>0.0</v>
      </c>
      <c r="BR311" s="2">
        <v>1.0</v>
      </c>
      <c r="BS311" s="2">
        <v>0.0</v>
      </c>
      <c r="BT311" s="2">
        <v>1.0</v>
      </c>
      <c r="BU311" s="2">
        <v>0.0</v>
      </c>
      <c r="BV311" s="2">
        <v>0.0</v>
      </c>
      <c r="BW311" s="2">
        <v>5.0</v>
      </c>
      <c r="BX311" s="2">
        <v>41.0</v>
      </c>
      <c r="BY311" s="2">
        <v>4.0</v>
      </c>
      <c r="BZ311" s="2">
        <v>1.0</v>
      </c>
      <c r="CA311" s="2">
        <v>0.0</v>
      </c>
      <c r="CB311" s="2">
        <v>0.0</v>
      </c>
      <c r="CC311" s="2">
        <v>1.0</v>
      </c>
      <c r="CD311" s="2">
        <v>0.0</v>
      </c>
      <c r="CE311" s="2">
        <v>2.0</v>
      </c>
      <c r="CF311" s="2">
        <v>18.0</v>
      </c>
      <c r="CG311" s="2">
        <v>5.0</v>
      </c>
      <c r="CH311" s="2">
        <v>123.0</v>
      </c>
      <c r="CI311" s="2">
        <v>3.0</v>
      </c>
      <c r="CJ311" s="2">
        <v>3.0</v>
      </c>
      <c r="CK311" s="2">
        <v>0.0</v>
      </c>
      <c r="CL311" s="2">
        <v>0.0</v>
      </c>
      <c r="CM311" s="2">
        <v>46.0</v>
      </c>
      <c r="CN311" s="2">
        <v>1.0</v>
      </c>
      <c r="CO311" s="2">
        <v>0.0</v>
      </c>
      <c r="CP311" s="2">
        <v>1.0</v>
      </c>
      <c r="CQ311" s="2">
        <v>1.0</v>
      </c>
      <c r="CR311" s="2">
        <v>1.0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 t="s">
        <v>2165</v>
      </c>
      <c r="DD311" s="2">
        <v>100.0</v>
      </c>
      <c r="DE311" s="2">
        <v>0.0</v>
      </c>
      <c r="DF311" s="2">
        <v>0.0</v>
      </c>
      <c r="DG311" s="2">
        <v>1.0</v>
      </c>
      <c r="DH311" s="2">
        <v>1.0</v>
      </c>
      <c r="DI311" s="2">
        <v>0.0</v>
      </c>
      <c r="DJ311" s="2">
        <v>0.0</v>
      </c>
      <c r="DK311" s="2">
        <v>1.0</v>
      </c>
      <c r="DL311" s="2">
        <v>0.0</v>
      </c>
      <c r="DM311" s="2">
        <v>0.0</v>
      </c>
      <c r="DN311" s="2">
        <v>0.0</v>
      </c>
      <c r="DO311" s="2">
        <v>0.0</v>
      </c>
      <c r="DP311" s="2">
        <v>0.0</v>
      </c>
      <c r="DQ311" s="2">
        <v>6.0</v>
      </c>
      <c r="DR311" s="2">
        <v>0.0</v>
      </c>
      <c r="DS311" s="2">
        <v>63.0</v>
      </c>
      <c r="DT311" s="2">
        <v>299.0</v>
      </c>
      <c r="DU311" s="2">
        <v>1.0</v>
      </c>
      <c r="DV311" s="2">
        <v>1.0</v>
      </c>
      <c r="DW311" s="2">
        <v>1.0</v>
      </c>
      <c r="DX311" s="2">
        <v>1.0</v>
      </c>
      <c r="DY311" s="2">
        <v>0.0</v>
      </c>
      <c r="DZ311" s="2">
        <v>3.0</v>
      </c>
      <c r="EA311" s="2">
        <v>26.0</v>
      </c>
      <c r="EB311" s="2">
        <v>0.0</v>
      </c>
      <c r="EC311" s="2">
        <v>253.0</v>
      </c>
      <c r="EE311" s="2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2">
        <v>2025.0</v>
      </c>
      <c r="B312" s="2">
        <v>11.0</v>
      </c>
      <c r="C312" s="2" t="s">
        <v>146</v>
      </c>
      <c r="D312" s="2" t="s">
        <v>390</v>
      </c>
      <c r="E312" s="2" t="s">
        <v>944</v>
      </c>
      <c r="F312" s="2" t="s">
        <v>222</v>
      </c>
      <c r="G312" s="2">
        <v>25.0</v>
      </c>
      <c r="H312" s="2">
        <v>33.0</v>
      </c>
      <c r="I312" s="2">
        <v>268.0</v>
      </c>
      <c r="J312" s="2">
        <v>4.0</v>
      </c>
      <c r="K312" s="2">
        <v>0.0</v>
      </c>
      <c r="L312" s="2">
        <v>1.0</v>
      </c>
      <c r="M312" s="2">
        <v>-1.0</v>
      </c>
      <c r="N312" s="2">
        <v>1.0</v>
      </c>
      <c r="O312" s="2">
        <v>1.0</v>
      </c>
      <c r="P312" s="2">
        <v>232.0</v>
      </c>
      <c r="Q312" s="2">
        <v>138.0</v>
      </c>
      <c r="R312" s="2">
        <v>16.0</v>
      </c>
      <c r="S312" s="2">
        <v>8.56269284527641</v>
      </c>
      <c r="T312" s="2">
        <v>8.71798321604729</v>
      </c>
      <c r="U312" s="2">
        <v>0.0</v>
      </c>
      <c r="V312" s="2">
        <v>12.0</v>
      </c>
      <c r="W312" s="2">
        <v>6.0</v>
      </c>
      <c r="X312" s="2">
        <v>3.0</v>
      </c>
      <c r="Y312" s="2">
        <v>0.0</v>
      </c>
      <c r="Z312" s="2">
        <v>31.0</v>
      </c>
      <c r="AA312" s="2">
        <v>114.0</v>
      </c>
      <c r="AB312" s="2">
        <v>0.0</v>
      </c>
      <c r="AC312" s="2">
        <v>0.0</v>
      </c>
      <c r="AD312" s="2">
        <v>0.0</v>
      </c>
      <c r="AE312" s="2">
        <v>7.0</v>
      </c>
      <c r="AF312" s="2">
        <v>-6.45407509146025</v>
      </c>
      <c r="AG312" s="2">
        <v>0.0</v>
      </c>
      <c r="AH312" s="2">
        <v>3.0</v>
      </c>
      <c r="AI312" s="2">
        <v>2.0</v>
      </c>
      <c r="AJ312" s="2">
        <v>0.0</v>
      </c>
      <c r="AK312" s="2">
        <v>0.0</v>
      </c>
      <c r="AL312" s="2">
        <v>25.0</v>
      </c>
      <c r="AM312" s="2">
        <v>32.0</v>
      </c>
      <c r="AN312" s="2">
        <v>268.0</v>
      </c>
      <c r="AO312" s="2">
        <v>4.0</v>
      </c>
      <c r="AP312" s="2">
        <v>0.0</v>
      </c>
      <c r="AQ312" s="2">
        <v>0.0</v>
      </c>
      <c r="AR312" s="2">
        <v>232.0</v>
      </c>
      <c r="AS312" s="2">
        <v>138.0</v>
      </c>
      <c r="AT312" s="2">
        <v>16.0</v>
      </c>
      <c r="AU312" s="2">
        <v>15.8725633110735</v>
      </c>
      <c r="AV312" s="2">
        <v>0.0</v>
      </c>
      <c r="AW312" s="2">
        <v>12.0</v>
      </c>
      <c r="AX312" s="2">
        <v>6.0</v>
      </c>
      <c r="AY312" s="2">
        <v>3.0</v>
      </c>
      <c r="AZ312" s="2">
        <v>0.0</v>
      </c>
      <c r="BA312" s="2">
        <v>0.0</v>
      </c>
      <c r="BB312" s="2">
        <v>33.0</v>
      </c>
      <c r="BC312" s="2">
        <v>2.0</v>
      </c>
      <c r="BD312" s="2">
        <v>30.0</v>
      </c>
      <c r="BE312" s="2">
        <v>8.0</v>
      </c>
      <c r="BF312" s="2">
        <v>32.0</v>
      </c>
      <c r="BG312" s="2">
        <v>0.0</v>
      </c>
      <c r="BH312" s="2">
        <v>4.0</v>
      </c>
      <c r="BI312" s="2">
        <v>29.0</v>
      </c>
      <c r="BJ312" s="2">
        <v>11.0</v>
      </c>
      <c r="BK312" s="2">
        <v>1.0</v>
      </c>
      <c r="BL312" s="2">
        <v>24.0</v>
      </c>
      <c r="BM312" s="2">
        <v>8.0</v>
      </c>
      <c r="BN312" s="2">
        <v>0.0</v>
      </c>
      <c r="BO312" s="2">
        <v>0.0</v>
      </c>
      <c r="BP312" s="2">
        <v>1.0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6.0</v>
      </c>
      <c r="BX312" s="2">
        <v>50.0</v>
      </c>
      <c r="BY312" s="2">
        <v>5.0</v>
      </c>
      <c r="BZ312" s="2">
        <v>1.0</v>
      </c>
      <c r="CA312" s="2">
        <v>0.0</v>
      </c>
      <c r="CB312" s="2">
        <v>0.0</v>
      </c>
      <c r="CC312" s="2">
        <v>1.0</v>
      </c>
      <c r="CD312" s="2">
        <v>1.0</v>
      </c>
      <c r="CE312" s="2">
        <v>1.0</v>
      </c>
      <c r="CF312" s="2">
        <v>14.0</v>
      </c>
      <c r="CG312" s="2">
        <v>4.0</v>
      </c>
      <c r="CH312" s="2">
        <v>111.0</v>
      </c>
      <c r="CI312" s="2">
        <v>1.0</v>
      </c>
      <c r="CJ312" s="2">
        <v>1.0</v>
      </c>
      <c r="CK312" s="2">
        <v>0.0</v>
      </c>
      <c r="CL312" s="2">
        <v>0.0</v>
      </c>
      <c r="CM312" s="2">
        <v>50.0</v>
      </c>
      <c r="CN312" s="2">
        <v>1.0</v>
      </c>
      <c r="CO312" s="2">
        <v>0.0</v>
      </c>
      <c r="CP312" s="2">
        <v>0.0</v>
      </c>
      <c r="CQ312" s="2">
        <v>0.0</v>
      </c>
      <c r="CR312" s="2">
        <v>0.0</v>
      </c>
      <c r="CS312" s="2">
        <v>1.0</v>
      </c>
      <c r="CT312" s="2">
        <v>0.0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 t="s">
        <v>1967</v>
      </c>
      <c r="DD312" s="2">
        <v>50.0</v>
      </c>
      <c r="DE312" s="2">
        <v>0.0</v>
      </c>
      <c r="DF312" s="2">
        <v>0.0</v>
      </c>
      <c r="DG312" s="2">
        <v>4.0</v>
      </c>
      <c r="DH312" s="2">
        <v>4.0</v>
      </c>
      <c r="DI312" s="2">
        <v>0.0</v>
      </c>
      <c r="DJ312" s="2">
        <v>0.0</v>
      </c>
      <c r="DK312" s="2">
        <v>1.0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2.0</v>
      </c>
      <c r="DR312" s="2">
        <v>0.0</v>
      </c>
      <c r="DS312" s="2">
        <v>49.0</v>
      </c>
      <c r="DT312" s="2">
        <v>93.0</v>
      </c>
      <c r="DU312" s="2">
        <v>1.0</v>
      </c>
      <c r="DV312" s="2">
        <v>0.0</v>
      </c>
      <c r="DW312" s="2">
        <v>0.0</v>
      </c>
      <c r="DX312" s="2">
        <v>0.0</v>
      </c>
      <c r="DY312" s="2">
        <v>0.0</v>
      </c>
      <c r="DZ312" s="2">
        <v>2.0</v>
      </c>
      <c r="EA312" s="2">
        <v>4.0</v>
      </c>
      <c r="EB312" s="2">
        <v>0.0</v>
      </c>
      <c r="EC312" s="2">
        <v>89.0</v>
      </c>
      <c r="EE312" s="2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2">
        <v>2025.0</v>
      </c>
      <c r="B313" s="2">
        <v>11.0</v>
      </c>
      <c r="C313" s="2" t="s">
        <v>139</v>
      </c>
      <c r="D313" s="2" t="s">
        <v>390</v>
      </c>
      <c r="E313" s="2" t="s">
        <v>940</v>
      </c>
      <c r="F313" s="2" t="s">
        <v>143</v>
      </c>
      <c r="G313" s="2">
        <v>24.0</v>
      </c>
      <c r="H313" s="2">
        <v>38.0</v>
      </c>
      <c r="I313" s="2">
        <v>295.0</v>
      </c>
      <c r="J313" s="2">
        <v>0.0</v>
      </c>
      <c r="K313" s="2">
        <v>0.0</v>
      </c>
      <c r="L313" s="2">
        <v>2.0</v>
      </c>
      <c r="M313" s="2">
        <v>-12.0</v>
      </c>
      <c r="N313" s="2">
        <v>0.0</v>
      </c>
      <c r="O313" s="2">
        <v>0.0</v>
      </c>
      <c r="P313" s="2">
        <v>319.0</v>
      </c>
      <c r="Q313" s="2">
        <v>142.0</v>
      </c>
      <c r="R313" s="2">
        <v>11.0</v>
      </c>
      <c r="S313" s="2">
        <v>4.59441259417097</v>
      </c>
      <c r="T313" s="2">
        <v>1.40996227661769</v>
      </c>
      <c r="U313" s="2">
        <v>0.0</v>
      </c>
      <c r="V313" s="2">
        <v>9.0</v>
      </c>
      <c r="W313" s="2">
        <v>5.0</v>
      </c>
      <c r="X313" s="2">
        <v>5.0</v>
      </c>
      <c r="Y313" s="2">
        <v>1.0</v>
      </c>
      <c r="Z313" s="2">
        <v>21.0</v>
      </c>
      <c r="AA313" s="2">
        <v>59.0</v>
      </c>
      <c r="AB313" s="2">
        <v>1.0</v>
      </c>
      <c r="AC313" s="2">
        <v>0.0</v>
      </c>
      <c r="AD313" s="2">
        <v>0.0</v>
      </c>
      <c r="AE313" s="2">
        <v>5.0</v>
      </c>
      <c r="AF313" s="2">
        <v>-3.15558881820828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24.0</v>
      </c>
      <c r="AM313" s="2">
        <v>36.0</v>
      </c>
      <c r="AN313" s="2">
        <v>295.0</v>
      </c>
      <c r="AO313" s="2">
        <v>0.0</v>
      </c>
      <c r="AP313" s="2">
        <v>0.0</v>
      </c>
      <c r="AQ313" s="2">
        <v>0.0</v>
      </c>
      <c r="AR313" s="2">
        <v>319.0</v>
      </c>
      <c r="AS313" s="2">
        <v>142.0</v>
      </c>
      <c r="AT313" s="2">
        <v>11.0</v>
      </c>
      <c r="AU313" s="2">
        <v>10.2307224463779</v>
      </c>
      <c r="AV313" s="2">
        <v>0.0</v>
      </c>
      <c r="AW313" s="2">
        <v>9.0</v>
      </c>
      <c r="AX313" s="2">
        <v>5.0</v>
      </c>
      <c r="AY313" s="2">
        <v>5.0</v>
      </c>
      <c r="AZ313" s="2">
        <v>1.0</v>
      </c>
      <c r="BA313" s="2">
        <v>0.0</v>
      </c>
      <c r="BB313" s="2">
        <v>36.0</v>
      </c>
      <c r="BC313" s="2">
        <v>0.0</v>
      </c>
      <c r="BD313" s="2">
        <v>32.0</v>
      </c>
      <c r="BE313" s="2">
        <v>4.0</v>
      </c>
      <c r="BF313" s="2">
        <v>28.0</v>
      </c>
      <c r="BG313" s="2">
        <v>0.0</v>
      </c>
      <c r="BH313" s="2">
        <v>3.0</v>
      </c>
      <c r="BI313" s="2">
        <v>27.0</v>
      </c>
      <c r="BJ313" s="2">
        <v>8.0</v>
      </c>
      <c r="BK313" s="2">
        <v>1.0</v>
      </c>
      <c r="BL313" s="2">
        <v>16.0</v>
      </c>
      <c r="BM313" s="2">
        <v>4.0</v>
      </c>
      <c r="BN313" s="2">
        <v>0.0</v>
      </c>
      <c r="BO313" s="2">
        <v>1.0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0.0</v>
      </c>
      <c r="BV313" s="2">
        <v>0.0</v>
      </c>
      <c r="BW313" s="2">
        <v>10.0</v>
      </c>
      <c r="BX313" s="2">
        <v>147.0</v>
      </c>
      <c r="BY313" s="2">
        <v>4.0</v>
      </c>
      <c r="BZ313" s="2">
        <v>1.0</v>
      </c>
      <c r="CA313" s="2">
        <v>0.0</v>
      </c>
      <c r="CB313" s="2">
        <v>1.0</v>
      </c>
      <c r="CC313" s="2">
        <v>1.0</v>
      </c>
      <c r="CD313" s="2">
        <v>0.0</v>
      </c>
      <c r="CE313" s="2">
        <v>3.0</v>
      </c>
      <c r="CF313" s="2">
        <v>101.0</v>
      </c>
      <c r="CG313" s="2">
        <v>3.0</v>
      </c>
      <c r="CH313" s="2">
        <v>79.0</v>
      </c>
      <c r="CI313" s="2">
        <v>5.0</v>
      </c>
      <c r="CJ313" s="2">
        <v>5.0</v>
      </c>
      <c r="CK313" s="2">
        <v>0.0</v>
      </c>
      <c r="CL313" s="2">
        <v>0.0</v>
      </c>
      <c r="CM313" s="2">
        <v>54.0</v>
      </c>
      <c r="CN313" s="2">
        <v>1.0</v>
      </c>
      <c r="CO313" s="2">
        <v>0.0</v>
      </c>
      <c r="CP313" s="2">
        <v>2.0</v>
      </c>
      <c r="CQ313" s="2">
        <v>2.0</v>
      </c>
      <c r="CR313" s="2">
        <v>0.0</v>
      </c>
      <c r="CS313" s="2">
        <v>1.0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0.0</v>
      </c>
      <c r="DA313" s="2" t="s">
        <v>2166</v>
      </c>
      <c r="DD313" s="2">
        <v>180.0</v>
      </c>
      <c r="DE313" s="2">
        <v>0.0</v>
      </c>
      <c r="DF313" s="2">
        <v>0.0</v>
      </c>
      <c r="DG313" s="2">
        <v>1.0</v>
      </c>
      <c r="DH313" s="2">
        <v>1.0</v>
      </c>
      <c r="DI313" s="2">
        <v>0.0</v>
      </c>
      <c r="DJ313" s="2">
        <v>0.0</v>
      </c>
      <c r="DK313" s="2">
        <v>1.0</v>
      </c>
      <c r="DL313" s="2">
        <v>1.0</v>
      </c>
      <c r="DM313" s="2">
        <v>1.0</v>
      </c>
      <c r="DN313" s="2">
        <v>0.0</v>
      </c>
      <c r="DO313" s="2">
        <v>0.0</v>
      </c>
      <c r="DP313" s="2">
        <v>35.0</v>
      </c>
      <c r="DQ313" s="2">
        <v>4.0</v>
      </c>
      <c r="DR313" s="2">
        <v>0.0</v>
      </c>
      <c r="DS313" s="2">
        <v>58.0</v>
      </c>
      <c r="DT313" s="2">
        <v>211.0</v>
      </c>
      <c r="DU313" s="2">
        <v>3.0</v>
      </c>
      <c r="DV313" s="2">
        <v>2.0</v>
      </c>
      <c r="DW313" s="2">
        <v>0.0</v>
      </c>
      <c r="DX313" s="2">
        <v>0.0</v>
      </c>
      <c r="DY313" s="2">
        <v>0.0</v>
      </c>
      <c r="DZ313" s="2">
        <v>2.0</v>
      </c>
      <c r="EA313" s="2">
        <v>19.0</v>
      </c>
      <c r="EB313" s="2">
        <v>0.0</v>
      </c>
      <c r="EC313" s="2">
        <v>192.0</v>
      </c>
      <c r="EE313" s="2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2">
        <v>2025.0</v>
      </c>
      <c r="B314" s="2">
        <v>11.0</v>
      </c>
      <c r="C314" s="2" t="s">
        <v>202</v>
      </c>
      <c r="D314" s="2" t="s">
        <v>390</v>
      </c>
      <c r="E314" s="2" t="s">
        <v>942</v>
      </c>
      <c r="F314" s="2" t="s">
        <v>147</v>
      </c>
      <c r="G314" s="2">
        <v>14.0</v>
      </c>
      <c r="H314" s="2">
        <v>37.0</v>
      </c>
      <c r="I314" s="2">
        <v>255.0</v>
      </c>
      <c r="J314" s="2">
        <v>1.0</v>
      </c>
      <c r="K314" s="2">
        <v>1.0</v>
      </c>
      <c r="L314" s="2">
        <v>2.0</v>
      </c>
      <c r="M314" s="2">
        <v>-12.0</v>
      </c>
      <c r="N314" s="2">
        <v>0.0</v>
      </c>
      <c r="O314" s="2">
        <v>0.0</v>
      </c>
      <c r="P314" s="2">
        <v>246.0</v>
      </c>
      <c r="Q314" s="2">
        <v>193.0</v>
      </c>
      <c r="R314" s="2">
        <v>10.0</v>
      </c>
      <c r="S314" s="2">
        <v>-14.2632268096807</v>
      </c>
      <c r="T314" s="2">
        <v>-30.0714922447999</v>
      </c>
      <c r="U314" s="2">
        <v>0.0</v>
      </c>
      <c r="V314" s="2">
        <v>9.0</v>
      </c>
      <c r="W314" s="2">
        <v>7.0</v>
      </c>
      <c r="X314" s="2">
        <v>5.0</v>
      </c>
      <c r="Y314" s="2">
        <v>2.0</v>
      </c>
      <c r="Z314" s="2">
        <v>21.0</v>
      </c>
      <c r="AA314" s="2">
        <v>74.0</v>
      </c>
      <c r="AB314" s="2">
        <v>0.0</v>
      </c>
      <c r="AC314" s="2">
        <v>0.0</v>
      </c>
      <c r="AD314" s="2">
        <v>0.0</v>
      </c>
      <c r="AE314" s="2">
        <v>3.0</v>
      </c>
      <c r="AF314" s="2">
        <v>-9.38188022165559</v>
      </c>
      <c r="AG314" s="2">
        <v>0.0</v>
      </c>
      <c r="AH314" s="2">
        <v>2.0</v>
      </c>
      <c r="AI314" s="2">
        <v>0.0</v>
      </c>
      <c r="AJ314" s="2">
        <v>0.0</v>
      </c>
      <c r="AK314" s="2">
        <v>0.0</v>
      </c>
      <c r="AL314" s="2">
        <v>14.0</v>
      </c>
      <c r="AM314" s="2">
        <v>36.0</v>
      </c>
      <c r="AN314" s="2">
        <v>255.0</v>
      </c>
      <c r="AO314" s="2">
        <v>1.0</v>
      </c>
      <c r="AP314" s="2">
        <v>0.0</v>
      </c>
      <c r="AQ314" s="2">
        <v>0.0</v>
      </c>
      <c r="AR314" s="2">
        <v>246.0</v>
      </c>
      <c r="AS314" s="2">
        <v>193.0</v>
      </c>
      <c r="AT314" s="2">
        <v>10.0</v>
      </c>
      <c r="AU314" s="2">
        <v>-11.0468043972526</v>
      </c>
      <c r="AV314" s="2">
        <v>0.0</v>
      </c>
      <c r="AW314" s="2">
        <v>9.0</v>
      </c>
      <c r="AX314" s="2">
        <v>7.0</v>
      </c>
      <c r="AY314" s="2">
        <v>5.0</v>
      </c>
      <c r="AZ314" s="2">
        <v>2.0</v>
      </c>
      <c r="BA314" s="2">
        <v>0.0</v>
      </c>
      <c r="BB314" s="2">
        <v>39.0</v>
      </c>
      <c r="BC314" s="2">
        <v>0.0</v>
      </c>
      <c r="BD314" s="2">
        <v>30.0</v>
      </c>
      <c r="BE314" s="2">
        <v>4.0</v>
      </c>
      <c r="BF314" s="2">
        <v>13.0</v>
      </c>
      <c r="BG314" s="2">
        <v>0.0</v>
      </c>
      <c r="BH314" s="2">
        <v>1.0</v>
      </c>
      <c r="BI314" s="2">
        <v>11.0</v>
      </c>
      <c r="BJ314" s="2">
        <v>2.0</v>
      </c>
      <c r="BK314" s="2">
        <v>0.0</v>
      </c>
      <c r="BL314" s="2">
        <v>0.0</v>
      </c>
      <c r="BM314" s="2">
        <v>3.0</v>
      </c>
      <c r="BN314" s="2">
        <v>0.0</v>
      </c>
      <c r="BO314" s="2">
        <v>0.0</v>
      </c>
      <c r="BP314" s="2">
        <v>0.0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0.0</v>
      </c>
      <c r="BW314" s="2">
        <v>5.0</v>
      </c>
      <c r="BX314" s="2">
        <v>48.0</v>
      </c>
      <c r="BY314" s="2">
        <v>3.0</v>
      </c>
      <c r="BZ314" s="2">
        <v>0.0</v>
      </c>
      <c r="CA314" s="2">
        <v>0.0</v>
      </c>
      <c r="CB314" s="2">
        <v>0.0</v>
      </c>
      <c r="CC314" s="2">
        <v>0.0</v>
      </c>
      <c r="CD314" s="2">
        <v>0.0</v>
      </c>
      <c r="CE314" s="2">
        <v>3.0</v>
      </c>
      <c r="CF314" s="2">
        <v>3.0</v>
      </c>
      <c r="CG314" s="2">
        <v>3.0</v>
      </c>
      <c r="CH314" s="2">
        <v>62.0</v>
      </c>
      <c r="CI314" s="2">
        <v>1.0</v>
      </c>
      <c r="CJ314" s="2">
        <v>1.0</v>
      </c>
      <c r="CK314" s="2">
        <v>0.0</v>
      </c>
      <c r="CL314" s="2">
        <v>0.0</v>
      </c>
      <c r="CM314" s="2">
        <v>54.0</v>
      </c>
      <c r="CN314" s="2">
        <v>1.0</v>
      </c>
      <c r="CO314" s="2">
        <v>0.0</v>
      </c>
      <c r="CP314" s="2">
        <v>0.0</v>
      </c>
      <c r="CQ314" s="2">
        <v>0.0</v>
      </c>
      <c r="CR314" s="2">
        <v>0.0</v>
      </c>
      <c r="CS314" s="2">
        <v>1.0</v>
      </c>
      <c r="CT314" s="2">
        <v>0.0</v>
      </c>
      <c r="CU314" s="2">
        <v>0.0</v>
      </c>
      <c r="CV314" s="2">
        <v>0.0</v>
      </c>
      <c r="CW314" s="2">
        <v>0.0</v>
      </c>
      <c r="CX314" s="2">
        <v>0.0</v>
      </c>
      <c r="CY314" s="2">
        <v>0.0</v>
      </c>
      <c r="CZ314" s="2">
        <v>0.0</v>
      </c>
      <c r="DA314" s="2" t="s">
        <v>2018</v>
      </c>
      <c r="DD314" s="2">
        <v>54.0</v>
      </c>
      <c r="DE314" s="2">
        <v>0.0</v>
      </c>
      <c r="DF314" s="2">
        <v>0.0</v>
      </c>
      <c r="DG314" s="2">
        <v>0.0</v>
      </c>
      <c r="DH314" s="2">
        <v>1.0</v>
      </c>
      <c r="DI314" s="2">
        <v>1.0</v>
      </c>
      <c r="DJ314" s="2">
        <v>0.0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4.0</v>
      </c>
      <c r="DR314" s="2">
        <v>0.0</v>
      </c>
      <c r="DS314" s="2">
        <v>55.0</v>
      </c>
      <c r="DT314" s="2">
        <v>169.0</v>
      </c>
      <c r="DU314" s="2">
        <v>2.0</v>
      </c>
      <c r="DV314" s="2">
        <v>0.0</v>
      </c>
      <c r="DW314" s="2">
        <v>1.0</v>
      </c>
      <c r="DX314" s="2">
        <v>0.0</v>
      </c>
      <c r="DY314" s="2">
        <v>2.0</v>
      </c>
      <c r="DZ314" s="2">
        <v>1.0</v>
      </c>
      <c r="EA314" s="2">
        <v>0.0</v>
      </c>
      <c r="EB314" s="2">
        <v>0.0</v>
      </c>
      <c r="EC314" s="2">
        <v>169.0</v>
      </c>
      <c r="EE314" s="2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2">
        <v>2025.0</v>
      </c>
      <c r="B315" s="2">
        <v>11.0</v>
      </c>
      <c r="C315" s="2" t="s">
        <v>205</v>
      </c>
      <c r="D315" s="2" t="s">
        <v>390</v>
      </c>
      <c r="E315" s="2" t="s">
        <v>926</v>
      </c>
      <c r="F315" s="2" t="s">
        <v>235</v>
      </c>
      <c r="G315" s="2">
        <v>15.0</v>
      </c>
      <c r="H315" s="2">
        <v>26.0</v>
      </c>
      <c r="I315" s="2">
        <v>180.0</v>
      </c>
      <c r="J315" s="2">
        <v>3.0</v>
      </c>
      <c r="K315" s="2">
        <v>0.0</v>
      </c>
      <c r="L315" s="2">
        <v>2.0</v>
      </c>
      <c r="M315" s="2">
        <v>-12.0</v>
      </c>
      <c r="N315" s="2">
        <v>0.0</v>
      </c>
      <c r="O315" s="2">
        <v>0.0</v>
      </c>
      <c r="P315" s="2">
        <v>293.0</v>
      </c>
      <c r="Q315" s="2">
        <v>32.0</v>
      </c>
      <c r="R315" s="2">
        <v>11.0</v>
      </c>
      <c r="S315" s="2">
        <v>12.4806477881358</v>
      </c>
      <c r="T315" s="2">
        <v>1.53554087877274</v>
      </c>
      <c r="U315" s="2">
        <v>1.0</v>
      </c>
      <c r="V315" s="2">
        <v>8.0</v>
      </c>
      <c r="W315" s="2">
        <v>5.0</v>
      </c>
      <c r="X315" s="2">
        <v>3.0</v>
      </c>
      <c r="Y315" s="2">
        <v>0.0</v>
      </c>
      <c r="Z315" s="2">
        <v>23.0</v>
      </c>
      <c r="AA315" s="2">
        <v>128.0</v>
      </c>
      <c r="AB315" s="2">
        <v>1.0</v>
      </c>
      <c r="AC315" s="2">
        <v>0.0</v>
      </c>
      <c r="AD315" s="2">
        <v>0.0</v>
      </c>
      <c r="AE315" s="2">
        <v>7.0</v>
      </c>
      <c r="AF315" s="2">
        <v>5.69925315334695</v>
      </c>
      <c r="AG315" s="2">
        <v>0.0</v>
      </c>
      <c r="AH315" s="2">
        <v>4.0</v>
      </c>
      <c r="AI315" s="2">
        <v>3.0</v>
      </c>
      <c r="AJ315" s="2">
        <v>0.0</v>
      </c>
      <c r="AK315" s="2">
        <v>0.0</v>
      </c>
      <c r="AL315" s="2">
        <v>15.0</v>
      </c>
      <c r="AM315" s="2">
        <v>25.0</v>
      </c>
      <c r="AN315" s="2">
        <v>180.0</v>
      </c>
      <c r="AO315" s="2">
        <v>3.0</v>
      </c>
      <c r="AP315" s="2">
        <v>1.0</v>
      </c>
      <c r="AQ315" s="2">
        <v>0.0</v>
      </c>
      <c r="AR315" s="2">
        <v>293.0</v>
      </c>
      <c r="AS315" s="2">
        <v>32.0</v>
      </c>
      <c r="AT315" s="2">
        <v>11.0</v>
      </c>
      <c r="AU315" s="2">
        <v>13.7483671806259</v>
      </c>
      <c r="AV315" s="2">
        <v>1.0</v>
      </c>
      <c r="AW315" s="2">
        <v>8.0</v>
      </c>
      <c r="AX315" s="2">
        <v>5.0</v>
      </c>
      <c r="AY315" s="2">
        <v>3.0</v>
      </c>
      <c r="AZ315" s="2">
        <v>0.0</v>
      </c>
      <c r="BA315" s="2">
        <v>0.0</v>
      </c>
      <c r="BB315" s="2">
        <v>39.0</v>
      </c>
      <c r="BC315" s="2">
        <v>2.0</v>
      </c>
      <c r="BD315" s="2">
        <v>42.0</v>
      </c>
      <c r="BE315" s="2">
        <v>1.0</v>
      </c>
      <c r="BF315" s="2">
        <v>1.0</v>
      </c>
      <c r="BG315" s="2">
        <v>1.0</v>
      </c>
      <c r="BH315" s="2">
        <v>2.0</v>
      </c>
      <c r="BI315" s="2">
        <v>7.0</v>
      </c>
      <c r="BJ315" s="2">
        <v>5.0</v>
      </c>
      <c r="BK315" s="2">
        <v>1.0</v>
      </c>
      <c r="BL315" s="2">
        <v>0.0</v>
      </c>
      <c r="BM315" s="2">
        <v>5.0</v>
      </c>
      <c r="BN315" s="2">
        <v>0.0</v>
      </c>
      <c r="BO315" s="2">
        <v>0.0</v>
      </c>
      <c r="BP315" s="2">
        <v>0.0</v>
      </c>
      <c r="BQ315" s="2">
        <v>0.0</v>
      </c>
      <c r="BR315" s="2">
        <v>1.0</v>
      </c>
      <c r="BS315" s="2">
        <v>0.0</v>
      </c>
      <c r="BT315" s="2">
        <v>1.0</v>
      </c>
      <c r="BU315" s="2">
        <v>0.0</v>
      </c>
      <c r="BV315" s="2">
        <v>0.0</v>
      </c>
      <c r="BW315" s="2">
        <v>5.0</v>
      </c>
      <c r="BX315" s="2">
        <v>48.0</v>
      </c>
      <c r="BY315" s="2">
        <v>3.0</v>
      </c>
      <c r="BZ315" s="2">
        <v>1.0</v>
      </c>
      <c r="CA315" s="2">
        <v>1.0</v>
      </c>
      <c r="CB315" s="2">
        <v>1.0</v>
      </c>
      <c r="CC315" s="2">
        <v>2.0</v>
      </c>
      <c r="CD315" s="2">
        <v>0.0</v>
      </c>
      <c r="CE315" s="2">
        <v>1.0</v>
      </c>
      <c r="CF315" s="2">
        <v>0.0</v>
      </c>
      <c r="CG315" s="2">
        <v>3.0</v>
      </c>
      <c r="CH315" s="2">
        <v>70.0</v>
      </c>
      <c r="CI315" s="2">
        <v>0.0</v>
      </c>
      <c r="CJ315" s="2">
        <v>0.0</v>
      </c>
      <c r="CK315" s="2">
        <v>0.0</v>
      </c>
      <c r="CL315" s="2">
        <v>0.0</v>
      </c>
      <c r="CO315" s="2">
        <v>0.0</v>
      </c>
      <c r="CP315" s="2">
        <v>0.0</v>
      </c>
      <c r="CQ315" s="2">
        <v>0.0</v>
      </c>
      <c r="CR315" s="2">
        <v>0.0</v>
      </c>
      <c r="CS315" s="2">
        <v>0.0</v>
      </c>
      <c r="CT315" s="2">
        <v>0.0</v>
      </c>
      <c r="CU315" s="2">
        <v>0.0</v>
      </c>
      <c r="CV315" s="2">
        <v>0.0</v>
      </c>
      <c r="CW315" s="2">
        <v>0.0</v>
      </c>
      <c r="CX315" s="2">
        <v>0.0</v>
      </c>
      <c r="CY315" s="2">
        <v>0.0</v>
      </c>
      <c r="CZ315" s="2">
        <v>0.0</v>
      </c>
      <c r="DD315" s="2">
        <v>0.0</v>
      </c>
      <c r="DE315" s="2">
        <v>0.0</v>
      </c>
      <c r="DF315" s="2">
        <v>0.0</v>
      </c>
      <c r="DG315" s="2">
        <v>1.0</v>
      </c>
      <c r="DH315" s="2">
        <v>3.0</v>
      </c>
      <c r="DI315" s="2">
        <v>2.0</v>
      </c>
      <c r="DJ315" s="2">
        <v>0.0</v>
      </c>
      <c r="DK315" s="2">
        <v>0.333333333333333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4.0</v>
      </c>
      <c r="DR315" s="2">
        <v>0.0</v>
      </c>
      <c r="DS315" s="2">
        <v>61.0</v>
      </c>
      <c r="DT315" s="2">
        <v>195.0</v>
      </c>
      <c r="DU315" s="2">
        <v>2.0</v>
      </c>
      <c r="DV315" s="2">
        <v>2.0</v>
      </c>
      <c r="DW315" s="2">
        <v>0.0</v>
      </c>
      <c r="DX315" s="2">
        <v>0.0</v>
      </c>
      <c r="DY315" s="2">
        <v>0.0</v>
      </c>
      <c r="DZ315" s="2">
        <v>2.0</v>
      </c>
      <c r="EA315" s="2">
        <v>17.0</v>
      </c>
      <c r="EB315" s="2">
        <v>0.0</v>
      </c>
      <c r="EC315" s="2">
        <v>178.0</v>
      </c>
      <c r="EE315" s="2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2">
        <v>2025.0</v>
      </c>
      <c r="B316" s="2">
        <v>11.0</v>
      </c>
      <c r="C316" s="2" t="s">
        <v>140</v>
      </c>
      <c r="D316" s="2" t="s">
        <v>390</v>
      </c>
      <c r="E316" s="2" t="s">
        <v>932</v>
      </c>
      <c r="F316" s="2" t="s">
        <v>250</v>
      </c>
      <c r="G316" s="2">
        <v>26.0</v>
      </c>
      <c r="H316" s="2">
        <v>41.0</v>
      </c>
      <c r="I316" s="2">
        <v>274.0</v>
      </c>
      <c r="J316" s="2">
        <v>1.0</v>
      </c>
      <c r="K316" s="2">
        <v>0.0</v>
      </c>
      <c r="L316" s="2">
        <v>4.0</v>
      </c>
      <c r="M316" s="2">
        <v>-34.0</v>
      </c>
      <c r="N316" s="2">
        <v>0.0</v>
      </c>
      <c r="O316" s="2">
        <v>0.0</v>
      </c>
      <c r="P316" s="2">
        <v>350.0</v>
      </c>
      <c r="Q316" s="2">
        <v>82.0</v>
      </c>
      <c r="R316" s="2">
        <v>13.0</v>
      </c>
      <c r="S316" s="2">
        <v>-0.157998548092331</v>
      </c>
      <c r="T316" s="2">
        <v>-0.0250671803951263</v>
      </c>
      <c r="U316" s="2">
        <v>0.0</v>
      </c>
      <c r="V316" s="2">
        <v>12.0</v>
      </c>
      <c r="W316" s="2">
        <v>4.0</v>
      </c>
      <c r="X316" s="2">
        <v>2.0</v>
      </c>
      <c r="Y316" s="2">
        <v>0.0</v>
      </c>
      <c r="Z316" s="2">
        <v>23.0</v>
      </c>
      <c r="AA316" s="2">
        <v>75.0</v>
      </c>
      <c r="AB316" s="2">
        <v>0.0</v>
      </c>
      <c r="AC316" s="2">
        <v>0.0</v>
      </c>
      <c r="AD316" s="2">
        <v>0.0</v>
      </c>
      <c r="AE316" s="2">
        <v>5.0</v>
      </c>
      <c r="AF316" s="2">
        <v>-4.3607906923239</v>
      </c>
      <c r="AG316" s="2">
        <v>0.0</v>
      </c>
      <c r="AH316" s="2">
        <v>2.0</v>
      </c>
      <c r="AI316" s="2">
        <v>1.0</v>
      </c>
      <c r="AJ316" s="2">
        <v>0.0</v>
      </c>
      <c r="AK316" s="2">
        <v>0.0</v>
      </c>
      <c r="AL316" s="2">
        <v>26.0</v>
      </c>
      <c r="AM316" s="2">
        <v>40.0</v>
      </c>
      <c r="AN316" s="2">
        <v>274.0</v>
      </c>
      <c r="AO316" s="2">
        <v>1.0</v>
      </c>
      <c r="AP316" s="2">
        <v>0.0</v>
      </c>
      <c r="AQ316" s="2">
        <v>0.0</v>
      </c>
      <c r="AR316" s="2">
        <v>350.0</v>
      </c>
      <c r="AS316" s="2">
        <v>82.0</v>
      </c>
      <c r="AT316" s="2">
        <v>13.0</v>
      </c>
      <c r="AU316" s="2">
        <v>12.0264011407569</v>
      </c>
      <c r="AV316" s="2">
        <v>0.0</v>
      </c>
      <c r="AW316" s="2">
        <v>12.0</v>
      </c>
      <c r="AX316" s="2">
        <v>4.0</v>
      </c>
      <c r="AY316" s="2">
        <v>2.0</v>
      </c>
      <c r="AZ316" s="2">
        <v>0.0</v>
      </c>
      <c r="BA316" s="2">
        <v>0.0</v>
      </c>
      <c r="BB316" s="2">
        <v>29.0</v>
      </c>
      <c r="BC316" s="2">
        <v>1.0</v>
      </c>
      <c r="BD316" s="2">
        <v>29.0</v>
      </c>
      <c r="BE316" s="2">
        <v>5.0</v>
      </c>
      <c r="BF316" s="2">
        <v>28.0</v>
      </c>
      <c r="BG316" s="2">
        <v>1.0</v>
      </c>
      <c r="BH316" s="2">
        <v>3.0</v>
      </c>
      <c r="BI316" s="2">
        <v>23.0</v>
      </c>
      <c r="BJ316" s="2">
        <v>6.0</v>
      </c>
      <c r="BK316" s="2">
        <v>0.0</v>
      </c>
      <c r="BL316" s="2">
        <v>0.0</v>
      </c>
      <c r="BM316" s="2">
        <v>5.0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1.0</v>
      </c>
      <c r="BU316" s="2">
        <v>0.0</v>
      </c>
      <c r="BV316" s="2">
        <v>0.0</v>
      </c>
      <c r="BW316" s="2">
        <v>5.0</v>
      </c>
      <c r="BX316" s="2">
        <v>53.0</v>
      </c>
      <c r="BY316" s="2">
        <v>4.0</v>
      </c>
      <c r="BZ316" s="2">
        <v>0.0</v>
      </c>
      <c r="CA316" s="2">
        <v>0.0</v>
      </c>
      <c r="CB316" s="2">
        <v>0.0</v>
      </c>
      <c r="CC316" s="2">
        <v>0.0</v>
      </c>
      <c r="CD316" s="2">
        <v>0.0</v>
      </c>
      <c r="CE316" s="2">
        <v>5.0</v>
      </c>
      <c r="CF316" s="2">
        <v>38.0</v>
      </c>
      <c r="CG316" s="2">
        <v>2.0</v>
      </c>
      <c r="CH316" s="2">
        <v>51.0</v>
      </c>
      <c r="CI316" s="2">
        <v>3.0</v>
      </c>
      <c r="CJ316" s="2">
        <v>3.0</v>
      </c>
      <c r="CK316" s="2">
        <v>0.0</v>
      </c>
      <c r="CL316" s="2">
        <v>0.0</v>
      </c>
      <c r="CM316" s="2">
        <v>43.0</v>
      </c>
      <c r="CN316" s="2">
        <v>1.0</v>
      </c>
      <c r="CO316" s="2">
        <v>0.0</v>
      </c>
      <c r="CP316" s="2">
        <v>0.0</v>
      </c>
      <c r="CQ316" s="2">
        <v>1.0</v>
      </c>
      <c r="CR316" s="2">
        <v>2.0</v>
      </c>
      <c r="CS316" s="2">
        <v>0.0</v>
      </c>
      <c r="CT316" s="2">
        <v>0.0</v>
      </c>
      <c r="CU316" s="2">
        <v>0.0</v>
      </c>
      <c r="CV316" s="2">
        <v>0.0</v>
      </c>
      <c r="CW316" s="2">
        <v>0.0</v>
      </c>
      <c r="CX316" s="2">
        <v>0.0</v>
      </c>
      <c r="CY316" s="2">
        <v>0.0</v>
      </c>
      <c r="CZ316" s="2">
        <v>0.0</v>
      </c>
      <c r="DA316" s="2" t="s">
        <v>2167</v>
      </c>
      <c r="DD316" s="2">
        <v>119.0</v>
      </c>
      <c r="DE316" s="2">
        <v>0.0</v>
      </c>
      <c r="DF316" s="2">
        <v>0.0</v>
      </c>
      <c r="DG316" s="2">
        <v>1.0</v>
      </c>
      <c r="DH316" s="2">
        <v>1.0</v>
      </c>
      <c r="DI316" s="2">
        <v>0.0</v>
      </c>
      <c r="DJ316" s="2">
        <v>0.0</v>
      </c>
      <c r="DK316" s="2">
        <v>1.0</v>
      </c>
      <c r="DL316" s="2">
        <v>1.0</v>
      </c>
      <c r="DM316" s="2">
        <v>1.0</v>
      </c>
      <c r="DN316" s="2">
        <v>0.0</v>
      </c>
      <c r="DO316" s="2">
        <v>0.0</v>
      </c>
      <c r="DP316" s="2">
        <v>35.0</v>
      </c>
      <c r="DQ316" s="2">
        <v>5.0</v>
      </c>
      <c r="DR316" s="2">
        <v>0.0</v>
      </c>
      <c r="DS316" s="2">
        <v>51.0</v>
      </c>
      <c r="DT316" s="2">
        <v>208.0</v>
      </c>
      <c r="DU316" s="2">
        <v>4.0</v>
      </c>
      <c r="DV316" s="2">
        <v>1.0</v>
      </c>
      <c r="DW316" s="2">
        <v>0.0</v>
      </c>
      <c r="DX316" s="2">
        <v>1.0</v>
      </c>
      <c r="DY316" s="2">
        <v>1.0</v>
      </c>
      <c r="DZ316" s="2">
        <v>2.0</v>
      </c>
      <c r="EA316" s="2">
        <v>1.0</v>
      </c>
      <c r="EB316" s="2">
        <v>0.0</v>
      </c>
      <c r="EC316" s="2">
        <v>187.0</v>
      </c>
      <c r="EE316" s="2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2">
        <v>2025.0</v>
      </c>
      <c r="B317" s="2">
        <v>11.0</v>
      </c>
      <c r="C317" s="2" t="s">
        <v>141</v>
      </c>
      <c r="D317" s="2" t="s">
        <v>390</v>
      </c>
      <c r="E317" s="2" t="s">
        <v>922</v>
      </c>
      <c r="F317" s="2" t="s">
        <v>220</v>
      </c>
      <c r="G317" s="2">
        <v>14.0</v>
      </c>
      <c r="H317" s="2">
        <v>22.0</v>
      </c>
      <c r="I317" s="2">
        <v>153.0</v>
      </c>
      <c r="J317" s="2">
        <v>1.0</v>
      </c>
      <c r="K317" s="2">
        <v>1.0</v>
      </c>
      <c r="L317" s="2">
        <v>0.0</v>
      </c>
      <c r="M317" s="2">
        <v>0.0</v>
      </c>
      <c r="N317" s="2">
        <v>0.0</v>
      </c>
      <c r="O317" s="2">
        <v>0.0</v>
      </c>
      <c r="P317" s="2">
        <v>194.0</v>
      </c>
      <c r="Q317" s="2">
        <v>45.0</v>
      </c>
      <c r="R317" s="2">
        <v>11.0</v>
      </c>
      <c r="S317" s="2">
        <v>2.38774899111013</v>
      </c>
      <c r="T317" s="2">
        <v>-1.56985453583977</v>
      </c>
      <c r="U317" s="2">
        <v>0.0</v>
      </c>
      <c r="V317" s="2">
        <v>8.0</v>
      </c>
      <c r="W317" s="2">
        <v>2.0</v>
      </c>
      <c r="X317" s="2">
        <v>1.0</v>
      </c>
      <c r="Y317" s="2">
        <v>0.0</v>
      </c>
      <c r="Z317" s="2">
        <v>47.0</v>
      </c>
      <c r="AA317" s="2">
        <v>192.0</v>
      </c>
      <c r="AB317" s="2">
        <v>4.0</v>
      </c>
      <c r="AC317" s="2">
        <v>0.0</v>
      </c>
      <c r="AD317" s="2">
        <v>0.0</v>
      </c>
      <c r="AE317" s="2">
        <v>16.0</v>
      </c>
      <c r="AF317" s="2">
        <v>3.10413770441664</v>
      </c>
      <c r="AG317" s="2">
        <v>0.0</v>
      </c>
      <c r="AH317" s="2">
        <v>5.0</v>
      </c>
      <c r="AI317" s="2">
        <v>4.0</v>
      </c>
      <c r="AJ317" s="2">
        <v>0.0</v>
      </c>
      <c r="AK317" s="2">
        <v>0.0</v>
      </c>
      <c r="AL317" s="2">
        <v>14.0</v>
      </c>
      <c r="AM317" s="2">
        <v>22.0</v>
      </c>
      <c r="AN317" s="2">
        <v>153.0</v>
      </c>
      <c r="AO317" s="2">
        <v>1.0</v>
      </c>
      <c r="AP317" s="2">
        <v>0.0</v>
      </c>
      <c r="AQ317" s="2">
        <v>0.0</v>
      </c>
      <c r="AR317" s="2">
        <v>194.0</v>
      </c>
      <c r="AS317" s="2">
        <v>45.0</v>
      </c>
      <c r="AT317" s="2">
        <v>11.0</v>
      </c>
      <c r="AU317" s="2">
        <v>2.38774899111013</v>
      </c>
      <c r="AV317" s="2">
        <v>0.0</v>
      </c>
      <c r="AW317" s="2">
        <v>8.0</v>
      </c>
      <c r="AX317" s="2">
        <v>2.0</v>
      </c>
      <c r="AY317" s="2">
        <v>1.0</v>
      </c>
      <c r="AZ317" s="2">
        <v>0.0</v>
      </c>
      <c r="BA317" s="2">
        <v>0.0</v>
      </c>
      <c r="BB317" s="2">
        <v>24.0</v>
      </c>
      <c r="BC317" s="2">
        <v>0.0</v>
      </c>
      <c r="BD317" s="2">
        <v>28.0</v>
      </c>
      <c r="BE317" s="2">
        <v>5.0</v>
      </c>
      <c r="BF317" s="2">
        <v>30.0</v>
      </c>
      <c r="BG317" s="2">
        <v>0.0</v>
      </c>
      <c r="BH317" s="2">
        <v>3.0</v>
      </c>
      <c r="BI317" s="2">
        <v>25.0</v>
      </c>
      <c r="BJ317" s="2">
        <v>6.0</v>
      </c>
      <c r="BK317" s="2">
        <v>1.0</v>
      </c>
      <c r="BL317" s="2">
        <v>44.0</v>
      </c>
      <c r="BM317" s="2">
        <v>7.0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0.0</v>
      </c>
      <c r="BU317" s="2">
        <v>0.0</v>
      </c>
      <c r="BV317" s="2">
        <v>0.0</v>
      </c>
      <c r="BW317" s="2">
        <v>1.0</v>
      </c>
      <c r="BX317" s="2">
        <v>5.0</v>
      </c>
      <c r="BY317" s="2">
        <v>2.0</v>
      </c>
      <c r="BZ317" s="2">
        <v>0.0</v>
      </c>
      <c r="CA317" s="2">
        <v>0.0</v>
      </c>
      <c r="CB317" s="2">
        <v>0.0</v>
      </c>
      <c r="CC317" s="2">
        <v>0.0</v>
      </c>
      <c r="CD317" s="2">
        <v>0.0</v>
      </c>
      <c r="CE317" s="2">
        <v>0.0</v>
      </c>
      <c r="CF317" s="2">
        <v>0.0</v>
      </c>
      <c r="CG317" s="2">
        <v>2.0</v>
      </c>
      <c r="CH317" s="2">
        <v>55.0</v>
      </c>
      <c r="CI317" s="2">
        <v>0.0</v>
      </c>
      <c r="CJ317" s="2">
        <v>0.0</v>
      </c>
      <c r="CK317" s="2">
        <v>0.0</v>
      </c>
      <c r="CL317" s="2">
        <v>0.0</v>
      </c>
      <c r="CO317" s="2">
        <v>0.0</v>
      </c>
      <c r="CP317" s="2">
        <v>0.0</v>
      </c>
      <c r="CQ317" s="2">
        <v>0.0</v>
      </c>
      <c r="CR317" s="2">
        <v>0.0</v>
      </c>
      <c r="CS317" s="2">
        <v>0.0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D317" s="2">
        <v>0.0</v>
      </c>
      <c r="DE317" s="2">
        <v>0.0</v>
      </c>
      <c r="DF317" s="2">
        <v>0.0</v>
      </c>
      <c r="DG317" s="2">
        <v>5.0</v>
      </c>
      <c r="DH317" s="2">
        <v>5.0</v>
      </c>
      <c r="DI317" s="2">
        <v>0.0</v>
      </c>
      <c r="DJ317" s="2">
        <v>0.0</v>
      </c>
      <c r="DK317" s="2">
        <v>1.0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0.0</v>
      </c>
      <c r="DR317" s="2">
        <v>0.0</v>
      </c>
      <c r="DT317" s="2">
        <v>0.0</v>
      </c>
      <c r="DU317" s="2">
        <v>0.0</v>
      </c>
      <c r="DV317" s="2">
        <v>0.0</v>
      </c>
      <c r="DW317" s="2">
        <v>0.0</v>
      </c>
      <c r="DX317" s="2">
        <v>0.0</v>
      </c>
      <c r="DY317" s="2">
        <v>0.0</v>
      </c>
      <c r="DZ317" s="2">
        <v>0.0</v>
      </c>
      <c r="EA317" s="2">
        <v>0.0</v>
      </c>
      <c r="EB317" s="2">
        <v>0.0</v>
      </c>
      <c r="EC317" s="2">
        <v>0.0</v>
      </c>
      <c r="EE317" s="2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2">
        <v>2025.0</v>
      </c>
      <c r="B318" s="2">
        <v>11.0</v>
      </c>
      <c r="C318" s="2" t="s">
        <v>143</v>
      </c>
      <c r="D318" s="2" t="s">
        <v>390</v>
      </c>
      <c r="E318" s="2" t="s">
        <v>940</v>
      </c>
      <c r="F318" s="2" t="s">
        <v>139</v>
      </c>
      <c r="G318" s="2">
        <v>29.0</v>
      </c>
      <c r="H318" s="2">
        <v>45.0</v>
      </c>
      <c r="I318" s="2">
        <v>276.0</v>
      </c>
      <c r="J318" s="2">
        <v>1.0</v>
      </c>
      <c r="K318" s="2">
        <v>1.0</v>
      </c>
      <c r="L318" s="2">
        <v>3.0</v>
      </c>
      <c r="M318" s="2">
        <v>-27.0</v>
      </c>
      <c r="N318" s="2">
        <v>0.0</v>
      </c>
      <c r="O318" s="2">
        <v>0.0</v>
      </c>
      <c r="P318" s="2">
        <v>324.0</v>
      </c>
      <c r="Q318" s="2">
        <v>181.0</v>
      </c>
      <c r="R318" s="2">
        <v>13.0</v>
      </c>
      <c r="S318" s="2">
        <v>1.15124186170467</v>
      </c>
      <c r="T318" s="2">
        <v>-2.78925777867783</v>
      </c>
      <c r="U318" s="2">
        <v>0.0</v>
      </c>
      <c r="V318" s="2">
        <v>12.0</v>
      </c>
      <c r="W318" s="2">
        <v>4.0</v>
      </c>
      <c r="X318" s="2">
        <v>2.0</v>
      </c>
      <c r="Y318" s="2">
        <v>1.0</v>
      </c>
      <c r="Z318" s="2">
        <v>14.0</v>
      </c>
      <c r="AA318" s="2">
        <v>62.0</v>
      </c>
      <c r="AB318" s="2">
        <v>1.0</v>
      </c>
      <c r="AC318" s="2">
        <v>0.0</v>
      </c>
      <c r="AD318" s="2">
        <v>0.0</v>
      </c>
      <c r="AE318" s="2">
        <v>3.0</v>
      </c>
      <c r="AF318" s="2">
        <v>1.66085623798426</v>
      </c>
      <c r="AG318" s="2">
        <v>0.0</v>
      </c>
      <c r="AH318" s="2">
        <v>1.0</v>
      </c>
      <c r="AI318" s="2">
        <v>0.0</v>
      </c>
      <c r="AJ318" s="2">
        <v>0.0</v>
      </c>
      <c r="AK318" s="2">
        <v>0.0</v>
      </c>
      <c r="AL318" s="2">
        <v>29.0</v>
      </c>
      <c r="AM318" s="2">
        <v>43.0</v>
      </c>
      <c r="AN318" s="2">
        <v>276.0</v>
      </c>
      <c r="AO318" s="2">
        <v>1.0</v>
      </c>
      <c r="AP318" s="2">
        <v>0.0</v>
      </c>
      <c r="AQ318" s="2">
        <v>0.0</v>
      </c>
      <c r="AR318" s="2">
        <v>324.0</v>
      </c>
      <c r="AS318" s="2">
        <v>181.0</v>
      </c>
      <c r="AT318" s="2">
        <v>13.0</v>
      </c>
      <c r="AU318" s="2">
        <v>6.1757802714883</v>
      </c>
      <c r="AV318" s="2">
        <v>0.0</v>
      </c>
      <c r="AW318" s="2">
        <v>12.0</v>
      </c>
      <c r="AX318" s="2">
        <v>4.0</v>
      </c>
      <c r="AY318" s="2">
        <v>2.0</v>
      </c>
      <c r="AZ318" s="2">
        <v>1.0</v>
      </c>
      <c r="BA318" s="2">
        <v>0.0</v>
      </c>
      <c r="BB318" s="2">
        <v>40.0</v>
      </c>
      <c r="BC318" s="2">
        <v>1.0</v>
      </c>
      <c r="BD318" s="2">
        <v>23.0</v>
      </c>
      <c r="BE318" s="2">
        <v>6.0</v>
      </c>
      <c r="BF318" s="2">
        <v>20.0</v>
      </c>
      <c r="BG318" s="2">
        <v>1.0</v>
      </c>
      <c r="BH318" s="2">
        <v>2.0</v>
      </c>
      <c r="BI318" s="2">
        <v>12.0</v>
      </c>
      <c r="BJ318" s="2">
        <v>5.0</v>
      </c>
      <c r="BK318" s="2">
        <v>0.0</v>
      </c>
      <c r="BL318" s="2">
        <v>0.0</v>
      </c>
      <c r="BM318" s="2">
        <v>3.0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0.0</v>
      </c>
      <c r="BW318" s="2">
        <v>10.0</v>
      </c>
      <c r="BX318" s="2">
        <v>69.0</v>
      </c>
      <c r="BY318" s="2">
        <v>6.0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</v>
      </c>
      <c r="CE318" s="2">
        <v>2.0</v>
      </c>
      <c r="CF318" s="2">
        <v>19.0</v>
      </c>
      <c r="CG318" s="2">
        <v>6.0</v>
      </c>
      <c r="CH318" s="2">
        <v>157.0</v>
      </c>
      <c r="CI318" s="2">
        <v>2.0</v>
      </c>
      <c r="CJ318" s="2">
        <v>2.0</v>
      </c>
      <c r="CK318" s="2">
        <v>0.0</v>
      </c>
      <c r="CL318" s="2">
        <v>0.0</v>
      </c>
      <c r="CM318" s="2">
        <v>31.0</v>
      </c>
      <c r="CN318" s="2">
        <v>1.0</v>
      </c>
      <c r="CO318" s="2">
        <v>0.0</v>
      </c>
      <c r="CP318" s="2">
        <v>0.0</v>
      </c>
      <c r="CQ318" s="2">
        <v>2.0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0.0</v>
      </c>
      <c r="CX318" s="2">
        <v>0.0</v>
      </c>
      <c r="CY318" s="2">
        <v>0.0</v>
      </c>
      <c r="CZ318" s="2">
        <v>0.0</v>
      </c>
      <c r="DA318" s="2" t="s">
        <v>2168</v>
      </c>
      <c r="DD318" s="2">
        <v>62.0</v>
      </c>
      <c r="DE318" s="2">
        <v>0.0</v>
      </c>
      <c r="DF318" s="2">
        <v>0.0</v>
      </c>
      <c r="DG318" s="2">
        <v>1.0</v>
      </c>
      <c r="DH318" s="2">
        <v>2.0</v>
      </c>
      <c r="DI318" s="2">
        <v>0.0</v>
      </c>
      <c r="DJ318" s="2">
        <v>1.0</v>
      </c>
      <c r="DK318" s="2">
        <v>0.5</v>
      </c>
      <c r="DL318" s="2">
        <v>0.0</v>
      </c>
      <c r="DM318" s="2">
        <v>0.0</v>
      </c>
      <c r="DN318" s="2">
        <v>0.0</v>
      </c>
      <c r="DO318" s="2">
        <v>0.0</v>
      </c>
      <c r="DP318" s="2">
        <v>0.0</v>
      </c>
      <c r="DQ318" s="2">
        <v>4.0</v>
      </c>
      <c r="DR318" s="2">
        <v>0.0</v>
      </c>
      <c r="DS318" s="2">
        <v>66.0</v>
      </c>
      <c r="DT318" s="2">
        <v>238.0</v>
      </c>
      <c r="DU318" s="2">
        <v>0.0</v>
      </c>
      <c r="DV318" s="2">
        <v>1.0</v>
      </c>
      <c r="DW318" s="2">
        <v>0.0</v>
      </c>
      <c r="DX318" s="2">
        <v>0.0</v>
      </c>
      <c r="DY318" s="2">
        <v>0.0</v>
      </c>
      <c r="DZ318" s="2">
        <v>3.0</v>
      </c>
      <c r="EA318" s="2">
        <v>101.0</v>
      </c>
      <c r="EB318" s="2">
        <v>0.0</v>
      </c>
      <c r="EC318" s="2">
        <v>137.0</v>
      </c>
      <c r="EE318" s="2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2">
        <v>2025.0</v>
      </c>
      <c r="B319" s="2">
        <v>11.0</v>
      </c>
      <c r="C319" s="2" t="s">
        <v>142</v>
      </c>
      <c r="D319" s="2" t="s">
        <v>390</v>
      </c>
      <c r="E319" s="2" t="s">
        <v>936</v>
      </c>
      <c r="F319" s="2" t="s">
        <v>149</v>
      </c>
      <c r="G319" s="2">
        <v>15.0</v>
      </c>
      <c r="H319" s="2">
        <v>28.0</v>
      </c>
      <c r="I319" s="2">
        <v>130.0</v>
      </c>
      <c r="J319" s="2">
        <v>2.0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146.0</v>
      </c>
      <c r="Q319" s="2">
        <v>74.0</v>
      </c>
      <c r="R319" s="2">
        <v>6.0</v>
      </c>
      <c r="S319" s="2">
        <v>-4.04992616100935</v>
      </c>
      <c r="T319" s="2">
        <v>-16.5694744498641</v>
      </c>
      <c r="U319" s="2">
        <v>0.0</v>
      </c>
      <c r="V319" s="2">
        <v>5.0</v>
      </c>
      <c r="W319" s="2">
        <v>2.0</v>
      </c>
      <c r="X319" s="2">
        <v>1.0</v>
      </c>
      <c r="Y319" s="2">
        <v>0.0</v>
      </c>
      <c r="Z319" s="2">
        <v>22.0</v>
      </c>
      <c r="AA319" s="2">
        <v>119.0</v>
      </c>
      <c r="AB319" s="2">
        <v>1.0</v>
      </c>
      <c r="AC319" s="2">
        <v>0.0</v>
      </c>
      <c r="AD319" s="2">
        <v>0.0</v>
      </c>
      <c r="AE319" s="2">
        <v>5.0</v>
      </c>
      <c r="AF319" s="2">
        <v>0.768060181522742</v>
      </c>
      <c r="AG319" s="2">
        <v>0.0</v>
      </c>
      <c r="AH319" s="2">
        <v>4.0</v>
      </c>
      <c r="AI319" s="2">
        <v>3.0</v>
      </c>
      <c r="AJ319" s="2">
        <v>2.0</v>
      </c>
      <c r="AK319" s="2">
        <v>0.0</v>
      </c>
      <c r="AL319" s="2">
        <v>15.0</v>
      </c>
      <c r="AM319" s="2">
        <v>27.0</v>
      </c>
      <c r="AN319" s="2">
        <v>130.0</v>
      </c>
      <c r="AO319" s="2">
        <v>2.0</v>
      </c>
      <c r="AP319" s="2">
        <v>1.0</v>
      </c>
      <c r="AQ319" s="2">
        <v>1.0</v>
      </c>
      <c r="AR319" s="2">
        <v>146.0</v>
      </c>
      <c r="AS319" s="2">
        <v>74.0</v>
      </c>
      <c r="AT319" s="2">
        <v>6.0</v>
      </c>
      <c r="AU319" s="2">
        <v>-8.94333387870574</v>
      </c>
      <c r="AV319" s="2">
        <v>0.0</v>
      </c>
      <c r="AW319" s="2">
        <v>5.0</v>
      </c>
      <c r="AX319" s="2">
        <v>2.0</v>
      </c>
      <c r="AY319" s="2">
        <v>1.0</v>
      </c>
      <c r="AZ319" s="2">
        <v>0.0</v>
      </c>
      <c r="BA319" s="2">
        <v>0.0</v>
      </c>
      <c r="BB319" s="2">
        <v>51.0</v>
      </c>
      <c r="BC319" s="2">
        <v>2.0</v>
      </c>
      <c r="BD319" s="2">
        <v>24.0</v>
      </c>
      <c r="BE319" s="2">
        <v>0.0</v>
      </c>
      <c r="BF319" s="2">
        <v>0.0</v>
      </c>
      <c r="BG319" s="2">
        <v>1.0</v>
      </c>
      <c r="BH319" s="2">
        <v>0.0</v>
      </c>
      <c r="BI319" s="2">
        <v>0.0</v>
      </c>
      <c r="BJ319" s="2">
        <v>3.0</v>
      </c>
      <c r="BK319" s="2">
        <v>4.0</v>
      </c>
      <c r="BL319" s="2">
        <v>81.0</v>
      </c>
      <c r="BM319" s="2">
        <v>8.0</v>
      </c>
      <c r="BN319" s="2">
        <v>0.0</v>
      </c>
      <c r="BO319" s="2">
        <v>0.0</v>
      </c>
      <c r="BP319" s="2">
        <v>0.0</v>
      </c>
      <c r="BQ319" s="2">
        <v>0.0</v>
      </c>
      <c r="BR319" s="2">
        <v>0.0</v>
      </c>
      <c r="BS319" s="2">
        <v>0.0</v>
      </c>
      <c r="BT319" s="2">
        <v>0.0</v>
      </c>
      <c r="BU319" s="2">
        <v>0.0</v>
      </c>
      <c r="BV319" s="2">
        <v>0.0</v>
      </c>
      <c r="BW319" s="2">
        <v>6.0</v>
      </c>
      <c r="BX319" s="2">
        <v>43.0</v>
      </c>
      <c r="BY319" s="2">
        <v>6.0</v>
      </c>
      <c r="BZ319" s="2">
        <v>1.0</v>
      </c>
      <c r="CA319" s="2">
        <v>0.0</v>
      </c>
      <c r="CB319" s="2">
        <v>0.0</v>
      </c>
      <c r="CC319" s="2">
        <v>1.0</v>
      </c>
      <c r="CD319" s="2">
        <v>1.0</v>
      </c>
      <c r="CE319" s="2">
        <v>0.0</v>
      </c>
      <c r="CF319" s="2">
        <v>0.0</v>
      </c>
      <c r="CG319" s="2">
        <v>4.0</v>
      </c>
      <c r="CH319" s="2">
        <v>91.0</v>
      </c>
      <c r="CI319" s="2">
        <v>0.0</v>
      </c>
      <c r="CJ319" s="2">
        <v>0.0</v>
      </c>
      <c r="CK319" s="2">
        <v>0.0</v>
      </c>
      <c r="CL319" s="2">
        <v>0.0</v>
      </c>
      <c r="CO319" s="2">
        <v>0.0</v>
      </c>
      <c r="CP319" s="2">
        <v>0.0</v>
      </c>
      <c r="CQ319" s="2">
        <v>0.0</v>
      </c>
      <c r="CR319" s="2">
        <v>0.0</v>
      </c>
      <c r="CS319" s="2">
        <v>0.0</v>
      </c>
      <c r="CT319" s="2">
        <v>0.0</v>
      </c>
      <c r="CU319" s="2">
        <v>0.0</v>
      </c>
      <c r="CV319" s="2">
        <v>0.0</v>
      </c>
      <c r="CW319" s="2">
        <v>0.0</v>
      </c>
      <c r="CX319" s="2">
        <v>0.0</v>
      </c>
      <c r="CY319" s="2">
        <v>0.0</v>
      </c>
      <c r="CZ319" s="2">
        <v>0.0</v>
      </c>
      <c r="DD319" s="2">
        <v>0.0</v>
      </c>
      <c r="DE319" s="2">
        <v>0.0</v>
      </c>
      <c r="DF319" s="2">
        <v>0.0</v>
      </c>
      <c r="DG319" s="2">
        <v>3.0</v>
      </c>
      <c r="DH319" s="2">
        <v>3.0</v>
      </c>
      <c r="DI319" s="2">
        <v>0.0</v>
      </c>
      <c r="DJ319" s="2">
        <v>0.0</v>
      </c>
      <c r="DK319" s="2">
        <v>1.0</v>
      </c>
      <c r="DL319" s="2">
        <v>0.0</v>
      </c>
      <c r="DM319" s="2">
        <v>0.0</v>
      </c>
      <c r="DN319" s="2">
        <v>0.0</v>
      </c>
      <c r="DO319" s="2">
        <v>0.0</v>
      </c>
      <c r="DP319" s="2">
        <v>0.0</v>
      </c>
      <c r="DQ319" s="2">
        <v>6.0</v>
      </c>
      <c r="DR319" s="2">
        <v>0.0</v>
      </c>
      <c r="DS319" s="2">
        <v>52.0</v>
      </c>
      <c r="DT319" s="2">
        <v>253.0</v>
      </c>
      <c r="DU319" s="2">
        <v>4.0</v>
      </c>
      <c r="DV319" s="2">
        <v>2.0</v>
      </c>
      <c r="DW319" s="2">
        <v>0.0</v>
      </c>
      <c r="DX319" s="2">
        <v>0.0</v>
      </c>
      <c r="DY319" s="2">
        <v>2.0</v>
      </c>
      <c r="DZ319" s="2">
        <v>2.0</v>
      </c>
      <c r="EA319" s="2">
        <v>20.0</v>
      </c>
      <c r="EB319" s="2">
        <v>0.0</v>
      </c>
      <c r="EC319" s="2">
        <v>233.0</v>
      </c>
      <c r="EE319" s="2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2">
        <v>2025.0</v>
      </c>
      <c r="B320" s="2">
        <v>11.0</v>
      </c>
      <c r="C320" s="2" t="s">
        <v>220</v>
      </c>
      <c r="D320" s="2" t="s">
        <v>390</v>
      </c>
      <c r="E320" s="2" t="s">
        <v>922</v>
      </c>
      <c r="F320" s="2" t="s">
        <v>141</v>
      </c>
      <c r="G320" s="2">
        <v>13.0</v>
      </c>
      <c r="H320" s="2">
        <v>26.0</v>
      </c>
      <c r="I320" s="2">
        <v>118.0</v>
      </c>
      <c r="J320" s="2">
        <v>0.0</v>
      </c>
      <c r="K320" s="2">
        <v>1.0</v>
      </c>
      <c r="L320" s="2">
        <v>3.0</v>
      </c>
      <c r="M320" s="2">
        <v>-25.0</v>
      </c>
      <c r="N320" s="2">
        <v>0.0</v>
      </c>
      <c r="O320" s="2">
        <v>0.0</v>
      </c>
      <c r="P320" s="2">
        <v>184.0</v>
      </c>
      <c r="Q320" s="2">
        <v>59.0</v>
      </c>
      <c r="R320" s="2">
        <v>4.0</v>
      </c>
      <c r="S320" s="2">
        <v>-21.6948827724137</v>
      </c>
      <c r="T320" s="2">
        <v>-12.2959583997726</v>
      </c>
      <c r="U320" s="2">
        <v>0.0</v>
      </c>
      <c r="V320" s="2">
        <v>4.0</v>
      </c>
      <c r="W320" s="2">
        <v>2.0</v>
      </c>
      <c r="X320" s="2">
        <v>2.0</v>
      </c>
      <c r="Y320" s="2">
        <v>0.0</v>
      </c>
      <c r="Z320" s="2">
        <v>16.0</v>
      </c>
      <c r="AA320" s="2">
        <v>42.0</v>
      </c>
      <c r="AB320" s="2">
        <v>0.0</v>
      </c>
      <c r="AC320" s="2">
        <v>0.0</v>
      </c>
      <c r="AD320" s="2">
        <v>0.0</v>
      </c>
      <c r="AE320" s="2">
        <v>3.0</v>
      </c>
      <c r="AF320" s="2">
        <v>-1.31575386330951</v>
      </c>
      <c r="AG320" s="2">
        <v>0.0</v>
      </c>
      <c r="AH320" s="2">
        <v>1.0</v>
      </c>
      <c r="AI320" s="2">
        <v>1.0</v>
      </c>
      <c r="AJ320" s="2">
        <v>0.0</v>
      </c>
      <c r="AK320" s="2">
        <v>0.0</v>
      </c>
      <c r="AL320" s="2">
        <v>13.0</v>
      </c>
      <c r="AM320" s="2">
        <v>24.0</v>
      </c>
      <c r="AN320" s="2">
        <v>118.0</v>
      </c>
      <c r="AO320" s="2">
        <v>0.0</v>
      </c>
      <c r="AP320" s="2">
        <v>0.0</v>
      </c>
      <c r="AQ320" s="2">
        <v>0.0</v>
      </c>
      <c r="AR320" s="2">
        <v>184.0</v>
      </c>
      <c r="AS320" s="2">
        <v>59.0</v>
      </c>
      <c r="AT320" s="2">
        <v>4.0</v>
      </c>
      <c r="AU320" s="2">
        <v>-13.2105033354728</v>
      </c>
      <c r="AV320" s="2">
        <v>0.0</v>
      </c>
      <c r="AW320" s="2">
        <v>4.0</v>
      </c>
      <c r="AX320" s="2">
        <v>2.0</v>
      </c>
      <c r="AY320" s="2">
        <v>2.0</v>
      </c>
      <c r="AZ320" s="2">
        <v>0.0</v>
      </c>
      <c r="BA320" s="2">
        <v>0.0</v>
      </c>
      <c r="BB320" s="2">
        <v>42.0</v>
      </c>
      <c r="BC320" s="2">
        <v>1.0</v>
      </c>
      <c r="BD320" s="2">
        <v>33.0</v>
      </c>
      <c r="BE320" s="2">
        <v>2.0</v>
      </c>
      <c r="BF320" s="2">
        <v>4.0</v>
      </c>
      <c r="BG320" s="2">
        <v>0.0</v>
      </c>
      <c r="BH320" s="2">
        <v>0.0</v>
      </c>
      <c r="BI320" s="2">
        <v>0.0</v>
      </c>
      <c r="BJ320" s="2">
        <v>2.0</v>
      </c>
      <c r="BK320" s="2">
        <v>1.0</v>
      </c>
      <c r="BL320" s="2">
        <v>0.0</v>
      </c>
      <c r="BM320" s="2">
        <v>3.0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5.0</v>
      </c>
      <c r="BX320" s="2">
        <v>71.0</v>
      </c>
      <c r="BY320" s="2">
        <v>3.0</v>
      </c>
      <c r="BZ320" s="2">
        <v>0.0</v>
      </c>
      <c r="CA320" s="2">
        <v>0.0</v>
      </c>
      <c r="CB320" s="2">
        <v>0.0</v>
      </c>
      <c r="CC320" s="2">
        <v>0.0</v>
      </c>
      <c r="CD320" s="2">
        <v>0.0</v>
      </c>
      <c r="CE320" s="2">
        <v>0.0</v>
      </c>
      <c r="CF320" s="2">
        <v>0.0</v>
      </c>
      <c r="CG320" s="2">
        <v>5.0</v>
      </c>
      <c r="CH320" s="2">
        <v>123.0</v>
      </c>
      <c r="CI320" s="2">
        <v>2.0</v>
      </c>
      <c r="CJ320" s="2">
        <v>2.0</v>
      </c>
      <c r="CK320" s="2">
        <v>0.0</v>
      </c>
      <c r="CL320" s="2">
        <v>0.0</v>
      </c>
      <c r="CM320" s="2">
        <v>46.0</v>
      </c>
      <c r="CN320" s="2">
        <v>1.0</v>
      </c>
      <c r="CO320" s="2">
        <v>0.0</v>
      </c>
      <c r="CP320" s="2">
        <v>0.0</v>
      </c>
      <c r="CQ320" s="2">
        <v>0.0</v>
      </c>
      <c r="CR320" s="2">
        <v>2.0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 t="s">
        <v>2169</v>
      </c>
      <c r="DD320" s="2">
        <v>87.0</v>
      </c>
      <c r="DE320" s="2">
        <v>0.0</v>
      </c>
      <c r="DF320" s="2">
        <v>0.0</v>
      </c>
      <c r="DG320" s="2">
        <v>0.0</v>
      </c>
      <c r="DH320" s="2">
        <v>0.0</v>
      </c>
      <c r="DI320" s="2">
        <v>0.0</v>
      </c>
      <c r="DJ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4.0</v>
      </c>
      <c r="DR320" s="2">
        <v>0.0</v>
      </c>
      <c r="DS320" s="2">
        <v>57.0</v>
      </c>
      <c r="DT320" s="2">
        <v>195.0</v>
      </c>
      <c r="DU320" s="2">
        <v>2.0</v>
      </c>
      <c r="DV320" s="2">
        <v>1.0</v>
      </c>
      <c r="DW320" s="2">
        <v>2.0</v>
      </c>
      <c r="DX320" s="2">
        <v>0.0</v>
      </c>
      <c r="DY320" s="2">
        <v>1.0</v>
      </c>
      <c r="DZ320" s="2">
        <v>0.0</v>
      </c>
      <c r="EA320" s="2">
        <v>0.0</v>
      </c>
      <c r="EB320" s="2">
        <v>0.0</v>
      </c>
      <c r="EC320" s="2">
        <v>195.0</v>
      </c>
      <c r="EE320" s="2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2">
        <v>2025.0</v>
      </c>
      <c r="B321" s="2">
        <v>11.0</v>
      </c>
      <c r="C321" s="2" t="s">
        <v>222</v>
      </c>
      <c r="D321" s="2" t="s">
        <v>390</v>
      </c>
      <c r="E321" s="2" t="s">
        <v>944</v>
      </c>
      <c r="F321" s="2" t="s">
        <v>146</v>
      </c>
      <c r="G321" s="2">
        <v>27.0</v>
      </c>
      <c r="H321" s="2">
        <v>42.0</v>
      </c>
      <c r="I321" s="2">
        <v>238.0</v>
      </c>
      <c r="J321" s="2">
        <v>1.0</v>
      </c>
      <c r="K321" s="2">
        <v>1.0</v>
      </c>
      <c r="L321" s="2">
        <v>4.0</v>
      </c>
      <c r="M321" s="2">
        <v>-29.0</v>
      </c>
      <c r="N321" s="2">
        <v>0.0</v>
      </c>
      <c r="O321" s="2">
        <v>0.0</v>
      </c>
      <c r="P321" s="2">
        <v>220.0</v>
      </c>
      <c r="Q321" s="2">
        <v>151.0</v>
      </c>
      <c r="R321" s="2">
        <v>12.0</v>
      </c>
      <c r="S321" s="2">
        <v>-14.2320125634343</v>
      </c>
      <c r="T321" s="2">
        <v>-3.22632415172381</v>
      </c>
      <c r="U321" s="2">
        <v>0.0</v>
      </c>
      <c r="V321" s="2">
        <v>9.0</v>
      </c>
      <c r="W321" s="2">
        <v>6.0</v>
      </c>
      <c r="X321" s="2">
        <v>2.0</v>
      </c>
      <c r="Y321" s="2">
        <v>0.0</v>
      </c>
      <c r="Z321" s="2">
        <v>12.0</v>
      </c>
      <c r="AA321" s="2">
        <v>27.0</v>
      </c>
      <c r="AB321" s="2">
        <v>0.0</v>
      </c>
      <c r="AC321" s="2">
        <v>0.0</v>
      </c>
      <c r="AD321" s="2">
        <v>0.0</v>
      </c>
      <c r="AE321" s="2">
        <v>4.0</v>
      </c>
      <c r="AF321" s="2">
        <v>1.83303213131148</v>
      </c>
      <c r="AG321" s="2">
        <v>0.0</v>
      </c>
      <c r="AH321" s="2">
        <v>1.0</v>
      </c>
      <c r="AI321" s="2">
        <v>0.0</v>
      </c>
      <c r="AJ321" s="2">
        <v>0.0</v>
      </c>
      <c r="AK321" s="2">
        <v>0.0</v>
      </c>
      <c r="AL321" s="2">
        <v>27.0</v>
      </c>
      <c r="AM321" s="2">
        <v>39.0</v>
      </c>
      <c r="AN321" s="2">
        <v>238.0</v>
      </c>
      <c r="AO321" s="2">
        <v>1.0</v>
      </c>
      <c r="AP321" s="2">
        <v>0.0</v>
      </c>
      <c r="AQ321" s="2">
        <v>0.0</v>
      </c>
      <c r="AR321" s="2">
        <v>220.0</v>
      </c>
      <c r="AS321" s="2">
        <v>151.0</v>
      </c>
      <c r="AT321" s="2">
        <v>12.0</v>
      </c>
      <c r="AU321" s="2">
        <v>-3.01171966401653</v>
      </c>
      <c r="AV321" s="2">
        <v>0.0</v>
      </c>
      <c r="AW321" s="2">
        <v>9.0</v>
      </c>
      <c r="AX321" s="2">
        <v>6.0</v>
      </c>
      <c r="AY321" s="2">
        <v>2.0</v>
      </c>
      <c r="AZ321" s="2">
        <v>0.0</v>
      </c>
      <c r="BA321" s="2">
        <v>0.0</v>
      </c>
      <c r="BB321" s="2">
        <v>32.0</v>
      </c>
      <c r="BC321" s="2">
        <v>0.0</v>
      </c>
      <c r="BD321" s="2">
        <v>46.0</v>
      </c>
      <c r="BE321" s="2">
        <v>2.0</v>
      </c>
      <c r="BF321" s="2">
        <v>2.0</v>
      </c>
      <c r="BG321" s="2">
        <v>1.0</v>
      </c>
      <c r="BH321" s="2">
        <v>1.0</v>
      </c>
      <c r="BI321" s="2">
        <v>1.0</v>
      </c>
      <c r="BJ321" s="2">
        <v>4.0</v>
      </c>
      <c r="BK321" s="2">
        <v>0.0</v>
      </c>
      <c r="BL321" s="2">
        <v>0.0</v>
      </c>
      <c r="BM321" s="2">
        <v>3.0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1.0</v>
      </c>
      <c r="BU321" s="2">
        <v>0.0</v>
      </c>
      <c r="BV321" s="2">
        <v>0.0</v>
      </c>
      <c r="BW321" s="2">
        <v>6.0</v>
      </c>
      <c r="BX321" s="2">
        <v>40.0</v>
      </c>
      <c r="BY321" s="2">
        <v>3.0</v>
      </c>
      <c r="BZ321" s="2">
        <v>0.0</v>
      </c>
      <c r="CA321" s="2">
        <v>0.0</v>
      </c>
      <c r="CB321" s="2">
        <v>0.0</v>
      </c>
      <c r="CC321" s="2">
        <v>0.0</v>
      </c>
      <c r="CD321" s="2">
        <v>0.0</v>
      </c>
      <c r="CE321" s="2">
        <v>2.0</v>
      </c>
      <c r="CF321" s="2">
        <v>4.0</v>
      </c>
      <c r="CG321" s="2">
        <v>6.0</v>
      </c>
      <c r="CH321" s="2">
        <v>136.0</v>
      </c>
      <c r="CI321" s="2">
        <v>3.0</v>
      </c>
      <c r="CJ321" s="2">
        <v>3.0</v>
      </c>
      <c r="CK321" s="2">
        <v>0.0</v>
      </c>
      <c r="CL321" s="2">
        <v>0.0</v>
      </c>
      <c r="CM321" s="2">
        <v>45.0</v>
      </c>
      <c r="CN321" s="2">
        <v>1.0</v>
      </c>
      <c r="CO321" s="2">
        <v>0.0</v>
      </c>
      <c r="CP321" s="2">
        <v>0.0</v>
      </c>
      <c r="CQ321" s="2">
        <v>2.0</v>
      </c>
      <c r="CR321" s="2">
        <v>1.0</v>
      </c>
      <c r="CS321" s="2">
        <v>0.0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 t="s">
        <v>2170</v>
      </c>
      <c r="DD321" s="2">
        <v>118.0</v>
      </c>
      <c r="DE321" s="2">
        <v>0.0</v>
      </c>
      <c r="DF321" s="2">
        <v>0.0</v>
      </c>
      <c r="DG321" s="2">
        <v>1.0</v>
      </c>
      <c r="DH321" s="2">
        <v>1.0</v>
      </c>
      <c r="DI321" s="2">
        <v>0.0</v>
      </c>
      <c r="DJ321" s="2">
        <v>0.0</v>
      </c>
      <c r="DK321" s="2">
        <v>1.0</v>
      </c>
      <c r="DL321" s="2">
        <v>0.0</v>
      </c>
      <c r="DM321" s="2">
        <v>0.0</v>
      </c>
      <c r="DN321" s="2">
        <v>0.0</v>
      </c>
      <c r="DO321" s="2">
        <v>0.0</v>
      </c>
      <c r="DP321" s="2">
        <v>0.0</v>
      </c>
      <c r="DQ321" s="2">
        <v>3.0</v>
      </c>
      <c r="DR321" s="2">
        <v>0.0</v>
      </c>
      <c r="DS321" s="2">
        <v>64.0</v>
      </c>
      <c r="DT321" s="2">
        <v>160.0</v>
      </c>
      <c r="DU321" s="2">
        <v>1.0</v>
      </c>
      <c r="DV321" s="2">
        <v>0.0</v>
      </c>
      <c r="DW321" s="2">
        <v>1.0</v>
      </c>
      <c r="DX321" s="2">
        <v>1.0</v>
      </c>
      <c r="DY321" s="2">
        <v>0.0</v>
      </c>
      <c r="DZ321" s="2">
        <v>1.0</v>
      </c>
      <c r="EA321" s="2">
        <v>14.0</v>
      </c>
      <c r="EB321" s="2">
        <v>0.0</v>
      </c>
      <c r="EC321" s="2">
        <v>126.0</v>
      </c>
      <c r="EE321" s="2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2">
        <v>2025.0</v>
      </c>
      <c r="B322" s="2">
        <v>11.0</v>
      </c>
      <c r="C322" s="2" t="s">
        <v>225</v>
      </c>
      <c r="D322" s="2" t="s">
        <v>390</v>
      </c>
      <c r="E322" s="2" t="s">
        <v>915</v>
      </c>
      <c r="F322" s="2" t="s">
        <v>253</v>
      </c>
      <c r="G322" s="2">
        <v>14.0</v>
      </c>
      <c r="H322" s="2">
        <v>20.0</v>
      </c>
      <c r="I322" s="2">
        <v>171.0</v>
      </c>
      <c r="J322" s="2">
        <v>0.0</v>
      </c>
      <c r="K322" s="2">
        <v>0.0</v>
      </c>
      <c r="L322" s="2">
        <v>3.0</v>
      </c>
      <c r="M322" s="2">
        <v>-29.0</v>
      </c>
      <c r="N322" s="2">
        <v>0.0</v>
      </c>
      <c r="O322" s="2">
        <v>0.0</v>
      </c>
      <c r="P322" s="2">
        <v>135.0</v>
      </c>
      <c r="Q322" s="2">
        <v>115.0</v>
      </c>
      <c r="R322" s="2">
        <v>8.0</v>
      </c>
      <c r="S322" s="2">
        <v>1.96146731389048</v>
      </c>
      <c r="T322" s="2">
        <v>2.0625826716423</v>
      </c>
      <c r="U322" s="2">
        <v>0.0</v>
      </c>
      <c r="V322" s="2">
        <v>8.0</v>
      </c>
      <c r="W322" s="2">
        <v>3.0</v>
      </c>
      <c r="X322" s="2">
        <v>2.0</v>
      </c>
      <c r="Y322" s="2">
        <v>0.0</v>
      </c>
      <c r="Z322" s="2">
        <v>31.0</v>
      </c>
      <c r="AA322" s="2">
        <v>169.0</v>
      </c>
      <c r="AB322" s="2">
        <v>1.0</v>
      </c>
      <c r="AC322" s="2">
        <v>0.0</v>
      </c>
      <c r="AD322" s="2">
        <v>0.0</v>
      </c>
      <c r="AE322" s="2">
        <v>11.0</v>
      </c>
      <c r="AF322" s="2">
        <v>-3.03336829602665</v>
      </c>
      <c r="AG322" s="2">
        <v>0.0</v>
      </c>
      <c r="AH322" s="2">
        <v>7.0</v>
      </c>
      <c r="AI322" s="2">
        <v>5.0</v>
      </c>
      <c r="AJ322" s="2">
        <v>2.0</v>
      </c>
      <c r="AK322" s="2">
        <v>0.0</v>
      </c>
      <c r="AL322" s="2">
        <v>14.0</v>
      </c>
      <c r="AM322" s="2">
        <v>20.0</v>
      </c>
      <c r="AN322" s="2">
        <v>171.0</v>
      </c>
      <c r="AO322" s="2">
        <v>0.0</v>
      </c>
      <c r="AP322" s="2">
        <v>0.0</v>
      </c>
      <c r="AQ322" s="2">
        <v>0.0</v>
      </c>
      <c r="AR322" s="2">
        <v>135.0</v>
      </c>
      <c r="AS322" s="2">
        <v>115.0</v>
      </c>
      <c r="AT322" s="2">
        <v>8.0</v>
      </c>
      <c r="AU322" s="2">
        <v>7.17022772581549</v>
      </c>
      <c r="AV322" s="2">
        <v>0.0</v>
      </c>
      <c r="AW322" s="2">
        <v>8.0</v>
      </c>
      <c r="AX322" s="2">
        <v>3.0</v>
      </c>
      <c r="AY322" s="2">
        <v>2.0</v>
      </c>
      <c r="AZ322" s="2">
        <v>0.0</v>
      </c>
      <c r="BA322" s="2">
        <v>0.0</v>
      </c>
      <c r="BB322" s="2">
        <v>35.0</v>
      </c>
      <c r="BC322" s="2">
        <v>3.0</v>
      </c>
      <c r="BD322" s="2">
        <v>43.0</v>
      </c>
      <c r="BE322" s="2">
        <v>5.0</v>
      </c>
      <c r="BF322" s="2">
        <v>12.0</v>
      </c>
      <c r="BG322" s="2">
        <v>0.0</v>
      </c>
      <c r="BH322" s="2">
        <v>1.0</v>
      </c>
      <c r="BI322" s="2">
        <v>6.0</v>
      </c>
      <c r="BJ322" s="2">
        <v>5.0</v>
      </c>
      <c r="BK322" s="2">
        <v>1.0</v>
      </c>
      <c r="BL322" s="2">
        <v>7.0</v>
      </c>
      <c r="BM322" s="2">
        <v>2.0</v>
      </c>
      <c r="BN322" s="2">
        <v>0.0</v>
      </c>
      <c r="BO322" s="2">
        <v>0.0</v>
      </c>
      <c r="BP322" s="2">
        <v>0.0</v>
      </c>
      <c r="BQ322" s="2">
        <v>0.0</v>
      </c>
      <c r="BR322" s="2">
        <v>0.0</v>
      </c>
      <c r="BS322" s="2">
        <v>0.0</v>
      </c>
      <c r="BT322" s="2">
        <v>1.0</v>
      </c>
      <c r="BU322" s="2">
        <v>0.0</v>
      </c>
      <c r="BV322" s="2">
        <v>0.0</v>
      </c>
      <c r="BW322" s="2">
        <v>4.0</v>
      </c>
      <c r="BX322" s="2">
        <v>39.0</v>
      </c>
      <c r="BY322" s="2">
        <v>6.0</v>
      </c>
      <c r="BZ322" s="2">
        <v>0.0</v>
      </c>
      <c r="CA322" s="2">
        <v>0.0</v>
      </c>
      <c r="CB322" s="2">
        <v>0.0</v>
      </c>
      <c r="CC322" s="2">
        <v>0.0</v>
      </c>
      <c r="CD322" s="2">
        <v>0.0</v>
      </c>
      <c r="CE322" s="2">
        <v>1.0</v>
      </c>
      <c r="CF322" s="2">
        <v>3.0</v>
      </c>
      <c r="CG322" s="2">
        <v>1.0</v>
      </c>
      <c r="CH322" s="2">
        <v>21.0</v>
      </c>
      <c r="CI322" s="2">
        <v>3.0</v>
      </c>
      <c r="CJ322" s="2">
        <v>3.0</v>
      </c>
      <c r="CK322" s="2">
        <v>0.0</v>
      </c>
      <c r="CL322" s="2">
        <v>0.0</v>
      </c>
      <c r="CM322" s="2">
        <v>46.0</v>
      </c>
      <c r="CN322" s="2">
        <v>1.0</v>
      </c>
      <c r="CO322" s="2">
        <v>0.0</v>
      </c>
      <c r="CP322" s="2">
        <v>1.0</v>
      </c>
      <c r="CQ322" s="2">
        <v>1.0</v>
      </c>
      <c r="CR322" s="2">
        <v>1.0</v>
      </c>
      <c r="CS322" s="2">
        <v>0.0</v>
      </c>
      <c r="CT322" s="2">
        <v>0.0</v>
      </c>
      <c r="CU322" s="2">
        <v>0.0</v>
      </c>
      <c r="CV322" s="2">
        <v>0.0</v>
      </c>
      <c r="CW322" s="2">
        <v>0.0</v>
      </c>
      <c r="CX322" s="2">
        <v>0.0</v>
      </c>
      <c r="CY322" s="2">
        <v>0.0</v>
      </c>
      <c r="CZ322" s="2">
        <v>0.0</v>
      </c>
      <c r="DA322" s="2" t="s">
        <v>2171</v>
      </c>
      <c r="DD322" s="2">
        <v>114.0</v>
      </c>
      <c r="DE322" s="2">
        <v>0.0</v>
      </c>
      <c r="DF322" s="2">
        <v>0.0</v>
      </c>
      <c r="DG322" s="2">
        <v>1.0</v>
      </c>
      <c r="DH322" s="2">
        <v>1.0</v>
      </c>
      <c r="DI322" s="2">
        <v>0.0</v>
      </c>
      <c r="DJ322" s="2">
        <v>0.0</v>
      </c>
      <c r="DK322" s="2">
        <v>1.0</v>
      </c>
      <c r="DL322" s="2">
        <v>1.0</v>
      </c>
      <c r="DM322" s="2">
        <v>1.0</v>
      </c>
      <c r="DN322" s="2">
        <v>0.0</v>
      </c>
      <c r="DO322" s="2">
        <v>0.0</v>
      </c>
      <c r="DP322" s="2">
        <v>29.0</v>
      </c>
      <c r="DQ322" s="2">
        <v>2.0</v>
      </c>
      <c r="DR322" s="2">
        <v>0.0</v>
      </c>
      <c r="DS322" s="2">
        <v>55.0</v>
      </c>
      <c r="DT322" s="2">
        <v>106.0</v>
      </c>
      <c r="DU322" s="2">
        <v>1.0</v>
      </c>
      <c r="DV322" s="2">
        <v>0.0</v>
      </c>
      <c r="DW322" s="2">
        <v>0.0</v>
      </c>
      <c r="DX322" s="2">
        <v>0.0</v>
      </c>
      <c r="DY322" s="2">
        <v>0.0</v>
      </c>
      <c r="DZ322" s="2">
        <v>2.0</v>
      </c>
      <c r="EA322" s="2">
        <v>0.0</v>
      </c>
      <c r="EB322" s="2">
        <v>0.0</v>
      </c>
      <c r="EC322" s="2">
        <v>106.0</v>
      </c>
      <c r="EE322" s="2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2">
        <v>2025.0</v>
      </c>
      <c r="B323" s="2">
        <v>11.0</v>
      </c>
      <c r="C323" s="2" t="s">
        <v>144</v>
      </c>
      <c r="D323" s="2" t="s">
        <v>390</v>
      </c>
      <c r="E323" s="2" t="s">
        <v>924</v>
      </c>
      <c r="F323" s="2" t="s">
        <v>137</v>
      </c>
      <c r="G323" s="2">
        <v>16.0</v>
      </c>
      <c r="H323" s="2">
        <v>32.0</v>
      </c>
      <c r="I323" s="2">
        <v>150.0</v>
      </c>
      <c r="J323" s="2">
        <v>1.0</v>
      </c>
      <c r="K323" s="2">
        <v>2.0</v>
      </c>
      <c r="L323" s="2">
        <v>0.0</v>
      </c>
      <c r="M323" s="2">
        <v>0.0</v>
      </c>
      <c r="N323" s="2">
        <v>0.0</v>
      </c>
      <c r="O323" s="2">
        <v>0.0</v>
      </c>
      <c r="P323" s="2">
        <v>309.0</v>
      </c>
      <c r="Q323" s="2">
        <v>72.0</v>
      </c>
      <c r="R323" s="2">
        <v>10.0</v>
      </c>
      <c r="S323" s="2">
        <v>-13.0619161026945</v>
      </c>
      <c r="T323" s="2">
        <v>-15.2442866005003</v>
      </c>
      <c r="U323" s="2">
        <v>0.0</v>
      </c>
      <c r="V323" s="2">
        <v>6.0</v>
      </c>
      <c r="W323" s="2">
        <v>4.0</v>
      </c>
      <c r="X323" s="2">
        <v>2.0</v>
      </c>
      <c r="Y323" s="2">
        <v>0.0</v>
      </c>
      <c r="Z323" s="2">
        <v>22.0</v>
      </c>
      <c r="AA323" s="2">
        <v>115.0</v>
      </c>
      <c r="AB323" s="2">
        <v>1.0</v>
      </c>
      <c r="AC323" s="2">
        <v>0.0</v>
      </c>
      <c r="AD323" s="2">
        <v>0.0</v>
      </c>
      <c r="AE323" s="2">
        <v>4.0</v>
      </c>
      <c r="AF323" s="2">
        <v>2.66526164615061</v>
      </c>
      <c r="AG323" s="2">
        <v>0.0</v>
      </c>
      <c r="AH323" s="2">
        <v>2.0</v>
      </c>
      <c r="AI323" s="2">
        <v>2.0</v>
      </c>
      <c r="AJ323" s="2">
        <v>0.0</v>
      </c>
      <c r="AK323" s="2">
        <v>0.0</v>
      </c>
      <c r="AL323" s="2">
        <v>16.0</v>
      </c>
      <c r="AM323" s="2">
        <v>32.0</v>
      </c>
      <c r="AN323" s="2">
        <v>150.0</v>
      </c>
      <c r="AO323" s="2">
        <v>1.0</v>
      </c>
      <c r="AP323" s="2">
        <v>0.0</v>
      </c>
      <c r="AQ323" s="2">
        <v>0.0</v>
      </c>
      <c r="AR323" s="2">
        <v>309.0</v>
      </c>
      <c r="AS323" s="2">
        <v>72.0</v>
      </c>
      <c r="AT323" s="2">
        <v>10.0</v>
      </c>
      <c r="AU323" s="2">
        <v>-13.0619161026945</v>
      </c>
      <c r="AV323" s="2">
        <v>0.0</v>
      </c>
      <c r="AW323" s="2">
        <v>6.0</v>
      </c>
      <c r="AX323" s="2">
        <v>4.0</v>
      </c>
      <c r="AY323" s="2">
        <v>2.0</v>
      </c>
      <c r="AZ323" s="2">
        <v>0.0</v>
      </c>
      <c r="BA323" s="2">
        <v>0.0</v>
      </c>
      <c r="BB323" s="2">
        <v>37.0</v>
      </c>
      <c r="BC323" s="2">
        <v>2.0</v>
      </c>
      <c r="BD323" s="2">
        <v>46.0</v>
      </c>
      <c r="BE323" s="2">
        <v>10.0</v>
      </c>
      <c r="BF323" s="2">
        <v>31.0</v>
      </c>
      <c r="BG323" s="2">
        <v>0.0</v>
      </c>
      <c r="BH323" s="2">
        <v>2.0</v>
      </c>
      <c r="BI323" s="2">
        <v>13.0</v>
      </c>
      <c r="BJ323" s="2">
        <v>5.0</v>
      </c>
      <c r="BK323" s="2">
        <v>0.0</v>
      </c>
      <c r="BL323" s="2">
        <v>0.0</v>
      </c>
      <c r="BM323" s="2">
        <v>3.0</v>
      </c>
      <c r="BN323" s="2">
        <v>0.0</v>
      </c>
      <c r="BO323" s="2">
        <v>0.0</v>
      </c>
      <c r="BP323" s="2">
        <v>0.0</v>
      </c>
      <c r="BQ323" s="2">
        <v>0.0</v>
      </c>
      <c r="BR323" s="2">
        <v>1.0</v>
      </c>
      <c r="BS323" s="2">
        <v>0.0</v>
      </c>
      <c r="BT323" s="2">
        <v>0.0</v>
      </c>
      <c r="BU323" s="2">
        <v>0.0</v>
      </c>
      <c r="BV323" s="2">
        <v>0.0</v>
      </c>
      <c r="BW323" s="2">
        <v>2.0</v>
      </c>
      <c r="BX323" s="2">
        <v>15.0</v>
      </c>
      <c r="BY323" s="2">
        <v>3.0</v>
      </c>
      <c r="BZ323" s="2">
        <v>1.0</v>
      </c>
      <c r="CA323" s="2">
        <v>0.0</v>
      </c>
      <c r="CB323" s="2">
        <v>0.0</v>
      </c>
      <c r="CC323" s="2">
        <v>1.0</v>
      </c>
      <c r="CD323" s="2">
        <v>0.0</v>
      </c>
      <c r="CE323" s="2">
        <v>3.0</v>
      </c>
      <c r="CF323" s="2">
        <v>79.0</v>
      </c>
      <c r="CG323" s="2">
        <v>4.0</v>
      </c>
      <c r="CH323" s="2">
        <v>93.0</v>
      </c>
      <c r="CI323" s="2">
        <v>1.0</v>
      </c>
      <c r="CJ323" s="2">
        <v>1.0</v>
      </c>
      <c r="CK323" s="2">
        <v>0.0</v>
      </c>
      <c r="CL323" s="2">
        <v>0.0</v>
      </c>
      <c r="CM323" s="2">
        <v>31.0</v>
      </c>
      <c r="CN323" s="2">
        <v>1.0</v>
      </c>
      <c r="CO323" s="2">
        <v>0.0</v>
      </c>
      <c r="CP323" s="2">
        <v>0.0</v>
      </c>
      <c r="CQ323" s="2">
        <v>1.0</v>
      </c>
      <c r="CR323" s="2">
        <v>0.0</v>
      </c>
      <c r="CS323" s="2">
        <v>0.0</v>
      </c>
      <c r="CT323" s="2">
        <v>0.0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 t="s">
        <v>1998</v>
      </c>
      <c r="DD323" s="2">
        <v>31.0</v>
      </c>
      <c r="DE323" s="2">
        <v>0.0</v>
      </c>
      <c r="DF323" s="2">
        <v>0.0</v>
      </c>
      <c r="DG323" s="2">
        <v>2.0</v>
      </c>
      <c r="DH323" s="2">
        <v>2.0</v>
      </c>
      <c r="DI323" s="2">
        <v>0.0</v>
      </c>
      <c r="DJ323" s="2">
        <v>0.0</v>
      </c>
      <c r="DK323" s="2">
        <v>1.0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6.0</v>
      </c>
      <c r="DR323" s="2">
        <v>0.0</v>
      </c>
      <c r="DS323" s="2">
        <v>61.0</v>
      </c>
      <c r="DT323" s="2">
        <v>297.0</v>
      </c>
      <c r="DU323" s="2">
        <v>2.0</v>
      </c>
      <c r="DV323" s="2">
        <v>0.0</v>
      </c>
      <c r="DW323" s="2">
        <v>0.0</v>
      </c>
      <c r="DX323" s="2">
        <v>1.0</v>
      </c>
      <c r="DY323" s="2">
        <v>3.0</v>
      </c>
      <c r="DZ323" s="2">
        <v>2.0</v>
      </c>
      <c r="EA323" s="2">
        <v>11.0</v>
      </c>
      <c r="EB323" s="2">
        <v>0.0</v>
      </c>
      <c r="EC323" s="2">
        <v>266.0</v>
      </c>
      <c r="EE323" s="2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2">
        <v>2025.0</v>
      </c>
      <c r="B324" s="2">
        <v>11.0</v>
      </c>
      <c r="C324" s="2" t="s">
        <v>145</v>
      </c>
      <c r="D324" s="2" t="s">
        <v>390</v>
      </c>
      <c r="E324" s="2" t="s">
        <v>912</v>
      </c>
      <c r="F324" s="2" t="s">
        <v>238</v>
      </c>
      <c r="G324" s="2">
        <v>25.0</v>
      </c>
      <c r="H324" s="2">
        <v>34.0</v>
      </c>
      <c r="I324" s="2">
        <v>281.0</v>
      </c>
      <c r="J324" s="2">
        <v>1.0</v>
      </c>
      <c r="K324" s="2">
        <v>0.0</v>
      </c>
      <c r="L324" s="2">
        <v>1.0</v>
      </c>
      <c r="M324" s="2">
        <v>-10.0</v>
      </c>
      <c r="N324" s="2">
        <v>0.0</v>
      </c>
      <c r="O324" s="2">
        <v>0.0</v>
      </c>
      <c r="P324" s="2">
        <v>399.0</v>
      </c>
      <c r="Q324" s="2">
        <v>94.0</v>
      </c>
      <c r="R324" s="2">
        <v>16.0</v>
      </c>
      <c r="S324" s="2">
        <v>12.2460381386528</v>
      </c>
      <c r="T324" s="2">
        <v>13.5397071188146</v>
      </c>
      <c r="U324" s="2">
        <v>0.0</v>
      </c>
      <c r="V324" s="2">
        <v>13.0</v>
      </c>
      <c r="W324" s="2">
        <v>8.0</v>
      </c>
      <c r="X324" s="2">
        <v>5.0</v>
      </c>
      <c r="Y324" s="2">
        <v>0.0</v>
      </c>
      <c r="Z324" s="2">
        <v>27.0</v>
      </c>
      <c r="AA324" s="2">
        <v>65.0</v>
      </c>
      <c r="AB324" s="2">
        <v>2.0</v>
      </c>
      <c r="AC324" s="2">
        <v>0.0</v>
      </c>
      <c r="AD324" s="2">
        <v>0.0</v>
      </c>
      <c r="AE324" s="2">
        <v>4.0</v>
      </c>
      <c r="AF324" s="2">
        <v>-2.23454003101717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25.0</v>
      </c>
      <c r="AM324" s="2">
        <v>33.0</v>
      </c>
      <c r="AN324" s="2">
        <v>281.0</v>
      </c>
      <c r="AO324" s="2">
        <v>1.0</v>
      </c>
      <c r="AP324" s="2">
        <v>0.0</v>
      </c>
      <c r="AQ324" s="2">
        <v>0.0</v>
      </c>
      <c r="AR324" s="2">
        <v>399.0</v>
      </c>
      <c r="AS324" s="2">
        <v>94.0</v>
      </c>
      <c r="AT324" s="2">
        <v>16.0</v>
      </c>
      <c r="AU324" s="2">
        <v>15.1443713807577</v>
      </c>
      <c r="AV324" s="2">
        <v>0.0</v>
      </c>
      <c r="AW324" s="2">
        <v>13.0</v>
      </c>
      <c r="AX324" s="2">
        <v>8.0</v>
      </c>
      <c r="AY324" s="2">
        <v>5.0</v>
      </c>
      <c r="AZ324" s="2">
        <v>0.0</v>
      </c>
      <c r="BA324" s="2">
        <v>0.0</v>
      </c>
      <c r="BB324" s="2">
        <v>40.0</v>
      </c>
      <c r="BC324" s="2">
        <v>0.0</v>
      </c>
      <c r="BD324" s="2">
        <v>18.0</v>
      </c>
      <c r="BE324" s="2">
        <v>3.0</v>
      </c>
      <c r="BF324" s="2">
        <v>13.0</v>
      </c>
      <c r="BG324" s="2">
        <v>0.0</v>
      </c>
      <c r="BH324" s="2">
        <v>2.0</v>
      </c>
      <c r="BI324" s="2">
        <v>11.0</v>
      </c>
      <c r="BJ324" s="2">
        <v>6.0</v>
      </c>
      <c r="BK324" s="2">
        <v>0.0</v>
      </c>
      <c r="BL324" s="2">
        <v>0.0</v>
      </c>
      <c r="BM324" s="2">
        <v>5.0</v>
      </c>
      <c r="BN324" s="2">
        <v>0.0</v>
      </c>
      <c r="BO324" s="2">
        <v>0.0</v>
      </c>
      <c r="BP324" s="2">
        <v>0.0</v>
      </c>
      <c r="BQ324" s="2">
        <v>0.0</v>
      </c>
      <c r="BR324" s="2">
        <v>0.0</v>
      </c>
      <c r="BS324" s="2">
        <v>0.0</v>
      </c>
      <c r="BT324" s="2">
        <v>1.0</v>
      </c>
      <c r="BU324" s="2">
        <v>0.0</v>
      </c>
      <c r="BV324" s="2">
        <v>0.0</v>
      </c>
      <c r="BW324" s="2">
        <v>2.0</v>
      </c>
      <c r="BX324" s="2">
        <v>20.0</v>
      </c>
      <c r="BY324" s="2">
        <v>3.0</v>
      </c>
      <c r="BZ324" s="2">
        <v>0.0</v>
      </c>
      <c r="CA324" s="2">
        <v>0.0</v>
      </c>
      <c r="CB324" s="2">
        <v>0.0</v>
      </c>
      <c r="CC324" s="2">
        <v>0.0</v>
      </c>
      <c r="CD324" s="2">
        <v>0.0</v>
      </c>
      <c r="CE324" s="2">
        <v>0.0</v>
      </c>
      <c r="CF324" s="2">
        <v>0.0</v>
      </c>
      <c r="CG324" s="2">
        <v>3.0</v>
      </c>
      <c r="CH324" s="2">
        <v>68.0</v>
      </c>
      <c r="CI324" s="2">
        <v>2.0</v>
      </c>
      <c r="CJ324" s="2">
        <v>3.0</v>
      </c>
      <c r="CK324" s="2">
        <v>1.0</v>
      </c>
      <c r="CL324" s="2">
        <v>0.0</v>
      </c>
      <c r="CM324" s="2">
        <v>44.0</v>
      </c>
      <c r="CN324" s="2">
        <v>0.666666666666667</v>
      </c>
      <c r="CO324" s="2">
        <v>0.0</v>
      </c>
      <c r="CP324" s="2">
        <v>1.0</v>
      </c>
      <c r="CQ324" s="2">
        <v>0.0</v>
      </c>
      <c r="CR324" s="2">
        <v>1.0</v>
      </c>
      <c r="CS324" s="2">
        <v>0.0</v>
      </c>
      <c r="CT324" s="2">
        <v>0.0</v>
      </c>
      <c r="CU324" s="2">
        <v>0.0</v>
      </c>
      <c r="CV324" s="2">
        <v>0.0</v>
      </c>
      <c r="CW324" s="2">
        <v>0.0</v>
      </c>
      <c r="CX324" s="2">
        <v>1.0</v>
      </c>
      <c r="CY324" s="2">
        <v>0.0</v>
      </c>
      <c r="CZ324" s="2">
        <v>0.0</v>
      </c>
      <c r="DA324" s="2" t="s">
        <v>2172</v>
      </c>
      <c r="DB324" s="2" t="s">
        <v>1969</v>
      </c>
      <c r="DD324" s="2">
        <v>70.0</v>
      </c>
      <c r="DE324" s="2">
        <v>45.0</v>
      </c>
      <c r="DF324" s="2">
        <v>0.0</v>
      </c>
      <c r="DG324" s="2">
        <v>3.0</v>
      </c>
      <c r="DH324" s="2">
        <v>3.0</v>
      </c>
      <c r="DI324" s="2">
        <v>0.0</v>
      </c>
      <c r="DJ324" s="2">
        <v>0.0</v>
      </c>
      <c r="DK324" s="2">
        <v>1.0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3.0</v>
      </c>
      <c r="DR324" s="2">
        <v>0.0</v>
      </c>
      <c r="DS324" s="2">
        <v>56.0</v>
      </c>
      <c r="DT324" s="2">
        <v>153.0</v>
      </c>
      <c r="DU324" s="2">
        <v>2.0</v>
      </c>
      <c r="DV324" s="2">
        <v>0.0</v>
      </c>
      <c r="DW324" s="2">
        <v>0.0</v>
      </c>
      <c r="DX324" s="2">
        <v>0.0</v>
      </c>
      <c r="DY324" s="2">
        <v>0.0</v>
      </c>
      <c r="DZ324" s="2">
        <v>3.0</v>
      </c>
      <c r="EA324" s="2">
        <v>18.0</v>
      </c>
      <c r="EB324" s="2">
        <v>0.0</v>
      </c>
      <c r="EC324" s="2">
        <v>135.0</v>
      </c>
      <c r="EE324" s="2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2">
        <v>2025.0</v>
      </c>
      <c r="B325" s="2">
        <v>11.0</v>
      </c>
      <c r="C325" s="2" t="s">
        <v>235</v>
      </c>
      <c r="D325" s="2" t="s">
        <v>390</v>
      </c>
      <c r="E325" s="2" t="s">
        <v>926</v>
      </c>
      <c r="F325" s="2" t="s">
        <v>205</v>
      </c>
      <c r="G325" s="2">
        <v>19.0</v>
      </c>
      <c r="H325" s="2">
        <v>29.0</v>
      </c>
      <c r="I325" s="2">
        <v>201.0</v>
      </c>
      <c r="J325" s="2">
        <v>0.0</v>
      </c>
      <c r="K325" s="2">
        <v>1.0</v>
      </c>
      <c r="L325" s="2">
        <v>2.0</v>
      </c>
      <c r="M325" s="2">
        <v>-7.0</v>
      </c>
      <c r="N325" s="2">
        <v>1.0</v>
      </c>
      <c r="O325" s="2">
        <v>1.0</v>
      </c>
      <c r="P325" s="2">
        <v>219.0</v>
      </c>
      <c r="Q325" s="2">
        <v>89.0</v>
      </c>
      <c r="R325" s="2">
        <v>10.0</v>
      </c>
      <c r="S325" s="2">
        <v>6.39980280754389</v>
      </c>
      <c r="T325" s="2">
        <v>0.500832960523408</v>
      </c>
      <c r="U325" s="2">
        <v>0.0</v>
      </c>
      <c r="V325" s="2">
        <v>10.0</v>
      </c>
      <c r="W325" s="2">
        <v>4.0</v>
      </c>
      <c r="X325" s="2">
        <v>4.0</v>
      </c>
      <c r="Y325" s="2">
        <v>0.0</v>
      </c>
      <c r="Z325" s="2">
        <v>38.0</v>
      </c>
      <c r="AA325" s="2">
        <v>142.0</v>
      </c>
      <c r="AB325" s="2">
        <v>3.0</v>
      </c>
      <c r="AC325" s="2">
        <v>0.0</v>
      </c>
      <c r="AD325" s="2">
        <v>0.0</v>
      </c>
      <c r="AE325" s="2">
        <v>10.0</v>
      </c>
      <c r="AF325" s="2">
        <v>3.92558665157412</v>
      </c>
      <c r="AG325" s="2">
        <v>0.0</v>
      </c>
      <c r="AH325" s="2">
        <v>2.0</v>
      </c>
      <c r="AI325" s="2">
        <v>1.0</v>
      </c>
      <c r="AJ325" s="2">
        <v>0.0</v>
      </c>
      <c r="AK325" s="2">
        <v>0.0</v>
      </c>
      <c r="AL325" s="2">
        <v>19.0</v>
      </c>
      <c r="AM325" s="2">
        <v>29.0</v>
      </c>
      <c r="AN325" s="2">
        <v>201.0</v>
      </c>
      <c r="AO325" s="2">
        <v>0.0</v>
      </c>
      <c r="AP325" s="2">
        <v>0.0</v>
      </c>
      <c r="AQ325" s="2">
        <v>0.0</v>
      </c>
      <c r="AR325" s="2">
        <v>219.0</v>
      </c>
      <c r="AS325" s="2">
        <v>89.0</v>
      </c>
      <c r="AT325" s="2">
        <v>10.0</v>
      </c>
      <c r="AU325" s="2">
        <v>9.81832261994714</v>
      </c>
      <c r="AV325" s="2">
        <v>0.0</v>
      </c>
      <c r="AW325" s="2">
        <v>10.0</v>
      </c>
      <c r="AX325" s="2">
        <v>4.0</v>
      </c>
      <c r="AY325" s="2">
        <v>4.0</v>
      </c>
      <c r="AZ325" s="2">
        <v>0.0</v>
      </c>
      <c r="BA325" s="2">
        <v>0.0</v>
      </c>
      <c r="BB325" s="2">
        <v>31.0</v>
      </c>
      <c r="BC325" s="2">
        <v>1.0</v>
      </c>
      <c r="BD325" s="2">
        <v>15.0</v>
      </c>
      <c r="BE325" s="2">
        <v>2.0</v>
      </c>
      <c r="BF325" s="2">
        <v>12.0</v>
      </c>
      <c r="BG325" s="2">
        <v>1.0</v>
      </c>
      <c r="BH325" s="2">
        <v>2.0</v>
      </c>
      <c r="BI325" s="2">
        <v>12.0</v>
      </c>
      <c r="BJ325" s="2">
        <v>8.0</v>
      </c>
      <c r="BK325" s="2">
        <v>0.0</v>
      </c>
      <c r="BL325" s="2">
        <v>0.0</v>
      </c>
      <c r="BM325" s="2">
        <v>5.0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6.0</v>
      </c>
      <c r="BX325" s="2">
        <v>77.0</v>
      </c>
      <c r="BY325" s="2">
        <v>5.0</v>
      </c>
      <c r="BZ325" s="2">
        <v>1.0</v>
      </c>
      <c r="CA325" s="2">
        <v>0.0</v>
      </c>
      <c r="CB325" s="2">
        <v>0.0</v>
      </c>
      <c r="CC325" s="2">
        <v>1.0</v>
      </c>
      <c r="CD325" s="2">
        <v>1.0</v>
      </c>
      <c r="CE325" s="2">
        <v>2.0</v>
      </c>
      <c r="CF325" s="2">
        <v>17.0</v>
      </c>
      <c r="CG325" s="2">
        <v>4.0</v>
      </c>
      <c r="CH325" s="2">
        <v>108.0</v>
      </c>
      <c r="CI325" s="2">
        <v>0.0</v>
      </c>
      <c r="CJ325" s="2">
        <v>0.0</v>
      </c>
      <c r="CK325" s="2">
        <v>0.0</v>
      </c>
      <c r="CL325" s="2">
        <v>0.0</v>
      </c>
      <c r="CO325" s="2">
        <v>0.0</v>
      </c>
      <c r="CP325" s="2">
        <v>0.0</v>
      </c>
      <c r="CQ325" s="2">
        <v>0.0</v>
      </c>
      <c r="CR325" s="2">
        <v>0.0</v>
      </c>
      <c r="CS325" s="2">
        <v>0.0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0.0</v>
      </c>
      <c r="DD325" s="2">
        <v>0.0</v>
      </c>
      <c r="DE325" s="2">
        <v>0.0</v>
      </c>
      <c r="DF325" s="2">
        <v>0.0</v>
      </c>
      <c r="DG325" s="2">
        <v>2.0</v>
      </c>
      <c r="DH325" s="2">
        <v>3.0</v>
      </c>
      <c r="DI325" s="2">
        <v>1.0</v>
      </c>
      <c r="DJ325" s="2">
        <v>0.0</v>
      </c>
      <c r="DK325" s="2">
        <v>0.666666666666667</v>
      </c>
      <c r="DL325" s="2">
        <v>0.0</v>
      </c>
      <c r="DM325" s="2">
        <v>0.0</v>
      </c>
      <c r="DN325" s="2">
        <v>0.0</v>
      </c>
      <c r="DO325" s="2">
        <v>0.0</v>
      </c>
      <c r="DP325" s="2">
        <v>0.0</v>
      </c>
      <c r="DQ325" s="2">
        <v>2.0</v>
      </c>
      <c r="DR325" s="2">
        <v>0.0</v>
      </c>
      <c r="DS325" s="2">
        <v>46.0</v>
      </c>
      <c r="DT325" s="2">
        <v>90.0</v>
      </c>
      <c r="DU325" s="2">
        <v>0.0</v>
      </c>
      <c r="DV325" s="2">
        <v>0.0</v>
      </c>
      <c r="DW325" s="2">
        <v>1.0</v>
      </c>
      <c r="DX325" s="2">
        <v>0.0</v>
      </c>
      <c r="DY325" s="2">
        <v>0.0</v>
      </c>
      <c r="DZ325" s="2">
        <v>1.0</v>
      </c>
      <c r="EA325" s="2">
        <v>0.0</v>
      </c>
      <c r="EB325" s="2">
        <v>0.0</v>
      </c>
      <c r="EC325" s="2">
        <v>90.0</v>
      </c>
      <c r="EE325" s="2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2">
        <v>2025.0</v>
      </c>
      <c r="B326" s="2">
        <v>11.0</v>
      </c>
      <c r="C326" s="2" t="s">
        <v>238</v>
      </c>
      <c r="D326" s="2" t="s">
        <v>390</v>
      </c>
      <c r="E326" s="2" t="s">
        <v>912</v>
      </c>
      <c r="F326" s="2" t="s">
        <v>145</v>
      </c>
      <c r="G326" s="2">
        <v>15.0</v>
      </c>
      <c r="H326" s="2">
        <v>27.0</v>
      </c>
      <c r="I326" s="2">
        <v>116.0</v>
      </c>
      <c r="J326" s="2">
        <v>1.0</v>
      </c>
      <c r="K326" s="2">
        <v>0.0</v>
      </c>
      <c r="L326" s="2">
        <v>2.0</v>
      </c>
      <c r="M326" s="2">
        <v>-11.0</v>
      </c>
      <c r="N326" s="2">
        <v>0.0</v>
      </c>
      <c r="O326" s="2">
        <v>0.0</v>
      </c>
      <c r="P326" s="2">
        <v>211.0</v>
      </c>
      <c r="Q326" s="2">
        <v>43.0</v>
      </c>
      <c r="R326" s="2">
        <v>5.0</v>
      </c>
      <c r="S326" s="2">
        <v>-8.23293130769162</v>
      </c>
      <c r="T326" s="2">
        <v>-7.06599583992591</v>
      </c>
      <c r="U326" s="2">
        <v>0.0</v>
      </c>
      <c r="V326" s="2">
        <v>5.0</v>
      </c>
      <c r="W326" s="2">
        <v>2.0</v>
      </c>
      <c r="X326" s="2">
        <v>1.0</v>
      </c>
      <c r="Y326" s="2">
        <v>0.0</v>
      </c>
      <c r="Z326" s="2">
        <v>28.0</v>
      </c>
      <c r="AA326" s="2">
        <v>140.0</v>
      </c>
      <c r="AB326" s="2">
        <v>1.0</v>
      </c>
      <c r="AC326" s="2">
        <v>1.0</v>
      </c>
      <c r="AD326" s="2">
        <v>1.0</v>
      </c>
      <c r="AE326" s="2">
        <v>10.0</v>
      </c>
      <c r="AF326" s="2">
        <v>3.38238024996826</v>
      </c>
      <c r="AG326" s="2">
        <v>0.0</v>
      </c>
      <c r="AH326" s="2">
        <v>4.0</v>
      </c>
      <c r="AI326" s="2">
        <v>2.0</v>
      </c>
      <c r="AJ326" s="2">
        <v>0.0</v>
      </c>
      <c r="AK326" s="2">
        <v>0.0</v>
      </c>
      <c r="AL326" s="2">
        <v>15.0</v>
      </c>
      <c r="AM326" s="2">
        <v>26.0</v>
      </c>
      <c r="AN326" s="2">
        <v>116.0</v>
      </c>
      <c r="AO326" s="2">
        <v>1.0</v>
      </c>
      <c r="AP326" s="2">
        <v>0.0</v>
      </c>
      <c r="AQ326" s="2">
        <v>0.0</v>
      </c>
      <c r="AR326" s="2">
        <v>211.0</v>
      </c>
      <c r="AS326" s="2">
        <v>43.0</v>
      </c>
      <c r="AT326" s="2">
        <v>5.0</v>
      </c>
      <c r="AU326" s="2">
        <v>-3.57567153847776</v>
      </c>
      <c r="AV326" s="2">
        <v>0.0</v>
      </c>
      <c r="AW326" s="2">
        <v>5.0</v>
      </c>
      <c r="AX326" s="2">
        <v>2.0</v>
      </c>
      <c r="AY326" s="2">
        <v>1.0</v>
      </c>
      <c r="AZ326" s="2">
        <v>0.0</v>
      </c>
      <c r="BA326" s="2">
        <v>0.0</v>
      </c>
      <c r="BB326" s="2">
        <v>36.0</v>
      </c>
      <c r="BC326" s="2">
        <v>1.0</v>
      </c>
      <c r="BD326" s="2">
        <v>29.0</v>
      </c>
      <c r="BE326" s="2">
        <v>4.0</v>
      </c>
      <c r="BF326" s="2">
        <v>18.0</v>
      </c>
      <c r="BG326" s="2">
        <v>0.0</v>
      </c>
      <c r="BH326" s="2">
        <v>1.0</v>
      </c>
      <c r="BI326" s="2">
        <v>10.0</v>
      </c>
      <c r="BJ326" s="2">
        <v>4.0</v>
      </c>
      <c r="BK326" s="2">
        <v>0.0</v>
      </c>
      <c r="BL326" s="2">
        <v>0.0</v>
      </c>
      <c r="BM326" s="2">
        <v>3.0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-4.0</v>
      </c>
      <c r="BT326" s="2">
        <v>0.0</v>
      </c>
      <c r="BU326" s="2">
        <v>0.0</v>
      </c>
      <c r="BV326" s="2">
        <v>0.0</v>
      </c>
      <c r="BW326" s="2">
        <v>7.0</v>
      </c>
      <c r="BX326" s="2">
        <v>62.0</v>
      </c>
      <c r="BY326" s="2">
        <v>5.0</v>
      </c>
      <c r="BZ326" s="2">
        <v>0.0</v>
      </c>
      <c r="CA326" s="2">
        <v>1.0</v>
      </c>
      <c r="CB326" s="2">
        <v>0.0</v>
      </c>
      <c r="CC326" s="2">
        <v>1.0</v>
      </c>
      <c r="CD326" s="2">
        <v>1.0</v>
      </c>
      <c r="CE326" s="2">
        <v>3.0</v>
      </c>
      <c r="CF326" s="2">
        <v>18.0</v>
      </c>
      <c r="CG326" s="2">
        <v>4.0</v>
      </c>
      <c r="CH326" s="2">
        <v>95.0</v>
      </c>
      <c r="CI326" s="2">
        <v>0.0</v>
      </c>
      <c r="CJ326" s="2">
        <v>0.0</v>
      </c>
      <c r="CK326" s="2">
        <v>0.0</v>
      </c>
      <c r="CL326" s="2">
        <v>0.0</v>
      </c>
      <c r="CO326" s="2">
        <v>0.0</v>
      </c>
      <c r="CP326" s="2">
        <v>0.0</v>
      </c>
      <c r="CQ326" s="2">
        <v>0.0</v>
      </c>
      <c r="CR326" s="2">
        <v>0.0</v>
      </c>
      <c r="CS326" s="2">
        <v>0.0</v>
      </c>
      <c r="CT326" s="2">
        <v>0.0</v>
      </c>
      <c r="CU326" s="2">
        <v>0.0</v>
      </c>
      <c r="CV326" s="2">
        <v>0.0</v>
      </c>
      <c r="CW326" s="2">
        <v>0.0</v>
      </c>
      <c r="CX326" s="2">
        <v>0.0</v>
      </c>
      <c r="CY326" s="2">
        <v>0.0</v>
      </c>
      <c r="CZ326" s="2">
        <v>0.0</v>
      </c>
      <c r="DD326" s="2">
        <v>0.0</v>
      </c>
      <c r="DE326" s="2">
        <v>0.0</v>
      </c>
      <c r="DF326" s="2">
        <v>0.0</v>
      </c>
      <c r="DG326" s="2">
        <v>2.0</v>
      </c>
      <c r="DH326" s="2">
        <v>2.0</v>
      </c>
      <c r="DI326" s="2">
        <v>0.0</v>
      </c>
      <c r="DJ326" s="2">
        <v>0.0</v>
      </c>
      <c r="DK326" s="2">
        <v>1.0</v>
      </c>
      <c r="DL326" s="2">
        <v>0.0</v>
      </c>
      <c r="DM326" s="2">
        <v>0.0</v>
      </c>
      <c r="DN326" s="2">
        <v>0.0</v>
      </c>
      <c r="DO326" s="2">
        <v>0.0</v>
      </c>
      <c r="DP326" s="2">
        <v>0.0</v>
      </c>
      <c r="DQ326" s="2">
        <v>5.0</v>
      </c>
      <c r="DR326" s="2">
        <v>0.0</v>
      </c>
      <c r="DS326" s="2">
        <v>64.0</v>
      </c>
      <c r="DT326" s="2">
        <v>227.0</v>
      </c>
      <c r="DU326" s="2">
        <v>2.0</v>
      </c>
      <c r="DV326" s="2">
        <v>0.0</v>
      </c>
      <c r="DW326" s="2">
        <v>0.0</v>
      </c>
      <c r="DX326" s="2">
        <v>1.0</v>
      </c>
      <c r="DY326" s="2">
        <v>4.0</v>
      </c>
      <c r="DZ326" s="2">
        <v>0.0</v>
      </c>
      <c r="EA326" s="2">
        <v>0.0</v>
      </c>
      <c r="EB326" s="2">
        <v>0.0</v>
      </c>
      <c r="EC326" s="2">
        <v>207.0</v>
      </c>
      <c r="EE326" s="2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2">
        <v>2025.0</v>
      </c>
      <c r="B327" s="2">
        <v>11.0</v>
      </c>
      <c r="C327" s="2" t="s">
        <v>147</v>
      </c>
      <c r="D327" s="2" t="s">
        <v>390</v>
      </c>
      <c r="E327" s="2" t="s">
        <v>942</v>
      </c>
      <c r="F327" s="2" t="s">
        <v>202</v>
      </c>
      <c r="G327" s="2">
        <v>14.0</v>
      </c>
      <c r="H327" s="2">
        <v>28.0</v>
      </c>
      <c r="I327" s="2">
        <v>135.0</v>
      </c>
      <c r="J327" s="2">
        <v>0.0</v>
      </c>
      <c r="K327" s="2">
        <v>0.0</v>
      </c>
      <c r="L327" s="2">
        <v>1.0</v>
      </c>
      <c r="M327" s="2">
        <v>-11.0</v>
      </c>
      <c r="N327" s="2">
        <v>0.0</v>
      </c>
      <c r="O327" s="2">
        <v>0.0</v>
      </c>
      <c r="P327" s="2">
        <v>362.0</v>
      </c>
      <c r="Q327" s="2">
        <v>40.0</v>
      </c>
      <c r="R327" s="2">
        <v>6.0</v>
      </c>
      <c r="S327" s="2">
        <v>-8.38929800431808</v>
      </c>
      <c r="T327" s="2">
        <v>-9.79918473296695</v>
      </c>
      <c r="U327" s="2">
        <v>0.0</v>
      </c>
      <c r="V327" s="2">
        <v>5.0</v>
      </c>
      <c r="W327" s="2">
        <v>2.0</v>
      </c>
      <c r="X327" s="2">
        <v>1.0</v>
      </c>
      <c r="Y327" s="2">
        <v>0.0</v>
      </c>
      <c r="Z327" s="2">
        <v>40.0</v>
      </c>
      <c r="AA327" s="2">
        <v>148.0</v>
      </c>
      <c r="AB327" s="2">
        <v>1.0</v>
      </c>
      <c r="AC327" s="2">
        <v>1.0</v>
      </c>
      <c r="AD327" s="2">
        <v>0.0</v>
      </c>
      <c r="AE327" s="2">
        <v>7.0</v>
      </c>
      <c r="AF327" s="2">
        <v>-8.12924809739343</v>
      </c>
      <c r="AG327" s="2">
        <v>0.0</v>
      </c>
      <c r="AH327" s="2">
        <v>4.0</v>
      </c>
      <c r="AI327" s="2">
        <v>3.0</v>
      </c>
      <c r="AJ327" s="2">
        <v>0.0</v>
      </c>
      <c r="AK327" s="2">
        <v>0.0</v>
      </c>
      <c r="AL327" s="2">
        <v>14.0</v>
      </c>
      <c r="AM327" s="2">
        <v>27.0</v>
      </c>
      <c r="AN327" s="2">
        <v>135.0</v>
      </c>
      <c r="AO327" s="2">
        <v>0.0</v>
      </c>
      <c r="AP327" s="2">
        <v>0.0</v>
      </c>
      <c r="AQ327" s="2">
        <v>0.0</v>
      </c>
      <c r="AR327" s="2">
        <v>362.0</v>
      </c>
      <c r="AS327" s="2">
        <v>40.0</v>
      </c>
      <c r="AT327" s="2">
        <v>6.0</v>
      </c>
      <c r="AU327" s="2">
        <v>-5.24158388060616</v>
      </c>
      <c r="AV327" s="2">
        <v>0.0</v>
      </c>
      <c r="AW327" s="2">
        <v>5.0</v>
      </c>
      <c r="AX327" s="2">
        <v>2.0</v>
      </c>
      <c r="AY327" s="2">
        <v>1.0</v>
      </c>
      <c r="AZ327" s="2">
        <v>0.0</v>
      </c>
      <c r="BA327" s="2">
        <v>0.0</v>
      </c>
      <c r="BB327" s="2">
        <v>30.0</v>
      </c>
      <c r="BC327" s="2">
        <v>0.0</v>
      </c>
      <c r="BD327" s="2">
        <v>22.0</v>
      </c>
      <c r="BE327" s="2">
        <v>3.0</v>
      </c>
      <c r="BF327" s="2">
        <v>13.0</v>
      </c>
      <c r="BG327" s="2">
        <v>0.0</v>
      </c>
      <c r="BH327" s="2">
        <v>2.0</v>
      </c>
      <c r="BI327" s="2">
        <v>12.0</v>
      </c>
      <c r="BJ327" s="2">
        <v>7.0</v>
      </c>
      <c r="BK327" s="2">
        <v>1.0</v>
      </c>
      <c r="BL327" s="2">
        <v>21.0</v>
      </c>
      <c r="BM327" s="2">
        <v>10.0</v>
      </c>
      <c r="BN327" s="2">
        <v>0.0</v>
      </c>
      <c r="BO327" s="2">
        <v>1.0</v>
      </c>
      <c r="BP327" s="2">
        <v>0.0</v>
      </c>
      <c r="BQ327" s="2">
        <v>0.0</v>
      </c>
      <c r="BR327" s="2">
        <v>1.0</v>
      </c>
      <c r="BS327" s="2">
        <v>-3.0</v>
      </c>
      <c r="BT327" s="2">
        <v>0.0</v>
      </c>
      <c r="BU327" s="2">
        <v>0.0</v>
      </c>
      <c r="BV327" s="2">
        <v>0.0</v>
      </c>
      <c r="BW327" s="2">
        <v>9.0</v>
      </c>
      <c r="BX327" s="2">
        <v>78.0</v>
      </c>
      <c r="BY327" s="2">
        <v>4.0</v>
      </c>
      <c r="BZ327" s="2">
        <v>0.0</v>
      </c>
      <c r="CA327" s="2">
        <v>2.0</v>
      </c>
      <c r="CB327" s="2">
        <v>1.0</v>
      </c>
      <c r="CC327" s="2">
        <v>2.0</v>
      </c>
      <c r="CD327" s="2">
        <v>0.0</v>
      </c>
      <c r="CE327" s="2">
        <v>1.0</v>
      </c>
      <c r="CF327" s="2">
        <v>0.0</v>
      </c>
      <c r="CG327" s="2">
        <v>1.0</v>
      </c>
      <c r="CH327" s="2">
        <v>22.0</v>
      </c>
      <c r="CI327" s="2">
        <v>3.0</v>
      </c>
      <c r="CJ327" s="2">
        <v>3.0</v>
      </c>
      <c r="CK327" s="2">
        <v>0.0</v>
      </c>
      <c r="CL327" s="2">
        <v>0.0</v>
      </c>
      <c r="CM327" s="2">
        <v>49.0</v>
      </c>
      <c r="CN327" s="2">
        <v>1.0</v>
      </c>
      <c r="CO327" s="2">
        <v>0.0</v>
      </c>
      <c r="CP327" s="2">
        <v>1.0</v>
      </c>
      <c r="CQ327" s="2">
        <v>1.0</v>
      </c>
      <c r="CR327" s="2">
        <v>1.0</v>
      </c>
      <c r="CS327" s="2">
        <v>0.0</v>
      </c>
      <c r="CT327" s="2">
        <v>0.0</v>
      </c>
      <c r="CU327" s="2">
        <v>0.0</v>
      </c>
      <c r="CV327" s="2">
        <v>0.0</v>
      </c>
      <c r="CW327" s="2">
        <v>0.0</v>
      </c>
      <c r="CX327" s="2">
        <v>0.0</v>
      </c>
      <c r="CY327" s="2">
        <v>0.0</v>
      </c>
      <c r="CZ327" s="2">
        <v>0.0</v>
      </c>
      <c r="DA327" s="2" t="s">
        <v>2173</v>
      </c>
      <c r="DD327" s="2">
        <v>110.0</v>
      </c>
      <c r="DE327" s="2">
        <v>0.0</v>
      </c>
      <c r="DF327" s="2">
        <v>0.0</v>
      </c>
      <c r="DG327" s="2">
        <v>1.0</v>
      </c>
      <c r="DH327" s="2">
        <v>1.0</v>
      </c>
      <c r="DI327" s="2">
        <v>0.0</v>
      </c>
      <c r="DJ327" s="2">
        <v>0.0</v>
      </c>
      <c r="DK327" s="2">
        <v>1.0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7.0</v>
      </c>
      <c r="DR327" s="2">
        <v>0.0</v>
      </c>
      <c r="DS327" s="2">
        <v>48.0</v>
      </c>
      <c r="DT327" s="2">
        <v>289.0</v>
      </c>
      <c r="DU327" s="2">
        <v>4.0</v>
      </c>
      <c r="DV327" s="2">
        <v>1.0</v>
      </c>
      <c r="DW327" s="2">
        <v>1.0</v>
      </c>
      <c r="DX327" s="2">
        <v>0.0</v>
      </c>
      <c r="DY327" s="2">
        <v>2.0</v>
      </c>
      <c r="DZ327" s="2">
        <v>3.0</v>
      </c>
      <c r="EA327" s="2">
        <v>3.0</v>
      </c>
      <c r="EB327" s="2">
        <v>0.0</v>
      </c>
      <c r="EC327" s="2">
        <v>286.0</v>
      </c>
      <c r="EE327" s="2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2">
        <v>2025.0</v>
      </c>
      <c r="B328" s="2">
        <v>11.0</v>
      </c>
      <c r="C328" s="2" t="s">
        <v>242</v>
      </c>
      <c r="D328" s="2" t="s">
        <v>390</v>
      </c>
      <c r="E328" s="2" t="s">
        <v>930</v>
      </c>
      <c r="F328" s="2" t="s">
        <v>138</v>
      </c>
      <c r="G328" s="2">
        <v>21.0</v>
      </c>
      <c r="H328" s="2">
        <v>31.0</v>
      </c>
      <c r="I328" s="2">
        <v>243.0</v>
      </c>
      <c r="J328" s="2">
        <v>2.0</v>
      </c>
      <c r="K328" s="2">
        <v>0.0</v>
      </c>
      <c r="L328" s="2">
        <v>1.0</v>
      </c>
      <c r="M328" s="2">
        <v>-11.0</v>
      </c>
      <c r="N328" s="2">
        <v>0.0</v>
      </c>
      <c r="O328" s="2">
        <v>0.0</v>
      </c>
      <c r="P328" s="2">
        <v>133.0</v>
      </c>
      <c r="Q328" s="2">
        <v>225.0</v>
      </c>
      <c r="R328" s="2">
        <v>13.0</v>
      </c>
      <c r="S328" s="2">
        <v>11.9603780056723</v>
      </c>
      <c r="T328" s="2">
        <v>0.532048324058796</v>
      </c>
      <c r="U328" s="2">
        <v>0.0</v>
      </c>
      <c r="V328" s="2">
        <v>10.0</v>
      </c>
      <c r="W328" s="2">
        <v>7.0</v>
      </c>
      <c r="X328" s="2">
        <v>3.0</v>
      </c>
      <c r="Y328" s="2">
        <v>0.0</v>
      </c>
      <c r="Z328" s="2">
        <v>28.0</v>
      </c>
      <c r="AA328" s="2">
        <v>111.0</v>
      </c>
      <c r="AB328" s="2">
        <v>0.0</v>
      </c>
      <c r="AC328" s="2">
        <v>0.0</v>
      </c>
      <c r="AD328" s="2">
        <v>0.0</v>
      </c>
      <c r="AE328" s="2">
        <v>6.0</v>
      </c>
      <c r="AF328" s="2">
        <v>-0.203171817411203</v>
      </c>
      <c r="AG328" s="2">
        <v>0.0</v>
      </c>
      <c r="AH328" s="2">
        <v>2.0</v>
      </c>
      <c r="AI328" s="2">
        <v>2.0</v>
      </c>
      <c r="AJ328" s="2">
        <v>1.0</v>
      </c>
      <c r="AK328" s="2">
        <v>0.0</v>
      </c>
      <c r="AL328" s="2">
        <v>21.0</v>
      </c>
      <c r="AM328" s="2">
        <v>29.0</v>
      </c>
      <c r="AN328" s="2">
        <v>243.0</v>
      </c>
      <c r="AO328" s="2">
        <v>2.0</v>
      </c>
      <c r="AP328" s="2">
        <v>0.0</v>
      </c>
      <c r="AQ328" s="2">
        <v>0.0</v>
      </c>
      <c r="AR328" s="2">
        <v>133.0</v>
      </c>
      <c r="AS328" s="2">
        <v>225.0</v>
      </c>
      <c r="AT328" s="2">
        <v>13.0</v>
      </c>
      <c r="AU328" s="2">
        <v>16.2419426837112</v>
      </c>
      <c r="AV328" s="2">
        <v>0.0</v>
      </c>
      <c r="AW328" s="2">
        <v>10.0</v>
      </c>
      <c r="AX328" s="2">
        <v>7.0</v>
      </c>
      <c r="AY328" s="2">
        <v>3.0</v>
      </c>
      <c r="AZ328" s="2">
        <v>0.0</v>
      </c>
      <c r="BA328" s="2">
        <v>0.0</v>
      </c>
      <c r="BB328" s="2">
        <v>31.0</v>
      </c>
      <c r="BC328" s="2">
        <v>2.0</v>
      </c>
      <c r="BD328" s="2">
        <v>38.0</v>
      </c>
      <c r="BE328" s="2">
        <v>2.0</v>
      </c>
      <c r="BF328" s="2">
        <v>8.0</v>
      </c>
      <c r="BG328" s="2">
        <v>1.0</v>
      </c>
      <c r="BH328" s="2">
        <v>1.0</v>
      </c>
      <c r="BI328" s="2">
        <v>7.0</v>
      </c>
      <c r="BJ328" s="2">
        <v>3.0</v>
      </c>
      <c r="BK328" s="2">
        <v>1.0</v>
      </c>
      <c r="BL328" s="2">
        <v>73.0</v>
      </c>
      <c r="BM328" s="2">
        <v>8.0</v>
      </c>
      <c r="BN328" s="2">
        <v>1.0</v>
      </c>
      <c r="BO328" s="2">
        <v>0.0</v>
      </c>
      <c r="BP328" s="2">
        <v>0.0</v>
      </c>
      <c r="BQ328" s="2">
        <v>0.0</v>
      </c>
      <c r="BR328" s="2">
        <v>0.0</v>
      </c>
      <c r="BS328" s="2">
        <v>0.0</v>
      </c>
      <c r="BT328" s="2">
        <v>1.0</v>
      </c>
      <c r="BU328" s="2">
        <v>34.0</v>
      </c>
      <c r="BV328" s="2">
        <v>1.0</v>
      </c>
      <c r="BW328" s="2">
        <v>8.0</v>
      </c>
      <c r="BX328" s="2">
        <v>76.0</v>
      </c>
      <c r="BY328" s="2">
        <v>5.0</v>
      </c>
      <c r="BZ328" s="2">
        <v>0.0</v>
      </c>
      <c r="CA328" s="2">
        <v>0.0</v>
      </c>
      <c r="CB328" s="2">
        <v>0.0</v>
      </c>
      <c r="CC328" s="2">
        <v>0.0</v>
      </c>
      <c r="CD328" s="2">
        <v>0.0</v>
      </c>
      <c r="CE328" s="2">
        <v>2.0</v>
      </c>
      <c r="CF328" s="2">
        <v>15.0</v>
      </c>
      <c r="CG328" s="2">
        <v>3.0</v>
      </c>
      <c r="CH328" s="2">
        <v>64.0</v>
      </c>
      <c r="CI328" s="2">
        <v>2.0</v>
      </c>
      <c r="CJ328" s="2">
        <v>2.0</v>
      </c>
      <c r="CK328" s="2">
        <v>0.0</v>
      </c>
      <c r="CL328" s="2">
        <v>0.0</v>
      </c>
      <c r="CM328" s="2">
        <v>30.0</v>
      </c>
      <c r="CN328" s="2">
        <v>1.0</v>
      </c>
      <c r="CO328" s="2">
        <v>0.0</v>
      </c>
      <c r="CP328" s="2">
        <v>1.0</v>
      </c>
      <c r="CQ328" s="2">
        <v>1.0</v>
      </c>
      <c r="CR328" s="2">
        <v>0.0</v>
      </c>
      <c r="CS328" s="2">
        <v>0.0</v>
      </c>
      <c r="CT328" s="2">
        <v>0.0</v>
      </c>
      <c r="CU328" s="2">
        <v>0.0</v>
      </c>
      <c r="CV328" s="2">
        <v>0.0</v>
      </c>
      <c r="CW328" s="2">
        <v>0.0</v>
      </c>
      <c r="CX328" s="2">
        <v>0.0</v>
      </c>
      <c r="CY328" s="2">
        <v>0.0</v>
      </c>
      <c r="CZ328" s="2">
        <v>0.0</v>
      </c>
      <c r="DA328" s="2" t="s">
        <v>2174</v>
      </c>
      <c r="DD328" s="2">
        <v>55.0</v>
      </c>
      <c r="DE328" s="2">
        <v>0.0</v>
      </c>
      <c r="DF328" s="2">
        <v>0.0</v>
      </c>
      <c r="DG328" s="2">
        <v>4.0</v>
      </c>
      <c r="DH328" s="2">
        <v>4.0</v>
      </c>
      <c r="DI328" s="2">
        <v>0.0</v>
      </c>
      <c r="DJ328" s="2">
        <v>0.0</v>
      </c>
      <c r="DK328" s="2">
        <v>1.0</v>
      </c>
      <c r="DL328" s="2">
        <v>0.0</v>
      </c>
      <c r="DM328" s="2">
        <v>0.0</v>
      </c>
      <c r="DN328" s="2">
        <v>0.0</v>
      </c>
      <c r="DO328" s="2">
        <v>0.0</v>
      </c>
      <c r="DP328" s="2">
        <v>0.0</v>
      </c>
      <c r="DQ328" s="2">
        <v>3.0</v>
      </c>
      <c r="DR328" s="2">
        <v>0.0</v>
      </c>
      <c r="DS328" s="2">
        <v>47.0</v>
      </c>
      <c r="DT328" s="2">
        <v>133.0</v>
      </c>
      <c r="DU328" s="2">
        <v>2.0</v>
      </c>
      <c r="DV328" s="2">
        <v>0.0</v>
      </c>
      <c r="DW328" s="2">
        <v>1.0</v>
      </c>
      <c r="DX328" s="2">
        <v>0.0</v>
      </c>
      <c r="DY328" s="2">
        <v>1.0</v>
      </c>
      <c r="DZ328" s="2">
        <v>1.0</v>
      </c>
      <c r="EA328" s="2">
        <v>4.0</v>
      </c>
      <c r="EB328" s="2">
        <v>0.0</v>
      </c>
      <c r="EC328" s="2">
        <v>129.0</v>
      </c>
      <c r="EE328" s="2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2">
        <v>2025.0</v>
      </c>
      <c r="B329" s="2">
        <v>11.0</v>
      </c>
      <c r="C329" s="2" t="s">
        <v>149</v>
      </c>
      <c r="D329" s="2" t="s">
        <v>390</v>
      </c>
      <c r="E329" s="2" t="s">
        <v>936</v>
      </c>
      <c r="F329" s="2" t="s">
        <v>142</v>
      </c>
      <c r="G329" s="2">
        <v>29.0</v>
      </c>
      <c r="H329" s="2">
        <v>44.0</v>
      </c>
      <c r="I329" s="2">
        <v>279.0</v>
      </c>
      <c r="J329" s="2">
        <v>0.0</v>
      </c>
      <c r="K329" s="2">
        <v>4.0</v>
      </c>
      <c r="L329" s="2">
        <v>0.0</v>
      </c>
      <c r="M329" s="2">
        <v>0.0</v>
      </c>
      <c r="N329" s="2">
        <v>0.0</v>
      </c>
      <c r="O329" s="2">
        <v>0.0</v>
      </c>
      <c r="P329" s="2">
        <v>342.0</v>
      </c>
      <c r="Q329" s="2">
        <v>113.0</v>
      </c>
      <c r="R329" s="2">
        <v>15.0</v>
      </c>
      <c r="S329" s="2">
        <v>-13.1365333675899</v>
      </c>
      <c r="T329" s="2">
        <v>0.0185575513612656</v>
      </c>
      <c r="U329" s="2">
        <v>0.0</v>
      </c>
      <c r="V329" s="2">
        <v>10.0</v>
      </c>
      <c r="W329" s="2">
        <v>4.0</v>
      </c>
      <c r="X329" s="2">
        <v>3.0</v>
      </c>
      <c r="Y329" s="2">
        <v>0.0</v>
      </c>
      <c r="Z329" s="2">
        <v>35.0</v>
      </c>
      <c r="AA329" s="2">
        <v>135.0</v>
      </c>
      <c r="AB329" s="2">
        <v>1.0</v>
      </c>
      <c r="AC329" s="2">
        <v>0.0</v>
      </c>
      <c r="AD329" s="2">
        <v>0.0</v>
      </c>
      <c r="AE329" s="2">
        <v>9.0</v>
      </c>
      <c r="AF329" s="2">
        <v>-2.63622465138906</v>
      </c>
      <c r="AG329" s="2">
        <v>0.0</v>
      </c>
      <c r="AH329" s="2">
        <v>2.0</v>
      </c>
      <c r="AI329" s="2">
        <v>1.0</v>
      </c>
      <c r="AJ329" s="2">
        <v>1.0</v>
      </c>
      <c r="AK329" s="2">
        <v>0.0</v>
      </c>
      <c r="AL329" s="2">
        <v>29.0</v>
      </c>
      <c r="AM329" s="2">
        <v>42.0</v>
      </c>
      <c r="AN329" s="2">
        <v>279.0</v>
      </c>
      <c r="AO329" s="2">
        <v>0.0</v>
      </c>
      <c r="AP329" s="2">
        <v>1.0</v>
      </c>
      <c r="AQ329" s="2">
        <v>0.0</v>
      </c>
      <c r="AR329" s="2">
        <v>342.0</v>
      </c>
      <c r="AS329" s="2">
        <v>113.0</v>
      </c>
      <c r="AT329" s="2">
        <v>15.0</v>
      </c>
      <c r="AU329" s="2">
        <v>-11.5045677893578</v>
      </c>
      <c r="AV329" s="2">
        <v>0.0</v>
      </c>
      <c r="AW329" s="2">
        <v>10.0</v>
      </c>
      <c r="AX329" s="2">
        <v>4.0</v>
      </c>
      <c r="AY329" s="2">
        <v>3.0</v>
      </c>
      <c r="AZ329" s="2">
        <v>0.0</v>
      </c>
      <c r="BA329" s="2">
        <v>0.0</v>
      </c>
      <c r="BB329" s="2">
        <v>30.0</v>
      </c>
      <c r="BC329" s="2">
        <v>1.0</v>
      </c>
      <c r="BD329" s="2">
        <v>23.0</v>
      </c>
      <c r="BE329" s="2">
        <v>3.0</v>
      </c>
      <c r="BF329" s="2">
        <v>9.0</v>
      </c>
      <c r="BG329" s="2">
        <v>1.0</v>
      </c>
      <c r="BH329" s="2">
        <v>0.0</v>
      </c>
      <c r="BI329" s="2">
        <v>0.0</v>
      </c>
      <c r="BJ329" s="2">
        <v>3.0</v>
      </c>
      <c r="BK329" s="2">
        <v>0.0</v>
      </c>
      <c r="BL329" s="2">
        <v>0.0</v>
      </c>
      <c r="BM329" s="2">
        <v>4.0</v>
      </c>
      <c r="BN329" s="2">
        <v>0.0</v>
      </c>
      <c r="BO329" s="2">
        <v>0.0</v>
      </c>
      <c r="BP329" s="2">
        <v>0.0</v>
      </c>
      <c r="BQ329" s="2">
        <v>0.0</v>
      </c>
      <c r="BR329" s="2">
        <v>1.0</v>
      </c>
      <c r="BS329" s="2">
        <v>0.0</v>
      </c>
      <c r="BT329" s="2">
        <v>1.0</v>
      </c>
      <c r="BU329" s="2">
        <v>8.0</v>
      </c>
      <c r="BV329" s="2">
        <v>0.0</v>
      </c>
      <c r="BW329" s="2">
        <v>6.0</v>
      </c>
      <c r="BX329" s="2">
        <v>47.0</v>
      </c>
      <c r="BY329" s="2">
        <v>5.0</v>
      </c>
      <c r="BZ329" s="2">
        <v>1.0</v>
      </c>
      <c r="CA329" s="2">
        <v>0.0</v>
      </c>
      <c r="CB329" s="2">
        <v>0.0</v>
      </c>
      <c r="CC329" s="2">
        <v>1.0</v>
      </c>
      <c r="CD329" s="2">
        <v>0.0</v>
      </c>
      <c r="CE329" s="2">
        <v>2.0</v>
      </c>
      <c r="CF329" s="2">
        <v>20.0</v>
      </c>
      <c r="CG329" s="2">
        <v>0.0</v>
      </c>
      <c r="CH329" s="2">
        <v>0.0</v>
      </c>
      <c r="CI329" s="2">
        <v>4.0</v>
      </c>
      <c r="CJ329" s="2">
        <v>5.0</v>
      </c>
      <c r="CK329" s="2">
        <v>1.0</v>
      </c>
      <c r="CL329" s="2">
        <v>0.0</v>
      </c>
      <c r="CM329" s="2">
        <v>57.0</v>
      </c>
      <c r="CN329" s="2">
        <v>0.8</v>
      </c>
      <c r="CO329" s="2">
        <v>0.0</v>
      </c>
      <c r="CP329" s="2">
        <v>2.0</v>
      </c>
      <c r="CQ329" s="2">
        <v>1.0</v>
      </c>
      <c r="CR329" s="2">
        <v>0.0</v>
      </c>
      <c r="CS329" s="2">
        <v>1.0</v>
      </c>
      <c r="CT329" s="2">
        <v>0.0</v>
      </c>
      <c r="CU329" s="2">
        <v>0.0</v>
      </c>
      <c r="CV329" s="2">
        <v>0.0</v>
      </c>
      <c r="CW329" s="2">
        <v>0.0</v>
      </c>
      <c r="CX329" s="2">
        <v>0.0</v>
      </c>
      <c r="CY329" s="2">
        <v>0.0</v>
      </c>
      <c r="CZ329" s="2">
        <v>1.0</v>
      </c>
      <c r="DA329" s="2" t="s">
        <v>2175</v>
      </c>
      <c r="DB329" s="2" t="s">
        <v>2176</v>
      </c>
      <c r="DD329" s="2">
        <v>138.0</v>
      </c>
      <c r="DE329" s="2">
        <v>61.0</v>
      </c>
      <c r="DF329" s="2">
        <v>0.0</v>
      </c>
      <c r="DG329" s="2">
        <v>1.0</v>
      </c>
      <c r="DH329" s="2">
        <v>1.0</v>
      </c>
      <c r="DI329" s="2">
        <v>0.0</v>
      </c>
      <c r="DJ329" s="2">
        <v>0.0</v>
      </c>
      <c r="DK329" s="2">
        <v>1.0</v>
      </c>
      <c r="DL329" s="2">
        <v>0.0</v>
      </c>
      <c r="DM329" s="2">
        <v>1.0</v>
      </c>
      <c r="DN329" s="2">
        <v>1.0</v>
      </c>
      <c r="DO329" s="2">
        <v>0.0</v>
      </c>
      <c r="DP329" s="2">
        <v>61.0</v>
      </c>
      <c r="DQ329" s="2">
        <v>2.0</v>
      </c>
      <c r="DR329" s="2">
        <v>0.0</v>
      </c>
      <c r="DS329" s="2">
        <v>55.0</v>
      </c>
      <c r="DT329" s="2">
        <v>103.0</v>
      </c>
      <c r="DU329" s="2">
        <v>1.0</v>
      </c>
      <c r="DV329" s="2">
        <v>0.0</v>
      </c>
      <c r="DW329" s="2">
        <v>1.0</v>
      </c>
      <c r="DX329" s="2">
        <v>0.0</v>
      </c>
      <c r="DY329" s="2">
        <v>1.0</v>
      </c>
      <c r="DZ329" s="2">
        <v>0.0</v>
      </c>
      <c r="EA329" s="2">
        <v>0.0</v>
      </c>
      <c r="EB329" s="2">
        <v>0.0</v>
      </c>
      <c r="EC329" s="2">
        <v>103.0</v>
      </c>
      <c r="EE329" s="2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2">
        <v>2025.0</v>
      </c>
      <c r="B330" s="2">
        <v>11.0</v>
      </c>
      <c r="C330" s="2" t="s">
        <v>246</v>
      </c>
      <c r="D330" s="2" t="s">
        <v>390</v>
      </c>
      <c r="E330" s="2" t="s">
        <v>934</v>
      </c>
      <c r="F330" s="2" t="s">
        <v>178</v>
      </c>
      <c r="G330" s="2">
        <v>19.0</v>
      </c>
      <c r="H330" s="2">
        <v>26.0</v>
      </c>
      <c r="I330" s="2">
        <v>200.0</v>
      </c>
      <c r="J330" s="2">
        <v>3.0</v>
      </c>
      <c r="K330" s="2">
        <v>0.0</v>
      </c>
      <c r="L330" s="2">
        <v>1.0</v>
      </c>
      <c r="M330" s="2">
        <v>-14.0</v>
      </c>
      <c r="N330" s="2">
        <v>0.0</v>
      </c>
      <c r="O330" s="2">
        <v>0.0</v>
      </c>
      <c r="P330" s="2">
        <v>188.0</v>
      </c>
      <c r="Q330" s="2">
        <v>77.0</v>
      </c>
      <c r="R330" s="2">
        <v>13.0</v>
      </c>
      <c r="S330" s="2">
        <v>8.6426955592728</v>
      </c>
      <c r="T330" s="2">
        <v>10.0616680383682</v>
      </c>
      <c r="U330" s="2">
        <v>0.0</v>
      </c>
      <c r="V330" s="2">
        <v>10.0</v>
      </c>
      <c r="W330" s="2">
        <v>3.0</v>
      </c>
      <c r="X330" s="2">
        <v>3.0</v>
      </c>
      <c r="Y330" s="2">
        <v>0.0</v>
      </c>
      <c r="Z330" s="2">
        <v>25.0</v>
      </c>
      <c r="AA330" s="2">
        <v>95.0</v>
      </c>
      <c r="AB330" s="2">
        <v>2.0</v>
      </c>
      <c r="AC330" s="2">
        <v>0.0</v>
      </c>
      <c r="AD330" s="2">
        <v>0.0</v>
      </c>
      <c r="AE330" s="2">
        <v>8.0</v>
      </c>
      <c r="AF330" s="2">
        <v>-2.41647522215499</v>
      </c>
      <c r="AG330" s="2">
        <v>0.0</v>
      </c>
      <c r="AH330" s="2">
        <v>3.0</v>
      </c>
      <c r="AI330" s="2">
        <v>3.0</v>
      </c>
      <c r="AJ330" s="2">
        <v>1.0</v>
      </c>
      <c r="AK330" s="2">
        <v>0.0</v>
      </c>
      <c r="AL330" s="2">
        <v>19.0</v>
      </c>
      <c r="AM330" s="2">
        <v>25.0</v>
      </c>
      <c r="AN330" s="2">
        <v>200.0</v>
      </c>
      <c r="AO330" s="2">
        <v>3.0</v>
      </c>
      <c r="AP330" s="2">
        <v>0.0</v>
      </c>
      <c r="AQ330" s="2">
        <v>0.0</v>
      </c>
      <c r="AR330" s="2">
        <v>188.0</v>
      </c>
      <c r="AS330" s="2">
        <v>77.0</v>
      </c>
      <c r="AT330" s="2">
        <v>13.0</v>
      </c>
      <c r="AU330" s="2">
        <v>12.3556790426248</v>
      </c>
      <c r="AV330" s="2">
        <v>0.0</v>
      </c>
      <c r="AW330" s="2">
        <v>10.0</v>
      </c>
      <c r="AX330" s="2">
        <v>3.0</v>
      </c>
      <c r="AY330" s="2">
        <v>3.0</v>
      </c>
      <c r="AZ330" s="2">
        <v>0.0</v>
      </c>
      <c r="BA330" s="2">
        <v>0.0</v>
      </c>
      <c r="BB330" s="2">
        <v>39.0</v>
      </c>
      <c r="BC330" s="2">
        <v>2.0</v>
      </c>
      <c r="BD330" s="2">
        <v>54.0</v>
      </c>
      <c r="BE330" s="2">
        <v>3.0</v>
      </c>
      <c r="BF330" s="2">
        <v>10.0</v>
      </c>
      <c r="BG330" s="2">
        <v>1.0</v>
      </c>
      <c r="BH330" s="2">
        <v>0.0</v>
      </c>
      <c r="BI330" s="2">
        <v>0.0</v>
      </c>
      <c r="BJ330" s="2">
        <v>4.0</v>
      </c>
      <c r="BK330" s="2">
        <v>2.0</v>
      </c>
      <c r="BL330" s="2">
        <v>64.0</v>
      </c>
      <c r="BM330" s="2">
        <v>4.0</v>
      </c>
      <c r="BN330" s="2">
        <v>0.0</v>
      </c>
      <c r="BO330" s="2">
        <v>0.0</v>
      </c>
      <c r="BP330" s="2">
        <v>0.0</v>
      </c>
      <c r="BQ330" s="2">
        <v>0.0</v>
      </c>
      <c r="BR330" s="2">
        <v>0.0</v>
      </c>
      <c r="BS330" s="2">
        <v>0.0</v>
      </c>
      <c r="BT330" s="2">
        <v>1.0</v>
      </c>
      <c r="BU330" s="2">
        <v>0.0</v>
      </c>
      <c r="BV330" s="2">
        <v>0.0</v>
      </c>
      <c r="BW330" s="2">
        <v>1.0</v>
      </c>
      <c r="BX330" s="2">
        <v>15.0</v>
      </c>
      <c r="BY330" s="2">
        <v>3.0</v>
      </c>
      <c r="BZ330" s="2">
        <v>0.0</v>
      </c>
      <c r="CA330" s="2">
        <v>0.0</v>
      </c>
      <c r="CB330" s="2">
        <v>0.0</v>
      </c>
      <c r="CC330" s="2">
        <v>0.0</v>
      </c>
      <c r="CD330" s="2">
        <v>0.0</v>
      </c>
      <c r="CE330" s="2">
        <v>1.0</v>
      </c>
      <c r="CF330" s="2">
        <v>9.0</v>
      </c>
      <c r="CG330" s="2">
        <v>2.0</v>
      </c>
      <c r="CH330" s="2">
        <v>140.0</v>
      </c>
      <c r="CI330" s="2">
        <v>3.0</v>
      </c>
      <c r="CJ330" s="2">
        <v>3.0</v>
      </c>
      <c r="CK330" s="2">
        <v>0.0</v>
      </c>
      <c r="CL330" s="2">
        <v>0.0</v>
      </c>
      <c r="CM330" s="2">
        <v>48.0</v>
      </c>
      <c r="CN330" s="2">
        <v>1.0</v>
      </c>
      <c r="CO330" s="2">
        <v>0.0</v>
      </c>
      <c r="CP330" s="2">
        <v>0.0</v>
      </c>
      <c r="CQ330" s="2">
        <v>0.0</v>
      </c>
      <c r="CR330" s="2">
        <v>3.0</v>
      </c>
      <c r="CS330" s="2">
        <v>0.0</v>
      </c>
      <c r="CT330" s="2">
        <v>0.0</v>
      </c>
      <c r="CU330" s="2">
        <v>0.0</v>
      </c>
      <c r="CV330" s="2">
        <v>0.0</v>
      </c>
      <c r="CW330" s="2">
        <v>0.0</v>
      </c>
      <c r="CX330" s="2">
        <v>0.0</v>
      </c>
      <c r="CY330" s="2">
        <v>0.0</v>
      </c>
      <c r="CZ330" s="2">
        <v>0.0</v>
      </c>
      <c r="DA330" s="2" t="s">
        <v>2177</v>
      </c>
      <c r="DD330" s="2">
        <v>142.0</v>
      </c>
      <c r="DE330" s="2">
        <v>0.0</v>
      </c>
      <c r="DF330" s="2">
        <v>0.0</v>
      </c>
      <c r="DG330" s="2">
        <v>2.0</v>
      </c>
      <c r="DH330" s="2">
        <v>4.0</v>
      </c>
      <c r="DI330" s="2">
        <v>1.0</v>
      </c>
      <c r="DJ330" s="2">
        <v>1.0</v>
      </c>
      <c r="DK330" s="2">
        <v>0.5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3.0</v>
      </c>
      <c r="DR330" s="2">
        <v>0.0</v>
      </c>
      <c r="DS330" s="2">
        <v>55.0</v>
      </c>
      <c r="DT330" s="2">
        <v>139.0</v>
      </c>
      <c r="DU330" s="2">
        <v>1.0</v>
      </c>
      <c r="DV330" s="2">
        <v>0.0</v>
      </c>
      <c r="DW330" s="2">
        <v>1.0</v>
      </c>
      <c r="DX330" s="2">
        <v>0.0</v>
      </c>
      <c r="DY330" s="2">
        <v>0.0</v>
      </c>
      <c r="DZ330" s="2">
        <v>2.0</v>
      </c>
      <c r="EA330" s="2">
        <v>51.0</v>
      </c>
      <c r="EB330" s="2">
        <v>0.0</v>
      </c>
      <c r="EC330" s="2">
        <v>88.0</v>
      </c>
      <c r="EE330" s="2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2">
        <v>2025.0</v>
      </c>
      <c r="B331" s="2">
        <v>11.0</v>
      </c>
      <c r="C331" s="2" t="s">
        <v>150</v>
      </c>
      <c r="D331" s="2" t="s">
        <v>390</v>
      </c>
      <c r="E331" s="2" t="s">
        <v>920</v>
      </c>
      <c r="F331" s="2" t="s">
        <v>136</v>
      </c>
      <c r="G331" s="2">
        <v>16.0</v>
      </c>
      <c r="H331" s="2">
        <v>28.0</v>
      </c>
      <c r="I331" s="2">
        <v>173.0</v>
      </c>
      <c r="J331" s="2">
        <v>1.0</v>
      </c>
      <c r="K331" s="2">
        <v>1.0</v>
      </c>
      <c r="L331" s="2">
        <v>1.0</v>
      </c>
      <c r="M331" s="2">
        <v>-8.0</v>
      </c>
      <c r="N331" s="2">
        <v>1.0</v>
      </c>
      <c r="O331" s="2">
        <v>1.0</v>
      </c>
      <c r="P331" s="2">
        <v>196.0</v>
      </c>
      <c r="Q331" s="2">
        <v>78.0</v>
      </c>
      <c r="R331" s="2">
        <v>6.0</v>
      </c>
      <c r="S331" s="2">
        <v>-8.9588360551044</v>
      </c>
      <c r="T331" s="2">
        <v>-8.34746195210351</v>
      </c>
      <c r="U331" s="2">
        <v>0.0</v>
      </c>
      <c r="V331" s="2">
        <v>6.0</v>
      </c>
      <c r="W331" s="2">
        <v>4.0</v>
      </c>
      <c r="X331" s="2">
        <v>2.0</v>
      </c>
      <c r="Y331" s="2">
        <v>0.0</v>
      </c>
      <c r="Z331" s="2">
        <v>39.0</v>
      </c>
      <c r="AA331" s="2">
        <v>202.0</v>
      </c>
      <c r="AB331" s="2">
        <v>3.0</v>
      </c>
      <c r="AC331" s="2">
        <v>0.0</v>
      </c>
      <c r="AD331" s="2">
        <v>0.0</v>
      </c>
      <c r="AE331" s="2">
        <v>13.0</v>
      </c>
      <c r="AF331" s="2">
        <v>12.6781944212853</v>
      </c>
      <c r="AG331" s="2">
        <v>0.0</v>
      </c>
      <c r="AH331" s="2">
        <v>5.0</v>
      </c>
      <c r="AI331" s="2">
        <v>4.0</v>
      </c>
      <c r="AJ331" s="2">
        <v>1.0</v>
      </c>
      <c r="AK331" s="2">
        <v>1.0</v>
      </c>
      <c r="AL331" s="2">
        <v>16.0</v>
      </c>
      <c r="AM331" s="2">
        <v>27.0</v>
      </c>
      <c r="AN331" s="2">
        <v>173.0</v>
      </c>
      <c r="AO331" s="2">
        <v>1.0</v>
      </c>
      <c r="AP331" s="2">
        <v>0.0</v>
      </c>
      <c r="AQ331" s="2">
        <v>0.0</v>
      </c>
      <c r="AR331" s="2">
        <v>196.0</v>
      </c>
      <c r="AS331" s="2">
        <v>78.0</v>
      </c>
      <c r="AT331" s="2">
        <v>6.0</v>
      </c>
      <c r="AU331" s="2">
        <v>-2.83576437757282</v>
      </c>
      <c r="AV331" s="2">
        <v>0.0</v>
      </c>
      <c r="AW331" s="2">
        <v>6.0</v>
      </c>
      <c r="AX331" s="2">
        <v>4.0</v>
      </c>
      <c r="AY331" s="2">
        <v>2.0</v>
      </c>
      <c r="AZ331" s="2">
        <v>0.0</v>
      </c>
      <c r="BA331" s="2">
        <v>0.0</v>
      </c>
      <c r="BB331" s="2">
        <v>31.0</v>
      </c>
      <c r="BC331" s="2">
        <v>1.0</v>
      </c>
      <c r="BD331" s="2">
        <v>21.0</v>
      </c>
      <c r="BE331" s="2">
        <v>3.0</v>
      </c>
      <c r="BF331" s="2">
        <v>6.0</v>
      </c>
      <c r="BG331" s="2">
        <v>2.0</v>
      </c>
      <c r="BH331" s="2">
        <v>0.0</v>
      </c>
      <c r="BI331" s="2">
        <v>0.0</v>
      </c>
      <c r="BJ331" s="2">
        <v>1.0</v>
      </c>
      <c r="BK331" s="2">
        <v>2.0</v>
      </c>
      <c r="BL331" s="2">
        <v>3.0</v>
      </c>
      <c r="BM331" s="2">
        <v>6.0</v>
      </c>
      <c r="BN331" s="2">
        <v>0.0</v>
      </c>
      <c r="BO331" s="2">
        <v>0.0</v>
      </c>
      <c r="BP331" s="2">
        <v>0.0</v>
      </c>
      <c r="BQ331" s="2">
        <v>0.0</v>
      </c>
      <c r="BR331" s="2">
        <v>0.0</v>
      </c>
      <c r="BS331" s="2">
        <v>0.0</v>
      </c>
      <c r="BT331" s="2">
        <v>1.0</v>
      </c>
      <c r="BU331" s="2">
        <v>0.0</v>
      </c>
      <c r="BV331" s="2">
        <v>0.0</v>
      </c>
      <c r="BW331" s="2">
        <v>2.0</v>
      </c>
      <c r="BX331" s="2">
        <v>30.0</v>
      </c>
      <c r="BY331" s="2">
        <v>6.0</v>
      </c>
      <c r="BZ331" s="2">
        <v>1.0</v>
      </c>
      <c r="CA331" s="2">
        <v>0.0</v>
      </c>
      <c r="CB331" s="2">
        <v>0.0</v>
      </c>
      <c r="CC331" s="2">
        <v>1.0</v>
      </c>
      <c r="CD331" s="2">
        <v>1.0</v>
      </c>
      <c r="CE331" s="2">
        <v>0.0</v>
      </c>
      <c r="CF331" s="2">
        <v>0.0</v>
      </c>
      <c r="CG331" s="2">
        <v>6.0</v>
      </c>
      <c r="CH331" s="2">
        <v>161.0</v>
      </c>
      <c r="CI331" s="2">
        <v>2.0</v>
      </c>
      <c r="CJ331" s="2">
        <v>2.0</v>
      </c>
      <c r="CK331" s="2">
        <v>0.0</v>
      </c>
      <c r="CL331" s="2">
        <v>0.0</v>
      </c>
      <c r="CM331" s="2">
        <v>24.0</v>
      </c>
      <c r="CN331" s="2">
        <v>1.0</v>
      </c>
      <c r="CO331" s="2">
        <v>0.0</v>
      </c>
      <c r="CP331" s="2">
        <v>2.0</v>
      </c>
      <c r="CQ331" s="2">
        <v>0.0</v>
      </c>
      <c r="CR331" s="2">
        <v>0.0</v>
      </c>
      <c r="CS331" s="2">
        <v>0.0</v>
      </c>
      <c r="CT331" s="2">
        <v>0.0</v>
      </c>
      <c r="CU331" s="2">
        <v>0.0</v>
      </c>
      <c r="CV331" s="2">
        <v>0.0</v>
      </c>
      <c r="CW331" s="2">
        <v>0.0</v>
      </c>
      <c r="CX331" s="2">
        <v>0.0</v>
      </c>
      <c r="CY331" s="2">
        <v>0.0</v>
      </c>
      <c r="CZ331" s="2">
        <v>0.0</v>
      </c>
      <c r="DA331" s="2" t="s">
        <v>2178</v>
      </c>
      <c r="DD331" s="2">
        <v>47.0</v>
      </c>
      <c r="DE331" s="2">
        <v>0.0</v>
      </c>
      <c r="DF331" s="2">
        <v>0.0</v>
      </c>
      <c r="DG331" s="2">
        <v>2.0</v>
      </c>
      <c r="DH331" s="2">
        <v>2.0</v>
      </c>
      <c r="DI331" s="2">
        <v>0.0</v>
      </c>
      <c r="DJ331" s="2">
        <v>0.0</v>
      </c>
      <c r="DK331" s="2">
        <v>1.0</v>
      </c>
      <c r="DL331" s="2">
        <v>0.0</v>
      </c>
      <c r="DM331" s="2">
        <v>0.0</v>
      </c>
      <c r="DN331" s="2">
        <v>0.0</v>
      </c>
      <c r="DO331" s="2">
        <v>0.0</v>
      </c>
      <c r="DP331" s="2">
        <v>0.0</v>
      </c>
      <c r="DQ331" s="2">
        <v>4.0</v>
      </c>
      <c r="DR331" s="2">
        <v>0.0</v>
      </c>
      <c r="DS331" s="2">
        <v>46.0</v>
      </c>
      <c r="DT331" s="2">
        <v>161.0</v>
      </c>
      <c r="DU331" s="2">
        <v>3.0</v>
      </c>
      <c r="DV331" s="2">
        <v>1.0</v>
      </c>
      <c r="DW331" s="2">
        <v>2.0</v>
      </c>
      <c r="DX331" s="2">
        <v>0.0</v>
      </c>
      <c r="DY331" s="2">
        <v>0.0</v>
      </c>
      <c r="DZ331" s="2">
        <v>1.0</v>
      </c>
      <c r="EA331" s="2">
        <v>0.0</v>
      </c>
      <c r="EB331" s="2">
        <v>0.0</v>
      </c>
      <c r="EC331" s="2">
        <v>161.0</v>
      </c>
      <c r="EE331" s="2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2">
        <v>2025.0</v>
      </c>
      <c r="B332" s="2">
        <v>11.0</v>
      </c>
      <c r="C332" s="2" t="s">
        <v>250</v>
      </c>
      <c r="D332" s="2" t="s">
        <v>390</v>
      </c>
      <c r="E332" s="2" t="s">
        <v>932</v>
      </c>
      <c r="F332" s="2" t="s">
        <v>140</v>
      </c>
      <c r="G332" s="2">
        <v>24.0</v>
      </c>
      <c r="H332" s="2">
        <v>37.0</v>
      </c>
      <c r="I332" s="2">
        <v>194.0</v>
      </c>
      <c r="J332" s="2">
        <v>1.0</v>
      </c>
      <c r="K332" s="2">
        <v>0.0</v>
      </c>
      <c r="L332" s="2">
        <v>3.0</v>
      </c>
      <c r="M332" s="2">
        <v>-23.0</v>
      </c>
      <c r="N332" s="2">
        <v>1.0</v>
      </c>
      <c r="O332" s="2">
        <v>1.0</v>
      </c>
      <c r="P332" s="2">
        <v>268.0</v>
      </c>
      <c r="Q332" s="2">
        <v>89.0</v>
      </c>
      <c r="R332" s="2">
        <v>10.0</v>
      </c>
      <c r="S332" s="2">
        <v>-2.71816846039732</v>
      </c>
      <c r="T332" s="2">
        <v>-1.99571802384324</v>
      </c>
      <c r="U332" s="2">
        <v>0.0</v>
      </c>
      <c r="V332" s="2">
        <v>7.0</v>
      </c>
      <c r="W332" s="2">
        <v>2.0</v>
      </c>
      <c r="X332" s="2">
        <v>1.0</v>
      </c>
      <c r="Y332" s="2">
        <v>0.0</v>
      </c>
      <c r="Z332" s="2">
        <v>17.0</v>
      </c>
      <c r="AA332" s="2">
        <v>58.0</v>
      </c>
      <c r="AB332" s="2">
        <v>0.0</v>
      </c>
      <c r="AC332" s="2">
        <v>0.0</v>
      </c>
      <c r="AD332" s="2">
        <v>0.0</v>
      </c>
      <c r="AE332" s="2">
        <v>2.0</v>
      </c>
      <c r="AF332" s="2">
        <v>-4.10874587091476</v>
      </c>
      <c r="AG332" s="2">
        <v>0.0</v>
      </c>
      <c r="AH332" s="2">
        <v>2.0</v>
      </c>
      <c r="AI332" s="2">
        <v>1.0</v>
      </c>
      <c r="AJ332" s="2">
        <v>1.0</v>
      </c>
      <c r="AK332" s="2">
        <v>0.0</v>
      </c>
      <c r="AL332" s="2">
        <v>24.0</v>
      </c>
      <c r="AM332" s="2">
        <v>36.0</v>
      </c>
      <c r="AN332" s="2">
        <v>194.0</v>
      </c>
      <c r="AO332" s="2">
        <v>1.0</v>
      </c>
      <c r="AP332" s="2">
        <v>0.0</v>
      </c>
      <c r="AQ332" s="2">
        <v>0.0</v>
      </c>
      <c r="AR332" s="2">
        <v>268.0</v>
      </c>
      <c r="AS332" s="2">
        <v>89.0</v>
      </c>
      <c r="AT332" s="2">
        <v>10.0</v>
      </c>
      <c r="AU332" s="2">
        <v>5.48356065662225</v>
      </c>
      <c r="AV332" s="2">
        <v>0.0</v>
      </c>
      <c r="AW332" s="2">
        <v>7.0</v>
      </c>
      <c r="AX332" s="2">
        <v>2.0</v>
      </c>
      <c r="AY332" s="2">
        <v>1.0</v>
      </c>
      <c r="AZ332" s="2">
        <v>0.0</v>
      </c>
      <c r="BA332" s="2">
        <v>0.0</v>
      </c>
      <c r="BB332" s="2">
        <v>41.0</v>
      </c>
      <c r="BC332" s="2">
        <v>2.0</v>
      </c>
      <c r="BD332" s="2">
        <v>30.0</v>
      </c>
      <c r="BE332" s="2">
        <v>8.0</v>
      </c>
      <c r="BF332" s="2">
        <v>33.0</v>
      </c>
      <c r="BG332" s="2">
        <v>0.0</v>
      </c>
      <c r="BH332" s="2">
        <v>4.0</v>
      </c>
      <c r="BI332" s="2">
        <v>34.0</v>
      </c>
      <c r="BJ332" s="2">
        <v>8.0</v>
      </c>
      <c r="BK332" s="2">
        <v>0.0</v>
      </c>
      <c r="BL332" s="2">
        <v>0.0</v>
      </c>
      <c r="BM332" s="2">
        <v>9.0</v>
      </c>
      <c r="BN332" s="2">
        <v>0.0</v>
      </c>
      <c r="BO332" s="2">
        <v>1.0</v>
      </c>
      <c r="BP332" s="2">
        <v>0.0</v>
      </c>
      <c r="BQ332" s="2">
        <v>0.0</v>
      </c>
      <c r="BR332" s="2">
        <v>1.0</v>
      </c>
      <c r="BS332" s="2">
        <v>0.0</v>
      </c>
      <c r="BT332" s="2">
        <v>0.0</v>
      </c>
      <c r="BU332" s="2">
        <v>0.0</v>
      </c>
      <c r="BV332" s="2">
        <v>0.0</v>
      </c>
      <c r="BW332" s="2">
        <v>9.0</v>
      </c>
      <c r="BX332" s="2">
        <v>62.0</v>
      </c>
      <c r="BY332" s="2">
        <v>4.0</v>
      </c>
      <c r="BZ332" s="2">
        <v>1.0</v>
      </c>
      <c r="CA332" s="2">
        <v>1.0</v>
      </c>
      <c r="CB332" s="2">
        <v>0.0</v>
      </c>
      <c r="CC332" s="2">
        <v>2.0</v>
      </c>
      <c r="CD332" s="2">
        <v>1.0</v>
      </c>
      <c r="CE332" s="2">
        <v>2.0</v>
      </c>
      <c r="CF332" s="2">
        <v>1.0</v>
      </c>
      <c r="CG332" s="2">
        <v>2.0</v>
      </c>
      <c r="CH332" s="2">
        <v>49.0</v>
      </c>
      <c r="CI332" s="2">
        <v>2.0</v>
      </c>
      <c r="CJ332" s="2">
        <v>2.0</v>
      </c>
      <c r="CK332" s="2">
        <v>0.0</v>
      </c>
      <c r="CL332" s="2">
        <v>0.0</v>
      </c>
      <c r="CM332" s="2">
        <v>56.0</v>
      </c>
      <c r="CN332" s="2">
        <v>1.0</v>
      </c>
      <c r="CO332" s="2">
        <v>0.0</v>
      </c>
      <c r="CP332" s="2">
        <v>0.0</v>
      </c>
      <c r="CQ332" s="2">
        <v>0.0</v>
      </c>
      <c r="CR332" s="2">
        <v>1.0</v>
      </c>
      <c r="CS332" s="2">
        <v>1.0</v>
      </c>
      <c r="CT332" s="2">
        <v>0.0</v>
      </c>
      <c r="CU332" s="2">
        <v>0.0</v>
      </c>
      <c r="CV332" s="2">
        <v>0.0</v>
      </c>
      <c r="CW332" s="2">
        <v>0.0</v>
      </c>
      <c r="CX332" s="2">
        <v>0.0</v>
      </c>
      <c r="CY332" s="2">
        <v>0.0</v>
      </c>
      <c r="CZ332" s="2">
        <v>0.0</v>
      </c>
      <c r="DA332" s="2" t="s">
        <v>2179</v>
      </c>
      <c r="DD332" s="2">
        <v>103.0</v>
      </c>
      <c r="DE332" s="2">
        <v>0.0</v>
      </c>
      <c r="DF332" s="2">
        <v>0.0</v>
      </c>
      <c r="DG332" s="2">
        <v>1.0</v>
      </c>
      <c r="DH332" s="2">
        <v>1.0</v>
      </c>
      <c r="DI332" s="2">
        <v>0.0</v>
      </c>
      <c r="DJ332" s="2">
        <v>0.0</v>
      </c>
      <c r="DK332" s="2">
        <v>1.0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6.0</v>
      </c>
      <c r="DR332" s="2">
        <v>0.0</v>
      </c>
      <c r="DS332" s="2">
        <v>62.0</v>
      </c>
      <c r="DT332" s="2">
        <v>305.0</v>
      </c>
      <c r="DU332" s="2">
        <v>1.0</v>
      </c>
      <c r="DV332" s="2">
        <v>1.0</v>
      </c>
      <c r="DW332" s="2">
        <v>0.0</v>
      </c>
      <c r="DX332" s="2">
        <v>0.0</v>
      </c>
      <c r="DY332" s="2">
        <v>0.0</v>
      </c>
      <c r="DZ332" s="2">
        <v>5.0</v>
      </c>
      <c r="EA332" s="2">
        <v>38.0</v>
      </c>
      <c r="EB332" s="2">
        <v>0.0</v>
      </c>
      <c r="EC332" s="2">
        <v>267.0</v>
      </c>
      <c r="EE332" s="2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2">
        <v>2025.0</v>
      </c>
      <c r="B333" s="2">
        <v>11.0</v>
      </c>
      <c r="C333" s="2" t="s">
        <v>253</v>
      </c>
      <c r="D333" s="2" t="s">
        <v>390</v>
      </c>
      <c r="E333" s="2" t="s">
        <v>915</v>
      </c>
      <c r="F333" s="2" t="s">
        <v>225</v>
      </c>
      <c r="G333" s="2">
        <v>20.0</v>
      </c>
      <c r="H333" s="2">
        <v>30.0</v>
      </c>
      <c r="I333" s="2">
        <v>213.0</v>
      </c>
      <c r="J333" s="2">
        <v>1.0</v>
      </c>
      <c r="K333" s="2">
        <v>1.0</v>
      </c>
      <c r="L333" s="2">
        <v>1.0</v>
      </c>
      <c r="M333" s="2">
        <v>-6.0</v>
      </c>
      <c r="N333" s="2">
        <v>0.0</v>
      </c>
      <c r="O333" s="2">
        <v>0.0</v>
      </c>
      <c r="P333" s="2">
        <v>221.0</v>
      </c>
      <c r="Q333" s="2">
        <v>126.0</v>
      </c>
      <c r="R333" s="2">
        <v>10.0</v>
      </c>
      <c r="S333" s="2">
        <v>4.05368816264805</v>
      </c>
      <c r="T333" s="2">
        <v>2.29276788645777</v>
      </c>
      <c r="U333" s="2">
        <v>0.0</v>
      </c>
      <c r="V333" s="2">
        <v>9.0</v>
      </c>
      <c r="W333" s="2">
        <v>4.0</v>
      </c>
      <c r="X333" s="2">
        <v>3.0</v>
      </c>
      <c r="Y333" s="2">
        <v>0.0</v>
      </c>
      <c r="Z333" s="2">
        <v>33.0</v>
      </c>
      <c r="AA333" s="2">
        <v>172.0</v>
      </c>
      <c r="AB333" s="2">
        <v>0.0</v>
      </c>
      <c r="AC333" s="2">
        <v>0.0</v>
      </c>
      <c r="AD333" s="2">
        <v>0.0</v>
      </c>
      <c r="AE333" s="2">
        <v>9.0</v>
      </c>
      <c r="AF333" s="2">
        <v>0.466470538289286</v>
      </c>
      <c r="AG333" s="2">
        <v>0.0</v>
      </c>
      <c r="AH333" s="2">
        <v>5.0</v>
      </c>
      <c r="AI333" s="2">
        <v>4.0</v>
      </c>
      <c r="AJ333" s="2">
        <v>1.0</v>
      </c>
      <c r="AK333" s="2">
        <v>1.0</v>
      </c>
      <c r="AL333" s="2">
        <v>20.0</v>
      </c>
      <c r="AM333" s="2">
        <v>29.0</v>
      </c>
      <c r="AN333" s="2">
        <v>213.0</v>
      </c>
      <c r="AO333" s="2">
        <v>1.0</v>
      </c>
      <c r="AP333" s="2">
        <v>0.0</v>
      </c>
      <c r="AQ333" s="2">
        <v>0.0</v>
      </c>
      <c r="AR333" s="2">
        <v>221.0</v>
      </c>
      <c r="AS333" s="2">
        <v>126.0</v>
      </c>
      <c r="AT333" s="2">
        <v>10.0</v>
      </c>
      <c r="AU333" s="2">
        <v>6.5863903406058</v>
      </c>
      <c r="AV333" s="2">
        <v>0.0</v>
      </c>
      <c r="AW333" s="2">
        <v>9.0</v>
      </c>
      <c r="AX333" s="2">
        <v>4.0</v>
      </c>
      <c r="AY333" s="2">
        <v>3.0</v>
      </c>
      <c r="AZ333" s="2">
        <v>0.0</v>
      </c>
      <c r="BA333" s="2">
        <v>0.0</v>
      </c>
      <c r="BB333" s="2">
        <v>35.0</v>
      </c>
      <c r="BC333" s="2">
        <v>1.0</v>
      </c>
      <c r="BD333" s="2">
        <v>29.0</v>
      </c>
      <c r="BE333" s="2">
        <v>6.0</v>
      </c>
      <c r="BF333" s="2">
        <v>36.0</v>
      </c>
      <c r="BG333" s="2">
        <v>0.0</v>
      </c>
      <c r="BH333" s="2">
        <v>3.0</v>
      </c>
      <c r="BI333" s="2">
        <v>29.0</v>
      </c>
      <c r="BJ333" s="2">
        <v>3.0</v>
      </c>
      <c r="BK333" s="2">
        <v>0.0</v>
      </c>
      <c r="BL333" s="2">
        <v>0.0</v>
      </c>
      <c r="BM333" s="2">
        <v>1.0</v>
      </c>
      <c r="BN333" s="2">
        <v>0.0</v>
      </c>
      <c r="BO333" s="2">
        <v>1.0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</v>
      </c>
      <c r="BU333" s="2">
        <v>0.0</v>
      </c>
      <c r="BV333" s="2">
        <v>0.0</v>
      </c>
      <c r="BW333" s="2">
        <v>6.0</v>
      </c>
      <c r="BX333" s="2">
        <v>31.0</v>
      </c>
      <c r="BY333" s="2">
        <v>6.0</v>
      </c>
      <c r="BZ333" s="2">
        <v>0.0</v>
      </c>
      <c r="CA333" s="2">
        <v>1.0</v>
      </c>
      <c r="CB333" s="2">
        <v>0.0</v>
      </c>
      <c r="CC333" s="2">
        <v>1.0</v>
      </c>
      <c r="CD333" s="2">
        <v>1.0</v>
      </c>
      <c r="CE333" s="2">
        <v>2.0</v>
      </c>
      <c r="CF333" s="2">
        <v>0.0</v>
      </c>
      <c r="CG333" s="2">
        <v>4.0</v>
      </c>
      <c r="CH333" s="2">
        <v>93.0</v>
      </c>
      <c r="CI333" s="2">
        <v>2.0</v>
      </c>
      <c r="CJ333" s="2">
        <v>4.0</v>
      </c>
      <c r="CK333" s="2">
        <v>2.0</v>
      </c>
      <c r="CL333" s="2">
        <v>0.0</v>
      </c>
      <c r="CM333" s="2">
        <v>30.0</v>
      </c>
      <c r="CN333" s="2">
        <v>0.5</v>
      </c>
      <c r="CO333" s="2">
        <v>0.0</v>
      </c>
      <c r="CP333" s="2">
        <v>1.0</v>
      </c>
      <c r="CQ333" s="2">
        <v>1.0</v>
      </c>
      <c r="CR333" s="2">
        <v>0.0</v>
      </c>
      <c r="CS333" s="2">
        <v>0.0</v>
      </c>
      <c r="CT333" s="2">
        <v>0.0</v>
      </c>
      <c r="CU333" s="2">
        <v>0.0</v>
      </c>
      <c r="CV333" s="2">
        <v>0.0</v>
      </c>
      <c r="CW333" s="2">
        <v>0.0</v>
      </c>
      <c r="CX333" s="2">
        <v>0.0</v>
      </c>
      <c r="CY333" s="2">
        <v>2.0</v>
      </c>
      <c r="CZ333" s="2">
        <v>0.0</v>
      </c>
      <c r="DA333" s="2" t="s">
        <v>2180</v>
      </c>
      <c r="DB333" s="2" t="s">
        <v>2181</v>
      </c>
      <c r="DD333" s="2">
        <v>56.0</v>
      </c>
      <c r="DE333" s="2">
        <v>107.0</v>
      </c>
      <c r="DF333" s="2">
        <v>0.0</v>
      </c>
      <c r="DG333" s="2">
        <v>1.0</v>
      </c>
      <c r="DH333" s="2">
        <v>1.0</v>
      </c>
      <c r="DI333" s="2">
        <v>0.0</v>
      </c>
      <c r="DJ333" s="2">
        <v>0.0</v>
      </c>
      <c r="DK333" s="2">
        <v>1.0</v>
      </c>
      <c r="DL333" s="2">
        <v>0.0</v>
      </c>
      <c r="DM333" s="2">
        <v>0.0</v>
      </c>
      <c r="DN333" s="2">
        <v>0.0</v>
      </c>
      <c r="DO333" s="2">
        <v>0.0</v>
      </c>
      <c r="DP333" s="2">
        <v>0.0</v>
      </c>
      <c r="DQ333" s="2">
        <v>1.0</v>
      </c>
      <c r="DR333" s="2">
        <v>0.0</v>
      </c>
      <c r="DS333" s="2">
        <v>41.0</v>
      </c>
      <c r="DT333" s="2">
        <v>41.0</v>
      </c>
      <c r="DU333" s="2">
        <v>0.0</v>
      </c>
      <c r="DV333" s="2">
        <v>0.0</v>
      </c>
      <c r="DW333" s="2">
        <v>0.0</v>
      </c>
      <c r="DX333" s="2">
        <v>0.0</v>
      </c>
      <c r="DY333" s="2">
        <v>0.0</v>
      </c>
      <c r="DZ333" s="2">
        <v>1.0</v>
      </c>
      <c r="EA333" s="2">
        <v>3.0</v>
      </c>
      <c r="EB333" s="2">
        <v>0.0</v>
      </c>
      <c r="EC333" s="2">
        <v>38.0</v>
      </c>
      <c r="EE333" s="2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2">
        <v>2025.0</v>
      </c>
      <c r="B334" s="2">
        <v>12.0</v>
      </c>
      <c r="C334" s="2" t="s">
        <v>178</v>
      </c>
      <c r="D334" s="2" t="s">
        <v>390</v>
      </c>
      <c r="E334" s="2" t="s">
        <v>967</v>
      </c>
      <c r="F334" s="2" t="s">
        <v>141</v>
      </c>
      <c r="G334" s="2">
        <v>34.0</v>
      </c>
      <c r="H334" s="2">
        <v>50.0</v>
      </c>
      <c r="I334" s="2">
        <v>315.0</v>
      </c>
      <c r="J334" s="2">
        <v>1.0</v>
      </c>
      <c r="K334" s="2">
        <v>0.0</v>
      </c>
      <c r="L334" s="2">
        <v>6.0</v>
      </c>
      <c r="M334" s="2">
        <v>-44.0</v>
      </c>
      <c r="N334" s="2">
        <v>0.0</v>
      </c>
      <c r="O334" s="2">
        <v>0.0</v>
      </c>
      <c r="P334" s="2">
        <v>381.0</v>
      </c>
      <c r="Q334" s="2">
        <v>159.0</v>
      </c>
      <c r="R334" s="2">
        <v>15.0</v>
      </c>
      <c r="S334" s="2">
        <v>-10.0484871066938</v>
      </c>
      <c r="T334" s="2">
        <v>3.27451093041379</v>
      </c>
      <c r="U334" s="2">
        <v>0.0</v>
      </c>
      <c r="V334" s="2">
        <v>14.0</v>
      </c>
      <c r="W334" s="2">
        <v>5.0</v>
      </c>
      <c r="X334" s="2">
        <v>2.0</v>
      </c>
      <c r="Y334" s="2">
        <v>0.0</v>
      </c>
      <c r="Z334" s="2">
        <v>20.0</v>
      </c>
      <c r="AA334" s="2">
        <v>55.0</v>
      </c>
      <c r="AB334" s="2">
        <v>1.0</v>
      </c>
      <c r="AC334" s="2">
        <v>0.0</v>
      </c>
      <c r="AD334" s="2">
        <v>0.0</v>
      </c>
      <c r="AE334" s="2">
        <v>6.0</v>
      </c>
      <c r="AF334" s="2">
        <v>-1.11988957884023</v>
      </c>
      <c r="AG334" s="2">
        <v>0.0</v>
      </c>
      <c r="AH334" s="2">
        <v>1.0</v>
      </c>
      <c r="AI334" s="2">
        <v>0.0</v>
      </c>
      <c r="AJ334" s="2">
        <v>0.0</v>
      </c>
      <c r="AK334" s="2">
        <v>0.0</v>
      </c>
      <c r="AL334" s="2">
        <v>34.0</v>
      </c>
      <c r="AM334" s="2">
        <v>46.0</v>
      </c>
      <c r="AN334" s="2">
        <v>315.0</v>
      </c>
      <c r="AO334" s="2">
        <v>1.0</v>
      </c>
      <c r="AP334" s="2">
        <v>0.0</v>
      </c>
      <c r="AQ334" s="2">
        <v>0.0</v>
      </c>
      <c r="AR334" s="2">
        <v>381.0</v>
      </c>
      <c r="AS334" s="2">
        <v>159.0</v>
      </c>
      <c r="AT334" s="2">
        <v>15.0</v>
      </c>
      <c r="AU334" s="2">
        <v>4.35348463104394</v>
      </c>
      <c r="AV334" s="2">
        <v>0.0</v>
      </c>
      <c r="AW334" s="2">
        <v>14.0</v>
      </c>
      <c r="AX334" s="2">
        <v>5.0</v>
      </c>
      <c r="AY334" s="2">
        <v>2.0</v>
      </c>
      <c r="AZ334" s="2">
        <v>0.0</v>
      </c>
      <c r="BA334" s="2">
        <v>0.0</v>
      </c>
      <c r="BB334" s="2">
        <v>33.0</v>
      </c>
      <c r="BC334" s="2">
        <v>1.0</v>
      </c>
      <c r="BD334" s="2">
        <v>29.0</v>
      </c>
      <c r="BE334" s="2">
        <v>3.0</v>
      </c>
      <c r="BF334" s="2">
        <v>15.0</v>
      </c>
      <c r="BG334" s="2">
        <v>1.0</v>
      </c>
      <c r="BH334" s="2">
        <v>3.0</v>
      </c>
      <c r="BI334" s="2">
        <v>19.0</v>
      </c>
      <c r="BJ334" s="2">
        <v>5.0</v>
      </c>
      <c r="BK334" s="2">
        <v>3.0</v>
      </c>
      <c r="BL334" s="2">
        <v>0.0</v>
      </c>
      <c r="BM334" s="2">
        <v>7.0</v>
      </c>
      <c r="BN334" s="2">
        <v>0.0</v>
      </c>
      <c r="BO334" s="2">
        <v>0.0</v>
      </c>
      <c r="BP334" s="2">
        <v>0.0</v>
      </c>
      <c r="BQ334" s="2">
        <v>0.0</v>
      </c>
      <c r="BR334" s="2">
        <v>1.0</v>
      </c>
      <c r="BS334" s="2">
        <v>0.0</v>
      </c>
      <c r="BT334" s="2">
        <v>1.0</v>
      </c>
      <c r="BU334" s="2">
        <v>7.0</v>
      </c>
      <c r="BV334" s="2">
        <v>1.0</v>
      </c>
      <c r="BW334" s="2">
        <v>7.0</v>
      </c>
      <c r="BX334" s="2">
        <v>53.0</v>
      </c>
      <c r="BY334" s="2">
        <v>4.0</v>
      </c>
      <c r="BZ334" s="2">
        <v>1.0</v>
      </c>
      <c r="CA334" s="2">
        <v>0.0</v>
      </c>
      <c r="CB334" s="2">
        <v>0.0</v>
      </c>
      <c r="CC334" s="2">
        <v>1.0</v>
      </c>
      <c r="CD334" s="2">
        <v>0.0</v>
      </c>
      <c r="CE334" s="2">
        <v>0.0</v>
      </c>
      <c r="CF334" s="2">
        <v>0.0</v>
      </c>
      <c r="CG334" s="2">
        <v>5.0</v>
      </c>
      <c r="CH334" s="2">
        <v>127.0</v>
      </c>
      <c r="CI334" s="2">
        <v>1.0</v>
      </c>
      <c r="CJ334" s="2">
        <v>2.0</v>
      </c>
      <c r="CK334" s="2">
        <v>1.0</v>
      </c>
      <c r="CL334" s="2">
        <v>0.0</v>
      </c>
      <c r="CM334" s="2">
        <v>29.0</v>
      </c>
      <c r="CN334" s="2">
        <v>0.5</v>
      </c>
      <c r="CO334" s="2">
        <v>0.0</v>
      </c>
      <c r="CP334" s="2">
        <v>1.0</v>
      </c>
      <c r="CQ334" s="2">
        <v>0.0</v>
      </c>
      <c r="CR334" s="2">
        <v>0.0</v>
      </c>
      <c r="CS334" s="2">
        <v>0.0</v>
      </c>
      <c r="CT334" s="2">
        <v>0.0</v>
      </c>
      <c r="CU334" s="2">
        <v>0.0</v>
      </c>
      <c r="CV334" s="2">
        <v>0.0</v>
      </c>
      <c r="CW334" s="2">
        <v>1.0</v>
      </c>
      <c r="CX334" s="2">
        <v>0.0</v>
      </c>
      <c r="CY334" s="2">
        <v>0.0</v>
      </c>
      <c r="CZ334" s="2">
        <v>0.0</v>
      </c>
      <c r="DA334" s="2" t="s">
        <v>2065</v>
      </c>
      <c r="DB334" s="2" t="s">
        <v>2056</v>
      </c>
      <c r="DD334" s="2">
        <v>29.0</v>
      </c>
      <c r="DE334" s="2">
        <v>33.0</v>
      </c>
      <c r="DF334" s="2">
        <v>0.0</v>
      </c>
      <c r="DG334" s="2">
        <v>3.0</v>
      </c>
      <c r="DH334" s="2">
        <v>3.0</v>
      </c>
      <c r="DI334" s="2">
        <v>0.0</v>
      </c>
      <c r="DJ334" s="2">
        <v>0.0</v>
      </c>
      <c r="DK334" s="2">
        <v>1.0</v>
      </c>
      <c r="DL334" s="2">
        <v>0.0</v>
      </c>
      <c r="DM334" s="2">
        <v>0.0</v>
      </c>
      <c r="DN334" s="2">
        <v>0.0</v>
      </c>
      <c r="DO334" s="2">
        <v>0.0</v>
      </c>
      <c r="DP334" s="2">
        <v>0.0</v>
      </c>
      <c r="DQ334" s="2">
        <v>6.0</v>
      </c>
      <c r="DR334" s="2">
        <v>0.0</v>
      </c>
      <c r="DS334" s="2">
        <v>65.0</v>
      </c>
      <c r="DT334" s="2">
        <v>299.0</v>
      </c>
      <c r="DU334" s="2">
        <v>4.0</v>
      </c>
      <c r="DV334" s="2">
        <v>0.0</v>
      </c>
      <c r="DW334" s="2">
        <v>2.0</v>
      </c>
      <c r="DX334" s="2">
        <v>0.0</v>
      </c>
      <c r="DY334" s="2">
        <v>2.0</v>
      </c>
      <c r="DZ334" s="2">
        <v>2.0</v>
      </c>
      <c r="EA334" s="2">
        <v>43.0</v>
      </c>
      <c r="EB334" s="2">
        <v>0.0</v>
      </c>
      <c r="EC334" s="2">
        <v>256.0</v>
      </c>
      <c r="EE334" s="2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2">
        <v>2025.0</v>
      </c>
      <c r="B335" s="2">
        <v>12.0</v>
      </c>
      <c r="C335" s="2" t="s">
        <v>132</v>
      </c>
      <c r="D335" s="2" t="s">
        <v>390</v>
      </c>
      <c r="E335" s="2" t="s">
        <v>975</v>
      </c>
      <c r="F335" s="2" t="s">
        <v>232</v>
      </c>
      <c r="G335" s="2">
        <v>16.0</v>
      </c>
      <c r="H335" s="2">
        <v>23.0</v>
      </c>
      <c r="I335" s="2">
        <v>199.0</v>
      </c>
      <c r="J335" s="2">
        <v>2.0</v>
      </c>
      <c r="K335" s="2">
        <v>1.0</v>
      </c>
      <c r="L335" s="2">
        <v>3.0</v>
      </c>
      <c r="M335" s="2">
        <v>-18.0</v>
      </c>
      <c r="N335" s="2">
        <v>1.0</v>
      </c>
      <c r="O335" s="2">
        <v>0.0</v>
      </c>
      <c r="P335" s="2">
        <v>169.0</v>
      </c>
      <c r="Q335" s="2">
        <v>87.0</v>
      </c>
      <c r="R335" s="2">
        <v>7.0</v>
      </c>
      <c r="S335" s="2">
        <v>-3.4145326293928</v>
      </c>
      <c r="T335" s="2">
        <v>7.18356773257256</v>
      </c>
      <c r="U335" s="2">
        <v>0.0</v>
      </c>
      <c r="V335" s="2">
        <v>5.0</v>
      </c>
      <c r="W335" s="2">
        <v>5.0</v>
      </c>
      <c r="X335" s="2">
        <v>3.0</v>
      </c>
      <c r="Y335" s="2">
        <v>1.0</v>
      </c>
      <c r="Z335" s="2">
        <v>29.0</v>
      </c>
      <c r="AA335" s="2">
        <v>121.0</v>
      </c>
      <c r="AB335" s="2">
        <v>0.0</v>
      </c>
      <c r="AC335" s="2">
        <v>0.0</v>
      </c>
      <c r="AD335" s="2">
        <v>0.0</v>
      </c>
      <c r="AE335" s="2">
        <v>6.0</v>
      </c>
      <c r="AF335" s="2">
        <v>-2.09424595058942</v>
      </c>
      <c r="AG335" s="2">
        <v>1.0</v>
      </c>
      <c r="AH335" s="2">
        <v>3.0</v>
      </c>
      <c r="AI335" s="2">
        <v>3.0</v>
      </c>
      <c r="AJ335" s="2">
        <v>1.0</v>
      </c>
      <c r="AK335" s="2">
        <v>0.0</v>
      </c>
      <c r="AL335" s="2">
        <v>16.0</v>
      </c>
      <c r="AM335" s="2">
        <v>20.0</v>
      </c>
      <c r="AN335" s="2">
        <v>199.0</v>
      </c>
      <c r="AO335" s="2">
        <v>2.0</v>
      </c>
      <c r="AP335" s="2">
        <v>0.0</v>
      </c>
      <c r="AQ335" s="2">
        <v>0.0</v>
      </c>
      <c r="AR335" s="2">
        <v>169.0</v>
      </c>
      <c r="AS335" s="2">
        <v>87.0</v>
      </c>
      <c r="AT335" s="2">
        <v>7.0</v>
      </c>
      <c r="AU335" s="2">
        <v>4.31487175129587</v>
      </c>
      <c r="AV335" s="2">
        <v>0.0</v>
      </c>
      <c r="AW335" s="2">
        <v>5.0</v>
      </c>
      <c r="AX335" s="2">
        <v>5.0</v>
      </c>
      <c r="AY335" s="2">
        <v>3.0</v>
      </c>
      <c r="AZ335" s="2">
        <v>1.0</v>
      </c>
      <c r="BA335" s="2">
        <v>0.0</v>
      </c>
      <c r="BB335" s="2">
        <v>57.0</v>
      </c>
      <c r="BC335" s="2">
        <v>0.0</v>
      </c>
      <c r="BD335" s="2">
        <v>22.0</v>
      </c>
      <c r="BE335" s="2">
        <v>6.0</v>
      </c>
      <c r="BF335" s="2">
        <v>34.0</v>
      </c>
      <c r="BG335" s="2">
        <v>0.0</v>
      </c>
      <c r="BH335" s="2">
        <v>5.0</v>
      </c>
      <c r="BI335" s="2">
        <v>29.0</v>
      </c>
      <c r="BJ335" s="2">
        <v>9.0</v>
      </c>
      <c r="BK335" s="2">
        <v>1.0</v>
      </c>
      <c r="BL335" s="2">
        <v>0.0</v>
      </c>
      <c r="BM335" s="2">
        <v>6.0</v>
      </c>
      <c r="BN335" s="2">
        <v>0.0</v>
      </c>
      <c r="BO335" s="2">
        <v>0.0</v>
      </c>
      <c r="BP335" s="2">
        <v>0.0</v>
      </c>
      <c r="BQ335" s="2">
        <v>0.0</v>
      </c>
      <c r="BR335" s="2">
        <v>1.0</v>
      </c>
      <c r="BS335" s="2">
        <v>0.0</v>
      </c>
      <c r="BT335" s="2">
        <v>1.0</v>
      </c>
      <c r="BU335" s="2">
        <v>2.0</v>
      </c>
      <c r="BV335" s="2">
        <v>0.0</v>
      </c>
      <c r="BW335" s="2">
        <v>9.0</v>
      </c>
      <c r="BX335" s="2">
        <v>82.0</v>
      </c>
      <c r="BY335" s="2">
        <v>4.0</v>
      </c>
      <c r="BZ335" s="2">
        <v>1.0</v>
      </c>
      <c r="CA335" s="2">
        <v>0.0</v>
      </c>
      <c r="CB335" s="2">
        <v>0.0</v>
      </c>
      <c r="CC335" s="2">
        <v>1.0</v>
      </c>
      <c r="CD335" s="2">
        <v>0.0</v>
      </c>
      <c r="CE335" s="2">
        <v>1.0</v>
      </c>
      <c r="CF335" s="2">
        <v>5.0</v>
      </c>
      <c r="CG335" s="2">
        <v>3.0</v>
      </c>
      <c r="CH335" s="2">
        <v>99.0</v>
      </c>
      <c r="CI335" s="2">
        <v>3.0</v>
      </c>
      <c r="CJ335" s="2">
        <v>3.0</v>
      </c>
      <c r="CK335" s="2">
        <v>0.0</v>
      </c>
      <c r="CL335" s="2">
        <v>0.0</v>
      </c>
      <c r="CM335" s="2">
        <v>56.0</v>
      </c>
      <c r="CN335" s="2">
        <v>1.0</v>
      </c>
      <c r="CO335" s="2">
        <v>0.0</v>
      </c>
      <c r="CP335" s="2">
        <v>0.0</v>
      </c>
      <c r="CQ335" s="2">
        <v>0.0</v>
      </c>
      <c r="CR335" s="2">
        <v>1.0</v>
      </c>
      <c r="CS335" s="2">
        <v>2.0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0.0</v>
      </c>
      <c r="DA335" s="2" t="s">
        <v>2182</v>
      </c>
      <c r="DD335" s="2">
        <v>151.0</v>
      </c>
      <c r="DE335" s="2">
        <v>0.0</v>
      </c>
      <c r="DF335" s="2">
        <v>0.0</v>
      </c>
      <c r="DG335" s="2">
        <v>1.0</v>
      </c>
      <c r="DH335" s="2">
        <v>1.0</v>
      </c>
      <c r="DI335" s="2">
        <v>0.0</v>
      </c>
      <c r="DJ335" s="2">
        <v>0.0</v>
      </c>
      <c r="DK335" s="2">
        <v>1.0</v>
      </c>
      <c r="DL335" s="2">
        <v>0.0</v>
      </c>
      <c r="DM335" s="2">
        <v>0.0</v>
      </c>
      <c r="DN335" s="2">
        <v>0.0</v>
      </c>
      <c r="DO335" s="2">
        <v>0.0</v>
      </c>
      <c r="DP335" s="2">
        <v>0.0</v>
      </c>
      <c r="DQ335" s="2">
        <v>5.0</v>
      </c>
      <c r="DR335" s="2">
        <v>0.0</v>
      </c>
      <c r="DS335" s="2">
        <v>48.0</v>
      </c>
      <c r="DT335" s="2">
        <v>210.0</v>
      </c>
      <c r="DU335" s="2">
        <v>3.0</v>
      </c>
      <c r="DV335" s="2">
        <v>0.0</v>
      </c>
      <c r="DW335" s="2">
        <v>1.0</v>
      </c>
      <c r="DX335" s="2">
        <v>0.0</v>
      </c>
      <c r="DY335" s="2">
        <v>1.0</v>
      </c>
      <c r="DZ335" s="2">
        <v>3.0</v>
      </c>
      <c r="EA335" s="2">
        <v>10.0</v>
      </c>
      <c r="EB335" s="2">
        <v>0.0</v>
      </c>
      <c r="EC335" s="2">
        <v>200.0</v>
      </c>
      <c r="EE335" s="2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2">
        <v>2025.0</v>
      </c>
      <c r="B336" s="2">
        <v>12.0</v>
      </c>
      <c r="C336" s="2" t="s">
        <v>148</v>
      </c>
      <c r="D336" s="2" t="s">
        <v>390</v>
      </c>
      <c r="E336" s="2" t="s">
        <v>950</v>
      </c>
      <c r="F336" s="2" t="s">
        <v>238</v>
      </c>
      <c r="G336" s="2">
        <v>13.0</v>
      </c>
      <c r="H336" s="2">
        <v>23.0</v>
      </c>
      <c r="I336" s="2">
        <v>153.0</v>
      </c>
      <c r="J336" s="2">
        <v>0.0</v>
      </c>
      <c r="K336" s="2">
        <v>0.0</v>
      </c>
      <c r="L336" s="2">
        <v>1.0</v>
      </c>
      <c r="M336" s="2">
        <v>-10.0</v>
      </c>
      <c r="N336" s="2">
        <v>0.0</v>
      </c>
      <c r="O336" s="2">
        <v>0.0</v>
      </c>
      <c r="P336" s="2">
        <v>224.0</v>
      </c>
      <c r="Q336" s="2">
        <v>51.0</v>
      </c>
      <c r="R336" s="2">
        <v>7.0</v>
      </c>
      <c r="S336" s="2">
        <v>-0.0710245292235827</v>
      </c>
      <c r="T336" s="2">
        <v>1.15910932421684</v>
      </c>
      <c r="U336" s="2">
        <v>0.0</v>
      </c>
      <c r="V336" s="2">
        <v>6.0</v>
      </c>
      <c r="W336" s="2">
        <v>4.0</v>
      </c>
      <c r="X336" s="2">
        <v>2.0</v>
      </c>
      <c r="Y336" s="2">
        <v>0.0</v>
      </c>
      <c r="Z336" s="2">
        <v>34.0</v>
      </c>
      <c r="AA336" s="2">
        <v>98.0</v>
      </c>
      <c r="AB336" s="2">
        <v>2.0</v>
      </c>
      <c r="AC336" s="2">
        <v>0.0</v>
      </c>
      <c r="AD336" s="2">
        <v>0.0</v>
      </c>
      <c r="AE336" s="2">
        <v>6.0</v>
      </c>
      <c r="AF336" s="2">
        <v>-2.70314960202527</v>
      </c>
      <c r="AG336" s="2">
        <v>0.0</v>
      </c>
      <c r="AH336" s="2">
        <v>2.0</v>
      </c>
      <c r="AI336" s="2">
        <v>1.0</v>
      </c>
      <c r="AJ336" s="2">
        <v>0.0</v>
      </c>
      <c r="AK336" s="2">
        <v>0.0</v>
      </c>
      <c r="AL336" s="2">
        <v>13.0</v>
      </c>
      <c r="AM336" s="2">
        <v>20.0</v>
      </c>
      <c r="AN336" s="2">
        <v>153.0</v>
      </c>
      <c r="AO336" s="2">
        <v>0.0</v>
      </c>
      <c r="AP336" s="2">
        <v>0.0</v>
      </c>
      <c r="AQ336" s="2">
        <v>0.0</v>
      </c>
      <c r="AR336" s="2">
        <v>224.0</v>
      </c>
      <c r="AS336" s="2">
        <v>51.0</v>
      </c>
      <c r="AT336" s="2">
        <v>7.0</v>
      </c>
      <c r="AU336" s="2">
        <v>3.82451156998773</v>
      </c>
      <c r="AV336" s="2">
        <v>0.0</v>
      </c>
      <c r="AW336" s="2">
        <v>6.0</v>
      </c>
      <c r="AX336" s="2">
        <v>4.0</v>
      </c>
      <c r="AY336" s="2">
        <v>2.0</v>
      </c>
      <c r="AZ336" s="2">
        <v>0.0</v>
      </c>
      <c r="BA336" s="2">
        <v>0.0</v>
      </c>
      <c r="BB336" s="2">
        <v>34.0</v>
      </c>
      <c r="BC336" s="2">
        <v>1.0</v>
      </c>
      <c r="BD336" s="2">
        <v>37.0</v>
      </c>
      <c r="BE336" s="2">
        <v>4.0</v>
      </c>
      <c r="BF336" s="2">
        <v>13.0</v>
      </c>
      <c r="BG336" s="2">
        <v>1.0</v>
      </c>
      <c r="BH336" s="2">
        <v>3.0</v>
      </c>
      <c r="BI336" s="2">
        <v>18.0</v>
      </c>
      <c r="BJ336" s="2">
        <v>7.0</v>
      </c>
      <c r="BK336" s="2">
        <v>1.0</v>
      </c>
      <c r="BL336" s="2">
        <v>0.0</v>
      </c>
      <c r="BM336" s="2">
        <v>2.0</v>
      </c>
      <c r="BN336" s="2">
        <v>0.0</v>
      </c>
      <c r="BO336" s="2">
        <v>0.0</v>
      </c>
      <c r="BP336" s="2">
        <v>0.0</v>
      </c>
      <c r="BQ336" s="2">
        <v>0.0</v>
      </c>
      <c r="BR336" s="2">
        <v>1.0</v>
      </c>
      <c r="BS336" s="2">
        <v>0.0</v>
      </c>
      <c r="BT336" s="2">
        <v>1.0</v>
      </c>
      <c r="BU336" s="2">
        <v>0.0</v>
      </c>
      <c r="BV336" s="2">
        <v>0.0</v>
      </c>
      <c r="BW336" s="2">
        <v>5.0</v>
      </c>
      <c r="BX336" s="2">
        <v>30.0</v>
      </c>
      <c r="BY336" s="2">
        <v>3.0</v>
      </c>
      <c r="BZ336" s="2">
        <v>0.0</v>
      </c>
      <c r="CA336" s="2">
        <v>1.0</v>
      </c>
      <c r="CB336" s="2">
        <v>0.0</v>
      </c>
      <c r="CC336" s="2">
        <v>1.0</v>
      </c>
      <c r="CD336" s="2">
        <v>0.0</v>
      </c>
      <c r="CE336" s="2">
        <v>0.0</v>
      </c>
      <c r="CF336" s="2">
        <v>0.0</v>
      </c>
      <c r="CG336" s="2">
        <v>3.0</v>
      </c>
      <c r="CH336" s="2">
        <v>86.0</v>
      </c>
      <c r="CI336" s="2">
        <v>3.0</v>
      </c>
      <c r="CJ336" s="2">
        <v>3.0</v>
      </c>
      <c r="CK336" s="2">
        <v>0.0</v>
      </c>
      <c r="CL336" s="2">
        <v>0.0</v>
      </c>
      <c r="CM336" s="2">
        <v>35.0</v>
      </c>
      <c r="CN336" s="2">
        <v>1.0</v>
      </c>
      <c r="CO336" s="2">
        <v>0.0</v>
      </c>
      <c r="CP336" s="2">
        <v>1.0</v>
      </c>
      <c r="CQ336" s="2">
        <v>2.0</v>
      </c>
      <c r="CR336" s="2">
        <v>0.0</v>
      </c>
      <c r="CS336" s="2">
        <v>0.0</v>
      </c>
      <c r="CT336" s="2">
        <v>0.0</v>
      </c>
      <c r="CU336" s="2">
        <v>0.0</v>
      </c>
      <c r="CV336" s="2">
        <v>0.0</v>
      </c>
      <c r="CW336" s="2">
        <v>0.0</v>
      </c>
      <c r="CX336" s="2">
        <v>0.0</v>
      </c>
      <c r="CY336" s="2">
        <v>0.0</v>
      </c>
      <c r="CZ336" s="2">
        <v>0.0</v>
      </c>
      <c r="DA336" s="2" t="s">
        <v>2183</v>
      </c>
      <c r="DD336" s="2">
        <v>93.0</v>
      </c>
      <c r="DE336" s="2">
        <v>0.0</v>
      </c>
      <c r="DF336" s="2">
        <v>0.0</v>
      </c>
      <c r="DG336" s="2">
        <v>2.0</v>
      </c>
      <c r="DH336" s="2">
        <v>2.0</v>
      </c>
      <c r="DI336" s="2">
        <v>0.0</v>
      </c>
      <c r="DJ336" s="2">
        <v>0.0</v>
      </c>
      <c r="DK336" s="2">
        <v>1.0</v>
      </c>
      <c r="DL336" s="2">
        <v>0.0</v>
      </c>
      <c r="DM336" s="2">
        <v>0.0</v>
      </c>
      <c r="DN336" s="2">
        <v>0.0</v>
      </c>
      <c r="DO336" s="2">
        <v>0.0</v>
      </c>
      <c r="DP336" s="2">
        <v>0.0</v>
      </c>
      <c r="DQ336" s="2">
        <v>4.0</v>
      </c>
      <c r="DR336" s="2">
        <v>0.0</v>
      </c>
      <c r="DS336" s="2">
        <v>74.0</v>
      </c>
      <c r="DT336" s="2">
        <v>246.0</v>
      </c>
      <c r="DU336" s="2">
        <v>1.0</v>
      </c>
      <c r="DV336" s="2">
        <v>1.0</v>
      </c>
      <c r="DW336" s="2">
        <v>0.0</v>
      </c>
      <c r="DX336" s="2">
        <v>0.0</v>
      </c>
      <c r="DY336" s="2">
        <v>0.0</v>
      </c>
      <c r="DZ336" s="2">
        <v>3.0</v>
      </c>
      <c r="EA336" s="2">
        <v>23.0</v>
      </c>
      <c r="EB336" s="2">
        <v>0.0</v>
      </c>
      <c r="EC336" s="2">
        <v>223.0</v>
      </c>
      <c r="EE336" s="2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2">
        <v>2025.0</v>
      </c>
      <c r="B337" s="2">
        <v>12.0</v>
      </c>
      <c r="C337" s="2" t="s">
        <v>136</v>
      </c>
      <c r="D337" s="2" t="s">
        <v>390</v>
      </c>
      <c r="E337" s="2" t="s">
        <v>947</v>
      </c>
      <c r="F337" s="2" t="s">
        <v>140</v>
      </c>
      <c r="G337" s="2">
        <v>24.0</v>
      </c>
      <c r="H337" s="2">
        <v>34.0</v>
      </c>
      <c r="I337" s="2">
        <v>253.0</v>
      </c>
      <c r="J337" s="2">
        <v>0.0</v>
      </c>
      <c r="K337" s="2">
        <v>2.0</v>
      </c>
      <c r="L337" s="2">
        <v>8.0</v>
      </c>
      <c r="M337" s="2">
        <v>-70.0</v>
      </c>
      <c r="N337" s="2">
        <v>0.0</v>
      </c>
      <c r="O337" s="2">
        <v>0.0</v>
      </c>
      <c r="P337" s="2">
        <v>161.0</v>
      </c>
      <c r="Q337" s="2">
        <v>180.0</v>
      </c>
      <c r="R337" s="2">
        <v>9.0</v>
      </c>
      <c r="S337" s="2">
        <v>-7.27776372080334</v>
      </c>
      <c r="T337" s="2">
        <v>0.771186593919992</v>
      </c>
      <c r="U337" s="2">
        <v>0.0</v>
      </c>
      <c r="V337" s="2">
        <v>8.0</v>
      </c>
      <c r="W337" s="2">
        <v>5.0</v>
      </c>
      <c r="X337" s="2">
        <v>4.0</v>
      </c>
      <c r="Y337" s="2">
        <v>2.0</v>
      </c>
      <c r="Z337" s="2">
        <v>24.0</v>
      </c>
      <c r="AA337" s="2">
        <v>143.0</v>
      </c>
      <c r="AB337" s="2">
        <v>1.0</v>
      </c>
      <c r="AC337" s="2">
        <v>0.0</v>
      </c>
      <c r="AD337" s="2">
        <v>0.0</v>
      </c>
      <c r="AE337" s="2">
        <v>5.0</v>
      </c>
      <c r="AF337" s="2">
        <v>2.610295501363</v>
      </c>
      <c r="AG337" s="2">
        <v>0.0</v>
      </c>
      <c r="AH337" s="2">
        <v>4.0</v>
      </c>
      <c r="AI337" s="2">
        <v>4.0</v>
      </c>
      <c r="AJ337" s="2">
        <v>2.0</v>
      </c>
      <c r="AK337" s="2">
        <v>1.0</v>
      </c>
      <c r="AL337" s="2">
        <v>24.0</v>
      </c>
      <c r="AM337" s="2">
        <v>32.0</v>
      </c>
      <c r="AN337" s="2">
        <v>253.0</v>
      </c>
      <c r="AO337" s="2">
        <v>0.0</v>
      </c>
      <c r="AP337" s="2">
        <v>1.0</v>
      </c>
      <c r="AQ337" s="2">
        <v>1.0</v>
      </c>
      <c r="AR337" s="2">
        <v>161.0</v>
      </c>
      <c r="AS337" s="2">
        <v>180.0</v>
      </c>
      <c r="AT337" s="2">
        <v>9.0</v>
      </c>
      <c r="AU337" s="2">
        <v>0.974933509949089</v>
      </c>
      <c r="AV337" s="2">
        <v>0.0</v>
      </c>
      <c r="AW337" s="2">
        <v>9.0</v>
      </c>
      <c r="AX337" s="2">
        <v>5.0</v>
      </c>
      <c r="AY337" s="2">
        <v>4.0</v>
      </c>
      <c r="AZ337" s="2">
        <v>1.0</v>
      </c>
      <c r="BA337" s="2">
        <v>1.0</v>
      </c>
      <c r="BB337" s="2">
        <v>28.0</v>
      </c>
      <c r="BC337" s="2">
        <v>1.0</v>
      </c>
      <c r="BD337" s="2">
        <v>33.0</v>
      </c>
      <c r="BE337" s="2">
        <v>3.0</v>
      </c>
      <c r="BF337" s="2">
        <v>8.0</v>
      </c>
      <c r="BG337" s="2">
        <v>0.0</v>
      </c>
      <c r="BH337" s="2">
        <v>0.0</v>
      </c>
      <c r="BI337" s="2">
        <v>0.0</v>
      </c>
      <c r="BJ337" s="2">
        <v>4.0</v>
      </c>
      <c r="BK337" s="2">
        <v>0.0</v>
      </c>
      <c r="BL337" s="2">
        <v>0.0</v>
      </c>
      <c r="BM337" s="2">
        <v>5.0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0.0</v>
      </c>
      <c r="BT337" s="2">
        <v>0.0</v>
      </c>
      <c r="BU337" s="2">
        <v>0.0</v>
      </c>
      <c r="BV337" s="2">
        <v>0.0</v>
      </c>
      <c r="BW337" s="2">
        <v>6.0</v>
      </c>
      <c r="BX337" s="2">
        <v>54.0</v>
      </c>
      <c r="BY337" s="2">
        <v>3.0</v>
      </c>
      <c r="BZ337" s="2">
        <v>1.0</v>
      </c>
      <c r="CA337" s="2">
        <v>0.0</v>
      </c>
      <c r="CB337" s="2">
        <v>0.0</v>
      </c>
      <c r="CC337" s="2">
        <v>1.0</v>
      </c>
      <c r="CD337" s="2">
        <v>1.0</v>
      </c>
      <c r="CE337" s="2">
        <v>4.0</v>
      </c>
      <c r="CF337" s="2">
        <v>15.0</v>
      </c>
      <c r="CG337" s="2">
        <v>4.0</v>
      </c>
      <c r="CH337" s="2">
        <v>167.0</v>
      </c>
      <c r="CI337" s="2">
        <v>2.0</v>
      </c>
      <c r="CJ337" s="2">
        <v>2.0</v>
      </c>
      <c r="CK337" s="2">
        <v>0.0</v>
      </c>
      <c r="CL337" s="2">
        <v>0.0</v>
      </c>
      <c r="CM337" s="2">
        <v>44.0</v>
      </c>
      <c r="CN337" s="2">
        <v>1.0</v>
      </c>
      <c r="CO337" s="2">
        <v>0.0</v>
      </c>
      <c r="CP337" s="2">
        <v>0.0</v>
      </c>
      <c r="CQ337" s="2">
        <v>1.0</v>
      </c>
      <c r="CR337" s="2">
        <v>1.0</v>
      </c>
      <c r="CS337" s="2">
        <v>0.0</v>
      </c>
      <c r="CT337" s="2">
        <v>0.0</v>
      </c>
      <c r="CU337" s="2">
        <v>0.0</v>
      </c>
      <c r="CV337" s="2">
        <v>0.0</v>
      </c>
      <c r="CW337" s="2">
        <v>0.0</v>
      </c>
      <c r="CX337" s="2">
        <v>0.0</v>
      </c>
      <c r="CY337" s="2">
        <v>0.0</v>
      </c>
      <c r="CZ337" s="2">
        <v>0.0</v>
      </c>
      <c r="DA337" s="2" t="s">
        <v>2184</v>
      </c>
      <c r="DD337" s="2">
        <v>82.0</v>
      </c>
      <c r="DE337" s="2">
        <v>0.0</v>
      </c>
      <c r="DF337" s="2">
        <v>0.0</v>
      </c>
      <c r="DG337" s="2">
        <v>1.0</v>
      </c>
      <c r="DH337" s="2">
        <v>2.0</v>
      </c>
      <c r="DI337" s="2">
        <v>1.0</v>
      </c>
      <c r="DJ337" s="2">
        <v>0.0</v>
      </c>
      <c r="DK337" s="2">
        <v>0.5</v>
      </c>
      <c r="DL337" s="2">
        <v>0.0</v>
      </c>
      <c r="DM337" s="2">
        <v>0.0</v>
      </c>
      <c r="DN337" s="2">
        <v>0.0</v>
      </c>
      <c r="DO337" s="2">
        <v>0.0</v>
      </c>
      <c r="DP337" s="2">
        <v>0.0</v>
      </c>
      <c r="DQ337" s="2">
        <v>3.0</v>
      </c>
      <c r="DR337" s="2">
        <v>0.0</v>
      </c>
      <c r="DS337" s="2">
        <v>48.0</v>
      </c>
      <c r="DT337" s="2">
        <v>136.0</v>
      </c>
      <c r="DU337" s="2">
        <v>0.0</v>
      </c>
      <c r="DV337" s="2">
        <v>0.0</v>
      </c>
      <c r="DW337" s="2">
        <v>0.0</v>
      </c>
      <c r="DX337" s="2">
        <v>0.0</v>
      </c>
      <c r="DY337" s="2">
        <v>3.0</v>
      </c>
      <c r="DZ337" s="2">
        <v>0.0</v>
      </c>
      <c r="EA337" s="2">
        <v>0.0</v>
      </c>
      <c r="EB337" s="2">
        <v>0.0</v>
      </c>
      <c r="EC337" s="2">
        <v>136.0</v>
      </c>
      <c r="EE337" s="2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2">
        <v>2025.0</v>
      </c>
      <c r="B338" s="2">
        <v>12.0</v>
      </c>
      <c r="C338" s="2" t="s">
        <v>189</v>
      </c>
      <c r="D338" s="2" t="s">
        <v>390</v>
      </c>
      <c r="E338" s="2" t="s">
        <v>979</v>
      </c>
      <c r="F338" s="2" t="s">
        <v>246</v>
      </c>
      <c r="G338" s="2">
        <v>18.0</v>
      </c>
      <c r="H338" s="2">
        <v>29.0</v>
      </c>
      <c r="I338" s="2">
        <v>169.0</v>
      </c>
      <c r="J338" s="2">
        <v>1.0</v>
      </c>
      <c r="K338" s="2">
        <v>2.0</v>
      </c>
      <c r="L338" s="2">
        <v>1.0</v>
      </c>
      <c r="M338" s="2">
        <v>-8.0</v>
      </c>
      <c r="N338" s="2">
        <v>0.0</v>
      </c>
      <c r="O338" s="2">
        <v>0.0</v>
      </c>
      <c r="P338" s="2">
        <v>171.0</v>
      </c>
      <c r="Q338" s="2">
        <v>122.0</v>
      </c>
      <c r="R338" s="2">
        <v>9.0</v>
      </c>
      <c r="S338" s="2">
        <v>-9.99272370149493</v>
      </c>
      <c r="T338" s="2">
        <v>-2.59943140877618</v>
      </c>
      <c r="U338" s="2">
        <v>0.0</v>
      </c>
      <c r="V338" s="2">
        <v>9.0</v>
      </c>
      <c r="W338" s="2">
        <v>2.0</v>
      </c>
      <c r="X338" s="2">
        <v>1.0</v>
      </c>
      <c r="Y338" s="2">
        <v>0.0</v>
      </c>
      <c r="Z338" s="2">
        <v>13.0</v>
      </c>
      <c r="AA338" s="2">
        <v>69.0</v>
      </c>
      <c r="AB338" s="2">
        <v>0.0</v>
      </c>
      <c r="AC338" s="2">
        <v>0.0</v>
      </c>
      <c r="AD338" s="2">
        <v>0.0</v>
      </c>
      <c r="AE338" s="2">
        <v>3.0</v>
      </c>
      <c r="AF338" s="2">
        <v>1.16411321610212</v>
      </c>
      <c r="AG338" s="2">
        <v>0.0</v>
      </c>
      <c r="AH338" s="2">
        <v>2.0</v>
      </c>
      <c r="AI338" s="2">
        <v>1.0</v>
      </c>
      <c r="AJ338" s="2">
        <v>0.0</v>
      </c>
      <c r="AK338" s="2">
        <v>0.0</v>
      </c>
      <c r="AL338" s="2">
        <v>18.0</v>
      </c>
      <c r="AM338" s="2">
        <v>27.0</v>
      </c>
      <c r="AN338" s="2">
        <v>169.0</v>
      </c>
      <c r="AO338" s="2">
        <v>1.0</v>
      </c>
      <c r="AP338" s="2">
        <v>0.0</v>
      </c>
      <c r="AQ338" s="2">
        <v>0.0</v>
      </c>
      <c r="AR338" s="2">
        <v>171.0</v>
      </c>
      <c r="AS338" s="2">
        <v>122.0</v>
      </c>
      <c r="AT338" s="2">
        <v>9.0</v>
      </c>
      <c r="AU338" s="2">
        <v>-7.6152553038869</v>
      </c>
      <c r="AV338" s="2">
        <v>0.0</v>
      </c>
      <c r="AW338" s="2">
        <v>9.0</v>
      </c>
      <c r="AX338" s="2">
        <v>2.0</v>
      </c>
      <c r="AY338" s="2">
        <v>1.0</v>
      </c>
      <c r="AZ338" s="2">
        <v>0.0</v>
      </c>
      <c r="BA338" s="2">
        <v>0.0</v>
      </c>
      <c r="BB338" s="2">
        <v>32.0</v>
      </c>
      <c r="BC338" s="2">
        <v>0.0</v>
      </c>
      <c r="BD338" s="2">
        <v>58.0</v>
      </c>
      <c r="BE338" s="2">
        <v>3.0</v>
      </c>
      <c r="BF338" s="2">
        <v>11.0</v>
      </c>
      <c r="BG338" s="2">
        <v>1.0</v>
      </c>
      <c r="BH338" s="2">
        <v>0.0</v>
      </c>
      <c r="BI338" s="2">
        <v>0.0</v>
      </c>
      <c r="BJ338" s="2">
        <v>1.0</v>
      </c>
      <c r="BK338" s="2">
        <v>3.0</v>
      </c>
      <c r="BL338" s="2">
        <v>36.0</v>
      </c>
      <c r="BM338" s="2">
        <v>4.0</v>
      </c>
      <c r="BN338" s="2">
        <v>0.0</v>
      </c>
      <c r="BO338" s="2">
        <v>0.0</v>
      </c>
      <c r="BP338" s="2">
        <v>0.0</v>
      </c>
      <c r="BQ338" s="2">
        <v>0.0</v>
      </c>
      <c r="BR338" s="2">
        <v>1.0</v>
      </c>
      <c r="BS338" s="2">
        <v>0.0</v>
      </c>
      <c r="BT338" s="2">
        <v>0.0</v>
      </c>
      <c r="BU338" s="2">
        <v>0.0</v>
      </c>
      <c r="BV338" s="2">
        <v>0.0</v>
      </c>
      <c r="BW338" s="2">
        <v>4.0</v>
      </c>
      <c r="BX338" s="2">
        <v>30.0</v>
      </c>
      <c r="BY338" s="2">
        <v>4.0</v>
      </c>
      <c r="BZ338" s="2">
        <v>1.0</v>
      </c>
      <c r="CA338" s="2">
        <v>0.0</v>
      </c>
      <c r="CB338" s="2">
        <v>0.0</v>
      </c>
      <c r="CC338" s="2">
        <v>1.0</v>
      </c>
      <c r="CD338" s="2">
        <v>0.0</v>
      </c>
      <c r="CE338" s="2">
        <v>1.0</v>
      </c>
      <c r="CF338" s="2">
        <v>6.0</v>
      </c>
      <c r="CG338" s="2">
        <v>3.0</v>
      </c>
      <c r="CH338" s="2">
        <v>74.0</v>
      </c>
      <c r="CI338" s="2">
        <v>1.0</v>
      </c>
      <c r="CJ338" s="2">
        <v>2.0</v>
      </c>
      <c r="CK338" s="2">
        <v>1.0</v>
      </c>
      <c r="CL338" s="2">
        <v>0.0</v>
      </c>
      <c r="CM338" s="2">
        <v>25.0</v>
      </c>
      <c r="CN338" s="2">
        <v>0.5</v>
      </c>
      <c r="CO338" s="2">
        <v>0.0</v>
      </c>
      <c r="CP338" s="2">
        <v>1.0</v>
      </c>
      <c r="CQ338" s="2">
        <v>0.0</v>
      </c>
      <c r="CR338" s="2">
        <v>0.0</v>
      </c>
      <c r="CS338" s="2">
        <v>0.0</v>
      </c>
      <c r="CT338" s="2">
        <v>0.0</v>
      </c>
      <c r="CU338" s="2">
        <v>0.0</v>
      </c>
      <c r="CV338" s="2">
        <v>0.0</v>
      </c>
      <c r="CW338" s="2">
        <v>0.0</v>
      </c>
      <c r="CX338" s="2">
        <v>0.0</v>
      </c>
      <c r="CY338" s="2">
        <v>1.0</v>
      </c>
      <c r="CZ338" s="2">
        <v>0.0</v>
      </c>
      <c r="DA338" s="2" t="s">
        <v>2043</v>
      </c>
      <c r="DB338" s="2" t="s">
        <v>2023</v>
      </c>
      <c r="DD338" s="2">
        <v>25.0</v>
      </c>
      <c r="DE338" s="2">
        <v>57.0</v>
      </c>
      <c r="DF338" s="2">
        <v>0.0</v>
      </c>
      <c r="DG338" s="2">
        <v>0.0</v>
      </c>
      <c r="DH338" s="2">
        <v>0.0</v>
      </c>
      <c r="DI338" s="2">
        <v>0.0</v>
      </c>
      <c r="DJ338" s="2">
        <v>0.0</v>
      </c>
      <c r="DL338" s="2">
        <v>0.0</v>
      </c>
      <c r="DM338" s="2">
        <v>0.0</v>
      </c>
      <c r="DN338" s="2">
        <v>0.0</v>
      </c>
      <c r="DO338" s="2">
        <v>0.0</v>
      </c>
      <c r="DP338" s="2">
        <v>0.0</v>
      </c>
      <c r="DQ338" s="2">
        <v>4.0</v>
      </c>
      <c r="DR338" s="2">
        <v>0.0</v>
      </c>
      <c r="DS338" s="2">
        <v>55.0</v>
      </c>
      <c r="DT338" s="2">
        <v>201.0</v>
      </c>
      <c r="DU338" s="2">
        <v>2.0</v>
      </c>
      <c r="DV338" s="2">
        <v>1.0</v>
      </c>
      <c r="DW338" s="2">
        <v>1.0</v>
      </c>
      <c r="DX338" s="2">
        <v>1.0</v>
      </c>
      <c r="DY338" s="2">
        <v>1.0</v>
      </c>
      <c r="DZ338" s="2">
        <v>0.0</v>
      </c>
      <c r="EA338" s="2">
        <v>0.0</v>
      </c>
      <c r="EB338" s="2">
        <v>0.0</v>
      </c>
      <c r="EC338" s="2">
        <v>181.0</v>
      </c>
      <c r="EE338" s="2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2">
        <v>2025.0</v>
      </c>
      <c r="B339" s="2">
        <v>12.0</v>
      </c>
      <c r="C339" s="2" t="s">
        <v>137</v>
      </c>
      <c r="D339" s="2" t="s">
        <v>390</v>
      </c>
      <c r="E339" s="2" t="s">
        <v>953</v>
      </c>
      <c r="F339" s="2" t="s">
        <v>242</v>
      </c>
      <c r="G339" s="2">
        <v>19.0</v>
      </c>
      <c r="H339" s="2">
        <v>35.0</v>
      </c>
      <c r="I339" s="2">
        <v>239.0</v>
      </c>
      <c r="J339" s="2">
        <v>3.0</v>
      </c>
      <c r="K339" s="2">
        <v>0.0</v>
      </c>
      <c r="L339" s="2">
        <v>1.0</v>
      </c>
      <c r="M339" s="2">
        <v>-10.0</v>
      </c>
      <c r="N339" s="2">
        <v>1.0</v>
      </c>
      <c r="O339" s="2">
        <v>1.0</v>
      </c>
      <c r="P339" s="2">
        <v>328.0</v>
      </c>
      <c r="Q339" s="2">
        <v>98.0</v>
      </c>
      <c r="R339" s="2">
        <v>11.0</v>
      </c>
      <c r="S339" s="2">
        <v>0.536427479232593</v>
      </c>
      <c r="T339" s="2">
        <v>-3.92437160015106</v>
      </c>
      <c r="U339" s="2">
        <v>0.0</v>
      </c>
      <c r="V339" s="2">
        <v>12.0</v>
      </c>
      <c r="W339" s="2">
        <v>7.0</v>
      </c>
      <c r="X339" s="2">
        <v>3.0</v>
      </c>
      <c r="Y339" s="2">
        <v>0.0</v>
      </c>
      <c r="Z339" s="2">
        <v>25.0</v>
      </c>
      <c r="AA339" s="2">
        <v>99.0</v>
      </c>
      <c r="AB339" s="2">
        <v>1.0</v>
      </c>
      <c r="AC339" s="2">
        <v>1.0</v>
      </c>
      <c r="AD339" s="2">
        <v>1.0</v>
      </c>
      <c r="AE339" s="2">
        <v>7.0</v>
      </c>
      <c r="AF339" s="2">
        <v>0.260624888469465</v>
      </c>
      <c r="AG339" s="2">
        <v>0.0</v>
      </c>
      <c r="AH339" s="2">
        <v>2.0</v>
      </c>
      <c r="AI339" s="2">
        <v>2.0</v>
      </c>
      <c r="AJ339" s="2">
        <v>0.0</v>
      </c>
      <c r="AK339" s="2">
        <v>0.0</v>
      </c>
      <c r="AL339" s="2">
        <v>19.0</v>
      </c>
      <c r="AM339" s="2">
        <v>30.0</v>
      </c>
      <c r="AN339" s="2">
        <v>239.0</v>
      </c>
      <c r="AO339" s="2">
        <v>3.0</v>
      </c>
      <c r="AP339" s="2">
        <v>0.0</v>
      </c>
      <c r="AQ339" s="2">
        <v>0.0</v>
      </c>
      <c r="AR339" s="2">
        <v>328.0</v>
      </c>
      <c r="AS339" s="2">
        <v>98.0</v>
      </c>
      <c r="AT339" s="2">
        <v>11.0</v>
      </c>
      <c r="AU339" s="2">
        <v>8.76446104707429</v>
      </c>
      <c r="AV339" s="2">
        <v>0.0</v>
      </c>
      <c r="AW339" s="2">
        <v>12.0</v>
      </c>
      <c r="AX339" s="2">
        <v>7.0</v>
      </c>
      <c r="AY339" s="2">
        <v>3.0</v>
      </c>
      <c r="AZ339" s="2">
        <v>0.0</v>
      </c>
      <c r="BA339" s="2">
        <v>0.0</v>
      </c>
      <c r="BB339" s="2">
        <v>38.0</v>
      </c>
      <c r="BC339" s="2">
        <v>2.0</v>
      </c>
      <c r="BD339" s="2">
        <v>48.0</v>
      </c>
      <c r="BE339" s="2">
        <v>5.0</v>
      </c>
      <c r="BF339" s="2">
        <v>16.0</v>
      </c>
      <c r="BG339" s="2">
        <v>2.0</v>
      </c>
      <c r="BH339" s="2">
        <v>2.0</v>
      </c>
      <c r="BI339" s="2">
        <v>12.0</v>
      </c>
      <c r="BJ339" s="2">
        <v>4.0</v>
      </c>
      <c r="BK339" s="2">
        <v>1.0</v>
      </c>
      <c r="BL339" s="2">
        <v>0.0</v>
      </c>
      <c r="BM339" s="2">
        <v>4.0</v>
      </c>
      <c r="BN339" s="2">
        <v>0.0</v>
      </c>
      <c r="BO339" s="2">
        <v>0.0</v>
      </c>
      <c r="BP339" s="2">
        <v>0.0</v>
      </c>
      <c r="BQ339" s="2">
        <v>0.0</v>
      </c>
      <c r="BR339" s="2">
        <v>0.0</v>
      </c>
      <c r="BS339" s="2">
        <v>0.0</v>
      </c>
      <c r="BT339" s="2">
        <v>1.0</v>
      </c>
      <c r="BU339" s="2">
        <v>0.0</v>
      </c>
      <c r="BV339" s="2">
        <v>0.0</v>
      </c>
      <c r="BW339" s="2">
        <v>7.0</v>
      </c>
      <c r="BX339" s="2">
        <v>83.0</v>
      </c>
      <c r="BY339" s="2">
        <v>3.0</v>
      </c>
      <c r="BZ339" s="2">
        <v>2.0</v>
      </c>
      <c r="CA339" s="2">
        <v>0.0</v>
      </c>
      <c r="CB339" s="2">
        <v>0.0</v>
      </c>
      <c r="CC339" s="2">
        <v>2.0</v>
      </c>
      <c r="CD339" s="2">
        <v>2.0</v>
      </c>
      <c r="CE339" s="2">
        <v>0.0</v>
      </c>
      <c r="CF339" s="2">
        <v>0.0</v>
      </c>
      <c r="CG339" s="2">
        <v>5.0</v>
      </c>
      <c r="CH339" s="2">
        <v>134.0</v>
      </c>
      <c r="CI339" s="2">
        <v>1.0</v>
      </c>
      <c r="CJ339" s="2">
        <v>1.0</v>
      </c>
      <c r="CK339" s="2">
        <v>0.0</v>
      </c>
      <c r="CL339" s="2">
        <v>0.0</v>
      </c>
      <c r="CM339" s="2">
        <v>47.0</v>
      </c>
      <c r="CN339" s="2">
        <v>1.0</v>
      </c>
      <c r="CO339" s="2">
        <v>0.0</v>
      </c>
      <c r="CP339" s="2">
        <v>0.0</v>
      </c>
      <c r="CQ339" s="2">
        <v>0.0</v>
      </c>
      <c r="CR339" s="2">
        <v>1.0</v>
      </c>
      <c r="CS339" s="2">
        <v>0.0</v>
      </c>
      <c r="CT339" s="2">
        <v>0.0</v>
      </c>
      <c r="CU339" s="2">
        <v>0.0</v>
      </c>
      <c r="CV339" s="2">
        <v>0.0</v>
      </c>
      <c r="CW339" s="2">
        <v>0.0</v>
      </c>
      <c r="CX339" s="2">
        <v>0.0</v>
      </c>
      <c r="CY339" s="2">
        <v>0.0</v>
      </c>
      <c r="CZ339" s="2">
        <v>0.0</v>
      </c>
      <c r="DA339" s="2" t="s">
        <v>2036</v>
      </c>
      <c r="DD339" s="2">
        <v>47.0</v>
      </c>
      <c r="DE339" s="2">
        <v>0.0</v>
      </c>
      <c r="DF339" s="2">
        <v>0.0</v>
      </c>
      <c r="DG339" s="2">
        <v>4.0</v>
      </c>
      <c r="DH339" s="2">
        <v>4.0</v>
      </c>
      <c r="DI339" s="2">
        <v>0.0</v>
      </c>
      <c r="DJ339" s="2">
        <v>0.0</v>
      </c>
      <c r="DK339" s="2">
        <v>1.0</v>
      </c>
      <c r="DL339" s="2">
        <v>0.0</v>
      </c>
      <c r="DM339" s="2">
        <v>0.0</v>
      </c>
      <c r="DN339" s="2">
        <v>0.0</v>
      </c>
      <c r="DO339" s="2">
        <v>0.0</v>
      </c>
      <c r="DP339" s="2">
        <v>0.0</v>
      </c>
      <c r="DQ339" s="2">
        <v>4.0</v>
      </c>
      <c r="DR339" s="2">
        <v>0.0</v>
      </c>
      <c r="DS339" s="2">
        <v>58.0</v>
      </c>
      <c r="DT339" s="2">
        <v>202.0</v>
      </c>
      <c r="DU339" s="2">
        <v>1.0</v>
      </c>
      <c r="DV339" s="2">
        <v>0.0</v>
      </c>
      <c r="DW339" s="2">
        <v>1.0</v>
      </c>
      <c r="DX339" s="2">
        <v>1.0</v>
      </c>
      <c r="DY339" s="2">
        <v>0.0</v>
      </c>
      <c r="DZ339" s="2">
        <v>2.0</v>
      </c>
      <c r="EA339" s="2">
        <v>24.0</v>
      </c>
      <c r="EB339" s="2">
        <v>0.0</v>
      </c>
      <c r="EC339" s="2">
        <v>158.0</v>
      </c>
      <c r="EE339" s="2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2">
        <v>2025.0</v>
      </c>
      <c r="B340" s="2">
        <v>12.0</v>
      </c>
      <c r="C340" s="2" t="s">
        <v>138</v>
      </c>
      <c r="D340" s="2" t="s">
        <v>390</v>
      </c>
      <c r="E340" s="2" t="s">
        <v>957</v>
      </c>
      <c r="F340" s="2" t="s">
        <v>145</v>
      </c>
      <c r="G340" s="2">
        <v>20.0</v>
      </c>
      <c r="H340" s="2">
        <v>38.0</v>
      </c>
      <c r="I340" s="2">
        <v>197.0</v>
      </c>
      <c r="J340" s="2">
        <v>1.0</v>
      </c>
      <c r="K340" s="2">
        <v>1.0</v>
      </c>
      <c r="L340" s="2">
        <v>1.0</v>
      </c>
      <c r="M340" s="2">
        <v>-10.0</v>
      </c>
      <c r="N340" s="2">
        <v>0.0</v>
      </c>
      <c r="O340" s="2">
        <v>0.0</v>
      </c>
      <c r="P340" s="2">
        <v>336.0</v>
      </c>
      <c r="Q340" s="2">
        <v>60.0</v>
      </c>
      <c r="R340" s="2">
        <v>10.0</v>
      </c>
      <c r="S340" s="2">
        <v>-13.6377245389189</v>
      </c>
      <c r="T340" s="2">
        <v>-5.87153776603587</v>
      </c>
      <c r="U340" s="2">
        <v>0.0</v>
      </c>
      <c r="V340" s="2">
        <v>10.0</v>
      </c>
      <c r="W340" s="2">
        <v>5.0</v>
      </c>
      <c r="X340" s="2">
        <v>0.0</v>
      </c>
      <c r="Y340" s="2">
        <v>0.0</v>
      </c>
      <c r="Z340" s="2">
        <v>23.0</v>
      </c>
      <c r="AA340" s="2">
        <v>120.0</v>
      </c>
      <c r="AB340" s="2">
        <v>0.0</v>
      </c>
      <c r="AC340" s="2">
        <v>0.0</v>
      </c>
      <c r="AD340" s="2">
        <v>0.0</v>
      </c>
      <c r="AE340" s="2">
        <v>8.0</v>
      </c>
      <c r="AF340" s="2">
        <v>1.64942736853845</v>
      </c>
      <c r="AG340" s="2">
        <v>0.0</v>
      </c>
      <c r="AH340" s="2">
        <v>3.0</v>
      </c>
      <c r="AI340" s="2">
        <v>2.0</v>
      </c>
      <c r="AJ340" s="2">
        <v>1.0</v>
      </c>
      <c r="AK340" s="2">
        <v>0.0</v>
      </c>
      <c r="AL340" s="2">
        <v>20.0</v>
      </c>
      <c r="AM340" s="2">
        <v>34.0</v>
      </c>
      <c r="AN340" s="2">
        <v>197.0</v>
      </c>
      <c r="AO340" s="2">
        <v>1.0</v>
      </c>
      <c r="AP340" s="2">
        <v>0.0</v>
      </c>
      <c r="AQ340" s="2">
        <v>0.0</v>
      </c>
      <c r="AR340" s="2">
        <v>336.0</v>
      </c>
      <c r="AS340" s="2">
        <v>60.0</v>
      </c>
      <c r="AT340" s="2">
        <v>10.0</v>
      </c>
      <c r="AU340" s="2">
        <v>-7.9937777468325</v>
      </c>
      <c r="AV340" s="2">
        <v>0.0</v>
      </c>
      <c r="AW340" s="2">
        <v>10.0</v>
      </c>
      <c r="AX340" s="2">
        <v>5.0</v>
      </c>
      <c r="AY340" s="2">
        <v>0.0</v>
      </c>
      <c r="AZ340" s="2">
        <v>0.0</v>
      </c>
      <c r="BA340" s="2">
        <v>0.0</v>
      </c>
      <c r="BB340" s="2">
        <v>33.0</v>
      </c>
      <c r="BC340" s="2">
        <v>0.0</v>
      </c>
      <c r="BD340" s="2">
        <v>48.0</v>
      </c>
      <c r="BE340" s="2">
        <v>3.0</v>
      </c>
      <c r="BF340" s="2">
        <v>11.0</v>
      </c>
      <c r="BG340" s="2">
        <v>0.0</v>
      </c>
      <c r="BH340" s="2">
        <v>1.0</v>
      </c>
      <c r="BI340" s="2">
        <v>9.0</v>
      </c>
      <c r="BJ340" s="2">
        <v>3.0</v>
      </c>
      <c r="BK340" s="2">
        <v>1.0</v>
      </c>
      <c r="BL340" s="2">
        <v>32.0</v>
      </c>
      <c r="BM340" s="2">
        <v>5.0</v>
      </c>
      <c r="BN340" s="2">
        <v>1.0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6.0</v>
      </c>
      <c r="BX340" s="2">
        <v>65.0</v>
      </c>
      <c r="BY340" s="2">
        <v>6.0</v>
      </c>
      <c r="BZ340" s="2">
        <v>0.0</v>
      </c>
      <c r="CA340" s="2">
        <v>0.0</v>
      </c>
      <c r="CB340" s="2">
        <v>0.0</v>
      </c>
      <c r="CC340" s="2">
        <v>0.0</v>
      </c>
      <c r="CD340" s="2">
        <v>0.0</v>
      </c>
      <c r="CE340" s="2">
        <v>2.0</v>
      </c>
      <c r="CF340" s="2">
        <v>14.0</v>
      </c>
      <c r="CG340" s="2">
        <v>5.0</v>
      </c>
      <c r="CH340" s="2">
        <v>116.0</v>
      </c>
      <c r="CI340" s="2">
        <v>2.0</v>
      </c>
      <c r="CJ340" s="2">
        <v>2.0</v>
      </c>
      <c r="CK340" s="2">
        <v>0.0</v>
      </c>
      <c r="CL340" s="2">
        <v>0.0</v>
      </c>
      <c r="CM340" s="2">
        <v>63.0</v>
      </c>
      <c r="CN340" s="2">
        <v>1.0</v>
      </c>
      <c r="CO340" s="2">
        <v>0.0</v>
      </c>
      <c r="CP340" s="2">
        <v>0.0</v>
      </c>
      <c r="CQ340" s="2">
        <v>0.0</v>
      </c>
      <c r="CR340" s="2">
        <v>0.0</v>
      </c>
      <c r="CS340" s="2">
        <v>1.0</v>
      </c>
      <c r="CT340" s="2">
        <v>1.0</v>
      </c>
      <c r="CU340" s="2">
        <v>0.0</v>
      </c>
      <c r="CV340" s="2">
        <v>0.0</v>
      </c>
      <c r="CW340" s="2">
        <v>0.0</v>
      </c>
      <c r="CX340" s="2">
        <v>0.0</v>
      </c>
      <c r="CY340" s="2">
        <v>0.0</v>
      </c>
      <c r="CZ340" s="2">
        <v>0.0</v>
      </c>
      <c r="DA340" s="2" t="s">
        <v>2185</v>
      </c>
      <c r="DD340" s="2">
        <v>117.0</v>
      </c>
      <c r="DE340" s="2">
        <v>0.0</v>
      </c>
      <c r="DF340" s="2">
        <v>0.0</v>
      </c>
      <c r="DG340" s="2">
        <v>2.0</v>
      </c>
      <c r="DH340" s="2">
        <v>2.0</v>
      </c>
      <c r="DI340" s="2">
        <v>0.0</v>
      </c>
      <c r="DJ340" s="2">
        <v>0.0</v>
      </c>
      <c r="DK340" s="2">
        <v>1.0</v>
      </c>
      <c r="DL340" s="2">
        <v>0.0</v>
      </c>
      <c r="DM340" s="2">
        <v>0.0</v>
      </c>
      <c r="DN340" s="2">
        <v>0.0</v>
      </c>
      <c r="DO340" s="2">
        <v>0.0</v>
      </c>
      <c r="DP340" s="2">
        <v>0.0</v>
      </c>
      <c r="DQ340" s="2">
        <v>5.0</v>
      </c>
      <c r="DR340" s="2">
        <v>0.0</v>
      </c>
      <c r="DS340" s="2">
        <v>60.0</v>
      </c>
      <c r="DT340" s="2">
        <v>227.0</v>
      </c>
      <c r="DU340" s="2">
        <v>3.0</v>
      </c>
      <c r="DV340" s="2">
        <v>1.0</v>
      </c>
      <c r="DW340" s="2">
        <v>1.0</v>
      </c>
      <c r="DX340" s="2">
        <v>1.0</v>
      </c>
      <c r="DY340" s="2">
        <v>1.0</v>
      </c>
      <c r="DZ340" s="2">
        <v>1.0</v>
      </c>
      <c r="EA340" s="2">
        <v>0.0</v>
      </c>
      <c r="EB340" s="2">
        <v>0.0</v>
      </c>
      <c r="EC340" s="2">
        <v>207.0</v>
      </c>
      <c r="EE340" s="2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2">
        <v>2025.0</v>
      </c>
      <c r="B341" s="2">
        <v>12.0</v>
      </c>
      <c r="C341" s="2" t="s">
        <v>196</v>
      </c>
      <c r="D341" s="2" t="s">
        <v>390</v>
      </c>
      <c r="E341" s="2" t="s">
        <v>969</v>
      </c>
      <c r="F341" s="2" t="s">
        <v>222</v>
      </c>
      <c r="G341" s="2">
        <v>11.0</v>
      </c>
      <c r="H341" s="2">
        <v>20.0</v>
      </c>
      <c r="I341" s="2">
        <v>209.0</v>
      </c>
      <c r="J341" s="2">
        <v>1.0</v>
      </c>
      <c r="K341" s="2">
        <v>1.0</v>
      </c>
      <c r="L341" s="2">
        <v>1.0</v>
      </c>
      <c r="M341" s="2">
        <v>-3.0</v>
      </c>
      <c r="N341" s="2">
        <v>0.0</v>
      </c>
      <c r="O341" s="2">
        <v>0.0</v>
      </c>
      <c r="P341" s="2">
        <v>195.0</v>
      </c>
      <c r="Q341" s="2">
        <v>146.0</v>
      </c>
      <c r="R341" s="2">
        <v>4.0</v>
      </c>
      <c r="S341" s="2">
        <v>1.98207522217273</v>
      </c>
      <c r="T341" s="2">
        <v>-6.13165481223</v>
      </c>
      <c r="U341" s="2">
        <v>0.0</v>
      </c>
      <c r="V341" s="2">
        <v>5.0</v>
      </c>
      <c r="W341" s="2">
        <v>4.0</v>
      </c>
      <c r="X341" s="2">
        <v>3.0</v>
      </c>
      <c r="Y341" s="2">
        <v>2.0</v>
      </c>
      <c r="Z341" s="2">
        <v>27.0</v>
      </c>
      <c r="AA341" s="2">
        <v>64.0</v>
      </c>
      <c r="AB341" s="2">
        <v>2.0</v>
      </c>
      <c r="AC341" s="2">
        <v>0.0</v>
      </c>
      <c r="AD341" s="2">
        <v>0.0</v>
      </c>
      <c r="AE341" s="2">
        <v>4.0</v>
      </c>
      <c r="AF341" s="2">
        <v>-7.63632237771526</v>
      </c>
      <c r="AG341" s="2">
        <v>0.0</v>
      </c>
      <c r="AH341" s="2">
        <v>2.0</v>
      </c>
      <c r="AI341" s="2">
        <v>1.0</v>
      </c>
      <c r="AJ341" s="2">
        <v>1.0</v>
      </c>
      <c r="AK341" s="2">
        <v>0.0</v>
      </c>
      <c r="AL341" s="2">
        <v>11.0</v>
      </c>
      <c r="AM341" s="2">
        <v>18.0</v>
      </c>
      <c r="AN341" s="2">
        <v>209.0</v>
      </c>
      <c r="AO341" s="2">
        <v>1.0</v>
      </c>
      <c r="AP341" s="2">
        <v>1.0</v>
      </c>
      <c r="AQ341" s="2">
        <v>1.0</v>
      </c>
      <c r="AR341" s="2">
        <v>195.0</v>
      </c>
      <c r="AS341" s="2">
        <v>146.0</v>
      </c>
      <c r="AT341" s="2">
        <v>4.0</v>
      </c>
      <c r="AU341" s="2">
        <v>0.268900876153221</v>
      </c>
      <c r="AV341" s="2">
        <v>0.0</v>
      </c>
      <c r="AW341" s="2">
        <v>5.0</v>
      </c>
      <c r="AX341" s="2">
        <v>4.0</v>
      </c>
      <c r="AY341" s="2">
        <v>3.0</v>
      </c>
      <c r="AZ341" s="2">
        <v>2.0</v>
      </c>
      <c r="BA341" s="2">
        <v>0.0</v>
      </c>
      <c r="BB341" s="2">
        <v>41.0</v>
      </c>
      <c r="BC341" s="2">
        <v>4.0</v>
      </c>
      <c r="BD341" s="2">
        <v>44.0</v>
      </c>
      <c r="BE341" s="2">
        <v>13.0</v>
      </c>
      <c r="BF341" s="2">
        <v>72.0</v>
      </c>
      <c r="BG341" s="2">
        <v>2.0</v>
      </c>
      <c r="BH341" s="2">
        <v>10.0</v>
      </c>
      <c r="BI341" s="2">
        <v>77.0</v>
      </c>
      <c r="BJ341" s="2">
        <v>20.0</v>
      </c>
      <c r="BK341" s="2">
        <v>0.0</v>
      </c>
      <c r="BL341" s="2">
        <v>0.0</v>
      </c>
      <c r="BM341" s="2">
        <v>5.0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1.0</v>
      </c>
      <c r="BU341" s="2">
        <v>0.0</v>
      </c>
      <c r="BV341" s="2">
        <v>0.0</v>
      </c>
      <c r="BW341" s="2">
        <v>8.0</v>
      </c>
      <c r="BX341" s="2">
        <v>77.0</v>
      </c>
      <c r="BY341" s="2">
        <v>2.0</v>
      </c>
      <c r="BZ341" s="2">
        <v>1.0</v>
      </c>
      <c r="CA341" s="2">
        <v>0.0</v>
      </c>
      <c r="CB341" s="2">
        <v>0.0</v>
      </c>
      <c r="CC341" s="2">
        <v>1.0</v>
      </c>
      <c r="CD341" s="2">
        <v>1.0</v>
      </c>
      <c r="CE341" s="2">
        <v>4.0</v>
      </c>
      <c r="CF341" s="2">
        <v>61.0</v>
      </c>
      <c r="CG341" s="2">
        <v>3.0</v>
      </c>
      <c r="CH341" s="2">
        <v>86.0</v>
      </c>
      <c r="CI341" s="2">
        <v>1.0</v>
      </c>
      <c r="CJ341" s="2">
        <v>1.0</v>
      </c>
      <c r="CK341" s="2">
        <v>0.0</v>
      </c>
      <c r="CL341" s="2">
        <v>0.0</v>
      </c>
      <c r="CM341" s="2">
        <v>53.0</v>
      </c>
      <c r="CN341" s="2">
        <v>1.0</v>
      </c>
      <c r="CO341" s="2">
        <v>0.0</v>
      </c>
      <c r="CP341" s="2">
        <v>0.0</v>
      </c>
      <c r="CQ341" s="2">
        <v>0.0</v>
      </c>
      <c r="CR341" s="2">
        <v>0.0</v>
      </c>
      <c r="CS341" s="2">
        <v>1.0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0.0</v>
      </c>
      <c r="DA341" s="2" t="s">
        <v>2072</v>
      </c>
      <c r="DD341" s="2">
        <v>53.0</v>
      </c>
      <c r="DE341" s="2">
        <v>0.0</v>
      </c>
      <c r="DF341" s="2">
        <v>0.0</v>
      </c>
      <c r="DG341" s="2">
        <v>3.0</v>
      </c>
      <c r="DH341" s="2">
        <v>3.0</v>
      </c>
      <c r="DI341" s="2">
        <v>0.0</v>
      </c>
      <c r="DJ341" s="2">
        <v>0.0</v>
      </c>
      <c r="DK341" s="2">
        <v>1.0</v>
      </c>
      <c r="DL341" s="2">
        <v>0.0</v>
      </c>
      <c r="DM341" s="2">
        <v>0.0</v>
      </c>
      <c r="DN341" s="2">
        <v>0.0</v>
      </c>
      <c r="DO341" s="2">
        <v>0.0</v>
      </c>
      <c r="DP341" s="2">
        <v>0.0</v>
      </c>
      <c r="DQ341" s="2">
        <v>8.0</v>
      </c>
      <c r="DR341" s="2">
        <v>0.0</v>
      </c>
      <c r="DS341" s="2">
        <v>46.0</v>
      </c>
      <c r="DT341" s="2">
        <v>318.0</v>
      </c>
      <c r="DU341" s="2">
        <v>2.0</v>
      </c>
      <c r="DV341" s="2">
        <v>1.0</v>
      </c>
      <c r="DW341" s="2">
        <v>0.0</v>
      </c>
      <c r="DX341" s="2">
        <v>1.0</v>
      </c>
      <c r="DY341" s="2">
        <v>4.0</v>
      </c>
      <c r="DZ341" s="2">
        <v>2.0</v>
      </c>
      <c r="EA341" s="2">
        <v>10.0</v>
      </c>
      <c r="EB341" s="2">
        <v>0.0</v>
      </c>
      <c r="EC341" s="2">
        <v>288.0</v>
      </c>
      <c r="EE341" s="2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2">
        <v>2025.0</v>
      </c>
      <c r="B342" s="2">
        <v>12.0</v>
      </c>
      <c r="C342" s="2" t="s">
        <v>146</v>
      </c>
      <c r="D342" s="2" t="s">
        <v>390</v>
      </c>
      <c r="E342" s="2" t="s">
        <v>973</v>
      </c>
      <c r="F342" s="2" t="s">
        <v>147</v>
      </c>
      <c r="G342" s="2">
        <v>23.0</v>
      </c>
      <c r="H342" s="2">
        <v>36.0</v>
      </c>
      <c r="I342" s="2">
        <v>354.0</v>
      </c>
      <c r="J342" s="2">
        <v>2.0</v>
      </c>
      <c r="K342" s="2">
        <v>1.0</v>
      </c>
      <c r="L342" s="2">
        <v>1.0</v>
      </c>
      <c r="M342" s="2">
        <v>-6.0</v>
      </c>
      <c r="N342" s="2">
        <v>0.0</v>
      </c>
      <c r="O342" s="2">
        <v>0.0</v>
      </c>
      <c r="P342" s="2">
        <v>366.0</v>
      </c>
      <c r="Q342" s="2">
        <v>129.0</v>
      </c>
      <c r="R342" s="2">
        <v>16.0</v>
      </c>
      <c r="S342" s="2">
        <v>4.56407701104418</v>
      </c>
      <c r="T342" s="2">
        <v>1.47022877420698</v>
      </c>
      <c r="U342" s="2">
        <v>0.0</v>
      </c>
      <c r="V342" s="2">
        <v>13.0</v>
      </c>
      <c r="W342" s="2">
        <v>8.0</v>
      </c>
      <c r="X342" s="2">
        <v>5.0</v>
      </c>
      <c r="Y342" s="2">
        <v>3.0</v>
      </c>
      <c r="Z342" s="2">
        <v>31.0</v>
      </c>
      <c r="AA342" s="2">
        <v>125.0</v>
      </c>
      <c r="AB342" s="2">
        <v>1.0</v>
      </c>
      <c r="AC342" s="2">
        <v>1.0</v>
      </c>
      <c r="AD342" s="2">
        <v>1.0</v>
      </c>
      <c r="AE342" s="2">
        <v>6.0</v>
      </c>
      <c r="AF342" s="2">
        <v>-7.14324847128592</v>
      </c>
      <c r="AG342" s="2">
        <v>0.0</v>
      </c>
      <c r="AH342" s="2">
        <v>3.0</v>
      </c>
      <c r="AI342" s="2">
        <v>3.0</v>
      </c>
      <c r="AJ342" s="2">
        <v>2.0</v>
      </c>
      <c r="AK342" s="2">
        <v>0.0</v>
      </c>
      <c r="AL342" s="2">
        <v>23.0</v>
      </c>
      <c r="AM342" s="2">
        <v>35.0</v>
      </c>
      <c r="AN342" s="2">
        <v>354.0</v>
      </c>
      <c r="AO342" s="2">
        <v>2.0</v>
      </c>
      <c r="AP342" s="2">
        <v>1.0</v>
      </c>
      <c r="AQ342" s="2">
        <v>0.0</v>
      </c>
      <c r="AR342" s="2">
        <v>366.0</v>
      </c>
      <c r="AS342" s="2">
        <v>129.0</v>
      </c>
      <c r="AT342" s="2">
        <v>16.0</v>
      </c>
      <c r="AU342" s="2">
        <v>6.17660220098062</v>
      </c>
      <c r="AV342" s="2">
        <v>0.0</v>
      </c>
      <c r="AW342" s="2">
        <v>13.0</v>
      </c>
      <c r="AX342" s="2">
        <v>8.0</v>
      </c>
      <c r="AY342" s="2">
        <v>5.0</v>
      </c>
      <c r="AZ342" s="2">
        <v>3.0</v>
      </c>
      <c r="BA342" s="2">
        <v>0.0</v>
      </c>
      <c r="BB342" s="2">
        <v>35.0</v>
      </c>
      <c r="BC342" s="2">
        <v>0.0</v>
      </c>
      <c r="BD342" s="2">
        <v>24.0</v>
      </c>
      <c r="BE342" s="2">
        <v>2.0</v>
      </c>
      <c r="BF342" s="2">
        <v>14.0</v>
      </c>
      <c r="BG342" s="2">
        <v>2.0</v>
      </c>
      <c r="BH342" s="2">
        <v>1.0</v>
      </c>
      <c r="BI342" s="2">
        <v>13.0</v>
      </c>
      <c r="BJ342" s="2">
        <v>6.0</v>
      </c>
      <c r="BK342" s="2">
        <v>0.0</v>
      </c>
      <c r="BL342" s="2">
        <v>0.0</v>
      </c>
      <c r="BM342" s="2">
        <v>3.0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2.0</v>
      </c>
      <c r="BU342" s="2">
        <v>0.0</v>
      </c>
      <c r="BV342" s="2">
        <v>0.0</v>
      </c>
      <c r="BW342" s="2">
        <v>8.0</v>
      </c>
      <c r="BX342" s="2">
        <v>69.0</v>
      </c>
      <c r="BY342" s="2">
        <v>3.0</v>
      </c>
      <c r="BZ342" s="2">
        <v>1.0</v>
      </c>
      <c r="CA342" s="2">
        <v>1.0</v>
      </c>
      <c r="CB342" s="2">
        <v>1.0</v>
      </c>
      <c r="CC342" s="2">
        <v>2.0</v>
      </c>
      <c r="CD342" s="2">
        <v>1.0</v>
      </c>
      <c r="CE342" s="2">
        <v>1.0</v>
      </c>
      <c r="CF342" s="2">
        <v>1.0</v>
      </c>
      <c r="CG342" s="2">
        <v>3.0</v>
      </c>
      <c r="CH342" s="2">
        <v>85.0</v>
      </c>
      <c r="CI342" s="2">
        <v>1.0</v>
      </c>
      <c r="CJ342" s="2">
        <v>2.0</v>
      </c>
      <c r="CK342" s="2">
        <v>1.0</v>
      </c>
      <c r="CL342" s="2">
        <v>0.0</v>
      </c>
      <c r="CM342" s="2">
        <v>42.0</v>
      </c>
      <c r="CN342" s="2">
        <v>0.5</v>
      </c>
      <c r="CO342" s="2">
        <v>0.0</v>
      </c>
      <c r="CP342" s="2">
        <v>0.0</v>
      </c>
      <c r="CQ342" s="2">
        <v>0.0</v>
      </c>
      <c r="CR342" s="2">
        <v>1.0</v>
      </c>
      <c r="CS342" s="2">
        <v>0.0</v>
      </c>
      <c r="CT342" s="2">
        <v>0.0</v>
      </c>
      <c r="CU342" s="2">
        <v>0.0</v>
      </c>
      <c r="CV342" s="2">
        <v>0.0</v>
      </c>
      <c r="CW342" s="2">
        <v>0.0</v>
      </c>
      <c r="CX342" s="2">
        <v>0.0</v>
      </c>
      <c r="CY342" s="2">
        <v>1.0</v>
      </c>
      <c r="CZ342" s="2">
        <v>0.0</v>
      </c>
      <c r="DA342" s="2" t="s">
        <v>1966</v>
      </c>
      <c r="DB342" s="2" t="s">
        <v>2015</v>
      </c>
      <c r="DD342" s="2">
        <v>42.0</v>
      </c>
      <c r="DE342" s="2">
        <v>51.0</v>
      </c>
      <c r="DF342" s="2">
        <v>0.0</v>
      </c>
      <c r="DG342" s="2">
        <v>3.0</v>
      </c>
      <c r="DH342" s="2">
        <v>3.0</v>
      </c>
      <c r="DI342" s="2">
        <v>0.0</v>
      </c>
      <c r="DJ342" s="2">
        <v>0.0</v>
      </c>
      <c r="DK342" s="2">
        <v>1.0</v>
      </c>
      <c r="DL342" s="2">
        <v>1.0</v>
      </c>
      <c r="DM342" s="2">
        <v>1.0</v>
      </c>
      <c r="DN342" s="2">
        <v>0.0</v>
      </c>
      <c r="DO342" s="2">
        <v>0.0</v>
      </c>
      <c r="DP342" s="2">
        <v>42.0</v>
      </c>
      <c r="DQ342" s="2">
        <v>3.0</v>
      </c>
      <c r="DR342" s="2">
        <v>0.0</v>
      </c>
      <c r="DS342" s="2">
        <v>62.0</v>
      </c>
      <c r="DT342" s="2">
        <v>168.0</v>
      </c>
      <c r="DU342" s="2">
        <v>1.0</v>
      </c>
      <c r="DV342" s="2">
        <v>0.0</v>
      </c>
      <c r="DW342" s="2">
        <v>0.0</v>
      </c>
      <c r="DX342" s="2">
        <v>0.0</v>
      </c>
      <c r="DY342" s="2">
        <v>1.0</v>
      </c>
      <c r="DZ342" s="2">
        <v>2.0</v>
      </c>
      <c r="EA342" s="2">
        <v>19.0</v>
      </c>
      <c r="EB342" s="2">
        <v>0.0</v>
      </c>
      <c r="EC342" s="2">
        <v>149.0</v>
      </c>
      <c r="EE342" s="2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2">
        <v>2025.0</v>
      </c>
      <c r="B343" s="2">
        <v>12.0</v>
      </c>
      <c r="C343" s="2" t="s">
        <v>202</v>
      </c>
      <c r="D343" s="2" t="s">
        <v>390</v>
      </c>
      <c r="E343" s="2" t="s">
        <v>959</v>
      </c>
      <c r="F343" s="2" t="s">
        <v>235</v>
      </c>
      <c r="G343" s="2">
        <v>28.0</v>
      </c>
      <c r="H343" s="2">
        <v>42.0</v>
      </c>
      <c r="I343" s="2">
        <v>279.0</v>
      </c>
      <c r="J343" s="2">
        <v>2.0</v>
      </c>
      <c r="K343" s="2">
        <v>1.0</v>
      </c>
      <c r="L343" s="2">
        <v>3.0</v>
      </c>
      <c r="M343" s="2">
        <v>-22.0</v>
      </c>
      <c r="N343" s="2">
        <v>0.0</v>
      </c>
      <c r="O343" s="2">
        <v>0.0</v>
      </c>
      <c r="P343" s="2">
        <v>221.0</v>
      </c>
      <c r="Q343" s="2">
        <v>169.0</v>
      </c>
      <c r="R343" s="2">
        <v>13.0</v>
      </c>
      <c r="S343" s="2">
        <v>-6.873389415541</v>
      </c>
      <c r="T343" s="2">
        <v>-2.88757619104887</v>
      </c>
      <c r="U343" s="2">
        <v>0.0</v>
      </c>
      <c r="V343" s="2">
        <v>10.0</v>
      </c>
      <c r="W343" s="2">
        <v>7.0</v>
      </c>
      <c r="X343" s="2">
        <v>5.0</v>
      </c>
      <c r="Y343" s="2">
        <v>0.0</v>
      </c>
      <c r="Z343" s="2">
        <v>20.0</v>
      </c>
      <c r="AA343" s="2">
        <v>237.0</v>
      </c>
      <c r="AB343" s="2">
        <v>2.0</v>
      </c>
      <c r="AC343" s="2">
        <v>0.0</v>
      </c>
      <c r="AD343" s="2">
        <v>0.0</v>
      </c>
      <c r="AE343" s="2">
        <v>9.0</v>
      </c>
      <c r="AF343" s="2">
        <v>15.5527197560004</v>
      </c>
      <c r="AG343" s="2">
        <v>0.0</v>
      </c>
      <c r="AH343" s="2">
        <v>4.0</v>
      </c>
      <c r="AI343" s="2">
        <v>3.0</v>
      </c>
      <c r="AJ343" s="2">
        <v>3.0</v>
      </c>
      <c r="AK343" s="2">
        <v>3.0</v>
      </c>
      <c r="AL343" s="2">
        <v>28.0</v>
      </c>
      <c r="AM343" s="2">
        <v>38.0</v>
      </c>
      <c r="AN343" s="2">
        <v>279.0</v>
      </c>
      <c r="AO343" s="2">
        <v>2.0</v>
      </c>
      <c r="AP343" s="2">
        <v>0.0</v>
      </c>
      <c r="AQ343" s="2">
        <v>0.0</v>
      </c>
      <c r="AR343" s="2">
        <v>221.0</v>
      </c>
      <c r="AS343" s="2">
        <v>169.0</v>
      </c>
      <c r="AT343" s="2">
        <v>13.0</v>
      </c>
      <c r="AU343" s="2">
        <v>2.83621878446519</v>
      </c>
      <c r="AV343" s="2">
        <v>0.0</v>
      </c>
      <c r="AW343" s="2">
        <v>10.0</v>
      </c>
      <c r="AX343" s="2">
        <v>7.0</v>
      </c>
      <c r="AY343" s="2">
        <v>5.0</v>
      </c>
      <c r="AZ343" s="2">
        <v>0.0</v>
      </c>
      <c r="BA343" s="2">
        <v>0.0</v>
      </c>
      <c r="BB343" s="2">
        <v>41.0</v>
      </c>
      <c r="BC343" s="2">
        <v>2.0</v>
      </c>
      <c r="BD343" s="2">
        <v>40.0</v>
      </c>
      <c r="BE343" s="2">
        <v>4.0</v>
      </c>
      <c r="BF343" s="2">
        <v>10.0</v>
      </c>
      <c r="BG343" s="2">
        <v>1.0</v>
      </c>
      <c r="BH343" s="2">
        <v>1.0</v>
      </c>
      <c r="BI343" s="2">
        <v>4.0</v>
      </c>
      <c r="BJ343" s="2">
        <v>7.0</v>
      </c>
      <c r="BK343" s="2">
        <v>1.0</v>
      </c>
      <c r="BL343" s="2">
        <v>0.0</v>
      </c>
      <c r="BM343" s="2">
        <v>6.0</v>
      </c>
      <c r="BN343" s="2">
        <v>0.0</v>
      </c>
      <c r="BO343" s="2">
        <v>0.0</v>
      </c>
      <c r="BP343" s="2">
        <v>0.0</v>
      </c>
      <c r="BQ343" s="2">
        <v>0.0</v>
      </c>
      <c r="BR343" s="2">
        <v>0.0</v>
      </c>
      <c r="BS343" s="2">
        <v>0.0</v>
      </c>
      <c r="BT343" s="2">
        <v>0.0</v>
      </c>
      <c r="BU343" s="2">
        <v>0.0</v>
      </c>
      <c r="BV343" s="2">
        <v>0.0</v>
      </c>
      <c r="BW343" s="2">
        <v>9.0</v>
      </c>
      <c r="BX343" s="2">
        <v>81.0</v>
      </c>
      <c r="BY343" s="2">
        <v>5.0</v>
      </c>
      <c r="BZ343" s="2">
        <v>0.0</v>
      </c>
      <c r="CA343" s="2">
        <v>0.0</v>
      </c>
      <c r="CB343" s="2">
        <v>0.0</v>
      </c>
      <c r="CC343" s="2">
        <v>0.0</v>
      </c>
      <c r="CD343" s="2">
        <v>0.0</v>
      </c>
      <c r="CE343" s="2">
        <v>0.0</v>
      </c>
      <c r="CF343" s="2">
        <v>0.0</v>
      </c>
      <c r="CG343" s="2">
        <v>6.0</v>
      </c>
      <c r="CH343" s="2">
        <v>183.0</v>
      </c>
      <c r="CI343" s="2">
        <v>2.0</v>
      </c>
      <c r="CJ343" s="2">
        <v>2.0</v>
      </c>
      <c r="CK343" s="2">
        <v>0.0</v>
      </c>
      <c r="CL343" s="2">
        <v>0.0</v>
      </c>
      <c r="CM343" s="2">
        <v>59.0</v>
      </c>
      <c r="CN343" s="2">
        <v>1.0</v>
      </c>
      <c r="CO343" s="2">
        <v>0.0</v>
      </c>
      <c r="CP343" s="2">
        <v>0.0</v>
      </c>
      <c r="CQ343" s="2">
        <v>1.0</v>
      </c>
      <c r="CR343" s="2">
        <v>0.0</v>
      </c>
      <c r="CS343" s="2">
        <v>1.0</v>
      </c>
      <c r="CT343" s="2">
        <v>0.0</v>
      </c>
      <c r="CU343" s="2">
        <v>0.0</v>
      </c>
      <c r="CV343" s="2">
        <v>0.0</v>
      </c>
      <c r="CW343" s="2">
        <v>0.0</v>
      </c>
      <c r="CX343" s="2">
        <v>0.0</v>
      </c>
      <c r="CY343" s="2">
        <v>0.0</v>
      </c>
      <c r="CZ343" s="2">
        <v>0.0</v>
      </c>
      <c r="DA343" s="2" t="s">
        <v>2186</v>
      </c>
      <c r="DD343" s="2">
        <v>96.0</v>
      </c>
      <c r="DE343" s="2">
        <v>0.0</v>
      </c>
      <c r="DF343" s="2">
        <v>0.0</v>
      </c>
      <c r="DG343" s="2">
        <v>4.0</v>
      </c>
      <c r="DH343" s="2">
        <v>4.0</v>
      </c>
      <c r="DI343" s="2">
        <v>0.0</v>
      </c>
      <c r="DJ343" s="2">
        <v>0.0</v>
      </c>
      <c r="DK343" s="2">
        <v>1.0</v>
      </c>
      <c r="DL343" s="2">
        <v>0.0</v>
      </c>
      <c r="DM343" s="2">
        <v>0.0</v>
      </c>
      <c r="DN343" s="2">
        <v>0.0</v>
      </c>
      <c r="DO343" s="2">
        <v>0.0</v>
      </c>
      <c r="DP343" s="2">
        <v>0.0</v>
      </c>
      <c r="DQ343" s="2">
        <v>5.0</v>
      </c>
      <c r="DR343" s="2">
        <v>0.0</v>
      </c>
      <c r="DS343" s="2">
        <v>46.0</v>
      </c>
      <c r="DT343" s="2">
        <v>200.0</v>
      </c>
      <c r="DU343" s="2">
        <v>4.0</v>
      </c>
      <c r="DV343" s="2">
        <v>0.0</v>
      </c>
      <c r="DW343" s="2">
        <v>1.0</v>
      </c>
      <c r="DX343" s="2">
        <v>0.0</v>
      </c>
      <c r="DY343" s="2">
        <v>3.0</v>
      </c>
      <c r="DZ343" s="2">
        <v>1.0</v>
      </c>
      <c r="EA343" s="2">
        <v>0.0</v>
      </c>
      <c r="EB343" s="2">
        <v>0.0</v>
      </c>
      <c r="EC343" s="2">
        <v>200.0</v>
      </c>
      <c r="EE343" s="2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2">
        <v>2025.0</v>
      </c>
      <c r="B344" s="2">
        <v>12.0</v>
      </c>
      <c r="C344" s="2" t="s">
        <v>205</v>
      </c>
      <c r="D344" s="2" t="s">
        <v>390</v>
      </c>
      <c r="E344" s="2" t="s">
        <v>961</v>
      </c>
      <c r="F344" s="2" t="s">
        <v>144</v>
      </c>
      <c r="G344" s="2">
        <v>15.0</v>
      </c>
      <c r="H344" s="2">
        <v>22.0</v>
      </c>
      <c r="I344" s="2">
        <v>146.0</v>
      </c>
      <c r="J344" s="2">
        <v>0.0</v>
      </c>
      <c r="K344" s="2">
        <v>0.0</v>
      </c>
      <c r="L344" s="2">
        <v>1.0</v>
      </c>
      <c r="M344" s="2">
        <v>-4.0</v>
      </c>
      <c r="N344" s="2">
        <v>0.0</v>
      </c>
      <c r="O344" s="2">
        <v>0.0</v>
      </c>
      <c r="P344" s="2">
        <v>177.0</v>
      </c>
      <c r="Q344" s="2">
        <v>65.0</v>
      </c>
      <c r="R344" s="2">
        <v>8.0</v>
      </c>
      <c r="S344" s="2">
        <v>5.86080078145048</v>
      </c>
      <c r="T344" s="2">
        <v>5.10760290282113</v>
      </c>
      <c r="U344" s="2">
        <v>0.0</v>
      </c>
      <c r="V344" s="2">
        <v>8.0</v>
      </c>
      <c r="W344" s="2">
        <v>2.0</v>
      </c>
      <c r="X344" s="2">
        <v>0.0</v>
      </c>
      <c r="Y344" s="2">
        <v>0.0</v>
      </c>
      <c r="Z344" s="2">
        <v>42.0</v>
      </c>
      <c r="AA344" s="2">
        <v>146.0</v>
      </c>
      <c r="AB344" s="2">
        <v>2.0</v>
      </c>
      <c r="AC344" s="2">
        <v>0.0</v>
      </c>
      <c r="AD344" s="2">
        <v>0.0</v>
      </c>
      <c r="AE344" s="2">
        <v>13.0</v>
      </c>
      <c r="AF344" s="2">
        <v>-6.85648117816811</v>
      </c>
      <c r="AG344" s="2">
        <v>0.0</v>
      </c>
      <c r="AH344" s="2">
        <v>6.0</v>
      </c>
      <c r="AI344" s="2">
        <v>2.0</v>
      </c>
      <c r="AJ344" s="2">
        <v>0.0</v>
      </c>
      <c r="AK344" s="2">
        <v>0.0</v>
      </c>
      <c r="AL344" s="2">
        <v>15.0</v>
      </c>
      <c r="AM344" s="2">
        <v>21.0</v>
      </c>
      <c r="AN344" s="2">
        <v>146.0</v>
      </c>
      <c r="AO344" s="2">
        <v>0.0</v>
      </c>
      <c r="AP344" s="2">
        <v>0.0</v>
      </c>
      <c r="AQ344" s="2">
        <v>0.0</v>
      </c>
      <c r="AR344" s="2">
        <v>177.0</v>
      </c>
      <c r="AS344" s="2">
        <v>65.0</v>
      </c>
      <c r="AT344" s="2">
        <v>8.0</v>
      </c>
      <c r="AU344" s="2">
        <v>8.43566302393447</v>
      </c>
      <c r="AV344" s="2">
        <v>0.0</v>
      </c>
      <c r="AW344" s="2">
        <v>8.0</v>
      </c>
      <c r="AX344" s="2">
        <v>2.0</v>
      </c>
      <c r="AY344" s="2">
        <v>0.0</v>
      </c>
      <c r="AZ344" s="2">
        <v>0.0</v>
      </c>
      <c r="BA344" s="2">
        <v>0.0</v>
      </c>
      <c r="BB344" s="2">
        <v>31.0</v>
      </c>
      <c r="BC344" s="2">
        <v>0.0</v>
      </c>
      <c r="BD344" s="2">
        <v>20.0</v>
      </c>
      <c r="BE344" s="2">
        <v>7.0</v>
      </c>
      <c r="BF344" s="2">
        <v>32.0</v>
      </c>
      <c r="BG344" s="2">
        <v>0.0</v>
      </c>
      <c r="BH344" s="2">
        <v>5.0</v>
      </c>
      <c r="BI344" s="2">
        <v>35.0</v>
      </c>
      <c r="BJ344" s="2">
        <v>10.0</v>
      </c>
      <c r="BK344" s="2">
        <v>2.0</v>
      </c>
      <c r="BL344" s="2">
        <v>0.0</v>
      </c>
      <c r="BM344" s="2">
        <v>4.0</v>
      </c>
      <c r="BN344" s="2">
        <v>0.0</v>
      </c>
      <c r="BO344" s="2">
        <v>0.0</v>
      </c>
      <c r="BP344" s="2">
        <v>0.0</v>
      </c>
      <c r="BQ344" s="2">
        <v>0.0</v>
      </c>
      <c r="BR344" s="2">
        <v>0.0</v>
      </c>
      <c r="BS344" s="2">
        <v>0.0</v>
      </c>
      <c r="BT344" s="2">
        <v>1.0</v>
      </c>
      <c r="BU344" s="2">
        <v>0.0</v>
      </c>
      <c r="BV344" s="2">
        <v>0.0</v>
      </c>
      <c r="BW344" s="2">
        <v>2.0</v>
      </c>
      <c r="BX344" s="2">
        <v>10.0</v>
      </c>
      <c r="BY344" s="2">
        <v>4.0</v>
      </c>
      <c r="BZ344" s="2">
        <v>0.0</v>
      </c>
      <c r="CA344" s="2">
        <v>0.0</v>
      </c>
      <c r="CB344" s="2">
        <v>0.0</v>
      </c>
      <c r="CC344" s="2">
        <v>0.0</v>
      </c>
      <c r="CD344" s="2">
        <v>0.0</v>
      </c>
      <c r="CE344" s="2">
        <v>2.0</v>
      </c>
      <c r="CF344" s="2">
        <v>21.0</v>
      </c>
      <c r="CG344" s="2">
        <v>2.0</v>
      </c>
      <c r="CH344" s="2">
        <v>46.0</v>
      </c>
      <c r="CI344" s="2">
        <v>3.0</v>
      </c>
      <c r="CJ344" s="2">
        <v>3.0</v>
      </c>
      <c r="CK344" s="2">
        <v>0.0</v>
      </c>
      <c r="CL344" s="2">
        <v>0.0</v>
      </c>
      <c r="CM344" s="2">
        <v>40.0</v>
      </c>
      <c r="CN344" s="2">
        <v>1.0</v>
      </c>
      <c r="CO344" s="2">
        <v>0.0</v>
      </c>
      <c r="CP344" s="2">
        <v>0.0</v>
      </c>
      <c r="CQ344" s="2">
        <v>2.0</v>
      </c>
      <c r="CR344" s="2">
        <v>1.0</v>
      </c>
      <c r="CS344" s="2">
        <v>0.0</v>
      </c>
      <c r="CT344" s="2">
        <v>0.0</v>
      </c>
      <c r="CU344" s="2">
        <v>0.0</v>
      </c>
      <c r="CV344" s="2">
        <v>0.0</v>
      </c>
      <c r="CW344" s="2">
        <v>0.0</v>
      </c>
      <c r="CX344" s="2">
        <v>0.0</v>
      </c>
      <c r="CY344" s="2">
        <v>0.0</v>
      </c>
      <c r="CZ344" s="2">
        <v>0.0</v>
      </c>
      <c r="DA344" s="2" t="s">
        <v>2187</v>
      </c>
      <c r="DD344" s="2">
        <v>102.0</v>
      </c>
      <c r="DE344" s="2">
        <v>0.0</v>
      </c>
      <c r="DF344" s="2">
        <v>0.0</v>
      </c>
      <c r="DG344" s="2">
        <v>2.0</v>
      </c>
      <c r="DH344" s="2">
        <v>2.0</v>
      </c>
      <c r="DI344" s="2">
        <v>0.0</v>
      </c>
      <c r="DJ344" s="2">
        <v>0.0</v>
      </c>
      <c r="DK344" s="2">
        <v>1.0</v>
      </c>
      <c r="DL344" s="2">
        <v>0.0</v>
      </c>
      <c r="DM344" s="2">
        <v>0.0</v>
      </c>
      <c r="DN344" s="2">
        <v>0.0</v>
      </c>
      <c r="DO344" s="2">
        <v>0.0</v>
      </c>
      <c r="DP344" s="2">
        <v>0.0</v>
      </c>
      <c r="DQ344" s="2">
        <v>4.0</v>
      </c>
      <c r="DR344" s="2">
        <v>0.0</v>
      </c>
      <c r="DS344" s="2">
        <v>63.0</v>
      </c>
      <c r="DT344" s="2">
        <v>190.0</v>
      </c>
      <c r="DU344" s="2">
        <v>3.0</v>
      </c>
      <c r="DV344" s="2">
        <v>1.0</v>
      </c>
      <c r="DW344" s="2">
        <v>0.0</v>
      </c>
      <c r="DX344" s="2">
        <v>0.0</v>
      </c>
      <c r="DY344" s="2">
        <v>1.0</v>
      </c>
      <c r="DZ344" s="2">
        <v>2.0</v>
      </c>
      <c r="EA344" s="2">
        <v>11.0</v>
      </c>
      <c r="EB344" s="2">
        <v>0.0</v>
      </c>
      <c r="EC344" s="2">
        <v>179.0</v>
      </c>
      <c r="EE344" s="2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2">
        <v>2025.0</v>
      </c>
      <c r="B345" s="2">
        <v>12.0</v>
      </c>
      <c r="C345" s="2" t="s">
        <v>140</v>
      </c>
      <c r="D345" s="2" t="s">
        <v>390</v>
      </c>
      <c r="E345" s="2" t="s">
        <v>947</v>
      </c>
      <c r="F345" s="2" t="s">
        <v>136</v>
      </c>
      <c r="G345" s="2">
        <v>16.0</v>
      </c>
      <c r="H345" s="2">
        <v>30.0</v>
      </c>
      <c r="I345" s="2">
        <v>153.0</v>
      </c>
      <c r="J345" s="2">
        <v>2.0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231.0</v>
      </c>
      <c r="Q345" s="2">
        <v>65.0</v>
      </c>
      <c r="R345" s="2">
        <v>7.0</v>
      </c>
      <c r="S345" s="2">
        <v>-6.35232301850274</v>
      </c>
      <c r="T345" s="2">
        <v>-7.49905013612339</v>
      </c>
      <c r="U345" s="2">
        <v>0.0</v>
      </c>
      <c r="V345" s="2">
        <v>6.0</v>
      </c>
      <c r="W345" s="2">
        <v>4.0</v>
      </c>
      <c r="X345" s="2">
        <v>2.0</v>
      </c>
      <c r="Y345" s="2">
        <v>0.0</v>
      </c>
      <c r="Z345" s="2">
        <v>26.0</v>
      </c>
      <c r="AA345" s="2">
        <v>108.0</v>
      </c>
      <c r="AB345" s="2">
        <v>0.0</v>
      </c>
      <c r="AC345" s="2">
        <v>0.0</v>
      </c>
      <c r="AD345" s="2">
        <v>0.0</v>
      </c>
      <c r="AE345" s="2">
        <v>6.0</v>
      </c>
      <c r="AF345" s="2">
        <v>2.81782941709389</v>
      </c>
      <c r="AG345" s="2">
        <v>0.0</v>
      </c>
      <c r="AH345" s="2">
        <v>3.0</v>
      </c>
      <c r="AI345" s="2">
        <v>2.0</v>
      </c>
      <c r="AJ345" s="2">
        <v>0.0</v>
      </c>
      <c r="AK345" s="2">
        <v>0.0</v>
      </c>
      <c r="AL345" s="2">
        <v>16.0</v>
      </c>
      <c r="AM345" s="2">
        <v>28.0</v>
      </c>
      <c r="AN345" s="2">
        <v>153.0</v>
      </c>
      <c r="AO345" s="2">
        <v>2.0</v>
      </c>
      <c r="AP345" s="2">
        <v>0.0</v>
      </c>
      <c r="AQ345" s="2">
        <v>0.0</v>
      </c>
      <c r="AR345" s="2">
        <v>231.0</v>
      </c>
      <c r="AS345" s="2">
        <v>65.0</v>
      </c>
      <c r="AT345" s="2">
        <v>7.0</v>
      </c>
      <c r="AU345" s="2">
        <v>-3.77603816522688</v>
      </c>
      <c r="AV345" s="2">
        <v>0.0</v>
      </c>
      <c r="AW345" s="2">
        <v>6.0</v>
      </c>
      <c r="AX345" s="2">
        <v>4.0</v>
      </c>
      <c r="AY345" s="2">
        <v>2.0</v>
      </c>
      <c r="AZ345" s="2">
        <v>0.0</v>
      </c>
      <c r="BA345" s="2">
        <v>0.0</v>
      </c>
      <c r="BB345" s="2">
        <v>46.0</v>
      </c>
      <c r="BC345" s="2">
        <v>0.0</v>
      </c>
      <c r="BD345" s="2">
        <v>28.0</v>
      </c>
      <c r="BE345" s="2">
        <v>11.0</v>
      </c>
      <c r="BF345" s="2">
        <v>72.0</v>
      </c>
      <c r="BG345" s="2">
        <v>1.0</v>
      </c>
      <c r="BH345" s="2">
        <v>8.0</v>
      </c>
      <c r="BI345" s="2">
        <v>70.0</v>
      </c>
      <c r="BJ345" s="2">
        <v>12.0</v>
      </c>
      <c r="BK345" s="2">
        <v>2.0</v>
      </c>
      <c r="BL345" s="2">
        <v>29.0</v>
      </c>
      <c r="BM345" s="2">
        <v>5.0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1.0</v>
      </c>
      <c r="BU345" s="2">
        <v>9.0</v>
      </c>
      <c r="BV345" s="2">
        <v>0.0</v>
      </c>
      <c r="BW345" s="2">
        <v>5.0</v>
      </c>
      <c r="BX345" s="2">
        <v>40.0</v>
      </c>
      <c r="BY345" s="2">
        <v>4.0</v>
      </c>
      <c r="BZ345" s="2">
        <v>0.0</v>
      </c>
      <c r="CA345" s="2">
        <v>0.0</v>
      </c>
      <c r="CB345" s="2">
        <v>0.0</v>
      </c>
      <c r="CC345" s="2">
        <v>0.0</v>
      </c>
      <c r="CD345" s="2">
        <v>0.0</v>
      </c>
      <c r="CE345" s="2">
        <v>0.0</v>
      </c>
      <c r="CF345" s="2">
        <v>0.0</v>
      </c>
      <c r="CG345" s="2">
        <v>5.0</v>
      </c>
      <c r="CH345" s="2">
        <v>116.0</v>
      </c>
      <c r="CI345" s="2">
        <v>3.0</v>
      </c>
      <c r="CJ345" s="2">
        <v>3.0</v>
      </c>
      <c r="CK345" s="2">
        <v>0.0</v>
      </c>
      <c r="CL345" s="2">
        <v>0.0</v>
      </c>
      <c r="CM345" s="2">
        <v>43.0</v>
      </c>
      <c r="CN345" s="2">
        <v>1.0</v>
      </c>
      <c r="CO345" s="2">
        <v>0.0</v>
      </c>
      <c r="CP345" s="2">
        <v>2.0</v>
      </c>
      <c r="CQ345" s="2">
        <v>0.0</v>
      </c>
      <c r="CR345" s="2">
        <v>1.0</v>
      </c>
      <c r="CS345" s="2">
        <v>0.0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 t="s">
        <v>2188</v>
      </c>
      <c r="DD345" s="2">
        <v>93.0</v>
      </c>
      <c r="DE345" s="2">
        <v>0.0</v>
      </c>
      <c r="DF345" s="2">
        <v>0.0</v>
      </c>
      <c r="DG345" s="2">
        <v>2.0</v>
      </c>
      <c r="DH345" s="2">
        <v>2.0</v>
      </c>
      <c r="DI345" s="2">
        <v>0.0</v>
      </c>
      <c r="DJ345" s="2">
        <v>0.0</v>
      </c>
      <c r="DK345" s="2">
        <v>1.0</v>
      </c>
      <c r="DL345" s="2">
        <v>0.0</v>
      </c>
      <c r="DM345" s="2">
        <v>0.0</v>
      </c>
      <c r="DN345" s="2">
        <v>0.0</v>
      </c>
      <c r="DO345" s="2">
        <v>0.0</v>
      </c>
      <c r="DP345" s="2">
        <v>0.0</v>
      </c>
      <c r="DQ345" s="2">
        <v>6.0</v>
      </c>
      <c r="DR345" s="2">
        <v>0.0</v>
      </c>
      <c r="DS345" s="2">
        <v>57.0</v>
      </c>
      <c r="DT345" s="2">
        <v>286.0</v>
      </c>
      <c r="DU345" s="2">
        <v>4.0</v>
      </c>
      <c r="DV345" s="2">
        <v>0.0</v>
      </c>
      <c r="DW345" s="2">
        <v>1.0</v>
      </c>
      <c r="DX345" s="2">
        <v>0.0</v>
      </c>
      <c r="DY345" s="2">
        <v>1.0</v>
      </c>
      <c r="DZ345" s="2">
        <v>4.0</v>
      </c>
      <c r="EA345" s="2">
        <v>15.0</v>
      </c>
      <c r="EB345" s="2">
        <v>0.0</v>
      </c>
      <c r="EC345" s="2">
        <v>271.0</v>
      </c>
      <c r="EE345" s="2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2">
        <v>2025.0</v>
      </c>
      <c r="B346" s="2">
        <v>12.0</v>
      </c>
      <c r="C346" s="2" t="s">
        <v>210</v>
      </c>
      <c r="D346" s="2" t="s">
        <v>390</v>
      </c>
      <c r="E346" s="2" t="s">
        <v>963</v>
      </c>
      <c r="F346" s="2" t="s">
        <v>143</v>
      </c>
      <c r="G346" s="2">
        <v>19.0</v>
      </c>
      <c r="H346" s="2">
        <v>31.0</v>
      </c>
      <c r="I346" s="2">
        <v>181.0</v>
      </c>
      <c r="J346" s="2">
        <v>2.0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139.0</v>
      </c>
      <c r="Q346" s="2">
        <v>126.0</v>
      </c>
      <c r="R346" s="2">
        <v>6.0</v>
      </c>
      <c r="S346" s="2">
        <v>1.42967653631723</v>
      </c>
      <c r="T346" s="2">
        <v>-5.14612755467815</v>
      </c>
      <c r="U346" s="2">
        <v>0.0</v>
      </c>
      <c r="V346" s="2">
        <v>5.0</v>
      </c>
      <c r="W346" s="2">
        <v>3.0</v>
      </c>
      <c r="X346" s="2">
        <v>2.0</v>
      </c>
      <c r="Y346" s="2">
        <v>1.0</v>
      </c>
      <c r="Z346" s="2">
        <v>19.0</v>
      </c>
      <c r="AA346" s="2">
        <v>74.0</v>
      </c>
      <c r="AB346" s="2">
        <v>0.0</v>
      </c>
      <c r="AC346" s="2">
        <v>0.0</v>
      </c>
      <c r="AD346" s="2">
        <v>0.0</v>
      </c>
      <c r="AE346" s="2">
        <v>4.0</v>
      </c>
      <c r="AF346" s="2">
        <v>-1.63803769933293</v>
      </c>
      <c r="AG346" s="2">
        <v>0.0</v>
      </c>
      <c r="AH346" s="2">
        <v>2.0</v>
      </c>
      <c r="AI346" s="2">
        <v>2.0</v>
      </c>
      <c r="AJ346" s="2">
        <v>1.0</v>
      </c>
      <c r="AK346" s="2">
        <v>0.0</v>
      </c>
      <c r="AL346" s="2">
        <v>19.0</v>
      </c>
      <c r="AM346" s="2">
        <v>31.0</v>
      </c>
      <c r="AN346" s="2">
        <v>181.0</v>
      </c>
      <c r="AO346" s="2">
        <v>2.0</v>
      </c>
      <c r="AP346" s="2">
        <v>0.0</v>
      </c>
      <c r="AQ346" s="2">
        <v>0.0</v>
      </c>
      <c r="AR346" s="2">
        <v>139.0</v>
      </c>
      <c r="AS346" s="2">
        <v>126.0</v>
      </c>
      <c r="AT346" s="2">
        <v>6.0</v>
      </c>
      <c r="AU346" s="2">
        <v>1.42967653631723</v>
      </c>
      <c r="AV346" s="2">
        <v>0.0</v>
      </c>
      <c r="AW346" s="2">
        <v>5.0</v>
      </c>
      <c r="AX346" s="2">
        <v>3.0</v>
      </c>
      <c r="AY346" s="2">
        <v>2.0</v>
      </c>
      <c r="AZ346" s="2">
        <v>1.0</v>
      </c>
      <c r="BA346" s="2">
        <v>0.0</v>
      </c>
      <c r="BB346" s="2">
        <v>58.0</v>
      </c>
      <c r="BC346" s="2">
        <v>0.0</v>
      </c>
      <c r="BD346" s="2">
        <v>42.0</v>
      </c>
      <c r="BE346" s="2">
        <v>5.0</v>
      </c>
      <c r="BF346" s="2">
        <v>8.0</v>
      </c>
      <c r="BG346" s="2">
        <v>1.0</v>
      </c>
      <c r="BH346" s="2">
        <v>4.0</v>
      </c>
      <c r="BI346" s="2">
        <v>6.0</v>
      </c>
      <c r="BJ346" s="2">
        <v>10.0</v>
      </c>
      <c r="BK346" s="2">
        <v>1.0</v>
      </c>
      <c r="BL346" s="2">
        <v>3.0</v>
      </c>
      <c r="BM346" s="2">
        <v>5.0</v>
      </c>
      <c r="BN346" s="2">
        <v>0.0</v>
      </c>
      <c r="BO346" s="2">
        <v>0.0</v>
      </c>
      <c r="BP346" s="2">
        <v>0.0</v>
      </c>
      <c r="BQ346" s="2">
        <v>0.0</v>
      </c>
      <c r="BR346" s="2">
        <v>0.0</v>
      </c>
      <c r="BS346" s="2">
        <v>0.0</v>
      </c>
      <c r="BT346" s="2">
        <v>1.0</v>
      </c>
      <c r="BU346" s="2">
        <v>0.0</v>
      </c>
      <c r="BV346" s="2">
        <v>0.0</v>
      </c>
      <c r="BW346" s="2">
        <v>11.0</v>
      </c>
      <c r="BX346" s="2">
        <v>83.0</v>
      </c>
      <c r="BY346" s="2">
        <v>6.0</v>
      </c>
      <c r="BZ346" s="2">
        <v>0.0</v>
      </c>
      <c r="CA346" s="2">
        <v>0.0</v>
      </c>
      <c r="CB346" s="2">
        <v>0.0</v>
      </c>
      <c r="CC346" s="2">
        <v>0.0</v>
      </c>
      <c r="CD346" s="2">
        <v>0.0</v>
      </c>
      <c r="CE346" s="2">
        <v>3.0</v>
      </c>
      <c r="CF346" s="2">
        <v>49.0</v>
      </c>
      <c r="CG346" s="2">
        <v>6.0</v>
      </c>
      <c r="CH346" s="2">
        <v>172.0</v>
      </c>
      <c r="CI346" s="2">
        <v>2.0</v>
      </c>
      <c r="CJ346" s="2">
        <v>2.0</v>
      </c>
      <c r="CK346" s="2">
        <v>0.0</v>
      </c>
      <c r="CL346" s="2">
        <v>0.0</v>
      </c>
      <c r="CM346" s="2">
        <v>32.0</v>
      </c>
      <c r="CN346" s="2">
        <v>1.0</v>
      </c>
      <c r="CO346" s="2">
        <v>0.0</v>
      </c>
      <c r="CP346" s="2">
        <v>1.0</v>
      </c>
      <c r="CQ346" s="2">
        <v>1.0</v>
      </c>
      <c r="CR346" s="2">
        <v>0.0</v>
      </c>
      <c r="CS346" s="2">
        <v>0.0</v>
      </c>
      <c r="CT346" s="2">
        <v>0.0</v>
      </c>
      <c r="CU346" s="2">
        <v>0.0</v>
      </c>
      <c r="CV346" s="2">
        <v>0.0</v>
      </c>
      <c r="CW346" s="2">
        <v>0.0</v>
      </c>
      <c r="CX346" s="2">
        <v>0.0</v>
      </c>
      <c r="CY346" s="2">
        <v>0.0</v>
      </c>
      <c r="CZ346" s="2">
        <v>0.0</v>
      </c>
      <c r="DA346" s="2" t="s">
        <v>2189</v>
      </c>
      <c r="DD346" s="2">
        <v>55.0</v>
      </c>
      <c r="DE346" s="2">
        <v>0.0</v>
      </c>
      <c r="DF346" s="2">
        <v>0.0</v>
      </c>
      <c r="DG346" s="2">
        <v>2.0</v>
      </c>
      <c r="DH346" s="2">
        <v>2.0</v>
      </c>
      <c r="DI346" s="2">
        <v>0.0</v>
      </c>
      <c r="DJ346" s="2">
        <v>0.0</v>
      </c>
      <c r="DK346" s="2">
        <v>1.0</v>
      </c>
      <c r="DL346" s="2">
        <v>0.0</v>
      </c>
      <c r="DM346" s="2">
        <v>0.0</v>
      </c>
      <c r="DN346" s="2">
        <v>0.0</v>
      </c>
      <c r="DO346" s="2">
        <v>0.0</v>
      </c>
      <c r="DP346" s="2">
        <v>0.0</v>
      </c>
      <c r="DQ346" s="2">
        <v>6.0</v>
      </c>
      <c r="DR346" s="2">
        <v>0.0</v>
      </c>
      <c r="DS346" s="2">
        <v>59.0</v>
      </c>
      <c r="DT346" s="2">
        <v>294.0</v>
      </c>
      <c r="DU346" s="2">
        <v>5.0</v>
      </c>
      <c r="DV346" s="2">
        <v>0.0</v>
      </c>
      <c r="DW346" s="2">
        <v>0.0</v>
      </c>
      <c r="DX346" s="2">
        <v>0.0</v>
      </c>
      <c r="DY346" s="2">
        <v>2.0</v>
      </c>
      <c r="DZ346" s="2">
        <v>4.0</v>
      </c>
      <c r="EA346" s="2">
        <v>7.0</v>
      </c>
      <c r="EB346" s="2">
        <v>0.0</v>
      </c>
      <c r="EC346" s="2">
        <v>287.0</v>
      </c>
      <c r="EE346" s="2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2">
        <v>2025.0</v>
      </c>
      <c r="B347" s="2">
        <v>12.0</v>
      </c>
      <c r="C347" s="2" t="s">
        <v>141</v>
      </c>
      <c r="D347" s="2" t="s">
        <v>390</v>
      </c>
      <c r="E347" s="2" t="s">
        <v>967</v>
      </c>
      <c r="F347" s="2" t="s">
        <v>178</v>
      </c>
      <c r="G347" s="2">
        <v>18.0</v>
      </c>
      <c r="H347" s="2">
        <v>30.0</v>
      </c>
      <c r="I347" s="2">
        <v>256.0</v>
      </c>
      <c r="J347" s="2">
        <v>3.0</v>
      </c>
      <c r="K347" s="2">
        <v>3.0</v>
      </c>
      <c r="L347" s="2">
        <v>3.0</v>
      </c>
      <c r="M347" s="2">
        <v>-19.0</v>
      </c>
      <c r="N347" s="2">
        <v>1.0</v>
      </c>
      <c r="O347" s="2">
        <v>1.0</v>
      </c>
      <c r="P347" s="2">
        <v>271.0</v>
      </c>
      <c r="Q347" s="2">
        <v>104.0</v>
      </c>
      <c r="R347" s="2">
        <v>13.0</v>
      </c>
      <c r="S347" s="2">
        <v>-9.00575819902008</v>
      </c>
      <c r="T347" s="2">
        <v>-2.96487808227539</v>
      </c>
      <c r="U347" s="2">
        <v>0.0</v>
      </c>
      <c r="V347" s="2">
        <v>13.0</v>
      </c>
      <c r="W347" s="2">
        <v>6.0</v>
      </c>
      <c r="X347" s="2">
        <v>4.0</v>
      </c>
      <c r="Y347" s="2">
        <v>0.0</v>
      </c>
      <c r="Z347" s="2">
        <v>28.0</v>
      </c>
      <c r="AA347" s="2">
        <v>134.0</v>
      </c>
      <c r="AB347" s="2">
        <v>0.0</v>
      </c>
      <c r="AC347" s="2">
        <v>0.0</v>
      </c>
      <c r="AD347" s="2">
        <v>0.0</v>
      </c>
      <c r="AE347" s="2">
        <v>5.0</v>
      </c>
      <c r="AF347" s="2">
        <v>-2.27942507865373</v>
      </c>
      <c r="AG347" s="2">
        <v>0.0</v>
      </c>
      <c r="AH347" s="2">
        <v>2.0</v>
      </c>
      <c r="AI347" s="2">
        <v>2.0</v>
      </c>
      <c r="AJ347" s="2">
        <v>1.0</v>
      </c>
      <c r="AK347" s="2">
        <v>1.0</v>
      </c>
      <c r="AL347" s="2">
        <v>18.0</v>
      </c>
      <c r="AM347" s="2">
        <v>30.0</v>
      </c>
      <c r="AN347" s="2">
        <v>256.0</v>
      </c>
      <c r="AO347" s="2">
        <v>3.0</v>
      </c>
      <c r="AP347" s="2">
        <v>0.0</v>
      </c>
      <c r="AQ347" s="2">
        <v>0.0</v>
      </c>
      <c r="AR347" s="2">
        <v>271.0</v>
      </c>
      <c r="AS347" s="2">
        <v>104.0</v>
      </c>
      <c r="AT347" s="2">
        <v>13.0</v>
      </c>
      <c r="AU347" s="2">
        <v>-1.21490722040137</v>
      </c>
      <c r="AV347" s="2">
        <v>0.0</v>
      </c>
      <c r="AW347" s="2">
        <v>13.0</v>
      </c>
      <c r="AX347" s="2">
        <v>6.0</v>
      </c>
      <c r="AY347" s="2">
        <v>4.0</v>
      </c>
      <c r="AZ347" s="2">
        <v>0.0</v>
      </c>
      <c r="BA347" s="2">
        <v>0.0</v>
      </c>
      <c r="BB347" s="2">
        <v>50.0</v>
      </c>
      <c r="BC347" s="2">
        <v>2.0</v>
      </c>
      <c r="BD347" s="2">
        <v>30.0</v>
      </c>
      <c r="BE347" s="2">
        <v>11.0</v>
      </c>
      <c r="BF347" s="2">
        <v>42.0</v>
      </c>
      <c r="BG347" s="2">
        <v>1.0</v>
      </c>
      <c r="BH347" s="2">
        <v>6.0</v>
      </c>
      <c r="BI347" s="2">
        <v>44.0</v>
      </c>
      <c r="BJ347" s="2">
        <v>15.0</v>
      </c>
      <c r="BK347" s="2">
        <v>0.0</v>
      </c>
      <c r="BL347" s="2">
        <v>0.0</v>
      </c>
      <c r="BM347" s="2">
        <v>5.0</v>
      </c>
      <c r="BN347" s="2">
        <v>0.0</v>
      </c>
      <c r="BO347" s="2">
        <v>0.0</v>
      </c>
      <c r="BP347" s="2">
        <v>0.0</v>
      </c>
      <c r="BQ347" s="2">
        <v>0.0</v>
      </c>
      <c r="BR347" s="2">
        <v>0.0</v>
      </c>
      <c r="BS347" s="2">
        <v>0.0</v>
      </c>
      <c r="BT347" s="2">
        <v>0.0</v>
      </c>
      <c r="BU347" s="2">
        <v>0.0</v>
      </c>
      <c r="BV347" s="2">
        <v>0.0</v>
      </c>
      <c r="BW347" s="2">
        <v>7.0</v>
      </c>
      <c r="BX347" s="2">
        <v>60.0</v>
      </c>
      <c r="BY347" s="2">
        <v>3.0</v>
      </c>
      <c r="BZ347" s="2">
        <v>1.0</v>
      </c>
      <c r="CA347" s="2">
        <v>0.0</v>
      </c>
      <c r="CB347" s="2">
        <v>0.0</v>
      </c>
      <c r="CC347" s="2">
        <v>1.0</v>
      </c>
      <c r="CD347" s="2">
        <v>1.0</v>
      </c>
      <c r="CE347" s="2">
        <v>2.0</v>
      </c>
      <c r="CF347" s="2">
        <v>43.0</v>
      </c>
      <c r="CG347" s="2">
        <v>1.0</v>
      </c>
      <c r="CH347" s="2">
        <v>39.0</v>
      </c>
      <c r="CI347" s="2">
        <v>2.0</v>
      </c>
      <c r="CJ347" s="2">
        <v>2.0</v>
      </c>
      <c r="CK347" s="2">
        <v>0.0</v>
      </c>
      <c r="CL347" s="2">
        <v>0.0</v>
      </c>
      <c r="CM347" s="2">
        <v>52.0</v>
      </c>
      <c r="CN347" s="2">
        <v>1.0</v>
      </c>
      <c r="CO347" s="2">
        <v>0.0</v>
      </c>
      <c r="CP347" s="2">
        <v>0.0</v>
      </c>
      <c r="CQ347" s="2">
        <v>0.0</v>
      </c>
      <c r="CR347" s="2">
        <v>0.0</v>
      </c>
      <c r="CS347" s="2">
        <v>2.0</v>
      </c>
      <c r="CT347" s="2">
        <v>0.0</v>
      </c>
      <c r="CU347" s="2">
        <v>0.0</v>
      </c>
      <c r="CV347" s="2">
        <v>0.0</v>
      </c>
      <c r="CW347" s="2">
        <v>0.0</v>
      </c>
      <c r="CX347" s="2">
        <v>0.0</v>
      </c>
      <c r="CY347" s="2">
        <v>0.0</v>
      </c>
      <c r="CZ347" s="2">
        <v>0.0</v>
      </c>
      <c r="DA347" s="2" t="s">
        <v>2190</v>
      </c>
      <c r="DD347" s="2">
        <v>104.0</v>
      </c>
      <c r="DE347" s="2">
        <v>0.0</v>
      </c>
      <c r="DF347" s="2">
        <v>0.0</v>
      </c>
      <c r="DG347" s="2">
        <v>3.0</v>
      </c>
      <c r="DH347" s="2">
        <v>3.0</v>
      </c>
      <c r="DI347" s="2">
        <v>0.0</v>
      </c>
      <c r="DJ347" s="2">
        <v>0.0</v>
      </c>
      <c r="DK347" s="2">
        <v>1.0</v>
      </c>
      <c r="DL347" s="2">
        <v>1.0</v>
      </c>
      <c r="DM347" s="2">
        <v>1.0</v>
      </c>
      <c r="DN347" s="2">
        <v>0.0</v>
      </c>
      <c r="DO347" s="2">
        <v>0.0</v>
      </c>
      <c r="DP347" s="2">
        <v>52.0</v>
      </c>
      <c r="DQ347" s="2">
        <v>2.0</v>
      </c>
      <c r="DR347" s="2">
        <v>0.0</v>
      </c>
      <c r="DS347" s="2">
        <v>48.0</v>
      </c>
      <c r="DT347" s="2">
        <v>96.0</v>
      </c>
      <c r="DU347" s="2">
        <v>1.0</v>
      </c>
      <c r="DV347" s="2">
        <v>1.0</v>
      </c>
      <c r="DW347" s="2">
        <v>0.0</v>
      </c>
      <c r="DX347" s="2">
        <v>0.0</v>
      </c>
      <c r="DY347" s="2">
        <v>1.0</v>
      </c>
      <c r="DZ347" s="2">
        <v>0.0</v>
      </c>
      <c r="EA347" s="2">
        <v>0.0</v>
      </c>
      <c r="EB347" s="2">
        <v>0.0</v>
      </c>
      <c r="EC347" s="2">
        <v>96.0</v>
      </c>
      <c r="EE347" s="2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2">
        <v>2025.0</v>
      </c>
      <c r="B348" s="2">
        <v>12.0</v>
      </c>
      <c r="C348" s="2" t="s">
        <v>143</v>
      </c>
      <c r="D348" s="2" t="s">
        <v>390</v>
      </c>
      <c r="E348" s="2" t="s">
        <v>963</v>
      </c>
      <c r="F348" s="2" t="s">
        <v>210</v>
      </c>
      <c r="G348" s="2">
        <v>29.0</v>
      </c>
      <c r="H348" s="2">
        <v>46.0</v>
      </c>
      <c r="I348" s="2">
        <v>352.0</v>
      </c>
      <c r="J348" s="2">
        <v>0.0</v>
      </c>
      <c r="K348" s="2">
        <v>1.0</v>
      </c>
      <c r="L348" s="2">
        <v>4.0</v>
      </c>
      <c r="M348" s="2">
        <v>-6.0</v>
      </c>
      <c r="N348" s="2">
        <v>0.0</v>
      </c>
      <c r="O348" s="2">
        <v>0.0</v>
      </c>
      <c r="P348" s="2">
        <v>351.0</v>
      </c>
      <c r="Q348" s="2">
        <v>218.0</v>
      </c>
      <c r="R348" s="2">
        <v>15.0</v>
      </c>
      <c r="S348" s="2">
        <v>8.50065089252423</v>
      </c>
      <c r="T348" s="2">
        <v>1.1543809674507</v>
      </c>
      <c r="U348" s="2">
        <v>1.0</v>
      </c>
      <c r="V348" s="2">
        <v>13.0</v>
      </c>
      <c r="W348" s="2">
        <v>7.0</v>
      </c>
      <c r="X348" s="2">
        <v>4.0</v>
      </c>
      <c r="Y348" s="2">
        <v>2.0</v>
      </c>
      <c r="Z348" s="2">
        <v>41.0</v>
      </c>
      <c r="AA348" s="2">
        <v>148.0</v>
      </c>
      <c r="AB348" s="2">
        <v>1.0</v>
      </c>
      <c r="AC348" s="2">
        <v>1.0</v>
      </c>
      <c r="AD348" s="2">
        <v>1.0</v>
      </c>
      <c r="AE348" s="2">
        <v>13.0</v>
      </c>
      <c r="AF348" s="2">
        <v>-7.21608550752276</v>
      </c>
      <c r="AG348" s="2">
        <v>0.0</v>
      </c>
      <c r="AH348" s="2">
        <v>3.0</v>
      </c>
      <c r="AI348" s="2">
        <v>2.0</v>
      </c>
      <c r="AJ348" s="2">
        <v>0.0</v>
      </c>
      <c r="AK348" s="2">
        <v>0.0</v>
      </c>
      <c r="AL348" s="2">
        <v>29.0</v>
      </c>
      <c r="AM348" s="2">
        <v>43.0</v>
      </c>
      <c r="AN348" s="2">
        <v>352.0</v>
      </c>
      <c r="AO348" s="2">
        <v>0.0</v>
      </c>
      <c r="AP348" s="2">
        <v>0.0</v>
      </c>
      <c r="AQ348" s="2">
        <v>0.0</v>
      </c>
      <c r="AR348" s="2">
        <v>351.0</v>
      </c>
      <c r="AS348" s="2">
        <v>218.0</v>
      </c>
      <c r="AT348" s="2">
        <v>15.0</v>
      </c>
      <c r="AU348" s="2">
        <v>13.834421039887</v>
      </c>
      <c r="AV348" s="2">
        <v>1.0</v>
      </c>
      <c r="AW348" s="2">
        <v>13.0</v>
      </c>
      <c r="AX348" s="2">
        <v>7.0</v>
      </c>
      <c r="AY348" s="2">
        <v>4.0</v>
      </c>
      <c r="AZ348" s="2">
        <v>2.0</v>
      </c>
      <c r="BA348" s="2">
        <v>0.0</v>
      </c>
      <c r="BB348" s="2">
        <v>32.0</v>
      </c>
      <c r="BC348" s="2">
        <v>3.0</v>
      </c>
      <c r="BD348" s="2">
        <v>23.0</v>
      </c>
      <c r="BE348" s="2">
        <v>4.0</v>
      </c>
      <c r="BF348" s="2">
        <v>8.0</v>
      </c>
      <c r="BG348" s="2">
        <v>0.0</v>
      </c>
      <c r="BH348" s="2">
        <v>0.0</v>
      </c>
      <c r="BI348" s="2">
        <v>0.0</v>
      </c>
      <c r="BJ348" s="2">
        <v>6.0</v>
      </c>
      <c r="BK348" s="2">
        <v>0.0</v>
      </c>
      <c r="BL348" s="2">
        <v>0.0</v>
      </c>
      <c r="BM348" s="2">
        <v>6.0</v>
      </c>
      <c r="BN348" s="2">
        <v>0.0</v>
      </c>
      <c r="BO348" s="2">
        <v>0.0</v>
      </c>
      <c r="BP348" s="2">
        <v>0.0</v>
      </c>
      <c r="BQ348" s="2">
        <v>0.0</v>
      </c>
      <c r="BR348" s="2">
        <v>0.0</v>
      </c>
      <c r="BS348" s="2">
        <v>0.0</v>
      </c>
      <c r="BT348" s="2">
        <v>0.0</v>
      </c>
      <c r="BU348" s="2">
        <v>0.0</v>
      </c>
      <c r="BV348" s="2">
        <v>0.0</v>
      </c>
      <c r="BW348" s="2">
        <v>7.0</v>
      </c>
      <c r="BX348" s="2">
        <v>57.0</v>
      </c>
      <c r="BY348" s="2">
        <v>6.0</v>
      </c>
      <c r="BZ348" s="2">
        <v>1.0</v>
      </c>
      <c r="CA348" s="2">
        <v>0.0</v>
      </c>
      <c r="CB348" s="2">
        <v>0.0</v>
      </c>
      <c r="CC348" s="2">
        <v>1.0</v>
      </c>
      <c r="CD348" s="2">
        <v>1.0</v>
      </c>
      <c r="CE348" s="2">
        <v>4.0</v>
      </c>
      <c r="CF348" s="2">
        <v>7.0</v>
      </c>
      <c r="CG348" s="2">
        <v>5.0</v>
      </c>
      <c r="CH348" s="2">
        <v>115.0</v>
      </c>
      <c r="CI348" s="2">
        <v>5.0</v>
      </c>
      <c r="CJ348" s="2">
        <v>5.0</v>
      </c>
      <c r="CK348" s="2">
        <v>0.0</v>
      </c>
      <c r="CL348" s="2">
        <v>0.0</v>
      </c>
      <c r="CM348" s="2">
        <v>48.0</v>
      </c>
      <c r="CN348" s="2">
        <v>1.0</v>
      </c>
      <c r="CO348" s="2">
        <v>0.0</v>
      </c>
      <c r="CP348" s="2">
        <v>4.0</v>
      </c>
      <c r="CQ348" s="2">
        <v>0.0</v>
      </c>
      <c r="CR348" s="2">
        <v>1.0</v>
      </c>
      <c r="CS348" s="2">
        <v>0.0</v>
      </c>
      <c r="CT348" s="2">
        <v>0.0</v>
      </c>
      <c r="CU348" s="2">
        <v>0.0</v>
      </c>
      <c r="CV348" s="2">
        <v>0.0</v>
      </c>
      <c r="CW348" s="2">
        <v>0.0</v>
      </c>
      <c r="CX348" s="2">
        <v>0.0</v>
      </c>
      <c r="CY348" s="2">
        <v>0.0</v>
      </c>
      <c r="CZ348" s="2">
        <v>0.0</v>
      </c>
      <c r="DA348" s="2" t="s">
        <v>2191</v>
      </c>
      <c r="DD348" s="2">
        <v>150.0</v>
      </c>
      <c r="DE348" s="2">
        <v>0.0</v>
      </c>
      <c r="DF348" s="2">
        <v>0.0</v>
      </c>
      <c r="DG348" s="2">
        <v>0.0</v>
      </c>
      <c r="DH348" s="2">
        <v>0.0</v>
      </c>
      <c r="DI348" s="2">
        <v>0.0</v>
      </c>
      <c r="DJ348" s="2">
        <v>0.0</v>
      </c>
      <c r="DL348" s="2">
        <v>1.0</v>
      </c>
      <c r="DM348" s="2">
        <v>1.0</v>
      </c>
      <c r="DN348" s="2">
        <v>0.0</v>
      </c>
      <c r="DO348" s="2">
        <v>0.0</v>
      </c>
      <c r="DP348" s="2">
        <v>27.0</v>
      </c>
      <c r="DQ348" s="2">
        <v>3.0</v>
      </c>
      <c r="DR348" s="2">
        <v>0.0</v>
      </c>
      <c r="DS348" s="2">
        <v>50.0</v>
      </c>
      <c r="DT348" s="2">
        <v>147.0</v>
      </c>
      <c r="DU348" s="2">
        <v>0.0</v>
      </c>
      <c r="DV348" s="2">
        <v>0.0</v>
      </c>
      <c r="DW348" s="2">
        <v>0.0</v>
      </c>
      <c r="DX348" s="2">
        <v>0.0</v>
      </c>
      <c r="DY348" s="2">
        <v>0.0</v>
      </c>
      <c r="DZ348" s="2">
        <v>3.0</v>
      </c>
      <c r="EA348" s="2">
        <v>49.0</v>
      </c>
      <c r="EB348" s="2">
        <v>0.0</v>
      </c>
      <c r="EC348" s="2">
        <v>98.0</v>
      </c>
      <c r="EE348" s="2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2">
        <v>2025.0</v>
      </c>
      <c r="B349" s="2">
        <v>12.0</v>
      </c>
      <c r="C349" s="2" t="s">
        <v>142</v>
      </c>
      <c r="D349" s="2" t="s">
        <v>390</v>
      </c>
      <c r="E349" s="2" t="s">
        <v>977</v>
      </c>
      <c r="F349" s="2" t="s">
        <v>150</v>
      </c>
      <c r="G349" s="2">
        <v>25.0</v>
      </c>
      <c r="H349" s="2">
        <v>35.0</v>
      </c>
      <c r="I349" s="2">
        <v>273.0</v>
      </c>
      <c r="J349" s="2">
        <v>3.0</v>
      </c>
      <c r="K349" s="2">
        <v>0.0</v>
      </c>
      <c r="L349" s="2">
        <v>1.0</v>
      </c>
      <c r="M349" s="2">
        <v>-10.0</v>
      </c>
      <c r="N349" s="2">
        <v>0.0</v>
      </c>
      <c r="O349" s="2">
        <v>0.0</v>
      </c>
      <c r="P349" s="2">
        <v>249.0</v>
      </c>
      <c r="Q349" s="2">
        <v>112.0</v>
      </c>
      <c r="R349" s="2">
        <v>16.0</v>
      </c>
      <c r="S349" s="2">
        <v>8.21942992599763</v>
      </c>
      <c r="T349" s="2">
        <v>4.71620936604107</v>
      </c>
      <c r="U349" s="2">
        <v>0.0</v>
      </c>
      <c r="V349" s="2">
        <v>14.0</v>
      </c>
      <c r="W349" s="2">
        <v>4.0</v>
      </c>
      <c r="X349" s="2">
        <v>3.0</v>
      </c>
      <c r="Y349" s="2">
        <v>0.0</v>
      </c>
      <c r="Z349" s="2">
        <v>19.0</v>
      </c>
      <c r="AA349" s="2">
        <v>70.0</v>
      </c>
      <c r="AB349" s="2">
        <v>0.0</v>
      </c>
      <c r="AC349" s="2">
        <v>0.0</v>
      </c>
      <c r="AD349" s="2">
        <v>0.0</v>
      </c>
      <c r="AE349" s="2">
        <v>4.0</v>
      </c>
      <c r="AF349" s="2">
        <v>-2.96081580291502</v>
      </c>
      <c r="AG349" s="2">
        <v>0.0</v>
      </c>
      <c r="AH349" s="2">
        <v>1.0</v>
      </c>
      <c r="AI349" s="2">
        <v>0.0</v>
      </c>
      <c r="AJ349" s="2">
        <v>0.0</v>
      </c>
      <c r="AK349" s="2">
        <v>0.0</v>
      </c>
      <c r="AL349" s="2">
        <v>25.0</v>
      </c>
      <c r="AM349" s="2">
        <v>34.0</v>
      </c>
      <c r="AN349" s="2">
        <v>273.0</v>
      </c>
      <c r="AO349" s="2">
        <v>3.0</v>
      </c>
      <c r="AP349" s="2">
        <v>0.0</v>
      </c>
      <c r="AQ349" s="2">
        <v>0.0</v>
      </c>
      <c r="AR349" s="2">
        <v>249.0</v>
      </c>
      <c r="AS349" s="2">
        <v>112.0</v>
      </c>
      <c r="AT349" s="2">
        <v>16.0</v>
      </c>
      <c r="AU349" s="2">
        <v>13.8029947196887</v>
      </c>
      <c r="AV349" s="2">
        <v>0.0</v>
      </c>
      <c r="AW349" s="2">
        <v>14.0</v>
      </c>
      <c r="AX349" s="2">
        <v>4.0</v>
      </c>
      <c r="AY349" s="2">
        <v>3.0</v>
      </c>
      <c r="AZ349" s="2">
        <v>0.0</v>
      </c>
      <c r="BA349" s="2">
        <v>0.0</v>
      </c>
      <c r="BB349" s="2">
        <v>36.0</v>
      </c>
      <c r="BC349" s="2">
        <v>0.0</v>
      </c>
      <c r="BD349" s="2">
        <v>30.0</v>
      </c>
      <c r="BE349" s="2">
        <v>7.0</v>
      </c>
      <c r="BF349" s="2">
        <v>39.0</v>
      </c>
      <c r="BG349" s="2">
        <v>0.0</v>
      </c>
      <c r="BH349" s="2">
        <v>4.0</v>
      </c>
      <c r="BI349" s="2">
        <v>33.0</v>
      </c>
      <c r="BJ349" s="2">
        <v>6.0</v>
      </c>
      <c r="BK349" s="2">
        <v>2.0</v>
      </c>
      <c r="BL349" s="2">
        <v>81.0</v>
      </c>
      <c r="BM349" s="2">
        <v>10.0</v>
      </c>
      <c r="BN349" s="2">
        <v>1.0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4.0</v>
      </c>
      <c r="BX349" s="2">
        <v>32.0</v>
      </c>
      <c r="BY349" s="2">
        <v>3.0</v>
      </c>
      <c r="BZ349" s="2">
        <v>0.0</v>
      </c>
      <c r="CA349" s="2">
        <v>0.0</v>
      </c>
      <c r="CB349" s="2">
        <v>0.0</v>
      </c>
      <c r="CC349" s="2">
        <v>0.0</v>
      </c>
      <c r="CD349" s="2">
        <v>0.0</v>
      </c>
      <c r="CE349" s="2">
        <v>1.0</v>
      </c>
      <c r="CF349" s="2">
        <v>8.0</v>
      </c>
      <c r="CG349" s="2">
        <v>0.0</v>
      </c>
      <c r="CH349" s="2">
        <v>0.0</v>
      </c>
      <c r="CI349" s="2">
        <v>2.0</v>
      </c>
      <c r="CJ349" s="2">
        <v>2.0</v>
      </c>
      <c r="CK349" s="2">
        <v>0.0</v>
      </c>
      <c r="CL349" s="2">
        <v>0.0</v>
      </c>
      <c r="CM349" s="2">
        <v>52.0</v>
      </c>
      <c r="CN349" s="2">
        <v>1.0</v>
      </c>
      <c r="CO349" s="2">
        <v>0.0</v>
      </c>
      <c r="CP349" s="2">
        <v>0.0</v>
      </c>
      <c r="CQ349" s="2">
        <v>0.0</v>
      </c>
      <c r="CR349" s="2">
        <v>1.0</v>
      </c>
      <c r="CS349" s="2">
        <v>1.0</v>
      </c>
      <c r="CT349" s="2">
        <v>0.0</v>
      </c>
      <c r="CU349" s="2">
        <v>0.0</v>
      </c>
      <c r="CV349" s="2">
        <v>0.0</v>
      </c>
      <c r="CW349" s="2">
        <v>0.0</v>
      </c>
      <c r="CX349" s="2">
        <v>0.0</v>
      </c>
      <c r="CY349" s="2">
        <v>0.0</v>
      </c>
      <c r="CZ349" s="2">
        <v>0.0</v>
      </c>
      <c r="DA349" s="2" t="s">
        <v>2192</v>
      </c>
      <c r="DD349" s="2">
        <v>92.0</v>
      </c>
      <c r="DE349" s="2">
        <v>0.0</v>
      </c>
      <c r="DF349" s="2">
        <v>0.0</v>
      </c>
      <c r="DG349" s="2">
        <v>4.0</v>
      </c>
      <c r="DH349" s="2">
        <v>4.0</v>
      </c>
      <c r="DI349" s="2">
        <v>0.0</v>
      </c>
      <c r="DJ349" s="2">
        <v>0.0</v>
      </c>
      <c r="DK349" s="2">
        <v>1.0</v>
      </c>
      <c r="DL349" s="2">
        <v>0.0</v>
      </c>
      <c r="DM349" s="2">
        <v>0.0</v>
      </c>
      <c r="DN349" s="2">
        <v>0.0</v>
      </c>
      <c r="DO349" s="2">
        <v>0.0</v>
      </c>
      <c r="DP349" s="2">
        <v>0.0</v>
      </c>
      <c r="DQ349" s="2">
        <v>3.0</v>
      </c>
      <c r="DR349" s="2">
        <v>0.0</v>
      </c>
      <c r="DS349" s="2">
        <v>51.0</v>
      </c>
      <c r="DT349" s="2">
        <v>105.0</v>
      </c>
      <c r="DU349" s="2">
        <v>1.0</v>
      </c>
      <c r="DV349" s="2">
        <v>1.0</v>
      </c>
      <c r="DW349" s="2">
        <v>0.0</v>
      </c>
      <c r="DX349" s="2">
        <v>0.0</v>
      </c>
      <c r="DY349" s="2">
        <v>1.0</v>
      </c>
      <c r="DZ349" s="2">
        <v>1.0</v>
      </c>
      <c r="EA349" s="2">
        <v>15.0</v>
      </c>
      <c r="EB349" s="2">
        <v>0.0</v>
      </c>
      <c r="EC349" s="2">
        <v>90.0</v>
      </c>
      <c r="EE349" s="2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2">
        <v>2025.0</v>
      </c>
      <c r="B350" s="2">
        <v>12.0</v>
      </c>
      <c r="C350" s="2" t="s">
        <v>222</v>
      </c>
      <c r="D350" s="2" t="s">
        <v>390</v>
      </c>
      <c r="E350" s="2" t="s">
        <v>969</v>
      </c>
      <c r="F350" s="2" t="s">
        <v>196</v>
      </c>
      <c r="G350" s="2">
        <v>30.0</v>
      </c>
      <c r="H350" s="2">
        <v>44.0</v>
      </c>
      <c r="I350" s="2">
        <v>285.0</v>
      </c>
      <c r="J350" s="2">
        <v>1.0</v>
      </c>
      <c r="K350" s="2">
        <v>0.0</v>
      </c>
      <c r="L350" s="2">
        <v>10.0</v>
      </c>
      <c r="M350" s="2">
        <v>-77.0</v>
      </c>
      <c r="N350" s="2">
        <v>2.0</v>
      </c>
      <c r="O350" s="2">
        <v>1.0</v>
      </c>
      <c r="P350" s="2">
        <v>361.0</v>
      </c>
      <c r="Q350" s="2">
        <v>171.0</v>
      </c>
      <c r="R350" s="2">
        <v>15.0</v>
      </c>
      <c r="S350" s="2">
        <v>-20.2589415119984</v>
      </c>
      <c r="T350" s="2">
        <v>0.546967557498387</v>
      </c>
      <c r="U350" s="2">
        <v>0.0</v>
      </c>
      <c r="V350" s="2">
        <v>13.0</v>
      </c>
      <c r="W350" s="2">
        <v>4.0</v>
      </c>
      <c r="X350" s="2">
        <v>2.0</v>
      </c>
      <c r="Y350" s="2">
        <v>0.0</v>
      </c>
      <c r="Z350" s="2">
        <v>21.0</v>
      </c>
      <c r="AA350" s="2">
        <v>60.0</v>
      </c>
      <c r="AB350" s="2">
        <v>0.0</v>
      </c>
      <c r="AC350" s="2">
        <v>0.0</v>
      </c>
      <c r="AD350" s="2">
        <v>0.0</v>
      </c>
      <c r="AE350" s="2">
        <v>2.0</v>
      </c>
      <c r="AF350" s="2">
        <v>-8.32938545756042</v>
      </c>
      <c r="AG350" s="2">
        <v>0.0</v>
      </c>
      <c r="AH350" s="2">
        <v>1.0</v>
      </c>
      <c r="AI350" s="2">
        <v>1.0</v>
      </c>
      <c r="AJ350" s="2">
        <v>0.0</v>
      </c>
      <c r="AK350" s="2">
        <v>0.0</v>
      </c>
      <c r="AL350" s="2">
        <v>30.0</v>
      </c>
      <c r="AM350" s="2">
        <v>42.0</v>
      </c>
      <c r="AN350" s="2">
        <v>285.0</v>
      </c>
      <c r="AO350" s="2">
        <v>1.0</v>
      </c>
      <c r="AP350" s="2">
        <v>0.0</v>
      </c>
      <c r="AQ350" s="2">
        <v>0.0</v>
      </c>
      <c r="AR350" s="2">
        <v>361.0</v>
      </c>
      <c r="AS350" s="2">
        <v>171.0</v>
      </c>
      <c r="AT350" s="2">
        <v>15.0</v>
      </c>
      <c r="AU350" s="2">
        <v>1.94701879613178</v>
      </c>
      <c r="AV350" s="2">
        <v>0.0</v>
      </c>
      <c r="AW350" s="2">
        <v>13.0</v>
      </c>
      <c r="AX350" s="2">
        <v>4.0</v>
      </c>
      <c r="AY350" s="2">
        <v>2.0</v>
      </c>
      <c r="AZ350" s="2">
        <v>0.0</v>
      </c>
      <c r="BA350" s="2">
        <v>0.0</v>
      </c>
      <c r="BB350" s="2">
        <v>29.0</v>
      </c>
      <c r="BC350" s="2">
        <v>1.0</v>
      </c>
      <c r="BD350" s="2">
        <v>25.0</v>
      </c>
      <c r="BE350" s="2">
        <v>11.0</v>
      </c>
      <c r="BF350" s="2">
        <v>29.0</v>
      </c>
      <c r="BG350" s="2">
        <v>1.0</v>
      </c>
      <c r="BH350" s="2">
        <v>1.0</v>
      </c>
      <c r="BI350" s="2">
        <v>3.0</v>
      </c>
      <c r="BJ350" s="2">
        <v>5.0</v>
      </c>
      <c r="BK350" s="2">
        <v>1.0</v>
      </c>
      <c r="BL350" s="2">
        <v>18.0</v>
      </c>
      <c r="BM350" s="2">
        <v>1.0</v>
      </c>
      <c r="BN350" s="2">
        <v>0.0</v>
      </c>
      <c r="BO350" s="2">
        <v>0.0</v>
      </c>
      <c r="BP350" s="2">
        <v>0.0</v>
      </c>
      <c r="BQ350" s="2">
        <v>0.0</v>
      </c>
      <c r="BR350" s="2">
        <v>1.0</v>
      </c>
      <c r="BS350" s="2">
        <v>0.0</v>
      </c>
      <c r="BT350" s="2">
        <v>1.0</v>
      </c>
      <c r="BU350" s="2">
        <v>0.0</v>
      </c>
      <c r="BV350" s="2">
        <v>0.0</v>
      </c>
      <c r="BW350" s="2">
        <v>13.0</v>
      </c>
      <c r="BX350" s="2">
        <v>109.0</v>
      </c>
      <c r="BY350" s="2">
        <v>6.0</v>
      </c>
      <c r="BZ350" s="2">
        <v>2.0</v>
      </c>
      <c r="CA350" s="2">
        <v>0.0</v>
      </c>
      <c r="CB350" s="2">
        <v>0.0</v>
      </c>
      <c r="CC350" s="2">
        <v>2.0</v>
      </c>
      <c r="CD350" s="2">
        <v>1.0</v>
      </c>
      <c r="CE350" s="2">
        <v>2.0</v>
      </c>
      <c r="CF350" s="2">
        <v>10.0</v>
      </c>
      <c r="CG350" s="2">
        <v>3.0</v>
      </c>
      <c r="CH350" s="2">
        <v>79.0</v>
      </c>
      <c r="CI350" s="2">
        <v>1.0</v>
      </c>
      <c r="CJ350" s="2">
        <v>2.0</v>
      </c>
      <c r="CK350" s="2">
        <v>1.0</v>
      </c>
      <c r="CL350" s="2">
        <v>0.0</v>
      </c>
      <c r="CM350" s="2">
        <v>41.0</v>
      </c>
      <c r="CN350" s="2">
        <v>0.5</v>
      </c>
      <c r="CO350" s="2">
        <v>0.0</v>
      </c>
      <c r="CP350" s="2">
        <v>0.0</v>
      </c>
      <c r="CQ350" s="2">
        <v>0.0</v>
      </c>
      <c r="CR350" s="2">
        <v>1.0</v>
      </c>
      <c r="CS350" s="2">
        <v>0.0</v>
      </c>
      <c r="CT350" s="2">
        <v>0.0</v>
      </c>
      <c r="CU350" s="2">
        <v>0.0</v>
      </c>
      <c r="CV350" s="2">
        <v>0.0</v>
      </c>
      <c r="CW350" s="2">
        <v>0.0</v>
      </c>
      <c r="CX350" s="2">
        <v>1.0</v>
      </c>
      <c r="CY350" s="2">
        <v>0.0</v>
      </c>
      <c r="CZ350" s="2">
        <v>0.0</v>
      </c>
      <c r="DA350" s="2" t="s">
        <v>2025</v>
      </c>
      <c r="DB350" s="2" t="s">
        <v>1965</v>
      </c>
      <c r="DD350" s="2">
        <v>41.0</v>
      </c>
      <c r="DE350" s="2">
        <v>48.0</v>
      </c>
      <c r="DF350" s="2">
        <v>0.0</v>
      </c>
      <c r="DG350" s="2">
        <v>1.0</v>
      </c>
      <c r="DH350" s="2">
        <v>1.0</v>
      </c>
      <c r="DI350" s="2">
        <v>0.0</v>
      </c>
      <c r="DJ350" s="2">
        <v>0.0</v>
      </c>
      <c r="DK350" s="2">
        <v>1.0</v>
      </c>
      <c r="DL350" s="2">
        <v>0.0</v>
      </c>
      <c r="DM350" s="2">
        <v>0.0</v>
      </c>
      <c r="DN350" s="2">
        <v>0.0</v>
      </c>
      <c r="DO350" s="2">
        <v>0.0</v>
      </c>
      <c r="DP350" s="2">
        <v>0.0</v>
      </c>
      <c r="DQ350" s="2">
        <v>8.0</v>
      </c>
      <c r="DR350" s="2">
        <v>0.0</v>
      </c>
      <c r="DS350" s="2">
        <v>56.0</v>
      </c>
      <c r="DT350" s="2">
        <v>374.0</v>
      </c>
      <c r="DU350" s="2">
        <v>1.0</v>
      </c>
      <c r="DV350" s="2">
        <v>1.0</v>
      </c>
      <c r="DW350" s="2">
        <v>1.0</v>
      </c>
      <c r="DX350" s="2">
        <v>0.0</v>
      </c>
      <c r="DY350" s="2">
        <v>2.0</v>
      </c>
      <c r="DZ350" s="2">
        <v>4.0</v>
      </c>
      <c r="EA350" s="2">
        <v>61.0</v>
      </c>
      <c r="EB350" s="2">
        <v>0.0</v>
      </c>
      <c r="EC350" s="2">
        <v>313.0</v>
      </c>
      <c r="EE350" s="2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2">
        <v>2025.0</v>
      </c>
      <c r="B351" s="2">
        <v>12.0</v>
      </c>
      <c r="C351" s="2" t="s">
        <v>144</v>
      </c>
      <c r="D351" s="2" t="s">
        <v>390</v>
      </c>
      <c r="E351" s="2" t="s">
        <v>961</v>
      </c>
      <c r="F351" s="2" t="s">
        <v>205</v>
      </c>
      <c r="G351" s="2">
        <v>12.0</v>
      </c>
      <c r="H351" s="2">
        <v>19.0</v>
      </c>
      <c r="I351" s="2">
        <v>87.0</v>
      </c>
      <c r="J351" s="2">
        <v>0.0</v>
      </c>
      <c r="K351" s="2">
        <v>2.0</v>
      </c>
      <c r="L351" s="2">
        <v>5.0</v>
      </c>
      <c r="M351" s="2">
        <v>-35.0</v>
      </c>
      <c r="N351" s="2">
        <v>0.0</v>
      </c>
      <c r="O351" s="2">
        <v>0.0</v>
      </c>
      <c r="P351" s="2">
        <v>100.0</v>
      </c>
      <c r="Q351" s="2">
        <v>31.0</v>
      </c>
      <c r="R351" s="2">
        <v>3.0</v>
      </c>
      <c r="S351" s="2">
        <v>-16.4638351031717</v>
      </c>
      <c r="T351" s="2">
        <v>-4.2040980524487</v>
      </c>
      <c r="U351" s="2">
        <v>0.0</v>
      </c>
      <c r="V351" s="2">
        <v>2.0</v>
      </c>
      <c r="W351" s="2">
        <v>1.0</v>
      </c>
      <c r="X351" s="2">
        <v>0.0</v>
      </c>
      <c r="Y351" s="2">
        <v>0.0</v>
      </c>
      <c r="Z351" s="2">
        <v>20.0</v>
      </c>
      <c r="AA351" s="2">
        <v>93.0</v>
      </c>
      <c r="AB351" s="2">
        <v>0.0</v>
      </c>
      <c r="AC351" s="2">
        <v>1.0</v>
      </c>
      <c r="AD351" s="2">
        <v>0.0</v>
      </c>
      <c r="AE351" s="2">
        <v>7.0</v>
      </c>
      <c r="AF351" s="2">
        <v>-2.42888825549744</v>
      </c>
      <c r="AG351" s="2">
        <v>0.0</v>
      </c>
      <c r="AH351" s="2">
        <v>3.0</v>
      </c>
      <c r="AI351" s="2">
        <v>2.0</v>
      </c>
      <c r="AJ351" s="2">
        <v>1.0</v>
      </c>
      <c r="AK351" s="2">
        <v>0.0</v>
      </c>
      <c r="AL351" s="2">
        <v>12.0</v>
      </c>
      <c r="AM351" s="2">
        <v>18.0</v>
      </c>
      <c r="AN351" s="2">
        <v>87.0</v>
      </c>
      <c r="AO351" s="2">
        <v>0.0</v>
      </c>
      <c r="AP351" s="2">
        <v>0.0</v>
      </c>
      <c r="AQ351" s="2">
        <v>0.0</v>
      </c>
      <c r="AR351" s="2">
        <v>100.0</v>
      </c>
      <c r="AS351" s="2">
        <v>31.0</v>
      </c>
      <c r="AT351" s="2">
        <v>3.0</v>
      </c>
      <c r="AU351" s="2">
        <v>-9.11546140987411</v>
      </c>
      <c r="AV351" s="2">
        <v>0.0</v>
      </c>
      <c r="AW351" s="2">
        <v>2.0</v>
      </c>
      <c r="AX351" s="2">
        <v>1.0</v>
      </c>
      <c r="AY351" s="2">
        <v>0.0</v>
      </c>
      <c r="AZ351" s="2">
        <v>0.0</v>
      </c>
      <c r="BA351" s="2">
        <v>0.0</v>
      </c>
      <c r="BB351" s="2">
        <v>39.0</v>
      </c>
      <c r="BC351" s="2">
        <v>2.0</v>
      </c>
      <c r="BD351" s="2">
        <v>36.0</v>
      </c>
      <c r="BE351" s="2">
        <v>5.0</v>
      </c>
      <c r="BF351" s="2">
        <v>12.0</v>
      </c>
      <c r="BG351" s="2">
        <v>0.0</v>
      </c>
      <c r="BH351" s="2">
        <v>1.0</v>
      </c>
      <c r="BI351" s="2">
        <v>4.0</v>
      </c>
      <c r="BJ351" s="2">
        <v>5.0</v>
      </c>
      <c r="BK351" s="2">
        <v>0.0</v>
      </c>
      <c r="BL351" s="2">
        <v>0.0</v>
      </c>
      <c r="BM351" s="2">
        <v>4.0</v>
      </c>
      <c r="BN351" s="2">
        <v>0.0</v>
      </c>
      <c r="BO351" s="2">
        <v>1.0</v>
      </c>
      <c r="BP351" s="2">
        <v>0.0</v>
      </c>
      <c r="BQ351" s="2">
        <v>0.0</v>
      </c>
      <c r="BR351" s="2">
        <v>1.0</v>
      </c>
      <c r="BS351" s="2">
        <v>-3.0</v>
      </c>
      <c r="BT351" s="2">
        <v>0.0</v>
      </c>
      <c r="BU351" s="2">
        <v>0.0</v>
      </c>
      <c r="BV351" s="2">
        <v>0.0</v>
      </c>
      <c r="BW351" s="2">
        <v>2.0</v>
      </c>
      <c r="BX351" s="2">
        <v>29.0</v>
      </c>
      <c r="BY351" s="2">
        <v>2.0</v>
      </c>
      <c r="BZ351" s="2">
        <v>0.0</v>
      </c>
      <c r="CA351" s="2">
        <v>2.0</v>
      </c>
      <c r="CB351" s="2">
        <v>0.0</v>
      </c>
      <c r="CC351" s="2">
        <v>2.0</v>
      </c>
      <c r="CD351" s="2">
        <v>1.0</v>
      </c>
      <c r="CE351" s="2">
        <v>2.0</v>
      </c>
      <c r="CF351" s="2">
        <v>11.0</v>
      </c>
      <c r="CG351" s="2">
        <v>4.0</v>
      </c>
      <c r="CH351" s="2">
        <v>94.0</v>
      </c>
      <c r="CI351" s="2">
        <v>2.0</v>
      </c>
      <c r="CJ351" s="2">
        <v>2.0</v>
      </c>
      <c r="CK351" s="2">
        <v>0.0</v>
      </c>
      <c r="CL351" s="2">
        <v>0.0</v>
      </c>
      <c r="CM351" s="2">
        <v>59.0</v>
      </c>
      <c r="CN351" s="2">
        <v>1.0</v>
      </c>
      <c r="CO351" s="2">
        <v>0.0</v>
      </c>
      <c r="CP351" s="2">
        <v>0.0</v>
      </c>
      <c r="CQ351" s="2">
        <v>0.0</v>
      </c>
      <c r="CR351" s="2">
        <v>0.0</v>
      </c>
      <c r="CS351" s="2">
        <v>2.0</v>
      </c>
      <c r="CT351" s="2">
        <v>0.0</v>
      </c>
      <c r="CU351" s="2">
        <v>0.0</v>
      </c>
      <c r="CV351" s="2">
        <v>0.0</v>
      </c>
      <c r="CW351" s="2">
        <v>0.0</v>
      </c>
      <c r="CX351" s="2">
        <v>0.0</v>
      </c>
      <c r="CY351" s="2">
        <v>0.0</v>
      </c>
      <c r="CZ351" s="2">
        <v>0.0</v>
      </c>
      <c r="DA351" s="2" t="s">
        <v>2193</v>
      </c>
      <c r="DD351" s="2">
        <v>111.0</v>
      </c>
      <c r="DE351" s="2">
        <v>0.0</v>
      </c>
      <c r="DF351" s="2">
        <v>0.0</v>
      </c>
      <c r="DG351" s="2">
        <v>0.0</v>
      </c>
      <c r="DH351" s="2">
        <v>0.0</v>
      </c>
      <c r="DI351" s="2">
        <v>0.0</v>
      </c>
      <c r="DJ351" s="2">
        <v>0.0</v>
      </c>
      <c r="DL351" s="2">
        <v>0.0</v>
      </c>
      <c r="DM351" s="2">
        <v>0.0</v>
      </c>
      <c r="DN351" s="2">
        <v>0.0</v>
      </c>
      <c r="DO351" s="2">
        <v>0.0</v>
      </c>
      <c r="DP351" s="2">
        <v>0.0</v>
      </c>
      <c r="DQ351" s="2">
        <v>4.0</v>
      </c>
      <c r="DR351" s="2">
        <v>0.0</v>
      </c>
      <c r="DS351" s="2">
        <v>59.0</v>
      </c>
      <c r="DT351" s="2">
        <v>222.0</v>
      </c>
      <c r="DU351" s="2">
        <v>2.0</v>
      </c>
      <c r="DV351" s="2">
        <v>2.0</v>
      </c>
      <c r="DW351" s="2">
        <v>0.0</v>
      </c>
      <c r="DX351" s="2">
        <v>0.0</v>
      </c>
      <c r="DY351" s="2">
        <v>0.0</v>
      </c>
      <c r="DZ351" s="2">
        <v>2.0</v>
      </c>
      <c r="EA351" s="2">
        <v>21.0</v>
      </c>
      <c r="EB351" s="2">
        <v>0.0</v>
      </c>
      <c r="EC351" s="2">
        <v>201.0</v>
      </c>
      <c r="EE351" s="2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2">
        <v>2025.0</v>
      </c>
      <c r="B352" s="2">
        <v>12.0</v>
      </c>
      <c r="C352" s="2" t="s">
        <v>145</v>
      </c>
      <c r="D352" s="2" t="s">
        <v>390</v>
      </c>
      <c r="E352" s="2" t="s">
        <v>957</v>
      </c>
      <c r="F352" s="2" t="s">
        <v>138</v>
      </c>
      <c r="G352" s="2">
        <v>22.0</v>
      </c>
      <c r="H352" s="2">
        <v>35.0</v>
      </c>
      <c r="I352" s="2">
        <v>294.0</v>
      </c>
      <c r="J352" s="2">
        <v>1.0</v>
      </c>
      <c r="K352" s="2">
        <v>1.0</v>
      </c>
      <c r="L352" s="2">
        <v>1.0</v>
      </c>
      <c r="M352" s="2">
        <v>-9.0</v>
      </c>
      <c r="N352" s="2">
        <v>0.0</v>
      </c>
      <c r="O352" s="2">
        <v>0.0</v>
      </c>
      <c r="P352" s="2">
        <v>297.0</v>
      </c>
      <c r="Q352" s="2">
        <v>105.0</v>
      </c>
      <c r="R352" s="2">
        <v>12.0</v>
      </c>
      <c r="S352" s="2">
        <v>6.77430004053945</v>
      </c>
      <c r="T352" s="2">
        <v>-0.419114665551619</v>
      </c>
      <c r="U352" s="2">
        <v>0.0</v>
      </c>
      <c r="V352" s="2">
        <v>13.0</v>
      </c>
      <c r="W352" s="2">
        <v>7.0</v>
      </c>
      <c r="X352" s="2">
        <v>5.0</v>
      </c>
      <c r="Y352" s="2">
        <v>0.0</v>
      </c>
      <c r="Z352" s="2">
        <v>31.0</v>
      </c>
      <c r="AA352" s="2">
        <v>107.0</v>
      </c>
      <c r="AB352" s="2">
        <v>0.0</v>
      </c>
      <c r="AC352" s="2">
        <v>0.0</v>
      </c>
      <c r="AD352" s="2">
        <v>0.0</v>
      </c>
      <c r="AE352" s="2">
        <v>7.0</v>
      </c>
      <c r="AF352" s="2">
        <v>-6.53885765312167</v>
      </c>
      <c r="AG352" s="2">
        <v>0.0</v>
      </c>
      <c r="AH352" s="2">
        <v>2.0</v>
      </c>
      <c r="AI352" s="2">
        <v>2.0</v>
      </c>
      <c r="AJ352" s="2">
        <v>0.0</v>
      </c>
      <c r="AK352" s="2">
        <v>0.0</v>
      </c>
      <c r="AL352" s="2">
        <v>22.0</v>
      </c>
      <c r="AM352" s="2">
        <v>33.0</v>
      </c>
      <c r="AN352" s="2">
        <v>294.0</v>
      </c>
      <c r="AO352" s="2">
        <v>1.0</v>
      </c>
      <c r="AP352" s="2">
        <v>0.0</v>
      </c>
      <c r="AQ352" s="2">
        <v>0.0</v>
      </c>
      <c r="AR352" s="2">
        <v>297.0</v>
      </c>
      <c r="AS352" s="2">
        <v>105.0</v>
      </c>
      <c r="AT352" s="2">
        <v>12.0</v>
      </c>
      <c r="AU352" s="2">
        <v>10.0616630313239</v>
      </c>
      <c r="AV352" s="2">
        <v>0.0</v>
      </c>
      <c r="AW352" s="2">
        <v>13.0</v>
      </c>
      <c r="AX352" s="2">
        <v>7.0</v>
      </c>
      <c r="AY352" s="2">
        <v>5.0</v>
      </c>
      <c r="AZ352" s="2">
        <v>0.0</v>
      </c>
      <c r="BA352" s="2">
        <v>0.0</v>
      </c>
      <c r="BB352" s="2">
        <v>34.0</v>
      </c>
      <c r="BC352" s="2">
        <v>0.0</v>
      </c>
      <c r="BD352" s="2">
        <v>28.0</v>
      </c>
      <c r="BE352" s="2">
        <v>1.0</v>
      </c>
      <c r="BF352" s="2">
        <v>10.0</v>
      </c>
      <c r="BG352" s="2">
        <v>0.0</v>
      </c>
      <c r="BH352" s="2">
        <v>1.0</v>
      </c>
      <c r="BI352" s="2">
        <v>10.0</v>
      </c>
      <c r="BJ352" s="2">
        <v>6.0</v>
      </c>
      <c r="BK352" s="2">
        <v>1.0</v>
      </c>
      <c r="BL352" s="2">
        <v>33.0</v>
      </c>
      <c r="BM352" s="2">
        <v>5.0</v>
      </c>
      <c r="BN352" s="2">
        <v>1.0</v>
      </c>
      <c r="BO352" s="2">
        <v>0.0</v>
      </c>
      <c r="BP352" s="2">
        <v>0.0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0.0</v>
      </c>
      <c r="BV352" s="2">
        <v>0.0</v>
      </c>
      <c r="BW352" s="2">
        <v>4.0</v>
      </c>
      <c r="BX352" s="2">
        <v>52.0</v>
      </c>
      <c r="BY352" s="2">
        <v>4.0</v>
      </c>
      <c r="BZ352" s="2">
        <v>0.0</v>
      </c>
      <c r="CA352" s="2">
        <v>0.0</v>
      </c>
      <c r="CB352" s="2">
        <v>0.0</v>
      </c>
      <c r="CC352" s="2">
        <v>0.0</v>
      </c>
      <c r="CD352" s="2">
        <v>0.0</v>
      </c>
      <c r="CE352" s="2">
        <v>1.0</v>
      </c>
      <c r="CF352" s="2">
        <v>0.0</v>
      </c>
      <c r="CG352" s="2">
        <v>4.0</v>
      </c>
      <c r="CH352" s="2">
        <v>106.0</v>
      </c>
      <c r="CI352" s="2">
        <v>4.0</v>
      </c>
      <c r="CJ352" s="2">
        <v>4.0</v>
      </c>
      <c r="CK352" s="2">
        <v>0.0</v>
      </c>
      <c r="CL352" s="2">
        <v>0.0</v>
      </c>
      <c r="CM352" s="2">
        <v>52.0</v>
      </c>
      <c r="CN352" s="2">
        <v>1.0</v>
      </c>
      <c r="CO352" s="2">
        <v>1.0</v>
      </c>
      <c r="CP352" s="2">
        <v>0.0</v>
      </c>
      <c r="CQ352" s="2">
        <v>0.0</v>
      </c>
      <c r="CR352" s="2">
        <v>2.0</v>
      </c>
      <c r="CS352" s="2">
        <v>1.0</v>
      </c>
      <c r="CT352" s="2">
        <v>0.0</v>
      </c>
      <c r="CU352" s="2">
        <v>0.0</v>
      </c>
      <c r="CV352" s="2">
        <v>0.0</v>
      </c>
      <c r="CW352" s="2">
        <v>0.0</v>
      </c>
      <c r="CX352" s="2">
        <v>0.0</v>
      </c>
      <c r="CY352" s="2">
        <v>0.0</v>
      </c>
      <c r="CZ352" s="2">
        <v>0.0</v>
      </c>
      <c r="DA352" s="2" t="s">
        <v>2194</v>
      </c>
      <c r="DD352" s="2">
        <v>157.0</v>
      </c>
      <c r="DE352" s="2">
        <v>0.0</v>
      </c>
      <c r="DF352" s="2">
        <v>0.0</v>
      </c>
      <c r="DG352" s="2">
        <v>2.0</v>
      </c>
      <c r="DH352" s="2">
        <v>2.0</v>
      </c>
      <c r="DI352" s="2">
        <v>0.0</v>
      </c>
      <c r="DJ352" s="2">
        <v>0.0</v>
      </c>
      <c r="DK352" s="2">
        <v>1.0</v>
      </c>
      <c r="DL352" s="2">
        <v>0.0</v>
      </c>
      <c r="DM352" s="2">
        <v>0.0</v>
      </c>
      <c r="DN352" s="2">
        <v>0.0</v>
      </c>
      <c r="DO352" s="2">
        <v>0.0</v>
      </c>
      <c r="DP352" s="2">
        <v>0.0</v>
      </c>
      <c r="DQ352" s="2">
        <v>2.0</v>
      </c>
      <c r="DR352" s="2">
        <v>0.0</v>
      </c>
      <c r="DS352" s="2">
        <v>53.0</v>
      </c>
      <c r="DT352" s="2">
        <v>98.0</v>
      </c>
      <c r="DU352" s="2">
        <v>1.0</v>
      </c>
      <c r="DV352" s="2">
        <v>0.0</v>
      </c>
      <c r="DW352" s="2">
        <v>0.0</v>
      </c>
      <c r="DX352" s="2">
        <v>0.0</v>
      </c>
      <c r="DY352" s="2">
        <v>0.0</v>
      </c>
      <c r="DZ352" s="2">
        <v>2.0</v>
      </c>
      <c r="EA352" s="2">
        <v>14.0</v>
      </c>
      <c r="EB352" s="2">
        <v>0.0</v>
      </c>
      <c r="EC352" s="2">
        <v>84.0</v>
      </c>
      <c r="EE352" s="2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2">
        <v>2025.0</v>
      </c>
      <c r="B353" s="2">
        <v>12.0</v>
      </c>
      <c r="C353" s="2" t="s">
        <v>232</v>
      </c>
      <c r="D353" s="2" t="s">
        <v>390</v>
      </c>
      <c r="E353" s="2" t="s">
        <v>975</v>
      </c>
      <c r="F353" s="2" t="s">
        <v>132</v>
      </c>
      <c r="G353" s="2">
        <v>30.0</v>
      </c>
      <c r="H353" s="2">
        <v>45.0</v>
      </c>
      <c r="I353" s="2">
        <v>243.0</v>
      </c>
      <c r="J353" s="2">
        <v>0.0</v>
      </c>
      <c r="K353" s="2">
        <v>1.0</v>
      </c>
      <c r="L353" s="2">
        <v>5.0</v>
      </c>
      <c r="M353" s="2">
        <v>-29.0</v>
      </c>
      <c r="N353" s="2">
        <v>0.0</v>
      </c>
      <c r="O353" s="2">
        <v>0.0</v>
      </c>
      <c r="P353" s="2">
        <v>309.0</v>
      </c>
      <c r="Q353" s="2">
        <v>114.0</v>
      </c>
      <c r="R353" s="2">
        <v>11.0</v>
      </c>
      <c r="S353" s="2">
        <v>-17.8799161891774</v>
      </c>
      <c r="T353" s="2">
        <v>-3.45482433384115</v>
      </c>
      <c r="U353" s="2">
        <v>0.0</v>
      </c>
      <c r="V353" s="2">
        <v>10.0</v>
      </c>
      <c r="W353" s="2">
        <v>4.0</v>
      </c>
      <c r="X353" s="2">
        <v>0.0</v>
      </c>
      <c r="Y353" s="2">
        <v>0.0</v>
      </c>
      <c r="Z353" s="2">
        <v>28.0</v>
      </c>
      <c r="AA353" s="2">
        <v>79.0</v>
      </c>
      <c r="AB353" s="2">
        <v>0.0</v>
      </c>
      <c r="AC353" s="2">
        <v>1.0</v>
      </c>
      <c r="AD353" s="2">
        <v>1.0</v>
      </c>
      <c r="AE353" s="2">
        <v>8.0</v>
      </c>
      <c r="AF353" s="2">
        <v>-3.55632351594977</v>
      </c>
      <c r="AG353" s="2">
        <v>0.0</v>
      </c>
      <c r="AH353" s="2">
        <v>2.0</v>
      </c>
      <c r="AI353" s="2">
        <v>0.0</v>
      </c>
      <c r="AJ353" s="2">
        <v>0.0</v>
      </c>
      <c r="AK353" s="2">
        <v>0.0</v>
      </c>
      <c r="AL353" s="2">
        <v>30.0</v>
      </c>
      <c r="AM353" s="2">
        <v>43.0</v>
      </c>
      <c r="AN353" s="2">
        <v>243.0</v>
      </c>
      <c r="AO353" s="2">
        <v>0.0</v>
      </c>
      <c r="AP353" s="2">
        <v>0.0</v>
      </c>
      <c r="AQ353" s="2">
        <v>0.0</v>
      </c>
      <c r="AR353" s="2">
        <v>309.0</v>
      </c>
      <c r="AS353" s="2">
        <v>114.0</v>
      </c>
      <c r="AT353" s="2">
        <v>11.0</v>
      </c>
      <c r="AU353" s="2">
        <v>-7.05492430701873</v>
      </c>
      <c r="AV353" s="2">
        <v>0.0</v>
      </c>
      <c r="AW353" s="2">
        <v>10.0</v>
      </c>
      <c r="AX353" s="2">
        <v>4.0</v>
      </c>
      <c r="AY353" s="2">
        <v>0.0</v>
      </c>
      <c r="AZ353" s="2">
        <v>0.0</v>
      </c>
      <c r="BA353" s="2">
        <v>0.0</v>
      </c>
      <c r="BB353" s="2">
        <v>35.0</v>
      </c>
      <c r="BC353" s="2">
        <v>0.0</v>
      </c>
      <c r="BD353" s="2">
        <v>30.0</v>
      </c>
      <c r="BE353" s="2">
        <v>6.0</v>
      </c>
      <c r="BF353" s="2">
        <v>24.0</v>
      </c>
      <c r="BG353" s="2">
        <v>1.0</v>
      </c>
      <c r="BH353" s="2">
        <v>3.0</v>
      </c>
      <c r="BI353" s="2">
        <v>18.0</v>
      </c>
      <c r="BJ353" s="2">
        <v>2.0</v>
      </c>
      <c r="BK353" s="2">
        <v>1.0</v>
      </c>
      <c r="BL353" s="2">
        <v>49.0</v>
      </c>
      <c r="BM353" s="2">
        <v>4.0</v>
      </c>
      <c r="BN353" s="2">
        <v>1.0</v>
      </c>
      <c r="BO353" s="2">
        <v>0.0</v>
      </c>
      <c r="BP353" s="2">
        <v>0.0</v>
      </c>
      <c r="BQ353" s="2">
        <v>0.0</v>
      </c>
      <c r="BR353" s="2">
        <v>1.0</v>
      </c>
      <c r="BS353" s="2">
        <v>-2.0</v>
      </c>
      <c r="BT353" s="2">
        <v>0.0</v>
      </c>
      <c r="BU353" s="2">
        <v>0.0</v>
      </c>
      <c r="BV353" s="2">
        <v>0.0</v>
      </c>
      <c r="BW353" s="2">
        <v>4.0</v>
      </c>
      <c r="BX353" s="2">
        <v>36.0</v>
      </c>
      <c r="BY353" s="2">
        <v>4.0</v>
      </c>
      <c r="BZ353" s="2">
        <v>0.0</v>
      </c>
      <c r="CA353" s="2">
        <v>2.0</v>
      </c>
      <c r="CB353" s="2">
        <v>0.0</v>
      </c>
      <c r="CC353" s="2">
        <v>2.0</v>
      </c>
      <c r="CD353" s="2">
        <v>1.0</v>
      </c>
      <c r="CE353" s="2">
        <v>3.0</v>
      </c>
      <c r="CF353" s="2">
        <v>10.0</v>
      </c>
      <c r="CG353" s="2">
        <v>3.0</v>
      </c>
      <c r="CH353" s="2">
        <v>123.0</v>
      </c>
      <c r="CI353" s="2">
        <v>1.0</v>
      </c>
      <c r="CJ353" s="2">
        <v>3.0</v>
      </c>
      <c r="CK353" s="2">
        <v>2.0</v>
      </c>
      <c r="CL353" s="2">
        <v>0.0</v>
      </c>
      <c r="CM353" s="2">
        <v>33.0</v>
      </c>
      <c r="CN353" s="2">
        <v>0.333333333333333</v>
      </c>
      <c r="CO353" s="2">
        <v>0.0</v>
      </c>
      <c r="CP353" s="2">
        <v>0.0</v>
      </c>
      <c r="CQ353" s="2">
        <v>1.0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1.0</v>
      </c>
      <c r="CX353" s="2">
        <v>1.0</v>
      </c>
      <c r="CY353" s="2">
        <v>0.0</v>
      </c>
      <c r="CZ353" s="2">
        <v>0.0</v>
      </c>
      <c r="DA353" s="2" t="s">
        <v>2056</v>
      </c>
      <c r="DB353" s="2" t="s">
        <v>2195</v>
      </c>
      <c r="DD353" s="2">
        <v>33.0</v>
      </c>
      <c r="DE353" s="2">
        <v>85.0</v>
      </c>
      <c r="DF353" s="2">
        <v>0.0</v>
      </c>
      <c r="DG353" s="2">
        <v>1.0</v>
      </c>
      <c r="DH353" s="2">
        <v>1.0</v>
      </c>
      <c r="DI353" s="2">
        <v>0.0</v>
      </c>
      <c r="DJ353" s="2">
        <v>0.0</v>
      </c>
      <c r="DK353" s="2">
        <v>1.0</v>
      </c>
      <c r="DL353" s="2">
        <v>0.0</v>
      </c>
      <c r="DM353" s="2">
        <v>0.0</v>
      </c>
      <c r="DN353" s="2">
        <v>0.0</v>
      </c>
      <c r="DO353" s="2">
        <v>0.0</v>
      </c>
      <c r="DP353" s="2">
        <v>0.0</v>
      </c>
      <c r="DQ353" s="2">
        <v>3.0</v>
      </c>
      <c r="DR353" s="2">
        <v>0.0</v>
      </c>
      <c r="DS353" s="2">
        <v>39.0</v>
      </c>
      <c r="DT353" s="2">
        <v>106.0</v>
      </c>
      <c r="DU353" s="2">
        <v>1.0</v>
      </c>
      <c r="DV353" s="2">
        <v>1.0</v>
      </c>
      <c r="DW353" s="2">
        <v>1.0</v>
      </c>
      <c r="DX353" s="2">
        <v>0.0</v>
      </c>
      <c r="DY353" s="2">
        <v>0.0</v>
      </c>
      <c r="DZ353" s="2">
        <v>1.0</v>
      </c>
      <c r="EA353" s="2">
        <v>5.0</v>
      </c>
      <c r="EB353" s="2">
        <v>0.0</v>
      </c>
      <c r="EC353" s="2">
        <v>101.0</v>
      </c>
      <c r="EE353" s="2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2">
        <v>2025.0</v>
      </c>
      <c r="B354" s="2">
        <v>12.0</v>
      </c>
      <c r="C354" s="2" t="s">
        <v>235</v>
      </c>
      <c r="D354" s="2" t="s">
        <v>390</v>
      </c>
      <c r="E354" s="2" t="s">
        <v>959</v>
      </c>
      <c r="F354" s="2" t="s">
        <v>202</v>
      </c>
      <c r="G354" s="2">
        <v>19.0</v>
      </c>
      <c r="H354" s="2">
        <v>37.0</v>
      </c>
      <c r="I354" s="2">
        <v>399.0</v>
      </c>
      <c r="J354" s="2">
        <v>3.0</v>
      </c>
      <c r="K354" s="2">
        <v>1.0</v>
      </c>
      <c r="L354" s="2">
        <v>1.0</v>
      </c>
      <c r="M354" s="2">
        <v>-4.0</v>
      </c>
      <c r="N354" s="2">
        <v>0.0</v>
      </c>
      <c r="O354" s="2">
        <v>0.0</v>
      </c>
      <c r="P354" s="2">
        <v>409.0</v>
      </c>
      <c r="Q354" s="2">
        <v>141.0</v>
      </c>
      <c r="R354" s="2">
        <v>16.0</v>
      </c>
      <c r="S354" s="2">
        <v>13.7429650253663</v>
      </c>
      <c r="T354" s="2">
        <v>-4.20555375954684</v>
      </c>
      <c r="U354" s="2">
        <v>0.0</v>
      </c>
      <c r="V354" s="2">
        <v>15.0</v>
      </c>
      <c r="W354" s="2">
        <v>10.0</v>
      </c>
      <c r="X354" s="2">
        <v>10.0</v>
      </c>
      <c r="Y354" s="2">
        <v>2.0</v>
      </c>
      <c r="Z354" s="2">
        <v>39.0</v>
      </c>
      <c r="AA354" s="2">
        <v>122.0</v>
      </c>
      <c r="AB354" s="2">
        <v>0.0</v>
      </c>
      <c r="AC354" s="2">
        <v>0.0</v>
      </c>
      <c r="AD354" s="2">
        <v>0.0</v>
      </c>
      <c r="AE354" s="2">
        <v>6.0</v>
      </c>
      <c r="AF354" s="2">
        <v>-4.87586508129607</v>
      </c>
      <c r="AG354" s="2">
        <v>0.0</v>
      </c>
      <c r="AH354" s="2">
        <v>4.0</v>
      </c>
      <c r="AI354" s="2">
        <v>1.0</v>
      </c>
      <c r="AJ354" s="2">
        <v>0.0</v>
      </c>
      <c r="AK354" s="2">
        <v>0.0</v>
      </c>
      <c r="AL354" s="2">
        <v>19.0</v>
      </c>
      <c r="AM354" s="2">
        <v>34.0</v>
      </c>
      <c r="AN354" s="2">
        <v>399.0</v>
      </c>
      <c r="AO354" s="2">
        <v>3.0</v>
      </c>
      <c r="AP354" s="2">
        <v>1.0</v>
      </c>
      <c r="AQ354" s="2">
        <v>0.0</v>
      </c>
      <c r="AR354" s="2">
        <v>409.0</v>
      </c>
      <c r="AS354" s="2">
        <v>141.0</v>
      </c>
      <c r="AT354" s="2">
        <v>16.0</v>
      </c>
      <c r="AU354" s="2">
        <v>18.9795885205566</v>
      </c>
      <c r="AV354" s="2">
        <v>0.0</v>
      </c>
      <c r="AW354" s="2">
        <v>15.0</v>
      </c>
      <c r="AX354" s="2">
        <v>10.0</v>
      </c>
      <c r="AY354" s="2">
        <v>10.0</v>
      </c>
      <c r="AZ354" s="2">
        <v>2.0</v>
      </c>
      <c r="BA354" s="2">
        <v>0.0</v>
      </c>
      <c r="BB354" s="2">
        <v>39.0</v>
      </c>
      <c r="BC354" s="2">
        <v>2.0</v>
      </c>
      <c r="BD354" s="2">
        <v>28.0</v>
      </c>
      <c r="BE354" s="2">
        <v>6.0</v>
      </c>
      <c r="BF354" s="2">
        <v>33.0</v>
      </c>
      <c r="BG354" s="2">
        <v>0.0</v>
      </c>
      <c r="BH354" s="2">
        <v>3.0</v>
      </c>
      <c r="BI354" s="2">
        <v>22.0</v>
      </c>
      <c r="BJ354" s="2">
        <v>7.0</v>
      </c>
      <c r="BK354" s="2">
        <v>1.0</v>
      </c>
      <c r="BL354" s="2">
        <v>3.0</v>
      </c>
      <c r="BM354" s="2">
        <v>4.0</v>
      </c>
      <c r="BN354" s="2">
        <v>0.0</v>
      </c>
      <c r="BO354" s="2">
        <v>0.0</v>
      </c>
      <c r="BP354" s="2">
        <v>0.0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</v>
      </c>
      <c r="BV354" s="2">
        <v>0.0</v>
      </c>
      <c r="BW354" s="2">
        <v>7.0</v>
      </c>
      <c r="BX354" s="2">
        <v>59.0</v>
      </c>
      <c r="BY354" s="2">
        <v>3.0</v>
      </c>
      <c r="BZ354" s="2">
        <v>1.0</v>
      </c>
      <c r="CA354" s="2">
        <v>0.0</v>
      </c>
      <c r="CB354" s="2">
        <v>1.0</v>
      </c>
      <c r="CC354" s="2">
        <v>1.0</v>
      </c>
      <c r="CD354" s="2">
        <v>0.0</v>
      </c>
      <c r="CE354" s="2">
        <v>1.0</v>
      </c>
      <c r="CF354" s="2">
        <v>0.0</v>
      </c>
      <c r="CG354" s="2">
        <v>5.0</v>
      </c>
      <c r="CH354" s="2">
        <v>122.0</v>
      </c>
      <c r="CI354" s="2">
        <v>2.0</v>
      </c>
      <c r="CJ354" s="2">
        <v>2.0</v>
      </c>
      <c r="CK354" s="2">
        <v>0.0</v>
      </c>
      <c r="CL354" s="2">
        <v>0.0</v>
      </c>
      <c r="CM354" s="2">
        <v>44.0</v>
      </c>
      <c r="CN354" s="2">
        <v>1.0</v>
      </c>
      <c r="CO354" s="2">
        <v>0.0</v>
      </c>
      <c r="CP354" s="2">
        <v>1.0</v>
      </c>
      <c r="CQ354" s="2">
        <v>0.0</v>
      </c>
      <c r="CR354" s="2">
        <v>1.0</v>
      </c>
      <c r="CS354" s="2">
        <v>0.0</v>
      </c>
      <c r="CT354" s="2">
        <v>0.0</v>
      </c>
      <c r="CU354" s="2">
        <v>0.0</v>
      </c>
      <c r="CV354" s="2">
        <v>0.0</v>
      </c>
      <c r="CW354" s="2">
        <v>0.0</v>
      </c>
      <c r="CX354" s="2">
        <v>0.0</v>
      </c>
      <c r="CY354" s="2">
        <v>0.0</v>
      </c>
      <c r="CZ354" s="2">
        <v>0.0</v>
      </c>
      <c r="DA354" s="2" t="s">
        <v>2196</v>
      </c>
      <c r="DD354" s="2">
        <v>65.0</v>
      </c>
      <c r="DE354" s="2">
        <v>0.0</v>
      </c>
      <c r="DF354" s="2">
        <v>0.0</v>
      </c>
      <c r="DG354" s="2">
        <v>3.0</v>
      </c>
      <c r="DH354" s="2">
        <v>3.0</v>
      </c>
      <c r="DI354" s="2">
        <v>0.0</v>
      </c>
      <c r="DJ354" s="2">
        <v>0.0</v>
      </c>
      <c r="DK354" s="2">
        <v>1.0</v>
      </c>
      <c r="DL354" s="2">
        <v>0.0</v>
      </c>
      <c r="DM354" s="2">
        <v>0.0</v>
      </c>
      <c r="DN354" s="2">
        <v>0.0</v>
      </c>
      <c r="DO354" s="2">
        <v>0.0</v>
      </c>
      <c r="DP354" s="2">
        <v>0.0</v>
      </c>
      <c r="DQ354" s="2">
        <v>3.0</v>
      </c>
      <c r="DR354" s="2">
        <v>0.0</v>
      </c>
      <c r="DS354" s="2">
        <v>44.0</v>
      </c>
      <c r="DT354" s="2">
        <v>120.0</v>
      </c>
      <c r="DU354" s="2">
        <v>1.0</v>
      </c>
      <c r="DV354" s="2">
        <v>1.0</v>
      </c>
      <c r="DW354" s="2">
        <v>1.0</v>
      </c>
      <c r="DX354" s="2">
        <v>0.0</v>
      </c>
      <c r="DY354" s="2">
        <v>1.0</v>
      </c>
      <c r="DZ354" s="2">
        <v>0.0</v>
      </c>
      <c r="EA354" s="2">
        <v>0.0</v>
      </c>
      <c r="EB354" s="2">
        <v>0.0</v>
      </c>
      <c r="EC354" s="2">
        <v>120.0</v>
      </c>
      <c r="EE354" s="2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2">
        <v>2025.0</v>
      </c>
      <c r="B355" s="2">
        <v>12.0</v>
      </c>
      <c r="C355" s="2" t="s">
        <v>238</v>
      </c>
      <c r="D355" s="2" t="s">
        <v>390</v>
      </c>
      <c r="E355" s="2" t="s">
        <v>950</v>
      </c>
      <c r="F355" s="2" t="s">
        <v>148</v>
      </c>
      <c r="G355" s="2">
        <v>17.0</v>
      </c>
      <c r="H355" s="2">
        <v>28.0</v>
      </c>
      <c r="I355" s="2">
        <v>222.0</v>
      </c>
      <c r="J355" s="2">
        <v>1.0</v>
      </c>
      <c r="K355" s="2">
        <v>1.0</v>
      </c>
      <c r="L355" s="2">
        <v>3.0</v>
      </c>
      <c r="M355" s="2">
        <v>-18.0</v>
      </c>
      <c r="N355" s="2">
        <v>0.0</v>
      </c>
      <c r="O355" s="2">
        <v>0.0</v>
      </c>
      <c r="P355" s="2">
        <v>288.0</v>
      </c>
      <c r="Q355" s="2">
        <v>149.0</v>
      </c>
      <c r="R355" s="2">
        <v>10.0</v>
      </c>
      <c r="S355" s="2">
        <v>0.76971969482004</v>
      </c>
      <c r="T355" s="2">
        <v>-1.45480665895674</v>
      </c>
      <c r="U355" s="2">
        <v>0.0</v>
      </c>
      <c r="V355" s="2">
        <v>10.0</v>
      </c>
      <c r="W355" s="2">
        <v>4.0</v>
      </c>
      <c r="X355" s="2">
        <v>2.0</v>
      </c>
      <c r="Y355" s="2">
        <v>1.0</v>
      </c>
      <c r="Z355" s="2">
        <v>26.0</v>
      </c>
      <c r="AA355" s="2">
        <v>78.0</v>
      </c>
      <c r="AB355" s="2">
        <v>0.0</v>
      </c>
      <c r="AC355" s="2">
        <v>1.0</v>
      </c>
      <c r="AD355" s="2">
        <v>1.0</v>
      </c>
      <c r="AE355" s="2">
        <v>5.0</v>
      </c>
      <c r="AF355" s="2">
        <v>-10.4685847301153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17.0</v>
      </c>
      <c r="AM355" s="2">
        <v>27.0</v>
      </c>
      <c r="AN355" s="2">
        <v>222.0</v>
      </c>
      <c r="AO355" s="2">
        <v>1.0</v>
      </c>
      <c r="AP355" s="2">
        <v>0.0</v>
      </c>
      <c r="AQ355" s="2">
        <v>0.0</v>
      </c>
      <c r="AR355" s="2">
        <v>288.0</v>
      </c>
      <c r="AS355" s="2">
        <v>149.0</v>
      </c>
      <c r="AT355" s="2">
        <v>10.0</v>
      </c>
      <c r="AU355" s="2">
        <v>5.07708933645957</v>
      </c>
      <c r="AV355" s="2">
        <v>0.0</v>
      </c>
      <c r="AW355" s="2">
        <v>10.0</v>
      </c>
      <c r="AX355" s="2">
        <v>4.0</v>
      </c>
      <c r="AY355" s="2">
        <v>2.0</v>
      </c>
      <c r="AZ355" s="2">
        <v>1.0</v>
      </c>
      <c r="BA355" s="2">
        <v>0.0</v>
      </c>
      <c r="BB355" s="2">
        <v>26.0</v>
      </c>
      <c r="BC355" s="2">
        <v>0.0</v>
      </c>
      <c r="BD355" s="2">
        <v>44.0</v>
      </c>
      <c r="BE355" s="2">
        <v>2.0</v>
      </c>
      <c r="BF355" s="2">
        <v>11.0</v>
      </c>
      <c r="BG355" s="2">
        <v>0.0</v>
      </c>
      <c r="BH355" s="2">
        <v>1.0</v>
      </c>
      <c r="BI355" s="2">
        <v>10.0</v>
      </c>
      <c r="BJ355" s="2">
        <v>1.0</v>
      </c>
      <c r="BK355" s="2">
        <v>0.0</v>
      </c>
      <c r="BL355" s="2">
        <v>0.0</v>
      </c>
      <c r="BM355" s="2">
        <v>3.0</v>
      </c>
      <c r="BN355" s="2">
        <v>0.0</v>
      </c>
      <c r="BO355" s="2">
        <v>0.0</v>
      </c>
      <c r="BP355" s="2">
        <v>0.0</v>
      </c>
      <c r="BQ355" s="2">
        <v>0.0</v>
      </c>
      <c r="BR355" s="2">
        <v>0.0</v>
      </c>
      <c r="BS355" s="2">
        <v>0.0</v>
      </c>
      <c r="BT355" s="2">
        <v>0.0</v>
      </c>
      <c r="BU355" s="2">
        <v>0.0</v>
      </c>
      <c r="BV355" s="2">
        <v>0.0</v>
      </c>
      <c r="BW355" s="2">
        <v>6.0</v>
      </c>
      <c r="BX355" s="2">
        <v>81.0</v>
      </c>
      <c r="BY355" s="2">
        <v>5.0</v>
      </c>
      <c r="BZ355" s="2">
        <v>1.0</v>
      </c>
      <c r="CA355" s="2">
        <v>0.0</v>
      </c>
      <c r="CB355" s="2">
        <v>0.0</v>
      </c>
      <c r="CC355" s="2">
        <v>1.0</v>
      </c>
      <c r="CD355" s="2">
        <v>1.0</v>
      </c>
      <c r="CE355" s="2">
        <v>3.0</v>
      </c>
      <c r="CF355" s="2">
        <v>23.0</v>
      </c>
      <c r="CG355" s="2">
        <v>5.0</v>
      </c>
      <c r="CH355" s="2">
        <v>156.0</v>
      </c>
      <c r="CI355" s="2">
        <v>1.0</v>
      </c>
      <c r="CJ355" s="2">
        <v>1.0</v>
      </c>
      <c r="CK355" s="2">
        <v>0.0</v>
      </c>
      <c r="CL355" s="2">
        <v>0.0</v>
      </c>
      <c r="CM355" s="2">
        <v>42.0</v>
      </c>
      <c r="CN355" s="2">
        <v>1.0</v>
      </c>
      <c r="CO355" s="2">
        <v>0.0</v>
      </c>
      <c r="CP355" s="2">
        <v>0.0</v>
      </c>
      <c r="CQ355" s="2">
        <v>0.0</v>
      </c>
      <c r="CR355" s="2">
        <v>1.0</v>
      </c>
      <c r="CS355" s="2">
        <v>0.0</v>
      </c>
      <c r="CT355" s="2">
        <v>0.0</v>
      </c>
      <c r="CU355" s="2">
        <v>0.0</v>
      </c>
      <c r="CV355" s="2">
        <v>0.0</v>
      </c>
      <c r="CW355" s="2">
        <v>0.0</v>
      </c>
      <c r="CX355" s="2">
        <v>0.0</v>
      </c>
      <c r="CY355" s="2">
        <v>0.0</v>
      </c>
      <c r="CZ355" s="2">
        <v>0.0</v>
      </c>
      <c r="DA355" s="2" t="s">
        <v>1966</v>
      </c>
      <c r="DD355" s="2">
        <v>42.0</v>
      </c>
      <c r="DE355" s="2">
        <v>0.0</v>
      </c>
      <c r="DF355" s="2">
        <v>0.0</v>
      </c>
      <c r="DG355" s="2">
        <v>1.0</v>
      </c>
      <c r="DH355" s="2">
        <v>1.0</v>
      </c>
      <c r="DI355" s="2">
        <v>0.0</v>
      </c>
      <c r="DJ355" s="2">
        <v>0.0</v>
      </c>
      <c r="DK355" s="2">
        <v>1.0</v>
      </c>
      <c r="DL355" s="2">
        <v>0.0</v>
      </c>
      <c r="DM355" s="2">
        <v>0.0</v>
      </c>
      <c r="DN355" s="2">
        <v>0.0</v>
      </c>
      <c r="DO355" s="2">
        <v>0.0</v>
      </c>
      <c r="DP355" s="2">
        <v>0.0</v>
      </c>
      <c r="DQ355" s="2">
        <v>4.0</v>
      </c>
      <c r="DR355" s="2">
        <v>0.0</v>
      </c>
      <c r="DS355" s="2">
        <v>47.0</v>
      </c>
      <c r="DT355" s="2">
        <v>152.0</v>
      </c>
      <c r="DU355" s="2">
        <v>3.0</v>
      </c>
      <c r="DV355" s="2">
        <v>1.0</v>
      </c>
      <c r="DW355" s="2">
        <v>1.0</v>
      </c>
      <c r="DX355" s="2">
        <v>1.0</v>
      </c>
      <c r="DY355" s="2">
        <v>1.0</v>
      </c>
      <c r="DZ355" s="2">
        <v>0.0</v>
      </c>
      <c r="EA355" s="2">
        <v>0.0</v>
      </c>
      <c r="EB355" s="2">
        <v>0.0</v>
      </c>
      <c r="EC355" s="2">
        <v>132.0</v>
      </c>
      <c r="EE355" s="2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2">
        <v>2025.0</v>
      </c>
      <c r="B356" s="2">
        <v>12.0</v>
      </c>
      <c r="C356" s="2" t="s">
        <v>147</v>
      </c>
      <c r="D356" s="2" t="s">
        <v>390</v>
      </c>
      <c r="E356" s="2" t="s">
        <v>973</v>
      </c>
      <c r="F356" s="2" t="s">
        <v>146</v>
      </c>
      <c r="G356" s="2">
        <v>27.0</v>
      </c>
      <c r="H356" s="2">
        <v>39.0</v>
      </c>
      <c r="I356" s="2">
        <v>289.0</v>
      </c>
      <c r="J356" s="2">
        <v>1.0</v>
      </c>
      <c r="K356" s="2">
        <v>0.0</v>
      </c>
      <c r="L356" s="2">
        <v>1.0</v>
      </c>
      <c r="M356" s="2">
        <v>-13.0</v>
      </c>
      <c r="N356" s="2">
        <v>0.0</v>
      </c>
      <c r="O356" s="2">
        <v>0.0</v>
      </c>
      <c r="P356" s="2">
        <v>293.0</v>
      </c>
      <c r="Q356" s="2">
        <v>134.0</v>
      </c>
      <c r="R356" s="2">
        <v>14.0</v>
      </c>
      <c r="S356" s="2">
        <v>8.19009187526132</v>
      </c>
      <c r="T356" s="2">
        <v>6.52964860200882</v>
      </c>
      <c r="U356" s="2">
        <v>0.0</v>
      </c>
      <c r="V356" s="2">
        <v>15.0</v>
      </c>
      <c r="W356" s="2">
        <v>6.0</v>
      </c>
      <c r="X356" s="2">
        <v>2.0</v>
      </c>
      <c r="Y356" s="2">
        <v>1.0</v>
      </c>
      <c r="Z356" s="2">
        <v>18.0</v>
      </c>
      <c r="AA356" s="2">
        <v>63.0</v>
      </c>
      <c r="AB356" s="2">
        <v>2.0</v>
      </c>
      <c r="AC356" s="2">
        <v>0.0</v>
      </c>
      <c r="AD356" s="2">
        <v>0.0</v>
      </c>
      <c r="AE356" s="2">
        <v>4.0</v>
      </c>
      <c r="AF356" s="2">
        <v>-0.800696818972938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27.0</v>
      </c>
      <c r="AM356" s="2">
        <v>36.0</v>
      </c>
      <c r="AN356" s="2">
        <v>289.0</v>
      </c>
      <c r="AO356" s="2">
        <v>1.0</v>
      </c>
      <c r="AP356" s="2">
        <v>1.0</v>
      </c>
      <c r="AQ356" s="2">
        <v>1.0</v>
      </c>
      <c r="AR356" s="2">
        <v>293.0</v>
      </c>
      <c r="AS356" s="2">
        <v>134.0</v>
      </c>
      <c r="AT356" s="2">
        <v>14.0</v>
      </c>
      <c r="AU356" s="2">
        <v>8.85121428884628</v>
      </c>
      <c r="AV356" s="2">
        <v>0.0</v>
      </c>
      <c r="AW356" s="2">
        <v>15.0</v>
      </c>
      <c r="AX356" s="2">
        <v>6.0</v>
      </c>
      <c r="AY356" s="2">
        <v>2.0</v>
      </c>
      <c r="AZ356" s="2">
        <v>1.0</v>
      </c>
      <c r="BA356" s="2">
        <v>0.0</v>
      </c>
      <c r="BB356" s="2">
        <v>36.0</v>
      </c>
      <c r="BC356" s="2">
        <v>0.0</v>
      </c>
      <c r="BD356" s="2">
        <v>34.0</v>
      </c>
      <c r="BE356" s="2">
        <v>2.0</v>
      </c>
      <c r="BF356" s="2">
        <v>10.0</v>
      </c>
      <c r="BG356" s="2">
        <v>1.0</v>
      </c>
      <c r="BH356" s="2">
        <v>1.0</v>
      </c>
      <c r="BI356" s="2">
        <v>6.0</v>
      </c>
      <c r="BJ356" s="2">
        <v>6.0</v>
      </c>
      <c r="BK356" s="2">
        <v>1.0</v>
      </c>
      <c r="BL356" s="2">
        <v>0.0</v>
      </c>
      <c r="BM356" s="2">
        <v>4.0</v>
      </c>
      <c r="BN356" s="2">
        <v>0.0</v>
      </c>
      <c r="BO356" s="2">
        <v>1.0</v>
      </c>
      <c r="BP356" s="2">
        <v>0.0</v>
      </c>
      <c r="BQ356" s="2">
        <v>0.0</v>
      </c>
      <c r="BR356" s="2">
        <v>0.0</v>
      </c>
      <c r="BS356" s="2">
        <v>0.0</v>
      </c>
      <c r="BT356" s="2">
        <v>1.0</v>
      </c>
      <c r="BU356" s="2">
        <v>0.0</v>
      </c>
      <c r="BV356" s="2">
        <v>0.0</v>
      </c>
      <c r="BW356" s="2">
        <v>14.0</v>
      </c>
      <c r="BX356" s="2">
        <v>96.0</v>
      </c>
      <c r="BY356" s="2">
        <v>4.0</v>
      </c>
      <c r="BZ356" s="2">
        <v>2.0</v>
      </c>
      <c r="CA356" s="2">
        <v>0.0</v>
      </c>
      <c r="CB356" s="2">
        <v>0.0</v>
      </c>
      <c r="CC356" s="2">
        <v>2.0</v>
      </c>
      <c r="CD356" s="2">
        <v>2.0</v>
      </c>
      <c r="CE356" s="2">
        <v>2.0</v>
      </c>
      <c r="CF356" s="2">
        <v>19.0</v>
      </c>
      <c r="CG356" s="2">
        <v>4.0</v>
      </c>
      <c r="CH356" s="2">
        <v>106.0</v>
      </c>
      <c r="CI356" s="2">
        <v>0.0</v>
      </c>
      <c r="CJ356" s="2">
        <v>1.0</v>
      </c>
      <c r="CK356" s="2">
        <v>1.0</v>
      </c>
      <c r="CL356" s="2">
        <v>0.0</v>
      </c>
      <c r="CN356" s="2">
        <v>0.0</v>
      </c>
      <c r="CO356" s="2">
        <v>0.0</v>
      </c>
      <c r="CP356" s="2">
        <v>0.0</v>
      </c>
      <c r="CQ356" s="2">
        <v>0.0</v>
      </c>
      <c r="CR356" s="2">
        <v>0.0</v>
      </c>
      <c r="CS356" s="2">
        <v>0.0</v>
      </c>
      <c r="CT356" s="2">
        <v>0.0</v>
      </c>
      <c r="CU356" s="2">
        <v>0.0</v>
      </c>
      <c r="CV356" s="2">
        <v>0.0</v>
      </c>
      <c r="CW356" s="2">
        <v>0.0</v>
      </c>
      <c r="CX356" s="2">
        <v>0.0</v>
      </c>
      <c r="CY356" s="2">
        <v>1.0</v>
      </c>
      <c r="CZ356" s="2">
        <v>0.0</v>
      </c>
      <c r="DB356" s="2" t="s">
        <v>2007</v>
      </c>
      <c r="DD356" s="2">
        <v>0.0</v>
      </c>
      <c r="DE356" s="2">
        <v>56.0</v>
      </c>
      <c r="DF356" s="2">
        <v>0.0</v>
      </c>
      <c r="DG356" s="2">
        <v>3.0</v>
      </c>
      <c r="DH356" s="2">
        <v>3.0</v>
      </c>
      <c r="DI356" s="2">
        <v>0.0</v>
      </c>
      <c r="DJ356" s="2">
        <v>0.0</v>
      </c>
      <c r="DK356" s="2">
        <v>1.0</v>
      </c>
      <c r="DL356" s="2">
        <v>0.0</v>
      </c>
      <c r="DM356" s="2">
        <v>0.0</v>
      </c>
      <c r="DN356" s="2">
        <v>0.0</v>
      </c>
      <c r="DO356" s="2">
        <v>0.0</v>
      </c>
      <c r="DP356" s="2">
        <v>0.0</v>
      </c>
      <c r="DQ356" s="2">
        <v>5.0</v>
      </c>
      <c r="DR356" s="2">
        <v>0.0</v>
      </c>
      <c r="DS356" s="2">
        <v>58.0</v>
      </c>
      <c r="DT356" s="2">
        <v>250.0</v>
      </c>
      <c r="DU356" s="2">
        <v>3.0</v>
      </c>
      <c r="DV356" s="2">
        <v>0.0</v>
      </c>
      <c r="DW356" s="2">
        <v>1.0</v>
      </c>
      <c r="DX356" s="2">
        <v>0.0</v>
      </c>
      <c r="DY356" s="2">
        <v>3.0</v>
      </c>
      <c r="DZ356" s="2">
        <v>1.0</v>
      </c>
      <c r="EA356" s="2">
        <v>1.0</v>
      </c>
      <c r="EB356" s="2">
        <v>0.0</v>
      </c>
      <c r="EC356" s="2">
        <v>249.0</v>
      </c>
      <c r="EE356" s="2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2">
        <v>2025.0</v>
      </c>
      <c r="B357" s="2">
        <v>12.0</v>
      </c>
      <c r="C357" s="2" t="s">
        <v>242</v>
      </c>
      <c r="D357" s="2" t="s">
        <v>390</v>
      </c>
      <c r="E357" s="2" t="s">
        <v>953</v>
      </c>
      <c r="F357" s="2" t="s">
        <v>137</v>
      </c>
      <c r="G357" s="2">
        <v>24.0</v>
      </c>
      <c r="H357" s="2">
        <v>31.0</v>
      </c>
      <c r="I357" s="2">
        <v>171.0</v>
      </c>
      <c r="J357" s="2">
        <v>1.0</v>
      </c>
      <c r="K357" s="2">
        <v>1.0</v>
      </c>
      <c r="L357" s="2">
        <v>2.0</v>
      </c>
      <c r="M357" s="2">
        <v>-12.0</v>
      </c>
      <c r="N357" s="2">
        <v>1.0</v>
      </c>
      <c r="O357" s="2">
        <v>1.0</v>
      </c>
      <c r="P357" s="2">
        <v>196.0</v>
      </c>
      <c r="Q357" s="2">
        <v>116.0</v>
      </c>
      <c r="R357" s="2">
        <v>8.0</v>
      </c>
      <c r="S357" s="2">
        <v>-5.81727157183923</v>
      </c>
      <c r="T357" s="2">
        <v>8.86838551490538</v>
      </c>
      <c r="U357" s="2">
        <v>0.0</v>
      </c>
      <c r="V357" s="2">
        <v>6.0</v>
      </c>
      <c r="W357" s="2">
        <v>2.0</v>
      </c>
      <c r="X357" s="2">
        <v>1.0</v>
      </c>
      <c r="Y357" s="2">
        <v>0.0</v>
      </c>
      <c r="Z357" s="2">
        <v>36.0</v>
      </c>
      <c r="AA357" s="2">
        <v>186.0</v>
      </c>
      <c r="AB357" s="2">
        <v>2.0</v>
      </c>
      <c r="AC357" s="2">
        <v>0.0</v>
      </c>
      <c r="AD357" s="2">
        <v>0.0</v>
      </c>
      <c r="AE357" s="2">
        <v>12.0</v>
      </c>
      <c r="AF357" s="2">
        <v>5.88978101406246</v>
      </c>
      <c r="AG357" s="2">
        <v>0.0</v>
      </c>
      <c r="AH357" s="2">
        <v>2.0</v>
      </c>
      <c r="AI357" s="2">
        <v>2.0</v>
      </c>
      <c r="AJ357" s="2">
        <v>1.0</v>
      </c>
      <c r="AK357" s="2">
        <v>1.0</v>
      </c>
      <c r="AL357" s="2">
        <v>24.0</v>
      </c>
      <c r="AM357" s="2">
        <v>31.0</v>
      </c>
      <c r="AN357" s="2">
        <v>171.0</v>
      </c>
      <c r="AO357" s="2">
        <v>1.0</v>
      </c>
      <c r="AP357" s="2">
        <v>0.0</v>
      </c>
      <c r="AQ357" s="2">
        <v>0.0</v>
      </c>
      <c r="AR357" s="2">
        <v>196.0</v>
      </c>
      <c r="AS357" s="2">
        <v>116.0</v>
      </c>
      <c r="AT357" s="2">
        <v>8.0</v>
      </c>
      <c r="AU357" s="2">
        <v>0.647490805946291</v>
      </c>
      <c r="AV357" s="2">
        <v>0.0</v>
      </c>
      <c r="AW357" s="2">
        <v>6.0</v>
      </c>
      <c r="AX357" s="2">
        <v>2.0</v>
      </c>
      <c r="AY357" s="2">
        <v>1.0</v>
      </c>
      <c r="AZ357" s="2">
        <v>0.0</v>
      </c>
      <c r="BA357" s="2">
        <v>0.0</v>
      </c>
      <c r="BB357" s="2">
        <v>28.0</v>
      </c>
      <c r="BC357" s="2">
        <v>1.0</v>
      </c>
      <c r="BD357" s="2">
        <v>35.0</v>
      </c>
      <c r="BE357" s="2">
        <v>2.0</v>
      </c>
      <c r="BF357" s="2">
        <v>14.0</v>
      </c>
      <c r="BG357" s="2">
        <v>2.0</v>
      </c>
      <c r="BH357" s="2">
        <v>1.0</v>
      </c>
      <c r="BI357" s="2">
        <v>10.0</v>
      </c>
      <c r="BJ357" s="2">
        <v>1.0</v>
      </c>
      <c r="BK357" s="2">
        <v>0.0</v>
      </c>
      <c r="BL357" s="2">
        <v>0.0</v>
      </c>
      <c r="BM357" s="2">
        <v>2.0</v>
      </c>
      <c r="BN357" s="2">
        <v>0.0</v>
      </c>
      <c r="BO357" s="2">
        <v>0.0</v>
      </c>
      <c r="BP357" s="2">
        <v>0.0</v>
      </c>
      <c r="BQ357" s="2">
        <v>0.0</v>
      </c>
      <c r="BR357" s="2">
        <v>0.0</v>
      </c>
      <c r="BS357" s="2">
        <v>0.0</v>
      </c>
      <c r="BT357" s="2">
        <v>2.0</v>
      </c>
      <c r="BU357" s="2">
        <v>0.0</v>
      </c>
      <c r="BV357" s="2">
        <v>1.0</v>
      </c>
      <c r="BW357" s="2">
        <v>6.0</v>
      </c>
      <c r="BX357" s="2">
        <v>41.0</v>
      </c>
      <c r="BY357" s="2">
        <v>4.0</v>
      </c>
      <c r="BZ357" s="2">
        <v>2.0</v>
      </c>
      <c r="CA357" s="2">
        <v>0.0</v>
      </c>
      <c r="CB357" s="2">
        <v>1.0</v>
      </c>
      <c r="CC357" s="2">
        <v>2.0</v>
      </c>
      <c r="CD357" s="2">
        <v>1.0</v>
      </c>
      <c r="CE357" s="2">
        <v>2.0</v>
      </c>
      <c r="CF357" s="2">
        <v>24.0</v>
      </c>
      <c r="CG357" s="2">
        <v>4.0</v>
      </c>
      <c r="CH357" s="2">
        <v>63.0</v>
      </c>
      <c r="CI357" s="2">
        <v>0.0</v>
      </c>
      <c r="CJ357" s="2">
        <v>0.0</v>
      </c>
      <c r="CK357" s="2">
        <v>0.0</v>
      </c>
      <c r="CL357" s="2">
        <v>0.0</v>
      </c>
      <c r="CO357" s="2">
        <v>0.0</v>
      </c>
      <c r="CP357" s="2">
        <v>0.0</v>
      </c>
      <c r="CQ357" s="2">
        <v>0.0</v>
      </c>
      <c r="CR357" s="2">
        <v>0.0</v>
      </c>
      <c r="CS357" s="2">
        <v>0.0</v>
      </c>
      <c r="CT357" s="2">
        <v>0.0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0.0</v>
      </c>
      <c r="DD357" s="2">
        <v>0.0</v>
      </c>
      <c r="DE357" s="2">
        <v>0.0</v>
      </c>
      <c r="DF357" s="2">
        <v>0.0</v>
      </c>
      <c r="DG357" s="2">
        <v>4.0</v>
      </c>
      <c r="DH357" s="2">
        <v>4.0</v>
      </c>
      <c r="DI357" s="2">
        <v>0.0</v>
      </c>
      <c r="DJ357" s="2">
        <v>0.0</v>
      </c>
      <c r="DK357" s="2">
        <v>1.0</v>
      </c>
      <c r="DL357" s="2">
        <v>0.0</v>
      </c>
      <c r="DM357" s="2">
        <v>0.0</v>
      </c>
      <c r="DN357" s="2">
        <v>0.0</v>
      </c>
      <c r="DO357" s="2">
        <v>0.0</v>
      </c>
      <c r="DP357" s="2">
        <v>0.0</v>
      </c>
      <c r="DQ357" s="2">
        <v>3.0</v>
      </c>
      <c r="DR357" s="2">
        <v>0.0</v>
      </c>
      <c r="DS357" s="2">
        <v>39.0</v>
      </c>
      <c r="DT357" s="2">
        <v>106.0</v>
      </c>
      <c r="DU357" s="2">
        <v>0.0</v>
      </c>
      <c r="DV357" s="2">
        <v>1.0</v>
      </c>
      <c r="DW357" s="2">
        <v>1.0</v>
      </c>
      <c r="DX357" s="2">
        <v>0.0</v>
      </c>
      <c r="DY357" s="2">
        <v>1.0</v>
      </c>
      <c r="DZ357" s="2">
        <v>0.0</v>
      </c>
      <c r="EA357" s="2">
        <v>0.0</v>
      </c>
      <c r="EB357" s="2">
        <v>0.0</v>
      </c>
      <c r="EC357" s="2">
        <v>106.0</v>
      </c>
      <c r="EE357" s="2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2">
        <v>2025.0</v>
      </c>
      <c r="B358" s="2">
        <v>12.0</v>
      </c>
      <c r="C358" s="2" t="s">
        <v>149</v>
      </c>
      <c r="D358" s="2" t="s">
        <v>390</v>
      </c>
      <c r="E358" s="2" t="s">
        <v>965</v>
      </c>
      <c r="F358" s="2" t="s">
        <v>250</v>
      </c>
      <c r="G358" s="2">
        <v>16.0</v>
      </c>
      <c r="H358" s="2">
        <v>26.0</v>
      </c>
      <c r="I358" s="2">
        <v>244.0</v>
      </c>
      <c r="J358" s="2">
        <v>2.0</v>
      </c>
      <c r="K358" s="2">
        <v>0.0</v>
      </c>
      <c r="L358" s="2">
        <v>1.0</v>
      </c>
      <c r="M358" s="2">
        <v>-5.0</v>
      </c>
      <c r="N358" s="2">
        <v>0.0</v>
      </c>
      <c r="O358" s="2">
        <v>0.0</v>
      </c>
      <c r="P358" s="2">
        <v>245.0</v>
      </c>
      <c r="Q358" s="2">
        <v>122.0</v>
      </c>
      <c r="R358" s="2">
        <v>9.0</v>
      </c>
      <c r="S358" s="2">
        <v>9.42420726075015</v>
      </c>
      <c r="T358" s="2">
        <v>2.10957455635071</v>
      </c>
      <c r="U358" s="2">
        <v>0.0</v>
      </c>
      <c r="V358" s="2">
        <v>9.0</v>
      </c>
      <c r="W358" s="2">
        <v>3.0</v>
      </c>
      <c r="X358" s="2">
        <v>3.0</v>
      </c>
      <c r="Y358" s="2">
        <v>2.0</v>
      </c>
      <c r="Z358" s="2">
        <v>20.0</v>
      </c>
      <c r="AA358" s="2">
        <v>114.0</v>
      </c>
      <c r="AB358" s="2">
        <v>1.0</v>
      </c>
      <c r="AC358" s="2">
        <v>0.0</v>
      </c>
      <c r="AD358" s="2">
        <v>0.0</v>
      </c>
      <c r="AE358" s="2">
        <v>8.0</v>
      </c>
      <c r="AF358" s="2">
        <v>2.3655736859946</v>
      </c>
      <c r="AG358" s="2">
        <v>0.0</v>
      </c>
      <c r="AH358" s="2">
        <v>5.0</v>
      </c>
      <c r="AI358" s="2">
        <v>3.0</v>
      </c>
      <c r="AJ358" s="2">
        <v>0.0</v>
      </c>
      <c r="AK358" s="2">
        <v>0.0</v>
      </c>
      <c r="AL358" s="2">
        <v>16.0</v>
      </c>
      <c r="AM358" s="2">
        <v>25.0</v>
      </c>
      <c r="AN358" s="2">
        <v>244.0</v>
      </c>
      <c r="AO358" s="2">
        <v>2.0</v>
      </c>
      <c r="AP358" s="2">
        <v>0.0</v>
      </c>
      <c r="AQ358" s="2">
        <v>0.0</v>
      </c>
      <c r="AR358" s="2">
        <v>245.0</v>
      </c>
      <c r="AS358" s="2">
        <v>122.0</v>
      </c>
      <c r="AT358" s="2">
        <v>9.0</v>
      </c>
      <c r="AU358" s="2">
        <v>12.6671017230599</v>
      </c>
      <c r="AV358" s="2">
        <v>0.0</v>
      </c>
      <c r="AW358" s="2">
        <v>9.0</v>
      </c>
      <c r="AX358" s="2">
        <v>3.0</v>
      </c>
      <c r="AY358" s="2">
        <v>3.0</v>
      </c>
      <c r="AZ358" s="2">
        <v>2.0</v>
      </c>
      <c r="BA358" s="2">
        <v>0.0</v>
      </c>
      <c r="BB358" s="2">
        <v>41.0</v>
      </c>
      <c r="BC358" s="2">
        <v>0.0</v>
      </c>
      <c r="BD358" s="2">
        <v>30.0</v>
      </c>
      <c r="BE358" s="2">
        <v>6.0</v>
      </c>
      <c r="BF358" s="2">
        <v>33.0</v>
      </c>
      <c r="BG358" s="2">
        <v>0.0</v>
      </c>
      <c r="BH358" s="2">
        <v>4.0</v>
      </c>
      <c r="BI358" s="2">
        <v>24.0</v>
      </c>
      <c r="BJ358" s="2">
        <v>11.0</v>
      </c>
      <c r="BK358" s="2">
        <v>0.0</v>
      </c>
      <c r="BL358" s="2">
        <v>0.0</v>
      </c>
      <c r="BM358" s="2">
        <v>6.0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11.0</v>
      </c>
      <c r="BX358" s="2">
        <v>69.0</v>
      </c>
      <c r="BY358" s="2">
        <v>4.0</v>
      </c>
      <c r="BZ358" s="2">
        <v>0.0</v>
      </c>
      <c r="CA358" s="2">
        <v>0.0</v>
      </c>
      <c r="CB358" s="2">
        <v>0.0</v>
      </c>
      <c r="CC358" s="2">
        <v>0.0</v>
      </c>
      <c r="CD358" s="2">
        <v>0.0</v>
      </c>
      <c r="CE358" s="2">
        <v>3.0</v>
      </c>
      <c r="CF358" s="2">
        <v>40.0</v>
      </c>
      <c r="CG358" s="2">
        <v>3.0</v>
      </c>
      <c r="CH358" s="2">
        <v>56.0</v>
      </c>
      <c r="CI358" s="2">
        <v>3.0</v>
      </c>
      <c r="CJ358" s="2">
        <v>3.0</v>
      </c>
      <c r="CK358" s="2">
        <v>0.0</v>
      </c>
      <c r="CL358" s="2">
        <v>0.0</v>
      </c>
      <c r="CM358" s="2">
        <v>47.0</v>
      </c>
      <c r="CN358" s="2">
        <v>1.0</v>
      </c>
      <c r="CO358" s="2">
        <v>0.0</v>
      </c>
      <c r="CP358" s="2">
        <v>0.0</v>
      </c>
      <c r="CQ358" s="2">
        <v>2.0</v>
      </c>
      <c r="CR358" s="2">
        <v>1.0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 t="s">
        <v>2197</v>
      </c>
      <c r="DD358" s="2">
        <v>113.0</v>
      </c>
      <c r="DE358" s="2">
        <v>0.0</v>
      </c>
      <c r="DF358" s="2">
        <v>0.0</v>
      </c>
      <c r="DG358" s="2">
        <v>3.0</v>
      </c>
      <c r="DH358" s="2">
        <v>3.0</v>
      </c>
      <c r="DI358" s="2">
        <v>0.0</v>
      </c>
      <c r="DJ358" s="2">
        <v>0.0</v>
      </c>
      <c r="DK358" s="2">
        <v>1.0</v>
      </c>
      <c r="DL358" s="2">
        <v>0.0</v>
      </c>
      <c r="DM358" s="2">
        <v>0.0</v>
      </c>
      <c r="DN358" s="2">
        <v>0.0</v>
      </c>
      <c r="DO358" s="2">
        <v>0.0</v>
      </c>
      <c r="DP358" s="2">
        <v>0.0</v>
      </c>
      <c r="DQ358" s="2">
        <v>2.0</v>
      </c>
      <c r="DR358" s="2">
        <v>0.0</v>
      </c>
      <c r="DS358" s="2">
        <v>60.0</v>
      </c>
      <c r="DT358" s="2">
        <v>106.0</v>
      </c>
      <c r="DU358" s="2">
        <v>0.0</v>
      </c>
      <c r="DV358" s="2">
        <v>0.0</v>
      </c>
      <c r="DW358" s="2">
        <v>0.0</v>
      </c>
      <c r="DX358" s="2">
        <v>0.0</v>
      </c>
      <c r="DY358" s="2">
        <v>1.0</v>
      </c>
      <c r="DZ358" s="2">
        <v>1.0</v>
      </c>
      <c r="EA358" s="2">
        <v>90.0</v>
      </c>
      <c r="EB358" s="2">
        <v>1.0</v>
      </c>
      <c r="EC358" s="2">
        <v>16.0</v>
      </c>
      <c r="EE358" s="2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2">
        <v>2025.0</v>
      </c>
      <c r="B359" s="2">
        <v>12.0</v>
      </c>
      <c r="C359" s="2" t="s">
        <v>246</v>
      </c>
      <c r="D359" s="2" t="s">
        <v>390</v>
      </c>
      <c r="E359" s="2" t="s">
        <v>979</v>
      </c>
      <c r="F359" s="2" t="s">
        <v>189</v>
      </c>
      <c r="G359" s="2">
        <v>23.0</v>
      </c>
      <c r="H359" s="2">
        <v>32.0</v>
      </c>
      <c r="I359" s="2">
        <v>193.0</v>
      </c>
      <c r="J359" s="2">
        <v>1.0</v>
      </c>
      <c r="K359" s="2">
        <v>3.0</v>
      </c>
      <c r="L359" s="2">
        <v>0.0</v>
      </c>
      <c r="M359" s="2">
        <v>0.0</v>
      </c>
      <c r="N359" s="2">
        <v>0.0</v>
      </c>
      <c r="O359" s="2">
        <v>0.0</v>
      </c>
      <c r="P359" s="2">
        <v>195.0</v>
      </c>
      <c r="Q359" s="2">
        <v>119.0</v>
      </c>
      <c r="R359" s="2">
        <v>11.0</v>
      </c>
      <c r="S359" s="2">
        <v>-3.16852298292729</v>
      </c>
      <c r="T359" s="2">
        <v>1.47535363212228</v>
      </c>
      <c r="U359" s="2">
        <v>0.0</v>
      </c>
      <c r="V359" s="2">
        <v>8.0</v>
      </c>
      <c r="W359" s="2">
        <v>3.0</v>
      </c>
      <c r="X359" s="2">
        <v>1.0</v>
      </c>
      <c r="Y359" s="2">
        <v>0.0</v>
      </c>
      <c r="Z359" s="2">
        <v>38.0</v>
      </c>
      <c r="AA359" s="2">
        <v>147.0</v>
      </c>
      <c r="AB359" s="2">
        <v>1.0</v>
      </c>
      <c r="AC359" s="2">
        <v>1.0</v>
      </c>
      <c r="AD359" s="2">
        <v>0.0</v>
      </c>
      <c r="AE359" s="2">
        <v>12.0</v>
      </c>
      <c r="AF359" s="2">
        <v>1.582646652539</v>
      </c>
      <c r="AG359" s="2">
        <v>0.0</v>
      </c>
      <c r="AH359" s="2">
        <v>3.0</v>
      </c>
      <c r="AI359" s="2">
        <v>3.0</v>
      </c>
      <c r="AJ359" s="2">
        <v>0.0</v>
      </c>
      <c r="AK359" s="2">
        <v>0.0</v>
      </c>
      <c r="AL359" s="2">
        <v>23.0</v>
      </c>
      <c r="AM359" s="2">
        <v>32.0</v>
      </c>
      <c r="AN359" s="2">
        <v>193.0</v>
      </c>
      <c r="AO359" s="2">
        <v>1.0</v>
      </c>
      <c r="AP359" s="2">
        <v>0.0</v>
      </c>
      <c r="AQ359" s="2">
        <v>0.0</v>
      </c>
      <c r="AR359" s="2">
        <v>195.0</v>
      </c>
      <c r="AS359" s="2">
        <v>119.0</v>
      </c>
      <c r="AT359" s="2">
        <v>11.0</v>
      </c>
      <c r="AU359" s="2">
        <v>-3.16852298292729</v>
      </c>
      <c r="AV359" s="2">
        <v>0.0</v>
      </c>
      <c r="AW359" s="2">
        <v>8.0</v>
      </c>
      <c r="AX359" s="2">
        <v>3.0</v>
      </c>
      <c r="AY359" s="2">
        <v>1.0</v>
      </c>
      <c r="AZ359" s="2">
        <v>0.0</v>
      </c>
      <c r="BA359" s="2">
        <v>0.0</v>
      </c>
      <c r="BB359" s="2">
        <v>28.0</v>
      </c>
      <c r="BC359" s="2">
        <v>1.0</v>
      </c>
      <c r="BD359" s="2">
        <v>15.0</v>
      </c>
      <c r="BE359" s="2">
        <v>2.0</v>
      </c>
      <c r="BF359" s="2">
        <v>11.0</v>
      </c>
      <c r="BG359" s="2">
        <v>1.0</v>
      </c>
      <c r="BH359" s="2">
        <v>1.0</v>
      </c>
      <c r="BI359" s="2">
        <v>8.0</v>
      </c>
      <c r="BJ359" s="2">
        <v>3.0</v>
      </c>
      <c r="BK359" s="2">
        <v>2.0</v>
      </c>
      <c r="BL359" s="2">
        <v>4.0</v>
      </c>
      <c r="BM359" s="2">
        <v>4.0</v>
      </c>
      <c r="BN359" s="2">
        <v>0.0</v>
      </c>
      <c r="BO359" s="2">
        <v>0.0</v>
      </c>
      <c r="BP359" s="2">
        <v>0.0</v>
      </c>
      <c r="BQ359" s="2">
        <v>0.0</v>
      </c>
      <c r="BR359" s="2">
        <v>1.0</v>
      </c>
      <c r="BS359" s="2">
        <v>0.0</v>
      </c>
      <c r="BT359" s="2">
        <v>0.0</v>
      </c>
      <c r="BU359" s="2">
        <v>0.0</v>
      </c>
      <c r="BV359" s="2">
        <v>0.0</v>
      </c>
      <c r="BW359" s="2">
        <v>2.0</v>
      </c>
      <c r="BX359" s="2">
        <v>6.0</v>
      </c>
      <c r="BY359" s="2">
        <v>4.0</v>
      </c>
      <c r="BZ359" s="2">
        <v>1.0</v>
      </c>
      <c r="CA359" s="2">
        <v>0.0</v>
      </c>
      <c r="CB359" s="2">
        <v>0.0</v>
      </c>
      <c r="CC359" s="2">
        <v>1.0</v>
      </c>
      <c r="CD359" s="2">
        <v>0.0</v>
      </c>
      <c r="CE359" s="2">
        <v>0.0</v>
      </c>
      <c r="CF359" s="2">
        <v>0.0</v>
      </c>
      <c r="CG359" s="2">
        <v>3.0</v>
      </c>
      <c r="CH359" s="2">
        <v>80.0</v>
      </c>
      <c r="CI359" s="2">
        <v>2.0</v>
      </c>
      <c r="CJ359" s="2">
        <v>2.0</v>
      </c>
      <c r="CK359" s="2">
        <v>0.0</v>
      </c>
      <c r="CL359" s="2">
        <v>0.0</v>
      </c>
      <c r="CM359" s="2">
        <v>47.0</v>
      </c>
      <c r="CN359" s="2">
        <v>1.0</v>
      </c>
      <c r="CO359" s="2">
        <v>0.0</v>
      </c>
      <c r="CP359" s="2">
        <v>1.0</v>
      </c>
      <c r="CQ359" s="2">
        <v>0.0</v>
      </c>
      <c r="CR359" s="2">
        <v>1.0</v>
      </c>
      <c r="CS359" s="2">
        <v>0.0</v>
      </c>
      <c r="CT359" s="2">
        <v>0.0</v>
      </c>
      <c r="CU359" s="2">
        <v>0.0</v>
      </c>
      <c r="CV359" s="2">
        <v>0.0</v>
      </c>
      <c r="CW359" s="2">
        <v>0.0</v>
      </c>
      <c r="CX359" s="2">
        <v>0.0</v>
      </c>
      <c r="CY359" s="2">
        <v>0.0</v>
      </c>
      <c r="CZ359" s="2">
        <v>0.0</v>
      </c>
      <c r="DA359" s="2" t="s">
        <v>2198</v>
      </c>
      <c r="DD359" s="2">
        <v>76.0</v>
      </c>
      <c r="DE359" s="2">
        <v>0.0</v>
      </c>
      <c r="DF359" s="2">
        <v>0.0</v>
      </c>
      <c r="DG359" s="2">
        <v>2.0</v>
      </c>
      <c r="DH359" s="2">
        <v>2.0</v>
      </c>
      <c r="DI359" s="2">
        <v>0.0</v>
      </c>
      <c r="DJ359" s="2">
        <v>0.0</v>
      </c>
      <c r="DK359" s="2">
        <v>1.0</v>
      </c>
      <c r="DL359" s="2">
        <v>0.0</v>
      </c>
      <c r="DM359" s="2">
        <v>0.0</v>
      </c>
      <c r="DN359" s="2">
        <v>0.0</v>
      </c>
      <c r="DO359" s="2">
        <v>0.0</v>
      </c>
      <c r="DP359" s="2">
        <v>0.0</v>
      </c>
      <c r="DQ359" s="2">
        <v>1.0</v>
      </c>
      <c r="DR359" s="2">
        <v>0.0</v>
      </c>
      <c r="DS359" s="2">
        <v>40.0</v>
      </c>
      <c r="DT359" s="2">
        <v>40.0</v>
      </c>
      <c r="DU359" s="2">
        <v>0.0</v>
      </c>
      <c r="DV359" s="2">
        <v>0.0</v>
      </c>
      <c r="DW359" s="2">
        <v>0.0</v>
      </c>
      <c r="DX359" s="2">
        <v>0.0</v>
      </c>
      <c r="DY359" s="2">
        <v>0.0</v>
      </c>
      <c r="DZ359" s="2">
        <v>1.0</v>
      </c>
      <c r="EA359" s="2">
        <v>6.0</v>
      </c>
      <c r="EB359" s="2">
        <v>0.0</v>
      </c>
      <c r="EC359" s="2">
        <v>34.0</v>
      </c>
      <c r="EE359" s="2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2">
        <v>2025.0</v>
      </c>
      <c r="B360" s="2">
        <v>12.0</v>
      </c>
      <c r="C360" s="2" t="s">
        <v>150</v>
      </c>
      <c r="D360" s="2" t="s">
        <v>390</v>
      </c>
      <c r="E360" s="2" t="s">
        <v>977</v>
      </c>
      <c r="F360" s="2" t="s">
        <v>142</v>
      </c>
      <c r="G360" s="2">
        <v>17.0</v>
      </c>
      <c r="H360" s="2">
        <v>34.0</v>
      </c>
      <c r="I360" s="2">
        <v>103.0</v>
      </c>
      <c r="J360" s="2">
        <v>1.0</v>
      </c>
      <c r="K360" s="2">
        <v>2.0</v>
      </c>
      <c r="L360" s="2">
        <v>4.0</v>
      </c>
      <c r="M360" s="2">
        <v>-33.0</v>
      </c>
      <c r="N360" s="2">
        <v>0.0</v>
      </c>
      <c r="O360" s="2">
        <v>0.0</v>
      </c>
      <c r="P360" s="2">
        <v>251.0</v>
      </c>
      <c r="Q360" s="2">
        <v>73.0</v>
      </c>
      <c r="R360" s="2">
        <v>5.0</v>
      </c>
      <c r="S360" s="2">
        <v>-30.7349803671241</v>
      </c>
      <c r="T360" s="2">
        <v>-18.5833285893163</v>
      </c>
      <c r="U360" s="2">
        <v>0.0</v>
      </c>
      <c r="V360" s="2">
        <v>3.0</v>
      </c>
      <c r="W360" s="2">
        <v>1.0</v>
      </c>
      <c r="X360" s="2">
        <v>1.0</v>
      </c>
      <c r="Y360" s="2">
        <v>0.0</v>
      </c>
      <c r="Z360" s="2">
        <v>29.0</v>
      </c>
      <c r="AA360" s="2">
        <v>123.0</v>
      </c>
      <c r="AB360" s="2">
        <v>0.0</v>
      </c>
      <c r="AC360" s="2">
        <v>0.0</v>
      </c>
      <c r="AD360" s="2">
        <v>0.0</v>
      </c>
      <c r="AE360" s="2">
        <v>7.0</v>
      </c>
      <c r="AF360" s="2">
        <v>1.93049174291082</v>
      </c>
      <c r="AG360" s="2">
        <v>0.0</v>
      </c>
      <c r="AH360" s="2">
        <v>2.0</v>
      </c>
      <c r="AI360" s="2">
        <v>2.0</v>
      </c>
      <c r="AJ360" s="2">
        <v>0.0</v>
      </c>
      <c r="AK360" s="2">
        <v>0.0</v>
      </c>
      <c r="AL360" s="2">
        <v>17.0</v>
      </c>
      <c r="AM360" s="2">
        <v>31.0</v>
      </c>
      <c r="AN360" s="2">
        <v>103.0</v>
      </c>
      <c r="AO360" s="2">
        <v>1.0</v>
      </c>
      <c r="AP360" s="2">
        <v>0.0</v>
      </c>
      <c r="AQ360" s="2">
        <v>0.0</v>
      </c>
      <c r="AR360" s="2">
        <v>251.0</v>
      </c>
      <c r="AS360" s="2">
        <v>73.0</v>
      </c>
      <c r="AT360" s="2">
        <v>5.0</v>
      </c>
      <c r="AU360" s="2">
        <v>-17.9013340639649</v>
      </c>
      <c r="AV360" s="2">
        <v>0.0</v>
      </c>
      <c r="AW360" s="2">
        <v>3.0</v>
      </c>
      <c r="AX360" s="2">
        <v>1.0</v>
      </c>
      <c r="AY360" s="2">
        <v>1.0</v>
      </c>
      <c r="AZ360" s="2">
        <v>0.0</v>
      </c>
      <c r="BA360" s="2">
        <v>0.0</v>
      </c>
      <c r="BB360" s="2">
        <v>32.0</v>
      </c>
      <c r="BC360" s="2">
        <v>0.0</v>
      </c>
      <c r="BD360" s="2">
        <v>22.0</v>
      </c>
      <c r="BE360" s="2">
        <v>3.0</v>
      </c>
      <c r="BF360" s="2">
        <v>21.0</v>
      </c>
      <c r="BG360" s="2">
        <v>0.0</v>
      </c>
      <c r="BH360" s="2">
        <v>1.0</v>
      </c>
      <c r="BI360" s="2">
        <v>10.0</v>
      </c>
      <c r="BJ360" s="2">
        <v>3.0</v>
      </c>
      <c r="BK360" s="2">
        <v>0.0</v>
      </c>
      <c r="BL360" s="2">
        <v>0.0</v>
      </c>
      <c r="BM360" s="2">
        <v>3.0</v>
      </c>
      <c r="BN360" s="2">
        <v>0.0</v>
      </c>
      <c r="BO360" s="2">
        <v>0.0</v>
      </c>
      <c r="BP360" s="2">
        <v>0.0</v>
      </c>
      <c r="BQ360" s="2">
        <v>0.0</v>
      </c>
      <c r="BR360" s="2">
        <v>1.0</v>
      </c>
      <c r="BS360" s="2">
        <v>-11.0</v>
      </c>
      <c r="BT360" s="2">
        <v>0.0</v>
      </c>
      <c r="BU360" s="2">
        <v>0.0</v>
      </c>
      <c r="BV360" s="2">
        <v>0.0</v>
      </c>
      <c r="BW360" s="2">
        <v>2.0</v>
      </c>
      <c r="BX360" s="2">
        <v>10.0</v>
      </c>
      <c r="BY360" s="2">
        <v>2.0</v>
      </c>
      <c r="BZ360" s="2">
        <v>0.0</v>
      </c>
      <c r="CA360" s="2">
        <v>1.0</v>
      </c>
      <c r="CB360" s="2">
        <v>0.0</v>
      </c>
      <c r="CC360" s="2">
        <v>1.0</v>
      </c>
      <c r="CD360" s="2">
        <v>0.0</v>
      </c>
      <c r="CE360" s="2">
        <v>1.0</v>
      </c>
      <c r="CF360" s="2">
        <v>15.0</v>
      </c>
      <c r="CG360" s="2">
        <v>2.0</v>
      </c>
      <c r="CH360" s="2">
        <v>48.0</v>
      </c>
      <c r="CI360" s="2">
        <v>0.0</v>
      </c>
      <c r="CJ360" s="2">
        <v>0.0</v>
      </c>
      <c r="CK360" s="2">
        <v>0.0</v>
      </c>
      <c r="CL360" s="2">
        <v>0.0</v>
      </c>
      <c r="CO360" s="2">
        <v>0.0</v>
      </c>
      <c r="CP360" s="2">
        <v>0.0</v>
      </c>
      <c r="CQ360" s="2">
        <v>0.0</v>
      </c>
      <c r="CR360" s="2">
        <v>0.0</v>
      </c>
      <c r="CS360" s="2">
        <v>0.0</v>
      </c>
      <c r="CT360" s="2">
        <v>0.0</v>
      </c>
      <c r="CU360" s="2">
        <v>0.0</v>
      </c>
      <c r="CV360" s="2">
        <v>0.0</v>
      </c>
      <c r="CW360" s="2">
        <v>0.0</v>
      </c>
      <c r="CX360" s="2">
        <v>0.0</v>
      </c>
      <c r="CY360" s="2">
        <v>0.0</v>
      </c>
      <c r="CZ360" s="2">
        <v>0.0</v>
      </c>
      <c r="DD360" s="2">
        <v>0.0</v>
      </c>
      <c r="DE360" s="2">
        <v>0.0</v>
      </c>
      <c r="DF360" s="2">
        <v>0.0</v>
      </c>
      <c r="DG360" s="2">
        <v>1.0</v>
      </c>
      <c r="DH360" s="2">
        <v>1.0</v>
      </c>
      <c r="DI360" s="2">
        <v>0.0</v>
      </c>
      <c r="DJ360" s="2">
        <v>0.0</v>
      </c>
      <c r="DK360" s="2">
        <v>1.0</v>
      </c>
      <c r="DL360" s="2">
        <v>0.0</v>
      </c>
      <c r="DM360" s="2">
        <v>0.0</v>
      </c>
      <c r="DN360" s="2">
        <v>0.0</v>
      </c>
      <c r="DO360" s="2">
        <v>0.0</v>
      </c>
      <c r="DP360" s="2">
        <v>0.0</v>
      </c>
      <c r="DQ360" s="2">
        <v>4.0</v>
      </c>
      <c r="DR360" s="2">
        <v>0.0</v>
      </c>
      <c r="DS360" s="2">
        <v>55.0</v>
      </c>
      <c r="DT360" s="2">
        <v>169.0</v>
      </c>
      <c r="DU360" s="2">
        <v>0.0</v>
      </c>
      <c r="DV360" s="2">
        <v>0.0</v>
      </c>
      <c r="DW360" s="2">
        <v>0.0</v>
      </c>
      <c r="DX360" s="2">
        <v>1.0</v>
      </c>
      <c r="DY360" s="2">
        <v>2.0</v>
      </c>
      <c r="DZ360" s="2">
        <v>1.0</v>
      </c>
      <c r="EA360" s="2">
        <v>8.0</v>
      </c>
      <c r="EB360" s="2">
        <v>0.0</v>
      </c>
      <c r="EC360" s="2">
        <v>141.0</v>
      </c>
      <c r="EE360" s="2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2">
        <v>2025.0</v>
      </c>
      <c r="B361" s="2">
        <v>12.0</v>
      </c>
      <c r="C361" s="2" t="s">
        <v>250</v>
      </c>
      <c r="D361" s="2" t="s">
        <v>390</v>
      </c>
      <c r="E361" s="2" t="s">
        <v>965</v>
      </c>
      <c r="F361" s="2" t="s">
        <v>149</v>
      </c>
      <c r="G361" s="2">
        <v>28.0</v>
      </c>
      <c r="H361" s="2">
        <v>42.0</v>
      </c>
      <c r="I361" s="2">
        <v>256.0</v>
      </c>
      <c r="J361" s="2">
        <v>1.0</v>
      </c>
      <c r="K361" s="2">
        <v>0.0</v>
      </c>
      <c r="L361" s="2">
        <v>4.0</v>
      </c>
      <c r="M361" s="2">
        <v>-24.0</v>
      </c>
      <c r="N361" s="2">
        <v>0.0</v>
      </c>
      <c r="O361" s="2">
        <v>0.0</v>
      </c>
      <c r="P361" s="2">
        <v>195.0</v>
      </c>
      <c r="Q361" s="2">
        <v>158.0</v>
      </c>
      <c r="R361" s="2">
        <v>12.0</v>
      </c>
      <c r="S361" s="2">
        <v>2.11971892956041</v>
      </c>
      <c r="T361" s="2">
        <v>4.87278456750669</v>
      </c>
      <c r="U361" s="2">
        <v>0.0</v>
      </c>
      <c r="V361" s="2">
        <v>14.0</v>
      </c>
      <c r="W361" s="2">
        <v>3.0</v>
      </c>
      <c r="X361" s="2">
        <v>3.0</v>
      </c>
      <c r="Y361" s="2">
        <v>0.0</v>
      </c>
      <c r="Z361" s="2">
        <v>22.0</v>
      </c>
      <c r="AA361" s="2">
        <v>64.0</v>
      </c>
      <c r="AB361" s="2">
        <v>1.0</v>
      </c>
      <c r="AC361" s="2">
        <v>0.0</v>
      </c>
      <c r="AD361" s="2">
        <v>0.0</v>
      </c>
      <c r="AE361" s="2">
        <v>5.0</v>
      </c>
      <c r="AF361" s="2">
        <v>-2.47922829951858</v>
      </c>
      <c r="AG361" s="2">
        <v>0.0</v>
      </c>
      <c r="AH361" s="2">
        <v>1.0</v>
      </c>
      <c r="AI361" s="2">
        <v>1.0</v>
      </c>
      <c r="AJ361" s="2">
        <v>0.0</v>
      </c>
      <c r="AK361" s="2">
        <v>0.0</v>
      </c>
      <c r="AL361" s="2">
        <v>28.0</v>
      </c>
      <c r="AM361" s="2">
        <v>38.0</v>
      </c>
      <c r="AN361" s="2">
        <v>256.0</v>
      </c>
      <c r="AO361" s="2">
        <v>1.0</v>
      </c>
      <c r="AP361" s="2">
        <v>0.0</v>
      </c>
      <c r="AQ361" s="2">
        <v>0.0</v>
      </c>
      <c r="AR361" s="2">
        <v>195.0</v>
      </c>
      <c r="AS361" s="2">
        <v>158.0</v>
      </c>
      <c r="AT361" s="2">
        <v>12.0</v>
      </c>
      <c r="AU361" s="2">
        <v>11.9088521364029</v>
      </c>
      <c r="AV361" s="2">
        <v>0.0</v>
      </c>
      <c r="AW361" s="2">
        <v>14.0</v>
      </c>
      <c r="AX361" s="2">
        <v>3.0</v>
      </c>
      <c r="AY361" s="2">
        <v>3.0</v>
      </c>
      <c r="AZ361" s="2">
        <v>0.0</v>
      </c>
      <c r="BA361" s="2">
        <v>1.0</v>
      </c>
      <c r="BB361" s="2">
        <v>30.0</v>
      </c>
      <c r="BC361" s="2">
        <v>0.0</v>
      </c>
      <c r="BD361" s="2">
        <v>16.0</v>
      </c>
      <c r="BE361" s="2">
        <v>3.0</v>
      </c>
      <c r="BF361" s="2">
        <v>13.0</v>
      </c>
      <c r="BG361" s="2">
        <v>0.0</v>
      </c>
      <c r="BH361" s="2">
        <v>1.0</v>
      </c>
      <c r="BI361" s="2">
        <v>5.0</v>
      </c>
      <c r="BJ361" s="2">
        <v>3.0</v>
      </c>
      <c r="BK361" s="2">
        <v>0.0</v>
      </c>
      <c r="BL361" s="2">
        <v>0.0</v>
      </c>
      <c r="BM361" s="2">
        <v>5.0</v>
      </c>
      <c r="BN361" s="2">
        <v>0.0</v>
      </c>
      <c r="BO361" s="2">
        <v>0.0</v>
      </c>
      <c r="BP361" s="2">
        <v>0.0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10.0</v>
      </c>
      <c r="BX361" s="2">
        <v>63.0</v>
      </c>
      <c r="BY361" s="2">
        <v>4.0</v>
      </c>
      <c r="BZ361" s="2">
        <v>0.0</v>
      </c>
      <c r="CA361" s="2">
        <v>0.0</v>
      </c>
      <c r="CB361" s="2">
        <v>0.0</v>
      </c>
      <c r="CC361" s="2">
        <v>0.0</v>
      </c>
      <c r="CD361" s="2">
        <v>0.0</v>
      </c>
      <c r="CE361" s="2">
        <v>1.0</v>
      </c>
      <c r="CF361" s="2">
        <v>90.0</v>
      </c>
      <c r="CG361" s="2">
        <v>6.0</v>
      </c>
      <c r="CH361" s="2">
        <v>130.0</v>
      </c>
      <c r="CI361" s="2">
        <v>1.0</v>
      </c>
      <c r="CJ361" s="2">
        <v>1.0</v>
      </c>
      <c r="CK361" s="2">
        <v>0.0</v>
      </c>
      <c r="CL361" s="2">
        <v>0.0</v>
      </c>
      <c r="CM361" s="2">
        <v>22.0</v>
      </c>
      <c r="CN361" s="2">
        <v>1.0</v>
      </c>
      <c r="CO361" s="2">
        <v>0.0</v>
      </c>
      <c r="CP361" s="2">
        <v>1.0</v>
      </c>
      <c r="CQ361" s="2">
        <v>0.0</v>
      </c>
      <c r="CR361" s="2">
        <v>0.0</v>
      </c>
      <c r="CS361" s="2">
        <v>0.0</v>
      </c>
      <c r="CT361" s="2">
        <v>0.0</v>
      </c>
      <c r="CU361" s="2">
        <v>0.0</v>
      </c>
      <c r="CV361" s="2">
        <v>0.0</v>
      </c>
      <c r="CW361" s="2">
        <v>0.0</v>
      </c>
      <c r="CX361" s="2">
        <v>0.0</v>
      </c>
      <c r="CY361" s="2">
        <v>0.0</v>
      </c>
      <c r="CZ361" s="2">
        <v>0.0</v>
      </c>
      <c r="DA361" s="2" t="s">
        <v>2057</v>
      </c>
      <c r="DD361" s="2">
        <v>22.0</v>
      </c>
      <c r="DE361" s="2">
        <v>0.0</v>
      </c>
      <c r="DF361" s="2">
        <v>0.0</v>
      </c>
      <c r="DG361" s="2">
        <v>3.0</v>
      </c>
      <c r="DH361" s="2">
        <v>3.0</v>
      </c>
      <c r="DI361" s="2">
        <v>0.0</v>
      </c>
      <c r="DJ361" s="2">
        <v>0.0</v>
      </c>
      <c r="DK361" s="2">
        <v>1.0</v>
      </c>
      <c r="DL361" s="2">
        <v>0.0</v>
      </c>
      <c r="DM361" s="2">
        <v>0.0</v>
      </c>
      <c r="DN361" s="2">
        <v>0.0</v>
      </c>
      <c r="DO361" s="2">
        <v>0.0</v>
      </c>
      <c r="DP361" s="2">
        <v>0.0</v>
      </c>
      <c r="DQ361" s="2">
        <v>3.0</v>
      </c>
      <c r="DR361" s="2">
        <v>0.0</v>
      </c>
      <c r="DS361" s="2">
        <v>49.0</v>
      </c>
      <c r="DT361" s="2">
        <v>135.0</v>
      </c>
      <c r="DU361" s="2">
        <v>0.0</v>
      </c>
      <c r="DV361" s="2">
        <v>0.0</v>
      </c>
      <c r="DW361" s="2">
        <v>0.0</v>
      </c>
      <c r="DX361" s="2">
        <v>0.0</v>
      </c>
      <c r="DY361" s="2">
        <v>0.0</v>
      </c>
      <c r="DZ361" s="2">
        <v>3.0</v>
      </c>
      <c r="EA361" s="2">
        <v>40.0</v>
      </c>
      <c r="EB361" s="2">
        <v>0.0</v>
      </c>
      <c r="EC361" s="2">
        <v>95.0</v>
      </c>
      <c r="EE361" s="2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2">
        <v>2025.0</v>
      </c>
      <c r="B362" s="2">
        <v>13.0</v>
      </c>
      <c r="C362" s="2" t="s">
        <v>178</v>
      </c>
      <c r="D362" s="2" t="s">
        <v>390</v>
      </c>
      <c r="E362" s="2" t="s">
        <v>1005</v>
      </c>
      <c r="F362" s="2" t="s">
        <v>150</v>
      </c>
      <c r="G362" s="2">
        <v>29.0</v>
      </c>
      <c r="H362" s="2">
        <v>40.0</v>
      </c>
      <c r="I362" s="2">
        <v>301.0</v>
      </c>
      <c r="J362" s="2">
        <v>2.0</v>
      </c>
      <c r="K362" s="2">
        <v>1.0</v>
      </c>
      <c r="L362" s="2">
        <v>2.0</v>
      </c>
      <c r="M362" s="2">
        <v>-10.0</v>
      </c>
      <c r="N362" s="2">
        <v>0.0</v>
      </c>
      <c r="O362" s="2">
        <v>0.0</v>
      </c>
      <c r="P362" s="2">
        <v>289.0</v>
      </c>
      <c r="Q362" s="2">
        <v>145.0</v>
      </c>
      <c r="R362" s="2">
        <v>16.0</v>
      </c>
      <c r="S362" s="2">
        <v>5.76927317532219</v>
      </c>
      <c r="T362" s="2">
        <v>11.0516747912845</v>
      </c>
      <c r="U362" s="2">
        <v>0.0</v>
      </c>
      <c r="V362" s="2">
        <v>15.0</v>
      </c>
      <c r="W362" s="2">
        <v>5.0</v>
      </c>
      <c r="X362" s="2">
        <v>2.0</v>
      </c>
      <c r="Y362" s="2">
        <v>0.0</v>
      </c>
      <c r="Z362" s="2">
        <v>19.0</v>
      </c>
      <c r="AA362" s="2">
        <v>95.0</v>
      </c>
      <c r="AB362" s="2">
        <v>0.0</v>
      </c>
      <c r="AC362" s="2">
        <v>1.0</v>
      </c>
      <c r="AD362" s="2">
        <v>1.0</v>
      </c>
      <c r="AE362" s="2">
        <v>6.0</v>
      </c>
      <c r="AF362" s="2">
        <v>-7.01418956590351</v>
      </c>
      <c r="AG362" s="2">
        <v>0.0</v>
      </c>
      <c r="AH362" s="2">
        <v>2.0</v>
      </c>
      <c r="AI362" s="2">
        <v>2.0</v>
      </c>
      <c r="AJ362" s="2">
        <v>0.0</v>
      </c>
      <c r="AK362" s="2">
        <v>0.0</v>
      </c>
      <c r="AL362" s="2">
        <v>29.0</v>
      </c>
      <c r="AM362" s="2">
        <v>37.0</v>
      </c>
      <c r="AN362" s="2">
        <v>301.0</v>
      </c>
      <c r="AO362" s="2">
        <v>2.0</v>
      </c>
      <c r="AP362" s="2">
        <v>0.0</v>
      </c>
      <c r="AQ362" s="2">
        <v>0.0</v>
      </c>
      <c r="AR362" s="2">
        <v>289.0</v>
      </c>
      <c r="AS362" s="2">
        <v>145.0</v>
      </c>
      <c r="AT362" s="2">
        <v>16.0</v>
      </c>
      <c r="AU362" s="2">
        <v>9.17180218280621</v>
      </c>
      <c r="AV362" s="2">
        <v>0.0</v>
      </c>
      <c r="AW362" s="2">
        <v>15.0</v>
      </c>
      <c r="AX362" s="2">
        <v>5.0</v>
      </c>
      <c r="AY362" s="2">
        <v>2.0</v>
      </c>
      <c r="AZ362" s="2">
        <v>0.0</v>
      </c>
      <c r="BA362" s="2">
        <v>0.0</v>
      </c>
      <c r="BB362" s="2">
        <v>27.0</v>
      </c>
      <c r="BC362" s="2">
        <v>3.0</v>
      </c>
      <c r="BD362" s="2">
        <v>39.0</v>
      </c>
      <c r="BE362" s="2">
        <v>5.0</v>
      </c>
      <c r="BF362" s="2">
        <v>16.0</v>
      </c>
      <c r="BG362" s="2">
        <v>1.0</v>
      </c>
      <c r="BH362" s="2">
        <v>2.0</v>
      </c>
      <c r="BI362" s="2">
        <v>10.0</v>
      </c>
      <c r="BJ362" s="2">
        <v>1.0</v>
      </c>
      <c r="BK362" s="2">
        <v>0.0</v>
      </c>
      <c r="BL362" s="2">
        <v>0.0</v>
      </c>
      <c r="BM362" s="2">
        <v>3.0</v>
      </c>
      <c r="BN362" s="2">
        <v>0.0</v>
      </c>
      <c r="BO362" s="2">
        <v>0.0</v>
      </c>
      <c r="BP362" s="2">
        <v>0.0</v>
      </c>
      <c r="BQ362" s="2">
        <v>0.0</v>
      </c>
      <c r="BR362" s="2">
        <v>0.0</v>
      </c>
      <c r="BS362" s="2">
        <v>0.0</v>
      </c>
      <c r="BT362" s="2">
        <v>0.0</v>
      </c>
      <c r="BU362" s="2">
        <v>0.0</v>
      </c>
      <c r="BV362" s="2">
        <v>0.0</v>
      </c>
      <c r="BW362" s="2">
        <v>4.0</v>
      </c>
      <c r="BX362" s="2">
        <v>33.0</v>
      </c>
      <c r="BY362" s="2">
        <v>6.0</v>
      </c>
      <c r="BZ362" s="2">
        <v>1.0</v>
      </c>
      <c r="CA362" s="2">
        <v>0.0</v>
      </c>
      <c r="CB362" s="2">
        <v>0.0</v>
      </c>
      <c r="CC362" s="2">
        <v>1.0</v>
      </c>
      <c r="CD362" s="2">
        <v>1.0</v>
      </c>
      <c r="CE362" s="2">
        <v>3.0</v>
      </c>
      <c r="CF362" s="2">
        <v>6.0</v>
      </c>
      <c r="CG362" s="2">
        <v>5.0</v>
      </c>
      <c r="CH362" s="2">
        <v>139.0</v>
      </c>
      <c r="CI362" s="2">
        <v>1.0</v>
      </c>
      <c r="CJ362" s="2">
        <v>2.0</v>
      </c>
      <c r="CK362" s="2">
        <v>1.0</v>
      </c>
      <c r="CL362" s="2">
        <v>0.0</v>
      </c>
      <c r="CM362" s="2">
        <v>52.0</v>
      </c>
      <c r="CN362" s="2">
        <v>0.5</v>
      </c>
      <c r="CO362" s="2">
        <v>0.0</v>
      </c>
      <c r="CP362" s="2">
        <v>0.0</v>
      </c>
      <c r="CQ362" s="2">
        <v>0.0</v>
      </c>
      <c r="CR362" s="2">
        <v>0.0</v>
      </c>
      <c r="CS362" s="2">
        <v>1.0</v>
      </c>
      <c r="CT362" s="2">
        <v>0.0</v>
      </c>
      <c r="CU362" s="2">
        <v>0.0</v>
      </c>
      <c r="CV362" s="2">
        <v>0.0</v>
      </c>
      <c r="CW362" s="2">
        <v>0.0</v>
      </c>
      <c r="CX362" s="2">
        <v>1.0</v>
      </c>
      <c r="CY362" s="2">
        <v>0.0</v>
      </c>
      <c r="CZ362" s="2">
        <v>0.0</v>
      </c>
      <c r="DA362" s="2" t="s">
        <v>2034</v>
      </c>
      <c r="DB362" s="2" t="s">
        <v>2033</v>
      </c>
      <c r="DD362" s="2">
        <v>52.0</v>
      </c>
      <c r="DE362" s="2">
        <v>43.0</v>
      </c>
      <c r="DF362" s="2">
        <v>0.0</v>
      </c>
      <c r="DG362" s="2">
        <v>2.0</v>
      </c>
      <c r="DH362" s="2">
        <v>2.0</v>
      </c>
      <c r="DI362" s="2">
        <v>0.0</v>
      </c>
      <c r="DJ362" s="2">
        <v>0.0</v>
      </c>
      <c r="DK362" s="2">
        <v>1.0</v>
      </c>
      <c r="DL362" s="2">
        <v>0.0</v>
      </c>
      <c r="DM362" s="2">
        <v>0.0</v>
      </c>
      <c r="DN362" s="2">
        <v>0.0</v>
      </c>
      <c r="DO362" s="2">
        <v>0.0</v>
      </c>
      <c r="DP362" s="2">
        <v>0.0</v>
      </c>
      <c r="DQ362" s="2">
        <v>2.0</v>
      </c>
      <c r="DR362" s="2">
        <v>0.0</v>
      </c>
      <c r="DS362" s="2">
        <v>48.0</v>
      </c>
      <c r="DT362" s="2">
        <v>92.0</v>
      </c>
      <c r="DU362" s="2">
        <v>0.0</v>
      </c>
      <c r="DV362" s="2">
        <v>0.0</v>
      </c>
      <c r="DW362" s="2">
        <v>0.0</v>
      </c>
      <c r="DX362" s="2">
        <v>0.0</v>
      </c>
      <c r="DY362" s="2">
        <v>0.0</v>
      </c>
      <c r="DZ362" s="2">
        <v>2.0</v>
      </c>
      <c r="EA362" s="2">
        <v>23.0</v>
      </c>
      <c r="EB362" s="2">
        <v>0.0</v>
      </c>
      <c r="EC362" s="2">
        <v>69.0</v>
      </c>
      <c r="EE362" s="2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2">
        <v>2025.0</v>
      </c>
      <c r="B363" s="2">
        <v>13.0</v>
      </c>
      <c r="C363" s="2" t="s">
        <v>132</v>
      </c>
      <c r="D363" s="2" t="s">
        <v>390</v>
      </c>
      <c r="E363" s="2" t="s">
        <v>1003</v>
      </c>
      <c r="F363" s="2" t="s">
        <v>238</v>
      </c>
      <c r="G363" s="2">
        <v>21.0</v>
      </c>
      <c r="H363" s="2">
        <v>33.0</v>
      </c>
      <c r="I363" s="2">
        <v>234.0</v>
      </c>
      <c r="J363" s="2">
        <v>1.0</v>
      </c>
      <c r="K363" s="2">
        <v>0.0</v>
      </c>
      <c r="L363" s="2">
        <v>2.0</v>
      </c>
      <c r="M363" s="2">
        <v>-12.0</v>
      </c>
      <c r="N363" s="2">
        <v>0.0</v>
      </c>
      <c r="O363" s="2">
        <v>0.0</v>
      </c>
      <c r="P363" s="2">
        <v>154.0</v>
      </c>
      <c r="Q363" s="2">
        <v>209.0</v>
      </c>
      <c r="R363" s="2">
        <v>12.0</v>
      </c>
      <c r="S363" s="2">
        <v>5.8538583101119</v>
      </c>
      <c r="T363" s="2">
        <v>-0.829861289070499</v>
      </c>
      <c r="U363" s="2">
        <v>0.0</v>
      </c>
      <c r="V363" s="2">
        <v>9.0</v>
      </c>
      <c r="W363" s="2">
        <v>5.0</v>
      </c>
      <c r="X363" s="2">
        <v>3.0</v>
      </c>
      <c r="Y363" s="2">
        <v>1.0</v>
      </c>
      <c r="Z363" s="2">
        <v>32.0</v>
      </c>
      <c r="AA363" s="2">
        <v>167.0</v>
      </c>
      <c r="AB363" s="2">
        <v>2.0</v>
      </c>
      <c r="AC363" s="2">
        <v>0.0</v>
      </c>
      <c r="AD363" s="2">
        <v>0.0</v>
      </c>
      <c r="AE363" s="2">
        <v>11.0</v>
      </c>
      <c r="AF363" s="2">
        <v>5.81932016031351</v>
      </c>
      <c r="AG363" s="2">
        <v>0.0</v>
      </c>
      <c r="AH363" s="2">
        <v>6.0</v>
      </c>
      <c r="AI363" s="2">
        <v>5.0</v>
      </c>
      <c r="AJ363" s="2">
        <v>1.0</v>
      </c>
      <c r="AK363" s="2">
        <v>0.0</v>
      </c>
      <c r="AL363" s="2">
        <v>21.0</v>
      </c>
      <c r="AM363" s="2">
        <v>31.0</v>
      </c>
      <c r="AN363" s="2">
        <v>234.0</v>
      </c>
      <c r="AO363" s="2">
        <v>1.0</v>
      </c>
      <c r="AP363" s="2">
        <v>0.0</v>
      </c>
      <c r="AQ363" s="2">
        <v>0.0</v>
      </c>
      <c r="AR363" s="2">
        <v>154.0</v>
      </c>
      <c r="AS363" s="2">
        <v>209.0</v>
      </c>
      <c r="AT363" s="2">
        <v>12.0</v>
      </c>
      <c r="AU363" s="2">
        <v>10.9765385930306</v>
      </c>
      <c r="AV363" s="2">
        <v>0.0</v>
      </c>
      <c r="AW363" s="2">
        <v>9.0</v>
      </c>
      <c r="AX363" s="2">
        <v>5.0</v>
      </c>
      <c r="AY363" s="2">
        <v>3.0</v>
      </c>
      <c r="AZ363" s="2">
        <v>1.0</v>
      </c>
      <c r="BA363" s="2">
        <v>0.0</v>
      </c>
      <c r="BB363" s="2">
        <v>31.0</v>
      </c>
      <c r="BC363" s="2">
        <v>3.0</v>
      </c>
      <c r="BD363" s="2">
        <v>23.0</v>
      </c>
      <c r="BE363" s="2">
        <v>7.0</v>
      </c>
      <c r="BF363" s="2">
        <v>23.0</v>
      </c>
      <c r="BG363" s="2">
        <v>0.0</v>
      </c>
      <c r="BH363" s="2">
        <v>2.0</v>
      </c>
      <c r="BI363" s="2">
        <v>13.0</v>
      </c>
      <c r="BJ363" s="2">
        <v>6.0</v>
      </c>
      <c r="BK363" s="2">
        <v>0.0</v>
      </c>
      <c r="BL363" s="2">
        <v>0.0</v>
      </c>
      <c r="BM363" s="2">
        <v>3.0</v>
      </c>
      <c r="BN363" s="2">
        <v>0.0</v>
      </c>
      <c r="BO363" s="2">
        <v>1.0</v>
      </c>
      <c r="BP363" s="2">
        <v>0.0</v>
      </c>
      <c r="BQ363" s="2">
        <v>0.0</v>
      </c>
      <c r="BR363" s="2">
        <v>0.0</v>
      </c>
      <c r="BS363" s="2">
        <v>0.0</v>
      </c>
      <c r="BT363" s="2">
        <v>0.0</v>
      </c>
      <c r="BU363" s="2">
        <v>0.0</v>
      </c>
      <c r="BV363" s="2">
        <v>0.0</v>
      </c>
      <c r="BW363" s="2">
        <v>1.0</v>
      </c>
      <c r="BX363" s="2">
        <v>27.0</v>
      </c>
      <c r="BY363" s="2">
        <v>5.0</v>
      </c>
      <c r="BZ363" s="2">
        <v>0.0</v>
      </c>
      <c r="CA363" s="2">
        <v>1.0</v>
      </c>
      <c r="CB363" s="2">
        <v>0.0</v>
      </c>
      <c r="CC363" s="2">
        <v>1.0</v>
      </c>
      <c r="CD363" s="2">
        <v>1.0</v>
      </c>
      <c r="CE363" s="2">
        <v>3.0</v>
      </c>
      <c r="CF363" s="2">
        <v>-1.0</v>
      </c>
      <c r="CG363" s="2">
        <v>5.0</v>
      </c>
      <c r="CH363" s="2">
        <v>105.0</v>
      </c>
      <c r="CI363" s="2">
        <v>1.0</v>
      </c>
      <c r="CJ363" s="2">
        <v>2.0</v>
      </c>
      <c r="CK363" s="2">
        <v>1.0</v>
      </c>
      <c r="CL363" s="2">
        <v>0.0</v>
      </c>
      <c r="CM363" s="2">
        <v>52.0</v>
      </c>
      <c r="CN363" s="2">
        <v>0.5</v>
      </c>
      <c r="CO363" s="2">
        <v>0.0</v>
      </c>
      <c r="CP363" s="2">
        <v>0.0</v>
      </c>
      <c r="CQ363" s="2">
        <v>0.0</v>
      </c>
      <c r="CR363" s="2">
        <v>0.0</v>
      </c>
      <c r="CS363" s="2">
        <v>1.0</v>
      </c>
      <c r="CT363" s="2">
        <v>0.0</v>
      </c>
      <c r="CU363" s="2">
        <v>0.0</v>
      </c>
      <c r="CV363" s="2">
        <v>0.0</v>
      </c>
      <c r="CW363" s="2">
        <v>0.0</v>
      </c>
      <c r="CX363" s="2">
        <v>0.0</v>
      </c>
      <c r="CY363" s="2">
        <v>1.0</v>
      </c>
      <c r="CZ363" s="2">
        <v>0.0</v>
      </c>
      <c r="DA363" s="2" t="s">
        <v>2034</v>
      </c>
      <c r="DB363" s="2" t="s">
        <v>1967</v>
      </c>
      <c r="DD363" s="2">
        <v>52.0</v>
      </c>
      <c r="DE363" s="2">
        <v>50.0</v>
      </c>
      <c r="DF363" s="2">
        <v>0.0</v>
      </c>
      <c r="DG363" s="2">
        <v>3.0</v>
      </c>
      <c r="DH363" s="2">
        <v>3.0</v>
      </c>
      <c r="DI363" s="2">
        <v>0.0</v>
      </c>
      <c r="DJ363" s="2">
        <v>0.0</v>
      </c>
      <c r="DK363" s="2">
        <v>1.0</v>
      </c>
      <c r="DL363" s="2">
        <v>0.0</v>
      </c>
      <c r="DM363" s="2">
        <v>0.0</v>
      </c>
      <c r="DN363" s="2">
        <v>0.0</v>
      </c>
      <c r="DO363" s="2">
        <v>0.0</v>
      </c>
      <c r="DP363" s="2">
        <v>0.0</v>
      </c>
      <c r="DQ363" s="2">
        <v>6.0</v>
      </c>
      <c r="DR363" s="2">
        <v>0.0</v>
      </c>
      <c r="DS363" s="2">
        <v>55.0</v>
      </c>
      <c r="DT363" s="2">
        <v>233.0</v>
      </c>
      <c r="DU363" s="2">
        <v>5.0</v>
      </c>
      <c r="DV363" s="2">
        <v>3.0</v>
      </c>
      <c r="DW363" s="2">
        <v>1.0</v>
      </c>
      <c r="DX363" s="2">
        <v>0.0</v>
      </c>
      <c r="DY363" s="2">
        <v>1.0</v>
      </c>
      <c r="DZ363" s="2">
        <v>1.0</v>
      </c>
      <c r="EA363" s="2">
        <v>16.0</v>
      </c>
      <c r="EB363" s="2">
        <v>0.0</v>
      </c>
      <c r="EC363" s="2">
        <v>217.0</v>
      </c>
      <c r="EE363" s="2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2">
        <v>2025.0</v>
      </c>
      <c r="B364" s="2">
        <v>13.0</v>
      </c>
      <c r="C364" s="2" t="s">
        <v>148</v>
      </c>
      <c r="D364" s="2" t="s">
        <v>390</v>
      </c>
      <c r="E364" s="2" t="s">
        <v>988</v>
      </c>
      <c r="F364" s="2" t="s">
        <v>138</v>
      </c>
      <c r="G364" s="2">
        <v>17.0</v>
      </c>
      <c r="H364" s="2">
        <v>32.0</v>
      </c>
      <c r="I364" s="2">
        <v>246.0</v>
      </c>
      <c r="J364" s="2">
        <v>0.0</v>
      </c>
      <c r="K364" s="2">
        <v>1.0</v>
      </c>
      <c r="L364" s="2">
        <v>3.0</v>
      </c>
      <c r="M364" s="2">
        <v>-23.0</v>
      </c>
      <c r="N364" s="2">
        <v>2.0</v>
      </c>
      <c r="O364" s="2">
        <v>2.0</v>
      </c>
      <c r="P364" s="2">
        <v>381.0</v>
      </c>
      <c r="Q364" s="2">
        <v>119.0</v>
      </c>
      <c r="R364" s="2">
        <v>7.0</v>
      </c>
      <c r="S364" s="2">
        <v>-11.8119969639229</v>
      </c>
      <c r="T364" s="2">
        <v>-6.79895490407944</v>
      </c>
      <c r="U364" s="2">
        <v>0.0</v>
      </c>
      <c r="V364" s="2">
        <v>9.0</v>
      </c>
      <c r="W364" s="2">
        <v>5.0</v>
      </c>
      <c r="X364" s="2">
        <v>3.0</v>
      </c>
      <c r="Y364" s="2">
        <v>2.0</v>
      </c>
      <c r="Z364" s="2">
        <v>22.0</v>
      </c>
      <c r="AA364" s="2">
        <v>123.0</v>
      </c>
      <c r="AB364" s="2">
        <v>2.0</v>
      </c>
      <c r="AC364" s="2">
        <v>0.0</v>
      </c>
      <c r="AD364" s="2">
        <v>0.0</v>
      </c>
      <c r="AE364" s="2">
        <v>8.0</v>
      </c>
      <c r="AF364" s="2">
        <v>4.38735434098635</v>
      </c>
      <c r="AG364" s="2">
        <v>0.0</v>
      </c>
      <c r="AH364" s="2">
        <v>3.0</v>
      </c>
      <c r="AI364" s="2">
        <v>2.0</v>
      </c>
      <c r="AJ364" s="2">
        <v>1.0</v>
      </c>
      <c r="AK364" s="2">
        <v>0.0</v>
      </c>
      <c r="AL364" s="2">
        <v>17.0</v>
      </c>
      <c r="AM364" s="2">
        <v>30.0</v>
      </c>
      <c r="AN364" s="2">
        <v>246.0</v>
      </c>
      <c r="AO364" s="2">
        <v>0.0</v>
      </c>
      <c r="AP364" s="2">
        <v>2.0</v>
      </c>
      <c r="AQ364" s="2">
        <v>2.0</v>
      </c>
      <c r="AR364" s="2">
        <v>381.0</v>
      </c>
      <c r="AS364" s="2">
        <v>119.0</v>
      </c>
      <c r="AT364" s="2">
        <v>7.0</v>
      </c>
      <c r="AU364" s="2">
        <v>-10.9234949164675</v>
      </c>
      <c r="AV364" s="2">
        <v>0.0</v>
      </c>
      <c r="AW364" s="2">
        <v>9.0</v>
      </c>
      <c r="AX364" s="2">
        <v>5.0</v>
      </c>
      <c r="AY364" s="2">
        <v>3.0</v>
      </c>
      <c r="AZ364" s="2">
        <v>2.0</v>
      </c>
      <c r="BA364" s="2">
        <v>0.0</v>
      </c>
      <c r="BB364" s="2">
        <v>43.0</v>
      </c>
      <c r="BC364" s="2">
        <v>1.0</v>
      </c>
      <c r="BD364" s="2">
        <v>37.0</v>
      </c>
      <c r="BE364" s="2">
        <v>4.0</v>
      </c>
      <c r="BF364" s="2">
        <v>14.0</v>
      </c>
      <c r="BG364" s="2">
        <v>1.0</v>
      </c>
      <c r="BH364" s="2">
        <v>1.0</v>
      </c>
      <c r="BI364" s="2">
        <v>7.0</v>
      </c>
      <c r="BJ364" s="2">
        <v>7.0</v>
      </c>
      <c r="BK364" s="2">
        <v>0.0</v>
      </c>
      <c r="BL364" s="2">
        <v>0.0</v>
      </c>
      <c r="BM364" s="2">
        <v>6.0</v>
      </c>
      <c r="BN364" s="2">
        <v>0.0</v>
      </c>
      <c r="BO364" s="2">
        <v>0.0</v>
      </c>
      <c r="BP364" s="2">
        <v>0.0</v>
      </c>
      <c r="BQ364" s="2">
        <v>0.0</v>
      </c>
      <c r="BR364" s="2">
        <v>0.0</v>
      </c>
      <c r="BS364" s="2">
        <v>0.0</v>
      </c>
      <c r="BT364" s="2">
        <v>1.0</v>
      </c>
      <c r="BU364" s="2">
        <v>0.0</v>
      </c>
      <c r="BV364" s="2">
        <v>0.0</v>
      </c>
      <c r="BW364" s="2">
        <v>7.0</v>
      </c>
      <c r="BX364" s="2">
        <v>53.0</v>
      </c>
      <c r="BY364" s="2">
        <v>4.0</v>
      </c>
      <c r="BZ364" s="2">
        <v>3.0</v>
      </c>
      <c r="CA364" s="2">
        <v>1.0</v>
      </c>
      <c r="CB364" s="2">
        <v>1.0</v>
      </c>
      <c r="CC364" s="2">
        <v>4.0</v>
      </c>
      <c r="CD364" s="2">
        <v>4.0</v>
      </c>
      <c r="CE364" s="2">
        <v>0.0</v>
      </c>
      <c r="CF364" s="2">
        <v>0.0</v>
      </c>
      <c r="CG364" s="2">
        <v>6.0</v>
      </c>
      <c r="CH364" s="2">
        <v>162.0</v>
      </c>
      <c r="CI364" s="2">
        <v>0.0</v>
      </c>
      <c r="CJ364" s="2">
        <v>0.0</v>
      </c>
      <c r="CK364" s="2">
        <v>0.0</v>
      </c>
      <c r="CL364" s="2">
        <v>0.0</v>
      </c>
      <c r="CO364" s="2">
        <v>0.0</v>
      </c>
      <c r="CP364" s="2">
        <v>0.0</v>
      </c>
      <c r="CQ364" s="2">
        <v>0.0</v>
      </c>
      <c r="CR364" s="2">
        <v>0.0</v>
      </c>
      <c r="CS364" s="2">
        <v>0.0</v>
      </c>
      <c r="CT364" s="2">
        <v>0.0</v>
      </c>
      <c r="CU364" s="2">
        <v>0.0</v>
      </c>
      <c r="CV364" s="2">
        <v>0.0</v>
      </c>
      <c r="CW364" s="2">
        <v>0.0</v>
      </c>
      <c r="CX364" s="2">
        <v>0.0</v>
      </c>
      <c r="CY364" s="2">
        <v>0.0</v>
      </c>
      <c r="CZ364" s="2">
        <v>0.0</v>
      </c>
      <c r="DD364" s="2">
        <v>0.0</v>
      </c>
      <c r="DE364" s="2">
        <v>0.0</v>
      </c>
      <c r="DF364" s="2">
        <v>0.0</v>
      </c>
      <c r="DG364" s="2">
        <v>2.0</v>
      </c>
      <c r="DH364" s="2">
        <v>2.0</v>
      </c>
      <c r="DI364" s="2">
        <v>0.0</v>
      </c>
      <c r="DJ364" s="2">
        <v>0.0</v>
      </c>
      <c r="DK364" s="2">
        <v>1.0</v>
      </c>
      <c r="DL364" s="2">
        <v>0.0</v>
      </c>
      <c r="DM364" s="2">
        <v>0.0</v>
      </c>
      <c r="DN364" s="2">
        <v>0.0</v>
      </c>
      <c r="DO364" s="2">
        <v>0.0</v>
      </c>
      <c r="DP364" s="2">
        <v>0.0</v>
      </c>
      <c r="DQ364" s="2">
        <v>3.0</v>
      </c>
      <c r="DR364" s="2">
        <v>0.0</v>
      </c>
      <c r="DS364" s="2">
        <v>61.0</v>
      </c>
      <c r="DT364" s="2">
        <v>149.0</v>
      </c>
      <c r="DU364" s="2">
        <v>0.0</v>
      </c>
      <c r="DV364" s="2">
        <v>0.0</v>
      </c>
      <c r="DW364" s="2">
        <v>0.0</v>
      </c>
      <c r="DX364" s="2">
        <v>1.0</v>
      </c>
      <c r="DY364" s="2">
        <v>0.0</v>
      </c>
      <c r="DZ364" s="2">
        <v>2.0</v>
      </c>
      <c r="EA364" s="2">
        <v>19.0</v>
      </c>
      <c r="EB364" s="2">
        <v>0.0</v>
      </c>
      <c r="EC364" s="2">
        <v>110.0</v>
      </c>
      <c r="EE364" s="2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2">
        <v>2025.0</v>
      </c>
      <c r="B365" s="2">
        <v>13.0</v>
      </c>
      <c r="C365" s="2" t="s">
        <v>136</v>
      </c>
      <c r="D365" s="2" t="s">
        <v>390</v>
      </c>
      <c r="E365" s="2" t="s">
        <v>1015</v>
      </c>
      <c r="F365" s="2" t="s">
        <v>242</v>
      </c>
      <c r="G365" s="2">
        <v>15.0</v>
      </c>
      <c r="H365" s="2">
        <v>23.0</v>
      </c>
      <c r="I365" s="2">
        <v>123.0</v>
      </c>
      <c r="J365" s="2">
        <v>1.0</v>
      </c>
      <c r="K365" s="2">
        <v>1.0</v>
      </c>
      <c r="L365" s="2">
        <v>0.0</v>
      </c>
      <c r="M365" s="2">
        <v>0.0</v>
      </c>
      <c r="N365" s="2">
        <v>0.0</v>
      </c>
      <c r="O365" s="2">
        <v>0.0</v>
      </c>
      <c r="P365" s="2">
        <v>39.0</v>
      </c>
      <c r="Q365" s="2">
        <v>80.0</v>
      </c>
      <c r="R365" s="2">
        <v>9.0</v>
      </c>
      <c r="S365" s="2">
        <v>5.39872849162202</v>
      </c>
      <c r="T365" s="2">
        <v>-8.48015974397245</v>
      </c>
      <c r="U365" s="2">
        <v>0.0</v>
      </c>
      <c r="V365" s="2">
        <v>5.0</v>
      </c>
      <c r="W365" s="2">
        <v>2.0</v>
      </c>
      <c r="X365" s="2">
        <v>0.0</v>
      </c>
      <c r="Y365" s="2">
        <v>0.0</v>
      </c>
      <c r="Z365" s="2">
        <v>51.0</v>
      </c>
      <c r="AA365" s="2">
        <v>249.0</v>
      </c>
      <c r="AB365" s="2">
        <v>1.0</v>
      </c>
      <c r="AC365" s="2">
        <v>2.0</v>
      </c>
      <c r="AD365" s="2">
        <v>1.0</v>
      </c>
      <c r="AE365" s="2">
        <v>16.0</v>
      </c>
      <c r="AF365" s="2">
        <v>2.00607715406195</v>
      </c>
      <c r="AG365" s="2">
        <v>0.0</v>
      </c>
      <c r="AH365" s="2">
        <v>8.0</v>
      </c>
      <c r="AI365" s="2">
        <v>6.0</v>
      </c>
      <c r="AJ365" s="2">
        <v>1.0</v>
      </c>
      <c r="AK365" s="2">
        <v>0.0</v>
      </c>
      <c r="AL365" s="2">
        <v>15.0</v>
      </c>
      <c r="AM365" s="2">
        <v>23.0</v>
      </c>
      <c r="AN365" s="2">
        <v>123.0</v>
      </c>
      <c r="AO365" s="2">
        <v>1.0</v>
      </c>
      <c r="AP365" s="2">
        <v>0.0</v>
      </c>
      <c r="AQ365" s="2">
        <v>0.0</v>
      </c>
      <c r="AR365" s="2">
        <v>39.0</v>
      </c>
      <c r="AS365" s="2">
        <v>80.0</v>
      </c>
      <c r="AT365" s="2">
        <v>9.0</v>
      </c>
      <c r="AU365" s="2">
        <v>5.39872849162202</v>
      </c>
      <c r="AV365" s="2">
        <v>0.0</v>
      </c>
      <c r="AW365" s="2">
        <v>5.0</v>
      </c>
      <c r="AX365" s="2">
        <v>2.0</v>
      </c>
      <c r="AY365" s="2">
        <v>0.0</v>
      </c>
      <c r="AZ365" s="2">
        <v>0.0</v>
      </c>
      <c r="BA365" s="2">
        <v>0.0</v>
      </c>
      <c r="BB365" s="2">
        <v>19.0</v>
      </c>
      <c r="BC365" s="2">
        <v>1.0</v>
      </c>
      <c r="BD365" s="2">
        <v>29.0</v>
      </c>
      <c r="BE365" s="2">
        <v>4.0</v>
      </c>
      <c r="BF365" s="2">
        <v>14.0</v>
      </c>
      <c r="BG365" s="2">
        <v>1.0</v>
      </c>
      <c r="BH365" s="2">
        <v>1.0</v>
      </c>
      <c r="BI365" s="2">
        <v>9.0</v>
      </c>
      <c r="BJ365" s="2">
        <v>2.0</v>
      </c>
      <c r="BK365" s="2">
        <v>1.0</v>
      </c>
      <c r="BL365" s="2">
        <v>0.0</v>
      </c>
      <c r="BM365" s="2">
        <v>4.0</v>
      </c>
      <c r="BN365" s="2">
        <v>0.0</v>
      </c>
      <c r="BO365" s="2">
        <v>0.0</v>
      </c>
      <c r="BP365" s="2">
        <v>0.0</v>
      </c>
      <c r="BQ365" s="2">
        <v>0.0</v>
      </c>
      <c r="BR365" s="2">
        <v>1.0</v>
      </c>
      <c r="BS365" s="2">
        <v>0.0</v>
      </c>
      <c r="BT365" s="2">
        <v>1.0</v>
      </c>
      <c r="BU365" s="2">
        <v>17.0</v>
      </c>
      <c r="BV365" s="2">
        <v>1.0</v>
      </c>
      <c r="BW365" s="2">
        <v>7.0</v>
      </c>
      <c r="BX365" s="2">
        <v>45.0</v>
      </c>
      <c r="BY365" s="2">
        <v>3.0</v>
      </c>
      <c r="BZ365" s="2">
        <v>2.0</v>
      </c>
      <c r="CA365" s="2">
        <v>0.0</v>
      </c>
      <c r="CB365" s="2">
        <v>0.0</v>
      </c>
      <c r="CC365" s="2">
        <v>2.0</v>
      </c>
      <c r="CD365" s="2">
        <v>1.0</v>
      </c>
      <c r="CE365" s="2">
        <v>0.0</v>
      </c>
      <c r="CF365" s="2">
        <v>0.0</v>
      </c>
      <c r="CG365" s="2">
        <v>2.0</v>
      </c>
      <c r="CH365" s="2">
        <v>36.0</v>
      </c>
      <c r="CI365" s="2">
        <v>2.0</v>
      </c>
      <c r="CJ365" s="2">
        <v>2.0</v>
      </c>
      <c r="CK365" s="2">
        <v>0.0</v>
      </c>
      <c r="CL365" s="2">
        <v>0.0</v>
      </c>
      <c r="CM365" s="2">
        <v>37.0</v>
      </c>
      <c r="CN365" s="2">
        <v>1.0</v>
      </c>
      <c r="CO365" s="2">
        <v>0.0</v>
      </c>
      <c r="CP365" s="2">
        <v>1.0</v>
      </c>
      <c r="CQ365" s="2">
        <v>1.0</v>
      </c>
      <c r="CR365" s="2">
        <v>0.0</v>
      </c>
      <c r="CS365" s="2">
        <v>0.0</v>
      </c>
      <c r="CT365" s="2">
        <v>0.0</v>
      </c>
      <c r="CU365" s="2">
        <v>0.0</v>
      </c>
      <c r="CV365" s="2">
        <v>0.0</v>
      </c>
      <c r="CW365" s="2">
        <v>0.0</v>
      </c>
      <c r="CX365" s="2">
        <v>0.0</v>
      </c>
      <c r="CY365" s="2">
        <v>0.0</v>
      </c>
      <c r="CZ365" s="2">
        <v>0.0</v>
      </c>
      <c r="DA365" s="2" t="s">
        <v>2199</v>
      </c>
      <c r="DD365" s="2">
        <v>64.0</v>
      </c>
      <c r="DE365" s="2">
        <v>0.0</v>
      </c>
      <c r="DF365" s="2">
        <v>0.0</v>
      </c>
      <c r="DG365" s="2">
        <v>2.0</v>
      </c>
      <c r="DH365" s="2">
        <v>3.0</v>
      </c>
      <c r="DI365" s="2">
        <v>1.0</v>
      </c>
      <c r="DJ365" s="2">
        <v>0.0</v>
      </c>
      <c r="DK365" s="2">
        <v>0.666666666666667</v>
      </c>
      <c r="DL365" s="2">
        <v>0.0</v>
      </c>
      <c r="DM365" s="2">
        <v>0.0</v>
      </c>
      <c r="DN365" s="2">
        <v>0.0</v>
      </c>
      <c r="DO365" s="2">
        <v>0.0</v>
      </c>
      <c r="DP365" s="2">
        <v>0.0</v>
      </c>
      <c r="DQ365" s="2">
        <v>2.0</v>
      </c>
      <c r="DR365" s="2">
        <v>0.0</v>
      </c>
      <c r="DS365" s="2">
        <v>52.0</v>
      </c>
      <c r="DT365" s="2">
        <v>99.0</v>
      </c>
      <c r="DU365" s="2">
        <v>0.0</v>
      </c>
      <c r="DV365" s="2">
        <v>0.0</v>
      </c>
      <c r="DW365" s="2">
        <v>0.0</v>
      </c>
      <c r="DX365" s="2">
        <v>1.0</v>
      </c>
      <c r="DY365" s="2">
        <v>0.0</v>
      </c>
      <c r="DZ365" s="2">
        <v>1.0</v>
      </c>
      <c r="EA365" s="2">
        <v>12.0</v>
      </c>
      <c r="EB365" s="2">
        <v>0.0</v>
      </c>
      <c r="EC365" s="2">
        <v>67.0</v>
      </c>
      <c r="EE365" s="2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2">
        <v>2025.0</v>
      </c>
      <c r="B366" s="2">
        <v>13.0</v>
      </c>
      <c r="C366" s="2" t="s">
        <v>189</v>
      </c>
      <c r="D366" s="2" t="s">
        <v>390</v>
      </c>
      <c r="E366" s="2" t="s">
        <v>994</v>
      </c>
      <c r="F366" s="2" t="s">
        <v>142</v>
      </c>
      <c r="G366" s="2">
        <v>15.0</v>
      </c>
      <c r="H366" s="2">
        <v>20.0</v>
      </c>
      <c r="I366" s="2">
        <v>206.0</v>
      </c>
      <c r="J366" s="2">
        <v>3.0</v>
      </c>
      <c r="K366" s="2">
        <v>0.0</v>
      </c>
      <c r="L366" s="2">
        <v>2.0</v>
      </c>
      <c r="M366" s="2">
        <v>-12.0</v>
      </c>
      <c r="N366" s="2">
        <v>0.0</v>
      </c>
      <c r="O366" s="2">
        <v>0.0</v>
      </c>
      <c r="P366" s="2">
        <v>155.0</v>
      </c>
      <c r="Q366" s="2">
        <v>153.0</v>
      </c>
      <c r="R366" s="2">
        <v>8.0</v>
      </c>
      <c r="S366" s="2">
        <v>14.2577161712688</v>
      </c>
      <c r="T366" s="2">
        <v>8.80542203783989</v>
      </c>
      <c r="U366" s="2">
        <v>0.0</v>
      </c>
      <c r="V366" s="2">
        <v>7.0</v>
      </c>
      <c r="W366" s="2">
        <v>4.0</v>
      </c>
      <c r="X366" s="2">
        <v>3.0</v>
      </c>
      <c r="Y366" s="2">
        <v>1.0</v>
      </c>
      <c r="Z366" s="2">
        <v>40.0</v>
      </c>
      <c r="AA366" s="2">
        <v>164.0</v>
      </c>
      <c r="AB366" s="2">
        <v>0.0</v>
      </c>
      <c r="AC366" s="2">
        <v>0.0</v>
      </c>
      <c r="AD366" s="2">
        <v>0.0</v>
      </c>
      <c r="AE366" s="2">
        <v>9.0</v>
      </c>
      <c r="AF366" s="2">
        <v>-0.23940834056446</v>
      </c>
      <c r="AG366" s="2">
        <v>0.0</v>
      </c>
      <c r="AH366" s="2">
        <v>3.0</v>
      </c>
      <c r="AI366" s="2">
        <v>2.0</v>
      </c>
      <c r="AJ366" s="2">
        <v>1.0</v>
      </c>
      <c r="AK366" s="2">
        <v>0.0</v>
      </c>
      <c r="AL366" s="2">
        <v>15.0</v>
      </c>
      <c r="AM366" s="2">
        <v>20.0</v>
      </c>
      <c r="AN366" s="2">
        <v>206.0</v>
      </c>
      <c r="AO366" s="2">
        <v>3.0</v>
      </c>
      <c r="AP366" s="2">
        <v>0.0</v>
      </c>
      <c r="AQ366" s="2">
        <v>0.0</v>
      </c>
      <c r="AR366" s="2">
        <v>155.0</v>
      </c>
      <c r="AS366" s="2">
        <v>153.0</v>
      </c>
      <c r="AT366" s="2">
        <v>8.0</v>
      </c>
      <c r="AU366" s="2">
        <v>16.4887744266307</v>
      </c>
      <c r="AV366" s="2">
        <v>0.0</v>
      </c>
      <c r="AW366" s="2">
        <v>7.0</v>
      </c>
      <c r="AX366" s="2">
        <v>4.0</v>
      </c>
      <c r="AY366" s="2">
        <v>3.0</v>
      </c>
      <c r="AZ366" s="2">
        <v>1.0</v>
      </c>
      <c r="BA366" s="2">
        <v>0.0</v>
      </c>
      <c r="BB366" s="2">
        <v>23.0</v>
      </c>
      <c r="BC366" s="2">
        <v>0.0</v>
      </c>
      <c r="BD366" s="2">
        <v>34.0</v>
      </c>
      <c r="BE366" s="2">
        <v>3.0</v>
      </c>
      <c r="BF366" s="2">
        <v>17.0</v>
      </c>
      <c r="BG366" s="2">
        <v>1.0</v>
      </c>
      <c r="BH366" s="2">
        <v>2.0</v>
      </c>
      <c r="BI366" s="2">
        <v>16.0</v>
      </c>
      <c r="BJ366" s="2">
        <v>2.0</v>
      </c>
      <c r="BK366" s="2">
        <v>2.0</v>
      </c>
      <c r="BL366" s="2">
        <v>48.0</v>
      </c>
      <c r="BM366" s="2">
        <v>4.0</v>
      </c>
      <c r="BN366" s="2">
        <v>1.0</v>
      </c>
      <c r="BO366" s="2">
        <v>0.0</v>
      </c>
      <c r="BP366" s="2">
        <v>0.0</v>
      </c>
      <c r="BQ366" s="2">
        <v>0.0</v>
      </c>
      <c r="BR366" s="2">
        <v>0.0</v>
      </c>
      <c r="BS366" s="2">
        <v>0.0</v>
      </c>
      <c r="BT366" s="2">
        <v>1.0</v>
      </c>
      <c r="BU366" s="2">
        <v>19.0</v>
      </c>
      <c r="BV366" s="2">
        <v>0.0</v>
      </c>
      <c r="BW366" s="2">
        <v>7.0</v>
      </c>
      <c r="BX366" s="2">
        <v>70.0</v>
      </c>
      <c r="BY366" s="2">
        <v>0.0</v>
      </c>
      <c r="BZ366" s="2">
        <v>0.0</v>
      </c>
      <c r="CA366" s="2">
        <v>0.0</v>
      </c>
      <c r="CB366" s="2">
        <v>0.0</v>
      </c>
      <c r="CC366" s="2">
        <v>0.0</v>
      </c>
      <c r="CD366" s="2">
        <v>0.0</v>
      </c>
      <c r="CE366" s="2">
        <v>1.0</v>
      </c>
      <c r="CF366" s="2">
        <v>15.0</v>
      </c>
      <c r="CG366" s="2">
        <v>4.0</v>
      </c>
      <c r="CH366" s="2">
        <v>89.0</v>
      </c>
      <c r="CI366" s="2">
        <v>1.0</v>
      </c>
      <c r="CJ366" s="2">
        <v>1.0</v>
      </c>
      <c r="CK366" s="2">
        <v>0.0</v>
      </c>
      <c r="CL366" s="2">
        <v>0.0</v>
      </c>
      <c r="CM366" s="2">
        <v>33.0</v>
      </c>
      <c r="CN366" s="2">
        <v>1.0</v>
      </c>
      <c r="CO366" s="2">
        <v>0.0</v>
      </c>
      <c r="CP366" s="2">
        <v>0.0</v>
      </c>
      <c r="CQ366" s="2">
        <v>1.0</v>
      </c>
      <c r="CR366" s="2">
        <v>0.0</v>
      </c>
      <c r="CS366" s="2">
        <v>0.0</v>
      </c>
      <c r="CT366" s="2">
        <v>0.0</v>
      </c>
      <c r="CU366" s="2">
        <v>0.0</v>
      </c>
      <c r="CV366" s="2">
        <v>0.0</v>
      </c>
      <c r="CW366" s="2">
        <v>0.0</v>
      </c>
      <c r="CX366" s="2">
        <v>0.0</v>
      </c>
      <c r="CY366" s="2">
        <v>0.0</v>
      </c>
      <c r="CZ366" s="2">
        <v>0.0</v>
      </c>
      <c r="DA366" s="2" t="s">
        <v>2056</v>
      </c>
      <c r="DD366" s="2">
        <v>33.0</v>
      </c>
      <c r="DE366" s="2">
        <v>0.0</v>
      </c>
      <c r="DF366" s="2">
        <v>0.0</v>
      </c>
      <c r="DG366" s="2">
        <v>4.0</v>
      </c>
      <c r="DH366" s="2">
        <v>4.0</v>
      </c>
      <c r="DI366" s="2">
        <v>0.0</v>
      </c>
      <c r="DJ366" s="2">
        <v>0.0</v>
      </c>
      <c r="DK366" s="2">
        <v>1.0</v>
      </c>
      <c r="DL366" s="2">
        <v>0.0</v>
      </c>
      <c r="DM366" s="2">
        <v>0.0</v>
      </c>
      <c r="DN366" s="2">
        <v>0.0</v>
      </c>
      <c r="DO366" s="2">
        <v>0.0</v>
      </c>
      <c r="DP366" s="2">
        <v>0.0</v>
      </c>
      <c r="DQ366" s="2">
        <v>3.0</v>
      </c>
      <c r="DR366" s="2">
        <v>0.0</v>
      </c>
      <c r="DS366" s="2">
        <v>45.0</v>
      </c>
      <c r="DT366" s="2">
        <v>112.0</v>
      </c>
      <c r="DU366" s="2">
        <v>2.0</v>
      </c>
      <c r="DV366" s="2">
        <v>0.0</v>
      </c>
      <c r="DW366" s="2">
        <v>1.0</v>
      </c>
      <c r="DX366" s="2">
        <v>0.0</v>
      </c>
      <c r="DY366" s="2">
        <v>2.0</v>
      </c>
      <c r="DZ366" s="2">
        <v>0.0</v>
      </c>
      <c r="EA366" s="2">
        <v>0.0</v>
      </c>
      <c r="EB366" s="2">
        <v>0.0</v>
      </c>
      <c r="EC366" s="2">
        <v>112.0</v>
      </c>
      <c r="EE366" s="2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2">
        <v>2025.0</v>
      </c>
      <c r="B367" s="2">
        <v>13.0</v>
      </c>
      <c r="C367" s="2" t="s">
        <v>137</v>
      </c>
      <c r="D367" s="2" t="s">
        <v>390</v>
      </c>
      <c r="E367" s="2" t="s">
        <v>990</v>
      </c>
      <c r="F367" s="2" t="s">
        <v>147</v>
      </c>
      <c r="G367" s="2">
        <v>17.0</v>
      </c>
      <c r="H367" s="2">
        <v>36.0</v>
      </c>
      <c r="I367" s="2">
        <v>154.0</v>
      </c>
      <c r="J367" s="2">
        <v>1.0</v>
      </c>
      <c r="K367" s="2">
        <v>1.0</v>
      </c>
      <c r="L367" s="2">
        <v>2.0</v>
      </c>
      <c r="M367" s="2">
        <v>-10.0</v>
      </c>
      <c r="N367" s="2">
        <v>0.0</v>
      </c>
      <c r="O367" s="2">
        <v>0.0</v>
      </c>
      <c r="P367" s="2">
        <v>252.0</v>
      </c>
      <c r="Q367" s="2">
        <v>75.0</v>
      </c>
      <c r="R367" s="2">
        <v>10.0</v>
      </c>
      <c r="S367" s="2">
        <v>-6.02851378327115</v>
      </c>
      <c r="T367" s="2">
        <v>-12.4671036377549</v>
      </c>
      <c r="U367" s="2">
        <v>0.0</v>
      </c>
      <c r="V367" s="2">
        <v>6.0</v>
      </c>
      <c r="W367" s="2">
        <v>1.0</v>
      </c>
      <c r="X367" s="2">
        <v>1.0</v>
      </c>
      <c r="Y367" s="2">
        <v>0.0</v>
      </c>
      <c r="Z367" s="2">
        <v>47.0</v>
      </c>
      <c r="AA367" s="2">
        <v>281.0</v>
      </c>
      <c r="AB367" s="2">
        <v>2.0</v>
      </c>
      <c r="AC367" s="2">
        <v>0.0</v>
      </c>
      <c r="AD367" s="2">
        <v>0.0</v>
      </c>
      <c r="AE367" s="2">
        <v>17.0</v>
      </c>
      <c r="AF367" s="2">
        <v>9.55191266350448</v>
      </c>
      <c r="AG367" s="2">
        <v>0.0</v>
      </c>
      <c r="AH367" s="2">
        <v>6.0</v>
      </c>
      <c r="AI367" s="2">
        <v>5.0</v>
      </c>
      <c r="AJ367" s="2">
        <v>2.0</v>
      </c>
      <c r="AK367" s="2">
        <v>0.0</v>
      </c>
      <c r="AL367" s="2">
        <v>17.0</v>
      </c>
      <c r="AM367" s="2">
        <v>32.0</v>
      </c>
      <c r="AN367" s="2">
        <v>154.0</v>
      </c>
      <c r="AO367" s="2">
        <v>1.0</v>
      </c>
      <c r="AP367" s="2">
        <v>0.0</v>
      </c>
      <c r="AQ367" s="2">
        <v>0.0</v>
      </c>
      <c r="AR367" s="2">
        <v>252.0</v>
      </c>
      <c r="AS367" s="2">
        <v>75.0</v>
      </c>
      <c r="AT367" s="2">
        <v>10.0</v>
      </c>
      <c r="AU367" s="2">
        <v>-0.103006756954085</v>
      </c>
      <c r="AV367" s="2">
        <v>0.0</v>
      </c>
      <c r="AW367" s="2">
        <v>6.0</v>
      </c>
      <c r="AX367" s="2">
        <v>1.0</v>
      </c>
      <c r="AY367" s="2">
        <v>1.0</v>
      </c>
      <c r="AZ367" s="2">
        <v>0.0</v>
      </c>
      <c r="BA367" s="2">
        <v>0.0</v>
      </c>
      <c r="BB367" s="2">
        <v>27.0</v>
      </c>
      <c r="BC367" s="2">
        <v>0.0</v>
      </c>
      <c r="BD367" s="2">
        <v>20.0</v>
      </c>
      <c r="BE367" s="2">
        <v>1.0</v>
      </c>
      <c r="BF367" s="2">
        <v>3.0</v>
      </c>
      <c r="BG367" s="2">
        <v>1.0</v>
      </c>
      <c r="BH367" s="2">
        <v>0.0</v>
      </c>
      <c r="BI367" s="2">
        <v>0.0</v>
      </c>
      <c r="BJ367" s="2">
        <v>1.0</v>
      </c>
      <c r="BK367" s="2">
        <v>1.0</v>
      </c>
      <c r="BL367" s="2">
        <v>0.0</v>
      </c>
      <c r="BM367" s="2">
        <v>3.0</v>
      </c>
      <c r="BN367" s="2">
        <v>0.0</v>
      </c>
      <c r="BO367" s="2">
        <v>0.0</v>
      </c>
      <c r="BP367" s="2">
        <v>0.0</v>
      </c>
      <c r="BQ367" s="2">
        <v>0.0</v>
      </c>
      <c r="BR367" s="2">
        <v>0.0</v>
      </c>
      <c r="BS367" s="2">
        <v>0.0</v>
      </c>
      <c r="BT367" s="2">
        <v>1.0</v>
      </c>
      <c r="BU367" s="2">
        <v>0.0</v>
      </c>
      <c r="BV367" s="2">
        <v>0.0</v>
      </c>
      <c r="BW367" s="2">
        <v>4.0</v>
      </c>
      <c r="BX367" s="2">
        <v>35.0</v>
      </c>
      <c r="BY367" s="2">
        <v>2.0</v>
      </c>
      <c r="BZ367" s="2">
        <v>0.0</v>
      </c>
      <c r="CA367" s="2">
        <v>0.0</v>
      </c>
      <c r="CB367" s="2">
        <v>0.0</v>
      </c>
      <c r="CC367" s="2">
        <v>0.0</v>
      </c>
      <c r="CD367" s="2">
        <v>0.0</v>
      </c>
      <c r="CE367" s="2">
        <v>1.0</v>
      </c>
      <c r="CF367" s="2">
        <v>12.0</v>
      </c>
      <c r="CG367" s="2">
        <v>2.0</v>
      </c>
      <c r="CH367" s="2">
        <v>58.0</v>
      </c>
      <c r="CI367" s="2">
        <v>1.0</v>
      </c>
      <c r="CJ367" s="2">
        <v>1.0</v>
      </c>
      <c r="CK367" s="2">
        <v>0.0</v>
      </c>
      <c r="CL367" s="2">
        <v>0.0</v>
      </c>
      <c r="CM367" s="2">
        <v>30.0</v>
      </c>
      <c r="CN367" s="2">
        <v>1.0</v>
      </c>
      <c r="CO367" s="2">
        <v>0.0</v>
      </c>
      <c r="CP367" s="2">
        <v>0.0</v>
      </c>
      <c r="CQ367" s="2">
        <v>1.0</v>
      </c>
      <c r="CR367" s="2">
        <v>0.0</v>
      </c>
      <c r="CS367" s="2">
        <v>0.0</v>
      </c>
      <c r="CT367" s="2">
        <v>0.0</v>
      </c>
      <c r="CU367" s="2">
        <v>0.0</v>
      </c>
      <c r="CV367" s="2">
        <v>0.0</v>
      </c>
      <c r="CW367" s="2">
        <v>0.0</v>
      </c>
      <c r="CX367" s="2">
        <v>0.0</v>
      </c>
      <c r="CY367" s="2">
        <v>0.0</v>
      </c>
      <c r="CZ367" s="2">
        <v>0.0</v>
      </c>
      <c r="DA367" s="2" t="s">
        <v>2028</v>
      </c>
      <c r="DD367" s="2">
        <v>30.0</v>
      </c>
      <c r="DE367" s="2">
        <v>0.0</v>
      </c>
      <c r="DF367" s="2">
        <v>0.0</v>
      </c>
      <c r="DG367" s="2">
        <v>3.0</v>
      </c>
      <c r="DH367" s="2">
        <v>3.0</v>
      </c>
      <c r="DI367" s="2">
        <v>0.0</v>
      </c>
      <c r="DJ367" s="2">
        <v>0.0</v>
      </c>
      <c r="DK367" s="2">
        <v>1.0</v>
      </c>
      <c r="DL367" s="2">
        <v>0.0</v>
      </c>
      <c r="DM367" s="2">
        <v>0.0</v>
      </c>
      <c r="DN367" s="2">
        <v>0.0</v>
      </c>
      <c r="DO367" s="2">
        <v>0.0</v>
      </c>
      <c r="DP367" s="2">
        <v>0.0</v>
      </c>
      <c r="DQ367" s="2">
        <v>3.0</v>
      </c>
      <c r="DR367" s="2">
        <v>0.0</v>
      </c>
      <c r="DS367" s="2">
        <v>51.0</v>
      </c>
      <c r="DT367" s="2">
        <v>127.0</v>
      </c>
      <c r="DU367" s="2">
        <v>1.0</v>
      </c>
      <c r="DV367" s="2">
        <v>1.0</v>
      </c>
      <c r="DW367" s="2">
        <v>0.0</v>
      </c>
      <c r="DX367" s="2">
        <v>0.0</v>
      </c>
      <c r="DY367" s="2">
        <v>1.0</v>
      </c>
      <c r="DZ367" s="2">
        <v>1.0</v>
      </c>
      <c r="EA367" s="2">
        <v>9.0</v>
      </c>
      <c r="EB367" s="2">
        <v>0.0</v>
      </c>
      <c r="EC367" s="2">
        <v>118.0</v>
      </c>
      <c r="EE367" s="2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2">
        <v>2025.0</v>
      </c>
      <c r="B368" s="2">
        <v>13.0</v>
      </c>
      <c r="C368" s="2" t="s">
        <v>138</v>
      </c>
      <c r="D368" s="2" t="s">
        <v>390</v>
      </c>
      <c r="E368" s="2" t="s">
        <v>988</v>
      </c>
      <c r="F368" s="2" t="s">
        <v>148</v>
      </c>
      <c r="G368" s="2">
        <v>24.0</v>
      </c>
      <c r="H368" s="2">
        <v>46.0</v>
      </c>
      <c r="I368" s="2">
        <v>261.0</v>
      </c>
      <c r="J368" s="2">
        <v>2.0</v>
      </c>
      <c r="K368" s="2">
        <v>0.0</v>
      </c>
      <c r="L368" s="2">
        <v>1.0</v>
      </c>
      <c r="M368" s="2">
        <v>-7.0</v>
      </c>
      <c r="N368" s="2">
        <v>0.0</v>
      </c>
      <c r="O368" s="2">
        <v>0.0</v>
      </c>
      <c r="P368" s="2">
        <v>380.0</v>
      </c>
      <c r="Q368" s="2">
        <v>99.0</v>
      </c>
      <c r="R368" s="2">
        <v>11.0</v>
      </c>
      <c r="S368" s="2">
        <v>6.14268926976143</v>
      </c>
      <c r="T368" s="2">
        <v>-5.97828355702487</v>
      </c>
      <c r="U368" s="2">
        <v>0.0</v>
      </c>
      <c r="V368" s="2">
        <v>10.0</v>
      </c>
      <c r="W368" s="2">
        <v>2.0</v>
      </c>
      <c r="X368" s="2">
        <v>2.0</v>
      </c>
      <c r="Y368" s="2">
        <v>1.0</v>
      </c>
      <c r="Z368" s="2">
        <v>33.0</v>
      </c>
      <c r="AA368" s="2">
        <v>128.0</v>
      </c>
      <c r="AB368" s="2">
        <v>0.0</v>
      </c>
      <c r="AC368" s="2">
        <v>1.0</v>
      </c>
      <c r="AD368" s="2">
        <v>1.0</v>
      </c>
      <c r="AE368" s="2">
        <v>8.0</v>
      </c>
      <c r="AF368" s="2">
        <v>-6.33041781163212</v>
      </c>
      <c r="AG368" s="2">
        <v>0.0</v>
      </c>
      <c r="AH368" s="2">
        <v>4.0</v>
      </c>
      <c r="AI368" s="2">
        <v>3.0</v>
      </c>
      <c r="AJ368" s="2">
        <v>0.0</v>
      </c>
      <c r="AK368" s="2">
        <v>0.0</v>
      </c>
      <c r="AL368" s="2">
        <v>24.0</v>
      </c>
      <c r="AM368" s="2">
        <v>44.0</v>
      </c>
      <c r="AN368" s="2">
        <v>261.0</v>
      </c>
      <c r="AO368" s="2">
        <v>2.0</v>
      </c>
      <c r="AP368" s="2">
        <v>0.0</v>
      </c>
      <c r="AQ368" s="2">
        <v>0.0</v>
      </c>
      <c r="AR368" s="2">
        <v>380.0</v>
      </c>
      <c r="AS368" s="2">
        <v>99.0</v>
      </c>
      <c r="AT368" s="2">
        <v>11.0</v>
      </c>
      <c r="AU368" s="2">
        <v>8.75871103597233</v>
      </c>
      <c r="AV368" s="2">
        <v>0.0</v>
      </c>
      <c r="AW368" s="2">
        <v>10.0</v>
      </c>
      <c r="AX368" s="2">
        <v>2.0</v>
      </c>
      <c r="AY368" s="2">
        <v>2.0</v>
      </c>
      <c r="AZ368" s="2">
        <v>1.0</v>
      </c>
      <c r="BA368" s="2">
        <v>0.0</v>
      </c>
      <c r="BB368" s="2">
        <v>32.0</v>
      </c>
      <c r="BC368" s="2">
        <v>0.0</v>
      </c>
      <c r="BD368" s="2">
        <v>24.0</v>
      </c>
      <c r="BE368" s="2">
        <v>2.0</v>
      </c>
      <c r="BF368" s="2">
        <v>18.0</v>
      </c>
      <c r="BG368" s="2">
        <v>3.0</v>
      </c>
      <c r="BH368" s="2">
        <v>2.0</v>
      </c>
      <c r="BI368" s="2">
        <v>18.0</v>
      </c>
      <c r="BJ368" s="2">
        <v>5.0</v>
      </c>
      <c r="BK368" s="2">
        <v>1.0</v>
      </c>
      <c r="BL368" s="2">
        <v>39.0</v>
      </c>
      <c r="BM368" s="2">
        <v>6.0</v>
      </c>
      <c r="BN368" s="2">
        <v>0.0</v>
      </c>
      <c r="BO368" s="2">
        <v>0.0</v>
      </c>
      <c r="BP368" s="2">
        <v>0.0</v>
      </c>
      <c r="BQ368" s="2">
        <v>0.0</v>
      </c>
      <c r="BR368" s="2">
        <v>0.0</v>
      </c>
      <c r="BS368" s="2">
        <v>0.0</v>
      </c>
      <c r="BT368" s="2">
        <v>3.0</v>
      </c>
      <c r="BU368" s="2">
        <v>11.0</v>
      </c>
      <c r="BV368" s="2">
        <v>0.0</v>
      </c>
      <c r="BW368" s="2">
        <v>6.0</v>
      </c>
      <c r="BX368" s="2">
        <v>35.0</v>
      </c>
      <c r="BY368" s="2">
        <v>6.0</v>
      </c>
      <c r="BZ368" s="2">
        <v>1.0</v>
      </c>
      <c r="CA368" s="2">
        <v>0.0</v>
      </c>
      <c r="CB368" s="2">
        <v>0.0</v>
      </c>
      <c r="CC368" s="2">
        <v>1.0</v>
      </c>
      <c r="CD368" s="2">
        <v>1.0</v>
      </c>
      <c r="CE368" s="2">
        <v>2.0</v>
      </c>
      <c r="CF368" s="2">
        <v>19.0</v>
      </c>
      <c r="CG368" s="2">
        <v>3.0</v>
      </c>
      <c r="CH368" s="2">
        <v>59.0</v>
      </c>
      <c r="CI368" s="2">
        <v>6.0</v>
      </c>
      <c r="CJ368" s="2">
        <v>6.0</v>
      </c>
      <c r="CK368" s="2">
        <v>0.0</v>
      </c>
      <c r="CL368" s="2">
        <v>0.0</v>
      </c>
      <c r="CM368" s="2">
        <v>52.0</v>
      </c>
      <c r="CN368" s="2">
        <v>1.0</v>
      </c>
      <c r="CO368" s="2">
        <v>0.0</v>
      </c>
      <c r="CP368" s="2">
        <v>1.0</v>
      </c>
      <c r="CQ368" s="2">
        <v>2.0</v>
      </c>
      <c r="CR368" s="2">
        <v>2.0</v>
      </c>
      <c r="CS368" s="2">
        <v>1.0</v>
      </c>
      <c r="CT368" s="2">
        <v>0.0</v>
      </c>
      <c r="CU368" s="2">
        <v>0.0</v>
      </c>
      <c r="CV368" s="2">
        <v>0.0</v>
      </c>
      <c r="CW368" s="2">
        <v>0.0</v>
      </c>
      <c r="CX368" s="2">
        <v>0.0</v>
      </c>
      <c r="CY368" s="2">
        <v>0.0</v>
      </c>
      <c r="CZ368" s="2">
        <v>0.0</v>
      </c>
      <c r="DA368" s="2" t="s">
        <v>2200</v>
      </c>
      <c r="DD368" s="2">
        <v>223.0</v>
      </c>
      <c r="DE368" s="2">
        <v>0.0</v>
      </c>
      <c r="DF368" s="2">
        <v>0.0</v>
      </c>
      <c r="DG368" s="2">
        <v>2.0</v>
      </c>
      <c r="DH368" s="2">
        <v>2.0</v>
      </c>
      <c r="DI368" s="2">
        <v>0.0</v>
      </c>
      <c r="DJ368" s="2">
        <v>0.0</v>
      </c>
      <c r="DK368" s="2">
        <v>1.0</v>
      </c>
      <c r="DL368" s="2">
        <v>0.0</v>
      </c>
      <c r="DM368" s="2">
        <v>0.0</v>
      </c>
      <c r="DN368" s="2">
        <v>0.0</v>
      </c>
      <c r="DO368" s="2">
        <v>0.0</v>
      </c>
      <c r="DP368" s="2">
        <v>0.0</v>
      </c>
      <c r="DQ368" s="2">
        <v>2.0</v>
      </c>
      <c r="DR368" s="2">
        <v>0.0</v>
      </c>
      <c r="DS368" s="2">
        <v>54.0</v>
      </c>
      <c r="DT368" s="2">
        <v>105.0</v>
      </c>
      <c r="DU368" s="2">
        <v>1.0</v>
      </c>
      <c r="DV368" s="2">
        <v>0.0</v>
      </c>
      <c r="DW368" s="2">
        <v>1.0</v>
      </c>
      <c r="DX368" s="2">
        <v>1.0</v>
      </c>
      <c r="DY368" s="2">
        <v>0.0</v>
      </c>
      <c r="DZ368" s="2">
        <v>0.0</v>
      </c>
      <c r="EA368" s="2">
        <v>0.0</v>
      </c>
      <c r="EB368" s="2">
        <v>0.0</v>
      </c>
      <c r="EC368" s="2">
        <v>85.0</v>
      </c>
      <c r="EE368" s="2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2">
        <v>2025.0</v>
      </c>
      <c r="B369" s="2">
        <v>13.0</v>
      </c>
      <c r="C369" s="2" t="s">
        <v>196</v>
      </c>
      <c r="D369" s="2" t="s">
        <v>390</v>
      </c>
      <c r="E369" s="2" t="s">
        <v>997</v>
      </c>
      <c r="F369" s="2" t="s">
        <v>246</v>
      </c>
      <c r="G369" s="2">
        <v>17.0</v>
      </c>
      <c r="H369" s="2">
        <v>26.0</v>
      </c>
      <c r="I369" s="2">
        <v>149.0</v>
      </c>
      <c r="J369" s="2">
        <v>1.0</v>
      </c>
      <c r="K369" s="2">
        <v>0.0</v>
      </c>
      <c r="L369" s="2">
        <v>3.0</v>
      </c>
      <c r="M369" s="2">
        <v>-34.0</v>
      </c>
      <c r="N369" s="2">
        <v>0.0</v>
      </c>
      <c r="O369" s="2">
        <v>0.0</v>
      </c>
      <c r="P369" s="2">
        <v>173.0</v>
      </c>
      <c r="Q369" s="2">
        <v>76.0</v>
      </c>
      <c r="R369" s="2">
        <v>7.0</v>
      </c>
      <c r="S369" s="2">
        <v>-4.51554458861938</v>
      </c>
      <c r="T369" s="2">
        <v>1.3269964767539</v>
      </c>
      <c r="U369" s="2">
        <v>0.0</v>
      </c>
      <c r="V369" s="2">
        <v>6.0</v>
      </c>
      <c r="W369" s="2">
        <v>2.0</v>
      </c>
      <c r="X369" s="2">
        <v>1.0</v>
      </c>
      <c r="Y369" s="2">
        <v>0.0</v>
      </c>
      <c r="Z369" s="2">
        <v>31.0</v>
      </c>
      <c r="AA369" s="2">
        <v>138.0</v>
      </c>
      <c r="AB369" s="2">
        <v>0.0</v>
      </c>
      <c r="AC369" s="2">
        <v>1.0</v>
      </c>
      <c r="AD369" s="2">
        <v>1.0</v>
      </c>
      <c r="AE369" s="2">
        <v>8.0</v>
      </c>
      <c r="AF369" s="2">
        <v>-7.40373021127004</v>
      </c>
      <c r="AG369" s="2">
        <v>1.0</v>
      </c>
      <c r="AH369" s="2">
        <v>1.0</v>
      </c>
      <c r="AI369" s="2">
        <v>1.0</v>
      </c>
      <c r="AJ369" s="2">
        <v>0.0</v>
      </c>
      <c r="AK369" s="2">
        <v>0.0</v>
      </c>
      <c r="AL369" s="2">
        <v>17.0</v>
      </c>
      <c r="AM369" s="2">
        <v>23.0</v>
      </c>
      <c r="AN369" s="2">
        <v>149.0</v>
      </c>
      <c r="AO369" s="2">
        <v>1.0</v>
      </c>
      <c r="AP369" s="2">
        <v>0.0</v>
      </c>
      <c r="AQ369" s="2">
        <v>0.0</v>
      </c>
      <c r="AR369" s="2">
        <v>173.0</v>
      </c>
      <c r="AS369" s="2">
        <v>76.0</v>
      </c>
      <c r="AT369" s="2">
        <v>7.0</v>
      </c>
      <c r="AU369" s="2">
        <v>3.83130914857611</v>
      </c>
      <c r="AV369" s="2">
        <v>0.0</v>
      </c>
      <c r="AW369" s="2">
        <v>6.0</v>
      </c>
      <c r="AX369" s="2">
        <v>2.0</v>
      </c>
      <c r="AY369" s="2">
        <v>1.0</v>
      </c>
      <c r="AZ369" s="2">
        <v>0.0</v>
      </c>
      <c r="BA369" s="2">
        <v>0.0</v>
      </c>
      <c r="BB369" s="2">
        <v>27.0</v>
      </c>
      <c r="BC369" s="2">
        <v>1.0</v>
      </c>
      <c r="BD369" s="2">
        <v>45.0</v>
      </c>
      <c r="BE369" s="2">
        <v>4.0</v>
      </c>
      <c r="BF369" s="2">
        <v>13.0</v>
      </c>
      <c r="BG369" s="2">
        <v>0.0</v>
      </c>
      <c r="BH369" s="2">
        <v>1.0</v>
      </c>
      <c r="BI369" s="2">
        <v>7.0</v>
      </c>
      <c r="BJ369" s="2">
        <v>7.0</v>
      </c>
      <c r="BK369" s="2">
        <v>0.0</v>
      </c>
      <c r="BL369" s="2">
        <v>0.0</v>
      </c>
      <c r="BM369" s="2">
        <v>3.0</v>
      </c>
      <c r="BN369" s="2">
        <v>0.0</v>
      </c>
      <c r="BO369" s="2">
        <v>3.0</v>
      </c>
      <c r="BP369" s="2">
        <v>0.0</v>
      </c>
      <c r="BQ369" s="2">
        <v>0.0</v>
      </c>
      <c r="BR369" s="2">
        <v>2.0</v>
      </c>
      <c r="BS369" s="2">
        <v>-1.0</v>
      </c>
      <c r="BT369" s="2">
        <v>0.0</v>
      </c>
      <c r="BU369" s="2">
        <v>0.0</v>
      </c>
      <c r="BV369" s="2">
        <v>0.0</v>
      </c>
      <c r="BW369" s="2">
        <v>4.0</v>
      </c>
      <c r="BX369" s="2">
        <v>25.0</v>
      </c>
      <c r="BY369" s="2">
        <v>3.0</v>
      </c>
      <c r="BZ369" s="2">
        <v>1.0</v>
      </c>
      <c r="CA369" s="2">
        <v>3.0</v>
      </c>
      <c r="CB369" s="2">
        <v>0.0</v>
      </c>
      <c r="CC369" s="2">
        <v>4.0</v>
      </c>
      <c r="CD369" s="2">
        <v>2.0</v>
      </c>
      <c r="CE369" s="2">
        <v>3.0</v>
      </c>
      <c r="CF369" s="2">
        <v>3.0</v>
      </c>
      <c r="CG369" s="2">
        <v>4.0</v>
      </c>
      <c r="CH369" s="2">
        <v>73.0</v>
      </c>
      <c r="CI369" s="2">
        <v>0.0</v>
      </c>
      <c r="CJ369" s="2">
        <v>0.0</v>
      </c>
      <c r="CK369" s="2">
        <v>0.0</v>
      </c>
      <c r="CL369" s="2">
        <v>0.0</v>
      </c>
      <c r="CO369" s="2">
        <v>0.0</v>
      </c>
      <c r="CP369" s="2">
        <v>0.0</v>
      </c>
      <c r="CQ369" s="2">
        <v>0.0</v>
      </c>
      <c r="CR369" s="2">
        <v>0.0</v>
      </c>
      <c r="CS369" s="2">
        <v>0.0</v>
      </c>
      <c r="CT369" s="2">
        <v>0.0</v>
      </c>
      <c r="CU369" s="2">
        <v>0.0</v>
      </c>
      <c r="CV369" s="2">
        <v>0.0</v>
      </c>
      <c r="CW369" s="2">
        <v>0.0</v>
      </c>
      <c r="CX369" s="2">
        <v>0.0</v>
      </c>
      <c r="CY369" s="2">
        <v>0.0</v>
      </c>
      <c r="CZ369" s="2">
        <v>0.0</v>
      </c>
      <c r="DD369" s="2">
        <v>0.0</v>
      </c>
      <c r="DE369" s="2">
        <v>0.0</v>
      </c>
      <c r="DF369" s="2">
        <v>0.0</v>
      </c>
      <c r="DG369" s="2">
        <v>0.0</v>
      </c>
      <c r="DH369" s="2">
        <v>0.0</v>
      </c>
      <c r="DI369" s="2">
        <v>0.0</v>
      </c>
      <c r="DJ369" s="2">
        <v>0.0</v>
      </c>
      <c r="DL369" s="2">
        <v>0.0</v>
      </c>
      <c r="DM369" s="2">
        <v>0.0</v>
      </c>
      <c r="DN369" s="2">
        <v>0.0</v>
      </c>
      <c r="DO369" s="2">
        <v>0.0</v>
      </c>
      <c r="DP369" s="2">
        <v>0.0</v>
      </c>
      <c r="DQ369" s="2">
        <v>4.0</v>
      </c>
      <c r="DR369" s="2">
        <v>0.0</v>
      </c>
      <c r="DS369" s="2">
        <v>49.0</v>
      </c>
      <c r="DT369" s="2">
        <v>178.0</v>
      </c>
      <c r="DU369" s="2">
        <v>0.0</v>
      </c>
      <c r="DV369" s="2">
        <v>0.0</v>
      </c>
      <c r="DW369" s="2">
        <v>0.0</v>
      </c>
      <c r="DX369" s="2">
        <v>1.0</v>
      </c>
      <c r="DY369" s="2">
        <v>0.0</v>
      </c>
      <c r="DZ369" s="2">
        <v>3.0</v>
      </c>
      <c r="EA369" s="2">
        <v>69.0</v>
      </c>
      <c r="EB369" s="2">
        <v>0.0</v>
      </c>
      <c r="EC369" s="2">
        <v>89.0</v>
      </c>
      <c r="EE369" s="2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2">
        <v>2025.0</v>
      </c>
      <c r="B370" s="2">
        <v>13.0</v>
      </c>
      <c r="C370" s="2" t="s">
        <v>146</v>
      </c>
      <c r="D370" s="2" t="s">
        <v>390</v>
      </c>
      <c r="E370" s="2" t="s">
        <v>985</v>
      </c>
      <c r="F370" s="2" t="s">
        <v>143</v>
      </c>
      <c r="G370" s="2">
        <v>27.0</v>
      </c>
      <c r="H370" s="2">
        <v>39.0</v>
      </c>
      <c r="I370" s="2">
        <v>320.0</v>
      </c>
      <c r="J370" s="2">
        <v>2.0</v>
      </c>
      <c r="K370" s="2">
        <v>1.0</v>
      </c>
      <c r="L370" s="2">
        <v>0.0</v>
      </c>
      <c r="M370" s="2">
        <v>0.0</v>
      </c>
      <c r="N370" s="2">
        <v>0.0</v>
      </c>
      <c r="O370" s="2">
        <v>0.0</v>
      </c>
      <c r="P370" s="2">
        <v>257.0</v>
      </c>
      <c r="Q370" s="2">
        <v>188.0</v>
      </c>
      <c r="R370" s="2">
        <v>15.0</v>
      </c>
      <c r="S370" s="2">
        <v>14.5539531731749</v>
      </c>
      <c r="T370" s="2">
        <v>4.83872431355554</v>
      </c>
      <c r="U370" s="2">
        <v>1.0</v>
      </c>
      <c r="V370" s="2">
        <v>15.0</v>
      </c>
      <c r="W370" s="2">
        <v>5.0</v>
      </c>
      <c r="X370" s="2">
        <v>2.0</v>
      </c>
      <c r="Y370" s="2">
        <v>1.0</v>
      </c>
      <c r="Z370" s="2">
        <v>26.0</v>
      </c>
      <c r="AA370" s="2">
        <v>137.0</v>
      </c>
      <c r="AB370" s="2">
        <v>1.0</v>
      </c>
      <c r="AC370" s="2">
        <v>0.0</v>
      </c>
      <c r="AD370" s="2">
        <v>0.0</v>
      </c>
      <c r="AE370" s="2">
        <v>3.0</v>
      </c>
      <c r="AF370" s="2">
        <v>-3.5574937183992</v>
      </c>
      <c r="AG370" s="2">
        <v>0.0</v>
      </c>
      <c r="AH370" s="2">
        <v>3.0</v>
      </c>
      <c r="AI370" s="2">
        <v>2.0</v>
      </c>
      <c r="AJ370" s="2">
        <v>2.0</v>
      </c>
      <c r="AK370" s="2">
        <v>1.0</v>
      </c>
      <c r="AL370" s="2">
        <v>27.0</v>
      </c>
      <c r="AM370" s="2">
        <v>37.0</v>
      </c>
      <c r="AN370" s="2">
        <v>320.0</v>
      </c>
      <c r="AO370" s="2">
        <v>2.0</v>
      </c>
      <c r="AP370" s="2">
        <v>1.0</v>
      </c>
      <c r="AQ370" s="2">
        <v>0.0</v>
      </c>
      <c r="AR370" s="2">
        <v>257.0</v>
      </c>
      <c r="AS370" s="2">
        <v>188.0</v>
      </c>
      <c r="AT370" s="2">
        <v>15.0</v>
      </c>
      <c r="AU370" s="2">
        <v>16.9240039864066</v>
      </c>
      <c r="AV370" s="2">
        <v>1.0</v>
      </c>
      <c r="AW370" s="2">
        <v>15.0</v>
      </c>
      <c r="AX370" s="2">
        <v>5.0</v>
      </c>
      <c r="AY370" s="2">
        <v>2.0</v>
      </c>
      <c r="AZ370" s="2">
        <v>1.0</v>
      </c>
      <c r="BA370" s="2">
        <v>0.0</v>
      </c>
      <c r="BB370" s="2">
        <v>35.0</v>
      </c>
      <c r="BC370" s="2">
        <v>0.0</v>
      </c>
      <c r="BD370" s="2">
        <v>38.0</v>
      </c>
      <c r="BE370" s="2">
        <v>4.0</v>
      </c>
      <c r="BF370" s="2">
        <v>22.0</v>
      </c>
      <c r="BG370" s="2">
        <v>1.0</v>
      </c>
      <c r="BH370" s="2">
        <v>3.0</v>
      </c>
      <c r="BI370" s="2">
        <v>18.0</v>
      </c>
      <c r="BJ370" s="2">
        <v>9.0</v>
      </c>
      <c r="BK370" s="2">
        <v>0.0</v>
      </c>
      <c r="BL370" s="2">
        <v>0.0</v>
      </c>
      <c r="BM370" s="2">
        <v>1.0</v>
      </c>
      <c r="BN370" s="2">
        <v>0.0</v>
      </c>
      <c r="BO370" s="2">
        <v>0.0</v>
      </c>
      <c r="BP370" s="2">
        <v>0.0</v>
      </c>
      <c r="BQ370" s="2">
        <v>0.0</v>
      </c>
      <c r="BR370" s="2">
        <v>1.0</v>
      </c>
      <c r="BS370" s="2">
        <v>0.0</v>
      </c>
      <c r="BT370" s="2">
        <v>0.0</v>
      </c>
      <c r="BU370" s="2">
        <v>0.0</v>
      </c>
      <c r="BV370" s="2">
        <v>0.0</v>
      </c>
      <c r="BW370" s="2">
        <v>7.0</v>
      </c>
      <c r="BX370" s="2">
        <v>50.0</v>
      </c>
      <c r="BY370" s="2">
        <v>2.0</v>
      </c>
      <c r="BZ370" s="2">
        <v>1.0</v>
      </c>
      <c r="CA370" s="2">
        <v>0.0</v>
      </c>
      <c r="CB370" s="2">
        <v>0.0</v>
      </c>
      <c r="CC370" s="2">
        <v>1.0</v>
      </c>
      <c r="CD370" s="2">
        <v>0.0</v>
      </c>
      <c r="CE370" s="2">
        <v>0.0</v>
      </c>
      <c r="CF370" s="2">
        <v>0.0</v>
      </c>
      <c r="CG370" s="2">
        <v>5.0</v>
      </c>
      <c r="CH370" s="2">
        <v>118.0</v>
      </c>
      <c r="CI370" s="2">
        <v>3.0</v>
      </c>
      <c r="CJ370" s="2">
        <v>3.0</v>
      </c>
      <c r="CK370" s="2">
        <v>0.0</v>
      </c>
      <c r="CL370" s="2">
        <v>0.0</v>
      </c>
      <c r="CM370" s="2">
        <v>49.0</v>
      </c>
      <c r="CN370" s="2">
        <v>1.0</v>
      </c>
      <c r="CO370" s="2">
        <v>0.0</v>
      </c>
      <c r="CP370" s="2">
        <v>1.0</v>
      </c>
      <c r="CQ370" s="2">
        <v>1.0</v>
      </c>
      <c r="CR370" s="2">
        <v>1.0</v>
      </c>
      <c r="CS370" s="2">
        <v>0.0</v>
      </c>
      <c r="CT370" s="2">
        <v>0.0</v>
      </c>
      <c r="CU370" s="2">
        <v>0.0</v>
      </c>
      <c r="CV370" s="2">
        <v>0.0</v>
      </c>
      <c r="CW370" s="2">
        <v>0.0</v>
      </c>
      <c r="CX370" s="2">
        <v>0.0</v>
      </c>
      <c r="CY370" s="2">
        <v>0.0</v>
      </c>
      <c r="CZ370" s="2">
        <v>0.0</v>
      </c>
      <c r="DA370" s="2" t="s">
        <v>2201</v>
      </c>
      <c r="DD370" s="2">
        <v>111.0</v>
      </c>
      <c r="DE370" s="2">
        <v>0.0</v>
      </c>
      <c r="DF370" s="2">
        <v>0.0</v>
      </c>
      <c r="DG370" s="2">
        <v>2.0</v>
      </c>
      <c r="DH370" s="2">
        <v>2.0</v>
      </c>
      <c r="DI370" s="2">
        <v>0.0</v>
      </c>
      <c r="DJ370" s="2">
        <v>0.0</v>
      </c>
      <c r="DK370" s="2">
        <v>1.0</v>
      </c>
      <c r="DL370" s="2">
        <v>0.0</v>
      </c>
      <c r="DM370" s="2">
        <v>0.0</v>
      </c>
      <c r="DN370" s="2">
        <v>0.0</v>
      </c>
      <c r="DO370" s="2">
        <v>0.0</v>
      </c>
      <c r="DP370" s="2">
        <v>0.0</v>
      </c>
      <c r="DQ370" s="2">
        <v>1.0</v>
      </c>
      <c r="DR370" s="2">
        <v>0.0</v>
      </c>
      <c r="DS370" s="2">
        <v>62.0</v>
      </c>
      <c r="DT370" s="2">
        <v>62.0</v>
      </c>
      <c r="DU370" s="2">
        <v>0.0</v>
      </c>
      <c r="DV370" s="2">
        <v>0.0</v>
      </c>
      <c r="DW370" s="2">
        <v>0.0</v>
      </c>
      <c r="DX370" s="2">
        <v>0.0</v>
      </c>
      <c r="DY370" s="2">
        <v>0.0</v>
      </c>
      <c r="DZ370" s="2">
        <v>1.0</v>
      </c>
      <c r="EA370" s="2">
        <v>10.0</v>
      </c>
      <c r="EB370" s="2">
        <v>0.0</v>
      </c>
      <c r="EC370" s="2">
        <v>52.0</v>
      </c>
      <c r="EE370" s="2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2">
        <v>2025.0</v>
      </c>
      <c r="B371" s="2">
        <v>13.0</v>
      </c>
      <c r="C371" s="2" t="s">
        <v>139</v>
      </c>
      <c r="D371" s="2" t="s">
        <v>390</v>
      </c>
      <c r="E371" s="2" t="s">
        <v>1017</v>
      </c>
      <c r="F371" s="2" t="s">
        <v>253</v>
      </c>
      <c r="G371" s="2">
        <v>29.0</v>
      </c>
      <c r="H371" s="2">
        <v>45.0</v>
      </c>
      <c r="I371" s="2">
        <v>321.0</v>
      </c>
      <c r="J371" s="2">
        <v>1.0</v>
      </c>
      <c r="K371" s="2">
        <v>1.0</v>
      </c>
      <c r="L371" s="2">
        <v>1.0</v>
      </c>
      <c r="M371" s="2">
        <v>-6.0</v>
      </c>
      <c r="N371" s="2">
        <v>1.0</v>
      </c>
      <c r="O371" s="2">
        <v>0.0</v>
      </c>
      <c r="P371" s="2">
        <v>189.0</v>
      </c>
      <c r="Q371" s="2">
        <v>196.0</v>
      </c>
      <c r="R371" s="2">
        <v>17.0</v>
      </c>
      <c r="S371" s="2">
        <v>9.88027036314034</v>
      </c>
      <c r="T371" s="2">
        <v>-4.02308161868605</v>
      </c>
      <c r="U371" s="2">
        <v>0.0</v>
      </c>
      <c r="V371" s="2">
        <v>14.0</v>
      </c>
      <c r="W371" s="2">
        <v>6.0</v>
      </c>
      <c r="X371" s="2">
        <v>4.0</v>
      </c>
      <c r="Y371" s="2">
        <v>1.0</v>
      </c>
      <c r="Z371" s="2">
        <v>23.0</v>
      </c>
      <c r="AA371" s="2">
        <v>87.0</v>
      </c>
      <c r="AB371" s="2">
        <v>2.0</v>
      </c>
      <c r="AC371" s="2">
        <v>0.0</v>
      </c>
      <c r="AD371" s="2">
        <v>0.0</v>
      </c>
      <c r="AE371" s="2">
        <v>6.0</v>
      </c>
      <c r="AF371" s="2">
        <v>2.73753228242276</v>
      </c>
      <c r="AG371" s="2">
        <v>0.0</v>
      </c>
      <c r="AH371" s="2">
        <v>3.0</v>
      </c>
      <c r="AI371" s="2">
        <v>1.0</v>
      </c>
      <c r="AJ371" s="2">
        <v>0.0</v>
      </c>
      <c r="AK371" s="2">
        <v>0.0</v>
      </c>
      <c r="AL371" s="2">
        <v>29.0</v>
      </c>
      <c r="AM371" s="2">
        <v>43.0</v>
      </c>
      <c r="AN371" s="2">
        <v>321.0</v>
      </c>
      <c r="AO371" s="2">
        <v>1.0</v>
      </c>
      <c r="AP371" s="2">
        <v>0.0</v>
      </c>
      <c r="AQ371" s="2">
        <v>0.0</v>
      </c>
      <c r="AR371" s="2">
        <v>189.0</v>
      </c>
      <c r="AS371" s="2">
        <v>196.0</v>
      </c>
      <c r="AT371" s="2">
        <v>17.0</v>
      </c>
      <c r="AU371" s="2">
        <v>13.1831069344948</v>
      </c>
      <c r="AV371" s="2">
        <v>0.0</v>
      </c>
      <c r="AW371" s="2">
        <v>14.0</v>
      </c>
      <c r="AX371" s="2">
        <v>6.0</v>
      </c>
      <c r="AY371" s="2">
        <v>4.0</v>
      </c>
      <c r="AZ371" s="2">
        <v>1.0</v>
      </c>
      <c r="BA371" s="2">
        <v>0.0</v>
      </c>
      <c r="BB371" s="2">
        <v>49.0</v>
      </c>
      <c r="BC371" s="2">
        <v>3.0</v>
      </c>
      <c r="BD371" s="2">
        <v>31.0</v>
      </c>
      <c r="BE371" s="2">
        <v>8.0</v>
      </c>
      <c r="BF371" s="2">
        <v>29.0</v>
      </c>
      <c r="BG371" s="2">
        <v>2.0</v>
      </c>
      <c r="BH371" s="2">
        <v>2.0</v>
      </c>
      <c r="BI371" s="2">
        <v>18.0</v>
      </c>
      <c r="BJ371" s="2">
        <v>6.0</v>
      </c>
      <c r="BK371" s="2">
        <v>1.0</v>
      </c>
      <c r="BL371" s="2">
        <v>27.0</v>
      </c>
      <c r="BM371" s="2">
        <v>9.0</v>
      </c>
      <c r="BN371" s="2">
        <v>0.0</v>
      </c>
      <c r="BO371" s="2">
        <v>0.0</v>
      </c>
      <c r="BP371" s="2">
        <v>0.0</v>
      </c>
      <c r="BQ371" s="2">
        <v>0.0</v>
      </c>
      <c r="BR371" s="2">
        <v>1.0</v>
      </c>
      <c r="BS371" s="2">
        <v>0.0</v>
      </c>
      <c r="BT371" s="2">
        <v>0.0</v>
      </c>
      <c r="BU371" s="2">
        <v>0.0</v>
      </c>
      <c r="BV371" s="2">
        <v>0.0</v>
      </c>
      <c r="BW371" s="2">
        <v>5.0</v>
      </c>
      <c r="BX371" s="2">
        <v>33.0</v>
      </c>
      <c r="BY371" s="2">
        <v>7.0</v>
      </c>
      <c r="BZ371" s="2">
        <v>1.0</v>
      </c>
      <c r="CA371" s="2">
        <v>0.0</v>
      </c>
      <c r="CB371" s="2">
        <v>0.0</v>
      </c>
      <c r="CC371" s="2">
        <v>1.0</v>
      </c>
      <c r="CD371" s="2">
        <v>0.0</v>
      </c>
      <c r="CE371" s="2">
        <v>1.0</v>
      </c>
      <c r="CF371" s="2">
        <v>10.0</v>
      </c>
      <c r="CG371" s="2">
        <v>5.0</v>
      </c>
      <c r="CH371" s="2">
        <v>118.0</v>
      </c>
      <c r="CI371" s="2">
        <v>2.0</v>
      </c>
      <c r="CJ371" s="2">
        <v>2.0</v>
      </c>
      <c r="CK371" s="2">
        <v>0.0</v>
      </c>
      <c r="CL371" s="2">
        <v>0.0</v>
      </c>
      <c r="CM371" s="2">
        <v>33.0</v>
      </c>
      <c r="CN371" s="2">
        <v>1.0</v>
      </c>
      <c r="CO371" s="2">
        <v>0.0</v>
      </c>
      <c r="CP371" s="2">
        <v>0.0</v>
      </c>
      <c r="CQ371" s="2">
        <v>2.0</v>
      </c>
      <c r="CR371" s="2">
        <v>0.0</v>
      </c>
      <c r="CS371" s="2">
        <v>0.0</v>
      </c>
      <c r="CT371" s="2">
        <v>0.0</v>
      </c>
      <c r="CU371" s="2">
        <v>0.0</v>
      </c>
      <c r="CV371" s="2">
        <v>0.0</v>
      </c>
      <c r="CW371" s="2">
        <v>0.0</v>
      </c>
      <c r="CX371" s="2">
        <v>0.0</v>
      </c>
      <c r="CY371" s="2">
        <v>0.0</v>
      </c>
      <c r="CZ371" s="2">
        <v>0.0</v>
      </c>
      <c r="DA371" s="2" t="s">
        <v>2202</v>
      </c>
      <c r="DD371" s="2">
        <v>66.0</v>
      </c>
      <c r="DE371" s="2">
        <v>0.0</v>
      </c>
      <c r="DF371" s="2">
        <v>0.0</v>
      </c>
      <c r="DG371" s="2">
        <v>3.0</v>
      </c>
      <c r="DH371" s="2">
        <v>3.0</v>
      </c>
      <c r="DI371" s="2">
        <v>0.0</v>
      </c>
      <c r="DJ371" s="2">
        <v>0.0</v>
      </c>
      <c r="DK371" s="2">
        <v>1.0</v>
      </c>
      <c r="DL371" s="2">
        <v>0.0</v>
      </c>
      <c r="DM371" s="2">
        <v>0.0</v>
      </c>
      <c r="DN371" s="2">
        <v>0.0</v>
      </c>
      <c r="DO371" s="2">
        <v>0.0</v>
      </c>
      <c r="DP371" s="2">
        <v>0.0</v>
      </c>
      <c r="DQ371" s="2">
        <v>4.0</v>
      </c>
      <c r="DR371" s="2">
        <v>0.0</v>
      </c>
      <c r="DS371" s="2">
        <v>50.0</v>
      </c>
      <c r="DT371" s="2">
        <v>181.0</v>
      </c>
      <c r="DU371" s="2">
        <v>1.0</v>
      </c>
      <c r="DV371" s="2">
        <v>1.0</v>
      </c>
      <c r="DW371" s="2">
        <v>0.0</v>
      </c>
      <c r="DX371" s="2">
        <v>1.0</v>
      </c>
      <c r="DY371" s="2">
        <v>1.0</v>
      </c>
      <c r="DZ371" s="2">
        <v>1.0</v>
      </c>
      <c r="EA371" s="2">
        <v>0.0</v>
      </c>
      <c r="EB371" s="2">
        <v>0.0</v>
      </c>
      <c r="EC371" s="2">
        <v>161.0</v>
      </c>
      <c r="EE371" s="2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2">
        <v>2025.0</v>
      </c>
      <c r="B372" s="2">
        <v>13.0</v>
      </c>
      <c r="C372" s="2" t="s">
        <v>202</v>
      </c>
      <c r="D372" s="2" t="s">
        <v>390</v>
      </c>
      <c r="E372" s="2" t="s">
        <v>982</v>
      </c>
      <c r="F372" s="2" t="s">
        <v>205</v>
      </c>
      <c r="G372" s="2">
        <v>20.0</v>
      </c>
      <c r="H372" s="2">
        <v>27.0</v>
      </c>
      <c r="I372" s="2">
        <v>256.0</v>
      </c>
      <c r="J372" s="2">
        <v>2.0</v>
      </c>
      <c r="K372" s="2">
        <v>0.0</v>
      </c>
      <c r="L372" s="2">
        <v>3.0</v>
      </c>
      <c r="M372" s="2">
        <v>-23.0</v>
      </c>
      <c r="N372" s="2">
        <v>0.0</v>
      </c>
      <c r="O372" s="2">
        <v>0.0</v>
      </c>
      <c r="P372" s="2">
        <v>170.0</v>
      </c>
      <c r="Q372" s="2">
        <v>109.0</v>
      </c>
      <c r="R372" s="2">
        <v>12.0</v>
      </c>
      <c r="S372" s="2">
        <v>9.08093650025356</v>
      </c>
      <c r="T372" s="2">
        <v>2.56145541314726</v>
      </c>
      <c r="U372" s="2">
        <v>0.0</v>
      </c>
      <c r="V372" s="2">
        <v>9.0</v>
      </c>
      <c r="W372" s="2">
        <v>7.0</v>
      </c>
      <c r="X372" s="2">
        <v>5.0</v>
      </c>
      <c r="Y372" s="2">
        <v>1.0</v>
      </c>
      <c r="Z372" s="2">
        <v>30.0</v>
      </c>
      <c r="AA372" s="2">
        <v>119.0</v>
      </c>
      <c r="AB372" s="2">
        <v>1.0</v>
      </c>
      <c r="AC372" s="2">
        <v>1.0</v>
      </c>
      <c r="AD372" s="2">
        <v>0.0</v>
      </c>
      <c r="AE372" s="2">
        <v>7.0</v>
      </c>
      <c r="AF372" s="2">
        <v>-6.75653416127898</v>
      </c>
      <c r="AG372" s="2">
        <v>0.0</v>
      </c>
      <c r="AH372" s="2">
        <v>5.0</v>
      </c>
      <c r="AI372" s="2">
        <v>5.0</v>
      </c>
      <c r="AJ372" s="2">
        <v>1.0</v>
      </c>
      <c r="AK372" s="2">
        <v>0.0</v>
      </c>
      <c r="AL372" s="2">
        <v>20.0</v>
      </c>
      <c r="AM372" s="2">
        <v>27.0</v>
      </c>
      <c r="AN372" s="2">
        <v>256.0</v>
      </c>
      <c r="AO372" s="2">
        <v>2.0</v>
      </c>
      <c r="AP372" s="2">
        <v>0.0</v>
      </c>
      <c r="AQ372" s="2">
        <v>0.0</v>
      </c>
      <c r="AR372" s="2">
        <v>170.0</v>
      </c>
      <c r="AS372" s="2">
        <v>109.0</v>
      </c>
      <c r="AT372" s="2">
        <v>12.0</v>
      </c>
      <c r="AU372" s="2">
        <v>13.4454628277454</v>
      </c>
      <c r="AV372" s="2">
        <v>0.0</v>
      </c>
      <c r="AW372" s="2">
        <v>9.0</v>
      </c>
      <c r="AX372" s="2">
        <v>7.0</v>
      </c>
      <c r="AY372" s="2">
        <v>5.0</v>
      </c>
      <c r="AZ372" s="2">
        <v>1.0</v>
      </c>
      <c r="BA372" s="2">
        <v>0.0</v>
      </c>
      <c r="BB372" s="2">
        <v>32.0</v>
      </c>
      <c r="BC372" s="2">
        <v>0.0</v>
      </c>
      <c r="BD372" s="2">
        <v>28.0</v>
      </c>
      <c r="BE372" s="2">
        <v>1.0</v>
      </c>
      <c r="BF372" s="2">
        <v>2.0</v>
      </c>
      <c r="BG372" s="2">
        <v>1.0</v>
      </c>
      <c r="BH372" s="2">
        <v>0.0</v>
      </c>
      <c r="BI372" s="2">
        <v>0.0</v>
      </c>
      <c r="BJ372" s="2">
        <v>2.0</v>
      </c>
      <c r="BK372" s="2">
        <v>0.0</v>
      </c>
      <c r="BL372" s="2">
        <v>0.0</v>
      </c>
      <c r="BM372" s="2">
        <v>5.0</v>
      </c>
      <c r="BN372" s="2">
        <v>0.0</v>
      </c>
      <c r="BO372" s="2">
        <v>0.0</v>
      </c>
      <c r="BP372" s="2">
        <v>0.0</v>
      </c>
      <c r="BQ372" s="2">
        <v>0.0</v>
      </c>
      <c r="BR372" s="2">
        <v>1.0</v>
      </c>
      <c r="BS372" s="2">
        <v>-9.0</v>
      </c>
      <c r="BT372" s="2">
        <v>0.0</v>
      </c>
      <c r="BU372" s="2">
        <v>0.0</v>
      </c>
      <c r="BV372" s="2">
        <v>0.0</v>
      </c>
      <c r="BW372" s="2">
        <v>5.0</v>
      </c>
      <c r="BX372" s="2">
        <v>22.0</v>
      </c>
      <c r="BY372" s="2">
        <v>5.0</v>
      </c>
      <c r="BZ372" s="2">
        <v>0.0</v>
      </c>
      <c r="CA372" s="2">
        <v>1.0</v>
      </c>
      <c r="CB372" s="2">
        <v>0.0</v>
      </c>
      <c r="CC372" s="2">
        <v>1.0</v>
      </c>
      <c r="CD372" s="2">
        <v>0.0</v>
      </c>
      <c r="CE372" s="2">
        <v>1.0</v>
      </c>
      <c r="CF372" s="2">
        <v>21.0</v>
      </c>
      <c r="CG372" s="2">
        <v>3.0</v>
      </c>
      <c r="CH372" s="2">
        <v>81.0</v>
      </c>
      <c r="CI372" s="2">
        <v>1.0</v>
      </c>
      <c r="CJ372" s="2">
        <v>1.0</v>
      </c>
      <c r="CK372" s="2">
        <v>0.0</v>
      </c>
      <c r="CL372" s="2">
        <v>0.0</v>
      </c>
      <c r="CM372" s="2">
        <v>31.0</v>
      </c>
      <c r="CN372" s="2">
        <v>1.0</v>
      </c>
      <c r="CO372" s="2">
        <v>0.0</v>
      </c>
      <c r="CP372" s="2">
        <v>0.0</v>
      </c>
      <c r="CQ372" s="2">
        <v>1.0</v>
      </c>
      <c r="CR372" s="2">
        <v>0.0</v>
      </c>
      <c r="CS372" s="2">
        <v>0.0</v>
      </c>
      <c r="CT372" s="2">
        <v>0.0</v>
      </c>
      <c r="CU372" s="2">
        <v>0.0</v>
      </c>
      <c r="CV372" s="2">
        <v>0.0</v>
      </c>
      <c r="CW372" s="2">
        <v>0.0</v>
      </c>
      <c r="CX372" s="2">
        <v>0.0</v>
      </c>
      <c r="CY372" s="2">
        <v>0.0</v>
      </c>
      <c r="CZ372" s="2">
        <v>0.0</v>
      </c>
      <c r="DA372" s="2" t="s">
        <v>1998</v>
      </c>
      <c r="DD372" s="2">
        <v>31.0</v>
      </c>
      <c r="DE372" s="2">
        <v>0.0</v>
      </c>
      <c r="DF372" s="2">
        <v>0.0</v>
      </c>
      <c r="DG372" s="2">
        <v>3.0</v>
      </c>
      <c r="DH372" s="2">
        <v>3.0</v>
      </c>
      <c r="DI372" s="2">
        <v>0.0</v>
      </c>
      <c r="DJ372" s="2">
        <v>0.0</v>
      </c>
      <c r="DK372" s="2">
        <v>1.0</v>
      </c>
      <c r="DL372" s="2">
        <v>0.0</v>
      </c>
      <c r="DM372" s="2">
        <v>0.0</v>
      </c>
      <c r="DN372" s="2">
        <v>0.0</v>
      </c>
      <c r="DO372" s="2">
        <v>0.0</v>
      </c>
      <c r="DP372" s="2">
        <v>0.0</v>
      </c>
      <c r="DQ372" s="2">
        <v>2.0</v>
      </c>
      <c r="DR372" s="2">
        <v>0.0</v>
      </c>
      <c r="DS372" s="2">
        <v>46.0</v>
      </c>
      <c r="DT372" s="2">
        <v>85.0</v>
      </c>
      <c r="DU372" s="2">
        <v>1.0</v>
      </c>
      <c r="DV372" s="2">
        <v>0.0</v>
      </c>
      <c r="DW372" s="2">
        <v>0.0</v>
      </c>
      <c r="DX372" s="2">
        <v>0.0</v>
      </c>
      <c r="DY372" s="2">
        <v>1.0</v>
      </c>
      <c r="DZ372" s="2">
        <v>1.0</v>
      </c>
      <c r="EA372" s="2">
        <v>2.0</v>
      </c>
      <c r="EB372" s="2">
        <v>0.0</v>
      </c>
      <c r="EC372" s="2">
        <v>83.0</v>
      </c>
      <c r="EE372" s="2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2">
        <v>2025.0</v>
      </c>
      <c r="B373" s="2">
        <v>13.0</v>
      </c>
      <c r="C373" s="2" t="s">
        <v>205</v>
      </c>
      <c r="D373" s="2" t="s">
        <v>390</v>
      </c>
      <c r="E373" s="2" t="s">
        <v>982</v>
      </c>
      <c r="F373" s="2" t="s">
        <v>202</v>
      </c>
      <c r="G373" s="2">
        <v>18.0</v>
      </c>
      <c r="H373" s="2">
        <v>30.0</v>
      </c>
      <c r="I373" s="2">
        <v>234.0</v>
      </c>
      <c r="J373" s="2">
        <v>4.0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343.0</v>
      </c>
      <c r="Q373" s="2">
        <v>39.0</v>
      </c>
      <c r="R373" s="2">
        <v>11.0</v>
      </c>
      <c r="S373" s="2">
        <v>16.350408765736</v>
      </c>
      <c r="T373" s="2">
        <v>0.853051707662385</v>
      </c>
      <c r="U373" s="2">
        <v>0.0</v>
      </c>
      <c r="V373" s="2">
        <v>7.0</v>
      </c>
      <c r="W373" s="2">
        <v>7.0</v>
      </c>
      <c r="X373" s="2">
        <v>4.0</v>
      </c>
      <c r="Y373" s="2">
        <v>1.0</v>
      </c>
      <c r="Z373" s="2">
        <v>30.0</v>
      </c>
      <c r="AA373" s="2">
        <v>125.0</v>
      </c>
      <c r="AB373" s="2">
        <v>0.0</v>
      </c>
      <c r="AC373" s="2">
        <v>0.0</v>
      </c>
      <c r="AD373" s="2">
        <v>0.0</v>
      </c>
      <c r="AE373" s="2">
        <v>5.0</v>
      </c>
      <c r="AF373" s="2">
        <v>-2.5498974857037</v>
      </c>
      <c r="AG373" s="2">
        <v>0.0</v>
      </c>
      <c r="AH373" s="2">
        <v>3.0</v>
      </c>
      <c r="AI373" s="2">
        <v>3.0</v>
      </c>
      <c r="AJ373" s="2">
        <v>1.0</v>
      </c>
      <c r="AK373" s="2">
        <v>0.0</v>
      </c>
      <c r="AL373" s="2">
        <v>18.0</v>
      </c>
      <c r="AM373" s="2">
        <v>29.0</v>
      </c>
      <c r="AN373" s="2">
        <v>234.0</v>
      </c>
      <c r="AO373" s="2">
        <v>4.0</v>
      </c>
      <c r="AP373" s="2">
        <v>1.0</v>
      </c>
      <c r="AQ373" s="2">
        <v>0.0</v>
      </c>
      <c r="AR373" s="2">
        <v>343.0</v>
      </c>
      <c r="AS373" s="2">
        <v>39.0</v>
      </c>
      <c r="AT373" s="2">
        <v>11.0</v>
      </c>
      <c r="AU373" s="2">
        <v>16.7234157301585</v>
      </c>
      <c r="AV373" s="2">
        <v>0.0</v>
      </c>
      <c r="AW373" s="2">
        <v>7.0</v>
      </c>
      <c r="AX373" s="2">
        <v>7.0</v>
      </c>
      <c r="AY373" s="2">
        <v>4.0</v>
      </c>
      <c r="AZ373" s="2">
        <v>1.0</v>
      </c>
      <c r="BA373" s="2">
        <v>0.0</v>
      </c>
      <c r="BB373" s="2">
        <v>34.0</v>
      </c>
      <c r="BC373" s="2">
        <v>3.0</v>
      </c>
      <c r="BD373" s="2">
        <v>35.0</v>
      </c>
      <c r="BE373" s="2">
        <v>7.0</v>
      </c>
      <c r="BF373" s="2">
        <v>31.0</v>
      </c>
      <c r="BG373" s="2">
        <v>0.0</v>
      </c>
      <c r="BH373" s="2">
        <v>3.0</v>
      </c>
      <c r="BI373" s="2">
        <v>23.0</v>
      </c>
      <c r="BJ373" s="2">
        <v>7.0</v>
      </c>
      <c r="BK373" s="2">
        <v>0.0</v>
      </c>
      <c r="BL373" s="2">
        <v>0.0</v>
      </c>
      <c r="BM373" s="2">
        <v>2.0</v>
      </c>
      <c r="BN373" s="2">
        <v>0.0</v>
      </c>
      <c r="BO373" s="2">
        <v>0.0</v>
      </c>
      <c r="BP373" s="2">
        <v>0.0</v>
      </c>
      <c r="BQ373" s="2">
        <v>0.0</v>
      </c>
      <c r="BR373" s="2">
        <v>2.0</v>
      </c>
      <c r="BS373" s="2">
        <v>0.0</v>
      </c>
      <c r="BT373" s="2">
        <v>0.0</v>
      </c>
      <c r="BU373" s="2">
        <v>0.0</v>
      </c>
      <c r="BV373" s="2">
        <v>0.0</v>
      </c>
      <c r="BW373" s="2">
        <v>3.0</v>
      </c>
      <c r="BX373" s="2">
        <v>20.0</v>
      </c>
      <c r="BY373" s="2">
        <v>4.0</v>
      </c>
      <c r="BZ373" s="2">
        <v>1.0</v>
      </c>
      <c r="CA373" s="2">
        <v>1.0</v>
      </c>
      <c r="CB373" s="2">
        <v>0.0</v>
      </c>
      <c r="CC373" s="2">
        <v>2.0</v>
      </c>
      <c r="CD373" s="2">
        <v>0.0</v>
      </c>
      <c r="CE373" s="2">
        <v>1.0</v>
      </c>
      <c r="CF373" s="2">
        <v>2.0</v>
      </c>
      <c r="CG373" s="2">
        <v>4.0</v>
      </c>
      <c r="CH373" s="2">
        <v>95.0</v>
      </c>
      <c r="CI373" s="2">
        <v>1.0</v>
      </c>
      <c r="CJ373" s="2">
        <v>1.0</v>
      </c>
      <c r="CK373" s="2">
        <v>0.0</v>
      </c>
      <c r="CL373" s="2">
        <v>0.0</v>
      </c>
      <c r="CM373" s="2">
        <v>45.0</v>
      </c>
      <c r="CN373" s="2">
        <v>1.0</v>
      </c>
      <c r="CO373" s="2">
        <v>0.0</v>
      </c>
      <c r="CP373" s="2">
        <v>0.0</v>
      </c>
      <c r="CQ373" s="2">
        <v>0.0</v>
      </c>
      <c r="CR373" s="2">
        <v>1.0</v>
      </c>
      <c r="CS373" s="2">
        <v>0.0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0.0</v>
      </c>
      <c r="CZ373" s="2">
        <v>0.0</v>
      </c>
      <c r="DA373" s="2" t="s">
        <v>1969</v>
      </c>
      <c r="DD373" s="2">
        <v>45.0</v>
      </c>
      <c r="DE373" s="2">
        <v>0.0</v>
      </c>
      <c r="DF373" s="2">
        <v>0.0</v>
      </c>
      <c r="DG373" s="2">
        <v>4.0</v>
      </c>
      <c r="DH373" s="2">
        <v>4.0</v>
      </c>
      <c r="DI373" s="2">
        <v>0.0</v>
      </c>
      <c r="DJ373" s="2">
        <v>0.0</v>
      </c>
      <c r="DK373" s="2">
        <v>1.0</v>
      </c>
      <c r="DL373" s="2">
        <v>0.0</v>
      </c>
      <c r="DM373" s="2">
        <v>0.0</v>
      </c>
      <c r="DN373" s="2">
        <v>0.0</v>
      </c>
      <c r="DO373" s="2">
        <v>0.0</v>
      </c>
      <c r="DP373" s="2">
        <v>0.0</v>
      </c>
      <c r="DQ373" s="2">
        <v>2.0</v>
      </c>
      <c r="DR373" s="2">
        <v>0.0</v>
      </c>
      <c r="DS373" s="2">
        <v>72.0</v>
      </c>
      <c r="DT373" s="2">
        <v>134.0</v>
      </c>
      <c r="DU373" s="2">
        <v>0.0</v>
      </c>
      <c r="DV373" s="2">
        <v>0.0</v>
      </c>
      <c r="DW373" s="2">
        <v>0.0</v>
      </c>
      <c r="DX373" s="2">
        <v>1.0</v>
      </c>
      <c r="DY373" s="2">
        <v>0.0</v>
      </c>
      <c r="DZ373" s="2">
        <v>1.0</v>
      </c>
      <c r="EA373" s="2">
        <v>21.0</v>
      </c>
      <c r="EB373" s="2">
        <v>0.0</v>
      </c>
      <c r="EC373" s="2">
        <v>93.0</v>
      </c>
      <c r="EE373" s="2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2">
        <v>2025.0</v>
      </c>
      <c r="B374" s="2">
        <v>13.0</v>
      </c>
      <c r="C374" s="2" t="s">
        <v>140</v>
      </c>
      <c r="D374" s="2" t="s">
        <v>390</v>
      </c>
      <c r="E374" s="2" t="s">
        <v>999</v>
      </c>
      <c r="F374" s="2" t="s">
        <v>210</v>
      </c>
      <c r="G374" s="2">
        <v>22.0</v>
      </c>
      <c r="H374" s="2">
        <v>35.0</v>
      </c>
      <c r="I374" s="2">
        <v>276.0</v>
      </c>
      <c r="J374" s="2">
        <v>0.0</v>
      </c>
      <c r="K374" s="2">
        <v>1.0</v>
      </c>
      <c r="L374" s="2">
        <v>2.0</v>
      </c>
      <c r="M374" s="2">
        <v>-20.0</v>
      </c>
      <c r="N374" s="2">
        <v>0.0</v>
      </c>
      <c r="O374" s="2">
        <v>0.0</v>
      </c>
      <c r="P374" s="2">
        <v>392.0</v>
      </c>
      <c r="Q374" s="2">
        <v>110.0</v>
      </c>
      <c r="R374" s="2">
        <v>14.0</v>
      </c>
      <c r="S374" s="2">
        <v>7.59568796006267</v>
      </c>
      <c r="T374" s="2">
        <v>6.04881113395095</v>
      </c>
      <c r="U374" s="2">
        <v>0.0</v>
      </c>
      <c r="V374" s="2">
        <v>14.0</v>
      </c>
      <c r="W374" s="2">
        <v>5.0</v>
      </c>
      <c r="X374" s="2">
        <v>4.0</v>
      </c>
      <c r="Y374" s="2">
        <v>0.0</v>
      </c>
      <c r="Z374" s="2">
        <v>34.0</v>
      </c>
      <c r="AA374" s="2">
        <v>108.0</v>
      </c>
      <c r="AB374" s="2">
        <v>2.0</v>
      </c>
      <c r="AC374" s="2">
        <v>1.0</v>
      </c>
      <c r="AD374" s="2">
        <v>0.0</v>
      </c>
      <c r="AE374" s="2">
        <v>7.0</v>
      </c>
      <c r="AF374" s="2">
        <v>-6.80802398148808</v>
      </c>
      <c r="AG374" s="2">
        <v>0.0</v>
      </c>
      <c r="AH374" s="2">
        <v>2.0</v>
      </c>
      <c r="AI374" s="2">
        <v>2.0</v>
      </c>
      <c r="AJ374" s="2">
        <v>0.0</v>
      </c>
      <c r="AK374" s="2">
        <v>0.0</v>
      </c>
      <c r="AL374" s="2">
        <v>22.0</v>
      </c>
      <c r="AM374" s="2">
        <v>32.0</v>
      </c>
      <c r="AN374" s="2">
        <v>276.0</v>
      </c>
      <c r="AO374" s="2">
        <v>0.0</v>
      </c>
      <c r="AP374" s="2">
        <v>0.0</v>
      </c>
      <c r="AQ374" s="2">
        <v>0.0</v>
      </c>
      <c r="AR374" s="2">
        <v>392.0</v>
      </c>
      <c r="AS374" s="2">
        <v>110.0</v>
      </c>
      <c r="AT374" s="2">
        <v>14.0</v>
      </c>
      <c r="AU374" s="2">
        <v>12.8571392976288</v>
      </c>
      <c r="AV374" s="2">
        <v>0.0</v>
      </c>
      <c r="AW374" s="2">
        <v>14.0</v>
      </c>
      <c r="AX374" s="2">
        <v>5.0</v>
      </c>
      <c r="AY374" s="2">
        <v>4.0</v>
      </c>
      <c r="AZ374" s="2">
        <v>0.0</v>
      </c>
      <c r="BA374" s="2">
        <v>0.0</v>
      </c>
      <c r="BB374" s="2">
        <v>25.0</v>
      </c>
      <c r="BC374" s="2">
        <v>2.0</v>
      </c>
      <c r="BD374" s="2">
        <v>32.0</v>
      </c>
      <c r="BE374" s="2">
        <v>5.0</v>
      </c>
      <c r="BF374" s="2">
        <v>15.0</v>
      </c>
      <c r="BG374" s="2">
        <v>0.0</v>
      </c>
      <c r="BH374" s="2">
        <v>1.0</v>
      </c>
      <c r="BI374" s="2">
        <v>6.0</v>
      </c>
      <c r="BJ374" s="2">
        <v>6.0</v>
      </c>
      <c r="BK374" s="2">
        <v>0.0</v>
      </c>
      <c r="BL374" s="2">
        <v>0.0</v>
      </c>
      <c r="BM374" s="2">
        <v>4.0</v>
      </c>
      <c r="BN374" s="2">
        <v>0.0</v>
      </c>
      <c r="BO374" s="2">
        <v>0.0</v>
      </c>
      <c r="BP374" s="2">
        <v>0.0</v>
      </c>
      <c r="BQ374" s="2">
        <v>0.0</v>
      </c>
      <c r="BR374" s="2">
        <v>1.0</v>
      </c>
      <c r="BS374" s="2">
        <v>0.0</v>
      </c>
      <c r="BT374" s="2">
        <v>0.0</v>
      </c>
      <c r="BU374" s="2">
        <v>0.0</v>
      </c>
      <c r="BV374" s="2">
        <v>0.0</v>
      </c>
      <c r="BW374" s="2">
        <v>9.0</v>
      </c>
      <c r="BX374" s="2">
        <v>85.0</v>
      </c>
      <c r="BY374" s="2">
        <v>5.0</v>
      </c>
      <c r="BZ374" s="2">
        <v>1.0</v>
      </c>
      <c r="CA374" s="2">
        <v>0.0</v>
      </c>
      <c r="CB374" s="2">
        <v>0.0</v>
      </c>
      <c r="CC374" s="2">
        <v>1.0</v>
      </c>
      <c r="CD374" s="2">
        <v>0.0</v>
      </c>
      <c r="CE374" s="2">
        <v>2.0</v>
      </c>
      <c r="CF374" s="2">
        <v>28.0</v>
      </c>
      <c r="CG374" s="2">
        <v>4.0</v>
      </c>
      <c r="CH374" s="2">
        <v>115.0</v>
      </c>
      <c r="CI374" s="2">
        <v>2.0</v>
      </c>
      <c r="CJ374" s="2">
        <v>2.0</v>
      </c>
      <c r="CK374" s="2">
        <v>0.0</v>
      </c>
      <c r="CL374" s="2">
        <v>0.0</v>
      </c>
      <c r="CM374" s="2">
        <v>43.0</v>
      </c>
      <c r="CN374" s="2">
        <v>1.0</v>
      </c>
      <c r="CO374" s="2">
        <v>0.0</v>
      </c>
      <c r="CP374" s="2">
        <v>1.0</v>
      </c>
      <c r="CQ374" s="2">
        <v>0.0</v>
      </c>
      <c r="CR374" s="2">
        <v>1.0</v>
      </c>
      <c r="CS374" s="2">
        <v>0.0</v>
      </c>
      <c r="CT374" s="2">
        <v>0.0</v>
      </c>
      <c r="CU374" s="2">
        <v>0.0</v>
      </c>
      <c r="CV374" s="2">
        <v>0.0</v>
      </c>
      <c r="CW374" s="2">
        <v>0.0</v>
      </c>
      <c r="CX374" s="2">
        <v>0.0</v>
      </c>
      <c r="CY374" s="2">
        <v>0.0</v>
      </c>
      <c r="CZ374" s="2">
        <v>0.0</v>
      </c>
      <c r="DA374" s="2" t="s">
        <v>2203</v>
      </c>
      <c r="DD374" s="2">
        <v>66.0</v>
      </c>
      <c r="DE374" s="2">
        <v>0.0</v>
      </c>
      <c r="DF374" s="2">
        <v>0.0</v>
      </c>
      <c r="DG374" s="2">
        <v>2.0</v>
      </c>
      <c r="DH374" s="2">
        <v>2.0</v>
      </c>
      <c r="DI374" s="2">
        <v>0.0</v>
      </c>
      <c r="DJ374" s="2">
        <v>0.0</v>
      </c>
      <c r="DK374" s="2">
        <v>1.0</v>
      </c>
      <c r="DL374" s="2">
        <v>0.0</v>
      </c>
      <c r="DM374" s="2">
        <v>0.0</v>
      </c>
      <c r="DN374" s="2">
        <v>0.0</v>
      </c>
      <c r="DO374" s="2">
        <v>0.0</v>
      </c>
      <c r="DP374" s="2">
        <v>0.0</v>
      </c>
      <c r="DQ374" s="2">
        <v>2.0</v>
      </c>
      <c r="DR374" s="2">
        <v>0.0</v>
      </c>
      <c r="DS374" s="2">
        <v>52.0</v>
      </c>
      <c r="DT374" s="2">
        <v>96.0</v>
      </c>
      <c r="DU374" s="2">
        <v>0.0</v>
      </c>
      <c r="DV374" s="2">
        <v>0.0</v>
      </c>
      <c r="DW374" s="2">
        <v>0.0</v>
      </c>
      <c r="DX374" s="2">
        <v>0.0</v>
      </c>
      <c r="DY374" s="2">
        <v>0.0</v>
      </c>
      <c r="DZ374" s="2">
        <v>2.0</v>
      </c>
      <c r="EA374" s="2">
        <v>14.0</v>
      </c>
      <c r="EB374" s="2">
        <v>0.0</v>
      </c>
      <c r="EC374" s="2">
        <v>82.0</v>
      </c>
      <c r="EE374" s="2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2">
        <v>2025.0</v>
      </c>
      <c r="B375" s="2">
        <v>13.0</v>
      </c>
      <c r="C375" s="2" t="s">
        <v>210</v>
      </c>
      <c r="D375" s="2" t="s">
        <v>390</v>
      </c>
      <c r="E375" s="2" t="s">
        <v>999</v>
      </c>
      <c r="F375" s="2" t="s">
        <v>140</v>
      </c>
      <c r="G375" s="2">
        <v>14.0</v>
      </c>
      <c r="H375" s="2">
        <v>27.0</v>
      </c>
      <c r="I375" s="2">
        <v>201.0</v>
      </c>
      <c r="J375" s="2">
        <v>2.0</v>
      </c>
      <c r="K375" s="2">
        <v>0.0</v>
      </c>
      <c r="L375" s="2">
        <v>1.0</v>
      </c>
      <c r="M375" s="2">
        <v>-6.0</v>
      </c>
      <c r="N375" s="2">
        <v>0.0</v>
      </c>
      <c r="O375" s="2">
        <v>0.0</v>
      </c>
      <c r="P375" s="2">
        <v>198.0</v>
      </c>
      <c r="Q375" s="2">
        <v>58.0</v>
      </c>
      <c r="R375" s="2">
        <v>9.0</v>
      </c>
      <c r="S375" s="2">
        <v>0.621025953071581</v>
      </c>
      <c r="T375" s="2">
        <v>-8.84944748878479</v>
      </c>
      <c r="U375" s="2">
        <v>0.0</v>
      </c>
      <c r="V375" s="2">
        <v>9.0</v>
      </c>
      <c r="W375" s="2">
        <v>6.0</v>
      </c>
      <c r="X375" s="2">
        <v>3.0</v>
      </c>
      <c r="Y375" s="2">
        <v>0.0</v>
      </c>
      <c r="Z375" s="2">
        <v>23.0</v>
      </c>
      <c r="AA375" s="2">
        <v>86.0</v>
      </c>
      <c r="AB375" s="2">
        <v>0.0</v>
      </c>
      <c r="AC375" s="2">
        <v>2.0</v>
      </c>
      <c r="AD375" s="2">
        <v>0.0</v>
      </c>
      <c r="AE375" s="2">
        <v>5.0</v>
      </c>
      <c r="AF375" s="2">
        <v>-6.55381028656848</v>
      </c>
      <c r="AG375" s="2">
        <v>0.0</v>
      </c>
      <c r="AH375" s="2">
        <v>4.0</v>
      </c>
      <c r="AI375" s="2">
        <v>2.0</v>
      </c>
      <c r="AJ375" s="2">
        <v>0.0</v>
      </c>
      <c r="AK375" s="2">
        <v>0.0</v>
      </c>
      <c r="AL375" s="2">
        <v>14.0</v>
      </c>
      <c r="AM375" s="2">
        <v>25.0</v>
      </c>
      <c r="AN375" s="2">
        <v>201.0</v>
      </c>
      <c r="AO375" s="2">
        <v>2.0</v>
      </c>
      <c r="AP375" s="2">
        <v>0.0</v>
      </c>
      <c r="AQ375" s="2">
        <v>0.0</v>
      </c>
      <c r="AR375" s="2">
        <v>198.0</v>
      </c>
      <c r="AS375" s="2">
        <v>58.0</v>
      </c>
      <c r="AT375" s="2">
        <v>9.0</v>
      </c>
      <c r="AU375" s="2">
        <v>4.4739706375193</v>
      </c>
      <c r="AV375" s="2">
        <v>0.0</v>
      </c>
      <c r="AW375" s="2">
        <v>9.0</v>
      </c>
      <c r="AX375" s="2">
        <v>6.0</v>
      </c>
      <c r="AY375" s="2">
        <v>3.0</v>
      </c>
      <c r="AZ375" s="2">
        <v>0.0</v>
      </c>
      <c r="BA375" s="2">
        <v>0.0</v>
      </c>
      <c r="BB375" s="2">
        <v>37.0</v>
      </c>
      <c r="BC375" s="2">
        <v>0.0</v>
      </c>
      <c r="BD375" s="2">
        <v>46.0</v>
      </c>
      <c r="BE375" s="2">
        <v>4.0</v>
      </c>
      <c r="BF375" s="2">
        <v>22.0</v>
      </c>
      <c r="BG375" s="2">
        <v>1.0</v>
      </c>
      <c r="BH375" s="2">
        <v>2.0</v>
      </c>
      <c r="BI375" s="2">
        <v>20.0</v>
      </c>
      <c r="BJ375" s="2">
        <v>5.0</v>
      </c>
      <c r="BK375" s="2">
        <v>1.0</v>
      </c>
      <c r="BL375" s="2">
        <v>0.0</v>
      </c>
      <c r="BM375" s="2">
        <v>5.0</v>
      </c>
      <c r="BN375" s="2">
        <v>0.0</v>
      </c>
      <c r="BO375" s="2">
        <v>0.0</v>
      </c>
      <c r="BP375" s="2">
        <v>0.0</v>
      </c>
      <c r="BQ375" s="2">
        <v>0.0</v>
      </c>
      <c r="BR375" s="2">
        <v>2.0</v>
      </c>
      <c r="BS375" s="2">
        <v>-2.0</v>
      </c>
      <c r="BT375" s="2">
        <v>0.0</v>
      </c>
      <c r="BU375" s="2">
        <v>0.0</v>
      </c>
      <c r="BV375" s="2">
        <v>0.0</v>
      </c>
      <c r="BW375" s="2">
        <v>5.0</v>
      </c>
      <c r="BX375" s="2">
        <v>33.0</v>
      </c>
      <c r="BY375" s="2">
        <v>4.0</v>
      </c>
      <c r="BZ375" s="2">
        <v>0.0</v>
      </c>
      <c r="CA375" s="2">
        <v>2.0</v>
      </c>
      <c r="CB375" s="2">
        <v>0.0</v>
      </c>
      <c r="CC375" s="2">
        <v>2.0</v>
      </c>
      <c r="CD375" s="2">
        <v>0.0</v>
      </c>
      <c r="CE375" s="2">
        <v>2.0</v>
      </c>
      <c r="CF375" s="2">
        <v>14.0</v>
      </c>
      <c r="CG375" s="2">
        <v>3.0</v>
      </c>
      <c r="CH375" s="2">
        <v>65.0</v>
      </c>
      <c r="CI375" s="2">
        <v>1.0</v>
      </c>
      <c r="CJ375" s="2">
        <v>1.0</v>
      </c>
      <c r="CK375" s="2">
        <v>0.0</v>
      </c>
      <c r="CL375" s="2">
        <v>0.0</v>
      </c>
      <c r="CM375" s="2">
        <v>42.0</v>
      </c>
      <c r="CN375" s="2">
        <v>1.0</v>
      </c>
      <c r="CO375" s="2">
        <v>0.0</v>
      </c>
      <c r="CP375" s="2">
        <v>0.0</v>
      </c>
      <c r="CQ375" s="2">
        <v>0.0</v>
      </c>
      <c r="CR375" s="2">
        <v>1.0</v>
      </c>
      <c r="CS375" s="2">
        <v>0.0</v>
      </c>
      <c r="CT375" s="2">
        <v>0.0</v>
      </c>
      <c r="CU375" s="2">
        <v>0.0</v>
      </c>
      <c r="CV375" s="2">
        <v>0.0</v>
      </c>
      <c r="CW375" s="2">
        <v>0.0</v>
      </c>
      <c r="CX375" s="2">
        <v>0.0</v>
      </c>
      <c r="CY375" s="2">
        <v>0.0</v>
      </c>
      <c r="CZ375" s="2">
        <v>0.0</v>
      </c>
      <c r="DA375" s="2" t="s">
        <v>1966</v>
      </c>
      <c r="DD375" s="2">
        <v>42.0</v>
      </c>
      <c r="DE375" s="2">
        <v>0.0</v>
      </c>
      <c r="DF375" s="2">
        <v>0.0</v>
      </c>
      <c r="DG375" s="2">
        <v>1.0</v>
      </c>
      <c r="DH375" s="2">
        <v>2.0</v>
      </c>
      <c r="DI375" s="2">
        <v>1.0</v>
      </c>
      <c r="DJ375" s="2">
        <v>0.0</v>
      </c>
      <c r="DK375" s="2">
        <v>0.5</v>
      </c>
      <c r="DL375" s="2">
        <v>0.0</v>
      </c>
      <c r="DM375" s="2">
        <v>0.0</v>
      </c>
      <c r="DN375" s="2">
        <v>0.0</v>
      </c>
      <c r="DO375" s="2">
        <v>0.0</v>
      </c>
      <c r="DP375" s="2">
        <v>0.0</v>
      </c>
      <c r="DQ375" s="2">
        <v>4.0</v>
      </c>
      <c r="DR375" s="2">
        <v>0.0</v>
      </c>
      <c r="DS375" s="2">
        <v>55.0</v>
      </c>
      <c r="DT375" s="2">
        <v>189.0</v>
      </c>
      <c r="DU375" s="2">
        <v>1.0</v>
      </c>
      <c r="DV375" s="2">
        <v>0.0</v>
      </c>
      <c r="DW375" s="2">
        <v>0.0</v>
      </c>
      <c r="DX375" s="2">
        <v>1.0</v>
      </c>
      <c r="DY375" s="2">
        <v>1.0</v>
      </c>
      <c r="DZ375" s="2">
        <v>2.0</v>
      </c>
      <c r="EA375" s="2">
        <v>28.0</v>
      </c>
      <c r="EB375" s="2">
        <v>0.0</v>
      </c>
      <c r="EC375" s="2">
        <v>141.0</v>
      </c>
      <c r="EE375" s="2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2">
        <v>2025.0</v>
      </c>
      <c r="B376" s="2">
        <v>13.0</v>
      </c>
      <c r="C376" s="2" t="s">
        <v>141</v>
      </c>
      <c r="D376" s="2" t="s">
        <v>390</v>
      </c>
      <c r="E376" s="2" t="s">
        <v>1007</v>
      </c>
      <c r="F376" s="2" t="s">
        <v>250</v>
      </c>
      <c r="G376" s="2">
        <v>16.0</v>
      </c>
      <c r="H376" s="2">
        <v>27.0</v>
      </c>
      <c r="I376" s="2">
        <v>229.0</v>
      </c>
      <c r="J376" s="2">
        <v>2.0</v>
      </c>
      <c r="K376" s="2">
        <v>0.0</v>
      </c>
      <c r="L376" s="2">
        <v>3.0</v>
      </c>
      <c r="M376" s="2">
        <v>-27.0</v>
      </c>
      <c r="N376" s="2">
        <v>0.0</v>
      </c>
      <c r="O376" s="2">
        <v>0.0</v>
      </c>
      <c r="P376" s="2">
        <v>270.0</v>
      </c>
      <c r="Q376" s="2">
        <v>92.0</v>
      </c>
      <c r="R376" s="2">
        <v>13.0</v>
      </c>
      <c r="S376" s="2">
        <v>4.86373667808948</v>
      </c>
      <c r="T376" s="2">
        <v>4.19954574108124</v>
      </c>
      <c r="U376" s="2">
        <v>0.0</v>
      </c>
      <c r="V376" s="2">
        <v>11.0</v>
      </c>
      <c r="W376" s="2">
        <v>4.0</v>
      </c>
      <c r="X376" s="2">
        <v>3.0</v>
      </c>
      <c r="Y376" s="2">
        <v>1.0</v>
      </c>
      <c r="Z376" s="2">
        <v>27.0</v>
      </c>
      <c r="AA376" s="2">
        <v>70.0</v>
      </c>
      <c r="AB376" s="2">
        <v>1.0</v>
      </c>
      <c r="AC376" s="2">
        <v>0.0</v>
      </c>
      <c r="AD376" s="2">
        <v>0.0</v>
      </c>
      <c r="AE376" s="2">
        <v>3.0</v>
      </c>
      <c r="AF376" s="2">
        <v>-7.66210578411119</v>
      </c>
      <c r="AG376" s="2">
        <v>1.0</v>
      </c>
      <c r="AH376" s="2">
        <v>1.0</v>
      </c>
      <c r="AI376" s="2">
        <v>1.0</v>
      </c>
      <c r="AJ376" s="2">
        <v>0.0</v>
      </c>
      <c r="AK376" s="2">
        <v>0.0</v>
      </c>
      <c r="AL376" s="2">
        <v>16.0</v>
      </c>
      <c r="AM376" s="2">
        <v>25.0</v>
      </c>
      <c r="AN376" s="2">
        <v>229.0</v>
      </c>
      <c r="AO376" s="2">
        <v>2.0</v>
      </c>
      <c r="AP376" s="2">
        <v>0.0</v>
      </c>
      <c r="AQ376" s="2">
        <v>0.0</v>
      </c>
      <c r="AR376" s="2">
        <v>270.0</v>
      </c>
      <c r="AS376" s="2">
        <v>92.0</v>
      </c>
      <c r="AT376" s="2">
        <v>13.0</v>
      </c>
      <c r="AU376" s="2">
        <v>12.4411100113648</v>
      </c>
      <c r="AV376" s="2">
        <v>0.0</v>
      </c>
      <c r="AW376" s="2">
        <v>11.0</v>
      </c>
      <c r="AX376" s="2">
        <v>4.0</v>
      </c>
      <c r="AY376" s="2">
        <v>3.0</v>
      </c>
      <c r="AZ376" s="2">
        <v>1.0</v>
      </c>
      <c r="BA376" s="2">
        <v>0.0</v>
      </c>
      <c r="BB376" s="2">
        <v>34.0</v>
      </c>
      <c r="BC376" s="2">
        <v>1.0</v>
      </c>
      <c r="BD376" s="2">
        <v>29.0</v>
      </c>
      <c r="BE376" s="2">
        <v>4.0</v>
      </c>
      <c r="BF376" s="2">
        <v>24.0</v>
      </c>
      <c r="BG376" s="2">
        <v>3.0</v>
      </c>
      <c r="BH376" s="2">
        <v>3.0</v>
      </c>
      <c r="BI376" s="2">
        <v>20.0</v>
      </c>
      <c r="BJ376" s="2">
        <v>5.0</v>
      </c>
      <c r="BK376" s="2">
        <v>0.0</v>
      </c>
      <c r="BL376" s="2">
        <v>0.0</v>
      </c>
      <c r="BM376" s="2">
        <v>3.0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2.0</v>
      </c>
      <c r="BU376" s="2">
        <v>0.0</v>
      </c>
      <c r="BV376" s="2">
        <v>0.0</v>
      </c>
      <c r="BW376" s="2">
        <v>13.0</v>
      </c>
      <c r="BX376" s="2">
        <v>98.0</v>
      </c>
      <c r="BY376" s="2">
        <v>3.0</v>
      </c>
      <c r="BZ376" s="2">
        <v>0.0</v>
      </c>
      <c r="CA376" s="2">
        <v>0.0</v>
      </c>
      <c r="CB376" s="2">
        <v>0.0</v>
      </c>
      <c r="CC376" s="2">
        <v>0.0</v>
      </c>
      <c r="CD376" s="2">
        <v>0.0</v>
      </c>
      <c r="CE376" s="2">
        <v>1.0</v>
      </c>
      <c r="CF376" s="2">
        <v>14.0</v>
      </c>
      <c r="CG376" s="2">
        <v>2.0</v>
      </c>
      <c r="CH376" s="2">
        <v>58.0</v>
      </c>
      <c r="CI376" s="2">
        <v>1.0</v>
      </c>
      <c r="CJ376" s="2">
        <v>1.0</v>
      </c>
      <c r="CK376" s="2">
        <v>0.0</v>
      </c>
      <c r="CL376" s="2">
        <v>0.0</v>
      </c>
      <c r="CM376" s="2">
        <v>45.0</v>
      </c>
      <c r="CN376" s="2">
        <v>1.0</v>
      </c>
      <c r="CO376" s="2">
        <v>0.0</v>
      </c>
      <c r="CP376" s="2">
        <v>0.0</v>
      </c>
      <c r="CQ376" s="2">
        <v>0.0</v>
      </c>
      <c r="CR376" s="2">
        <v>1.0</v>
      </c>
      <c r="CS376" s="2">
        <v>0.0</v>
      </c>
      <c r="CT376" s="2">
        <v>0.0</v>
      </c>
      <c r="CU376" s="2">
        <v>0.0</v>
      </c>
      <c r="CV376" s="2">
        <v>0.0</v>
      </c>
      <c r="CW376" s="2">
        <v>0.0</v>
      </c>
      <c r="CX376" s="2">
        <v>0.0</v>
      </c>
      <c r="CY376" s="2">
        <v>0.0</v>
      </c>
      <c r="CZ376" s="2">
        <v>0.0</v>
      </c>
      <c r="DA376" s="2" t="s">
        <v>1969</v>
      </c>
      <c r="DD376" s="2">
        <v>45.0</v>
      </c>
      <c r="DE376" s="2">
        <v>0.0</v>
      </c>
      <c r="DF376" s="2">
        <v>0.0</v>
      </c>
      <c r="DG376" s="2">
        <v>2.0</v>
      </c>
      <c r="DH376" s="2">
        <v>2.0</v>
      </c>
      <c r="DI376" s="2">
        <v>0.0</v>
      </c>
      <c r="DJ376" s="2">
        <v>0.0</v>
      </c>
      <c r="DK376" s="2">
        <v>1.0</v>
      </c>
      <c r="DL376" s="2">
        <v>0.0</v>
      </c>
      <c r="DM376" s="2">
        <v>0.0</v>
      </c>
      <c r="DN376" s="2">
        <v>0.0</v>
      </c>
      <c r="DO376" s="2">
        <v>0.0</v>
      </c>
      <c r="DP376" s="2">
        <v>0.0</v>
      </c>
      <c r="DQ376" s="2">
        <v>7.0</v>
      </c>
      <c r="DR376" s="2">
        <v>0.0</v>
      </c>
      <c r="DS376" s="2">
        <v>63.0</v>
      </c>
      <c r="DT376" s="2">
        <v>313.0</v>
      </c>
      <c r="DU376" s="2">
        <v>1.0</v>
      </c>
      <c r="DV376" s="2">
        <v>0.0</v>
      </c>
      <c r="DW376" s="2">
        <v>0.0</v>
      </c>
      <c r="DX376" s="2">
        <v>0.0</v>
      </c>
      <c r="DY376" s="2">
        <v>2.0</v>
      </c>
      <c r="DZ376" s="2">
        <v>5.0</v>
      </c>
      <c r="EA376" s="2">
        <v>76.0</v>
      </c>
      <c r="EB376" s="2">
        <v>0.0</v>
      </c>
      <c r="EC376" s="2">
        <v>237.0</v>
      </c>
      <c r="EE376" s="2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2">
        <v>2025.0</v>
      </c>
      <c r="B377" s="2">
        <v>13.0</v>
      </c>
      <c r="C377" s="2" t="s">
        <v>143</v>
      </c>
      <c r="D377" s="2" t="s">
        <v>390</v>
      </c>
      <c r="E377" s="2" t="s">
        <v>985</v>
      </c>
      <c r="F377" s="2" t="s">
        <v>146</v>
      </c>
      <c r="G377" s="2">
        <v>23.0</v>
      </c>
      <c r="H377" s="2">
        <v>34.0</v>
      </c>
      <c r="I377" s="2">
        <v>261.0</v>
      </c>
      <c r="J377" s="2">
        <v>4.0</v>
      </c>
      <c r="K377" s="2">
        <v>0.0</v>
      </c>
      <c r="L377" s="2">
        <v>3.0</v>
      </c>
      <c r="M377" s="2">
        <v>-18.0</v>
      </c>
      <c r="N377" s="2">
        <v>0.0</v>
      </c>
      <c r="O377" s="2">
        <v>0.0</v>
      </c>
      <c r="P377" s="2">
        <v>240.0</v>
      </c>
      <c r="Q377" s="2">
        <v>159.0</v>
      </c>
      <c r="R377" s="2">
        <v>12.0</v>
      </c>
      <c r="S377" s="2">
        <v>14.1576403275831</v>
      </c>
      <c r="T377" s="2">
        <v>4.74699530750513</v>
      </c>
      <c r="U377" s="2">
        <v>0.0</v>
      </c>
      <c r="V377" s="2">
        <v>11.0</v>
      </c>
      <c r="W377" s="2">
        <v>5.0</v>
      </c>
      <c r="X377" s="2">
        <v>5.0</v>
      </c>
      <c r="Y377" s="2">
        <v>1.0</v>
      </c>
      <c r="Z377" s="2">
        <v>23.0</v>
      </c>
      <c r="AA377" s="2">
        <v>119.0</v>
      </c>
      <c r="AB377" s="2">
        <v>0.0</v>
      </c>
      <c r="AC377" s="2">
        <v>1.0</v>
      </c>
      <c r="AD377" s="2">
        <v>0.0</v>
      </c>
      <c r="AE377" s="2">
        <v>7.0</v>
      </c>
      <c r="AF377" s="2">
        <v>0.8395814531832</v>
      </c>
      <c r="AG377" s="2">
        <v>0.0</v>
      </c>
      <c r="AH377" s="2">
        <v>4.0</v>
      </c>
      <c r="AI377" s="2">
        <v>3.0</v>
      </c>
      <c r="AJ377" s="2">
        <v>0.0</v>
      </c>
      <c r="AK377" s="2">
        <v>0.0</v>
      </c>
      <c r="AL377" s="2">
        <v>23.0</v>
      </c>
      <c r="AM377" s="2">
        <v>32.0</v>
      </c>
      <c r="AN377" s="2">
        <v>261.0</v>
      </c>
      <c r="AO377" s="2">
        <v>4.0</v>
      </c>
      <c r="AP377" s="2">
        <v>0.0</v>
      </c>
      <c r="AQ377" s="2">
        <v>0.0</v>
      </c>
      <c r="AR377" s="2">
        <v>240.0</v>
      </c>
      <c r="AS377" s="2">
        <v>159.0</v>
      </c>
      <c r="AT377" s="2">
        <v>12.0</v>
      </c>
      <c r="AU377" s="2">
        <v>19.1439252010314</v>
      </c>
      <c r="AV377" s="2">
        <v>0.0</v>
      </c>
      <c r="AW377" s="2">
        <v>11.0</v>
      </c>
      <c r="AX377" s="2">
        <v>5.0</v>
      </c>
      <c r="AY377" s="2">
        <v>5.0</v>
      </c>
      <c r="AZ377" s="2">
        <v>1.0</v>
      </c>
      <c r="BA377" s="2">
        <v>0.0</v>
      </c>
      <c r="BB377" s="2">
        <v>37.0</v>
      </c>
      <c r="BC377" s="2">
        <v>1.0</v>
      </c>
      <c r="BD377" s="2">
        <v>29.0</v>
      </c>
      <c r="BE377" s="2">
        <v>2.0</v>
      </c>
      <c r="BF377" s="2">
        <v>5.0</v>
      </c>
      <c r="BG377" s="2">
        <v>1.0</v>
      </c>
      <c r="BH377" s="2">
        <v>0.0</v>
      </c>
      <c r="BI377" s="2">
        <v>0.0</v>
      </c>
      <c r="BJ377" s="2">
        <v>6.0</v>
      </c>
      <c r="BK377" s="2">
        <v>1.0</v>
      </c>
      <c r="BL377" s="2">
        <v>14.0</v>
      </c>
      <c r="BM377" s="2">
        <v>6.0</v>
      </c>
      <c r="BN377" s="2">
        <v>0.0</v>
      </c>
      <c r="BO377" s="2">
        <v>0.0</v>
      </c>
      <c r="BP377" s="2">
        <v>0.0</v>
      </c>
      <c r="BQ377" s="2">
        <v>0.0</v>
      </c>
      <c r="BR377" s="2">
        <v>0.0</v>
      </c>
      <c r="BS377" s="2">
        <v>0.0</v>
      </c>
      <c r="BT377" s="2">
        <v>0.0</v>
      </c>
      <c r="BU377" s="2">
        <v>0.0</v>
      </c>
      <c r="BV377" s="2">
        <v>0.0</v>
      </c>
      <c r="BW377" s="2">
        <v>10.0</v>
      </c>
      <c r="BX377" s="2">
        <v>119.0</v>
      </c>
      <c r="BY377" s="2">
        <v>3.0</v>
      </c>
      <c r="BZ377" s="2">
        <v>1.0</v>
      </c>
      <c r="CA377" s="2">
        <v>0.0</v>
      </c>
      <c r="CB377" s="2">
        <v>1.0</v>
      </c>
      <c r="CC377" s="2">
        <v>1.0</v>
      </c>
      <c r="CD377" s="2">
        <v>0.0</v>
      </c>
      <c r="CE377" s="2">
        <v>1.0</v>
      </c>
      <c r="CF377" s="2">
        <v>10.0</v>
      </c>
      <c r="CG377" s="2">
        <v>7.0</v>
      </c>
      <c r="CH377" s="2">
        <v>174.0</v>
      </c>
      <c r="CI377" s="2">
        <v>0.0</v>
      </c>
      <c r="CJ377" s="2">
        <v>0.0</v>
      </c>
      <c r="CK377" s="2">
        <v>0.0</v>
      </c>
      <c r="CL377" s="2">
        <v>0.0</v>
      </c>
      <c r="CO377" s="2">
        <v>0.0</v>
      </c>
      <c r="CP377" s="2">
        <v>0.0</v>
      </c>
      <c r="CQ377" s="2">
        <v>0.0</v>
      </c>
      <c r="CR377" s="2">
        <v>0.0</v>
      </c>
      <c r="CS377" s="2">
        <v>0.0</v>
      </c>
      <c r="CT377" s="2">
        <v>0.0</v>
      </c>
      <c r="CU377" s="2">
        <v>0.0</v>
      </c>
      <c r="CV377" s="2">
        <v>0.0</v>
      </c>
      <c r="CW377" s="2">
        <v>0.0</v>
      </c>
      <c r="CX377" s="2">
        <v>0.0</v>
      </c>
      <c r="CY377" s="2">
        <v>0.0</v>
      </c>
      <c r="CZ377" s="2">
        <v>0.0</v>
      </c>
      <c r="DD377" s="2">
        <v>0.0</v>
      </c>
      <c r="DE377" s="2">
        <v>0.0</v>
      </c>
      <c r="DF377" s="2">
        <v>0.0</v>
      </c>
      <c r="DG377" s="2">
        <v>4.0</v>
      </c>
      <c r="DH377" s="2">
        <v>4.0</v>
      </c>
      <c r="DI377" s="2">
        <v>0.0</v>
      </c>
      <c r="DJ377" s="2">
        <v>0.0</v>
      </c>
      <c r="DK377" s="2">
        <v>1.0</v>
      </c>
      <c r="DL377" s="2">
        <v>0.0</v>
      </c>
      <c r="DM377" s="2">
        <v>0.0</v>
      </c>
      <c r="DN377" s="2">
        <v>0.0</v>
      </c>
      <c r="DO377" s="2">
        <v>0.0</v>
      </c>
      <c r="DP377" s="2">
        <v>0.0</v>
      </c>
      <c r="DQ377" s="2">
        <v>5.0</v>
      </c>
      <c r="DR377" s="2">
        <v>0.0</v>
      </c>
      <c r="DS377" s="2">
        <v>59.0</v>
      </c>
      <c r="DT377" s="2">
        <v>215.0</v>
      </c>
      <c r="DU377" s="2">
        <v>4.0</v>
      </c>
      <c r="DV377" s="2">
        <v>1.0</v>
      </c>
      <c r="DW377" s="2">
        <v>2.0</v>
      </c>
      <c r="DX377" s="2">
        <v>1.0</v>
      </c>
      <c r="DY377" s="2">
        <v>1.0</v>
      </c>
      <c r="DZ377" s="2">
        <v>0.0</v>
      </c>
      <c r="EA377" s="2">
        <v>0.0</v>
      </c>
      <c r="EB377" s="2">
        <v>0.0</v>
      </c>
      <c r="EC377" s="2">
        <v>195.0</v>
      </c>
      <c r="EE377" s="2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2">
        <v>2025.0</v>
      </c>
      <c r="B378" s="2">
        <v>13.0</v>
      </c>
      <c r="C378" s="2" t="s">
        <v>142</v>
      </c>
      <c r="D378" s="2" t="s">
        <v>390</v>
      </c>
      <c r="E378" s="2" t="s">
        <v>994</v>
      </c>
      <c r="F378" s="2" t="s">
        <v>189</v>
      </c>
      <c r="G378" s="2">
        <v>18.0</v>
      </c>
      <c r="H378" s="2">
        <v>28.0</v>
      </c>
      <c r="I378" s="2">
        <v>243.0</v>
      </c>
      <c r="J378" s="2">
        <v>2.0</v>
      </c>
      <c r="K378" s="2">
        <v>2.0</v>
      </c>
      <c r="L378" s="2">
        <v>2.0</v>
      </c>
      <c r="M378" s="2">
        <v>-16.0</v>
      </c>
      <c r="N378" s="2">
        <v>1.0</v>
      </c>
      <c r="O378" s="2">
        <v>1.0</v>
      </c>
      <c r="P378" s="2">
        <v>221.0</v>
      </c>
      <c r="Q378" s="2">
        <v>124.0</v>
      </c>
      <c r="R378" s="2">
        <v>12.0</v>
      </c>
      <c r="S378" s="2">
        <v>-3.5120697527309</v>
      </c>
      <c r="T378" s="2">
        <v>3.44520465091423</v>
      </c>
      <c r="U378" s="2">
        <v>0.0</v>
      </c>
      <c r="V378" s="2">
        <v>9.0</v>
      </c>
      <c r="W378" s="2">
        <v>4.0</v>
      </c>
      <c r="X378" s="2">
        <v>4.0</v>
      </c>
      <c r="Y378" s="2">
        <v>1.0</v>
      </c>
      <c r="Z378" s="2">
        <v>21.0</v>
      </c>
      <c r="AA378" s="2">
        <v>152.0</v>
      </c>
      <c r="AB378" s="2">
        <v>2.0</v>
      </c>
      <c r="AC378" s="2">
        <v>0.0</v>
      </c>
      <c r="AD378" s="2">
        <v>0.0</v>
      </c>
      <c r="AE378" s="2">
        <v>9.0</v>
      </c>
      <c r="AF378" s="2">
        <v>10.5030784749542</v>
      </c>
      <c r="AG378" s="2">
        <v>0.0</v>
      </c>
      <c r="AH378" s="2">
        <v>4.0</v>
      </c>
      <c r="AI378" s="2">
        <v>4.0</v>
      </c>
      <c r="AJ378" s="2">
        <v>1.0</v>
      </c>
      <c r="AK378" s="2">
        <v>0.0</v>
      </c>
      <c r="AL378" s="2">
        <v>18.0</v>
      </c>
      <c r="AM378" s="2">
        <v>27.0</v>
      </c>
      <c r="AN378" s="2">
        <v>243.0</v>
      </c>
      <c r="AO378" s="2">
        <v>2.0</v>
      </c>
      <c r="AP378" s="2">
        <v>0.0</v>
      </c>
      <c r="AQ378" s="2">
        <v>0.0</v>
      </c>
      <c r="AR378" s="2">
        <v>221.0</v>
      </c>
      <c r="AS378" s="2">
        <v>124.0</v>
      </c>
      <c r="AT378" s="2">
        <v>12.0</v>
      </c>
      <c r="AU378" s="2">
        <v>3.55359739804408</v>
      </c>
      <c r="AV378" s="2">
        <v>0.0</v>
      </c>
      <c r="AW378" s="2">
        <v>9.0</v>
      </c>
      <c r="AX378" s="2">
        <v>4.0</v>
      </c>
      <c r="AY378" s="2">
        <v>4.0</v>
      </c>
      <c r="AZ378" s="2">
        <v>1.0</v>
      </c>
      <c r="BA378" s="2">
        <v>0.0</v>
      </c>
      <c r="BB378" s="2">
        <v>39.0</v>
      </c>
      <c r="BC378" s="2">
        <v>1.0</v>
      </c>
      <c r="BD378" s="2">
        <v>35.0</v>
      </c>
      <c r="BE378" s="2">
        <v>3.0</v>
      </c>
      <c r="BF378" s="2">
        <v>13.0</v>
      </c>
      <c r="BG378" s="2">
        <v>0.0</v>
      </c>
      <c r="BH378" s="2">
        <v>2.0</v>
      </c>
      <c r="BI378" s="2">
        <v>12.0</v>
      </c>
      <c r="BJ378" s="2">
        <v>2.0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0.0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</v>
      </c>
      <c r="BV378" s="2">
        <v>0.0</v>
      </c>
      <c r="BW378" s="2">
        <v>1.0</v>
      </c>
      <c r="BX378" s="2">
        <v>5.0</v>
      </c>
      <c r="BY378" s="2">
        <v>5.0</v>
      </c>
      <c r="BZ378" s="2">
        <v>1.0</v>
      </c>
      <c r="CA378" s="2">
        <v>0.0</v>
      </c>
      <c r="CB378" s="2">
        <v>0.0</v>
      </c>
      <c r="CC378" s="2">
        <v>1.0</v>
      </c>
      <c r="CD378" s="2">
        <v>1.0</v>
      </c>
      <c r="CE378" s="2">
        <v>0.0</v>
      </c>
      <c r="CF378" s="2">
        <v>0.0</v>
      </c>
      <c r="CG378" s="2">
        <v>5.0</v>
      </c>
      <c r="CH378" s="2">
        <v>135.0</v>
      </c>
      <c r="CI378" s="2">
        <v>0.0</v>
      </c>
      <c r="CJ378" s="2">
        <v>0.0</v>
      </c>
      <c r="CK378" s="2">
        <v>0.0</v>
      </c>
      <c r="CL378" s="2">
        <v>0.0</v>
      </c>
      <c r="CO378" s="2">
        <v>0.0</v>
      </c>
      <c r="CP378" s="2">
        <v>0.0</v>
      </c>
      <c r="CQ378" s="2">
        <v>0.0</v>
      </c>
      <c r="CR378" s="2">
        <v>0.0</v>
      </c>
      <c r="CS378" s="2">
        <v>0.0</v>
      </c>
      <c r="CT378" s="2">
        <v>0.0</v>
      </c>
      <c r="CU378" s="2">
        <v>0.0</v>
      </c>
      <c r="CV378" s="2">
        <v>0.0</v>
      </c>
      <c r="CW378" s="2">
        <v>0.0</v>
      </c>
      <c r="CX378" s="2">
        <v>0.0</v>
      </c>
      <c r="CY378" s="2">
        <v>0.0</v>
      </c>
      <c r="CZ378" s="2">
        <v>0.0</v>
      </c>
      <c r="DD378" s="2">
        <v>0.0</v>
      </c>
      <c r="DE378" s="2">
        <v>0.0</v>
      </c>
      <c r="DF378" s="2">
        <v>0.0</v>
      </c>
      <c r="DG378" s="2">
        <v>4.0</v>
      </c>
      <c r="DH378" s="2">
        <v>4.0</v>
      </c>
      <c r="DI378" s="2">
        <v>0.0</v>
      </c>
      <c r="DJ378" s="2">
        <v>0.0</v>
      </c>
      <c r="DK378" s="2">
        <v>1.0</v>
      </c>
      <c r="DL378" s="2">
        <v>0.0</v>
      </c>
      <c r="DM378" s="2">
        <v>0.0</v>
      </c>
      <c r="DN378" s="2">
        <v>0.0</v>
      </c>
      <c r="DO378" s="2">
        <v>0.0</v>
      </c>
      <c r="DP378" s="2">
        <v>0.0</v>
      </c>
      <c r="DQ378" s="2">
        <v>1.0</v>
      </c>
      <c r="DR378" s="2">
        <v>0.0</v>
      </c>
      <c r="DS378" s="2">
        <v>56.0</v>
      </c>
      <c r="DT378" s="2">
        <v>56.0</v>
      </c>
      <c r="DU378" s="2">
        <v>0.0</v>
      </c>
      <c r="DV378" s="2">
        <v>0.0</v>
      </c>
      <c r="DW378" s="2">
        <v>0.0</v>
      </c>
      <c r="DX378" s="2">
        <v>0.0</v>
      </c>
      <c r="DY378" s="2">
        <v>0.0</v>
      </c>
      <c r="DZ378" s="2">
        <v>1.0</v>
      </c>
      <c r="EA378" s="2">
        <v>15.0</v>
      </c>
      <c r="EB378" s="2">
        <v>0.0</v>
      </c>
      <c r="EC378" s="2">
        <v>41.0</v>
      </c>
      <c r="EE378" s="2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2">
        <v>2025.0</v>
      </c>
      <c r="B379" s="2">
        <v>13.0</v>
      </c>
      <c r="C379" s="2" t="s">
        <v>220</v>
      </c>
      <c r="D379" s="2" t="s">
        <v>390</v>
      </c>
      <c r="E379" s="2" t="s">
        <v>1013</v>
      </c>
      <c r="F379" s="2" t="s">
        <v>222</v>
      </c>
      <c r="G379" s="2">
        <v>16.0</v>
      </c>
      <c r="H379" s="2">
        <v>21.0</v>
      </c>
      <c r="I379" s="2">
        <v>160.0</v>
      </c>
      <c r="J379" s="2">
        <v>2.0</v>
      </c>
      <c r="K379" s="2">
        <v>1.0</v>
      </c>
      <c r="L379" s="2">
        <v>3.0</v>
      </c>
      <c r="M379" s="2">
        <v>-11.0</v>
      </c>
      <c r="N379" s="2">
        <v>0.0</v>
      </c>
      <c r="O379" s="2">
        <v>0.0</v>
      </c>
      <c r="P379" s="2">
        <v>199.0</v>
      </c>
      <c r="Q379" s="2">
        <v>46.0</v>
      </c>
      <c r="R379" s="2">
        <v>11.0</v>
      </c>
      <c r="S379" s="2">
        <v>8.2194607562955</v>
      </c>
      <c r="T379" s="2">
        <v>11.456142720722</v>
      </c>
      <c r="U379" s="2">
        <v>0.0</v>
      </c>
      <c r="V379" s="2">
        <v>8.0</v>
      </c>
      <c r="W379" s="2">
        <v>2.0</v>
      </c>
      <c r="X379" s="2">
        <v>1.0</v>
      </c>
      <c r="Y379" s="2">
        <v>0.0</v>
      </c>
      <c r="Z379" s="2">
        <v>43.0</v>
      </c>
      <c r="AA379" s="2">
        <v>192.0</v>
      </c>
      <c r="AB379" s="2">
        <v>2.0</v>
      </c>
      <c r="AC379" s="2">
        <v>0.0</v>
      </c>
      <c r="AD379" s="2">
        <v>0.0</v>
      </c>
      <c r="AE379" s="2">
        <v>8.0</v>
      </c>
      <c r="AF379" s="2">
        <v>-1.35050220886478</v>
      </c>
      <c r="AG379" s="2">
        <v>0.0</v>
      </c>
      <c r="AH379" s="2">
        <v>2.0</v>
      </c>
      <c r="AI379" s="2">
        <v>2.0</v>
      </c>
      <c r="AJ379" s="2">
        <v>2.0</v>
      </c>
      <c r="AK379" s="2">
        <v>1.0</v>
      </c>
      <c r="AL379" s="2">
        <v>16.0</v>
      </c>
      <c r="AM379" s="2">
        <v>21.0</v>
      </c>
      <c r="AN379" s="2">
        <v>160.0</v>
      </c>
      <c r="AO379" s="2">
        <v>2.0</v>
      </c>
      <c r="AP379" s="2">
        <v>0.0</v>
      </c>
      <c r="AQ379" s="2">
        <v>0.0</v>
      </c>
      <c r="AR379" s="2">
        <v>199.0</v>
      </c>
      <c r="AS379" s="2">
        <v>46.0</v>
      </c>
      <c r="AT379" s="2">
        <v>11.0</v>
      </c>
      <c r="AU379" s="2">
        <v>12.1180857810063</v>
      </c>
      <c r="AV379" s="2">
        <v>0.0</v>
      </c>
      <c r="AW379" s="2">
        <v>8.0</v>
      </c>
      <c r="AX379" s="2">
        <v>2.0</v>
      </c>
      <c r="AY379" s="2">
        <v>1.0</v>
      </c>
      <c r="AZ379" s="2">
        <v>0.0</v>
      </c>
      <c r="BA379" s="2">
        <v>0.0</v>
      </c>
      <c r="BB379" s="2">
        <v>31.0</v>
      </c>
      <c r="BC379" s="2">
        <v>2.0</v>
      </c>
      <c r="BD379" s="2">
        <v>20.0</v>
      </c>
      <c r="BE379" s="2">
        <v>8.0</v>
      </c>
      <c r="BF379" s="2">
        <v>32.0</v>
      </c>
      <c r="BG379" s="2">
        <v>1.0</v>
      </c>
      <c r="BH379" s="2">
        <v>5.0</v>
      </c>
      <c r="BI379" s="2">
        <v>40.0</v>
      </c>
      <c r="BJ379" s="2">
        <v>9.0</v>
      </c>
      <c r="BK379" s="2">
        <v>1.0</v>
      </c>
      <c r="BL379" s="2">
        <v>0.0</v>
      </c>
      <c r="BM379" s="2">
        <v>5.0</v>
      </c>
      <c r="BN379" s="2">
        <v>0.0</v>
      </c>
      <c r="BO379" s="2">
        <v>0.0</v>
      </c>
      <c r="BP379" s="2">
        <v>0.0</v>
      </c>
      <c r="BQ379" s="2">
        <v>0.0</v>
      </c>
      <c r="BR379" s="2">
        <v>0.0</v>
      </c>
      <c r="BS379" s="2">
        <v>0.0</v>
      </c>
      <c r="BT379" s="2">
        <v>0.0</v>
      </c>
      <c r="BU379" s="2">
        <v>0.0</v>
      </c>
      <c r="BV379" s="2">
        <v>0.0</v>
      </c>
      <c r="BW379" s="2">
        <v>4.0</v>
      </c>
      <c r="BX379" s="2">
        <v>27.0</v>
      </c>
      <c r="BY379" s="2">
        <v>5.0</v>
      </c>
      <c r="BZ379" s="2">
        <v>0.0</v>
      </c>
      <c r="CA379" s="2">
        <v>0.0</v>
      </c>
      <c r="CB379" s="2">
        <v>0.0</v>
      </c>
      <c r="CC379" s="2">
        <v>0.0</v>
      </c>
      <c r="CD379" s="2">
        <v>0.0</v>
      </c>
      <c r="CE379" s="2">
        <v>2.0</v>
      </c>
      <c r="CF379" s="2">
        <v>18.0</v>
      </c>
      <c r="CG379" s="2">
        <v>3.0</v>
      </c>
      <c r="CH379" s="2">
        <v>88.0</v>
      </c>
      <c r="CI379" s="2">
        <v>1.0</v>
      </c>
      <c r="CJ379" s="2">
        <v>1.0</v>
      </c>
      <c r="CK379" s="2">
        <v>0.0</v>
      </c>
      <c r="CL379" s="2">
        <v>0.0</v>
      </c>
      <c r="CM379" s="2">
        <v>56.0</v>
      </c>
      <c r="CN379" s="2">
        <v>1.0</v>
      </c>
      <c r="CO379" s="2">
        <v>0.0</v>
      </c>
      <c r="CP379" s="2">
        <v>0.0</v>
      </c>
      <c r="CQ379" s="2">
        <v>0.0</v>
      </c>
      <c r="CR379" s="2">
        <v>0.0</v>
      </c>
      <c r="CS379" s="2">
        <v>1.0</v>
      </c>
      <c r="CT379" s="2">
        <v>0.0</v>
      </c>
      <c r="CU379" s="2">
        <v>0.0</v>
      </c>
      <c r="CV379" s="2">
        <v>0.0</v>
      </c>
      <c r="CW379" s="2">
        <v>0.0</v>
      </c>
      <c r="CX379" s="2">
        <v>0.0</v>
      </c>
      <c r="CY379" s="2">
        <v>0.0</v>
      </c>
      <c r="CZ379" s="2">
        <v>0.0</v>
      </c>
      <c r="DA379" s="2" t="s">
        <v>2007</v>
      </c>
      <c r="DD379" s="2">
        <v>56.0</v>
      </c>
      <c r="DE379" s="2">
        <v>0.0</v>
      </c>
      <c r="DF379" s="2">
        <v>0.0</v>
      </c>
      <c r="DG379" s="2">
        <v>4.0</v>
      </c>
      <c r="DH379" s="2">
        <v>4.0</v>
      </c>
      <c r="DI379" s="2">
        <v>0.0</v>
      </c>
      <c r="DJ379" s="2">
        <v>0.0</v>
      </c>
      <c r="DK379" s="2">
        <v>1.0</v>
      </c>
      <c r="DL379" s="2">
        <v>0.0</v>
      </c>
      <c r="DM379" s="2">
        <v>0.0</v>
      </c>
      <c r="DN379" s="2">
        <v>0.0</v>
      </c>
      <c r="DO379" s="2">
        <v>0.0</v>
      </c>
      <c r="DP379" s="2">
        <v>0.0</v>
      </c>
      <c r="DQ379" s="2">
        <v>2.0</v>
      </c>
      <c r="DR379" s="2">
        <v>0.0</v>
      </c>
      <c r="DS379" s="2">
        <v>58.0</v>
      </c>
      <c r="DT379" s="2">
        <v>115.0</v>
      </c>
      <c r="DU379" s="2">
        <v>0.0</v>
      </c>
      <c r="DV379" s="2">
        <v>0.0</v>
      </c>
      <c r="DW379" s="2">
        <v>0.0</v>
      </c>
      <c r="DX379" s="2">
        <v>1.0</v>
      </c>
      <c r="DY379" s="2">
        <v>0.0</v>
      </c>
      <c r="DZ379" s="2">
        <v>1.0</v>
      </c>
      <c r="EA379" s="2">
        <v>2.0</v>
      </c>
      <c r="EB379" s="2">
        <v>0.0</v>
      </c>
      <c r="EC379" s="2">
        <v>93.0</v>
      </c>
      <c r="EE379" s="2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2">
        <v>2025.0</v>
      </c>
      <c r="B380" s="2">
        <v>13.0</v>
      </c>
      <c r="C380" s="2" t="s">
        <v>222</v>
      </c>
      <c r="D380" s="2" t="s">
        <v>390</v>
      </c>
      <c r="E380" s="2" t="s">
        <v>1013</v>
      </c>
      <c r="F380" s="2" t="s">
        <v>220</v>
      </c>
      <c r="G380" s="2">
        <v>18.0</v>
      </c>
      <c r="H380" s="2">
        <v>23.0</v>
      </c>
      <c r="I380" s="2">
        <v>165.0</v>
      </c>
      <c r="J380" s="2">
        <v>2.0</v>
      </c>
      <c r="K380" s="2">
        <v>1.0</v>
      </c>
      <c r="L380" s="2">
        <v>5.0</v>
      </c>
      <c r="M380" s="2">
        <v>-40.0</v>
      </c>
      <c r="N380" s="2">
        <v>1.0</v>
      </c>
      <c r="O380" s="2">
        <v>0.0</v>
      </c>
      <c r="P380" s="2">
        <v>75.0</v>
      </c>
      <c r="Q380" s="2">
        <v>110.0</v>
      </c>
      <c r="R380" s="2">
        <v>9.0</v>
      </c>
      <c r="S380" s="2">
        <v>-2.13561533126631</v>
      </c>
      <c r="T380" s="2">
        <v>12.1571995995261</v>
      </c>
      <c r="U380" s="2">
        <v>0.0</v>
      </c>
      <c r="V380" s="2">
        <v>5.0</v>
      </c>
      <c r="W380" s="2">
        <v>3.0</v>
      </c>
      <c r="X380" s="2">
        <v>2.0</v>
      </c>
      <c r="Y380" s="2">
        <v>0.0</v>
      </c>
      <c r="Z380" s="2">
        <v>18.0</v>
      </c>
      <c r="AA380" s="2">
        <v>31.0</v>
      </c>
      <c r="AB380" s="2">
        <v>0.0</v>
      </c>
      <c r="AC380" s="2">
        <v>0.0</v>
      </c>
      <c r="AD380" s="2">
        <v>0.0</v>
      </c>
      <c r="AE380" s="2">
        <v>1.0</v>
      </c>
      <c r="AF380" s="2">
        <v>-12.7858563618211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18.0</v>
      </c>
      <c r="AM380" s="2">
        <v>22.0</v>
      </c>
      <c r="AN380" s="2">
        <v>165.0</v>
      </c>
      <c r="AO380" s="2">
        <v>2.0</v>
      </c>
      <c r="AP380" s="2">
        <v>0.0</v>
      </c>
      <c r="AQ380" s="2">
        <v>0.0</v>
      </c>
      <c r="AR380" s="2">
        <v>75.0</v>
      </c>
      <c r="AS380" s="2">
        <v>110.0</v>
      </c>
      <c r="AT380" s="2">
        <v>9.0</v>
      </c>
      <c r="AU380" s="2">
        <v>9.12928022452979</v>
      </c>
      <c r="AV380" s="2">
        <v>0.0</v>
      </c>
      <c r="AW380" s="2">
        <v>5.0</v>
      </c>
      <c r="AX380" s="2">
        <v>3.0</v>
      </c>
      <c r="AY380" s="2">
        <v>2.0</v>
      </c>
      <c r="AZ380" s="2">
        <v>0.0</v>
      </c>
      <c r="BA380" s="2">
        <v>0.0</v>
      </c>
      <c r="BB380" s="2">
        <v>40.0</v>
      </c>
      <c r="BC380" s="2">
        <v>2.0</v>
      </c>
      <c r="BD380" s="2">
        <v>36.0</v>
      </c>
      <c r="BE380" s="2">
        <v>7.0</v>
      </c>
      <c r="BF380" s="2">
        <v>16.0</v>
      </c>
      <c r="BG380" s="2">
        <v>0.0</v>
      </c>
      <c r="BH380" s="2">
        <v>3.0</v>
      </c>
      <c r="BI380" s="2">
        <v>11.0</v>
      </c>
      <c r="BJ380" s="2">
        <v>4.0</v>
      </c>
      <c r="BK380" s="2">
        <v>1.0</v>
      </c>
      <c r="BL380" s="2">
        <v>0.0</v>
      </c>
      <c r="BM380" s="2">
        <v>1.0</v>
      </c>
      <c r="BN380" s="2">
        <v>0.0</v>
      </c>
      <c r="BO380" s="2">
        <v>0.0</v>
      </c>
      <c r="BP380" s="2">
        <v>0.0</v>
      </c>
      <c r="BQ380" s="2">
        <v>0.0</v>
      </c>
      <c r="BR380" s="2">
        <v>1.0</v>
      </c>
      <c r="BS380" s="2">
        <v>0.0</v>
      </c>
      <c r="BT380" s="2">
        <v>0.0</v>
      </c>
      <c r="BU380" s="2">
        <v>0.0</v>
      </c>
      <c r="BV380" s="2">
        <v>0.0</v>
      </c>
      <c r="BW380" s="2">
        <v>4.0</v>
      </c>
      <c r="BX380" s="2">
        <v>50.0</v>
      </c>
      <c r="BY380" s="2">
        <v>6.0</v>
      </c>
      <c r="BZ380" s="2">
        <v>1.0</v>
      </c>
      <c r="CA380" s="2">
        <v>0.0</v>
      </c>
      <c r="CB380" s="2">
        <v>0.0</v>
      </c>
      <c r="CC380" s="2">
        <v>1.0</v>
      </c>
      <c r="CD380" s="2">
        <v>0.0</v>
      </c>
      <c r="CE380" s="2">
        <v>1.0</v>
      </c>
      <c r="CF380" s="2">
        <v>2.0</v>
      </c>
      <c r="CG380" s="2">
        <v>4.0</v>
      </c>
      <c r="CH380" s="2">
        <v>108.0</v>
      </c>
      <c r="CI380" s="2">
        <v>0.0</v>
      </c>
      <c r="CJ380" s="2">
        <v>0.0</v>
      </c>
      <c r="CK380" s="2">
        <v>0.0</v>
      </c>
      <c r="CL380" s="2">
        <v>0.0</v>
      </c>
      <c r="CO380" s="2">
        <v>0.0</v>
      </c>
      <c r="CP380" s="2">
        <v>0.0</v>
      </c>
      <c r="CQ380" s="2">
        <v>0.0</v>
      </c>
      <c r="CR380" s="2">
        <v>0.0</v>
      </c>
      <c r="CS380" s="2">
        <v>0.0</v>
      </c>
      <c r="CT380" s="2">
        <v>0.0</v>
      </c>
      <c r="CU380" s="2">
        <v>0.0</v>
      </c>
      <c r="CV380" s="2">
        <v>0.0</v>
      </c>
      <c r="CW380" s="2">
        <v>0.0</v>
      </c>
      <c r="CX380" s="2">
        <v>0.0</v>
      </c>
      <c r="CY380" s="2">
        <v>0.0</v>
      </c>
      <c r="CZ380" s="2">
        <v>0.0</v>
      </c>
      <c r="DD380" s="2">
        <v>0.0</v>
      </c>
      <c r="DE380" s="2">
        <v>0.0</v>
      </c>
      <c r="DF380" s="2">
        <v>0.0</v>
      </c>
      <c r="DG380" s="2">
        <v>2.0</v>
      </c>
      <c r="DH380" s="2">
        <v>2.0</v>
      </c>
      <c r="DI380" s="2">
        <v>0.0</v>
      </c>
      <c r="DJ380" s="2">
        <v>0.0</v>
      </c>
      <c r="DK380" s="2">
        <v>1.0</v>
      </c>
      <c r="DL380" s="2">
        <v>0.0</v>
      </c>
      <c r="DM380" s="2">
        <v>0.0</v>
      </c>
      <c r="DN380" s="2">
        <v>0.0</v>
      </c>
      <c r="DO380" s="2">
        <v>0.0</v>
      </c>
      <c r="DP380" s="2">
        <v>0.0</v>
      </c>
      <c r="DQ380" s="2">
        <v>4.0</v>
      </c>
      <c r="DR380" s="2">
        <v>0.0</v>
      </c>
      <c r="DS380" s="2">
        <v>51.0</v>
      </c>
      <c r="DT380" s="2">
        <v>186.0</v>
      </c>
      <c r="DU380" s="2">
        <v>2.0</v>
      </c>
      <c r="DV380" s="2">
        <v>1.0</v>
      </c>
      <c r="DW380" s="2">
        <v>0.0</v>
      </c>
      <c r="DX380" s="2">
        <v>0.0</v>
      </c>
      <c r="DY380" s="2">
        <v>1.0</v>
      </c>
      <c r="DZ380" s="2">
        <v>2.0</v>
      </c>
      <c r="EA380" s="2">
        <v>18.0</v>
      </c>
      <c r="EB380" s="2">
        <v>0.0</v>
      </c>
      <c r="EC380" s="2">
        <v>168.0</v>
      </c>
      <c r="EE380" s="2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2">
        <v>2025.0</v>
      </c>
      <c r="B381" s="2">
        <v>13.0</v>
      </c>
      <c r="C381" s="2" t="s">
        <v>225</v>
      </c>
      <c r="D381" s="2" t="s">
        <v>390</v>
      </c>
      <c r="E381" s="2" t="s">
        <v>1001</v>
      </c>
      <c r="F381" s="2" t="s">
        <v>232</v>
      </c>
      <c r="G381" s="2">
        <v>12.0</v>
      </c>
      <c r="H381" s="2">
        <v>23.0</v>
      </c>
      <c r="I381" s="2">
        <v>157.0</v>
      </c>
      <c r="J381" s="2">
        <v>0.0</v>
      </c>
      <c r="K381" s="2">
        <v>1.0</v>
      </c>
      <c r="L381" s="2">
        <v>4.0</v>
      </c>
      <c r="M381" s="2">
        <v>-23.0</v>
      </c>
      <c r="N381" s="2">
        <v>0.0</v>
      </c>
      <c r="O381" s="2">
        <v>0.0</v>
      </c>
      <c r="P381" s="2">
        <v>232.0</v>
      </c>
      <c r="Q381" s="2">
        <v>80.0</v>
      </c>
      <c r="R381" s="2">
        <v>8.0</v>
      </c>
      <c r="S381" s="2">
        <v>-8.0471625463311</v>
      </c>
      <c r="T381" s="2">
        <v>-1.27180069684982</v>
      </c>
      <c r="U381" s="2">
        <v>0.0</v>
      </c>
      <c r="V381" s="2">
        <v>7.0</v>
      </c>
      <c r="W381" s="2">
        <v>5.0</v>
      </c>
      <c r="X381" s="2">
        <v>3.0</v>
      </c>
      <c r="Y381" s="2">
        <v>0.0</v>
      </c>
      <c r="Z381" s="2">
        <v>32.0</v>
      </c>
      <c r="AA381" s="2">
        <v>164.0</v>
      </c>
      <c r="AB381" s="2">
        <v>1.0</v>
      </c>
      <c r="AC381" s="2">
        <v>0.0</v>
      </c>
      <c r="AD381" s="2">
        <v>0.0</v>
      </c>
      <c r="AE381" s="2">
        <v>8.0</v>
      </c>
      <c r="AF381" s="2">
        <v>0.785125222755596</v>
      </c>
      <c r="AG381" s="2">
        <v>0.0</v>
      </c>
      <c r="AH381" s="2">
        <v>3.0</v>
      </c>
      <c r="AI381" s="2">
        <v>2.0</v>
      </c>
      <c r="AJ381" s="2">
        <v>1.0</v>
      </c>
      <c r="AK381" s="2">
        <v>0.0</v>
      </c>
      <c r="AL381" s="2">
        <v>12.0</v>
      </c>
      <c r="AM381" s="2">
        <v>20.0</v>
      </c>
      <c r="AN381" s="2">
        <v>157.0</v>
      </c>
      <c r="AO381" s="2">
        <v>0.0</v>
      </c>
      <c r="AP381" s="2">
        <v>0.0</v>
      </c>
      <c r="AQ381" s="2">
        <v>0.0</v>
      </c>
      <c r="AR381" s="2">
        <v>232.0</v>
      </c>
      <c r="AS381" s="2">
        <v>80.0</v>
      </c>
      <c r="AT381" s="2">
        <v>8.0</v>
      </c>
      <c r="AU381" s="2">
        <v>-0.459437638293071</v>
      </c>
      <c r="AV381" s="2">
        <v>0.0</v>
      </c>
      <c r="AW381" s="2">
        <v>7.0</v>
      </c>
      <c r="AX381" s="2">
        <v>5.0</v>
      </c>
      <c r="AY381" s="2">
        <v>3.0</v>
      </c>
      <c r="AZ381" s="2">
        <v>0.0</v>
      </c>
      <c r="BA381" s="2">
        <v>0.0</v>
      </c>
      <c r="BB381" s="2">
        <v>41.0</v>
      </c>
      <c r="BC381" s="2">
        <v>1.0</v>
      </c>
      <c r="BD381" s="2">
        <v>37.0</v>
      </c>
      <c r="BE381" s="2">
        <v>5.0</v>
      </c>
      <c r="BF381" s="2">
        <v>23.0</v>
      </c>
      <c r="BG381" s="2">
        <v>1.0</v>
      </c>
      <c r="BH381" s="2">
        <v>4.0</v>
      </c>
      <c r="BI381" s="2">
        <v>26.0</v>
      </c>
      <c r="BJ381" s="2">
        <v>8.0</v>
      </c>
      <c r="BK381" s="2">
        <v>1.0</v>
      </c>
      <c r="BL381" s="2">
        <v>38.0</v>
      </c>
      <c r="BM381" s="2">
        <v>6.0</v>
      </c>
      <c r="BN381" s="2">
        <v>0.0</v>
      </c>
      <c r="BO381" s="2">
        <v>0.0</v>
      </c>
      <c r="BP381" s="2">
        <v>0.0</v>
      </c>
      <c r="BQ381" s="2">
        <v>0.0</v>
      </c>
      <c r="BR381" s="2">
        <v>1.0</v>
      </c>
      <c r="BS381" s="2">
        <v>0.0</v>
      </c>
      <c r="BT381" s="2">
        <v>1.0</v>
      </c>
      <c r="BU381" s="2">
        <v>5.0</v>
      </c>
      <c r="BV381" s="2">
        <v>0.0</v>
      </c>
      <c r="BW381" s="2">
        <v>3.0</v>
      </c>
      <c r="BX381" s="2">
        <v>15.0</v>
      </c>
      <c r="BY381" s="2">
        <v>5.0</v>
      </c>
      <c r="BZ381" s="2">
        <v>0.0</v>
      </c>
      <c r="CA381" s="2">
        <v>1.0</v>
      </c>
      <c r="CB381" s="2">
        <v>0.0</v>
      </c>
      <c r="CC381" s="2">
        <v>1.0</v>
      </c>
      <c r="CD381" s="2">
        <v>0.0</v>
      </c>
      <c r="CE381" s="2">
        <v>1.0</v>
      </c>
      <c r="CF381" s="2">
        <v>5.0</v>
      </c>
      <c r="CG381" s="2">
        <v>2.0</v>
      </c>
      <c r="CH381" s="2">
        <v>45.0</v>
      </c>
      <c r="CI381" s="2">
        <v>4.0</v>
      </c>
      <c r="CJ381" s="2">
        <v>4.0</v>
      </c>
      <c r="CK381" s="2">
        <v>0.0</v>
      </c>
      <c r="CL381" s="2">
        <v>0.0</v>
      </c>
      <c r="CM381" s="2">
        <v>48.0</v>
      </c>
      <c r="CN381" s="2">
        <v>1.0</v>
      </c>
      <c r="CO381" s="2">
        <v>0.0</v>
      </c>
      <c r="CP381" s="2">
        <v>1.0</v>
      </c>
      <c r="CQ381" s="2">
        <v>2.0</v>
      </c>
      <c r="CR381" s="2">
        <v>1.0</v>
      </c>
      <c r="CS381" s="2">
        <v>0.0</v>
      </c>
      <c r="CT381" s="2">
        <v>0.0</v>
      </c>
      <c r="CU381" s="2">
        <v>0.0</v>
      </c>
      <c r="CV381" s="2">
        <v>0.0</v>
      </c>
      <c r="CW381" s="2">
        <v>0.0</v>
      </c>
      <c r="CX381" s="2">
        <v>0.0</v>
      </c>
      <c r="CY381" s="2">
        <v>0.0</v>
      </c>
      <c r="CZ381" s="2">
        <v>0.0</v>
      </c>
      <c r="DA381" s="2" t="s">
        <v>2204</v>
      </c>
      <c r="DD381" s="2">
        <v>145.0</v>
      </c>
      <c r="DE381" s="2">
        <v>0.0</v>
      </c>
      <c r="DF381" s="2">
        <v>0.0</v>
      </c>
      <c r="DG381" s="2">
        <v>1.0</v>
      </c>
      <c r="DH381" s="2">
        <v>1.0</v>
      </c>
      <c r="DI381" s="2">
        <v>0.0</v>
      </c>
      <c r="DJ381" s="2">
        <v>0.0</v>
      </c>
      <c r="DK381" s="2">
        <v>1.0</v>
      </c>
      <c r="DL381" s="2">
        <v>0.0</v>
      </c>
      <c r="DM381" s="2">
        <v>0.0</v>
      </c>
      <c r="DN381" s="2">
        <v>0.0</v>
      </c>
      <c r="DO381" s="2">
        <v>0.0</v>
      </c>
      <c r="DP381" s="2">
        <v>0.0</v>
      </c>
      <c r="DQ381" s="2">
        <v>4.0</v>
      </c>
      <c r="DR381" s="2">
        <v>0.0</v>
      </c>
      <c r="DS381" s="2">
        <v>54.0</v>
      </c>
      <c r="DT381" s="2">
        <v>201.0</v>
      </c>
      <c r="DU381" s="2">
        <v>2.0</v>
      </c>
      <c r="DV381" s="2">
        <v>0.0</v>
      </c>
      <c r="DW381" s="2">
        <v>0.0</v>
      </c>
      <c r="DX381" s="2">
        <v>0.0</v>
      </c>
      <c r="DY381" s="2">
        <v>2.0</v>
      </c>
      <c r="DZ381" s="2">
        <v>2.0</v>
      </c>
      <c r="EA381" s="2">
        <v>12.0</v>
      </c>
      <c r="EB381" s="2">
        <v>0.0</v>
      </c>
      <c r="EC381" s="2">
        <v>189.0</v>
      </c>
      <c r="EE381" s="2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2">
        <v>2025.0</v>
      </c>
      <c r="B382" s="2">
        <v>13.0</v>
      </c>
      <c r="C382" s="2" t="s">
        <v>144</v>
      </c>
      <c r="D382" s="2" t="s">
        <v>390</v>
      </c>
      <c r="E382" s="2" t="s">
        <v>1009</v>
      </c>
      <c r="F382" s="2" t="s">
        <v>149</v>
      </c>
      <c r="G382" s="2">
        <v>19.0</v>
      </c>
      <c r="H382" s="2">
        <v>30.0</v>
      </c>
      <c r="I382" s="2">
        <v>126.0</v>
      </c>
      <c r="J382" s="2">
        <v>0.0</v>
      </c>
      <c r="K382" s="2">
        <v>4.0</v>
      </c>
      <c r="L382" s="2">
        <v>4.0</v>
      </c>
      <c r="M382" s="2">
        <v>-30.0</v>
      </c>
      <c r="N382" s="2">
        <v>0.0</v>
      </c>
      <c r="O382" s="2">
        <v>0.0</v>
      </c>
      <c r="P382" s="2">
        <v>167.0</v>
      </c>
      <c r="Q382" s="2">
        <v>105.0</v>
      </c>
      <c r="R382" s="2">
        <v>6.0</v>
      </c>
      <c r="S382" s="2">
        <v>-29.1443776486558</v>
      </c>
      <c r="T382" s="2">
        <v>-4.16489962873788</v>
      </c>
      <c r="U382" s="2">
        <v>0.0</v>
      </c>
      <c r="V382" s="2">
        <v>4.0</v>
      </c>
      <c r="W382" s="2">
        <v>1.0</v>
      </c>
      <c r="X382" s="2">
        <v>1.0</v>
      </c>
      <c r="Y382" s="2">
        <v>0.0</v>
      </c>
      <c r="Z382" s="2">
        <v>16.0</v>
      </c>
      <c r="AA382" s="2">
        <v>66.0</v>
      </c>
      <c r="AB382" s="2">
        <v>0.0</v>
      </c>
      <c r="AC382" s="2">
        <v>0.0</v>
      </c>
      <c r="AD382" s="2">
        <v>0.0</v>
      </c>
      <c r="AE382" s="2">
        <v>3.0</v>
      </c>
      <c r="AF382" s="2">
        <v>-3.27165956620593</v>
      </c>
      <c r="AG382" s="2">
        <v>0.0</v>
      </c>
      <c r="AH382" s="2">
        <v>2.0</v>
      </c>
      <c r="AI382" s="2">
        <v>1.0</v>
      </c>
      <c r="AJ382" s="2">
        <v>1.0</v>
      </c>
      <c r="AK382" s="2">
        <v>0.0</v>
      </c>
      <c r="AL382" s="2">
        <v>19.0</v>
      </c>
      <c r="AM382" s="2">
        <v>29.0</v>
      </c>
      <c r="AN382" s="2">
        <v>126.0</v>
      </c>
      <c r="AO382" s="2">
        <v>0.0</v>
      </c>
      <c r="AP382" s="2">
        <v>2.0</v>
      </c>
      <c r="AQ382" s="2">
        <v>1.0</v>
      </c>
      <c r="AR382" s="2">
        <v>167.0</v>
      </c>
      <c r="AS382" s="2">
        <v>105.0</v>
      </c>
      <c r="AT382" s="2">
        <v>6.0</v>
      </c>
      <c r="AU382" s="2">
        <v>-13.5030874717049</v>
      </c>
      <c r="AV382" s="2">
        <v>0.0</v>
      </c>
      <c r="AW382" s="2">
        <v>4.0</v>
      </c>
      <c r="AX382" s="2">
        <v>1.0</v>
      </c>
      <c r="AY382" s="2">
        <v>1.0</v>
      </c>
      <c r="AZ382" s="2">
        <v>0.0</v>
      </c>
      <c r="BA382" s="2">
        <v>0.0</v>
      </c>
      <c r="BB382" s="2">
        <v>39.0</v>
      </c>
      <c r="BC382" s="2">
        <v>0.0</v>
      </c>
      <c r="BD382" s="2">
        <v>32.0</v>
      </c>
      <c r="BE382" s="2">
        <v>7.0</v>
      </c>
      <c r="BF382" s="2">
        <v>41.0</v>
      </c>
      <c r="BG382" s="2">
        <v>3.0</v>
      </c>
      <c r="BH382" s="2">
        <v>4.0</v>
      </c>
      <c r="BI382" s="2">
        <v>34.0</v>
      </c>
      <c r="BJ382" s="2">
        <v>5.0</v>
      </c>
      <c r="BK382" s="2">
        <v>0.0</v>
      </c>
      <c r="BL382" s="2">
        <v>0.0</v>
      </c>
      <c r="BM382" s="2">
        <v>6.0</v>
      </c>
      <c r="BN382" s="2">
        <v>0.0</v>
      </c>
      <c r="BO382" s="2">
        <v>0.0</v>
      </c>
      <c r="BP382" s="2">
        <v>0.0</v>
      </c>
      <c r="BQ382" s="2">
        <v>0.0</v>
      </c>
      <c r="BR382" s="2">
        <v>1.0</v>
      </c>
      <c r="BS382" s="2">
        <v>0.0</v>
      </c>
      <c r="BT382" s="2">
        <v>2.0</v>
      </c>
      <c r="BU382" s="2">
        <v>0.0</v>
      </c>
      <c r="BV382" s="2">
        <v>0.0</v>
      </c>
      <c r="BW382" s="2">
        <v>10.0</v>
      </c>
      <c r="BX382" s="2">
        <v>80.0</v>
      </c>
      <c r="BY382" s="2">
        <v>0.0</v>
      </c>
      <c r="BZ382" s="2">
        <v>2.0</v>
      </c>
      <c r="CA382" s="2">
        <v>0.0</v>
      </c>
      <c r="CB382" s="2">
        <v>0.0</v>
      </c>
      <c r="CC382" s="2">
        <v>2.0</v>
      </c>
      <c r="CD382" s="2">
        <v>1.0</v>
      </c>
      <c r="CE382" s="2">
        <v>0.0</v>
      </c>
      <c r="CF382" s="2">
        <v>0.0</v>
      </c>
      <c r="CG382" s="2">
        <v>6.0</v>
      </c>
      <c r="CH382" s="2">
        <v>169.0</v>
      </c>
      <c r="CI382" s="2">
        <v>0.0</v>
      </c>
      <c r="CJ382" s="2">
        <v>0.0</v>
      </c>
      <c r="CK382" s="2">
        <v>0.0</v>
      </c>
      <c r="CL382" s="2">
        <v>0.0</v>
      </c>
      <c r="CO382" s="2">
        <v>0.0</v>
      </c>
      <c r="CP382" s="2">
        <v>0.0</v>
      </c>
      <c r="CQ382" s="2">
        <v>0.0</v>
      </c>
      <c r="CR382" s="2">
        <v>0.0</v>
      </c>
      <c r="CS382" s="2">
        <v>0.0</v>
      </c>
      <c r="CT382" s="2">
        <v>0.0</v>
      </c>
      <c r="CU382" s="2">
        <v>0.0</v>
      </c>
      <c r="CV382" s="2">
        <v>0.0</v>
      </c>
      <c r="CW382" s="2">
        <v>0.0</v>
      </c>
      <c r="CX382" s="2">
        <v>0.0</v>
      </c>
      <c r="CY382" s="2">
        <v>0.0</v>
      </c>
      <c r="CZ382" s="2">
        <v>0.0</v>
      </c>
      <c r="DD382" s="2">
        <v>0.0</v>
      </c>
      <c r="DE382" s="2">
        <v>0.0</v>
      </c>
      <c r="DF382" s="2">
        <v>0.0</v>
      </c>
      <c r="DG382" s="2">
        <v>0.0</v>
      </c>
      <c r="DH382" s="2">
        <v>0.0</v>
      </c>
      <c r="DI382" s="2">
        <v>0.0</v>
      </c>
      <c r="DJ382" s="2">
        <v>0.0</v>
      </c>
      <c r="DL382" s="2">
        <v>0.0</v>
      </c>
      <c r="DM382" s="2">
        <v>0.0</v>
      </c>
      <c r="DN382" s="2">
        <v>0.0</v>
      </c>
      <c r="DO382" s="2">
        <v>0.0</v>
      </c>
      <c r="DP382" s="2">
        <v>0.0</v>
      </c>
      <c r="DQ382" s="2">
        <v>5.0</v>
      </c>
      <c r="DR382" s="2">
        <v>0.0</v>
      </c>
      <c r="DS382" s="2">
        <v>60.0</v>
      </c>
      <c r="DT382" s="2">
        <v>252.0</v>
      </c>
      <c r="DU382" s="2">
        <v>2.0</v>
      </c>
      <c r="DV382" s="2">
        <v>0.0</v>
      </c>
      <c r="DW382" s="2">
        <v>0.0</v>
      </c>
      <c r="DX382" s="2">
        <v>0.0</v>
      </c>
      <c r="DY382" s="2">
        <v>2.0</v>
      </c>
      <c r="DZ382" s="2">
        <v>3.0</v>
      </c>
      <c r="EA382" s="2">
        <v>43.0</v>
      </c>
      <c r="EB382" s="2">
        <v>0.0</v>
      </c>
      <c r="EC382" s="2">
        <v>209.0</v>
      </c>
      <c r="EE382" s="2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2">
        <v>2025.0</v>
      </c>
      <c r="B383" s="2">
        <v>13.0</v>
      </c>
      <c r="C383" s="2" t="s">
        <v>145</v>
      </c>
      <c r="D383" s="2" t="s">
        <v>390</v>
      </c>
      <c r="E383" s="2" t="s">
        <v>1019</v>
      </c>
      <c r="F383" s="2" t="s">
        <v>235</v>
      </c>
      <c r="G383" s="2">
        <v>24.0</v>
      </c>
      <c r="H383" s="2">
        <v>31.0</v>
      </c>
      <c r="I383" s="2">
        <v>282.0</v>
      </c>
      <c r="J383" s="2">
        <v>2.0</v>
      </c>
      <c r="K383" s="2">
        <v>0.0</v>
      </c>
      <c r="L383" s="2">
        <v>3.0</v>
      </c>
      <c r="M383" s="2">
        <v>-6.0</v>
      </c>
      <c r="N383" s="2">
        <v>0.0</v>
      </c>
      <c r="O383" s="2">
        <v>0.0</v>
      </c>
      <c r="P383" s="2">
        <v>245.0</v>
      </c>
      <c r="Q383" s="2">
        <v>135.0</v>
      </c>
      <c r="R383" s="2">
        <v>14.0</v>
      </c>
      <c r="S383" s="2">
        <v>11.5391657039121</v>
      </c>
      <c r="T383" s="2">
        <v>15.7781688372294</v>
      </c>
      <c r="U383" s="2">
        <v>0.0</v>
      </c>
      <c r="V383" s="2">
        <v>11.0</v>
      </c>
      <c r="W383" s="2">
        <v>4.0</v>
      </c>
      <c r="X383" s="2">
        <v>4.0</v>
      </c>
      <c r="Y383" s="2">
        <v>0.0</v>
      </c>
      <c r="Z383" s="2">
        <v>29.0</v>
      </c>
      <c r="AA383" s="2">
        <v>119.0</v>
      </c>
      <c r="AB383" s="2">
        <v>0.0</v>
      </c>
      <c r="AC383" s="2">
        <v>0.0</v>
      </c>
      <c r="AD383" s="2">
        <v>0.0</v>
      </c>
      <c r="AE383" s="2">
        <v>7.0</v>
      </c>
      <c r="AF383" s="2">
        <v>-1.22943319980966</v>
      </c>
      <c r="AG383" s="2">
        <v>0.0</v>
      </c>
      <c r="AH383" s="2">
        <v>3.0</v>
      </c>
      <c r="AI383" s="2">
        <v>2.0</v>
      </c>
      <c r="AJ383" s="2">
        <v>1.0</v>
      </c>
      <c r="AK383" s="2">
        <v>0.0</v>
      </c>
      <c r="AL383" s="2">
        <v>24.0</v>
      </c>
      <c r="AM383" s="2">
        <v>30.0</v>
      </c>
      <c r="AN383" s="2">
        <v>282.0</v>
      </c>
      <c r="AO383" s="2">
        <v>2.0</v>
      </c>
      <c r="AP383" s="2">
        <v>0.0</v>
      </c>
      <c r="AQ383" s="2">
        <v>0.0</v>
      </c>
      <c r="AR383" s="2">
        <v>245.0</v>
      </c>
      <c r="AS383" s="2">
        <v>135.0</v>
      </c>
      <c r="AT383" s="2">
        <v>14.0</v>
      </c>
      <c r="AU383" s="2">
        <v>16.4573716890131</v>
      </c>
      <c r="AV383" s="2">
        <v>0.0</v>
      </c>
      <c r="AW383" s="2">
        <v>11.0</v>
      </c>
      <c r="AX383" s="2">
        <v>4.0</v>
      </c>
      <c r="AY383" s="2">
        <v>4.0</v>
      </c>
      <c r="AZ383" s="2">
        <v>0.0</v>
      </c>
      <c r="BA383" s="2">
        <v>1.0</v>
      </c>
      <c r="BB383" s="2">
        <v>33.0</v>
      </c>
      <c r="BC383" s="2">
        <v>0.0</v>
      </c>
      <c r="BD383" s="2">
        <v>32.0</v>
      </c>
      <c r="BE383" s="2">
        <v>5.0</v>
      </c>
      <c r="BF383" s="2">
        <v>29.0</v>
      </c>
      <c r="BG383" s="2">
        <v>1.0</v>
      </c>
      <c r="BH383" s="2">
        <v>2.0</v>
      </c>
      <c r="BI383" s="2">
        <v>11.0</v>
      </c>
      <c r="BJ383" s="2">
        <v>7.0</v>
      </c>
      <c r="BK383" s="2">
        <v>0.0</v>
      </c>
      <c r="BL383" s="2">
        <v>0.0</v>
      </c>
      <c r="BM383" s="2">
        <v>7.0</v>
      </c>
      <c r="BN383" s="2">
        <v>0.0</v>
      </c>
      <c r="BO383" s="2">
        <v>0.0</v>
      </c>
      <c r="BP383" s="2">
        <v>0.0</v>
      </c>
      <c r="BQ383" s="2">
        <v>0.0</v>
      </c>
      <c r="BR383" s="2">
        <v>0.0</v>
      </c>
      <c r="BS383" s="2">
        <v>0.0</v>
      </c>
      <c r="BT383" s="2">
        <v>1.0</v>
      </c>
      <c r="BU383" s="2">
        <v>0.0</v>
      </c>
      <c r="BV383" s="2">
        <v>0.0</v>
      </c>
      <c r="BW383" s="2">
        <v>3.0</v>
      </c>
      <c r="BX383" s="2">
        <v>30.0</v>
      </c>
      <c r="BY383" s="2">
        <v>3.0</v>
      </c>
      <c r="BZ383" s="2">
        <v>0.0</v>
      </c>
      <c r="CA383" s="2">
        <v>0.0</v>
      </c>
      <c r="CB383" s="2">
        <v>0.0</v>
      </c>
      <c r="CC383" s="2">
        <v>0.0</v>
      </c>
      <c r="CD383" s="2">
        <v>0.0</v>
      </c>
      <c r="CE383" s="2">
        <v>3.0</v>
      </c>
      <c r="CF383" s="2">
        <v>124.0</v>
      </c>
      <c r="CG383" s="2">
        <v>3.0</v>
      </c>
      <c r="CH383" s="2">
        <v>79.0</v>
      </c>
      <c r="CI383" s="2">
        <v>4.0</v>
      </c>
      <c r="CJ383" s="2">
        <v>5.0</v>
      </c>
      <c r="CK383" s="2">
        <v>1.0</v>
      </c>
      <c r="CL383" s="2">
        <v>0.0</v>
      </c>
      <c r="CM383" s="2">
        <v>30.0</v>
      </c>
      <c r="CN383" s="2">
        <v>0.8</v>
      </c>
      <c r="CO383" s="2">
        <v>0.0</v>
      </c>
      <c r="CP383" s="2">
        <v>3.0</v>
      </c>
      <c r="CQ383" s="2">
        <v>1.0</v>
      </c>
      <c r="CR383" s="2">
        <v>0.0</v>
      </c>
      <c r="CS383" s="2">
        <v>0.0</v>
      </c>
      <c r="CT383" s="2">
        <v>0.0</v>
      </c>
      <c r="CU383" s="2">
        <v>0.0</v>
      </c>
      <c r="CV383" s="2">
        <v>0.0</v>
      </c>
      <c r="CW383" s="2">
        <v>0.0</v>
      </c>
      <c r="CX383" s="2">
        <v>1.0</v>
      </c>
      <c r="CY383" s="2">
        <v>0.0</v>
      </c>
      <c r="CZ383" s="2">
        <v>0.0</v>
      </c>
      <c r="DA383" s="2" t="s">
        <v>2205</v>
      </c>
      <c r="DB383" s="2" t="s">
        <v>1969</v>
      </c>
      <c r="DD383" s="2">
        <v>103.0</v>
      </c>
      <c r="DE383" s="2">
        <v>45.0</v>
      </c>
      <c r="DF383" s="2">
        <v>0.0</v>
      </c>
      <c r="DG383" s="2">
        <v>3.0</v>
      </c>
      <c r="DH383" s="2">
        <v>3.0</v>
      </c>
      <c r="DI383" s="2">
        <v>0.0</v>
      </c>
      <c r="DJ383" s="2">
        <v>0.0</v>
      </c>
      <c r="DK383" s="2">
        <v>1.0</v>
      </c>
      <c r="DL383" s="2">
        <v>0.0</v>
      </c>
      <c r="DM383" s="2">
        <v>0.0</v>
      </c>
      <c r="DN383" s="2">
        <v>0.0</v>
      </c>
      <c r="DO383" s="2">
        <v>0.0</v>
      </c>
      <c r="DP383" s="2">
        <v>0.0</v>
      </c>
      <c r="DQ383" s="2">
        <v>2.0</v>
      </c>
      <c r="DR383" s="2">
        <v>0.0</v>
      </c>
      <c r="DS383" s="2">
        <v>32.0</v>
      </c>
      <c r="DT383" s="2">
        <v>54.0</v>
      </c>
      <c r="DU383" s="2">
        <v>1.0</v>
      </c>
      <c r="DV383" s="2">
        <v>1.0</v>
      </c>
      <c r="DW383" s="2">
        <v>0.0</v>
      </c>
      <c r="DX383" s="2">
        <v>0.0</v>
      </c>
      <c r="DY383" s="2">
        <v>1.0</v>
      </c>
      <c r="DZ383" s="2">
        <v>0.0</v>
      </c>
      <c r="EA383" s="2">
        <v>0.0</v>
      </c>
      <c r="EB383" s="2">
        <v>0.0</v>
      </c>
      <c r="EC383" s="2">
        <v>54.0</v>
      </c>
      <c r="EE383" s="2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2">
        <v>2025.0</v>
      </c>
      <c r="B384" s="2">
        <v>13.0</v>
      </c>
      <c r="C384" s="2" t="s">
        <v>232</v>
      </c>
      <c r="D384" s="2" t="s">
        <v>390</v>
      </c>
      <c r="E384" s="2" t="s">
        <v>1001</v>
      </c>
      <c r="F384" s="2" t="s">
        <v>225</v>
      </c>
      <c r="G384" s="2">
        <v>26.0</v>
      </c>
      <c r="H384" s="2">
        <v>38.0</v>
      </c>
      <c r="I384" s="2">
        <v>239.0</v>
      </c>
      <c r="J384" s="2">
        <v>2.0</v>
      </c>
      <c r="K384" s="2">
        <v>1.0</v>
      </c>
      <c r="L384" s="2">
        <v>4.0</v>
      </c>
      <c r="M384" s="2">
        <v>-26.0</v>
      </c>
      <c r="N384" s="2">
        <v>1.0</v>
      </c>
      <c r="O384" s="2">
        <v>1.0</v>
      </c>
      <c r="P384" s="2">
        <v>269.0</v>
      </c>
      <c r="Q384" s="2">
        <v>80.0</v>
      </c>
      <c r="R384" s="2">
        <v>12.0</v>
      </c>
      <c r="S384" s="2">
        <v>-11.1737475081841</v>
      </c>
      <c r="T384" s="2">
        <v>9.7991126425126</v>
      </c>
      <c r="U384" s="2">
        <v>0.0</v>
      </c>
      <c r="V384" s="2">
        <v>13.0</v>
      </c>
      <c r="W384" s="2">
        <v>2.0</v>
      </c>
      <c r="X384" s="2">
        <v>0.0</v>
      </c>
      <c r="Y384" s="2">
        <v>0.0</v>
      </c>
      <c r="Z384" s="2">
        <v>27.0</v>
      </c>
      <c r="AA384" s="2">
        <v>81.0</v>
      </c>
      <c r="AB384" s="2">
        <v>0.0</v>
      </c>
      <c r="AC384" s="2">
        <v>0.0</v>
      </c>
      <c r="AD384" s="2">
        <v>0.0</v>
      </c>
      <c r="AE384" s="2">
        <v>6.0</v>
      </c>
      <c r="AF384" s="2">
        <v>-0.524149969816674</v>
      </c>
      <c r="AG384" s="2">
        <v>1.0</v>
      </c>
      <c r="AH384" s="2">
        <v>0.0</v>
      </c>
      <c r="AI384" s="2">
        <v>0.0</v>
      </c>
      <c r="AJ384" s="2">
        <v>0.0</v>
      </c>
      <c r="AK384" s="2">
        <v>0.0</v>
      </c>
      <c r="AL384" s="2">
        <v>26.0</v>
      </c>
      <c r="AM384" s="2">
        <v>34.0</v>
      </c>
      <c r="AN384" s="2">
        <v>239.0</v>
      </c>
      <c r="AO384" s="2">
        <v>2.0</v>
      </c>
      <c r="AP384" s="2">
        <v>0.0</v>
      </c>
      <c r="AQ384" s="2">
        <v>0.0</v>
      </c>
      <c r="AR384" s="2">
        <v>269.0</v>
      </c>
      <c r="AS384" s="2">
        <v>80.0</v>
      </c>
      <c r="AT384" s="2">
        <v>12.0</v>
      </c>
      <c r="AU384" s="2">
        <v>1.8998940999358</v>
      </c>
      <c r="AV384" s="2">
        <v>0.0</v>
      </c>
      <c r="AW384" s="2">
        <v>13.0</v>
      </c>
      <c r="AX384" s="2">
        <v>2.0</v>
      </c>
      <c r="AY384" s="2">
        <v>0.0</v>
      </c>
      <c r="AZ384" s="2">
        <v>0.0</v>
      </c>
      <c r="BA384" s="2">
        <v>0.0</v>
      </c>
      <c r="BB384" s="2">
        <v>34.0</v>
      </c>
      <c r="BC384" s="2">
        <v>0.0</v>
      </c>
      <c r="BD384" s="2">
        <v>32.0</v>
      </c>
      <c r="BE384" s="2">
        <v>7.0</v>
      </c>
      <c r="BF384" s="2">
        <v>27.0</v>
      </c>
      <c r="BG384" s="2">
        <v>0.0</v>
      </c>
      <c r="BH384" s="2">
        <v>4.0</v>
      </c>
      <c r="BI384" s="2">
        <v>23.0</v>
      </c>
      <c r="BJ384" s="2">
        <v>6.0</v>
      </c>
      <c r="BK384" s="2">
        <v>1.0</v>
      </c>
      <c r="BL384" s="2">
        <v>0.0</v>
      </c>
      <c r="BM384" s="2">
        <v>3.0</v>
      </c>
      <c r="BN384" s="2">
        <v>0.0</v>
      </c>
      <c r="BO384" s="2">
        <v>0.0</v>
      </c>
      <c r="BP384" s="2">
        <v>0.0</v>
      </c>
      <c r="BQ384" s="2">
        <v>0.0</v>
      </c>
      <c r="BR384" s="2">
        <v>0.0</v>
      </c>
      <c r="BS384" s="2">
        <v>0.0</v>
      </c>
      <c r="BT384" s="2">
        <v>0.0</v>
      </c>
      <c r="BU384" s="2">
        <v>0.0</v>
      </c>
      <c r="BV384" s="2">
        <v>0.0</v>
      </c>
      <c r="BW384" s="2">
        <v>6.0</v>
      </c>
      <c r="BX384" s="2">
        <v>45.0</v>
      </c>
      <c r="BY384" s="2">
        <v>5.0</v>
      </c>
      <c r="BZ384" s="2">
        <v>1.0</v>
      </c>
      <c r="CA384" s="2">
        <v>0.0</v>
      </c>
      <c r="CB384" s="2">
        <v>0.0</v>
      </c>
      <c r="CC384" s="2">
        <v>1.0</v>
      </c>
      <c r="CD384" s="2">
        <v>1.0</v>
      </c>
      <c r="CE384" s="2">
        <v>2.0</v>
      </c>
      <c r="CF384" s="2">
        <v>12.0</v>
      </c>
      <c r="CG384" s="2">
        <v>4.0</v>
      </c>
      <c r="CH384" s="2">
        <v>105.0</v>
      </c>
      <c r="CI384" s="2">
        <v>1.0</v>
      </c>
      <c r="CJ384" s="2">
        <v>1.0</v>
      </c>
      <c r="CK384" s="2">
        <v>0.0</v>
      </c>
      <c r="CL384" s="2">
        <v>0.0</v>
      </c>
      <c r="CM384" s="2">
        <v>56.0</v>
      </c>
      <c r="CN384" s="2">
        <v>1.0</v>
      </c>
      <c r="CO384" s="2">
        <v>0.0</v>
      </c>
      <c r="CP384" s="2">
        <v>0.0</v>
      </c>
      <c r="CQ384" s="2">
        <v>0.0</v>
      </c>
      <c r="CR384" s="2">
        <v>0.0</v>
      </c>
      <c r="CS384" s="2">
        <v>1.0</v>
      </c>
      <c r="CT384" s="2">
        <v>0.0</v>
      </c>
      <c r="CU384" s="2">
        <v>0.0</v>
      </c>
      <c r="CV384" s="2">
        <v>0.0</v>
      </c>
      <c r="CW384" s="2">
        <v>0.0</v>
      </c>
      <c r="CX384" s="2">
        <v>0.0</v>
      </c>
      <c r="CY384" s="2">
        <v>0.0</v>
      </c>
      <c r="CZ384" s="2">
        <v>0.0</v>
      </c>
      <c r="DA384" s="2" t="s">
        <v>2007</v>
      </c>
      <c r="DD384" s="2">
        <v>56.0</v>
      </c>
      <c r="DE384" s="2">
        <v>0.0</v>
      </c>
      <c r="DF384" s="2">
        <v>0.0</v>
      </c>
      <c r="DG384" s="2">
        <v>0.0</v>
      </c>
      <c r="DH384" s="2">
        <v>0.0</v>
      </c>
      <c r="DI384" s="2">
        <v>0.0</v>
      </c>
      <c r="DJ384" s="2">
        <v>0.0</v>
      </c>
      <c r="DL384" s="2">
        <v>0.0</v>
      </c>
      <c r="DM384" s="2">
        <v>0.0</v>
      </c>
      <c r="DN384" s="2">
        <v>0.0</v>
      </c>
      <c r="DO384" s="2">
        <v>0.0</v>
      </c>
      <c r="DP384" s="2">
        <v>0.0</v>
      </c>
      <c r="DQ384" s="2">
        <v>6.0</v>
      </c>
      <c r="DR384" s="2">
        <v>0.0</v>
      </c>
      <c r="DS384" s="2">
        <v>60.0</v>
      </c>
      <c r="DT384" s="2">
        <v>293.0</v>
      </c>
      <c r="DU384" s="2">
        <v>3.0</v>
      </c>
      <c r="DV384" s="2">
        <v>0.0</v>
      </c>
      <c r="DW384" s="2">
        <v>2.0</v>
      </c>
      <c r="DX384" s="2">
        <v>1.0</v>
      </c>
      <c r="DY384" s="2">
        <v>2.0</v>
      </c>
      <c r="DZ384" s="2">
        <v>1.0</v>
      </c>
      <c r="EA384" s="2">
        <v>5.0</v>
      </c>
      <c r="EB384" s="2">
        <v>0.0</v>
      </c>
      <c r="EC384" s="2">
        <v>268.0</v>
      </c>
      <c r="EE384" s="2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2">
        <v>2025.0</v>
      </c>
      <c r="B385" s="2">
        <v>13.0</v>
      </c>
      <c r="C385" s="2" t="s">
        <v>235</v>
      </c>
      <c r="D385" s="2" t="s">
        <v>390</v>
      </c>
      <c r="E385" s="2" t="s">
        <v>1019</v>
      </c>
      <c r="F385" s="2" t="s">
        <v>145</v>
      </c>
      <c r="G385" s="2">
        <v>17.0</v>
      </c>
      <c r="H385" s="2">
        <v>24.0</v>
      </c>
      <c r="I385" s="2">
        <v>139.0</v>
      </c>
      <c r="J385" s="2">
        <v>1.0</v>
      </c>
      <c r="K385" s="2">
        <v>0.0</v>
      </c>
      <c r="L385" s="2">
        <v>2.0</v>
      </c>
      <c r="M385" s="2">
        <v>-11.0</v>
      </c>
      <c r="N385" s="2">
        <v>0.0</v>
      </c>
      <c r="O385" s="2">
        <v>0.0</v>
      </c>
      <c r="P385" s="2">
        <v>184.0</v>
      </c>
      <c r="Q385" s="2">
        <v>87.0</v>
      </c>
      <c r="R385" s="2">
        <v>4.0</v>
      </c>
      <c r="S385" s="2">
        <v>-4.81517192693707</v>
      </c>
      <c r="T385" s="2">
        <v>3.51558290421963</v>
      </c>
      <c r="U385" s="2">
        <v>1.0</v>
      </c>
      <c r="V385" s="2">
        <v>5.0</v>
      </c>
      <c r="W385" s="2">
        <v>3.0</v>
      </c>
      <c r="X385" s="2">
        <v>1.0</v>
      </c>
      <c r="Y385" s="2">
        <v>0.0</v>
      </c>
      <c r="Z385" s="2">
        <v>27.0</v>
      </c>
      <c r="AA385" s="2">
        <v>111.0</v>
      </c>
      <c r="AB385" s="2">
        <v>1.0</v>
      </c>
      <c r="AC385" s="2">
        <v>0.0</v>
      </c>
      <c r="AD385" s="2">
        <v>0.0</v>
      </c>
      <c r="AE385" s="2">
        <v>9.0</v>
      </c>
      <c r="AF385" s="2">
        <v>-1.02631846128497</v>
      </c>
      <c r="AG385" s="2">
        <v>0.0</v>
      </c>
      <c r="AH385" s="2">
        <v>3.0</v>
      </c>
      <c r="AI385" s="2">
        <v>3.0</v>
      </c>
      <c r="AJ385" s="2">
        <v>1.0</v>
      </c>
      <c r="AK385" s="2">
        <v>0.0</v>
      </c>
      <c r="AL385" s="2">
        <v>17.0</v>
      </c>
      <c r="AM385" s="2">
        <v>24.0</v>
      </c>
      <c r="AN385" s="2">
        <v>139.0</v>
      </c>
      <c r="AO385" s="2">
        <v>1.0</v>
      </c>
      <c r="AP385" s="2">
        <v>0.0</v>
      </c>
      <c r="AQ385" s="2">
        <v>0.0</v>
      </c>
      <c r="AR385" s="2">
        <v>184.0</v>
      </c>
      <c r="AS385" s="2">
        <v>87.0</v>
      </c>
      <c r="AT385" s="2">
        <v>4.0</v>
      </c>
      <c r="AU385" s="2">
        <v>-2.30265087638679</v>
      </c>
      <c r="AV385" s="2">
        <v>1.0</v>
      </c>
      <c r="AW385" s="2">
        <v>5.0</v>
      </c>
      <c r="AX385" s="2">
        <v>3.0</v>
      </c>
      <c r="AY385" s="2">
        <v>1.0</v>
      </c>
      <c r="AZ385" s="2">
        <v>0.0</v>
      </c>
      <c r="BA385" s="2">
        <v>0.0</v>
      </c>
      <c r="BB385" s="2">
        <v>42.0</v>
      </c>
      <c r="BC385" s="2">
        <v>1.0</v>
      </c>
      <c r="BD385" s="2">
        <v>29.0</v>
      </c>
      <c r="BE385" s="2">
        <v>5.0</v>
      </c>
      <c r="BF385" s="2">
        <v>14.0</v>
      </c>
      <c r="BG385" s="2">
        <v>0.0</v>
      </c>
      <c r="BH385" s="2">
        <v>3.0</v>
      </c>
      <c r="BI385" s="2">
        <v>6.0</v>
      </c>
      <c r="BJ385" s="2">
        <v>5.0</v>
      </c>
      <c r="BK385" s="2">
        <v>0.0</v>
      </c>
      <c r="BL385" s="2">
        <v>0.0</v>
      </c>
      <c r="BM385" s="2">
        <v>4.0</v>
      </c>
      <c r="BN385" s="2">
        <v>0.0</v>
      </c>
      <c r="BO385" s="2">
        <v>0.0</v>
      </c>
      <c r="BP385" s="2">
        <v>0.0</v>
      </c>
      <c r="BQ385" s="2">
        <v>0.0</v>
      </c>
      <c r="BR385" s="2">
        <v>0.0</v>
      </c>
      <c r="BS385" s="2">
        <v>0.0</v>
      </c>
      <c r="BT385" s="2">
        <v>0.0</v>
      </c>
      <c r="BU385" s="2">
        <v>0.0</v>
      </c>
      <c r="BV385" s="2">
        <v>0.0</v>
      </c>
      <c r="BW385" s="2">
        <v>4.0</v>
      </c>
      <c r="BX385" s="2">
        <v>30.0</v>
      </c>
      <c r="BY385" s="2">
        <v>4.0</v>
      </c>
      <c r="BZ385" s="2">
        <v>1.0</v>
      </c>
      <c r="CA385" s="2">
        <v>0.0</v>
      </c>
      <c r="CB385" s="2">
        <v>0.0</v>
      </c>
      <c r="CC385" s="2">
        <v>1.0</v>
      </c>
      <c r="CD385" s="2">
        <v>1.0</v>
      </c>
      <c r="CE385" s="2">
        <v>0.0</v>
      </c>
      <c r="CF385" s="2">
        <v>0.0</v>
      </c>
      <c r="CG385" s="2">
        <v>6.0</v>
      </c>
      <c r="CH385" s="2">
        <v>142.0</v>
      </c>
      <c r="CI385" s="2">
        <v>0.0</v>
      </c>
      <c r="CJ385" s="2">
        <v>0.0</v>
      </c>
      <c r="CK385" s="2">
        <v>0.0</v>
      </c>
      <c r="CL385" s="2">
        <v>0.0</v>
      </c>
      <c r="CO385" s="2">
        <v>0.0</v>
      </c>
      <c r="CP385" s="2">
        <v>0.0</v>
      </c>
      <c r="CQ385" s="2">
        <v>0.0</v>
      </c>
      <c r="CR385" s="2">
        <v>0.0</v>
      </c>
      <c r="CS385" s="2">
        <v>0.0</v>
      </c>
      <c r="CT385" s="2">
        <v>0.0</v>
      </c>
      <c r="CU385" s="2">
        <v>0.0</v>
      </c>
      <c r="CV385" s="2">
        <v>0.0</v>
      </c>
      <c r="CW385" s="2">
        <v>0.0</v>
      </c>
      <c r="CX385" s="2">
        <v>0.0</v>
      </c>
      <c r="CY385" s="2">
        <v>0.0</v>
      </c>
      <c r="CZ385" s="2">
        <v>0.0</v>
      </c>
      <c r="DD385" s="2">
        <v>0.0</v>
      </c>
      <c r="DE385" s="2">
        <v>0.0</v>
      </c>
      <c r="DF385" s="2">
        <v>0.0</v>
      </c>
      <c r="DG385" s="2">
        <v>1.0</v>
      </c>
      <c r="DH385" s="2">
        <v>1.0</v>
      </c>
      <c r="DI385" s="2">
        <v>0.0</v>
      </c>
      <c r="DJ385" s="2">
        <v>0.0</v>
      </c>
      <c r="DK385" s="2">
        <v>1.0</v>
      </c>
      <c r="DL385" s="2">
        <v>0.0</v>
      </c>
      <c r="DM385" s="2">
        <v>0.0</v>
      </c>
      <c r="DN385" s="2">
        <v>0.0</v>
      </c>
      <c r="DO385" s="2">
        <v>0.0</v>
      </c>
      <c r="DP385" s="2">
        <v>0.0</v>
      </c>
      <c r="DQ385" s="2">
        <v>4.0</v>
      </c>
      <c r="DR385" s="2">
        <v>0.0</v>
      </c>
      <c r="DS385" s="2">
        <v>54.0</v>
      </c>
      <c r="DT385" s="2">
        <v>199.0</v>
      </c>
      <c r="DU385" s="2">
        <v>0.0</v>
      </c>
      <c r="DV385" s="2">
        <v>0.0</v>
      </c>
      <c r="DW385" s="2">
        <v>0.0</v>
      </c>
      <c r="DX385" s="2">
        <v>0.0</v>
      </c>
      <c r="DY385" s="2">
        <v>1.0</v>
      </c>
      <c r="DZ385" s="2">
        <v>3.0</v>
      </c>
      <c r="EA385" s="2">
        <v>124.0</v>
      </c>
      <c r="EB385" s="2">
        <v>1.0</v>
      </c>
      <c r="EC385" s="2">
        <v>75.0</v>
      </c>
      <c r="EE385" s="2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2">
        <v>2025.0</v>
      </c>
      <c r="B386" s="2">
        <v>13.0</v>
      </c>
      <c r="C386" s="2" t="s">
        <v>238</v>
      </c>
      <c r="D386" s="2" t="s">
        <v>390</v>
      </c>
      <c r="E386" s="2" t="s">
        <v>1003</v>
      </c>
      <c r="F386" s="2" t="s">
        <v>132</v>
      </c>
      <c r="G386" s="2">
        <v>19.0</v>
      </c>
      <c r="H386" s="2">
        <v>33.0</v>
      </c>
      <c r="I386" s="2">
        <v>172.0</v>
      </c>
      <c r="J386" s="2">
        <v>1.0</v>
      </c>
      <c r="K386" s="2">
        <v>0.0</v>
      </c>
      <c r="L386" s="2">
        <v>2.0</v>
      </c>
      <c r="M386" s="2">
        <v>-13.0</v>
      </c>
      <c r="N386" s="2">
        <v>0.0</v>
      </c>
      <c r="O386" s="2">
        <v>0.0</v>
      </c>
      <c r="P386" s="2">
        <v>319.0</v>
      </c>
      <c r="Q386" s="2">
        <v>23.0</v>
      </c>
      <c r="R386" s="2">
        <v>8.0</v>
      </c>
      <c r="S386" s="2">
        <v>-0.968703565033632</v>
      </c>
      <c r="T386" s="2">
        <v>-1.63332877620574</v>
      </c>
      <c r="U386" s="2">
        <v>0.0</v>
      </c>
      <c r="V386" s="2">
        <v>6.0</v>
      </c>
      <c r="W386" s="2">
        <v>1.0</v>
      </c>
      <c r="X386" s="2">
        <v>1.0</v>
      </c>
      <c r="Y386" s="2">
        <v>1.0</v>
      </c>
      <c r="Z386" s="2">
        <v>28.0</v>
      </c>
      <c r="AA386" s="2">
        <v>110.0</v>
      </c>
      <c r="AB386" s="2">
        <v>2.0</v>
      </c>
      <c r="AC386" s="2">
        <v>0.0</v>
      </c>
      <c r="AD386" s="2">
        <v>0.0</v>
      </c>
      <c r="AE386" s="2">
        <v>7.0</v>
      </c>
      <c r="AF386" s="2">
        <v>1.54214423504891</v>
      </c>
      <c r="AG386" s="2">
        <v>0.0</v>
      </c>
      <c r="AH386" s="2">
        <v>2.0</v>
      </c>
      <c r="AI386" s="2">
        <v>1.0</v>
      </c>
      <c r="AJ386" s="2">
        <v>0.0</v>
      </c>
      <c r="AK386" s="2">
        <v>0.0</v>
      </c>
      <c r="AL386" s="2">
        <v>19.0</v>
      </c>
      <c r="AM386" s="2">
        <v>31.0</v>
      </c>
      <c r="AN386" s="2">
        <v>172.0</v>
      </c>
      <c r="AO386" s="2">
        <v>1.0</v>
      </c>
      <c r="AP386" s="2">
        <v>0.0</v>
      </c>
      <c r="AQ386" s="2">
        <v>0.0</v>
      </c>
      <c r="AR386" s="2">
        <v>319.0</v>
      </c>
      <c r="AS386" s="2">
        <v>23.0</v>
      </c>
      <c r="AT386" s="2">
        <v>8.0</v>
      </c>
      <c r="AU386" s="2">
        <v>0.308658304733418</v>
      </c>
      <c r="AV386" s="2">
        <v>0.0</v>
      </c>
      <c r="AW386" s="2">
        <v>6.0</v>
      </c>
      <c r="AX386" s="2">
        <v>1.0</v>
      </c>
      <c r="AY386" s="2">
        <v>1.0</v>
      </c>
      <c r="AZ386" s="2">
        <v>1.0</v>
      </c>
      <c r="BA386" s="2">
        <v>0.0</v>
      </c>
      <c r="BB386" s="2">
        <v>39.0</v>
      </c>
      <c r="BC386" s="2">
        <v>0.0</v>
      </c>
      <c r="BD386" s="2">
        <v>40.0</v>
      </c>
      <c r="BE386" s="2">
        <v>7.0</v>
      </c>
      <c r="BF386" s="2">
        <v>24.0</v>
      </c>
      <c r="BG386" s="2">
        <v>0.0</v>
      </c>
      <c r="BH386" s="2">
        <v>2.0</v>
      </c>
      <c r="BI386" s="2">
        <v>12.0</v>
      </c>
      <c r="BJ386" s="2">
        <v>7.0</v>
      </c>
      <c r="BK386" s="2">
        <v>0.0</v>
      </c>
      <c r="BL386" s="2">
        <v>0.0</v>
      </c>
      <c r="BM386" s="2">
        <v>7.0</v>
      </c>
      <c r="BN386" s="2">
        <v>0.0</v>
      </c>
      <c r="BO386" s="2">
        <v>0.0</v>
      </c>
      <c r="BP386" s="2">
        <v>0.0</v>
      </c>
      <c r="BQ386" s="2">
        <v>0.0</v>
      </c>
      <c r="BR386" s="2">
        <v>0.0</v>
      </c>
      <c r="BS386" s="2">
        <v>0.0</v>
      </c>
      <c r="BT386" s="2">
        <v>1.0</v>
      </c>
      <c r="BU386" s="2">
        <v>0.0</v>
      </c>
      <c r="BV386" s="2">
        <v>0.0</v>
      </c>
      <c r="BW386" s="2">
        <v>9.0</v>
      </c>
      <c r="BX386" s="2">
        <v>59.0</v>
      </c>
      <c r="BY386" s="2">
        <v>5.0</v>
      </c>
      <c r="BZ386" s="2">
        <v>0.0</v>
      </c>
      <c r="CA386" s="2">
        <v>0.0</v>
      </c>
      <c r="CB386" s="2">
        <v>0.0</v>
      </c>
      <c r="CC386" s="2">
        <v>0.0</v>
      </c>
      <c r="CD386" s="2">
        <v>0.0</v>
      </c>
      <c r="CE386" s="2">
        <v>1.0</v>
      </c>
      <c r="CF386" s="2">
        <v>16.0</v>
      </c>
      <c r="CG386" s="2">
        <v>1.0</v>
      </c>
      <c r="CH386" s="2">
        <v>83.0</v>
      </c>
      <c r="CI386" s="2">
        <v>2.0</v>
      </c>
      <c r="CJ386" s="2">
        <v>3.0</v>
      </c>
      <c r="CK386" s="2">
        <v>1.0</v>
      </c>
      <c r="CL386" s="2">
        <v>0.0</v>
      </c>
      <c r="CM386" s="2">
        <v>56.0</v>
      </c>
      <c r="CN386" s="2">
        <v>0.666666666666667</v>
      </c>
      <c r="CO386" s="2">
        <v>0.0</v>
      </c>
      <c r="CP386" s="2">
        <v>0.0</v>
      </c>
      <c r="CQ386" s="2">
        <v>1.0</v>
      </c>
      <c r="CR386" s="2">
        <v>0.0</v>
      </c>
      <c r="CS386" s="2">
        <v>1.0</v>
      </c>
      <c r="CT386" s="2">
        <v>0.0</v>
      </c>
      <c r="CU386" s="2">
        <v>0.0</v>
      </c>
      <c r="CV386" s="2">
        <v>0.0</v>
      </c>
      <c r="CW386" s="2">
        <v>0.0</v>
      </c>
      <c r="CX386" s="2">
        <v>0.0</v>
      </c>
      <c r="CY386" s="2">
        <v>1.0</v>
      </c>
      <c r="CZ386" s="2">
        <v>0.0</v>
      </c>
      <c r="DA386" s="2" t="s">
        <v>2206</v>
      </c>
      <c r="DB386" s="2" t="s">
        <v>2002</v>
      </c>
      <c r="DD386" s="2">
        <v>88.0</v>
      </c>
      <c r="DE386" s="2">
        <v>55.0</v>
      </c>
      <c r="DF386" s="2">
        <v>0.0</v>
      </c>
      <c r="DG386" s="2">
        <v>3.0</v>
      </c>
      <c r="DH386" s="2">
        <v>3.0</v>
      </c>
      <c r="DI386" s="2">
        <v>0.0</v>
      </c>
      <c r="DJ386" s="2">
        <v>0.0</v>
      </c>
      <c r="DK386" s="2">
        <v>1.0</v>
      </c>
      <c r="DL386" s="2">
        <v>1.0</v>
      </c>
      <c r="DM386" s="2">
        <v>1.0</v>
      </c>
      <c r="DN386" s="2">
        <v>0.0</v>
      </c>
      <c r="DO386" s="2">
        <v>0.0</v>
      </c>
      <c r="DP386" s="2">
        <v>56.0</v>
      </c>
      <c r="DQ386" s="2">
        <v>6.0</v>
      </c>
      <c r="DR386" s="2">
        <v>0.0</v>
      </c>
      <c r="DS386" s="2">
        <v>55.0</v>
      </c>
      <c r="DT386" s="2">
        <v>296.0</v>
      </c>
      <c r="DU386" s="2">
        <v>3.0</v>
      </c>
      <c r="DV386" s="2">
        <v>0.0</v>
      </c>
      <c r="DW386" s="2">
        <v>3.0</v>
      </c>
      <c r="DX386" s="2">
        <v>0.0</v>
      </c>
      <c r="DY386" s="2">
        <v>0.0</v>
      </c>
      <c r="DZ386" s="2">
        <v>3.0</v>
      </c>
      <c r="EA386" s="2">
        <v>-1.0</v>
      </c>
      <c r="EB386" s="2">
        <v>0.0</v>
      </c>
      <c r="EC386" s="2">
        <v>297.0</v>
      </c>
      <c r="EE386" s="2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2">
        <v>2025.0</v>
      </c>
      <c r="B387" s="2">
        <v>13.0</v>
      </c>
      <c r="C387" s="2" t="s">
        <v>147</v>
      </c>
      <c r="D387" s="2" t="s">
        <v>390</v>
      </c>
      <c r="E387" s="2" t="s">
        <v>990</v>
      </c>
      <c r="F387" s="2" t="s">
        <v>137</v>
      </c>
      <c r="G387" s="2">
        <v>19.0</v>
      </c>
      <c r="H387" s="2">
        <v>34.0</v>
      </c>
      <c r="I387" s="2">
        <v>230.0</v>
      </c>
      <c r="J387" s="2">
        <v>2.0</v>
      </c>
      <c r="K387" s="2">
        <v>1.0</v>
      </c>
      <c r="L387" s="2">
        <v>0.0</v>
      </c>
      <c r="M387" s="2">
        <v>0.0</v>
      </c>
      <c r="N387" s="2">
        <v>0.0</v>
      </c>
      <c r="O387" s="2">
        <v>0.0</v>
      </c>
      <c r="P387" s="2">
        <v>334.0</v>
      </c>
      <c r="Q387" s="2">
        <v>55.0</v>
      </c>
      <c r="R387" s="2">
        <v>11.0</v>
      </c>
      <c r="S387" s="2">
        <v>2.19848314169032</v>
      </c>
      <c r="T387" s="2">
        <v>0.56730180978775</v>
      </c>
      <c r="U387" s="2">
        <v>0.0</v>
      </c>
      <c r="V387" s="2">
        <v>12.0</v>
      </c>
      <c r="W387" s="2">
        <v>7.0</v>
      </c>
      <c r="X387" s="2">
        <v>3.0</v>
      </c>
      <c r="Y387" s="2">
        <v>0.0</v>
      </c>
      <c r="Z387" s="2">
        <v>17.0</v>
      </c>
      <c r="AA387" s="2">
        <v>87.0</v>
      </c>
      <c r="AB387" s="2">
        <v>0.0</v>
      </c>
      <c r="AC387" s="2">
        <v>1.0</v>
      </c>
      <c r="AD387" s="2">
        <v>1.0</v>
      </c>
      <c r="AE387" s="2">
        <v>2.0</v>
      </c>
      <c r="AF387" s="2">
        <v>-4.33746201786562</v>
      </c>
      <c r="AG387" s="2">
        <v>0.0</v>
      </c>
      <c r="AH387" s="2">
        <v>2.0</v>
      </c>
      <c r="AI387" s="2">
        <v>2.0</v>
      </c>
      <c r="AJ387" s="2">
        <v>1.0</v>
      </c>
      <c r="AK387" s="2">
        <v>0.0</v>
      </c>
      <c r="AL387" s="2">
        <v>19.0</v>
      </c>
      <c r="AM387" s="2">
        <v>30.0</v>
      </c>
      <c r="AN387" s="2">
        <v>230.0</v>
      </c>
      <c r="AO387" s="2">
        <v>2.0</v>
      </c>
      <c r="AP387" s="2">
        <v>0.0</v>
      </c>
      <c r="AQ387" s="2">
        <v>0.0</v>
      </c>
      <c r="AR387" s="2">
        <v>334.0</v>
      </c>
      <c r="AS387" s="2">
        <v>55.0</v>
      </c>
      <c r="AT387" s="2">
        <v>11.0</v>
      </c>
      <c r="AU387" s="2">
        <v>4.52680211382765</v>
      </c>
      <c r="AV387" s="2">
        <v>0.0</v>
      </c>
      <c r="AW387" s="2">
        <v>12.0</v>
      </c>
      <c r="AX387" s="2">
        <v>7.0</v>
      </c>
      <c r="AY387" s="2">
        <v>3.0</v>
      </c>
      <c r="AZ387" s="2">
        <v>0.0</v>
      </c>
      <c r="BA387" s="2">
        <v>0.0</v>
      </c>
      <c r="BB387" s="2">
        <v>44.0</v>
      </c>
      <c r="BC387" s="2">
        <v>1.0</v>
      </c>
      <c r="BD387" s="2">
        <v>39.0</v>
      </c>
      <c r="BE387" s="2">
        <v>2.0</v>
      </c>
      <c r="BF387" s="2">
        <v>13.0</v>
      </c>
      <c r="BG387" s="2">
        <v>0.0</v>
      </c>
      <c r="BH387" s="2">
        <v>2.0</v>
      </c>
      <c r="BI387" s="2">
        <v>10.0</v>
      </c>
      <c r="BJ387" s="2">
        <v>6.0</v>
      </c>
      <c r="BK387" s="2">
        <v>1.0</v>
      </c>
      <c r="BL387" s="2">
        <v>11.0</v>
      </c>
      <c r="BM387" s="2">
        <v>7.0</v>
      </c>
      <c r="BN387" s="2">
        <v>0.0</v>
      </c>
      <c r="BO387" s="2">
        <v>1.0</v>
      </c>
      <c r="BP387" s="2">
        <v>0.0</v>
      </c>
      <c r="BQ387" s="2">
        <v>0.0</v>
      </c>
      <c r="BR387" s="2">
        <v>1.0</v>
      </c>
      <c r="BS387" s="2">
        <v>0.0</v>
      </c>
      <c r="BT387" s="2">
        <v>0.0</v>
      </c>
      <c r="BU387" s="2">
        <v>0.0</v>
      </c>
      <c r="BV387" s="2">
        <v>0.0</v>
      </c>
      <c r="BW387" s="2">
        <v>7.0</v>
      </c>
      <c r="BX387" s="2">
        <v>44.0</v>
      </c>
      <c r="BY387" s="2">
        <v>3.0</v>
      </c>
      <c r="BZ387" s="2">
        <v>1.0</v>
      </c>
      <c r="CA387" s="2">
        <v>1.0</v>
      </c>
      <c r="CB387" s="2">
        <v>0.0</v>
      </c>
      <c r="CC387" s="2">
        <v>2.0</v>
      </c>
      <c r="CD387" s="2">
        <v>1.0</v>
      </c>
      <c r="CE387" s="2">
        <v>1.0</v>
      </c>
      <c r="CF387" s="2">
        <v>9.0</v>
      </c>
      <c r="CG387" s="2">
        <v>3.0</v>
      </c>
      <c r="CH387" s="2">
        <v>69.0</v>
      </c>
      <c r="CI387" s="2">
        <v>1.0</v>
      </c>
      <c r="CJ387" s="2">
        <v>2.0</v>
      </c>
      <c r="CK387" s="2">
        <v>1.0</v>
      </c>
      <c r="CL387" s="2">
        <v>0.0</v>
      </c>
      <c r="CM387" s="2">
        <v>44.0</v>
      </c>
      <c r="CN387" s="2">
        <v>0.5</v>
      </c>
      <c r="CO387" s="2">
        <v>0.0</v>
      </c>
      <c r="CP387" s="2">
        <v>0.0</v>
      </c>
      <c r="CQ387" s="2">
        <v>0.0</v>
      </c>
      <c r="CR387" s="2">
        <v>1.0</v>
      </c>
      <c r="CS387" s="2">
        <v>0.0</v>
      </c>
      <c r="CT387" s="2">
        <v>0.0</v>
      </c>
      <c r="CU387" s="2">
        <v>0.0</v>
      </c>
      <c r="CV387" s="2">
        <v>0.0</v>
      </c>
      <c r="CW387" s="2">
        <v>0.0</v>
      </c>
      <c r="CX387" s="2">
        <v>0.0</v>
      </c>
      <c r="CY387" s="2">
        <v>1.0</v>
      </c>
      <c r="CZ387" s="2">
        <v>0.0</v>
      </c>
      <c r="DA387" s="2" t="s">
        <v>1962</v>
      </c>
      <c r="DB387" s="2" t="s">
        <v>2034</v>
      </c>
      <c r="DD387" s="2">
        <v>44.0</v>
      </c>
      <c r="DE387" s="2">
        <v>52.0</v>
      </c>
      <c r="DF387" s="2">
        <v>0.0</v>
      </c>
      <c r="DG387" s="2">
        <v>0.0</v>
      </c>
      <c r="DH387" s="2">
        <v>1.0</v>
      </c>
      <c r="DI387" s="2">
        <v>1.0</v>
      </c>
      <c r="DJ387" s="2">
        <v>0.0</v>
      </c>
      <c r="DK387" s="2">
        <v>0.0</v>
      </c>
      <c r="DL387" s="2">
        <v>0.0</v>
      </c>
      <c r="DM387" s="2">
        <v>0.0</v>
      </c>
      <c r="DN387" s="2">
        <v>0.0</v>
      </c>
      <c r="DO387" s="2">
        <v>0.0</v>
      </c>
      <c r="DP387" s="2">
        <v>0.0</v>
      </c>
      <c r="DQ387" s="2">
        <v>5.0</v>
      </c>
      <c r="DR387" s="2">
        <v>0.0</v>
      </c>
      <c r="DS387" s="2">
        <v>63.0</v>
      </c>
      <c r="DT387" s="2">
        <v>245.0</v>
      </c>
      <c r="DU387" s="2">
        <v>1.0</v>
      </c>
      <c r="DV387" s="2">
        <v>2.0</v>
      </c>
      <c r="DW387" s="2">
        <v>0.0</v>
      </c>
      <c r="DX387" s="2">
        <v>1.0</v>
      </c>
      <c r="DY387" s="2">
        <v>1.0</v>
      </c>
      <c r="DZ387" s="2">
        <v>1.0</v>
      </c>
      <c r="EA387" s="2">
        <v>12.0</v>
      </c>
      <c r="EB387" s="2">
        <v>0.0</v>
      </c>
      <c r="EC387" s="2">
        <v>213.0</v>
      </c>
      <c r="EE387" s="2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2">
        <v>2025.0</v>
      </c>
      <c r="B388" s="2">
        <v>13.0</v>
      </c>
      <c r="C388" s="2" t="s">
        <v>242</v>
      </c>
      <c r="D388" s="2" t="s">
        <v>390</v>
      </c>
      <c r="E388" s="2" t="s">
        <v>1015</v>
      </c>
      <c r="F388" s="2" t="s">
        <v>136</v>
      </c>
      <c r="G388" s="2">
        <v>10.0</v>
      </c>
      <c r="H388" s="2">
        <v>24.0</v>
      </c>
      <c r="I388" s="2">
        <v>117.0</v>
      </c>
      <c r="J388" s="2">
        <v>0.0</v>
      </c>
      <c r="K388" s="2">
        <v>1.0</v>
      </c>
      <c r="L388" s="2">
        <v>1.0</v>
      </c>
      <c r="M388" s="2">
        <v>-9.0</v>
      </c>
      <c r="N388" s="2">
        <v>1.0</v>
      </c>
      <c r="O388" s="2">
        <v>1.0</v>
      </c>
      <c r="P388" s="2">
        <v>121.0</v>
      </c>
      <c r="Q388" s="2">
        <v>97.0</v>
      </c>
      <c r="R388" s="2">
        <v>4.0</v>
      </c>
      <c r="S388" s="2">
        <v>-11.8672660533339</v>
      </c>
      <c r="T388" s="2">
        <v>-26.5822449868376</v>
      </c>
      <c r="U388" s="2">
        <v>0.0</v>
      </c>
      <c r="V388" s="2">
        <v>5.0</v>
      </c>
      <c r="W388" s="2">
        <v>3.0</v>
      </c>
      <c r="X388" s="2">
        <v>1.0</v>
      </c>
      <c r="Y388" s="2">
        <v>0.0</v>
      </c>
      <c r="Z388" s="2">
        <v>18.0</v>
      </c>
      <c r="AA388" s="2">
        <v>58.0</v>
      </c>
      <c r="AB388" s="2">
        <v>1.0</v>
      </c>
      <c r="AC388" s="2">
        <v>0.0</v>
      </c>
      <c r="AD388" s="2">
        <v>0.0</v>
      </c>
      <c r="AE388" s="2">
        <v>5.0</v>
      </c>
      <c r="AF388" s="2">
        <v>-6.37544758047443</v>
      </c>
      <c r="AG388" s="2">
        <v>0.0</v>
      </c>
      <c r="AH388" s="2">
        <v>3.0</v>
      </c>
      <c r="AI388" s="2">
        <v>2.0</v>
      </c>
      <c r="AJ388" s="2">
        <v>0.0</v>
      </c>
      <c r="AK388" s="2">
        <v>0.0</v>
      </c>
      <c r="AL388" s="2">
        <v>10.0</v>
      </c>
      <c r="AM388" s="2">
        <v>22.0</v>
      </c>
      <c r="AN388" s="2">
        <v>117.0</v>
      </c>
      <c r="AO388" s="2">
        <v>0.0</v>
      </c>
      <c r="AP388" s="2">
        <v>0.0</v>
      </c>
      <c r="AQ388" s="2">
        <v>0.0</v>
      </c>
      <c r="AR388" s="2">
        <v>121.0</v>
      </c>
      <c r="AS388" s="2">
        <v>97.0</v>
      </c>
      <c r="AT388" s="2">
        <v>4.0</v>
      </c>
      <c r="AU388" s="2">
        <v>-2.44636796659324</v>
      </c>
      <c r="AV388" s="2">
        <v>0.0</v>
      </c>
      <c r="AW388" s="2">
        <v>5.0</v>
      </c>
      <c r="AX388" s="2">
        <v>3.0</v>
      </c>
      <c r="AY388" s="2">
        <v>1.0</v>
      </c>
      <c r="AZ388" s="2">
        <v>0.0</v>
      </c>
      <c r="BA388" s="2">
        <v>0.0</v>
      </c>
      <c r="BB388" s="2">
        <v>40.0</v>
      </c>
      <c r="BC388" s="2">
        <v>2.0</v>
      </c>
      <c r="BD388" s="2">
        <v>50.0</v>
      </c>
      <c r="BE388" s="2">
        <v>4.0</v>
      </c>
      <c r="BF388" s="2">
        <v>13.0</v>
      </c>
      <c r="BG388" s="2">
        <v>2.0</v>
      </c>
      <c r="BH388" s="2">
        <v>0.0</v>
      </c>
      <c r="BI388" s="2">
        <v>0.0</v>
      </c>
      <c r="BJ388" s="2">
        <v>1.0</v>
      </c>
      <c r="BK388" s="2">
        <v>1.0</v>
      </c>
      <c r="BL388" s="2">
        <v>0.0</v>
      </c>
      <c r="BM388" s="2">
        <v>3.0</v>
      </c>
      <c r="BN388" s="2">
        <v>0.0</v>
      </c>
      <c r="BO388" s="2">
        <v>0.0</v>
      </c>
      <c r="BP388" s="2">
        <v>0.0</v>
      </c>
      <c r="BQ388" s="2">
        <v>0.0</v>
      </c>
      <c r="BR388" s="2">
        <v>1.0</v>
      </c>
      <c r="BS388" s="2">
        <v>-16.0</v>
      </c>
      <c r="BT388" s="2">
        <v>1.0</v>
      </c>
      <c r="BU388" s="2">
        <v>0.0</v>
      </c>
      <c r="BV388" s="2">
        <v>0.0</v>
      </c>
      <c r="BW388" s="2">
        <v>5.0</v>
      </c>
      <c r="BX388" s="2">
        <v>67.0</v>
      </c>
      <c r="BY388" s="2">
        <v>4.0</v>
      </c>
      <c r="BZ388" s="2">
        <v>1.0</v>
      </c>
      <c r="CA388" s="2">
        <v>1.0</v>
      </c>
      <c r="CB388" s="2">
        <v>0.0</v>
      </c>
      <c r="CC388" s="2">
        <v>2.0</v>
      </c>
      <c r="CD388" s="2">
        <v>1.0</v>
      </c>
      <c r="CE388" s="2">
        <v>1.0</v>
      </c>
      <c r="CF388" s="2">
        <v>12.0</v>
      </c>
      <c r="CG388" s="2">
        <v>5.0</v>
      </c>
      <c r="CH388" s="2">
        <v>115.0</v>
      </c>
      <c r="CI388" s="2">
        <v>0.0</v>
      </c>
      <c r="CJ388" s="2">
        <v>0.0</v>
      </c>
      <c r="CK388" s="2">
        <v>0.0</v>
      </c>
      <c r="CL388" s="2">
        <v>0.0</v>
      </c>
      <c r="CO388" s="2">
        <v>0.0</v>
      </c>
      <c r="CP388" s="2">
        <v>0.0</v>
      </c>
      <c r="CQ388" s="2">
        <v>0.0</v>
      </c>
      <c r="CR388" s="2">
        <v>0.0</v>
      </c>
      <c r="CS388" s="2">
        <v>0.0</v>
      </c>
      <c r="CT388" s="2">
        <v>0.0</v>
      </c>
      <c r="CU388" s="2">
        <v>0.0</v>
      </c>
      <c r="CV388" s="2">
        <v>0.0</v>
      </c>
      <c r="CW388" s="2">
        <v>0.0</v>
      </c>
      <c r="CX388" s="2">
        <v>0.0</v>
      </c>
      <c r="CY388" s="2">
        <v>0.0</v>
      </c>
      <c r="CZ388" s="2">
        <v>0.0</v>
      </c>
      <c r="DD388" s="2">
        <v>0.0</v>
      </c>
      <c r="DE388" s="2">
        <v>0.0</v>
      </c>
      <c r="DF388" s="2">
        <v>0.0</v>
      </c>
      <c r="DG388" s="2">
        <v>1.0</v>
      </c>
      <c r="DH388" s="2">
        <v>1.0</v>
      </c>
      <c r="DI388" s="2">
        <v>0.0</v>
      </c>
      <c r="DJ388" s="2">
        <v>0.0</v>
      </c>
      <c r="DK388" s="2">
        <v>1.0</v>
      </c>
      <c r="DL388" s="2">
        <v>0.0</v>
      </c>
      <c r="DM388" s="2">
        <v>0.0</v>
      </c>
      <c r="DN388" s="2">
        <v>0.0</v>
      </c>
      <c r="DO388" s="2">
        <v>0.0</v>
      </c>
      <c r="DP388" s="2">
        <v>0.0</v>
      </c>
      <c r="DQ388" s="2">
        <v>4.0</v>
      </c>
      <c r="DR388" s="2">
        <v>0.0</v>
      </c>
      <c r="DS388" s="2">
        <v>51.0</v>
      </c>
      <c r="DT388" s="2">
        <v>161.0</v>
      </c>
      <c r="DU388" s="2">
        <v>2.0</v>
      </c>
      <c r="DV388" s="2">
        <v>0.0</v>
      </c>
      <c r="DW388" s="2">
        <v>1.0</v>
      </c>
      <c r="DX388" s="2">
        <v>0.0</v>
      </c>
      <c r="DY388" s="2">
        <v>3.0</v>
      </c>
      <c r="DZ388" s="2">
        <v>0.0</v>
      </c>
      <c r="EA388" s="2">
        <v>0.0</v>
      </c>
      <c r="EB388" s="2">
        <v>0.0</v>
      </c>
      <c r="EC388" s="2">
        <v>161.0</v>
      </c>
      <c r="EE388" s="2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2">
        <v>2025.0</v>
      </c>
      <c r="B389" s="2">
        <v>13.0</v>
      </c>
      <c r="C389" s="2" t="s">
        <v>149</v>
      </c>
      <c r="D389" s="2" t="s">
        <v>390</v>
      </c>
      <c r="E389" s="2" t="s">
        <v>1009</v>
      </c>
      <c r="F389" s="2" t="s">
        <v>144</v>
      </c>
      <c r="G389" s="2">
        <v>14.0</v>
      </c>
      <c r="H389" s="2">
        <v>26.0</v>
      </c>
      <c r="I389" s="2">
        <v>128.0</v>
      </c>
      <c r="J389" s="2">
        <v>0.0</v>
      </c>
      <c r="K389" s="2">
        <v>0.0</v>
      </c>
      <c r="L389" s="2">
        <v>4.0</v>
      </c>
      <c r="M389" s="2">
        <v>-34.0</v>
      </c>
      <c r="N389" s="2">
        <v>2.0</v>
      </c>
      <c r="O389" s="2">
        <v>1.0</v>
      </c>
      <c r="P389" s="2">
        <v>93.0</v>
      </c>
      <c r="Q389" s="2">
        <v>110.0</v>
      </c>
      <c r="R389" s="2">
        <v>8.0</v>
      </c>
      <c r="S389" s="2">
        <v>-8.51497631160723</v>
      </c>
      <c r="T389" s="2">
        <v>-15.9449534571689</v>
      </c>
      <c r="U389" s="2">
        <v>0.0</v>
      </c>
      <c r="V389" s="2">
        <v>6.0</v>
      </c>
      <c r="W389" s="2">
        <v>2.0</v>
      </c>
      <c r="X389" s="2">
        <v>1.0</v>
      </c>
      <c r="Y389" s="2">
        <v>0.0</v>
      </c>
      <c r="Z389" s="2">
        <v>32.0</v>
      </c>
      <c r="AA389" s="2">
        <v>125.0</v>
      </c>
      <c r="AB389" s="2">
        <v>1.0</v>
      </c>
      <c r="AC389" s="2">
        <v>0.0</v>
      </c>
      <c r="AD389" s="2">
        <v>0.0</v>
      </c>
      <c r="AE389" s="2">
        <v>8.0</v>
      </c>
      <c r="AF389" s="2">
        <v>-2.51389927254058</v>
      </c>
      <c r="AG389" s="2">
        <v>0.0</v>
      </c>
      <c r="AH389" s="2">
        <v>2.0</v>
      </c>
      <c r="AI389" s="2">
        <v>2.0</v>
      </c>
      <c r="AJ389" s="2">
        <v>1.0</v>
      </c>
      <c r="AK389" s="2">
        <v>0.0</v>
      </c>
      <c r="AL389" s="2">
        <v>14.0</v>
      </c>
      <c r="AM389" s="2">
        <v>23.0</v>
      </c>
      <c r="AN389" s="2">
        <v>128.0</v>
      </c>
      <c r="AO389" s="2">
        <v>0.0</v>
      </c>
      <c r="AP389" s="2">
        <v>0.0</v>
      </c>
      <c r="AQ389" s="2">
        <v>0.0</v>
      </c>
      <c r="AR389" s="2">
        <v>93.0</v>
      </c>
      <c r="AS389" s="2">
        <v>110.0</v>
      </c>
      <c r="AT389" s="2">
        <v>8.0</v>
      </c>
      <c r="AU389" s="2">
        <v>4.70250929422949</v>
      </c>
      <c r="AV389" s="2">
        <v>0.0</v>
      </c>
      <c r="AW389" s="2">
        <v>6.0</v>
      </c>
      <c r="AX389" s="2">
        <v>2.0</v>
      </c>
      <c r="AY389" s="2">
        <v>1.0</v>
      </c>
      <c r="AZ389" s="2">
        <v>0.0</v>
      </c>
      <c r="BA389" s="2">
        <v>0.0</v>
      </c>
      <c r="BB389" s="2">
        <v>32.0</v>
      </c>
      <c r="BC389" s="2">
        <v>2.0</v>
      </c>
      <c r="BD389" s="2">
        <v>24.0</v>
      </c>
      <c r="BE389" s="2">
        <v>4.0</v>
      </c>
      <c r="BF389" s="2">
        <v>27.0</v>
      </c>
      <c r="BG389" s="2">
        <v>2.0</v>
      </c>
      <c r="BH389" s="2">
        <v>4.0</v>
      </c>
      <c r="BI389" s="2">
        <v>30.0</v>
      </c>
      <c r="BJ389" s="2">
        <v>7.0</v>
      </c>
      <c r="BK389" s="2">
        <v>4.0</v>
      </c>
      <c r="BL389" s="2">
        <v>121.0</v>
      </c>
      <c r="BM389" s="2">
        <v>6.0</v>
      </c>
      <c r="BN389" s="2">
        <v>1.0</v>
      </c>
      <c r="BO389" s="2">
        <v>1.0</v>
      </c>
      <c r="BP389" s="2">
        <v>0.0</v>
      </c>
      <c r="BQ389" s="2">
        <v>0.0</v>
      </c>
      <c r="BR389" s="2">
        <v>1.0</v>
      </c>
      <c r="BS389" s="2">
        <v>0.0</v>
      </c>
      <c r="BT389" s="2">
        <v>1.0</v>
      </c>
      <c r="BU389" s="2">
        <v>0.0</v>
      </c>
      <c r="BV389" s="2">
        <v>0.0</v>
      </c>
      <c r="BW389" s="2">
        <v>4.0</v>
      </c>
      <c r="BX389" s="2">
        <v>25.0</v>
      </c>
      <c r="BY389" s="2">
        <v>2.0</v>
      </c>
      <c r="BZ389" s="2">
        <v>3.0</v>
      </c>
      <c r="CA389" s="2">
        <v>0.0</v>
      </c>
      <c r="CB389" s="2">
        <v>0.0</v>
      </c>
      <c r="CC389" s="2">
        <v>3.0</v>
      </c>
      <c r="CD389" s="2">
        <v>2.0</v>
      </c>
      <c r="CE389" s="2">
        <v>3.0</v>
      </c>
      <c r="CF389" s="2">
        <v>43.0</v>
      </c>
      <c r="CG389" s="2">
        <v>0.0</v>
      </c>
      <c r="CH389" s="2">
        <v>0.0</v>
      </c>
      <c r="CI389" s="2">
        <v>4.0</v>
      </c>
      <c r="CJ389" s="2">
        <v>4.0</v>
      </c>
      <c r="CK389" s="2">
        <v>0.0</v>
      </c>
      <c r="CL389" s="2">
        <v>0.0</v>
      </c>
      <c r="CM389" s="2">
        <v>56.0</v>
      </c>
      <c r="CN389" s="2">
        <v>1.0</v>
      </c>
      <c r="CO389" s="2">
        <v>0.0</v>
      </c>
      <c r="CP389" s="2">
        <v>0.0</v>
      </c>
      <c r="CQ389" s="2">
        <v>1.0</v>
      </c>
      <c r="CR389" s="2">
        <v>1.0</v>
      </c>
      <c r="CS389" s="2">
        <v>2.0</v>
      </c>
      <c r="CT389" s="2">
        <v>0.0</v>
      </c>
      <c r="CU389" s="2">
        <v>0.0</v>
      </c>
      <c r="CV389" s="2">
        <v>0.0</v>
      </c>
      <c r="CW389" s="2">
        <v>0.0</v>
      </c>
      <c r="CX389" s="2">
        <v>0.0</v>
      </c>
      <c r="CY389" s="2">
        <v>0.0</v>
      </c>
      <c r="CZ389" s="2">
        <v>0.0</v>
      </c>
      <c r="DA389" s="2" t="s">
        <v>2207</v>
      </c>
      <c r="DD389" s="2">
        <v>183.0</v>
      </c>
      <c r="DE389" s="2">
        <v>0.0</v>
      </c>
      <c r="DF389" s="2">
        <v>0.0</v>
      </c>
      <c r="DG389" s="2">
        <v>2.0</v>
      </c>
      <c r="DH389" s="2">
        <v>2.0</v>
      </c>
      <c r="DI389" s="2">
        <v>0.0</v>
      </c>
      <c r="DJ389" s="2">
        <v>0.0</v>
      </c>
      <c r="DK389" s="2">
        <v>1.0</v>
      </c>
      <c r="DL389" s="2">
        <v>0.0</v>
      </c>
      <c r="DM389" s="2">
        <v>0.0</v>
      </c>
      <c r="DN389" s="2">
        <v>0.0</v>
      </c>
      <c r="DO389" s="2">
        <v>0.0</v>
      </c>
      <c r="DP389" s="2">
        <v>0.0</v>
      </c>
      <c r="DQ389" s="2">
        <v>4.0</v>
      </c>
      <c r="DR389" s="2">
        <v>0.0</v>
      </c>
      <c r="DS389" s="2">
        <v>56.0</v>
      </c>
      <c r="DT389" s="2">
        <v>203.0</v>
      </c>
      <c r="DU389" s="2">
        <v>2.0</v>
      </c>
      <c r="DV389" s="2">
        <v>0.0</v>
      </c>
      <c r="DW389" s="2">
        <v>2.0</v>
      </c>
      <c r="DX389" s="2">
        <v>1.0</v>
      </c>
      <c r="DY389" s="2">
        <v>1.0</v>
      </c>
      <c r="DZ389" s="2">
        <v>0.0</v>
      </c>
      <c r="EA389" s="2">
        <v>0.0</v>
      </c>
      <c r="EB389" s="2">
        <v>0.0</v>
      </c>
      <c r="EC389" s="2">
        <v>183.0</v>
      </c>
      <c r="EE389" s="2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2">
        <v>2025.0</v>
      </c>
      <c r="B390" s="2">
        <v>13.0</v>
      </c>
      <c r="C390" s="2" t="s">
        <v>246</v>
      </c>
      <c r="D390" s="2" t="s">
        <v>390</v>
      </c>
      <c r="E390" s="2" t="s">
        <v>997</v>
      </c>
      <c r="F390" s="2" t="s">
        <v>196</v>
      </c>
      <c r="G390" s="2">
        <v>16.0</v>
      </c>
      <c r="H390" s="2">
        <v>30.0</v>
      </c>
      <c r="I390" s="2">
        <v>168.0</v>
      </c>
      <c r="J390" s="2">
        <v>1.0</v>
      </c>
      <c r="K390" s="2">
        <v>0.0</v>
      </c>
      <c r="L390" s="2">
        <v>1.0</v>
      </c>
      <c r="M390" s="2">
        <v>-7.0</v>
      </c>
      <c r="N390" s="2">
        <v>0.0</v>
      </c>
      <c r="O390" s="2">
        <v>0.0</v>
      </c>
      <c r="P390" s="2">
        <v>266.0</v>
      </c>
      <c r="Q390" s="2">
        <v>44.0</v>
      </c>
      <c r="R390" s="2">
        <v>11.0</v>
      </c>
      <c r="S390" s="2">
        <v>2.64399214035655</v>
      </c>
      <c r="T390" s="2">
        <v>9.48565926240838</v>
      </c>
      <c r="U390" s="2">
        <v>0.0</v>
      </c>
      <c r="V390" s="2">
        <v>8.0</v>
      </c>
      <c r="W390" s="2">
        <v>2.0</v>
      </c>
      <c r="X390" s="2">
        <v>2.0</v>
      </c>
      <c r="Y390" s="2">
        <v>0.0</v>
      </c>
      <c r="Z390" s="2">
        <v>33.0</v>
      </c>
      <c r="AA390" s="2">
        <v>91.0</v>
      </c>
      <c r="AB390" s="2">
        <v>2.0</v>
      </c>
      <c r="AC390" s="2">
        <v>0.0</v>
      </c>
      <c r="AD390" s="2">
        <v>0.0</v>
      </c>
      <c r="AE390" s="2">
        <v>7.0</v>
      </c>
      <c r="AF390" s="2">
        <v>-2.86520455864957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16.0</v>
      </c>
      <c r="AM390" s="2">
        <v>23.0</v>
      </c>
      <c r="AN390" s="2">
        <v>168.0</v>
      </c>
      <c r="AO390" s="2">
        <v>1.0</v>
      </c>
      <c r="AP390" s="2">
        <v>0.0</v>
      </c>
      <c r="AQ390" s="2">
        <v>0.0</v>
      </c>
      <c r="AR390" s="2">
        <v>266.0</v>
      </c>
      <c r="AS390" s="2">
        <v>44.0</v>
      </c>
      <c r="AT390" s="2">
        <v>11.0</v>
      </c>
      <c r="AU390" s="2">
        <v>9.70314447871932</v>
      </c>
      <c r="AV390" s="2">
        <v>0.0</v>
      </c>
      <c r="AW390" s="2">
        <v>8.0</v>
      </c>
      <c r="AX390" s="2">
        <v>2.0</v>
      </c>
      <c r="AY390" s="2">
        <v>2.0</v>
      </c>
      <c r="AZ390" s="2">
        <v>0.0</v>
      </c>
      <c r="BA390" s="2">
        <v>0.0</v>
      </c>
      <c r="BB390" s="2">
        <v>37.0</v>
      </c>
      <c r="BC390" s="2">
        <v>1.0</v>
      </c>
      <c r="BD390" s="2">
        <v>31.0</v>
      </c>
      <c r="BE390" s="2">
        <v>5.0</v>
      </c>
      <c r="BF390" s="2">
        <v>36.0</v>
      </c>
      <c r="BG390" s="2">
        <v>1.0</v>
      </c>
      <c r="BH390" s="2">
        <v>3.0</v>
      </c>
      <c r="BI390" s="2">
        <v>34.0</v>
      </c>
      <c r="BJ390" s="2">
        <v>6.0</v>
      </c>
      <c r="BK390" s="2">
        <v>0.0</v>
      </c>
      <c r="BL390" s="2">
        <v>0.0</v>
      </c>
      <c r="BM390" s="2">
        <v>1.0</v>
      </c>
      <c r="BN390" s="2">
        <v>0.0</v>
      </c>
      <c r="BO390" s="2">
        <v>0.0</v>
      </c>
      <c r="BP390" s="2">
        <v>0.0</v>
      </c>
      <c r="BQ390" s="2">
        <v>0.0</v>
      </c>
      <c r="BR390" s="2">
        <v>0.0</v>
      </c>
      <c r="BS390" s="2">
        <v>0.0</v>
      </c>
      <c r="BT390" s="2">
        <v>2.0</v>
      </c>
      <c r="BU390" s="2">
        <v>0.0</v>
      </c>
      <c r="BV390" s="2">
        <v>0.0</v>
      </c>
      <c r="BW390" s="2">
        <v>3.0</v>
      </c>
      <c r="BX390" s="2">
        <v>11.0</v>
      </c>
      <c r="BY390" s="2">
        <v>5.0</v>
      </c>
      <c r="BZ390" s="2">
        <v>0.0</v>
      </c>
      <c r="CA390" s="2">
        <v>0.0</v>
      </c>
      <c r="CB390" s="2">
        <v>0.0</v>
      </c>
      <c r="CC390" s="2">
        <v>0.0</v>
      </c>
      <c r="CD390" s="2">
        <v>0.0</v>
      </c>
      <c r="CE390" s="2">
        <v>3.0</v>
      </c>
      <c r="CF390" s="2">
        <v>69.0</v>
      </c>
      <c r="CG390" s="2">
        <v>1.0</v>
      </c>
      <c r="CH390" s="2">
        <v>24.0</v>
      </c>
      <c r="CI390" s="2">
        <v>2.0</v>
      </c>
      <c r="CJ390" s="2">
        <v>2.0</v>
      </c>
      <c r="CK390" s="2">
        <v>0.0</v>
      </c>
      <c r="CL390" s="2">
        <v>0.0</v>
      </c>
      <c r="CM390" s="2">
        <v>31.0</v>
      </c>
      <c r="CN390" s="2">
        <v>1.0</v>
      </c>
      <c r="CO390" s="2">
        <v>0.0</v>
      </c>
      <c r="CP390" s="2">
        <v>1.0</v>
      </c>
      <c r="CQ390" s="2">
        <v>1.0</v>
      </c>
      <c r="CR390" s="2">
        <v>0.0</v>
      </c>
      <c r="CS390" s="2">
        <v>0.0</v>
      </c>
      <c r="CT390" s="2">
        <v>0.0</v>
      </c>
      <c r="CU390" s="2">
        <v>0.0</v>
      </c>
      <c r="CV390" s="2">
        <v>0.0</v>
      </c>
      <c r="CW390" s="2">
        <v>0.0</v>
      </c>
      <c r="CX390" s="2">
        <v>0.0</v>
      </c>
      <c r="CY390" s="2">
        <v>0.0</v>
      </c>
      <c r="CZ390" s="2">
        <v>0.0</v>
      </c>
      <c r="DA390" s="2" t="s">
        <v>2208</v>
      </c>
      <c r="DD390" s="2">
        <v>56.0</v>
      </c>
      <c r="DE390" s="2">
        <v>0.0</v>
      </c>
      <c r="DF390" s="2">
        <v>0.0</v>
      </c>
      <c r="DG390" s="2">
        <v>2.0</v>
      </c>
      <c r="DH390" s="2">
        <v>2.0</v>
      </c>
      <c r="DI390" s="2">
        <v>0.0</v>
      </c>
      <c r="DJ390" s="2">
        <v>0.0</v>
      </c>
      <c r="DK390" s="2">
        <v>1.0</v>
      </c>
      <c r="DL390" s="2">
        <v>0.0</v>
      </c>
      <c r="DM390" s="2">
        <v>0.0</v>
      </c>
      <c r="DN390" s="2">
        <v>0.0</v>
      </c>
      <c r="DO390" s="2">
        <v>0.0</v>
      </c>
      <c r="DP390" s="2">
        <v>0.0</v>
      </c>
      <c r="DQ390" s="2">
        <v>5.0</v>
      </c>
      <c r="DR390" s="2">
        <v>0.0</v>
      </c>
      <c r="DS390" s="2">
        <v>42.0</v>
      </c>
      <c r="DT390" s="2">
        <v>178.0</v>
      </c>
      <c r="DU390" s="2">
        <v>3.0</v>
      </c>
      <c r="DV390" s="2">
        <v>0.0</v>
      </c>
      <c r="DW390" s="2">
        <v>0.0</v>
      </c>
      <c r="DX390" s="2">
        <v>0.0</v>
      </c>
      <c r="DY390" s="2">
        <v>2.0</v>
      </c>
      <c r="DZ390" s="2">
        <v>3.0</v>
      </c>
      <c r="EA390" s="2">
        <v>3.0</v>
      </c>
      <c r="EB390" s="2">
        <v>0.0</v>
      </c>
      <c r="EC390" s="2">
        <v>175.0</v>
      </c>
      <c r="EE390" s="2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2">
        <v>2025.0</v>
      </c>
      <c r="B391" s="2">
        <v>13.0</v>
      </c>
      <c r="C391" s="2" t="s">
        <v>150</v>
      </c>
      <c r="D391" s="2" t="s">
        <v>390</v>
      </c>
      <c r="E391" s="2" t="s">
        <v>1005</v>
      </c>
      <c r="F391" s="2" t="s">
        <v>178</v>
      </c>
      <c r="G391" s="2">
        <v>18.0</v>
      </c>
      <c r="H391" s="2">
        <v>28.0</v>
      </c>
      <c r="I391" s="2">
        <v>194.0</v>
      </c>
      <c r="J391" s="2">
        <v>1.0</v>
      </c>
      <c r="K391" s="2">
        <v>0.0</v>
      </c>
      <c r="L391" s="2">
        <v>2.0</v>
      </c>
      <c r="M391" s="2">
        <v>-10.0</v>
      </c>
      <c r="N391" s="2">
        <v>1.0</v>
      </c>
      <c r="O391" s="2">
        <v>0.0</v>
      </c>
      <c r="P391" s="2">
        <v>208.0</v>
      </c>
      <c r="Q391" s="2">
        <v>151.0</v>
      </c>
      <c r="R391" s="2">
        <v>8.0</v>
      </c>
      <c r="S391" s="2">
        <v>1.75006121588332</v>
      </c>
      <c r="T391" s="2">
        <v>-0.580390829306382</v>
      </c>
      <c r="U391" s="2">
        <v>0.0</v>
      </c>
      <c r="V391" s="2">
        <v>7.0</v>
      </c>
      <c r="W391" s="2">
        <v>5.0</v>
      </c>
      <c r="X391" s="2">
        <v>5.0</v>
      </c>
      <c r="Y391" s="2">
        <v>0.0</v>
      </c>
      <c r="Z391" s="2">
        <v>27.0</v>
      </c>
      <c r="AA391" s="2">
        <v>95.0</v>
      </c>
      <c r="AB391" s="2">
        <v>1.0</v>
      </c>
      <c r="AC391" s="2">
        <v>0.0</v>
      </c>
      <c r="AD391" s="2">
        <v>0.0</v>
      </c>
      <c r="AE391" s="2">
        <v>5.0</v>
      </c>
      <c r="AF391" s="2">
        <v>-2.47179877656163</v>
      </c>
      <c r="AG391" s="2">
        <v>0.0</v>
      </c>
      <c r="AH391" s="2">
        <v>2.0</v>
      </c>
      <c r="AI391" s="2">
        <v>2.0</v>
      </c>
      <c r="AJ391" s="2">
        <v>1.0</v>
      </c>
      <c r="AK391" s="2">
        <v>0.0</v>
      </c>
      <c r="AL391" s="2">
        <v>18.0</v>
      </c>
      <c r="AM391" s="2">
        <v>26.0</v>
      </c>
      <c r="AN391" s="2">
        <v>194.0</v>
      </c>
      <c r="AO391" s="2">
        <v>1.0</v>
      </c>
      <c r="AP391" s="2">
        <v>0.0</v>
      </c>
      <c r="AQ391" s="2">
        <v>0.0</v>
      </c>
      <c r="AR391" s="2">
        <v>208.0</v>
      </c>
      <c r="AS391" s="2">
        <v>151.0</v>
      </c>
      <c r="AT391" s="2">
        <v>8.0</v>
      </c>
      <c r="AU391" s="2">
        <v>6.88744705454839</v>
      </c>
      <c r="AV391" s="2">
        <v>0.0</v>
      </c>
      <c r="AW391" s="2">
        <v>7.0</v>
      </c>
      <c r="AX391" s="2">
        <v>5.0</v>
      </c>
      <c r="AY391" s="2">
        <v>5.0</v>
      </c>
      <c r="AZ391" s="2">
        <v>0.0</v>
      </c>
      <c r="BA391" s="2">
        <v>0.0</v>
      </c>
      <c r="BB391" s="2">
        <v>42.0</v>
      </c>
      <c r="BC391" s="2">
        <v>1.0</v>
      </c>
      <c r="BD391" s="2">
        <v>27.0</v>
      </c>
      <c r="BE391" s="2">
        <v>3.0</v>
      </c>
      <c r="BF391" s="2">
        <v>12.0</v>
      </c>
      <c r="BG391" s="2">
        <v>1.0</v>
      </c>
      <c r="BH391" s="2">
        <v>2.0</v>
      </c>
      <c r="BI391" s="2">
        <v>10.0</v>
      </c>
      <c r="BJ391" s="2">
        <v>7.0</v>
      </c>
      <c r="BK391" s="2">
        <v>1.0</v>
      </c>
      <c r="BL391" s="2">
        <v>5.0</v>
      </c>
      <c r="BM391" s="2">
        <v>3.0</v>
      </c>
      <c r="BN391" s="2">
        <v>0.0</v>
      </c>
      <c r="BO391" s="2">
        <v>0.0</v>
      </c>
      <c r="BP391" s="2">
        <v>0.0</v>
      </c>
      <c r="BQ391" s="2">
        <v>0.0</v>
      </c>
      <c r="BR391" s="2">
        <v>1.0</v>
      </c>
      <c r="BS391" s="2">
        <v>0.0</v>
      </c>
      <c r="BT391" s="2">
        <v>1.0</v>
      </c>
      <c r="BU391" s="2">
        <v>0.0</v>
      </c>
      <c r="BV391" s="2">
        <v>0.0</v>
      </c>
      <c r="BW391" s="2">
        <v>5.0</v>
      </c>
      <c r="BX391" s="2">
        <v>40.0</v>
      </c>
      <c r="BY391" s="2">
        <v>2.0</v>
      </c>
      <c r="BZ391" s="2">
        <v>1.0</v>
      </c>
      <c r="CA391" s="2">
        <v>0.0</v>
      </c>
      <c r="CB391" s="2">
        <v>0.0</v>
      </c>
      <c r="CC391" s="2">
        <v>1.0</v>
      </c>
      <c r="CD391" s="2">
        <v>0.0</v>
      </c>
      <c r="CE391" s="2">
        <v>2.0</v>
      </c>
      <c r="CF391" s="2">
        <v>23.0</v>
      </c>
      <c r="CG391" s="2">
        <v>2.0</v>
      </c>
      <c r="CH391" s="2">
        <v>46.0</v>
      </c>
      <c r="CI391" s="2">
        <v>2.0</v>
      </c>
      <c r="CJ391" s="2">
        <v>2.0</v>
      </c>
      <c r="CK391" s="2">
        <v>0.0</v>
      </c>
      <c r="CL391" s="2">
        <v>0.0</v>
      </c>
      <c r="CM391" s="2">
        <v>57.0</v>
      </c>
      <c r="CN391" s="2">
        <v>1.0</v>
      </c>
      <c r="CO391" s="2">
        <v>0.0</v>
      </c>
      <c r="CP391" s="2">
        <v>1.0</v>
      </c>
      <c r="CQ391" s="2">
        <v>0.0</v>
      </c>
      <c r="CR391" s="2">
        <v>0.0</v>
      </c>
      <c r="CS391" s="2">
        <v>1.0</v>
      </c>
      <c r="CT391" s="2">
        <v>0.0</v>
      </c>
      <c r="CU391" s="2">
        <v>0.0</v>
      </c>
      <c r="CV391" s="2">
        <v>0.0</v>
      </c>
      <c r="CW391" s="2">
        <v>0.0</v>
      </c>
      <c r="CX391" s="2">
        <v>0.0</v>
      </c>
      <c r="CY391" s="2">
        <v>0.0</v>
      </c>
      <c r="CZ391" s="2">
        <v>0.0</v>
      </c>
      <c r="DA391" s="2" t="s">
        <v>2209</v>
      </c>
      <c r="DD391" s="2">
        <v>82.0</v>
      </c>
      <c r="DE391" s="2">
        <v>0.0</v>
      </c>
      <c r="DF391" s="2">
        <v>0.0</v>
      </c>
      <c r="DG391" s="2">
        <v>2.0</v>
      </c>
      <c r="DH391" s="2">
        <v>2.0</v>
      </c>
      <c r="DI391" s="2">
        <v>0.0</v>
      </c>
      <c r="DJ391" s="2">
        <v>0.0</v>
      </c>
      <c r="DK391" s="2">
        <v>1.0</v>
      </c>
      <c r="DL391" s="2">
        <v>0.0</v>
      </c>
      <c r="DM391" s="2">
        <v>0.0</v>
      </c>
      <c r="DN391" s="2">
        <v>0.0</v>
      </c>
      <c r="DO391" s="2">
        <v>0.0</v>
      </c>
      <c r="DP391" s="2">
        <v>0.0</v>
      </c>
      <c r="DQ391" s="2">
        <v>5.0</v>
      </c>
      <c r="DR391" s="2">
        <v>0.0</v>
      </c>
      <c r="DS391" s="2">
        <v>59.0</v>
      </c>
      <c r="DT391" s="2">
        <v>240.0</v>
      </c>
      <c r="DU391" s="2">
        <v>3.0</v>
      </c>
      <c r="DV391" s="2">
        <v>0.0</v>
      </c>
      <c r="DW391" s="2">
        <v>1.0</v>
      </c>
      <c r="DX391" s="2">
        <v>0.0</v>
      </c>
      <c r="DY391" s="2">
        <v>1.0</v>
      </c>
      <c r="DZ391" s="2">
        <v>3.0</v>
      </c>
      <c r="EA391" s="2">
        <v>6.0</v>
      </c>
      <c r="EB391" s="2">
        <v>0.0</v>
      </c>
      <c r="EC391" s="2">
        <v>234.0</v>
      </c>
      <c r="EE391" s="2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2">
        <v>2025.0</v>
      </c>
      <c r="B392" s="2">
        <v>13.0</v>
      </c>
      <c r="C392" s="2" t="s">
        <v>250</v>
      </c>
      <c r="D392" s="2" t="s">
        <v>390</v>
      </c>
      <c r="E392" s="2" t="s">
        <v>1007</v>
      </c>
      <c r="F392" s="2" t="s">
        <v>141</v>
      </c>
      <c r="G392" s="2">
        <v>24.0</v>
      </c>
      <c r="H392" s="2">
        <v>38.0</v>
      </c>
      <c r="I392" s="2">
        <v>141.0</v>
      </c>
      <c r="J392" s="2">
        <v>0.0</v>
      </c>
      <c r="K392" s="2">
        <v>0.0</v>
      </c>
      <c r="L392" s="2">
        <v>3.0</v>
      </c>
      <c r="M392" s="2">
        <v>-20.0</v>
      </c>
      <c r="N392" s="2">
        <v>1.0</v>
      </c>
      <c r="O392" s="2">
        <v>0.0</v>
      </c>
      <c r="P392" s="2">
        <v>248.0</v>
      </c>
      <c r="Q392" s="2">
        <v>49.0</v>
      </c>
      <c r="R392" s="2">
        <v>4.0</v>
      </c>
      <c r="S392" s="2">
        <v>-20.3992894543822</v>
      </c>
      <c r="T392" s="2">
        <v>-1.67338533060891</v>
      </c>
      <c r="U392" s="2">
        <v>0.0</v>
      </c>
      <c r="V392" s="2">
        <v>5.0</v>
      </c>
      <c r="W392" s="2">
        <v>1.0</v>
      </c>
      <c r="X392" s="2">
        <v>0.0</v>
      </c>
      <c r="Y392" s="2">
        <v>0.0</v>
      </c>
      <c r="Z392" s="2">
        <v>14.0</v>
      </c>
      <c r="AA392" s="2">
        <v>67.0</v>
      </c>
      <c r="AB392" s="2">
        <v>0.0</v>
      </c>
      <c r="AC392" s="2">
        <v>0.0</v>
      </c>
      <c r="AD392" s="2">
        <v>0.0</v>
      </c>
      <c r="AE392" s="2">
        <v>5.0</v>
      </c>
      <c r="AF392" s="2">
        <v>1.22579948889324</v>
      </c>
      <c r="AG392" s="2">
        <v>0.0</v>
      </c>
      <c r="AH392" s="2">
        <v>3.0</v>
      </c>
      <c r="AI392" s="2">
        <v>1.0</v>
      </c>
      <c r="AJ392" s="2">
        <v>0.0</v>
      </c>
      <c r="AK392" s="2">
        <v>0.0</v>
      </c>
      <c r="AL392" s="2">
        <v>24.0</v>
      </c>
      <c r="AM392" s="2">
        <v>35.0</v>
      </c>
      <c r="AN392" s="2">
        <v>141.0</v>
      </c>
      <c r="AO392" s="2">
        <v>0.0</v>
      </c>
      <c r="AP392" s="2">
        <v>1.0</v>
      </c>
      <c r="AQ392" s="2">
        <v>1.0</v>
      </c>
      <c r="AR392" s="2">
        <v>248.0</v>
      </c>
      <c r="AS392" s="2">
        <v>49.0</v>
      </c>
      <c r="AT392" s="2">
        <v>4.0</v>
      </c>
      <c r="AU392" s="2">
        <v>-17.2125087245273</v>
      </c>
      <c r="AV392" s="2">
        <v>0.0</v>
      </c>
      <c r="AW392" s="2">
        <v>5.0</v>
      </c>
      <c r="AX392" s="2">
        <v>1.0</v>
      </c>
      <c r="AY392" s="2">
        <v>0.0</v>
      </c>
      <c r="AZ392" s="2">
        <v>0.0</v>
      </c>
      <c r="BA392" s="2">
        <v>0.0</v>
      </c>
      <c r="BB392" s="2">
        <v>31.0</v>
      </c>
      <c r="BC392" s="2">
        <v>1.0</v>
      </c>
      <c r="BD392" s="2">
        <v>23.0</v>
      </c>
      <c r="BE392" s="2">
        <v>5.0</v>
      </c>
      <c r="BF392" s="2">
        <v>29.0</v>
      </c>
      <c r="BG392" s="2">
        <v>0.0</v>
      </c>
      <c r="BH392" s="2">
        <v>3.0</v>
      </c>
      <c r="BI392" s="2">
        <v>27.0</v>
      </c>
      <c r="BJ392" s="2">
        <v>5.0</v>
      </c>
      <c r="BK392" s="2">
        <v>0.0</v>
      </c>
      <c r="BL392" s="2">
        <v>0.0</v>
      </c>
      <c r="BM392" s="2">
        <v>2.0</v>
      </c>
      <c r="BN392" s="2">
        <v>0.0</v>
      </c>
      <c r="BO392" s="2">
        <v>0.0</v>
      </c>
      <c r="BP392" s="2">
        <v>0.0</v>
      </c>
      <c r="BQ392" s="2">
        <v>0.0</v>
      </c>
      <c r="BR392" s="2">
        <v>1.0</v>
      </c>
      <c r="BS392" s="2">
        <v>0.0</v>
      </c>
      <c r="BT392" s="2">
        <v>0.0</v>
      </c>
      <c r="BU392" s="2">
        <v>0.0</v>
      </c>
      <c r="BV392" s="2">
        <v>0.0</v>
      </c>
      <c r="BW392" s="2">
        <v>10.0</v>
      </c>
      <c r="BX392" s="2">
        <v>86.0</v>
      </c>
      <c r="BY392" s="2">
        <v>2.0</v>
      </c>
      <c r="BZ392" s="2">
        <v>3.0</v>
      </c>
      <c r="CA392" s="2">
        <v>0.0</v>
      </c>
      <c r="CB392" s="2">
        <v>0.0</v>
      </c>
      <c r="CC392" s="2">
        <v>3.0</v>
      </c>
      <c r="CD392" s="2">
        <v>2.0</v>
      </c>
      <c r="CE392" s="2">
        <v>5.0</v>
      </c>
      <c r="CF392" s="2">
        <v>76.0</v>
      </c>
      <c r="CG392" s="2">
        <v>3.0</v>
      </c>
      <c r="CH392" s="2">
        <v>76.0</v>
      </c>
      <c r="CI392" s="2">
        <v>1.0</v>
      </c>
      <c r="CJ392" s="2">
        <v>1.0</v>
      </c>
      <c r="CK392" s="2">
        <v>0.0</v>
      </c>
      <c r="CL392" s="2">
        <v>0.0</v>
      </c>
      <c r="CM392" s="2">
        <v>28.0</v>
      </c>
      <c r="CN392" s="2">
        <v>1.0</v>
      </c>
      <c r="CO392" s="2">
        <v>0.0</v>
      </c>
      <c r="CP392" s="2">
        <v>1.0</v>
      </c>
      <c r="CQ392" s="2">
        <v>0.0</v>
      </c>
      <c r="CR392" s="2">
        <v>0.0</v>
      </c>
      <c r="CS392" s="2">
        <v>0.0</v>
      </c>
      <c r="CT392" s="2">
        <v>0.0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 t="s">
        <v>2096</v>
      </c>
      <c r="DD392" s="2">
        <v>28.0</v>
      </c>
      <c r="DE392" s="2">
        <v>0.0</v>
      </c>
      <c r="DF392" s="2">
        <v>0.0</v>
      </c>
      <c r="DG392" s="2">
        <v>0.0</v>
      </c>
      <c r="DH392" s="2">
        <v>0.0</v>
      </c>
      <c r="DI392" s="2">
        <v>0.0</v>
      </c>
      <c r="DJ392" s="2">
        <v>0.0</v>
      </c>
      <c r="DL392" s="2">
        <v>0.0</v>
      </c>
      <c r="DM392" s="2">
        <v>0.0</v>
      </c>
      <c r="DN392" s="2">
        <v>0.0</v>
      </c>
      <c r="DO392" s="2">
        <v>0.0</v>
      </c>
      <c r="DP392" s="2">
        <v>0.0</v>
      </c>
      <c r="DQ392" s="2">
        <v>5.0</v>
      </c>
      <c r="DR392" s="2">
        <v>0.0</v>
      </c>
      <c r="DS392" s="2">
        <v>57.0</v>
      </c>
      <c r="DT392" s="2">
        <v>232.0</v>
      </c>
      <c r="DU392" s="2">
        <v>0.0</v>
      </c>
      <c r="DV392" s="2">
        <v>1.0</v>
      </c>
      <c r="DW392" s="2">
        <v>0.0</v>
      </c>
      <c r="DX392" s="2">
        <v>1.0</v>
      </c>
      <c r="DY392" s="2">
        <v>2.0</v>
      </c>
      <c r="DZ392" s="2">
        <v>1.0</v>
      </c>
      <c r="EA392" s="2">
        <v>14.0</v>
      </c>
      <c r="EB392" s="2">
        <v>0.0</v>
      </c>
      <c r="EC392" s="2">
        <v>198.0</v>
      </c>
      <c r="EE392" s="2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2">
        <v>2025.0</v>
      </c>
      <c r="B393" s="2">
        <v>13.0</v>
      </c>
      <c r="C393" s="2" t="s">
        <v>253</v>
      </c>
      <c r="D393" s="2" t="s">
        <v>390</v>
      </c>
      <c r="E393" s="2" t="s">
        <v>1017</v>
      </c>
      <c r="F393" s="2" t="s">
        <v>139</v>
      </c>
      <c r="G393" s="2">
        <v>28.0</v>
      </c>
      <c r="H393" s="2">
        <v>50.0</v>
      </c>
      <c r="I393" s="2">
        <v>294.0</v>
      </c>
      <c r="J393" s="2">
        <v>2.0</v>
      </c>
      <c r="K393" s="2">
        <v>1.0</v>
      </c>
      <c r="L393" s="2">
        <v>2.0</v>
      </c>
      <c r="M393" s="2">
        <v>-18.0</v>
      </c>
      <c r="N393" s="2">
        <v>1.0</v>
      </c>
      <c r="O393" s="2">
        <v>0.0</v>
      </c>
      <c r="P393" s="2">
        <v>598.0</v>
      </c>
      <c r="Q393" s="2">
        <v>82.0</v>
      </c>
      <c r="R393" s="2">
        <v>17.0</v>
      </c>
      <c r="S393" s="2">
        <v>-0.339285278882059</v>
      </c>
      <c r="T393" s="2">
        <v>3.22206914424896</v>
      </c>
      <c r="U393" s="2">
        <v>0.0</v>
      </c>
      <c r="V393" s="2">
        <v>14.0</v>
      </c>
      <c r="W393" s="2">
        <v>6.0</v>
      </c>
      <c r="X393" s="2">
        <v>3.0</v>
      </c>
      <c r="Y393" s="2">
        <v>0.0</v>
      </c>
      <c r="Z393" s="2">
        <v>33.0</v>
      </c>
      <c r="AA393" s="2">
        <v>143.0</v>
      </c>
      <c r="AB393" s="2">
        <v>1.0</v>
      </c>
      <c r="AC393" s="2">
        <v>0.0</v>
      </c>
      <c r="AD393" s="2">
        <v>0.0</v>
      </c>
      <c r="AE393" s="2">
        <v>10.0</v>
      </c>
      <c r="AF393" s="2">
        <v>6.52069312342792</v>
      </c>
      <c r="AG393" s="2">
        <v>0.0</v>
      </c>
      <c r="AH393" s="2">
        <v>6.0</v>
      </c>
      <c r="AI393" s="2">
        <v>4.0</v>
      </c>
      <c r="AJ393" s="2">
        <v>0.0</v>
      </c>
      <c r="AK393" s="2">
        <v>0.0</v>
      </c>
      <c r="AL393" s="2">
        <v>28.0</v>
      </c>
      <c r="AM393" s="2">
        <v>45.0</v>
      </c>
      <c r="AN393" s="2">
        <v>294.0</v>
      </c>
      <c r="AO393" s="2">
        <v>2.0</v>
      </c>
      <c r="AP393" s="2">
        <v>0.0</v>
      </c>
      <c r="AQ393" s="2">
        <v>0.0</v>
      </c>
      <c r="AR393" s="2">
        <v>598.0</v>
      </c>
      <c r="AS393" s="2">
        <v>82.0</v>
      </c>
      <c r="AT393" s="2">
        <v>17.0</v>
      </c>
      <c r="AU393" s="2">
        <v>4.87116752056814</v>
      </c>
      <c r="AV393" s="2">
        <v>0.0</v>
      </c>
      <c r="AW393" s="2">
        <v>14.0</v>
      </c>
      <c r="AX393" s="2">
        <v>6.0</v>
      </c>
      <c r="AY393" s="2">
        <v>3.0</v>
      </c>
      <c r="AZ393" s="2">
        <v>0.0</v>
      </c>
      <c r="BA393" s="2">
        <v>0.0</v>
      </c>
      <c r="BB393" s="2">
        <v>35.0</v>
      </c>
      <c r="BC393" s="2">
        <v>0.0</v>
      </c>
      <c r="BD393" s="2">
        <v>44.0</v>
      </c>
      <c r="BE393" s="2">
        <v>2.0</v>
      </c>
      <c r="BF393" s="2">
        <v>10.0</v>
      </c>
      <c r="BG393" s="2">
        <v>1.0</v>
      </c>
      <c r="BH393" s="2">
        <v>1.0</v>
      </c>
      <c r="BI393" s="2">
        <v>6.0</v>
      </c>
      <c r="BJ393" s="2">
        <v>4.0</v>
      </c>
      <c r="BK393" s="2">
        <v>1.0</v>
      </c>
      <c r="BL393" s="2">
        <v>6.0</v>
      </c>
      <c r="BM393" s="2">
        <v>5.0</v>
      </c>
      <c r="BN393" s="2">
        <v>0.0</v>
      </c>
      <c r="BO393" s="2">
        <v>0.0</v>
      </c>
      <c r="BP393" s="2">
        <v>0.0</v>
      </c>
      <c r="BQ393" s="2">
        <v>0.0</v>
      </c>
      <c r="BR393" s="2">
        <v>2.0</v>
      </c>
      <c r="BS393" s="2">
        <v>0.0</v>
      </c>
      <c r="BT393" s="2">
        <v>0.0</v>
      </c>
      <c r="BU393" s="2">
        <v>0.0</v>
      </c>
      <c r="BV393" s="2">
        <v>0.0</v>
      </c>
      <c r="BW393" s="2">
        <v>5.0</v>
      </c>
      <c r="BX393" s="2">
        <v>35.0</v>
      </c>
      <c r="BY393" s="2">
        <v>5.0</v>
      </c>
      <c r="BZ393" s="2">
        <v>2.0</v>
      </c>
      <c r="CA393" s="2">
        <v>0.0</v>
      </c>
      <c r="CB393" s="2">
        <v>0.0</v>
      </c>
      <c r="CC393" s="2">
        <v>2.0</v>
      </c>
      <c r="CD393" s="2">
        <v>0.0</v>
      </c>
      <c r="CE393" s="2">
        <v>1.0</v>
      </c>
      <c r="CF393" s="2">
        <v>0.0</v>
      </c>
      <c r="CG393" s="2">
        <v>5.0</v>
      </c>
      <c r="CH393" s="2">
        <v>129.0</v>
      </c>
      <c r="CI393" s="2">
        <v>2.0</v>
      </c>
      <c r="CJ393" s="2">
        <v>2.0</v>
      </c>
      <c r="CK393" s="2">
        <v>0.0</v>
      </c>
      <c r="CL393" s="2">
        <v>0.0</v>
      </c>
      <c r="CM393" s="2">
        <v>38.0</v>
      </c>
      <c r="CN393" s="2">
        <v>1.0</v>
      </c>
      <c r="CO393" s="2">
        <v>0.0</v>
      </c>
      <c r="CP393" s="2">
        <v>0.0</v>
      </c>
      <c r="CQ393" s="2">
        <v>2.0</v>
      </c>
      <c r="CR393" s="2">
        <v>0.0</v>
      </c>
      <c r="CS393" s="2">
        <v>0.0</v>
      </c>
      <c r="CT393" s="2">
        <v>0.0</v>
      </c>
      <c r="CU393" s="2">
        <v>0.0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 t="s">
        <v>2210</v>
      </c>
      <c r="DD393" s="2">
        <v>70.0</v>
      </c>
      <c r="DE393" s="2">
        <v>0.0</v>
      </c>
      <c r="DF393" s="2">
        <v>0.0</v>
      </c>
      <c r="DG393" s="2">
        <v>2.0</v>
      </c>
      <c r="DH393" s="2">
        <v>2.0</v>
      </c>
      <c r="DI393" s="2">
        <v>0.0</v>
      </c>
      <c r="DJ393" s="2">
        <v>0.0</v>
      </c>
      <c r="DK393" s="2">
        <v>1.0</v>
      </c>
      <c r="DL393" s="2">
        <v>0.0</v>
      </c>
      <c r="DM393" s="2">
        <v>0.0</v>
      </c>
      <c r="DN393" s="2">
        <v>0.0</v>
      </c>
      <c r="DO393" s="2">
        <v>0.0</v>
      </c>
      <c r="DP393" s="2">
        <v>0.0</v>
      </c>
      <c r="DQ393" s="2">
        <v>4.0</v>
      </c>
      <c r="DR393" s="2">
        <v>0.0</v>
      </c>
      <c r="DS393" s="2">
        <v>56.0</v>
      </c>
      <c r="DT393" s="2">
        <v>169.0</v>
      </c>
      <c r="DU393" s="2">
        <v>2.0</v>
      </c>
      <c r="DV393" s="2">
        <v>0.0</v>
      </c>
      <c r="DW393" s="2">
        <v>1.0</v>
      </c>
      <c r="DX393" s="2">
        <v>0.0</v>
      </c>
      <c r="DY393" s="2">
        <v>2.0</v>
      </c>
      <c r="DZ393" s="2">
        <v>1.0</v>
      </c>
      <c r="EA393" s="2">
        <v>10.0</v>
      </c>
      <c r="EB393" s="2">
        <v>0.0</v>
      </c>
      <c r="EC393" s="2">
        <v>159.0</v>
      </c>
      <c r="EE393" s="2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2">
        <v>2025.0</v>
      </c>
      <c r="B394" s="2">
        <v>14.0</v>
      </c>
      <c r="C394" s="2" t="s">
        <v>178</v>
      </c>
      <c r="D394" s="2" t="s">
        <v>390</v>
      </c>
      <c r="E394" s="2" t="s">
        <v>1044</v>
      </c>
      <c r="F394" s="2" t="s">
        <v>142</v>
      </c>
      <c r="G394" s="2">
        <v>25.0</v>
      </c>
      <c r="H394" s="2">
        <v>44.0</v>
      </c>
      <c r="I394" s="2">
        <v>271.0</v>
      </c>
      <c r="J394" s="2">
        <v>2.0</v>
      </c>
      <c r="K394" s="2">
        <v>1.0</v>
      </c>
      <c r="L394" s="2">
        <v>3.0</v>
      </c>
      <c r="M394" s="2">
        <v>-8.0</v>
      </c>
      <c r="N394" s="2">
        <v>0.0</v>
      </c>
      <c r="O394" s="2">
        <v>0.0</v>
      </c>
      <c r="P394" s="2">
        <v>352.0</v>
      </c>
      <c r="Q394" s="2">
        <v>132.0</v>
      </c>
      <c r="R394" s="2">
        <v>15.0</v>
      </c>
      <c r="S394" s="2">
        <v>-3.28855013827863</v>
      </c>
      <c r="T394" s="2">
        <v>-8.44731147993695</v>
      </c>
      <c r="U394" s="2">
        <v>0.0</v>
      </c>
      <c r="V394" s="2">
        <v>12.0</v>
      </c>
      <c r="W394" s="2">
        <v>6.0</v>
      </c>
      <c r="X394" s="2">
        <v>4.0</v>
      </c>
      <c r="Y394" s="2">
        <v>0.0</v>
      </c>
      <c r="Z394" s="2">
        <v>14.0</v>
      </c>
      <c r="AA394" s="2">
        <v>51.0</v>
      </c>
      <c r="AB394" s="2">
        <v>0.0</v>
      </c>
      <c r="AC394" s="2">
        <v>0.0</v>
      </c>
      <c r="AD394" s="2">
        <v>0.0</v>
      </c>
      <c r="AE394" s="2">
        <v>2.0</v>
      </c>
      <c r="AF394" s="2">
        <v>-0.485065668129887</v>
      </c>
      <c r="AG394" s="2">
        <v>0.0</v>
      </c>
      <c r="AH394" s="2">
        <v>1.0</v>
      </c>
      <c r="AI394" s="2">
        <v>0.0</v>
      </c>
      <c r="AJ394" s="2">
        <v>0.0</v>
      </c>
      <c r="AK394" s="2">
        <v>0.0</v>
      </c>
      <c r="AL394" s="2">
        <v>25.0</v>
      </c>
      <c r="AM394" s="2">
        <v>44.0</v>
      </c>
      <c r="AN394" s="2">
        <v>271.0</v>
      </c>
      <c r="AO394" s="2">
        <v>2.0</v>
      </c>
      <c r="AP394" s="2">
        <v>0.0</v>
      </c>
      <c r="AQ394" s="2">
        <v>0.0</v>
      </c>
      <c r="AR394" s="2">
        <v>352.0</v>
      </c>
      <c r="AS394" s="2">
        <v>132.0</v>
      </c>
      <c r="AT394" s="2">
        <v>15.0</v>
      </c>
      <c r="AU394" s="2">
        <v>0.092464103421662</v>
      </c>
      <c r="AV394" s="2">
        <v>0.0</v>
      </c>
      <c r="AW394" s="2">
        <v>12.0</v>
      </c>
      <c r="AX394" s="2">
        <v>6.0</v>
      </c>
      <c r="AY394" s="2">
        <v>4.0</v>
      </c>
      <c r="AZ394" s="2">
        <v>0.0</v>
      </c>
      <c r="BA394" s="2">
        <v>0.0</v>
      </c>
      <c r="BB394" s="2">
        <v>32.0</v>
      </c>
      <c r="BC394" s="2">
        <v>0.0</v>
      </c>
      <c r="BD394" s="2">
        <v>48.0</v>
      </c>
      <c r="BE394" s="2">
        <v>0.0</v>
      </c>
      <c r="BF394" s="2">
        <v>0.0</v>
      </c>
      <c r="BG394" s="2">
        <v>0.0</v>
      </c>
      <c r="BH394" s="2">
        <v>0.0</v>
      </c>
      <c r="BI394" s="2">
        <v>0.0</v>
      </c>
      <c r="BJ394" s="2">
        <v>2.0</v>
      </c>
      <c r="BK394" s="2">
        <v>0.0</v>
      </c>
      <c r="BL394" s="2">
        <v>0.0</v>
      </c>
      <c r="BM394" s="2">
        <v>2.0</v>
      </c>
      <c r="BN394" s="2">
        <v>0.0</v>
      </c>
      <c r="BO394" s="2">
        <v>0.0</v>
      </c>
      <c r="BP394" s="2">
        <v>0.0</v>
      </c>
      <c r="BQ394" s="2">
        <v>0.0</v>
      </c>
      <c r="BR394" s="2">
        <v>0.0</v>
      </c>
      <c r="BS394" s="2">
        <v>0.0</v>
      </c>
      <c r="BT394" s="2">
        <v>0.0</v>
      </c>
      <c r="BU394" s="2">
        <v>0.0</v>
      </c>
      <c r="BV394" s="2">
        <v>0.0</v>
      </c>
      <c r="BW394" s="2">
        <v>7.0</v>
      </c>
      <c r="BX394" s="2">
        <v>42.0</v>
      </c>
      <c r="BY394" s="2">
        <v>1.0</v>
      </c>
      <c r="BZ394" s="2">
        <v>0.0</v>
      </c>
      <c r="CA394" s="2">
        <v>0.0</v>
      </c>
      <c r="CB394" s="2">
        <v>0.0</v>
      </c>
      <c r="CC394" s="2">
        <v>0.0</v>
      </c>
      <c r="CD394" s="2">
        <v>0.0</v>
      </c>
      <c r="CE394" s="2">
        <v>0.0</v>
      </c>
      <c r="CF394" s="2">
        <v>0.0</v>
      </c>
      <c r="CG394" s="2">
        <v>3.0</v>
      </c>
      <c r="CH394" s="2">
        <v>66.0</v>
      </c>
      <c r="CI394" s="2">
        <v>1.0</v>
      </c>
      <c r="CJ394" s="2">
        <v>2.0</v>
      </c>
      <c r="CK394" s="2">
        <v>1.0</v>
      </c>
      <c r="CL394" s="2">
        <v>0.0</v>
      </c>
      <c r="CM394" s="2">
        <v>38.0</v>
      </c>
      <c r="CN394" s="2">
        <v>0.5</v>
      </c>
      <c r="CO394" s="2">
        <v>0.0</v>
      </c>
      <c r="CP394" s="2">
        <v>0.0</v>
      </c>
      <c r="CQ394" s="2">
        <v>1.0</v>
      </c>
      <c r="CR394" s="2">
        <v>0.0</v>
      </c>
      <c r="CS394" s="2">
        <v>0.0</v>
      </c>
      <c r="CT394" s="2">
        <v>0.0</v>
      </c>
      <c r="CU394" s="2">
        <v>0.0</v>
      </c>
      <c r="CV394" s="2">
        <v>0.0</v>
      </c>
      <c r="CW394" s="2">
        <v>0.0</v>
      </c>
      <c r="CX394" s="2">
        <v>0.0</v>
      </c>
      <c r="CY394" s="2">
        <v>0.0</v>
      </c>
      <c r="CZ394" s="2">
        <v>1.0</v>
      </c>
      <c r="DA394" s="2" t="s">
        <v>1999</v>
      </c>
      <c r="DB394" s="2" t="s">
        <v>2211</v>
      </c>
      <c r="DD394" s="2">
        <v>38.0</v>
      </c>
      <c r="DE394" s="2">
        <v>63.0</v>
      </c>
      <c r="DF394" s="2">
        <v>0.0</v>
      </c>
      <c r="DG394" s="2">
        <v>2.0</v>
      </c>
      <c r="DH394" s="2">
        <v>2.0</v>
      </c>
      <c r="DI394" s="2">
        <v>0.0</v>
      </c>
      <c r="DJ394" s="2">
        <v>0.0</v>
      </c>
      <c r="DK394" s="2">
        <v>1.0</v>
      </c>
      <c r="DL394" s="2">
        <v>0.0</v>
      </c>
      <c r="DM394" s="2">
        <v>0.0</v>
      </c>
      <c r="DN394" s="2">
        <v>0.0</v>
      </c>
      <c r="DO394" s="2">
        <v>0.0</v>
      </c>
      <c r="DP394" s="2">
        <v>0.0</v>
      </c>
      <c r="DQ394" s="2">
        <v>5.0</v>
      </c>
      <c r="DR394" s="2">
        <v>0.0</v>
      </c>
      <c r="DS394" s="2">
        <v>57.0</v>
      </c>
      <c r="DT394" s="2">
        <v>271.0</v>
      </c>
      <c r="DU394" s="2">
        <v>2.0</v>
      </c>
      <c r="DV394" s="2">
        <v>0.0</v>
      </c>
      <c r="DW394" s="2">
        <v>1.0</v>
      </c>
      <c r="DX394" s="2">
        <v>0.0</v>
      </c>
      <c r="DY394" s="2">
        <v>1.0</v>
      </c>
      <c r="DZ394" s="2">
        <v>3.0</v>
      </c>
      <c r="EA394" s="2">
        <v>46.0</v>
      </c>
      <c r="EB394" s="2">
        <v>0.0</v>
      </c>
      <c r="EC394" s="2">
        <v>225.0</v>
      </c>
      <c r="EE394" s="2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2">
        <v>2025.0</v>
      </c>
      <c r="B395" s="2">
        <v>14.0</v>
      </c>
      <c r="C395" s="2" t="s">
        <v>132</v>
      </c>
      <c r="D395" s="2" t="s">
        <v>390</v>
      </c>
      <c r="E395" s="2" t="s">
        <v>1025</v>
      </c>
      <c r="F395" s="2" t="s">
        <v>149</v>
      </c>
      <c r="G395" s="2">
        <v>15.0</v>
      </c>
      <c r="H395" s="2">
        <v>30.0</v>
      </c>
      <c r="I395" s="2">
        <v>162.0</v>
      </c>
      <c r="J395" s="2">
        <v>0.0</v>
      </c>
      <c r="K395" s="2">
        <v>2.0</v>
      </c>
      <c r="L395" s="2">
        <v>1.0</v>
      </c>
      <c r="M395" s="2">
        <v>-8.0</v>
      </c>
      <c r="N395" s="2">
        <v>0.0</v>
      </c>
      <c r="O395" s="2">
        <v>0.0</v>
      </c>
      <c r="P395" s="2">
        <v>204.0</v>
      </c>
      <c r="Q395" s="2">
        <v>96.0</v>
      </c>
      <c r="R395" s="2">
        <v>6.0</v>
      </c>
      <c r="S395" s="2">
        <v>-15.3733456575258</v>
      </c>
      <c r="T395" s="2">
        <v>-12.7677039376327</v>
      </c>
      <c r="U395" s="2">
        <v>0.0</v>
      </c>
      <c r="V395" s="2">
        <v>6.0</v>
      </c>
      <c r="W395" s="2">
        <v>4.0</v>
      </c>
      <c r="X395" s="2">
        <v>4.0</v>
      </c>
      <c r="Y395" s="2">
        <v>0.0</v>
      </c>
      <c r="Z395" s="2">
        <v>31.0</v>
      </c>
      <c r="AA395" s="2">
        <v>120.0</v>
      </c>
      <c r="AB395" s="2">
        <v>0.0</v>
      </c>
      <c r="AC395" s="2">
        <v>1.0</v>
      </c>
      <c r="AD395" s="2">
        <v>1.0</v>
      </c>
      <c r="AE395" s="2">
        <v>6.0</v>
      </c>
      <c r="AF395" s="2">
        <v>-6.69961257540854</v>
      </c>
      <c r="AG395" s="2">
        <v>0.0</v>
      </c>
      <c r="AH395" s="2">
        <v>1.0</v>
      </c>
      <c r="AI395" s="2">
        <v>0.0</v>
      </c>
      <c r="AJ395" s="2">
        <v>0.0</v>
      </c>
      <c r="AK395" s="2">
        <v>0.0</v>
      </c>
      <c r="AL395" s="2">
        <v>15.0</v>
      </c>
      <c r="AM395" s="2">
        <v>28.0</v>
      </c>
      <c r="AN395" s="2">
        <v>162.0</v>
      </c>
      <c r="AO395" s="2">
        <v>0.0</v>
      </c>
      <c r="AP395" s="2">
        <v>0.0</v>
      </c>
      <c r="AQ395" s="2">
        <v>0.0</v>
      </c>
      <c r="AR395" s="2">
        <v>204.0</v>
      </c>
      <c r="AS395" s="2">
        <v>96.0</v>
      </c>
      <c r="AT395" s="2">
        <v>6.0</v>
      </c>
      <c r="AU395" s="2">
        <v>-12.151348858298</v>
      </c>
      <c r="AV395" s="2">
        <v>0.0</v>
      </c>
      <c r="AW395" s="2">
        <v>6.0</v>
      </c>
      <c r="AX395" s="2">
        <v>4.0</v>
      </c>
      <c r="AY395" s="2">
        <v>4.0</v>
      </c>
      <c r="AZ395" s="2">
        <v>0.0</v>
      </c>
      <c r="BA395" s="2">
        <v>0.0</v>
      </c>
      <c r="BB395" s="2">
        <v>37.0</v>
      </c>
      <c r="BC395" s="2">
        <v>2.0</v>
      </c>
      <c r="BD395" s="2">
        <v>24.0</v>
      </c>
      <c r="BE395" s="2">
        <v>7.0</v>
      </c>
      <c r="BF395" s="2">
        <v>19.0</v>
      </c>
      <c r="BG395" s="2">
        <v>1.0</v>
      </c>
      <c r="BH395" s="2">
        <v>2.0</v>
      </c>
      <c r="BI395" s="2">
        <v>13.0</v>
      </c>
      <c r="BJ395" s="2">
        <v>3.0</v>
      </c>
      <c r="BK395" s="2">
        <v>1.0</v>
      </c>
      <c r="BL395" s="2">
        <v>6.0</v>
      </c>
      <c r="BM395" s="2">
        <v>3.0</v>
      </c>
      <c r="BN395" s="2">
        <v>0.0</v>
      </c>
      <c r="BO395" s="2">
        <v>0.0</v>
      </c>
      <c r="BP395" s="2">
        <v>0.0</v>
      </c>
      <c r="BQ395" s="2">
        <v>0.0</v>
      </c>
      <c r="BR395" s="2">
        <v>0.0</v>
      </c>
      <c r="BS395" s="2">
        <v>0.0</v>
      </c>
      <c r="BT395" s="2">
        <v>0.0</v>
      </c>
      <c r="BU395" s="2">
        <v>0.0</v>
      </c>
      <c r="BV395" s="2">
        <v>0.0</v>
      </c>
      <c r="BW395" s="2">
        <v>8.0</v>
      </c>
      <c r="BX395" s="2">
        <v>56.0</v>
      </c>
      <c r="BY395" s="2">
        <v>1.0</v>
      </c>
      <c r="BZ395" s="2">
        <v>1.0</v>
      </c>
      <c r="CA395" s="2">
        <v>0.0</v>
      </c>
      <c r="CB395" s="2">
        <v>0.0</v>
      </c>
      <c r="CC395" s="2">
        <v>1.0</v>
      </c>
      <c r="CD395" s="2">
        <v>1.0</v>
      </c>
      <c r="CE395" s="2">
        <v>1.0</v>
      </c>
      <c r="CF395" s="2">
        <v>14.0</v>
      </c>
      <c r="CG395" s="2">
        <v>4.0</v>
      </c>
      <c r="CH395" s="2">
        <v>121.0</v>
      </c>
      <c r="CI395" s="2">
        <v>3.0</v>
      </c>
      <c r="CJ395" s="2">
        <v>4.0</v>
      </c>
      <c r="CK395" s="2">
        <v>0.0</v>
      </c>
      <c r="CL395" s="2">
        <v>1.0</v>
      </c>
      <c r="CM395" s="2">
        <v>43.0</v>
      </c>
      <c r="CN395" s="2">
        <v>0.75</v>
      </c>
      <c r="CO395" s="2">
        <v>0.0</v>
      </c>
      <c r="CP395" s="2">
        <v>1.0</v>
      </c>
      <c r="CQ395" s="2">
        <v>1.0</v>
      </c>
      <c r="CR395" s="2">
        <v>1.0</v>
      </c>
      <c r="CS395" s="2">
        <v>0.0</v>
      </c>
      <c r="CT395" s="2">
        <v>0.0</v>
      </c>
      <c r="CU395" s="2">
        <v>0.0</v>
      </c>
      <c r="CV395" s="2">
        <v>0.0</v>
      </c>
      <c r="CW395" s="2">
        <v>0.0</v>
      </c>
      <c r="CX395" s="2">
        <v>0.0</v>
      </c>
      <c r="CY395" s="2">
        <v>0.0</v>
      </c>
      <c r="CZ395" s="2">
        <v>0.0</v>
      </c>
      <c r="DA395" s="2" t="s">
        <v>2212</v>
      </c>
      <c r="DC395" s="2" t="s">
        <v>1967</v>
      </c>
      <c r="DD395" s="2">
        <v>105.0</v>
      </c>
      <c r="DE395" s="2">
        <v>0.0</v>
      </c>
      <c r="DF395" s="2">
        <v>50.0</v>
      </c>
      <c r="DG395" s="2">
        <v>0.0</v>
      </c>
      <c r="DH395" s="2">
        <v>0.0</v>
      </c>
      <c r="DI395" s="2">
        <v>0.0</v>
      </c>
      <c r="DJ395" s="2">
        <v>0.0</v>
      </c>
      <c r="DL395" s="2">
        <v>0.0</v>
      </c>
      <c r="DM395" s="2">
        <v>0.0</v>
      </c>
      <c r="DN395" s="2">
        <v>0.0</v>
      </c>
      <c r="DO395" s="2">
        <v>0.0</v>
      </c>
      <c r="DP395" s="2">
        <v>0.0</v>
      </c>
      <c r="DQ395" s="2">
        <v>2.0</v>
      </c>
      <c r="DR395" s="2">
        <v>0.0</v>
      </c>
      <c r="DS395" s="2">
        <v>45.0</v>
      </c>
      <c r="DT395" s="2">
        <v>84.0</v>
      </c>
      <c r="DU395" s="2">
        <v>2.0</v>
      </c>
      <c r="DV395" s="2">
        <v>0.0</v>
      </c>
      <c r="DW395" s="2">
        <v>0.0</v>
      </c>
      <c r="DX395" s="2">
        <v>0.0</v>
      </c>
      <c r="DY395" s="2">
        <v>2.0</v>
      </c>
      <c r="DZ395" s="2">
        <v>0.0</v>
      </c>
      <c r="EA395" s="2">
        <v>0.0</v>
      </c>
      <c r="EB395" s="2">
        <v>0.0</v>
      </c>
      <c r="EC395" s="2">
        <v>84.0</v>
      </c>
      <c r="EE395" s="2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2">
        <v>2025.0</v>
      </c>
      <c r="B396" s="2">
        <v>14.0</v>
      </c>
      <c r="C396" s="2" t="s">
        <v>148</v>
      </c>
      <c r="D396" s="2" t="s">
        <v>390</v>
      </c>
      <c r="E396" s="2" t="s">
        <v>1028</v>
      </c>
      <c r="F396" s="2" t="s">
        <v>242</v>
      </c>
      <c r="G396" s="2">
        <v>19.0</v>
      </c>
      <c r="H396" s="2">
        <v>35.0</v>
      </c>
      <c r="I396" s="2">
        <v>219.0</v>
      </c>
      <c r="J396" s="2">
        <v>1.0</v>
      </c>
      <c r="K396" s="2">
        <v>1.0</v>
      </c>
      <c r="L396" s="2">
        <v>2.0</v>
      </c>
      <c r="M396" s="2">
        <v>-16.0</v>
      </c>
      <c r="N396" s="2">
        <v>0.0</v>
      </c>
      <c r="O396" s="2">
        <v>0.0</v>
      </c>
      <c r="P396" s="2">
        <v>257.0</v>
      </c>
      <c r="Q396" s="2">
        <v>74.0</v>
      </c>
      <c r="R396" s="2">
        <v>9.0</v>
      </c>
      <c r="S396" s="2">
        <v>-5.12935254630568</v>
      </c>
      <c r="T396" s="2">
        <v>-5.03757027062503</v>
      </c>
      <c r="U396" s="2">
        <v>0.0</v>
      </c>
      <c r="V396" s="2">
        <v>5.0</v>
      </c>
      <c r="W396" s="2">
        <v>5.0</v>
      </c>
      <c r="X396" s="2">
        <v>3.0</v>
      </c>
      <c r="Y396" s="2">
        <v>0.0</v>
      </c>
      <c r="Z396" s="2">
        <v>40.0</v>
      </c>
      <c r="AA396" s="2">
        <v>217.0</v>
      </c>
      <c r="AB396" s="2">
        <v>1.0</v>
      </c>
      <c r="AC396" s="2">
        <v>0.0</v>
      </c>
      <c r="AD396" s="2">
        <v>0.0</v>
      </c>
      <c r="AE396" s="2">
        <v>10.0</v>
      </c>
      <c r="AF396" s="2">
        <v>5.78216662161867</v>
      </c>
      <c r="AG396" s="2">
        <v>0.0</v>
      </c>
      <c r="AH396" s="2">
        <v>2.0</v>
      </c>
      <c r="AI396" s="2">
        <v>2.0</v>
      </c>
      <c r="AJ396" s="2">
        <v>1.0</v>
      </c>
      <c r="AK396" s="2">
        <v>1.0</v>
      </c>
      <c r="AL396" s="2">
        <v>19.0</v>
      </c>
      <c r="AM396" s="2">
        <v>33.0</v>
      </c>
      <c r="AN396" s="2">
        <v>219.0</v>
      </c>
      <c r="AO396" s="2">
        <v>1.0</v>
      </c>
      <c r="AP396" s="2">
        <v>0.0</v>
      </c>
      <c r="AQ396" s="2">
        <v>0.0</v>
      </c>
      <c r="AR396" s="2">
        <v>257.0</v>
      </c>
      <c r="AS396" s="2">
        <v>74.0</v>
      </c>
      <c r="AT396" s="2">
        <v>9.0</v>
      </c>
      <c r="AU396" s="2">
        <v>-0.380901425474379</v>
      </c>
      <c r="AV396" s="2">
        <v>0.0</v>
      </c>
      <c r="AW396" s="2">
        <v>5.0</v>
      </c>
      <c r="AX396" s="2">
        <v>5.0</v>
      </c>
      <c r="AY396" s="2">
        <v>3.0</v>
      </c>
      <c r="AZ396" s="2">
        <v>0.0</v>
      </c>
      <c r="BA396" s="2">
        <v>0.0</v>
      </c>
      <c r="BB396" s="2">
        <v>28.0</v>
      </c>
      <c r="BC396" s="2">
        <v>2.0</v>
      </c>
      <c r="BD396" s="2">
        <v>28.0</v>
      </c>
      <c r="BE396" s="2">
        <v>3.0</v>
      </c>
      <c r="BF396" s="2">
        <v>12.0</v>
      </c>
      <c r="BG396" s="2">
        <v>0.0</v>
      </c>
      <c r="BH396" s="2">
        <v>0.0</v>
      </c>
      <c r="BI396" s="2">
        <v>0.0</v>
      </c>
      <c r="BJ396" s="2">
        <v>1.0</v>
      </c>
      <c r="BK396" s="2">
        <v>0.0</v>
      </c>
      <c r="BL396" s="2">
        <v>0.0</v>
      </c>
      <c r="BM396" s="2">
        <v>5.0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0.0</v>
      </c>
      <c r="BW396" s="2">
        <v>5.0</v>
      </c>
      <c r="BX396" s="2">
        <v>39.0</v>
      </c>
      <c r="BY396" s="2">
        <v>5.0</v>
      </c>
      <c r="BZ396" s="2">
        <v>0.0</v>
      </c>
      <c r="CA396" s="2">
        <v>0.0</v>
      </c>
      <c r="CB396" s="2">
        <v>0.0</v>
      </c>
      <c r="CC396" s="2">
        <v>0.0</v>
      </c>
      <c r="CD396" s="2">
        <v>0.0</v>
      </c>
      <c r="CE396" s="2">
        <v>3.0</v>
      </c>
      <c r="CF396" s="2">
        <v>14.0</v>
      </c>
      <c r="CG396" s="2">
        <v>5.0</v>
      </c>
      <c r="CH396" s="2">
        <v>117.0</v>
      </c>
      <c r="CI396" s="2">
        <v>3.0</v>
      </c>
      <c r="CJ396" s="2">
        <v>3.0</v>
      </c>
      <c r="CK396" s="2">
        <v>0.0</v>
      </c>
      <c r="CL396" s="2">
        <v>0.0</v>
      </c>
      <c r="CM396" s="2">
        <v>36.0</v>
      </c>
      <c r="CN396" s="2">
        <v>1.0</v>
      </c>
      <c r="CO396" s="2">
        <v>0.0</v>
      </c>
      <c r="CP396" s="2">
        <v>1.0</v>
      </c>
      <c r="CQ396" s="2">
        <v>2.0</v>
      </c>
      <c r="CR396" s="2">
        <v>0.0</v>
      </c>
      <c r="CS396" s="2">
        <v>0.0</v>
      </c>
      <c r="CT396" s="2">
        <v>0.0</v>
      </c>
      <c r="CU396" s="2">
        <v>0.0</v>
      </c>
      <c r="CV396" s="2">
        <v>0.0</v>
      </c>
      <c r="CW396" s="2">
        <v>0.0</v>
      </c>
      <c r="CX396" s="2">
        <v>0.0</v>
      </c>
      <c r="CY396" s="2">
        <v>0.0</v>
      </c>
      <c r="CZ396" s="2">
        <v>0.0</v>
      </c>
      <c r="DA396" s="2" t="s">
        <v>2213</v>
      </c>
      <c r="DD396" s="2">
        <v>100.0</v>
      </c>
      <c r="DE396" s="2">
        <v>0.0</v>
      </c>
      <c r="DF396" s="2">
        <v>0.0</v>
      </c>
      <c r="DG396" s="2">
        <v>1.0</v>
      </c>
      <c r="DH396" s="2">
        <v>2.0</v>
      </c>
      <c r="DI396" s="2">
        <v>1.0</v>
      </c>
      <c r="DJ396" s="2">
        <v>0.0</v>
      </c>
      <c r="DK396" s="2">
        <v>0.5</v>
      </c>
      <c r="DL396" s="2">
        <v>0.0</v>
      </c>
      <c r="DM396" s="2">
        <v>0.0</v>
      </c>
      <c r="DN396" s="2">
        <v>0.0</v>
      </c>
      <c r="DO396" s="2">
        <v>0.0</v>
      </c>
      <c r="DP396" s="2">
        <v>0.0</v>
      </c>
      <c r="DQ396" s="2">
        <v>2.0</v>
      </c>
      <c r="DR396" s="2">
        <v>0.0</v>
      </c>
      <c r="DS396" s="2">
        <v>54.0</v>
      </c>
      <c r="DT396" s="2">
        <v>102.0</v>
      </c>
      <c r="DU396" s="2">
        <v>0.0</v>
      </c>
      <c r="DV396" s="2">
        <v>0.0</v>
      </c>
      <c r="DW396" s="2">
        <v>0.0</v>
      </c>
      <c r="DX396" s="2">
        <v>0.0</v>
      </c>
      <c r="DY396" s="2">
        <v>0.0</v>
      </c>
      <c r="DZ396" s="2">
        <v>2.0</v>
      </c>
      <c r="EA396" s="2">
        <v>12.0</v>
      </c>
      <c r="EB396" s="2">
        <v>0.0</v>
      </c>
      <c r="EC396" s="2">
        <v>90.0</v>
      </c>
      <c r="EE396" s="2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2">
        <v>2025.0</v>
      </c>
      <c r="B397" s="2">
        <v>14.0</v>
      </c>
      <c r="C397" s="2" t="s">
        <v>136</v>
      </c>
      <c r="D397" s="2" t="s">
        <v>390</v>
      </c>
      <c r="E397" s="2" t="s">
        <v>1046</v>
      </c>
      <c r="F397" s="2" t="s">
        <v>138</v>
      </c>
      <c r="G397" s="2">
        <v>22.0</v>
      </c>
      <c r="H397" s="2">
        <v>28.0</v>
      </c>
      <c r="I397" s="2">
        <v>251.0</v>
      </c>
      <c r="J397" s="2">
        <v>3.0</v>
      </c>
      <c r="K397" s="2">
        <v>0.0</v>
      </c>
      <c r="L397" s="2">
        <v>3.0</v>
      </c>
      <c r="M397" s="2">
        <v>-18.0</v>
      </c>
      <c r="N397" s="2">
        <v>0.0</v>
      </c>
      <c r="O397" s="2">
        <v>0.0</v>
      </c>
      <c r="P397" s="2">
        <v>129.0</v>
      </c>
      <c r="Q397" s="2">
        <v>174.0</v>
      </c>
      <c r="R397" s="2">
        <v>13.0</v>
      </c>
      <c r="S397" s="2">
        <v>16.7012618369046</v>
      </c>
      <c r="T397" s="2">
        <v>12.4837554163403</v>
      </c>
      <c r="U397" s="2">
        <v>1.0</v>
      </c>
      <c r="V397" s="2">
        <v>10.0</v>
      </c>
      <c r="W397" s="2">
        <v>6.0</v>
      </c>
      <c r="X397" s="2">
        <v>4.0</v>
      </c>
      <c r="Y397" s="2">
        <v>0.0</v>
      </c>
      <c r="Z397" s="2">
        <v>29.0</v>
      </c>
      <c r="AA397" s="2">
        <v>183.0</v>
      </c>
      <c r="AB397" s="2">
        <v>1.0</v>
      </c>
      <c r="AC397" s="2">
        <v>2.0</v>
      </c>
      <c r="AD397" s="2">
        <v>1.0</v>
      </c>
      <c r="AE397" s="2">
        <v>7.0</v>
      </c>
      <c r="AF397" s="2">
        <v>-1.91680274278333</v>
      </c>
      <c r="AG397" s="2">
        <v>0.0</v>
      </c>
      <c r="AH397" s="2">
        <v>5.0</v>
      </c>
      <c r="AI397" s="2">
        <v>5.0</v>
      </c>
      <c r="AJ397" s="2">
        <v>2.0</v>
      </c>
      <c r="AK397" s="2">
        <v>1.0</v>
      </c>
      <c r="AL397" s="2">
        <v>22.0</v>
      </c>
      <c r="AM397" s="2">
        <v>27.0</v>
      </c>
      <c r="AN397" s="2">
        <v>251.0</v>
      </c>
      <c r="AO397" s="2">
        <v>3.0</v>
      </c>
      <c r="AP397" s="2">
        <v>0.0</v>
      </c>
      <c r="AQ397" s="2">
        <v>0.0</v>
      </c>
      <c r="AR397" s="2">
        <v>129.0</v>
      </c>
      <c r="AS397" s="2">
        <v>174.0</v>
      </c>
      <c r="AT397" s="2">
        <v>13.0</v>
      </c>
      <c r="AU397" s="2">
        <v>20.6781198686659</v>
      </c>
      <c r="AV397" s="2">
        <v>1.0</v>
      </c>
      <c r="AW397" s="2">
        <v>10.0</v>
      </c>
      <c r="AX397" s="2">
        <v>6.0</v>
      </c>
      <c r="AY397" s="2">
        <v>4.0</v>
      </c>
      <c r="AZ397" s="2">
        <v>0.0</v>
      </c>
      <c r="BA397" s="2">
        <v>0.0</v>
      </c>
      <c r="BB397" s="2">
        <v>31.0</v>
      </c>
      <c r="BC397" s="2">
        <v>0.0</v>
      </c>
      <c r="BD397" s="2">
        <v>32.0</v>
      </c>
      <c r="BE397" s="2">
        <v>2.0</v>
      </c>
      <c r="BF397" s="2">
        <v>11.0</v>
      </c>
      <c r="BG397" s="2">
        <v>0.0</v>
      </c>
      <c r="BH397" s="2">
        <v>1.0</v>
      </c>
      <c r="BI397" s="2">
        <v>8.0</v>
      </c>
      <c r="BJ397" s="2">
        <v>5.0</v>
      </c>
      <c r="BK397" s="2">
        <v>2.0</v>
      </c>
      <c r="BL397" s="2">
        <v>64.0</v>
      </c>
      <c r="BM397" s="2">
        <v>7.0</v>
      </c>
      <c r="BN397" s="2">
        <v>1.0</v>
      </c>
      <c r="BO397" s="2">
        <v>0.0</v>
      </c>
      <c r="BP397" s="2">
        <v>0.0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</v>
      </c>
      <c r="BV397" s="2">
        <v>0.0</v>
      </c>
      <c r="BW397" s="2">
        <v>6.0</v>
      </c>
      <c r="BX397" s="2">
        <v>68.0</v>
      </c>
      <c r="BY397" s="2">
        <v>2.0</v>
      </c>
      <c r="BZ397" s="2">
        <v>2.0</v>
      </c>
      <c r="CA397" s="2">
        <v>0.0</v>
      </c>
      <c r="CB397" s="2">
        <v>1.0</v>
      </c>
      <c r="CC397" s="2">
        <v>2.0</v>
      </c>
      <c r="CD397" s="2">
        <v>1.0</v>
      </c>
      <c r="CE397" s="2">
        <v>1.0</v>
      </c>
      <c r="CF397" s="2">
        <v>9.0</v>
      </c>
      <c r="CG397" s="2">
        <v>6.0</v>
      </c>
      <c r="CH397" s="2">
        <v>130.0</v>
      </c>
      <c r="CI397" s="2">
        <v>1.0</v>
      </c>
      <c r="CJ397" s="2">
        <v>1.0</v>
      </c>
      <c r="CK397" s="2">
        <v>0.0</v>
      </c>
      <c r="CL397" s="2">
        <v>0.0</v>
      </c>
      <c r="CM397" s="2">
        <v>26.0</v>
      </c>
      <c r="CN397" s="2">
        <v>1.0</v>
      </c>
      <c r="CO397" s="2">
        <v>0.0</v>
      </c>
      <c r="CP397" s="2">
        <v>1.0</v>
      </c>
      <c r="CQ397" s="2">
        <v>0.0</v>
      </c>
      <c r="CR397" s="2">
        <v>0.0</v>
      </c>
      <c r="CS397" s="2">
        <v>0.0</v>
      </c>
      <c r="CT397" s="2">
        <v>0.0</v>
      </c>
      <c r="CU397" s="2">
        <v>0.0</v>
      </c>
      <c r="CV397" s="2">
        <v>0.0</v>
      </c>
      <c r="CW397" s="2">
        <v>0.0</v>
      </c>
      <c r="CX397" s="2">
        <v>0.0</v>
      </c>
      <c r="CY397" s="2">
        <v>0.0</v>
      </c>
      <c r="CZ397" s="2">
        <v>0.0</v>
      </c>
      <c r="DA397" s="2" t="s">
        <v>2055</v>
      </c>
      <c r="DD397" s="2">
        <v>26.0</v>
      </c>
      <c r="DE397" s="2">
        <v>0.0</v>
      </c>
      <c r="DF397" s="2">
        <v>0.0</v>
      </c>
      <c r="DG397" s="2">
        <v>4.0</v>
      </c>
      <c r="DH397" s="2">
        <v>4.0</v>
      </c>
      <c r="DI397" s="2">
        <v>0.0</v>
      </c>
      <c r="DJ397" s="2">
        <v>0.0</v>
      </c>
      <c r="DK397" s="2">
        <v>1.0</v>
      </c>
      <c r="DL397" s="2">
        <v>0.0</v>
      </c>
      <c r="DM397" s="2">
        <v>0.0</v>
      </c>
      <c r="DN397" s="2">
        <v>0.0</v>
      </c>
      <c r="DO397" s="2">
        <v>0.0</v>
      </c>
      <c r="DP397" s="2">
        <v>0.0</v>
      </c>
      <c r="DQ397" s="2">
        <v>0.0</v>
      </c>
      <c r="DR397" s="2">
        <v>0.0</v>
      </c>
      <c r="DT397" s="2">
        <v>0.0</v>
      </c>
      <c r="DU397" s="2">
        <v>0.0</v>
      </c>
      <c r="DV397" s="2">
        <v>0.0</v>
      </c>
      <c r="DW397" s="2">
        <v>0.0</v>
      </c>
      <c r="DX397" s="2">
        <v>0.0</v>
      </c>
      <c r="DY397" s="2">
        <v>0.0</v>
      </c>
      <c r="DZ397" s="2">
        <v>0.0</v>
      </c>
      <c r="EA397" s="2">
        <v>0.0</v>
      </c>
      <c r="EB397" s="2">
        <v>0.0</v>
      </c>
      <c r="EC397" s="2">
        <v>0.0</v>
      </c>
      <c r="EE397" s="2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2">
        <v>2025.0</v>
      </c>
      <c r="B398" s="2">
        <v>14.0</v>
      </c>
      <c r="C398" s="2" t="s">
        <v>137</v>
      </c>
      <c r="D398" s="2" t="s">
        <v>390</v>
      </c>
      <c r="E398" s="2" t="s">
        <v>1032</v>
      </c>
      <c r="F398" s="2" t="s">
        <v>205</v>
      </c>
      <c r="G398" s="2">
        <v>19.0</v>
      </c>
      <c r="H398" s="2">
        <v>35.0</v>
      </c>
      <c r="I398" s="2">
        <v>186.0</v>
      </c>
      <c r="J398" s="2">
        <v>2.0</v>
      </c>
      <c r="K398" s="2">
        <v>1.0</v>
      </c>
      <c r="L398" s="2">
        <v>1.0</v>
      </c>
      <c r="M398" s="2">
        <v>-9.0</v>
      </c>
      <c r="N398" s="2">
        <v>0.0</v>
      </c>
      <c r="O398" s="2">
        <v>0.0</v>
      </c>
      <c r="P398" s="2">
        <v>298.0</v>
      </c>
      <c r="Q398" s="2">
        <v>73.0</v>
      </c>
      <c r="R398" s="2">
        <v>12.0</v>
      </c>
      <c r="S398" s="2">
        <v>-0.178873777111486</v>
      </c>
      <c r="T398" s="2">
        <v>1.85374000242778</v>
      </c>
      <c r="U398" s="2">
        <v>0.0</v>
      </c>
      <c r="V398" s="2">
        <v>10.0</v>
      </c>
      <c r="W398" s="2">
        <v>5.0</v>
      </c>
      <c r="X398" s="2">
        <v>3.0</v>
      </c>
      <c r="Y398" s="2">
        <v>0.0</v>
      </c>
      <c r="Z398" s="2">
        <v>32.0</v>
      </c>
      <c r="AA398" s="2">
        <v>138.0</v>
      </c>
      <c r="AB398" s="2">
        <v>0.0</v>
      </c>
      <c r="AC398" s="2">
        <v>0.0</v>
      </c>
      <c r="AD398" s="2">
        <v>0.0</v>
      </c>
      <c r="AE398" s="2">
        <v>7.0</v>
      </c>
      <c r="AF398" s="2">
        <v>7.63640840687743</v>
      </c>
      <c r="AG398" s="2">
        <v>1.0</v>
      </c>
      <c r="AH398" s="2">
        <v>0.0</v>
      </c>
      <c r="AI398" s="2">
        <v>0.0</v>
      </c>
      <c r="AJ398" s="2">
        <v>0.0</v>
      </c>
      <c r="AK398" s="2">
        <v>0.0</v>
      </c>
      <c r="AL398" s="2">
        <v>19.0</v>
      </c>
      <c r="AM398" s="2">
        <v>28.0</v>
      </c>
      <c r="AN398" s="2">
        <v>186.0</v>
      </c>
      <c r="AO398" s="2">
        <v>2.0</v>
      </c>
      <c r="AP398" s="2">
        <v>0.0</v>
      </c>
      <c r="AQ398" s="2">
        <v>0.0</v>
      </c>
      <c r="AR398" s="2">
        <v>298.0</v>
      </c>
      <c r="AS398" s="2">
        <v>73.0</v>
      </c>
      <c r="AT398" s="2">
        <v>12.0</v>
      </c>
      <c r="AU398" s="2">
        <v>6.28775362485181</v>
      </c>
      <c r="AV398" s="2">
        <v>0.0</v>
      </c>
      <c r="AW398" s="2">
        <v>10.0</v>
      </c>
      <c r="AX398" s="2">
        <v>5.0</v>
      </c>
      <c r="AY398" s="2">
        <v>3.0</v>
      </c>
      <c r="AZ398" s="2">
        <v>0.0</v>
      </c>
      <c r="BA398" s="2">
        <v>0.0</v>
      </c>
      <c r="BB398" s="2">
        <v>34.0</v>
      </c>
      <c r="BC398" s="2">
        <v>1.0</v>
      </c>
      <c r="BD398" s="2">
        <v>17.0</v>
      </c>
      <c r="BE398" s="2">
        <v>2.0</v>
      </c>
      <c r="BF398" s="2">
        <v>15.0</v>
      </c>
      <c r="BG398" s="2">
        <v>0.0</v>
      </c>
      <c r="BH398" s="2">
        <v>1.0</v>
      </c>
      <c r="BI398" s="2">
        <v>14.0</v>
      </c>
      <c r="BJ398" s="2">
        <v>1.0</v>
      </c>
      <c r="BK398" s="2">
        <v>1.0</v>
      </c>
      <c r="BL398" s="2">
        <v>28.0</v>
      </c>
      <c r="BM398" s="2">
        <v>3.0</v>
      </c>
      <c r="BN398" s="2">
        <v>0.0</v>
      </c>
      <c r="BO398" s="2">
        <v>0.0</v>
      </c>
      <c r="BP398" s="2">
        <v>0.0</v>
      </c>
      <c r="BQ398" s="2">
        <v>0.0</v>
      </c>
      <c r="BR398" s="2">
        <v>1.0</v>
      </c>
      <c r="BS398" s="2">
        <v>0.0</v>
      </c>
      <c r="BT398" s="2">
        <v>0.0</v>
      </c>
      <c r="BU398" s="2">
        <v>0.0</v>
      </c>
      <c r="BV398" s="2">
        <v>0.0</v>
      </c>
      <c r="BW398" s="2">
        <v>4.0</v>
      </c>
      <c r="BX398" s="2">
        <v>17.0</v>
      </c>
      <c r="BY398" s="2">
        <v>2.0</v>
      </c>
      <c r="BZ398" s="2">
        <v>1.0</v>
      </c>
      <c r="CA398" s="2">
        <v>0.0</v>
      </c>
      <c r="CB398" s="2">
        <v>0.0</v>
      </c>
      <c r="CC398" s="2">
        <v>1.0</v>
      </c>
      <c r="CD398" s="2">
        <v>0.0</v>
      </c>
      <c r="CE398" s="2">
        <v>1.0</v>
      </c>
      <c r="CF398" s="2">
        <v>6.0</v>
      </c>
      <c r="CG398" s="2">
        <v>4.0</v>
      </c>
      <c r="CH398" s="2">
        <v>91.0</v>
      </c>
      <c r="CI398" s="2">
        <v>2.0</v>
      </c>
      <c r="CJ398" s="2">
        <v>2.0</v>
      </c>
      <c r="CK398" s="2">
        <v>0.0</v>
      </c>
      <c r="CL398" s="2">
        <v>0.0</v>
      </c>
      <c r="CM398" s="2">
        <v>41.0</v>
      </c>
      <c r="CN398" s="2">
        <v>1.0</v>
      </c>
      <c r="CO398" s="2">
        <v>0.0</v>
      </c>
      <c r="CP398" s="2">
        <v>0.0</v>
      </c>
      <c r="CQ398" s="2">
        <v>1.0</v>
      </c>
      <c r="CR398" s="2">
        <v>1.0</v>
      </c>
      <c r="CS398" s="2">
        <v>0.0</v>
      </c>
      <c r="CT398" s="2">
        <v>0.0</v>
      </c>
      <c r="CU398" s="2">
        <v>0.0</v>
      </c>
      <c r="CV398" s="2">
        <v>0.0</v>
      </c>
      <c r="CW398" s="2">
        <v>0.0</v>
      </c>
      <c r="CX398" s="2">
        <v>0.0</v>
      </c>
      <c r="CY398" s="2">
        <v>0.0</v>
      </c>
      <c r="CZ398" s="2">
        <v>0.0</v>
      </c>
      <c r="DA398" s="2" t="s">
        <v>2214</v>
      </c>
      <c r="DD398" s="2">
        <v>74.0</v>
      </c>
      <c r="DE398" s="2">
        <v>0.0</v>
      </c>
      <c r="DF398" s="2">
        <v>0.0</v>
      </c>
      <c r="DG398" s="2">
        <v>1.0</v>
      </c>
      <c r="DH398" s="2">
        <v>1.0</v>
      </c>
      <c r="DI398" s="2">
        <v>0.0</v>
      </c>
      <c r="DJ398" s="2">
        <v>0.0</v>
      </c>
      <c r="DK398" s="2">
        <v>1.0</v>
      </c>
      <c r="DL398" s="2">
        <v>0.0</v>
      </c>
      <c r="DM398" s="2">
        <v>0.0</v>
      </c>
      <c r="DN398" s="2">
        <v>0.0</v>
      </c>
      <c r="DO398" s="2">
        <v>0.0</v>
      </c>
      <c r="DP398" s="2">
        <v>0.0</v>
      </c>
      <c r="DQ398" s="2">
        <v>4.0</v>
      </c>
      <c r="DR398" s="2">
        <v>0.0</v>
      </c>
      <c r="DS398" s="2">
        <v>63.0</v>
      </c>
      <c r="DT398" s="2">
        <v>208.0</v>
      </c>
      <c r="DU398" s="2">
        <v>2.0</v>
      </c>
      <c r="DV398" s="2">
        <v>0.0</v>
      </c>
      <c r="DW398" s="2">
        <v>1.0</v>
      </c>
      <c r="DX398" s="2">
        <v>1.0</v>
      </c>
      <c r="DY398" s="2">
        <v>1.0</v>
      </c>
      <c r="DZ398" s="2">
        <v>1.0</v>
      </c>
      <c r="EA398" s="2">
        <v>7.0</v>
      </c>
      <c r="EB398" s="2">
        <v>0.0</v>
      </c>
      <c r="EC398" s="2">
        <v>181.0</v>
      </c>
      <c r="EE398" s="2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2">
        <v>2025.0</v>
      </c>
      <c r="B399" s="2">
        <v>14.0</v>
      </c>
      <c r="C399" s="2" t="s">
        <v>138</v>
      </c>
      <c r="D399" s="2" t="s">
        <v>390</v>
      </c>
      <c r="E399" s="2" t="s">
        <v>1046</v>
      </c>
      <c r="F399" s="2" t="s">
        <v>136</v>
      </c>
      <c r="G399" s="2">
        <v>25.0</v>
      </c>
      <c r="H399" s="2">
        <v>36.0</v>
      </c>
      <c r="I399" s="2">
        <v>284.0</v>
      </c>
      <c r="J399" s="2">
        <v>4.0</v>
      </c>
      <c r="K399" s="2">
        <v>2.0</v>
      </c>
      <c r="L399" s="2">
        <v>1.0</v>
      </c>
      <c r="M399" s="2">
        <v>-8.0</v>
      </c>
      <c r="N399" s="2">
        <v>0.0</v>
      </c>
      <c r="O399" s="2">
        <v>0.0</v>
      </c>
      <c r="P399" s="2">
        <v>329.0</v>
      </c>
      <c r="Q399" s="2">
        <v>96.0</v>
      </c>
      <c r="R399" s="2">
        <v>18.0</v>
      </c>
      <c r="S399" s="2">
        <v>8.17582198632602</v>
      </c>
      <c r="T399" s="2">
        <v>7.00976476073265</v>
      </c>
      <c r="U399" s="2">
        <v>0.0</v>
      </c>
      <c r="V399" s="2">
        <v>15.0</v>
      </c>
      <c r="W399" s="2">
        <v>5.0</v>
      </c>
      <c r="X399" s="2">
        <v>3.0</v>
      </c>
      <c r="Y399" s="2">
        <v>0.0</v>
      </c>
      <c r="Z399" s="2">
        <v>19.0</v>
      </c>
      <c r="AA399" s="2">
        <v>62.0</v>
      </c>
      <c r="AB399" s="2">
        <v>1.0</v>
      </c>
      <c r="AC399" s="2">
        <v>0.0</v>
      </c>
      <c r="AD399" s="2">
        <v>0.0</v>
      </c>
      <c r="AE399" s="2">
        <v>4.0</v>
      </c>
      <c r="AF399" s="2">
        <v>-1.39915164827835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25.0</v>
      </c>
      <c r="AM399" s="2">
        <v>36.0</v>
      </c>
      <c r="AN399" s="2">
        <v>284.0</v>
      </c>
      <c r="AO399" s="2">
        <v>4.0</v>
      </c>
      <c r="AP399" s="2">
        <v>0.0</v>
      </c>
      <c r="AQ399" s="2">
        <v>0.0</v>
      </c>
      <c r="AR399" s="2">
        <v>329.0</v>
      </c>
      <c r="AS399" s="2">
        <v>96.0</v>
      </c>
      <c r="AT399" s="2">
        <v>18.0</v>
      </c>
      <c r="AU399" s="2">
        <v>10.213932168379</v>
      </c>
      <c r="AV399" s="2">
        <v>0.0</v>
      </c>
      <c r="AW399" s="2">
        <v>15.0</v>
      </c>
      <c r="AX399" s="2">
        <v>5.0</v>
      </c>
      <c r="AY399" s="2">
        <v>3.0</v>
      </c>
      <c r="AZ399" s="2">
        <v>0.0</v>
      </c>
      <c r="BA399" s="2">
        <v>0.0</v>
      </c>
      <c r="BB399" s="2">
        <v>38.0</v>
      </c>
      <c r="BC399" s="2">
        <v>1.0</v>
      </c>
      <c r="BD399" s="2">
        <v>31.0</v>
      </c>
      <c r="BE399" s="2">
        <v>5.0</v>
      </c>
      <c r="BF399" s="2">
        <v>22.0</v>
      </c>
      <c r="BG399" s="2">
        <v>2.0</v>
      </c>
      <c r="BH399" s="2">
        <v>3.0</v>
      </c>
      <c r="BI399" s="2">
        <v>18.0</v>
      </c>
      <c r="BJ399" s="2">
        <v>5.0</v>
      </c>
      <c r="BK399" s="2">
        <v>0.0</v>
      </c>
      <c r="BL399" s="2">
        <v>0.0</v>
      </c>
      <c r="BM399" s="2">
        <v>3.0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1.0</v>
      </c>
      <c r="BU399" s="2">
        <v>0.0</v>
      </c>
      <c r="BV399" s="2">
        <v>0.0</v>
      </c>
      <c r="BW399" s="2">
        <v>4.0</v>
      </c>
      <c r="BX399" s="2">
        <v>30.0</v>
      </c>
      <c r="BY399" s="2">
        <v>5.0</v>
      </c>
      <c r="BZ399" s="2">
        <v>0.0</v>
      </c>
      <c r="CA399" s="2">
        <v>0.0</v>
      </c>
      <c r="CB399" s="2">
        <v>0.0</v>
      </c>
      <c r="CC399" s="2">
        <v>0.0</v>
      </c>
      <c r="CD399" s="2">
        <v>0.0</v>
      </c>
      <c r="CE399" s="2">
        <v>0.0</v>
      </c>
      <c r="CF399" s="2">
        <v>0.0</v>
      </c>
      <c r="CG399" s="2">
        <v>7.0</v>
      </c>
      <c r="CH399" s="2">
        <v>187.0</v>
      </c>
      <c r="CI399" s="2">
        <v>0.0</v>
      </c>
      <c r="CJ399" s="2">
        <v>0.0</v>
      </c>
      <c r="CK399" s="2">
        <v>0.0</v>
      </c>
      <c r="CL399" s="2">
        <v>0.0</v>
      </c>
      <c r="CO399" s="2">
        <v>0.0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D399" s="2">
        <v>0.0</v>
      </c>
      <c r="DE399" s="2">
        <v>0.0</v>
      </c>
      <c r="DF399" s="2">
        <v>0.0</v>
      </c>
      <c r="DG399" s="2">
        <v>4.0</v>
      </c>
      <c r="DH399" s="2">
        <v>4.0</v>
      </c>
      <c r="DI399" s="2">
        <v>0.0</v>
      </c>
      <c r="DJ399" s="2">
        <v>0.0</v>
      </c>
      <c r="DK399" s="2">
        <v>1.0</v>
      </c>
      <c r="DL399" s="2">
        <v>0.0</v>
      </c>
      <c r="DM399" s="2">
        <v>0.0</v>
      </c>
      <c r="DN399" s="2">
        <v>0.0</v>
      </c>
      <c r="DO399" s="2">
        <v>0.0</v>
      </c>
      <c r="DP399" s="2">
        <v>0.0</v>
      </c>
      <c r="DQ399" s="2">
        <v>2.0</v>
      </c>
      <c r="DR399" s="2">
        <v>0.0</v>
      </c>
      <c r="DS399" s="2">
        <v>57.0</v>
      </c>
      <c r="DT399" s="2">
        <v>79.0</v>
      </c>
      <c r="DU399" s="2">
        <v>0.0</v>
      </c>
      <c r="DV399" s="2">
        <v>0.0</v>
      </c>
      <c r="DW399" s="2">
        <v>1.0</v>
      </c>
      <c r="DX399" s="2">
        <v>0.0</v>
      </c>
      <c r="DY399" s="2">
        <v>0.0</v>
      </c>
      <c r="DZ399" s="2">
        <v>1.0</v>
      </c>
      <c r="EA399" s="2">
        <v>9.0</v>
      </c>
      <c r="EB399" s="2">
        <v>0.0</v>
      </c>
      <c r="EC399" s="2">
        <v>70.0</v>
      </c>
      <c r="EE399" s="2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2">
        <v>2025.0</v>
      </c>
      <c r="B400" s="2">
        <v>14.0</v>
      </c>
      <c r="C400" s="2" t="s">
        <v>196</v>
      </c>
      <c r="D400" s="2" t="s">
        <v>390</v>
      </c>
      <c r="E400" s="2" t="s">
        <v>1030</v>
      </c>
      <c r="F400" s="2" t="s">
        <v>250</v>
      </c>
      <c r="G400" s="2">
        <v>23.0</v>
      </c>
      <c r="H400" s="2">
        <v>42.0</v>
      </c>
      <c r="I400" s="2">
        <v>364.0</v>
      </c>
      <c r="J400" s="2">
        <v>3.0</v>
      </c>
      <c r="K400" s="2">
        <v>1.0</v>
      </c>
      <c r="L400" s="2">
        <v>2.0</v>
      </c>
      <c r="M400" s="2">
        <v>-13.0</v>
      </c>
      <c r="N400" s="2">
        <v>0.0</v>
      </c>
      <c r="O400" s="2">
        <v>0.0</v>
      </c>
      <c r="P400" s="2">
        <v>305.0</v>
      </c>
      <c r="Q400" s="2">
        <v>262.0</v>
      </c>
      <c r="R400" s="2">
        <v>13.0</v>
      </c>
      <c r="S400" s="2">
        <v>5.93980588119217</v>
      </c>
      <c r="T400" s="2">
        <v>-4.73575862614732</v>
      </c>
      <c r="U400" s="2">
        <v>0.0</v>
      </c>
      <c r="V400" s="2">
        <v>12.0</v>
      </c>
      <c r="W400" s="2">
        <v>8.0</v>
      </c>
      <c r="X400" s="2">
        <v>5.0</v>
      </c>
      <c r="Y400" s="2">
        <v>2.0</v>
      </c>
      <c r="Z400" s="2">
        <v>20.0</v>
      </c>
      <c r="AA400" s="2">
        <v>61.0</v>
      </c>
      <c r="AB400" s="2">
        <v>1.0</v>
      </c>
      <c r="AC400" s="2">
        <v>0.0</v>
      </c>
      <c r="AD400" s="2">
        <v>0.0</v>
      </c>
      <c r="AE400" s="2">
        <v>5.0</v>
      </c>
      <c r="AF400" s="2">
        <v>-3.36801619925234</v>
      </c>
      <c r="AG400" s="2">
        <v>0.0</v>
      </c>
      <c r="AH400" s="2">
        <v>2.0</v>
      </c>
      <c r="AI400" s="2">
        <v>2.0</v>
      </c>
      <c r="AJ400" s="2">
        <v>0.0</v>
      </c>
      <c r="AK400" s="2">
        <v>0.0</v>
      </c>
      <c r="AL400" s="2">
        <v>23.0</v>
      </c>
      <c r="AM400" s="2">
        <v>38.0</v>
      </c>
      <c r="AN400" s="2">
        <v>364.0</v>
      </c>
      <c r="AO400" s="2">
        <v>3.0</v>
      </c>
      <c r="AP400" s="2">
        <v>1.0</v>
      </c>
      <c r="AQ400" s="2">
        <v>1.0</v>
      </c>
      <c r="AR400" s="2">
        <v>305.0</v>
      </c>
      <c r="AS400" s="2">
        <v>262.0</v>
      </c>
      <c r="AT400" s="2">
        <v>13.0</v>
      </c>
      <c r="AU400" s="2">
        <v>7.39160904033645</v>
      </c>
      <c r="AV400" s="2">
        <v>0.0</v>
      </c>
      <c r="AW400" s="2">
        <v>12.0</v>
      </c>
      <c r="AX400" s="2">
        <v>8.0</v>
      </c>
      <c r="AY400" s="2">
        <v>5.0</v>
      </c>
      <c r="AZ400" s="2">
        <v>2.0</v>
      </c>
      <c r="BA400" s="2">
        <v>0.0</v>
      </c>
      <c r="BB400" s="2">
        <v>32.0</v>
      </c>
      <c r="BC400" s="2">
        <v>3.0</v>
      </c>
      <c r="BD400" s="2">
        <v>35.0</v>
      </c>
      <c r="BE400" s="2">
        <v>7.0</v>
      </c>
      <c r="BF400" s="2">
        <v>23.0</v>
      </c>
      <c r="BG400" s="2">
        <v>0.0</v>
      </c>
      <c r="BH400" s="2">
        <v>1.0</v>
      </c>
      <c r="BI400" s="2">
        <v>9.0</v>
      </c>
      <c r="BJ400" s="2">
        <v>5.0</v>
      </c>
      <c r="BK400" s="2">
        <v>1.0</v>
      </c>
      <c r="BL400" s="2">
        <v>44.0</v>
      </c>
      <c r="BM400" s="2">
        <v>5.0</v>
      </c>
      <c r="BN400" s="2">
        <v>0.0</v>
      </c>
      <c r="BO400" s="2">
        <v>1.0</v>
      </c>
      <c r="BP400" s="2">
        <v>0.0</v>
      </c>
      <c r="BQ400" s="2">
        <v>0.0</v>
      </c>
      <c r="BR400" s="2">
        <v>1.0</v>
      </c>
      <c r="BS400" s="2">
        <v>0.0</v>
      </c>
      <c r="BT400" s="2">
        <v>0.0</v>
      </c>
      <c r="BU400" s="2">
        <v>0.0</v>
      </c>
      <c r="BV400" s="2">
        <v>0.0</v>
      </c>
      <c r="BW400" s="2">
        <v>7.0</v>
      </c>
      <c r="BX400" s="2">
        <v>50.0</v>
      </c>
      <c r="BY400" s="2">
        <v>5.0</v>
      </c>
      <c r="BZ400" s="2">
        <v>1.0</v>
      </c>
      <c r="CA400" s="2">
        <v>1.0</v>
      </c>
      <c r="CB400" s="2">
        <v>0.0</v>
      </c>
      <c r="CC400" s="2">
        <v>2.0</v>
      </c>
      <c r="CD400" s="2">
        <v>1.0</v>
      </c>
      <c r="CE400" s="2">
        <v>4.0</v>
      </c>
      <c r="CF400" s="2">
        <v>16.0</v>
      </c>
      <c r="CG400" s="2">
        <v>5.0</v>
      </c>
      <c r="CH400" s="2">
        <v>113.0</v>
      </c>
      <c r="CI400" s="2">
        <v>1.0</v>
      </c>
      <c r="CJ400" s="2">
        <v>1.0</v>
      </c>
      <c r="CK400" s="2">
        <v>0.0</v>
      </c>
      <c r="CL400" s="2">
        <v>0.0</v>
      </c>
      <c r="CM400" s="2">
        <v>38.0</v>
      </c>
      <c r="CN400" s="2">
        <v>1.0</v>
      </c>
      <c r="CO400" s="2">
        <v>0.0</v>
      </c>
      <c r="CP400" s="2">
        <v>0.0</v>
      </c>
      <c r="CQ400" s="2">
        <v>1.0</v>
      </c>
      <c r="CR400" s="2">
        <v>0.0</v>
      </c>
      <c r="CS400" s="2">
        <v>0.0</v>
      </c>
      <c r="CT400" s="2">
        <v>0.0</v>
      </c>
      <c r="CU400" s="2">
        <v>0.0</v>
      </c>
      <c r="CV400" s="2">
        <v>0.0</v>
      </c>
      <c r="CW400" s="2">
        <v>0.0</v>
      </c>
      <c r="CX400" s="2">
        <v>0.0</v>
      </c>
      <c r="CY400" s="2">
        <v>0.0</v>
      </c>
      <c r="CZ400" s="2">
        <v>0.0</v>
      </c>
      <c r="DA400" s="2" t="s">
        <v>1999</v>
      </c>
      <c r="DD400" s="2">
        <v>38.0</v>
      </c>
      <c r="DE400" s="2">
        <v>0.0</v>
      </c>
      <c r="DF400" s="2">
        <v>0.0</v>
      </c>
      <c r="DG400" s="2">
        <v>2.0</v>
      </c>
      <c r="DH400" s="2">
        <v>2.0</v>
      </c>
      <c r="DI400" s="2">
        <v>0.0</v>
      </c>
      <c r="DJ400" s="2">
        <v>0.0</v>
      </c>
      <c r="DK400" s="2">
        <v>1.0</v>
      </c>
      <c r="DL400" s="2">
        <v>0.0</v>
      </c>
      <c r="DM400" s="2">
        <v>0.0</v>
      </c>
      <c r="DN400" s="2">
        <v>0.0</v>
      </c>
      <c r="DO400" s="2">
        <v>0.0</v>
      </c>
      <c r="DP400" s="2">
        <v>0.0</v>
      </c>
      <c r="DQ400" s="2">
        <v>6.0</v>
      </c>
      <c r="DR400" s="2">
        <v>1.0</v>
      </c>
      <c r="DS400" s="2">
        <v>42.0</v>
      </c>
      <c r="DT400" s="2">
        <v>222.0</v>
      </c>
      <c r="DU400" s="2">
        <v>1.0</v>
      </c>
      <c r="DV400" s="2">
        <v>1.0</v>
      </c>
      <c r="DW400" s="2">
        <v>1.0</v>
      </c>
      <c r="DX400" s="2">
        <v>0.0</v>
      </c>
      <c r="DY400" s="2">
        <v>3.0</v>
      </c>
      <c r="DZ400" s="2">
        <v>1.0</v>
      </c>
      <c r="EA400" s="2">
        <v>-2.0</v>
      </c>
      <c r="EB400" s="2">
        <v>0.0</v>
      </c>
      <c r="EC400" s="2">
        <v>224.0</v>
      </c>
      <c r="EE400" s="2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2">
        <v>2025.0</v>
      </c>
      <c r="B401" s="2">
        <v>14.0</v>
      </c>
      <c r="C401" s="2" t="s">
        <v>146</v>
      </c>
      <c r="D401" s="2" t="s">
        <v>390</v>
      </c>
      <c r="E401" s="2" t="s">
        <v>1022</v>
      </c>
      <c r="F401" s="2" t="s">
        <v>202</v>
      </c>
      <c r="G401" s="2">
        <v>31.0</v>
      </c>
      <c r="H401" s="2">
        <v>47.0</v>
      </c>
      <c r="I401" s="2">
        <v>376.0</v>
      </c>
      <c r="J401" s="2">
        <v>1.0</v>
      </c>
      <c r="K401" s="2">
        <v>2.0</v>
      </c>
      <c r="L401" s="2">
        <v>5.0</v>
      </c>
      <c r="M401" s="2">
        <v>-50.0</v>
      </c>
      <c r="N401" s="2">
        <v>1.0</v>
      </c>
      <c r="O401" s="2">
        <v>0.0</v>
      </c>
      <c r="P401" s="2">
        <v>497.0</v>
      </c>
      <c r="Q401" s="2">
        <v>125.0</v>
      </c>
      <c r="R401" s="2">
        <v>17.0</v>
      </c>
      <c r="S401" s="2">
        <v>1.00071895998642</v>
      </c>
      <c r="T401" s="2">
        <v>1.23205001049853</v>
      </c>
      <c r="U401" s="2">
        <v>1.0</v>
      </c>
      <c r="V401" s="2">
        <v>17.0</v>
      </c>
      <c r="W401" s="2">
        <v>9.0</v>
      </c>
      <c r="X401" s="2">
        <v>6.0</v>
      </c>
      <c r="Y401" s="2">
        <v>1.0</v>
      </c>
      <c r="Z401" s="2">
        <v>24.0</v>
      </c>
      <c r="AA401" s="2">
        <v>91.0</v>
      </c>
      <c r="AB401" s="2">
        <v>1.0</v>
      </c>
      <c r="AC401" s="2">
        <v>0.0</v>
      </c>
      <c r="AD401" s="2">
        <v>0.0</v>
      </c>
      <c r="AE401" s="2">
        <v>7.0</v>
      </c>
      <c r="AF401" s="2">
        <v>0.392866643378511</v>
      </c>
      <c r="AG401" s="2">
        <v>0.0</v>
      </c>
      <c r="AH401" s="2">
        <v>3.0</v>
      </c>
      <c r="AI401" s="2">
        <v>1.0</v>
      </c>
      <c r="AJ401" s="2">
        <v>0.0</v>
      </c>
      <c r="AK401" s="2">
        <v>0.0</v>
      </c>
      <c r="AL401" s="2">
        <v>31.0</v>
      </c>
      <c r="AM401" s="2">
        <v>47.0</v>
      </c>
      <c r="AN401" s="2">
        <v>376.0</v>
      </c>
      <c r="AO401" s="2">
        <v>1.0</v>
      </c>
      <c r="AP401" s="2">
        <v>2.0</v>
      </c>
      <c r="AQ401" s="2">
        <v>1.0</v>
      </c>
      <c r="AR401" s="2">
        <v>497.0</v>
      </c>
      <c r="AS401" s="2">
        <v>125.0</v>
      </c>
      <c r="AT401" s="2">
        <v>17.0</v>
      </c>
      <c r="AU401" s="2">
        <v>7.56770231771973</v>
      </c>
      <c r="AV401" s="2">
        <v>1.0</v>
      </c>
      <c r="AW401" s="2">
        <v>17.0</v>
      </c>
      <c r="AX401" s="2">
        <v>9.0</v>
      </c>
      <c r="AY401" s="2">
        <v>6.0</v>
      </c>
      <c r="AZ401" s="2">
        <v>1.0</v>
      </c>
      <c r="BA401" s="2">
        <v>0.0</v>
      </c>
      <c r="BB401" s="2">
        <v>30.0</v>
      </c>
      <c r="BC401" s="2">
        <v>1.0</v>
      </c>
      <c r="BD401" s="2">
        <v>43.0</v>
      </c>
      <c r="BE401" s="2">
        <v>4.0</v>
      </c>
      <c r="BF401" s="2">
        <v>19.0</v>
      </c>
      <c r="BG401" s="2">
        <v>0.0</v>
      </c>
      <c r="BH401" s="2">
        <v>1.0</v>
      </c>
      <c r="BI401" s="2">
        <v>10.0</v>
      </c>
      <c r="BJ401" s="2">
        <v>8.0</v>
      </c>
      <c r="BK401" s="2">
        <v>0.0</v>
      </c>
      <c r="BL401" s="2">
        <v>0.0</v>
      </c>
      <c r="BM401" s="2">
        <v>1.0</v>
      </c>
      <c r="BN401" s="2">
        <v>0.0</v>
      </c>
      <c r="BO401" s="2">
        <v>0.0</v>
      </c>
      <c r="BP401" s="2">
        <v>0.0</v>
      </c>
      <c r="BQ401" s="2">
        <v>0.0</v>
      </c>
      <c r="BR401" s="2">
        <v>2.0</v>
      </c>
      <c r="BS401" s="2">
        <v>0.0</v>
      </c>
      <c r="BT401" s="2">
        <v>0.0</v>
      </c>
      <c r="BU401" s="2">
        <v>0.0</v>
      </c>
      <c r="BV401" s="2">
        <v>0.0</v>
      </c>
      <c r="BW401" s="2">
        <v>7.0</v>
      </c>
      <c r="BX401" s="2">
        <v>76.0</v>
      </c>
      <c r="BY401" s="2">
        <v>4.0</v>
      </c>
      <c r="BZ401" s="2">
        <v>3.0</v>
      </c>
      <c r="CA401" s="2">
        <v>0.0</v>
      </c>
      <c r="CB401" s="2">
        <v>0.0</v>
      </c>
      <c r="CC401" s="2">
        <v>3.0</v>
      </c>
      <c r="CD401" s="2">
        <v>1.0</v>
      </c>
      <c r="CE401" s="2">
        <v>1.0</v>
      </c>
      <c r="CF401" s="2">
        <v>0.0</v>
      </c>
      <c r="CG401" s="2">
        <v>7.0</v>
      </c>
      <c r="CH401" s="2">
        <v>176.0</v>
      </c>
      <c r="CI401" s="2">
        <v>5.0</v>
      </c>
      <c r="CJ401" s="2">
        <v>5.0</v>
      </c>
      <c r="CK401" s="2">
        <v>0.0</v>
      </c>
      <c r="CL401" s="2">
        <v>0.0</v>
      </c>
      <c r="CM401" s="2">
        <v>63.0</v>
      </c>
      <c r="CN401" s="2">
        <v>1.0</v>
      </c>
      <c r="CO401" s="2">
        <v>0.0</v>
      </c>
      <c r="CP401" s="2">
        <v>1.0</v>
      </c>
      <c r="CQ401" s="2">
        <v>0.0</v>
      </c>
      <c r="CR401" s="2">
        <v>1.0</v>
      </c>
      <c r="CS401" s="2">
        <v>2.0</v>
      </c>
      <c r="CT401" s="2">
        <v>1.0</v>
      </c>
      <c r="CU401" s="2">
        <v>0.0</v>
      </c>
      <c r="CV401" s="2">
        <v>0.0</v>
      </c>
      <c r="CW401" s="2">
        <v>0.0</v>
      </c>
      <c r="CX401" s="2">
        <v>0.0</v>
      </c>
      <c r="CY401" s="2">
        <v>0.0</v>
      </c>
      <c r="CZ401" s="2">
        <v>0.0</v>
      </c>
      <c r="DA401" s="2" t="s">
        <v>2215</v>
      </c>
      <c r="DD401" s="2">
        <v>246.0</v>
      </c>
      <c r="DE401" s="2">
        <v>0.0</v>
      </c>
      <c r="DF401" s="2">
        <v>0.0</v>
      </c>
      <c r="DG401" s="2">
        <v>1.0</v>
      </c>
      <c r="DH401" s="2">
        <v>1.0</v>
      </c>
      <c r="DI401" s="2">
        <v>0.0</v>
      </c>
      <c r="DJ401" s="2">
        <v>0.0</v>
      </c>
      <c r="DK401" s="2">
        <v>1.0</v>
      </c>
      <c r="DL401" s="2">
        <v>0.0</v>
      </c>
      <c r="DM401" s="2">
        <v>0.0</v>
      </c>
      <c r="DN401" s="2">
        <v>0.0</v>
      </c>
      <c r="DO401" s="2">
        <v>0.0</v>
      </c>
      <c r="DP401" s="2">
        <v>0.0</v>
      </c>
      <c r="DQ401" s="2">
        <v>1.0</v>
      </c>
      <c r="DR401" s="2">
        <v>0.0</v>
      </c>
      <c r="DS401" s="2">
        <v>62.0</v>
      </c>
      <c r="DT401" s="2">
        <v>62.0</v>
      </c>
      <c r="DU401" s="2">
        <v>0.0</v>
      </c>
      <c r="DV401" s="2">
        <v>0.0</v>
      </c>
      <c r="DW401" s="2">
        <v>0.0</v>
      </c>
      <c r="DX401" s="2">
        <v>0.0</v>
      </c>
      <c r="DY401" s="2">
        <v>0.0</v>
      </c>
      <c r="DZ401" s="2">
        <v>1.0</v>
      </c>
      <c r="EA401" s="2">
        <v>21.0</v>
      </c>
      <c r="EB401" s="2">
        <v>0.0</v>
      </c>
      <c r="EC401" s="2">
        <v>41.0</v>
      </c>
      <c r="EE401" s="2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2">
        <v>2025.0</v>
      </c>
      <c r="B402" s="2">
        <v>14.0</v>
      </c>
      <c r="C402" s="2" t="s">
        <v>139</v>
      </c>
      <c r="D402" s="2" t="s">
        <v>390</v>
      </c>
      <c r="E402" s="2" t="s">
        <v>1042</v>
      </c>
      <c r="F402" s="2" t="s">
        <v>222</v>
      </c>
      <c r="G402" s="2">
        <v>31.0</v>
      </c>
      <c r="H402" s="2">
        <v>38.0</v>
      </c>
      <c r="I402" s="2">
        <v>212.0</v>
      </c>
      <c r="J402" s="2">
        <v>0.0</v>
      </c>
      <c r="K402" s="2">
        <v>0.0</v>
      </c>
      <c r="L402" s="2">
        <v>3.0</v>
      </c>
      <c r="M402" s="2">
        <v>-8.0</v>
      </c>
      <c r="N402" s="2">
        <v>0.0</v>
      </c>
      <c r="O402" s="2">
        <v>0.0</v>
      </c>
      <c r="P402" s="2">
        <v>216.0</v>
      </c>
      <c r="Q402" s="2">
        <v>113.0</v>
      </c>
      <c r="R402" s="2">
        <v>14.0</v>
      </c>
      <c r="S402" s="2">
        <v>5.89592478625775</v>
      </c>
      <c r="T402" s="2">
        <v>10.9797305530972</v>
      </c>
      <c r="U402" s="2">
        <v>0.0</v>
      </c>
      <c r="V402" s="2">
        <v>7.0</v>
      </c>
      <c r="W402" s="2">
        <v>0.0</v>
      </c>
      <c r="X402" s="2">
        <v>0.0</v>
      </c>
      <c r="Y402" s="2">
        <v>0.0</v>
      </c>
      <c r="Z402" s="2">
        <v>31.0</v>
      </c>
      <c r="AA402" s="2">
        <v>152.0</v>
      </c>
      <c r="AB402" s="2">
        <v>2.0</v>
      </c>
      <c r="AC402" s="2">
        <v>0.0</v>
      </c>
      <c r="AD402" s="2">
        <v>0.0</v>
      </c>
      <c r="AE402" s="2">
        <v>11.0</v>
      </c>
      <c r="AF402" s="2">
        <v>5.28388933156384</v>
      </c>
      <c r="AG402" s="2">
        <v>0.0</v>
      </c>
      <c r="AH402" s="2">
        <v>4.0</v>
      </c>
      <c r="AI402" s="2">
        <v>2.0</v>
      </c>
      <c r="AJ402" s="2">
        <v>0.0</v>
      </c>
      <c r="AK402" s="2">
        <v>0.0</v>
      </c>
      <c r="AL402" s="2">
        <v>31.0</v>
      </c>
      <c r="AM402" s="2">
        <v>36.0</v>
      </c>
      <c r="AN402" s="2">
        <v>212.0</v>
      </c>
      <c r="AO402" s="2">
        <v>0.0</v>
      </c>
      <c r="AP402" s="2">
        <v>0.0</v>
      </c>
      <c r="AQ402" s="2">
        <v>0.0</v>
      </c>
      <c r="AR402" s="2">
        <v>216.0</v>
      </c>
      <c r="AS402" s="2">
        <v>113.0</v>
      </c>
      <c r="AT402" s="2">
        <v>14.0</v>
      </c>
      <c r="AU402" s="2">
        <v>10.2938149468747</v>
      </c>
      <c r="AV402" s="2">
        <v>0.0</v>
      </c>
      <c r="AW402" s="2">
        <v>7.0</v>
      </c>
      <c r="AX402" s="2">
        <v>0.0</v>
      </c>
      <c r="AY402" s="2">
        <v>0.0</v>
      </c>
      <c r="AZ402" s="2">
        <v>0.0</v>
      </c>
      <c r="BA402" s="2">
        <v>1.0</v>
      </c>
      <c r="BB402" s="2">
        <v>27.0</v>
      </c>
      <c r="BC402" s="2">
        <v>0.0</v>
      </c>
      <c r="BD402" s="2">
        <v>22.0</v>
      </c>
      <c r="BE402" s="2">
        <v>5.0</v>
      </c>
      <c r="BF402" s="2">
        <v>25.0</v>
      </c>
      <c r="BG402" s="2">
        <v>0.0</v>
      </c>
      <c r="BH402" s="2">
        <v>4.0</v>
      </c>
      <c r="BI402" s="2">
        <v>24.0</v>
      </c>
      <c r="BJ402" s="2">
        <v>7.0</v>
      </c>
      <c r="BK402" s="2">
        <v>0.0</v>
      </c>
      <c r="BL402" s="2">
        <v>0.0</v>
      </c>
      <c r="BM402" s="2">
        <v>1.0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8.0</v>
      </c>
      <c r="BX402" s="2">
        <v>50.0</v>
      </c>
      <c r="BY402" s="2">
        <v>5.0</v>
      </c>
      <c r="BZ402" s="2">
        <v>0.0</v>
      </c>
      <c r="CA402" s="2">
        <v>0.0</v>
      </c>
      <c r="CB402" s="2">
        <v>0.0</v>
      </c>
      <c r="CC402" s="2">
        <v>0.0</v>
      </c>
      <c r="CD402" s="2">
        <v>0.0</v>
      </c>
      <c r="CE402" s="2">
        <v>1.0</v>
      </c>
      <c r="CF402" s="2">
        <v>48.0</v>
      </c>
      <c r="CG402" s="2">
        <v>2.0</v>
      </c>
      <c r="CH402" s="2">
        <v>39.0</v>
      </c>
      <c r="CI402" s="2">
        <v>1.0</v>
      </c>
      <c r="CJ402" s="2">
        <v>1.0</v>
      </c>
      <c r="CK402" s="2">
        <v>0.0</v>
      </c>
      <c r="CL402" s="2">
        <v>0.0</v>
      </c>
      <c r="CM402" s="2">
        <v>23.0</v>
      </c>
      <c r="CN402" s="2">
        <v>1.0</v>
      </c>
      <c r="CO402" s="2">
        <v>0.0</v>
      </c>
      <c r="CP402" s="2">
        <v>1.0</v>
      </c>
      <c r="CQ402" s="2">
        <v>0.0</v>
      </c>
      <c r="CR402" s="2">
        <v>0.0</v>
      </c>
      <c r="CS402" s="2">
        <v>0.0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 t="s">
        <v>2152</v>
      </c>
      <c r="DD402" s="2">
        <v>23.0</v>
      </c>
      <c r="DE402" s="2">
        <v>0.0</v>
      </c>
      <c r="DF402" s="2">
        <v>0.0</v>
      </c>
      <c r="DG402" s="2">
        <v>3.0</v>
      </c>
      <c r="DH402" s="2">
        <v>3.0</v>
      </c>
      <c r="DI402" s="2">
        <v>0.0</v>
      </c>
      <c r="DJ402" s="2">
        <v>0.0</v>
      </c>
      <c r="DK402" s="2">
        <v>1.0</v>
      </c>
      <c r="DL402" s="2">
        <v>0.0</v>
      </c>
      <c r="DM402" s="2">
        <v>0.0</v>
      </c>
      <c r="DN402" s="2">
        <v>0.0</v>
      </c>
      <c r="DO402" s="2">
        <v>0.0</v>
      </c>
      <c r="DP402" s="2">
        <v>0.0</v>
      </c>
      <c r="DQ402" s="2">
        <v>1.0</v>
      </c>
      <c r="DR402" s="2">
        <v>0.0</v>
      </c>
      <c r="DS402" s="2">
        <v>35.0</v>
      </c>
      <c r="DT402" s="2">
        <v>35.0</v>
      </c>
      <c r="DU402" s="2">
        <v>1.0</v>
      </c>
      <c r="DV402" s="2">
        <v>0.0</v>
      </c>
      <c r="DW402" s="2">
        <v>0.0</v>
      </c>
      <c r="DX402" s="2">
        <v>0.0</v>
      </c>
      <c r="DY402" s="2">
        <v>1.0</v>
      </c>
      <c r="DZ402" s="2">
        <v>0.0</v>
      </c>
      <c r="EA402" s="2">
        <v>0.0</v>
      </c>
      <c r="EB402" s="2">
        <v>0.0</v>
      </c>
      <c r="EC402" s="2">
        <v>35.0</v>
      </c>
      <c r="EE402" s="2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2">
        <v>2025.0</v>
      </c>
      <c r="B403" s="2">
        <v>14.0</v>
      </c>
      <c r="C403" s="2" t="s">
        <v>202</v>
      </c>
      <c r="D403" s="2" t="s">
        <v>390</v>
      </c>
      <c r="E403" s="2" t="s">
        <v>1022</v>
      </c>
      <c r="F403" s="2" t="s">
        <v>146</v>
      </c>
      <c r="G403" s="2">
        <v>25.0</v>
      </c>
      <c r="H403" s="2">
        <v>34.0</v>
      </c>
      <c r="I403" s="2">
        <v>309.0</v>
      </c>
      <c r="J403" s="2">
        <v>1.0</v>
      </c>
      <c r="K403" s="2">
        <v>0.0</v>
      </c>
      <c r="L403" s="2">
        <v>1.0</v>
      </c>
      <c r="M403" s="2">
        <v>-10.0</v>
      </c>
      <c r="N403" s="2">
        <v>0.0</v>
      </c>
      <c r="O403" s="2">
        <v>0.0</v>
      </c>
      <c r="P403" s="2">
        <v>229.0</v>
      </c>
      <c r="Q403" s="2">
        <v>177.0</v>
      </c>
      <c r="R403" s="2">
        <v>10.0</v>
      </c>
      <c r="S403" s="2">
        <v>12.1980097431055</v>
      </c>
      <c r="T403" s="2">
        <v>9.59008643704076</v>
      </c>
      <c r="U403" s="2">
        <v>0.0</v>
      </c>
      <c r="V403" s="2">
        <v>12.0</v>
      </c>
      <c r="W403" s="2">
        <v>7.0</v>
      </c>
      <c r="X403" s="2">
        <v>5.0</v>
      </c>
      <c r="Y403" s="2">
        <v>0.0</v>
      </c>
      <c r="Z403" s="2">
        <v>22.0</v>
      </c>
      <c r="AA403" s="2">
        <v>109.0</v>
      </c>
      <c r="AB403" s="2">
        <v>4.0</v>
      </c>
      <c r="AC403" s="2">
        <v>0.0</v>
      </c>
      <c r="AD403" s="2">
        <v>0.0</v>
      </c>
      <c r="AE403" s="2">
        <v>8.0</v>
      </c>
      <c r="AF403" s="2">
        <v>6.13052763679298</v>
      </c>
      <c r="AG403" s="2">
        <v>0.0</v>
      </c>
      <c r="AH403" s="2">
        <v>4.0</v>
      </c>
      <c r="AI403" s="2">
        <v>3.0</v>
      </c>
      <c r="AJ403" s="2">
        <v>1.0</v>
      </c>
      <c r="AK403" s="2">
        <v>0.0</v>
      </c>
      <c r="AL403" s="2">
        <v>25.0</v>
      </c>
      <c r="AM403" s="2">
        <v>31.0</v>
      </c>
      <c r="AN403" s="2">
        <v>309.0</v>
      </c>
      <c r="AO403" s="2">
        <v>1.0</v>
      </c>
      <c r="AP403" s="2">
        <v>0.0</v>
      </c>
      <c r="AQ403" s="2">
        <v>0.0</v>
      </c>
      <c r="AR403" s="2">
        <v>229.0</v>
      </c>
      <c r="AS403" s="2">
        <v>177.0</v>
      </c>
      <c r="AT403" s="2">
        <v>10.0</v>
      </c>
      <c r="AU403" s="2">
        <v>16.0379268083123</v>
      </c>
      <c r="AV403" s="2">
        <v>0.0</v>
      </c>
      <c r="AW403" s="2">
        <v>12.0</v>
      </c>
      <c r="AX403" s="2">
        <v>7.0</v>
      </c>
      <c r="AY403" s="2">
        <v>5.0</v>
      </c>
      <c r="AZ403" s="2">
        <v>0.0</v>
      </c>
      <c r="BA403" s="2">
        <v>0.0</v>
      </c>
      <c r="BB403" s="2">
        <v>53.0</v>
      </c>
      <c r="BC403" s="2">
        <v>0.0</v>
      </c>
      <c r="BD403" s="2">
        <v>24.0</v>
      </c>
      <c r="BE403" s="2">
        <v>6.0</v>
      </c>
      <c r="BF403" s="2">
        <v>55.0</v>
      </c>
      <c r="BG403" s="2">
        <v>3.0</v>
      </c>
      <c r="BH403" s="2">
        <v>5.0</v>
      </c>
      <c r="BI403" s="2">
        <v>50.0</v>
      </c>
      <c r="BJ403" s="2">
        <v>11.0</v>
      </c>
      <c r="BK403" s="2">
        <v>2.0</v>
      </c>
      <c r="BL403" s="2">
        <v>23.0</v>
      </c>
      <c r="BM403" s="2">
        <v>11.0</v>
      </c>
      <c r="BN403" s="2">
        <v>0.0</v>
      </c>
      <c r="BO403" s="2">
        <v>0.0</v>
      </c>
      <c r="BP403" s="2">
        <v>0.0</v>
      </c>
      <c r="BQ403" s="2">
        <v>0.0</v>
      </c>
      <c r="BR403" s="2">
        <v>0.0</v>
      </c>
      <c r="BS403" s="2">
        <v>0.0</v>
      </c>
      <c r="BT403" s="2">
        <v>1.0</v>
      </c>
      <c r="BU403" s="2">
        <v>0.0</v>
      </c>
      <c r="BV403" s="2">
        <v>0.0</v>
      </c>
      <c r="BW403" s="2">
        <v>8.0</v>
      </c>
      <c r="BX403" s="2">
        <v>50.0</v>
      </c>
      <c r="BY403" s="2">
        <v>3.0</v>
      </c>
      <c r="BZ403" s="2">
        <v>0.0</v>
      </c>
      <c r="CA403" s="2">
        <v>0.0</v>
      </c>
      <c r="CB403" s="2">
        <v>0.0</v>
      </c>
      <c r="CC403" s="2">
        <v>0.0</v>
      </c>
      <c r="CD403" s="2">
        <v>0.0</v>
      </c>
      <c r="CE403" s="2">
        <v>1.0</v>
      </c>
      <c r="CF403" s="2">
        <v>21.0</v>
      </c>
      <c r="CG403" s="2">
        <v>8.0</v>
      </c>
      <c r="CH403" s="2">
        <v>261.0</v>
      </c>
      <c r="CI403" s="2">
        <v>3.0</v>
      </c>
      <c r="CJ403" s="2">
        <v>4.0</v>
      </c>
      <c r="CK403" s="2">
        <v>0.0</v>
      </c>
      <c r="CL403" s="2">
        <v>1.0</v>
      </c>
      <c r="CM403" s="2">
        <v>47.0</v>
      </c>
      <c r="CN403" s="2">
        <v>0.75</v>
      </c>
      <c r="CO403" s="2">
        <v>0.0</v>
      </c>
      <c r="CP403" s="2">
        <v>0.0</v>
      </c>
      <c r="CQ403" s="2">
        <v>1.0</v>
      </c>
      <c r="CR403" s="2">
        <v>2.0</v>
      </c>
      <c r="CS403" s="2">
        <v>0.0</v>
      </c>
      <c r="CT403" s="2">
        <v>0.0</v>
      </c>
      <c r="CU403" s="2">
        <v>0.0</v>
      </c>
      <c r="CV403" s="2">
        <v>0.0</v>
      </c>
      <c r="CW403" s="2">
        <v>0.0</v>
      </c>
      <c r="CX403" s="2">
        <v>0.0</v>
      </c>
      <c r="CY403" s="2">
        <v>0.0</v>
      </c>
      <c r="CZ403" s="2">
        <v>0.0</v>
      </c>
      <c r="DA403" s="2" t="s">
        <v>2216</v>
      </c>
      <c r="DC403" s="2" t="s">
        <v>2034</v>
      </c>
      <c r="DD403" s="2">
        <v>131.0</v>
      </c>
      <c r="DE403" s="2">
        <v>0.0</v>
      </c>
      <c r="DF403" s="2">
        <v>52.0</v>
      </c>
      <c r="DG403" s="2">
        <v>5.0</v>
      </c>
      <c r="DH403" s="2">
        <v>5.0</v>
      </c>
      <c r="DI403" s="2">
        <v>0.0</v>
      </c>
      <c r="DJ403" s="2">
        <v>0.0</v>
      </c>
      <c r="DK403" s="2">
        <v>1.0</v>
      </c>
      <c r="DL403" s="2">
        <v>0.0</v>
      </c>
      <c r="DM403" s="2">
        <v>0.0</v>
      </c>
      <c r="DN403" s="2">
        <v>0.0</v>
      </c>
      <c r="DO403" s="2">
        <v>0.0</v>
      </c>
      <c r="DP403" s="2">
        <v>0.0</v>
      </c>
      <c r="DQ403" s="2">
        <v>2.0</v>
      </c>
      <c r="DR403" s="2">
        <v>0.0</v>
      </c>
      <c r="DS403" s="2">
        <v>42.0</v>
      </c>
      <c r="DT403" s="2">
        <v>84.0</v>
      </c>
      <c r="DU403" s="2">
        <v>1.0</v>
      </c>
      <c r="DV403" s="2">
        <v>0.0</v>
      </c>
      <c r="DW403" s="2">
        <v>0.0</v>
      </c>
      <c r="DX403" s="2">
        <v>0.0</v>
      </c>
      <c r="DY403" s="2">
        <v>1.0</v>
      </c>
      <c r="DZ403" s="2">
        <v>1.0</v>
      </c>
      <c r="EA403" s="2">
        <v>0.0</v>
      </c>
      <c r="EB403" s="2">
        <v>0.0</v>
      </c>
      <c r="EC403" s="2">
        <v>84.0</v>
      </c>
      <c r="EE403" s="2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2">
        <v>2025.0</v>
      </c>
      <c r="B404" s="2">
        <v>14.0</v>
      </c>
      <c r="C404" s="2" t="s">
        <v>205</v>
      </c>
      <c r="D404" s="2" t="s">
        <v>390</v>
      </c>
      <c r="E404" s="2" t="s">
        <v>1032</v>
      </c>
      <c r="F404" s="2" t="s">
        <v>137</v>
      </c>
      <c r="G404" s="2">
        <v>17.0</v>
      </c>
      <c r="H404" s="2">
        <v>25.0</v>
      </c>
      <c r="I404" s="2">
        <v>234.0</v>
      </c>
      <c r="J404" s="2">
        <v>3.0</v>
      </c>
      <c r="K404" s="2">
        <v>1.0</v>
      </c>
      <c r="L404" s="2">
        <v>1.0</v>
      </c>
      <c r="M404" s="2">
        <v>-14.0</v>
      </c>
      <c r="N404" s="2">
        <v>0.0</v>
      </c>
      <c r="O404" s="2">
        <v>0.0</v>
      </c>
      <c r="P404" s="2">
        <v>311.0</v>
      </c>
      <c r="Q404" s="2">
        <v>95.0</v>
      </c>
      <c r="R404" s="2">
        <v>9.0</v>
      </c>
      <c r="S404" s="2">
        <v>8.0273233577027</v>
      </c>
      <c r="T404" s="2">
        <v>12.0387479015019</v>
      </c>
      <c r="U404" s="2">
        <v>0.0</v>
      </c>
      <c r="V404" s="2">
        <v>8.0</v>
      </c>
      <c r="W404" s="2">
        <v>6.0</v>
      </c>
      <c r="X404" s="2">
        <v>4.0</v>
      </c>
      <c r="Y404" s="2">
        <v>2.0</v>
      </c>
      <c r="Z404" s="2">
        <v>26.0</v>
      </c>
      <c r="AA404" s="2">
        <v>117.0</v>
      </c>
      <c r="AB404" s="2">
        <v>1.0</v>
      </c>
      <c r="AC404" s="2">
        <v>0.0</v>
      </c>
      <c r="AD404" s="2">
        <v>0.0</v>
      </c>
      <c r="AE404" s="2">
        <v>8.0</v>
      </c>
      <c r="AF404" s="2">
        <v>4.20468689064728</v>
      </c>
      <c r="AG404" s="2">
        <v>0.0</v>
      </c>
      <c r="AH404" s="2">
        <v>4.0</v>
      </c>
      <c r="AI404" s="2">
        <v>2.0</v>
      </c>
      <c r="AJ404" s="2">
        <v>1.0</v>
      </c>
      <c r="AK404" s="2">
        <v>0.0</v>
      </c>
      <c r="AL404" s="2">
        <v>17.0</v>
      </c>
      <c r="AM404" s="2">
        <v>23.0</v>
      </c>
      <c r="AN404" s="2">
        <v>234.0</v>
      </c>
      <c r="AO404" s="2">
        <v>3.0</v>
      </c>
      <c r="AP404" s="2">
        <v>0.0</v>
      </c>
      <c r="AQ404" s="2">
        <v>0.0</v>
      </c>
      <c r="AR404" s="2">
        <v>311.0</v>
      </c>
      <c r="AS404" s="2">
        <v>95.0</v>
      </c>
      <c r="AT404" s="2">
        <v>9.0</v>
      </c>
      <c r="AU404" s="2">
        <v>11.5087877021288</v>
      </c>
      <c r="AV404" s="2">
        <v>0.0</v>
      </c>
      <c r="AW404" s="2">
        <v>8.0</v>
      </c>
      <c r="AX404" s="2">
        <v>6.0</v>
      </c>
      <c r="AY404" s="2">
        <v>4.0</v>
      </c>
      <c r="AZ404" s="2">
        <v>2.0</v>
      </c>
      <c r="BA404" s="2">
        <v>0.0</v>
      </c>
      <c r="BB404" s="2">
        <v>36.0</v>
      </c>
      <c r="BC404" s="2">
        <v>0.0</v>
      </c>
      <c r="BD404" s="2">
        <v>38.0</v>
      </c>
      <c r="BE404" s="2">
        <v>2.0</v>
      </c>
      <c r="BF404" s="2">
        <v>13.0</v>
      </c>
      <c r="BG404" s="2">
        <v>1.0</v>
      </c>
      <c r="BH404" s="2">
        <v>1.0</v>
      </c>
      <c r="BI404" s="2">
        <v>9.0</v>
      </c>
      <c r="BJ404" s="2">
        <v>6.0</v>
      </c>
      <c r="BK404" s="2">
        <v>1.0</v>
      </c>
      <c r="BL404" s="2">
        <v>0.0</v>
      </c>
      <c r="BM404" s="2">
        <v>3.0</v>
      </c>
      <c r="BN404" s="2">
        <v>0.0</v>
      </c>
      <c r="BO404" s="2">
        <v>0.0</v>
      </c>
      <c r="BP404" s="2">
        <v>0.0</v>
      </c>
      <c r="BQ404" s="2">
        <v>0.0</v>
      </c>
      <c r="BR404" s="2">
        <v>0.0</v>
      </c>
      <c r="BS404" s="2">
        <v>0.0</v>
      </c>
      <c r="BT404" s="2">
        <v>0.0</v>
      </c>
      <c r="BU404" s="2">
        <v>0.0</v>
      </c>
      <c r="BV404" s="2">
        <v>0.0</v>
      </c>
      <c r="BW404" s="2">
        <v>6.0</v>
      </c>
      <c r="BX404" s="2">
        <v>55.0</v>
      </c>
      <c r="BY404" s="2">
        <v>4.0</v>
      </c>
      <c r="BZ404" s="2">
        <v>0.0</v>
      </c>
      <c r="CA404" s="2">
        <v>0.0</v>
      </c>
      <c r="CB404" s="2">
        <v>0.0</v>
      </c>
      <c r="CC404" s="2">
        <v>0.0</v>
      </c>
      <c r="CD404" s="2">
        <v>0.0</v>
      </c>
      <c r="CE404" s="2">
        <v>1.0</v>
      </c>
      <c r="CF404" s="2">
        <v>7.0</v>
      </c>
      <c r="CG404" s="2">
        <v>3.0</v>
      </c>
      <c r="CH404" s="2">
        <v>85.0</v>
      </c>
      <c r="CI404" s="2">
        <v>0.0</v>
      </c>
      <c r="CJ404" s="2">
        <v>0.0</v>
      </c>
      <c r="CK404" s="2">
        <v>0.0</v>
      </c>
      <c r="CL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0.0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D404" s="2">
        <v>0.0</v>
      </c>
      <c r="DE404" s="2">
        <v>0.0</v>
      </c>
      <c r="DF404" s="2">
        <v>0.0</v>
      </c>
      <c r="DG404" s="2">
        <v>4.0</v>
      </c>
      <c r="DH404" s="2">
        <v>4.0</v>
      </c>
      <c r="DI404" s="2">
        <v>0.0</v>
      </c>
      <c r="DJ404" s="2">
        <v>0.0</v>
      </c>
      <c r="DK404" s="2">
        <v>1.0</v>
      </c>
      <c r="DL404" s="2">
        <v>0.0</v>
      </c>
      <c r="DM404" s="2">
        <v>0.0</v>
      </c>
      <c r="DN404" s="2">
        <v>0.0</v>
      </c>
      <c r="DO404" s="2">
        <v>0.0</v>
      </c>
      <c r="DP404" s="2">
        <v>0.0</v>
      </c>
      <c r="DQ404" s="2">
        <v>3.0</v>
      </c>
      <c r="DR404" s="2">
        <v>0.0</v>
      </c>
      <c r="DS404" s="2">
        <v>55.0</v>
      </c>
      <c r="DT404" s="2">
        <v>145.0</v>
      </c>
      <c r="DU404" s="2">
        <v>1.0</v>
      </c>
      <c r="DV404" s="2">
        <v>1.0</v>
      </c>
      <c r="DW404" s="2">
        <v>1.0</v>
      </c>
      <c r="DX404" s="2">
        <v>0.0</v>
      </c>
      <c r="DY404" s="2">
        <v>0.0</v>
      </c>
      <c r="DZ404" s="2">
        <v>1.0</v>
      </c>
      <c r="EA404" s="2">
        <v>6.0</v>
      </c>
      <c r="EB404" s="2">
        <v>0.0</v>
      </c>
      <c r="EC404" s="2">
        <v>139.0</v>
      </c>
      <c r="EE404" s="2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2">
        <v>2025.0</v>
      </c>
      <c r="B405" s="2">
        <v>14.0</v>
      </c>
      <c r="C405" s="2" t="s">
        <v>140</v>
      </c>
      <c r="D405" s="2" t="s">
        <v>390</v>
      </c>
      <c r="E405" s="2" t="s">
        <v>1048</v>
      </c>
      <c r="F405" s="2" t="s">
        <v>143</v>
      </c>
      <c r="G405" s="2">
        <v>15.0</v>
      </c>
      <c r="H405" s="2">
        <v>31.0</v>
      </c>
      <c r="I405" s="2">
        <v>203.0</v>
      </c>
      <c r="J405" s="2">
        <v>1.0</v>
      </c>
      <c r="K405" s="2">
        <v>0.0</v>
      </c>
      <c r="L405" s="2">
        <v>3.0</v>
      </c>
      <c r="M405" s="2">
        <v>-17.0</v>
      </c>
      <c r="N405" s="2">
        <v>0.0</v>
      </c>
      <c r="O405" s="2">
        <v>0.0</v>
      </c>
      <c r="P405" s="2">
        <v>305.0</v>
      </c>
      <c r="Q405" s="2">
        <v>69.0</v>
      </c>
      <c r="R405" s="2">
        <v>7.0</v>
      </c>
      <c r="S405" s="2">
        <v>0.188854076783173</v>
      </c>
      <c r="T405" s="2">
        <v>-6.10207838040811</v>
      </c>
      <c r="U405" s="2">
        <v>0.0</v>
      </c>
      <c r="V405" s="2">
        <v>5.0</v>
      </c>
      <c r="W405" s="2">
        <v>4.0</v>
      </c>
      <c r="X405" s="2">
        <v>2.0</v>
      </c>
      <c r="Y405" s="2">
        <v>2.0</v>
      </c>
      <c r="Z405" s="2">
        <v>31.0</v>
      </c>
      <c r="AA405" s="2">
        <v>82.0</v>
      </c>
      <c r="AB405" s="2">
        <v>1.0</v>
      </c>
      <c r="AC405" s="2">
        <v>0.0</v>
      </c>
      <c r="AD405" s="2">
        <v>0.0</v>
      </c>
      <c r="AE405" s="2">
        <v>5.0</v>
      </c>
      <c r="AF405" s="2">
        <v>-5.08995004417045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15.0</v>
      </c>
      <c r="AM405" s="2">
        <v>27.0</v>
      </c>
      <c r="AN405" s="2">
        <v>203.0</v>
      </c>
      <c r="AO405" s="2">
        <v>1.0</v>
      </c>
      <c r="AP405" s="2">
        <v>0.0</v>
      </c>
      <c r="AQ405" s="2">
        <v>0.0</v>
      </c>
      <c r="AR405" s="2">
        <v>305.0</v>
      </c>
      <c r="AS405" s="2">
        <v>69.0</v>
      </c>
      <c r="AT405" s="2">
        <v>7.0</v>
      </c>
      <c r="AU405" s="2">
        <v>6.44433862407459</v>
      </c>
      <c r="AV405" s="2">
        <v>0.0</v>
      </c>
      <c r="AW405" s="2">
        <v>5.0</v>
      </c>
      <c r="AX405" s="2">
        <v>4.0</v>
      </c>
      <c r="AY405" s="2">
        <v>2.0</v>
      </c>
      <c r="AZ405" s="2">
        <v>2.0</v>
      </c>
      <c r="BA405" s="2">
        <v>0.0</v>
      </c>
      <c r="BB405" s="2">
        <v>29.0</v>
      </c>
      <c r="BC405" s="2">
        <v>0.0</v>
      </c>
      <c r="BD405" s="2">
        <v>38.0</v>
      </c>
      <c r="BE405" s="2">
        <v>2.0</v>
      </c>
      <c r="BF405" s="2">
        <v>19.0</v>
      </c>
      <c r="BG405" s="2">
        <v>0.0</v>
      </c>
      <c r="BH405" s="2">
        <v>2.0</v>
      </c>
      <c r="BI405" s="2">
        <v>12.0</v>
      </c>
      <c r="BJ405" s="2">
        <v>8.0</v>
      </c>
      <c r="BK405" s="2">
        <v>3.0</v>
      </c>
      <c r="BL405" s="2">
        <v>-2.0</v>
      </c>
      <c r="BM405" s="2">
        <v>7.0</v>
      </c>
      <c r="BN405" s="2">
        <v>0.0</v>
      </c>
      <c r="BO405" s="2">
        <v>0.0</v>
      </c>
      <c r="BP405" s="2">
        <v>0.0</v>
      </c>
      <c r="BQ405" s="2">
        <v>0.0</v>
      </c>
      <c r="BR405" s="2">
        <v>0.0</v>
      </c>
      <c r="BS405" s="2">
        <v>0.0</v>
      </c>
      <c r="BT405" s="2">
        <v>0.0</v>
      </c>
      <c r="BU405" s="2">
        <v>0.0</v>
      </c>
      <c r="BV405" s="2">
        <v>0.0</v>
      </c>
      <c r="BW405" s="2">
        <v>8.0</v>
      </c>
      <c r="BX405" s="2">
        <v>59.0</v>
      </c>
      <c r="BY405" s="2">
        <v>5.0</v>
      </c>
      <c r="BZ405" s="2">
        <v>0.0</v>
      </c>
      <c r="CA405" s="2">
        <v>0.0</v>
      </c>
      <c r="CB405" s="2">
        <v>0.0</v>
      </c>
      <c r="CC405" s="2">
        <v>0.0</v>
      </c>
      <c r="CD405" s="2">
        <v>0.0</v>
      </c>
      <c r="CE405" s="2">
        <v>1.0</v>
      </c>
      <c r="CF405" s="2">
        <v>21.0</v>
      </c>
      <c r="CG405" s="2">
        <v>2.0</v>
      </c>
      <c r="CH405" s="2">
        <v>41.0</v>
      </c>
      <c r="CI405" s="2">
        <v>2.0</v>
      </c>
      <c r="CJ405" s="2">
        <v>2.0</v>
      </c>
      <c r="CK405" s="2">
        <v>0.0</v>
      </c>
      <c r="CL405" s="2">
        <v>0.0</v>
      </c>
      <c r="CM405" s="2">
        <v>35.0</v>
      </c>
      <c r="CN405" s="2">
        <v>1.0</v>
      </c>
      <c r="CO405" s="2">
        <v>0.0</v>
      </c>
      <c r="CP405" s="2">
        <v>1.0</v>
      </c>
      <c r="CQ405" s="2">
        <v>1.0</v>
      </c>
      <c r="CR405" s="2">
        <v>0.0</v>
      </c>
      <c r="CS405" s="2">
        <v>0.0</v>
      </c>
      <c r="CT405" s="2">
        <v>0.0</v>
      </c>
      <c r="CU405" s="2">
        <v>0.0</v>
      </c>
      <c r="CV405" s="2">
        <v>0.0</v>
      </c>
      <c r="CW405" s="2">
        <v>0.0</v>
      </c>
      <c r="CX405" s="2">
        <v>0.0</v>
      </c>
      <c r="CY405" s="2">
        <v>0.0</v>
      </c>
      <c r="CZ405" s="2">
        <v>0.0</v>
      </c>
      <c r="DA405" s="2" t="s">
        <v>2217</v>
      </c>
      <c r="DD405" s="2">
        <v>63.0</v>
      </c>
      <c r="DE405" s="2">
        <v>0.0</v>
      </c>
      <c r="DF405" s="2">
        <v>0.0</v>
      </c>
      <c r="DG405" s="2">
        <v>2.0</v>
      </c>
      <c r="DH405" s="2">
        <v>2.0</v>
      </c>
      <c r="DI405" s="2">
        <v>0.0</v>
      </c>
      <c r="DJ405" s="2">
        <v>0.0</v>
      </c>
      <c r="DK405" s="2">
        <v>1.0</v>
      </c>
      <c r="DL405" s="2">
        <v>0.0</v>
      </c>
      <c r="DM405" s="2">
        <v>0.0</v>
      </c>
      <c r="DN405" s="2">
        <v>0.0</v>
      </c>
      <c r="DO405" s="2">
        <v>0.0</v>
      </c>
      <c r="DP405" s="2">
        <v>0.0</v>
      </c>
      <c r="DQ405" s="2">
        <v>8.0</v>
      </c>
      <c r="DR405" s="2">
        <v>0.0</v>
      </c>
      <c r="DS405" s="2">
        <v>56.0</v>
      </c>
      <c r="DT405" s="2">
        <v>329.0</v>
      </c>
      <c r="DU405" s="2">
        <v>3.0</v>
      </c>
      <c r="DV405" s="2">
        <v>1.0</v>
      </c>
      <c r="DW405" s="2">
        <v>2.0</v>
      </c>
      <c r="DX405" s="2">
        <v>0.0</v>
      </c>
      <c r="DY405" s="2">
        <v>4.0</v>
      </c>
      <c r="DZ405" s="2">
        <v>1.0</v>
      </c>
      <c r="EA405" s="2">
        <v>0.0</v>
      </c>
      <c r="EB405" s="2">
        <v>0.0</v>
      </c>
      <c r="EC405" s="2">
        <v>329.0</v>
      </c>
      <c r="EE405" s="2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2">
        <v>2025.0</v>
      </c>
      <c r="B406" s="2">
        <v>14.0</v>
      </c>
      <c r="C406" s="2" t="s">
        <v>210</v>
      </c>
      <c r="D406" s="2" t="s">
        <v>390</v>
      </c>
      <c r="E406" s="2" t="s">
        <v>1034</v>
      </c>
      <c r="F406" s="2" t="s">
        <v>141</v>
      </c>
      <c r="G406" s="2">
        <v>23.0</v>
      </c>
      <c r="H406" s="2">
        <v>36.0</v>
      </c>
      <c r="I406" s="2">
        <v>205.0</v>
      </c>
      <c r="J406" s="2">
        <v>0.0</v>
      </c>
      <c r="K406" s="2">
        <v>2.0</v>
      </c>
      <c r="L406" s="2">
        <v>1.0</v>
      </c>
      <c r="M406" s="2">
        <v>-9.0</v>
      </c>
      <c r="N406" s="2">
        <v>0.0</v>
      </c>
      <c r="O406" s="2">
        <v>0.0</v>
      </c>
      <c r="P406" s="2">
        <v>232.0</v>
      </c>
      <c r="Q406" s="2">
        <v>92.0</v>
      </c>
      <c r="R406" s="2">
        <v>12.0</v>
      </c>
      <c r="S406" s="2">
        <v>-5.47766878513925</v>
      </c>
      <c r="T406" s="2">
        <v>-0.44940859079361</v>
      </c>
      <c r="U406" s="2">
        <v>0.0</v>
      </c>
      <c r="V406" s="2">
        <v>7.0</v>
      </c>
      <c r="W406" s="2">
        <v>5.0</v>
      </c>
      <c r="X406" s="2">
        <v>2.0</v>
      </c>
      <c r="Y406" s="2">
        <v>0.0</v>
      </c>
      <c r="Z406" s="2">
        <v>26.0</v>
      </c>
      <c r="AA406" s="2">
        <v>89.0</v>
      </c>
      <c r="AB406" s="2">
        <v>2.0</v>
      </c>
      <c r="AC406" s="2">
        <v>1.0</v>
      </c>
      <c r="AD406" s="2">
        <v>1.0</v>
      </c>
      <c r="AE406" s="2">
        <v>5.0</v>
      </c>
      <c r="AF406" s="2">
        <v>-6.39914342627162</v>
      </c>
      <c r="AG406" s="2">
        <v>0.0</v>
      </c>
      <c r="AH406" s="2">
        <v>1.0</v>
      </c>
      <c r="AI406" s="2">
        <v>1.0</v>
      </c>
      <c r="AJ406" s="2">
        <v>0.0</v>
      </c>
      <c r="AK406" s="2">
        <v>0.0</v>
      </c>
      <c r="AL406" s="2">
        <v>23.0</v>
      </c>
      <c r="AM406" s="2">
        <v>36.0</v>
      </c>
      <c r="AN406" s="2">
        <v>205.0</v>
      </c>
      <c r="AO406" s="2">
        <v>0.0</v>
      </c>
      <c r="AP406" s="2">
        <v>0.0</v>
      </c>
      <c r="AQ406" s="2">
        <v>0.0</v>
      </c>
      <c r="AR406" s="2">
        <v>232.0</v>
      </c>
      <c r="AS406" s="2">
        <v>92.0</v>
      </c>
      <c r="AT406" s="2">
        <v>12.0</v>
      </c>
      <c r="AU406" s="2">
        <v>-3.51201711944144</v>
      </c>
      <c r="AV406" s="2">
        <v>0.0</v>
      </c>
      <c r="AW406" s="2">
        <v>7.0</v>
      </c>
      <c r="AX406" s="2">
        <v>5.0</v>
      </c>
      <c r="AY406" s="2">
        <v>2.0</v>
      </c>
      <c r="AZ406" s="2">
        <v>0.0</v>
      </c>
      <c r="BA406" s="2">
        <v>0.0</v>
      </c>
      <c r="BB406" s="2">
        <v>37.0</v>
      </c>
      <c r="BC406" s="2">
        <v>2.0</v>
      </c>
      <c r="BD406" s="2">
        <v>28.0</v>
      </c>
      <c r="BE406" s="2">
        <v>4.0</v>
      </c>
      <c r="BF406" s="2">
        <v>8.0</v>
      </c>
      <c r="BG406" s="2">
        <v>2.0</v>
      </c>
      <c r="BH406" s="2">
        <v>0.0</v>
      </c>
      <c r="BI406" s="2">
        <v>0.0</v>
      </c>
      <c r="BJ406" s="2">
        <v>0.0</v>
      </c>
      <c r="BK406" s="2">
        <v>0.0</v>
      </c>
      <c r="BL406" s="2">
        <v>0.0</v>
      </c>
      <c r="BM406" s="2">
        <v>9.0</v>
      </c>
      <c r="BN406" s="2">
        <v>0.0</v>
      </c>
      <c r="BO406" s="2">
        <v>0.0</v>
      </c>
      <c r="BP406" s="2">
        <v>0.0</v>
      </c>
      <c r="BQ406" s="2">
        <v>0.0</v>
      </c>
      <c r="BR406" s="2">
        <v>0.0</v>
      </c>
      <c r="BS406" s="2">
        <v>0.0</v>
      </c>
      <c r="BT406" s="2">
        <v>1.0</v>
      </c>
      <c r="BU406" s="2">
        <v>1.0</v>
      </c>
      <c r="BV406" s="2">
        <v>0.0</v>
      </c>
      <c r="BW406" s="2">
        <v>5.0</v>
      </c>
      <c r="BX406" s="2">
        <v>45.0</v>
      </c>
      <c r="BY406" s="2">
        <v>3.0</v>
      </c>
      <c r="BZ406" s="2">
        <v>1.0</v>
      </c>
      <c r="CA406" s="2">
        <v>0.0</v>
      </c>
      <c r="CB406" s="2">
        <v>0.0</v>
      </c>
      <c r="CC406" s="2">
        <v>1.0</v>
      </c>
      <c r="CD406" s="2">
        <v>1.0</v>
      </c>
      <c r="CE406" s="2">
        <v>1.0</v>
      </c>
      <c r="CF406" s="2">
        <v>0.0</v>
      </c>
      <c r="CG406" s="2">
        <v>5.0</v>
      </c>
      <c r="CH406" s="2">
        <v>115.0</v>
      </c>
      <c r="CI406" s="2">
        <v>2.0</v>
      </c>
      <c r="CJ406" s="2">
        <v>2.0</v>
      </c>
      <c r="CK406" s="2">
        <v>0.0</v>
      </c>
      <c r="CL406" s="2">
        <v>0.0</v>
      </c>
      <c r="CM406" s="2">
        <v>36.0</v>
      </c>
      <c r="CN406" s="2">
        <v>1.0</v>
      </c>
      <c r="CO406" s="2">
        <v>0.0</v>
      </c>
      <c r="CP406" s="2">
        <v>1.0</v>
      </c>
      <c r="CQ406" s="2">
        <v>1.0</v>
      </c>
      <c r="CR406" s="2">
        <v>0.0</v>
      </c>
      <c r="CS406" s="2">
        <v>0.0</v>
      </c>
      <c r="CT406" s="2">
        <v>0.0</v>
      </c>
      <c r="CU406" s="2">
        <v>0.0</v>
      </c>
      <c r="CV406" s="2">
        <v>0.0</v>
      </c>
      <c r="CW406" s="2">
        <v>0.0</v>
      </c>
      <c r="CX406" s="2">
        <v>0.0</v>
      </c>
      <c r="CY406" s="2">
        <v>0.0</v>
      </c>
      <c r="CZ406" s="2">
        <v>0.0</v>
      </c>
      <c r="DA406" s="2" t="s">
        <v>2218</v>
      </c>
      <c r="DD406" s="2">
        <v>64.0</v>
      </c>
      <c r="DE406" s="2">
        <v>0.0</v>
      </c>
      <c r="DF406" s="2">
        <v>0.0</v>
      </c>
      <c r="DG406" s="2">
        <v>1.0</v>
      </c>
      <c r="DH406" s="2">
        <v>1.0</v>
      </c>
      <c r="DI406" s="2">
        <v>0.0</v>
      </c>
      <c r="DJ406" s="2">
        <v>0.0</v>
      </c>
      <c r="DK406" s="2">
        <v>1.0</v>
      </c>
      <c r="DL406" s="2">
        <v>0.0</v>
      </c>
      <c r="DM406" s="2">
        <v>0.0</v>
      </c>
      <c r="DN406" s="2">
        <v>0.0</v>
      </c>
      <c r="DO406" s="2">
        <v>0.0</v>
      </c>
      <c r="DP406" s="2">
        <v>0.0</v>
      </c>
      <c r="DQ406" s="2">
        <v>2.0</v>
      </c>
      <c r="DR406" s="2">
        <v>0.0</v>
      </c>
      <c r="DS406" s="2">
        <v>54.0</v>
      </c>
      <c r="DT406" s="2">
        <v>101.0</v>
      </c>
      <c r="DU406" s="2">
        <v>0.0</v>
      </c>
      <c r="DV406" s="2">
        <v>0.0</v>
      </c>
      <c r="DW406" s="2">
        <v>0.0</v>
      </c>
      <c r="DX406" s="2">
        <v>0.0</v>
      </c>
      <c r="DY406" s="2">
        <v>1.0</v>
      </c>
      <c r="DZ406" s="2">
        <v>1.0</v>
      </c>
      <c r="EA406" s="2">
        <v>15.0</v>
      </c>
      <c r="EB406" s="2">
        <v>0.0</v>
      </c>
      <c r="EC406" s="2">
        <v>86.0</v>
      </c>
      <c r="EE406" s="2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2">
        <v>2025.0</v>
      </c>
      <c r="B407" s="2">
        <v>14.0</v>
      </c>
      <c r="C407" s="2" t="s">
        <v>141</v>
      </c>
      <c r="D407" s="2" t="s">
        <v>390</v>
      </c>
      <c r="E407" s="2" t="s">
        <v>1034</v>
      </c>
      <c r="F407" s="2" t="s">
        <v>210</v>
      </c>
      <c r="G407" s="2">
        <v>18.0</v>
      </c>
      <c r="H407" s="2">
        <v>31.0</v>
      </c>
      <c r="I407" s="2">
        <v>247.0</v>
      </c>
      <c r="J407" s="2">
        <v>2.0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333.0</v>
      </c>
      <c r="Q407" s="2">
        <v>83.0</v>
      </c>
      <c r="R407" s="2">
        <v>10.0</v>
      </c>
      <c r="S407" s="2">
        <v>10.9025498611382</v>
      </c>
      <c r="T407" s="2">
        <v>-3.39134345131536</v>
      </c>
      <c r="U407" s="2">
        <v>0.0</v>
      </c>
      <c r="V407" s="2">
        <v>8.0</v>
      </c>
      <c r="W407" s="2">
        <v>6.0</v>
      </c>
      <c r="X407" s="2">
        <v>4.0</v>
      </c>
      <c r="Y407" s="2">
        <v>0.0</v>
      </c>
      <c r="Z407" s="2">
        <v>32.0</v>
      </c>
      <c r="AA407" s="2">
        <v>103.0</v>
      </c>
      <c r="AB407" s="2">
        <v>2.0</v>
      </c>
      <c r="AC407" s="2">
        <v>1.0</v>
      </c>
      <c r="AD407" s="2">
        <v>1.0</v>
      </c>
      <c r="AE407" s="2">
        <v>8.0</v>
      </c>
      <c r="AF407" s="2">
        <v>-5.4179017864808</v>
      </c>
      <c r="AG407" s="2">
        <v>0.0</v>
      </c>
      <c r="AH407" s="2">
        <v>2.0</v>
      </c>
      <c r="AI407" s="2">
        <v>1.0</v>
      </c>
      <c r="AJ407" s="2">
        <v>1.0</v>
      </c>
      <c r="AK407" s="2">
        <v>0.0</v>
      </c>
      <c r="AL407" s="2">
        <v>18.0</v>
      </c>
      <c r="AM407" s="2">
        <v>31.0</v>
      </c>
      <c r="AN407" s="2">
        <v>247.0</v>
      </c>
      <c r="AO407" s="2">
        <v>2.0</v>
      </c>
      <c r="AP407" s="2">
        <v>0.0</v>
      </c>
      <c r="AQ407" s="2">
        <v>0.0</v>
      </c>
      <c r="AR407" s="2">
        <v>333.0</v>
      </c>
      <c r="AS407" s="2">
        <v>83.0</v>
      </c>
      <c r="AT407" s="2">
        <v>10.0</v>
      </c>
      <c r="AU407" s="2">
        <v>10.9025498611382</v>
      </c>
      <c r="AV407" s="2">
        <v>0.0</v>
      </c>
      <c r="AW407" s="2">
        <v>8.0</v>
      </c>
      <c r="AX407" s="2">
        <v>6.0</v>
      </c>
      <c r="AY407" s="2">
        <v>4.0</v>
      </c>
      <c r="AZ407" s="2">
        <v>0.0</v>
      </c>
      <c r="BA407" s="2">
        <v>0.0</v>
      </c>
      <c r="BB407" s="2">
        <v>31.0</v>
      </c>
      <c r="BC407" s="2">
        <v>3.0</v>
      </c>
      <c r="BD407" s="2">
        <v>43.0</v>
      </c>
      <c r="BE407" s="2">
        <v>4.0</v>
      </c>
      <c r="BF407" s="2">
        <v>12.0</v>
      </c>
      <c r="BG407" s="2">
        <v>1.0</v>
      </c>
      <c r="BH407" s="2">
        <v>1.0</v>
      </c>
      <c r="BI407" s="2">
        <v>9.0</v>
      </c>
      <c r="BJ407" s="2">
        <v>5.0</v>
      </c>
      <c r="BK407" s="2">
        <v>2.0</v>
      </c>
      <c r="BL407" s="2">
        <v>6.0</v>
      </c>
      <c r="BM407" s="2">
        <v>9.0</v>
      </c>
      <c r="BN407" s="2">
        <v>0.0</v>
      </c>
      <c r="BO407" s="2">
        <v>0.0</v>
      </c>
      <c r="BP407" s="2">
        <v>1.0</v>
      </c>
      <c r="BQ407" s="2">
        <v>0.0</v>
      </c>
      <c r="BR407" s="2">
        <v>1.0</v>
      </c>
      <c r="BS407" s="2">
        <v>0.0</v>
      </c>
      <c r="BT407" s="2">
        <v>1.0</v>
      </c>
      <c r="BU407" s="2">
        <v>0.0</v>
      </c>
      <c r="BV407" s="2">
        <v>0.0</v>
      </c>
      <c r="BW407" s="2">
        <v>8.0</v>
      </c>
      <c r="BX407" s="2">
        <v>64.0</v>
      </c>
      <c r="BY407" s="2">
        <v>4.0</v>
      </c>
      <c r="BZ407" s="2">
        <v>2.0</v>
      </c>
      <c r="CA407" s="2">
        <v>0.0</v>
      </c>
      <c r="CB407" s="2">
        <v>0.0</v>
      </c>
      <c r="CC407" s="2">
        <v>2.0</v>
      </c>
      <c r="CD407" s="2">
        <v>1.0</v>
      </c>
      <c r="CE407" s="2">
        <v>1.0</v>
      </c>
      <c r="CF407" s="2">
        <v>15.0</v>
      </c>
      <c r="CG407" s="2">
        <v>5.0</v>
      </c>
      <c r="CH407" s="2">
        <v>113.0</v>
      </c>
      <c r="CI407" s="2">
        <v>2.0</v>
      </c>
      <c r="CJ407" s="2">
        <v>2.0</v>
      </c>
      <c r="CK407" s="2">
        <v>0.0</v>
      </c>
      <c r="CL407" s="2">
        <v>0.0</v>
      </c>
      <c r="CM407" s="2">
        <v>48.0</v>
      </c>
      <c r="CN407" s="2">
        <v>1.0</v>
      </c>
      <c r="CO407" s="2">
        <v>0.0</v>
      </c>
      <c r="CP407" s="2">
        <v>0.0</v>
      </c>
      <c r="CQ407" s="2">
        <v>1.0</v>
      </c>
      <c r="CR407" s="2">
        <v>1.0</v>
      </c>
      <c r="CS407" s="2">
        <v>0.0</v>
      </c>
      <c r="CT407" s="2">
        <v>0.0</v>
      </c>
      <c r="CU407" s="2">
        <v>0.0</v>
      </c>
      <c r="CV407" s="2">
        <v>0.0</v>
      </c>
      <c r="CW407" s="2">
        <v>0.0</v>
      </c>
      <c r="CX407" s="2">
        <v>0.0</v>
      </c>
      <c r="CY407" s="2">
        <v>0.0</v>
      </c>
      <c r="CZ407" s="2">
        <v>0.0</v>
      </c>
      <c r="DA407" s="2" t="s">
        <v>2219</v>
      </c>
      <c r="DD407" s="2">
        <v>83.0</v>
      </c>
      <c r="DE407" s="2">
        <v>0.0</v>
      </c>
      <c r="DF407" s="2">
        <v>0.0</v>
      </c>
      <c r="DG407" s="2">
        <v>4.0</v>
      </c>
      <c r="DH407" s="2">
        <v>4.0</v>
      </c>
      <c r="DI407" s="2">
        <v>0.0</v>
      </c>
      <c r="DJ407" s="2">
        <v>0.0</v>
      </c>
      <c r="DK407" s="2">
        <v>1.0</v>
      </c>
      <c r="DL407" s="2">
        <v>0.0</v>
      </c>
      <c r="DM407" s="2">
        <v>0.0</v>
      </c>
      <c r="DN407" s="2">
        <v>0.0</v>
      </c>
      <c r="DO407" s="2">
        <v>0.0</v>
      </c>
      <c r="DP407" s="2">
        <v>0.0</v>
      </c>
      <c r="DQ407" s="2">
        <v>3.0</v>
      </c>
      <c r="DR407" s="2">
        <v>0.0</v>
      </c>
      <c r="DS407" s="2">
        <v>50.0</v>
      </c>
      <c r="DT407" s="2">
        <v>137.0</v>
      </c>
      <c r="DU407" s="2">
        <v>1.0</v>
      </c>
      <c r="DV407" s="2">
        <v>1.0</v>
      </c>
      <c r="DW407" s="2">
        <v>0.0</v>
      </c>
      <c r="DX407" s="2">
        <v>0.0</v>
      </c>
      <c r="DY407" s="2">
        <v>1.0</v>
      </c>
      <c r="DZ407" s="2">
        <v>1.0</v>
      </c>
      <c r="EA407" s="2">
        <v>0.0</v>
      </c>
      <c r="EB407" s="2">
        <v>0.0</v>
      </c>
      <c r="EC407" s="2">
        <v>137.0</v>
      </c>
      <c r="EE407" s="2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2">
        <v>2025.0</v>
      </c>
      <c r="B408" s="2">
        <v>14.0</v>
      </c>
      <c r="C408" s="2" t="s">
        <v>143</v>
      </c>
      <c r="D408" s="2" t="s">
        <v>390</v>
      </c>
      <c r="E408" s="2" t="s">
        <v>1048</v>
      </c>
      <c r="F408" s="2" t="s">
        <v>140</v>
      </c>
      <c r="G408" s="2">
        <v>14.0</v>
      </c>
      <c r="H408" s="2">
        <v>33.0</v>
      </c>
      <c r="I408" s="2">
        <v>160.0</v>
      </c>
      <c r="J408" s="2">
        <v>0.0</v>
      </c>
      <c r="K408" s="2">
        <v>3.0</v>
      </c>
      <c r="L408" s="2">
        <v>2.0</v>
      </c>
      <c r="M408" s="2">
        <v>-12.0</v>
      </c>
      <c r="N408" s="2">
        <v>0.0</v>
      </c>
      <c r="O408" s="2">
        <v>0.0</v>
      </c>
      <c r="P408" s="2">
        <v>289.0</v>
      </c>
      <c r="Q408" s="2">
        <v>70.0</v>
      </c>
      <c r="R408" s="2">
        <v>8.0</v>
      </c>
      <c r="S408" s="2">
        <v>-22.3309291034004</v>
      </c>
      <c r="T408" s="2">
        <v>-14.8522031718287</v>
      </c>
      <c r="U408" s="2">
        <v>0.0</v>
      </c>
      <c r="V408" s="2">
        <v>7.0</v>
      </c>
      <c r="W408" s="2">
        <v>3.0</v>
      </c>
      <c r="X408" s="2">
        <v>3.0</v>
      </c>
      <c r="Y408" s="2">
        <v>0.0</v>
      </c>
      <c r="Z408" s="2">
        <v>29.0</v>
      </c>
      <c r="AA408" s="2">
        <v>126.0</v>
      </c>
      <c r="AB408" s="2">
        <v>1.0</v>
      </c>
      <c r="AC408" s="2">
        <v>0.0</v>
      </c>
      <c r="AD408" s="2">
        <v>0.0</v>
      </c>
      <c r="AE408" s="2">
        <v>6.0</v>
      </c>
      <c r="AF408" s="2">
        <v>3.86331162444549</v>
      </c>
      <c r="AG408" s="2">
        <v>0.0</v>
      </c>
      <c r="AH408" s="2">
        <v>1.0</v>
      </c>
      <c r="AI408" s="2">
        <v>1.0</v>
      </c>
      <c r="AJ408" s="2">
        <v>0.0</v>
      </c>
      <c r="AK408" s="2">
        <v>0.0</v>
      </c>
      <c r="AL408" s="2">
        <v>14.0</v>
      </c>
      <c r="AM408" s="2">
        <v>29.0</v>
      </c>
      <c r="AN408" s="2">
        <v>160.0</v>
      </c>
      <c r="AO408" s="2">
        <v>0.0</v>
      </c>
      <c r="AP408" s="2">
        <v>0.0</v>
      </c>
      <c r="AQ408" s="2">
        <v>0.0</v>
      </c>
      <c r="AR408" s="2">
        <v>289.0</v>
      </c>
      <c r="AS408" s="2">
        <v>70.0</v>
      </c>
      <c r="AT408" s="2">
        <v>8.0</v>
      </c>
      <c r="AU408" s="2">
        <v>-17.0174751643294</v>
      </c>
      <c r="AV408" s="2">
        <v>0.0</v>
      </c>
      <c r="AW408" s="2">
        <v>7.0</v>
      </c>
      <c r="AX408" s="2">
        <v>3.0</v>
      </c>
      <c r="AY408" s="2">
        <v>3.0</v>
      </c>
      <c r="AZ408" s="2">
        <v>0.0</v>
      </c>
      <c r="BA408" s="2">
        <v>0.0</v>
      </c>
      <c r="BB408" s="2">
        <v>40.0</v>
      </c>
      <c r="BC408" s="2">
        <v>0.0</v>
      </c>
      <c r="BD408" s="2">
        <v>26.0</v>
      </c>
      <c r="BE408" s="2">
        <v>6.0</v>
      </c>
      <c r="BF408" s="2">
        <v>24.0</v>
      </c>
      <c r="BG408" s="2">
        <v>0.0</v>
      </c>
      <c r="BH408" s="2">
        <v>3.0</v>
      </c>
      <c r="BI408" s="2">
        <v>17.0</v>
      </c>
      <c r="BJ408" s="2">
        <v>10.0</v>
      </c>
      <c r="BK408" s="2">
        <v>0.0</v>
      </c>
      <c r="BL408" s="2">
        <v>0.0</v>
      </c>
      <c r="BM408" s="2">
        <v>4.0</v>
      </c>
      <c r="BN408" s="2">
        <v>0.0</v>
      </c>
      <c r="BO408" s="2">
        <v>0.0</v>
      </c>
      <c r="BP408" s="2">
        <v>0.0</v>
      </c>
      <c r="BQ408" s="2">
        <v>0.0</v>
      </c>
      <c r="BR408" s="2">
        <v>0.0</v>
      </c>
      <c r="BS408" s="2">
        <v>0.0</v>
      </c>
      <c r="BT408" s="2">
        <v>0.0</v>
      </c>
      <c r="BU408" s="2">
        <v>0.0</v>
      </c>
      <c r="BV408" s="2">
        <v>0.0</v>
      </c>
      <c r="BW408" s="2">
        <v>5.0</v>
      </c>
      <c r="BX408" s="2">
        <v>20.0</v>
      </c>
      <c r="BY408" s="2">
        <v>3.0</v>
      </c>
      <c r="BZ408" s="2">
        <v>0.0</v>
      </c>
      <c r="CA408" s="2">
        <v>0.0</v>
      </c>
      <c r="CB408" s="2">
        <v>0.0</v>
      </c>
      <c r="CC408" s="2">
        <v>0.0</v>
      </c>
      <c r="CD408" s="2">
        <v>0.0</v>
      </c>
      <c r="CE408" s="2">
        <v>1.0</v>
      </c>
      <c r="CF408" s="2">
        <v>0.0</v>
      </c>
      <c r="CG408" s="2">
        <v>4.0</v>
      </c>
      <c r="CH408" s="2">
        <v>104.0</v>
      </c>
      <c r="CI408" s="2">
        <v>1.0</v>
      </c>
      <c r="CJ408" s="2">
        <v>2.0</v>
      </c>
      <c r="CK408" s="2">
        <v>1.0</v>
      </c>
      <c r="CL408" s="2">
        <v>0.0</v>
      </c>
      <c r="CM408" s="2">
        <v>36.0</v>
      </c>
      <c r="CN408" s="2">
        <v>0.5</v>
      </c>
      <c r="CO408" s="2">
        <v>0.0</v>
      </c>
      <c r="CP408" s="2">
        <v>0.0</v>
      </c>
      <c r="CQ408" s="2">
        <v>1.0</v>
      </c>
      <c r="CR408" s="2">
        <v>0.0</v>
      </c>
      <c r="CS408" s="2">
        <v>0.0</v>
      </c>
      <c r="CT408" s="2">
        <v>0.0</v>
      </c>
      <c r="CU408" s="2">
        <v>0.0</v>
      </c>
      <c r="CV408" s="2">
        <v>0.0</v>
      </c>
      <c r="CW408" s="2">
        <v>0.0</v>
      </c>
      <c r="CX408" s="2">
        <v>1.0</v>
      </c>
      <c r="CY408" s="2">
        <v>0.0</v>
      </c>
      <c r="CZ408" s="2">
        <v>0.0</v>
      </c>
      <c r="DA408" s="2" t="s">
        <v>1970</v>
      </c>
      <c r="DB408" s="2" t="s">
        <v>2033</v>
      </c>
      <c r="DD408" s="2">
        <v>36.0</v>
      </c>
      <c r="DE408" s="2">
        <v>43.0</v>
      </c>
      <c r="DF408" s="2">
        <v>0.0</v>
      </c>
      <c r="DG408" s="2">
        <v>1.0</v>
      </c>
      <c r="DH408" s="2">
        <v>1.0</v>
      </c>
      <c r="DI408" s="2">
        <v>0.0</v>
      </c>
      <c r="DJ408" s="2">
        <v>0.0</v>
      </c>
      <c r="DK408" s="2">
        <v>1.0</v>
      </c>
      <c r="DL408" s="2">
        <v>0.0</v>
      </c>
      <c r="DM408" s="2">
        <v>0.0</v>
      </c>
      <c r="DN408" s="2">
        <v>0.0</v>
      </c>
      <c r="DO408" s="2">
        <v>0.0</v>
      </c>
      <c r="DP408" s="2">
        <v>0.0</v>
      </c>
      <c r="DQ408" s="2">
        <v>4.0</v>
      </c>
      <c r="DR408" s="2">
        <v>0.0</v>
      </c>
      <c r="DS408" s="2">
        <v>57.0</v>
      </c>
      <c r="DT408" s="2">
        <v>188.0</v>
      </c>
      <c r="DU408" s="2">
        <v>3.0</v>
      </c>
      <c r="DV408" s="2">
        <v>1.0</v>
      </c>
      <c r="DW408" s="2">
        <v>0.0</v>
      </c>
      <c r="DX408" s="2">
        <v>0.0</v>
      </c>
      <c r="DY408" s="2">
        <v>2.0</v>
      </c>
      <c r="DZ408" s="2">
        <v>1.0</v>
      </c>
      <c r="EA408" s="2">
        <v>21.0</v>
      </c>
      <c r="EB408" s="2">
        <v>0.0</v>
      </c>
      <c r="EC408" s="2">
        <v>167.0</v>
      </c>
      <c r="EE408" s="2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2">
        <v>2025.0</v>
      </c>
      <c r="B409" s="2">
        <v>14.0</v>
      </c>
      <c r="C409" s="2" t="s">
        <v>142</v>
      </c>
      <c r="D409" s="2" t="s">
        <v>390</v>
      </c>
      <c r="E409" s="2" t="s">
        <v>1044</v>
      </c>
      <c r="F409" s="2" t="s">
        <v>178</v>
      </c>
      <c r="G409" s="2">
        <v>22.0</v>
      </c>
      <c r="H409" s="2">
        <v>31.0</v>
      </c>
      <c r="I409" s="2">
        <v>281.0</v>
      </c>
      <c r="J409" s="2">
        <v>3.0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223.0</v>
      </c>
      <c r="Q409" s="2">
        <v>96.0</v>
      </c>
      <c r="R409" s="2">
        <v>13.0</v>
      </c>
      <c r="S409" s="2">
        <v>15.4096756057923</v>
      </c>
      <c r="T409" s="2">
        <v>4.05515345834917</v>
      </c>
      <c r="U409" s="2">
        <v>0.0</v>
      </c>
      <c r="V409" s="2">
        <v>11.0</v>
      </c>
      <c r="W409" s="2">
        <v>6.0</v>
      </c>
      <c r="X409" s="2">
        <v>5.0</v>
      </c>
      <c r="Y409" s="2">
        <v>0.0</v>
      </c>
      <c r="Z409" s="2">
        <v>36.0</v>
      </c>
      <c r="AA409" s="2">
        <v>249.0</v>
      </c>
      <c r="AB409" s="2">
        <v>3.0</v>
      </c>
      <c r="AC409" s="2">
        <v>0.0</v>
      </c>
      <c r="AD409" s="2">
        <v>0.0</v>
      </c>
      <c r="AE409" s="2">
        <v>15.0</v>
      </c>
      <c r="AF409" s="2">
        <v>12.6580068981566</v>
      </c>
      <c r="AG409" s="2">
        <v>0.0</v>
      </c>
      <c r="AH409" s="2">
        <v>6.0</v>
      </c>
      <c r="AI409" s="2">
        <v>5.0</v>
      </c>
      <c r="AJ409" s="2">
        <v>1.0</v>
      </c>
      <c r="AK409" s="2">
        <v>1.0</v>
      </c>
      <c r="AL409" s="2">
        <v>22.0</v>
      </c>
      <c r="AM409" s="2">
        <v>31.0</v>
      </c>
      <c r="AN409" s="2">
        <v>281.0</v>
      </c>
      <c r="AO409" s="2">
        <v>3.0</v>
      </c>
      <c r="AP409" s="2">
        <v>0.0</v>
      </c>
      <c r="AQ409" s="2">
        <v>0.0</v>
      </c>
      <c r="AR409" s="2">
        <v>223.0</v>
      </c>
      <c r="AS409" s="2">
        <v>96.0</v>
      </c>
      <c r="AT409" s="2">
        <v>13.0</v>
      </c>
      <c r="AU409" s="2">
        <v>15.4096756057923</v>
      </c>
      <c r="AV409" s="2">
        <v>0.0</v>
      </c>
      <c r="AW409" s="2">
        <v>11.0</v>
      </c>
      <c r="AX409" s="2">
        <v>6.0</v>
      </c>
      <c r="AY409" s="2">
        <v>5.0</v>
      </c>
      <c r="AZ409" s="2">
        <v>0.0</v>
      </c>
      <c r="BA409" s="2">
        <v>0.0</v>
      </c>
      <c r="BB409" s="2">
        <v>34.0</v>
      </c>
      <c r="BC409" s="2">
        <v>0.0</v>
      </c>
      <c r="BD409" s="2">
        <v>16.0</v>
      </c>
      <c r="BE409" s="2">
        <v>1.0</v>
      </c>
      <c r="BF409" s="2">
        <v>8.0</v>
      </c>
      <c r="BG409" s="2">
        <v>0.0</v>
      </c>
      <c r="BH409" s="2">
        <v>3.0</v>
      </c>
      <c r="BI409" s="2">
        <v>8.0</v>
      </c>
      <c r="BJ409" s="2">
        <v>11.0</v>
      </c>
      <c r="BK409" s="2">
        <v>1.0</v>
      </c>
      <c r="BL409" s="2">
        <v>0.0</v>
      </c>
      <c r="BM409" s="2">
        <v>6.0</v>
      </c>
      <c r="BN409" s="2">
        <v>0.0</v>
      </c>
      <c r="BO409" s="2">
        <v>0.0</v>
      </c>
      <c r="BP409" s="2">
        <v>0.0</v>
      </c>
      <c r="BQ409" s="2">
        <v>0.0</v>
      </c>
      <c r="BR409" s="2">
        <v>0.0</v>
      </c>
      <c r="BS409" s="2">
        <v>0.0</v>
      </c>
      <c r="BT409" s="2">
        <v>0.0</v>
      </c>
      <c r="BU409" s="2">
        <v>0.0</v>
      </c>
      <c r="BV409" s="2">
        <v>0.0</v>
      </c>
      <c r="BW409" s="2">
        <v>5.0</v>
      </c>
      <c r="BX409" s="2">
        <v>30.0</v>
      </c>
      <c r="BY409" s="2">
        <v>4.0</v>
      </c>
      <c r="BZ409" s="2">
        <v>0.0</v>
      </c>
      <c r="CA409" s="2">
        <v>0.0</v>
      </c>
      <c r="CB409" s="2">
        <v>0.0</v>
      </c>
      <c r="CC409" s="2">
        <v>0.0</v>
      </c>
      <c r="CD409" s="2">
        <v>0.0</v>
      </c>
      <c r="CE409" s="2">
        <v>3.0</v>
      </c>
      <c r="CF409" s="2">
        <v>46.0</v>
      </c>
      <c r="CG409" s="2">
        <v>3.0</v>
      </c>
      <c r="CH409" s="2">
        <v>84.0</v>
      </c>
      <c r="CI409" s="2">
        <v>1.0</v>
      </c>
      <c r="CJ409" s="2">
        <v>1.0</v>
      </c>
      <c r="CK409" s="2">
        <v>0.0</v>
      </c>
      <c r="CL409" s="2">
        <v>0.0</v>
      </c>
      <c r="CM409" s="2">
        <v>26.0</v>
      </c>
      <c r="CN409" s="2">
        <v>1.0</v>
      </c>
      <c r="CO409" s="2">
        <v>0.0</v>
      </c>
      <c r="CP409" s="2">
        <v>1.0</v>
      </c>
      <c r="CQ409" s="2">
        <v>0.0</v>
      </c>
      <c r="CR409" s="2">
        <v>0.0</v>
      </c>
      <c r="CS409" s="2">
        <v>0.0</v>
      </c>
      <c r="CT409" s="2">
        <v>0.0</v>
      </c>
      <c r="CU409" s="2">
        <v>0.0</v>
      </c>
      <c r="CV409" s="2">
        <v>0.0</v>
      </c>
      <c r="CW409" s="2">
        <v>0.0</v>
      </c>
      <c r="CX409" s="2">
        <v>0.0</v>
      </c>
      <c r="CY409" s="2">
        <v>0.0</v>
      </c>
      <c r="CZ409" s="2">
        <v>0.0</v>
      </c>
      <c r="DA409" s="2" t="s">
        <v>2055</v>
      </c>
      <c r="DD409" s="2">
        <v>26.0</v>
      </c>
      <c r="DE409" s="2">
        <v>0.0</v>
      </c>
      <c r="DF409" s="2">
        <v>0.0</v>
      </c>
      <c r="DG409" s="2">
        <v>6.0</v>
      </c>
      <c r="DH409" s="2">
        <v>6.0</v>
      </c>
      <c r="DI409" s="2">
        <v>0.0</v>
      </c>
      <c r="DJ409" s="2">
        <v>0.0</v>
      </c>
      <c r="DK409" s="2">
        <v>1.0</v>
      </c>
      <c r="DL409" s="2">
        <v>0.0</v>
      </c>
      <c r="DM409" s="2">
        <v>0.0</v>
      </c>
      <c r="DN409" s="2">
        <v>0.0</v>
      </c>
      <c r="DO409" s="2">
        <v>0.0</v>
      </c>
      <c r="DP409" s="2">
        <v>0.0</v>
      </c>
      <c r="DQ409" s="2">
        <v>3.0</v>
      </c>
      <c r="DR409" s="2">
        <v>0.0</v>
      </c>
      <c r="DS409" s="2">
        <v>56.0</v>
      </c>
      <c r="DT409" s="2">
        <v>140.0</v>
      </c>
      <c r="DU409" s="2">
        <v>0.0</v>
      </c>
      <c r="DV409" s="2">
        <v>0.0</v>
      </c>
      <c r="DW409" s="2">
        <v>1.0</v>
      </c>
      <c r="DX409" s="2">
        <v>2.0</v>
      </c>
      <c r="DY409" s="2">
        <v>0.0</v>
      </c>
      <c r="DZ409" s="2">
        <v>0.0</v>
      </c>
      <c r="EA409" s="2">
        <v>0.0</v>
      </c>
      <c r="EB409" s="2">
        <v>0.0</v>
      </c>
      <c r="EC409" s="2">
        <v>100.0</v>
      </c>
      <c r="EE409" s="2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2">
        <v>2025.0</v>
      </c>
      <c r="B410" s="2">
        <v>14.0</v>
      </c>
      <c r="C410" s="2" t="s">
        <v>220</v>
      </c>
      <c r="D410" s="2" t="s">
        <v>390</v>
      </c>
      <c r="E410" s="2" t="s">
        <v>1050</v>
      </c>
      <c r="F410" s="2" t="s">
        <v>147</v>
      </c>
      <c r="G410" s="2">
        <v>12.0</v>
      </c>
      <c r="H410" s="2">
        <v>26.0</v>
      </c>
      <c r="I410" s="2">
        <v>139.0</v>
      </c>
      <c r="J410" s="2">
        <v>1.0</v>
      </c>
      <c r="K410" s="2">
        <v>1.0</v>
      </c>
      <c r="L410" s="2">
        <v>7.0</v>
      </c>
      <c r="M410" s="2">
        <v>-33.0</v>
      </c>
      <c r="N410" s="2">
        <v>2.0</v>
      </c>
      <c r="O410" s="2">
        <v>1.0</v>
      </c>
      <c r="P410" s="2">
        <v>270.0</v>
      </c>
      <c r="Q410" s="2">
        <v>84.0</v>
      </c>
      <c r="R410" s="2">
        <v>5.0</v>
      </c>
      <c r="S410" s="2">
        <v>-15.5772546861013</v>
      </c>
      <c r="T410" s="2">
        <v>-15.6227957943211</v>
      </c>
      <c r="U410" s="2">
        <v>0.0</v>
      </c>
      <c r="V410" s="2">
        <v>4.0</v>
      </c>
      <c r="W410" s="2">
        <v>2.0</v>
      </c>
      <c r="X410" s="2">
        <v>1.0</v>
      </c>
      <c r="Y410" s="2">
        <v>1.0</v>
      </c>
      <c r="Z410" s="2">
        <v>38.0</v>
      </c>
      <c r="AA410" s="2">
        <v>169.0</v>
      </c>
      <c r="AB410" s="2">
        <v>0.0</v>
      </c>
      <c r="AC410" s="2">
        <v>0.0</v>
      </c>
      <c r="AD410" s="2">
        <v>0.0</v>
      </c>
      <c r="AE410" s="2">
        <v>9.0</v>
      </c>
      <c r="AF410" s="2">
        <v>-3.7553134671133</v>
      </c>
      <c r="AG410" s="2">
        <v>0.0</v>
      </c>
      <c r="AH410" s="2">
        <v>5.0</v>
      </c>
      <c r="AI410" s="2">
        <v>4.0</v>
      </c>
      <c r="AJ410" s="2">
        <v>0.0</v>
      </c>
      <c r="AK410" s="2">
        <v>0.0</v>
      </c>
      <c r="AL410" s="2">
        <v>12.0</v>
      </c>
      <c r="AM410" s="2">
        <v>23.0</v>
      </c>
      <c r="AN410" s="2">
        <v>139.0</v>
      </c>
      <c r="AO410" s="2">
        <v>1.0</v>
      </c>
      <c r="AP410" s="2">
        <v>0.0</v>
      </c>
      <c r="AQ410" s="2">
        <v>0.0</v>
      </c>
      <c r="AR410" s="2">
        <v>270.0</v>
      </c>
      <c r="AS410" s="2">
        <v>84.0</v>
      </c>
      <c r="AT410" s="2">
        <v>5.0</v>
      </c>
      <c r="AU410" s="2">
        <v>0.21841898867682</v>
      </c>
      <c r="AV410" s="2">
        <v>0.0</v>
      </c>
      <c r="AW410" s="2">
        <v>4.0</v>
      </c>
      <c r="AX410" s="2">
        <v>2.0</v>
      </c>
      <c r="AY410" s="2">
        <v>1.0</v>
      </c>
      <c r="AZ410" s="2">
        <v>1.0</v>
      </c>
      <c r="BA410" s="2">
        <v>0.0</v>
      </c>
      <c r="BB410" s="2">
        <v>47.0</v>
      </c>
      <c r="BC410" s="2">
        <v>0.0</v>
      </c>
      <c r="BD410" s="2">
        <v>18.0</v>
      </c>
      <c r="BE410" s="2">
        <v>7.0</v>
      </c>
      <c r="BF410" s="2">
        <v>18.0</v>
      </c>
      <c r="BG410" s="2">
        <v>2.0</v>
      </c>
      <c r="BH410" s="2">
        <v>1.0</v>
      </c>
      <c r="BI410" s="2">
        <v>9.0</v>
      </c>
      <c r="BJ410" s="2">
        <v>6.0</v>
      </c>
      <c r="BK410" s="2">
        <v>4.0</v>
      </c>
      <c r="BL410" s="2">
        <v>43.0</v>
      </c>
      <c r="BM410" s="2">
        <v>10.0</v>
      </c>
      <c r="BN410" s="2">
        <v>0.0</v>
      </c>
      <c r="BO410" s="2">
        <v>1.0</v>
      </c>
      <c r="BP410" s="2">
        <v>0.0</v>
      </c>
      <c r="BQ410" s="2">
        <v>0.0</v>
      </c>
      <c r="BR410" s="2">
        <v>1.0</v>
      </c>
      <c r="BS410" s="2">
        <v>0.0</v>
      </c>
      <c r="BT410" s="2">
        <v>1.0</v>
      </c>
      <c r="BU410" s="2">
        <v>0.0</v>
      </c>
      <c r="BV410" s="2">
        <v>0.0</v>
      </c>
      <c r="BW410" s="2">
        <v>7.0</v>
      </c>
      <c r="BX410" s="2">
        <v>55.0</v>
      </c>
      <c r="BY410" s="2">
        <v>6.0</v>
      </c>
      <c r="BZ410" s="2">
        <v>3.0</v>
      </c>
      <c r="CA410" s="2">
        <v>0.0</v>
      </c>
      <c r="CB410" s="2">
        <v>0.0</v>
      </c>
      <c r="CC410" s="2">
        <v>3.0</v>
      </c>
      <c r="CD410" s="2">
        <v>2.0</v>
      </c>
      <c r="CE410" s="2">
        <v>1.0</v>
      </c>
      <c r="CF410" s="2">
        <v>-10.0</v>
      </c>
      <c r="CG410" s="2">
        <v>7.0</v>
      </c>
      <c r="CH410" s="2">
        <v>167.0</v>
      </c>
      <c r="CI410" s="2">
        <v>5.0</v>
      </c>
      <c r="CJ410" s="2">
        <v>5.0</v>
      </c>
      <c r="CK410" s="2">
        <v>0.0</v>
      </c>
      <c r="CL410" s="2">
        <v>0.0</v>
      </c>
      <c r="CM410" s="2">
        <v>54.0</v>
      </c>
      <c r="CN410" s="2">
        <v>1.0</v>
      </c>
      <c r="CO410" s="2">
        <v>0.0</v>
      </c>
      <c r="CP410" s="2">
        <v>0.0</v>
      </c>
      <c r="CQ410" s="2">
        <v>2.0</v>
      </c>
      <c r="CR410" s="2">
        <v>2.0</v>
      </c>
      <c r="CS410" s="2">
        <v>1.0</v>
      </c>
      <c r="CT410" s="2">
        <v>0.0</v>
      </c>
      <c r="CU410" s="2">
        <v>0.0</v>
      </c>
      <c r="CV410" s="2">
        <v>0.0</v>
      </c>
      <c r="CW410" s="2">
        <v>0.0</v>
      </c>
      <c r="CX410" s="2">
        <v>0.0</v>
      </c>
      <c r="CY410" s="2">
        <v>0.0</v>
      </c>
      <c r="CZ410" s="2">
        <v>0.0</v>
      </c>
      <c r="DA410" s="2" t="s">
        <v>2220</v>
      </c>
      <c r="DD410" s="2">
        <v>210.0</v>
      </c>
      <c r="DE410" s="2">
        <v>0.0</v>
      </c>
      <c r="DF410" s="2">
        <v>0.0</v>
      </c>
      <c r="DG410" s="2">
        <v>1.0</v>
      </c>
      <c r="DH410" s="2">
        <v>1.0</v>
      </c>
      <c r="DI410" s="2">
        <v>0.0</v>
      </c>
      <c r="DJ410" s="2">
        <v>0.0</v>
      </c>
      <c r="DK410" s="2">
        <v>1.0</v>
      </c>
      <c r="DL410" s="2">
        <v>0.0</v>
      </c>
      <c r="DM410" s="2">
        <v>0.0</v>
      </c>
      <c r="DN410" s="2">
        <v>0.0</v>
      </c>
      <c r="DO410" s="2">
        <v>0.0</v>
      </c>
      <c r="DP410" s="2">
        <v>0.0</v>
      </c>
      <c r="DQ410" s="2">
        <v>5.0</v>
      </c>
      <c r="DR410" s="2">
        <v>0.0</v>
      </c>
      <c r="DS410" s="2">
        <v>57.0</v>
      </c>
      <c r="DT410" s="2">
        <v>256.0</v>
      </c>
      <c r="DU410" s="2">
        <v>1.0</v>
      </c>
      <c r="DV410" s="2">
        <v>0.0</v>
      </c>
      <c r="DW410" s="2">
        <v>0.0</v>
      </c>
      <c r="DX410" s="2">
        <v>0.0</v>
      </c>
      <c r="DY410" s="2">
        <v>2.0</v>
      </c>
      <c r="DZ410" s="2">
        <v>3.0</v>
      </c>
      <c r="EA410" s="2">
        <v>54.0</v>
      </c>
      <c r="EB410" s="2">
        <v>0.0</v>
      </c>
      <c r="EC410" s="2">
        <v>202.0</v>
      </c>
      <c r="EE410" s="2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2">
        <v>2025.0</v>
      </c>
      <c r="B411" s="2">
        <v>14.0</v>
      </c>
      <c r="C411" s="2" t="s">
        <v>222</v>
      </c>
      <c r="D411" s="2" t="s">
        <v>390</v>
      </c>
      <c r="E411" s="2" t="s">
        <v>1042</v>
      </c>
      <c r="F411" s="2" t="s">
        <v>139</v>
      </c>
      <c r="G411" s="2">
        <v>21.0</v>
      </c>
      <c r="H411" s="2">
        <v>32.0</v>
      </c>
      <c r="I411" s="2">
        <v>213.0</v>
      </c>
      <c r="J411" s="2">
        <v>2.0</v>
      </c>
      <c r="K411" s="2">
        <v>0.0</v>
      </c>
      <c r="L411" s="2">
        <v>4.0</v>
      </c>
      <c r="M411" s="2">
        <v>-24.0</v>
      </c>
      <c r="N411" s="2">
        <v>0.0</v>
      </c>
      <c r="O411" s="2">
        <v>0.0</v>
      </c>
      <c r="P411" s="2">
        <v>244.0</v>
      </c>
      <c r="Q411" s="2">
        <v>38.0</v>
      </c>
      <c r="R411" s="2">
        <v>11.0</v>
      </c>
      <c r="S411" s="2">
        <v>-0.830933353329657</v>
      </c>
      <c r="T411" s="2">
        <v>8.21996288640159</v>
      </c>
      <c r="U411" s="2">
        <v>0.0</v>
      </c>
      <c r="V411" s="2">
        <v>10.0</v>
      </c>
      <c r="W411" s="2">
        <v>4.0</v>
      </c>
      <c r="X411" s="2">
        <v>2.0</v>
      </c>
      <c r="Y411" s="2">
        <v>0.0</v>
      </c>
      <c r="Z411" s="2">
        <v>12.0</v>
      </c>
      <c r="AA411" s="2">
        <v>40.0</v>
      </c>
      <c r="AB411" s="2">
        <v>0.0</v>
      </c>
      <c r="AC411" s="2">
        <v>0.0</v>
      </c>
      <c r="AD411" s="2">
        <v>0.0</v>
      </c>
      <c r="AE411" s="2">
        <v>3.0</v>
      </c>
      <c r="AF411" s="2">
        <v>-1.89799243299058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21.0</v>
      </c>
      <c r="AM411" s="2">
        <v>28.0</v>
      </c>
      <c r="AN411" s="2">
        <v>213.0</v>
      </c>
      <c r="AO411" s="2">
        <v>2.0</v>
      </c>
      <c r="AP411" s="2">
        <v>0.0</v>
      </c>
      <c r="AQ411" s="2">
        <v>0.0</v>
      </c>
      <c r="AR411" s="2">
        <v>244.0</v>
      </c>
      <c r="AS411" s="2">
        <v>38.0</v>
      </c>
      <c r="AT411" s="2">
        <v>11.0</v>
      </c>
      <c r="AU411" s="2">
        <v>7.82612441370578</v>
      </c>
      <c r="AV411" s="2">
        <v>0.0</v>
      </c>
      <c r="AW411" s="2">
        <v>10.0</v>
      </c>
      <c r="AX411" s="2">
        <v>4.0</v>
      </c>
      <c r="AY411" s="2">
        <v>2.0</v>
      </c>
      <c r="AZ411" s="2">
        <v>0.0</v>
      </c>
      <c r="BA411" s="2">
        <v>0.0</v>
      </c>
      <c r="BB411" s="2">
        <v>46.0</v>
      </c>
      <c r="BC411" s="2">
        <v>0.0</v>
      </c>
      <c r="BD411" s="2">
        <v>38.0</v>
      </c>
      <c r="BE411" s="2">
        <v>4.0</v>
      </c>
      <c r="BF411" s="2">
        <v>12.0</v>
      </c>
      <c r="BG411" s="2">
        <v>0.0</v>
      </c>
      <c r="BH411" s="2">
        <v>3.0</v>
      </c>
      <c r="BI411" s="2">
        <v>8.0</v>
      </c>
      <c r="BJ411" s="2">
        <v>6.0</v>
      </c>
      <c r="BK411" s="2">
        <v>0.0</v>
      </c>
      <c r="BL411" s="2">
        <v>0.0</v>
      </c>
      <c r="BM411" s="2">
        <v>2.0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3.0</v>
      </c>
      <c r="BX411" s="2">
        <v>25.0</v>
      </c>
      <c r="BY411" s="2">
        <v>6.0</v>
      </c>
      <c r="BZ411" s="2">
        <v>0.0</v>
      </c>
      <c r="CA411" s="2">
        <v>0.0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3.0</v>
      </c>
      <c r="CH411" s="2">
        <v>84.0</v>
      </c>
      <c r="CI411" s="2">
        <v>1.0</v>
      </c>
      <c r="CJ411" s="2">
        <v>1.0</v>
      </c>
      <c r="CK411" s="2">
        <v>0.0</v>
      </c>
      <c r="CL411" s="2">
        <v>0.0</v>
      </c>
      <c r="CM411" s="2">
        <v>46.0</v>
      </c>
      <c r="CN411" s="2">
        <v>1.0</v>
      </c>
      <c r="CO411" s="2">
        <v>0.0</v>
      </c>
      <c r="CP411" s="2">
        <v>0.0</v>
      </c>
      <c r="CQ411" s="2">
        <v>0.0</v>
      </c>
      <c r="CR411" s="2">
        <v>1.0</v>
      </c>
      <c r="CS411" s="2">
        <v>0.0</v>
      </c>
      <c r="CT411" s="2">
        <v>0.0</v>
      </c>
      <c r="CU411" s="2">
        <v>0.0</v>
      </c>
      <c r="CV411" s="2">
        <v>0.0</v>
      </c>
      <c r="CW411" s="2">
        <v>0.0</v>
      </c>
      <c r="CX411" s="2">
        <v>0.0</v>
      </c>
      <c r="CY411" s="2">
        <v>0.0</v>
      </c>
      <c r="CZ411" s="2">
        <v>0.0</v>
      </c>
      <c r="DA411" s="2" t="s">
        <v>1960</v>
      </c>
      <c r="DD411" s="2">
        <v>46.0</v>
      </c>
      <c r="DE411" s="2">
        <v>0.0</v>
      </c>
      <c r="DF411" s="2">
        <v>0.0</v>
      </c>
      <c r="DG411" s="2">
        <v>2.0</v>
      </c>
      <c r="DH411" s="2">
        <v>2.0</v>
      </c>
      <c r="DI411" s="2">
        <v>0.0</v>
      </c>
      <c r="DJ411" s="2">
        <v>0.0</v>
      </c>
      <c r="DK411" s="2">
        <v>1.0</v>
      </c>
      <c r="DL411" s="2">
        <v>0.0</v>
      </c>
      <c r="DM411" s="2">
        <v>0.0</v>
      </c>
      <c r="DN411" s="2">
        <v>0.0</v>
      </c>
      <c r="DO411" s="2">
        <v>0.0</v>
      </c>
      <c r="DP411" s="2">
        <v>0.0</v>
      </c>
      <c r="DQ411" s="2">
        <v>3.0</v>
      </c>
      <c r="DR411" s="2">
        <v>0.0</v>
      </c>
      <c r="DS411" s="2">
        <v>58.0</v>
      </c>
      <c r="DT411" s="2">
        <v>143.0</v>
      </c>
      <c r="DU411" s="2">
        <v>2.0</v>
      </c>
      <c r="DV411" s="2">
        <v>0.0</v>
      </c>
      <c r="DW411" s="2">
        <v>1.0</v>
      </c>
      <c r="DX411" s="2">
        <v>0.0</v>
      </c>
      <c r="DY411" s="2">
        <v>1.0</v>
      </c>
      <c r="DZ411" s="2">
        <v>1.0</v>
      </c>
      <c r="EA411" s="2">
        <v>48.0</v>
      </c>
      <c r="EB411" s="2">
        <v>1.0</v>
      </c>
      <c r="EC411" s="2">
        <v>95.0</v>
      </c>
      <c r="EE411" s="2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2">
        <v>2025.0</v>
      </c>
      <c r="B412" s="2">
        <v>14.0</v>
      </c>
      <c r="C412" s="2" t="s">
        <v>225</v>
      </c>
      <c r="D412" s="2" t="s">
        <v>390</v>
      </c>
      <c r="E412" s="2" t="s">
        <v>1038</v>
      </c>
      <c r="F412" s="2" t="s">
        <v>238</v>
      </c>
      <c r="G412" s="2">
        <v>13.0</v>
      </c>
      <c r="H412" s="2">
        <v>21.0</v>
      </c>
      <c r="I412" s="2">
        <v>127.0</v>
      </c>
      <c r="J412" s="2">
        <v>1.0</v>
      </c>
      <c r="K412" s="2">
        <v>0.0</v>
      </c>
      <c r="L412" s="2">
        <v>1.0</v>
      </c>
      <c r="M412" s="2">
        <v>-8.0</v>
      </c>
      <c r="N412" s="2">
        <v>0.0</v>
      </c>
      <c r="O412" s="2">
        <v>0.0</v>
      </c>
      <c r="P412" s="2">
        <v>95.0</v>
      </c>
      <c r="Q412" s="2">
        <v>76.0</v>
      </c>
      <c r="R412" s="2">
        <v>8.0</v>
      </c>
      <c r="S412" s="2">
        <v>1.66339083007188</v>
      </c>
      <c r="T412" s="2">
        <v>-9.18920863242376</v>
      </c>
      <c r="U412" s="2">
        <v>0.0</v>
      </c>
      <c r="V412" s="2">
        <v>6.0</v>
      </c>
      <c r="W412" s="2">
        <v>2.0</v>
      </c>
      <c r="X412" s="2">
        <v>2.0</v>
      </c>
      <c r="Y412" s="2">
        <v>0.0</v>
      </c>
      <c r="Z412" s="2">
        <v>41.0</v>
      </c>
      <c r="AA412" s="2">
        <v>239.0</v>
      </c>
      <c r="AB412" s="2">
        <v>3.0</v>
      </c>
      <c r="AC412" s="2">
        <v>1.0</v>
      </c>
      <c r="AD412" s="2">
        <v>0.0</v>
      </c>
      <c r="AE412" s="2">
        <v>14.0</v>
      </c>
      <c r="AF412" s="2">
        <v>10.9486778624342</v>
      </c>
      <c r="AG412" s="2">
        <v>0.0</v>
      </c>
      <c r="AH412" s="2">
        <v>8.0</v>
      </c>
      <c r="AI412" s="2">
        <v>6.0</v>
      </c>
      <c r="AJ412" s="2">
        <v>3.0</v>
      </c>
      <c r="AK412" s="2">
        <v>0.0</v>
      </c>
      <c r="AL412" s="2">
        <v>13.0</v>
      </c>
      <c r="AM412" s="2">
        <v>21.0</v>
      </c>
      <c r="AN412" s="2">
        <v>127.0</v>
      </c>
      <c r="AO412" s="2">
        <v>1.0</v>
      </c>
      <c r="AP412" s="2">
        <v>0.0</v>
      </c>
      <c r="AQ412" s="2">
        <v>0.0</v>
      </c>
      <c r="AR412" s="2">
        <v>95.0</v>
      </c>
      <c r="AS412" s="2">
        <v>76.0</v>
      </c>
      <c r="AT412" s="2">
        <v>8.0</v>
      </c>
      <c r="AU412" s="2">
        <v>3.57335997503833</v>
      </c>
      <c r="AV412" s="2">
        <v>0.0</v>
      </c>
      <c r="AW412" s="2">
        <v>6.0</v>
      </c>
      <c r="AX412" s="2">
        <v>2.0</v>
      </c>
      <c r="AY412" s="2">
        <v>2.0</v>
      </c>
      <c r="AZ412" s="2">
        <v>0.0</v>
      </c>
      <c r="BA412" s="2">
        <v>0.0</v>
      </c>
      <c r="BB412" s="2">
        <v>27.0</v>
      </c>
      <c r="BC412" s="2">
        <v>1.0</v>
      </c>
      <c r="BD412" s="2">
        <v>29.0</v>
      </c>
      <c r="BE412" s="2">
        <v>7.0</v>
      </c>
      <c r="BF412" s="2">
        <v>36.0</v>
      </c>
      <c r="BG412" s="2">
        <v>1.0</v>
      </c>
      <c r="BH412" s="2">
        <v>6.0</v>
      </c>
      <c r="BI412" s="2">
        <v>27.0</v>
      </c>
      <c r="BJ412" s="2">
        <v>8.0</v>
      </c>
      <c r="BK412" s="2">
        <v>3.0</v>
      </c>
      <c r="BL412" s="2">
        <v>5.0</v>
      </c>
      <c r="BM412" s="2">
        <v>9.0</v>
      </c>
      <c r="BN412" s="2">
        <v>0.0</v>
      </c>
      <c r="BO412" s="2">
        <v>0.0</v>
      </c>
      <c r="BP412" s="2">
        <v>0.0</v>
      </c>
      <c r="BQ412" s="2">
        <v>0.0</v>
      </c>
      <c r="BR412" s="2">
        <v>1.0</v>
      </c>
      <c r="BS412" s="2">
        <v>0.0</v>
      </c>
      <c r="BT412" s="2">
        <v>0.0</v>
      </c>
      <c r="BU412" s="2">
        <v>0.0</v>
      </c>
      <c r="BV412" s="2">
        <v>0.0</v>
      </c>
      <c r="BW412" s="2">
        <v>5.0</v>
      </c>
      <c r="BX412" s="2">
        <v>54.0</v>
      </c>
      <c r="BY412" s="2">
        <v>2.0</v>
      </c>
      <c r="BZ412" s="2">
        <v>0.0</v>
      </c>
      <c r="CA412" s="2">
        <v>1.0</v>
      </c>
      <c r="CB412" s="2">
        <v>0.0</v>
      </c>
      <c r="CC412" s="2">
        <v>1.0</v>
      </c>
      <c r="CD412" s="2">
        <v>0.0</v>
      </c>
      <c r="CE412" s="2">
        <v>2.0</v>
      </c>
      <c r="CF412" s="2">
        <v>32.0</v>
      </c>
      <c r="CG412" s="2">
        <v>3.0</v>
      </c>
      <c r="CH412" s="2">
        <v>76.0</v>
      </c>
      <c r="CI412" s="2">
        <v>2.0</v>
      </c>
      <c r="CJ412" s="2">
        <v>2.0</v>
      </c>
      <c r="CK412" s="2">
        <v>0.0</v>
      </c>
      <c r="CL412" s="2">
        <v>0.0</v>
      </c>
      <c r="CM412" s="2">
        <v>53.0</v>
      </c>
      <c r="CN412" s="2">
        <v>1.0</v>
      </c>
      <c r="CO412" s="2">
        <v>0.0</v>
      </c>
      <c r="CP412" s="2">
        <v>0.0</v>
      </c>
      <c r="CQ412" s="2">
        <v>0.0</v>
      </c>
      <c r="CR412" s="2">
        <v>1.0</v>
      </c>
      <c r="CS412" s="2">
        <v>1.0</v>
      </c>
      <c r="CT412" s="2">
        <v>0.0</v>
      </c>
      <c r="CU412" s="2">
        <v>0.0</v>
      </c>
      <c r="CV412" s="2">
        <v>0.0</v>
      </c>
      <c r="CW412" s="2">
        <v>0.0</v>
      </c>
      <c r="CX412" s="2">
        <v>0.0</v>
      </c>
      <c r="CY412" s="2">
        <v>0.0</v>
      </c>
      <c r="CZ412" s="2">
        <v>0.0</v>
      </c>
      <c r="DA412" s="2" t="s">
        <v>2221</v>
      </c>
      <c r="DD412" s="2">
        <v>96.0</v>
      </c>
      <c r="DE412" s="2">
        <v>0.0</v>
      </c>
      <c r="DF412" s="2">
        <v>0.0</v>
      </c>
      <c r="DG412" s="2">
        <v>4.0</v>
      </c>
      <c r="DH412" s="2">
        <v>4.0</v>
      </c>
      <c r="DI412" s="2">
        <v>0.0</v>
      </c>
      <c r="DJ412" s="2">
        <v>0.0</v>
      </c>
      <c r="DK412" s="2">
        <v>1.0</v>
      </c>
      <c r="DL412" s="2">
        <v>0.0</v>
      </c>
      <c r="DM412" s="2">
        <v>0.0</v>
      </c>
      <c r="DN412" s="2">
        <v>0.0</v>
      </c>
      <c r="DO412" s="2">
        <v>0.0</v>
      </c>
      <c r="DP412" s="2">
        <v>0.0</v>
      </c>
      <c r="DQ412" s="2">
        <v>6.0</v>
      </c>
      <c r="DR412" s="2">
        <v>0.0</v>
      </c>
      <c r="DS412" s="2">
        <v>58.0</v>
      </c>
      <c r="DT412" s="2">
        <v>259.0</v>
      </c>
      <c r="DU412" s="2">
        <v>1.0</v>
      </c>
      <c r="DV412" s="2">
        <v>1.0</v>
      </c>
      <c r="DW412" s="2">
        <v>0.0</v>
      </c>
      <c r="DX412" s="2">
        <v>0.0</v>
      </c>
      <c r="DY412" s="2">
        <v>2.0</v>
      </c>
      <c r="DZ412" s="2">
        <v>3.0</v>
      </c>
      <c r="EA412" s="2">
        <v>91.0</v>
      </c>
      <c r="EB412" s="2">
        <v>1.0</v>
      </c>
      <c r="EC412" s="2">
        <v>168.0</v>
      </c>
      <c r="EE412" s="2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2">
        <v>2025.0</v>
      </c>
      <c r="B413" s="2">
        <v>14.0</v>
      </c>
      <c r="C413" s="2" t="s">
        <v>144</v>
      </c>
      <c r="D413" s="2" t="s">
        <v>390</v>
      </c>
      <c r="E413" s="2" t="s">
        <v>1036</v>
      </c>
      <c r="F413" s="2" t="s">
        <v>253</v>
      </c>
      <c r="G413" s="2">
        <v>16.0</v>
      </c>
      <c r="H413" s="2">
        <v>23.0</v>
      </c>
      <c r="I413" s="2">
        <v>163.0</v>
      </c>
      <c r="J413" s="2">
        <v>3.0</v>
      </c>
      <c r="K413" s="2">
        <v>0.0</v>
      </c>
      <c r="L413" s="2">
        <v>4.0</v>
      </c>
      <c r="M413" s="2">
        <v>-12.0</v>
      </c>
      <c r="N413" s="2">
        <v>0.0</v>
      </c>
      <c r="O413" s="2">
        <v>0.0</v>
      </c>
      <c r="P413" s="2">
        <v>153.0</v>
      </c>
      <c r="Q413" s="2">
        <v>80.0</v>
      </c>
      <c r="R413" s="2">
        <v>13.0</v>
      </c>
      <c r="S413" s="2">
        <v>9.26110271642353</v>
      </c>
      <c r="T413" s="2">
        <v>0.143951955048934</v>
      </c>
      <c r="U413" s="2">
        <v>0.0</v>
      </c>
      <c r="V413" s="2">
        <v>8.0</v>
      </c>
      <c r="W413" s="2">
        <v>3.0</v>
      </c>
      <c r="X413" s="2">
        <v>2.0</v>
      </c>
      <c r="Y413" s="2">
        <v>0.0</v>
      </c>
      <c r="Z413" s="2">
        <v>34.0</v>
      </c>
      <c r="AA413" s="2">
        <v>162.0</v>
      </c>
      <c r="AB413" s="2">
        <v>1.0</v>
      </c>
      <c r="AC413" s="2">
        <v>0.0</v>
      </c>
      <c r="AD413" s="2">
        <v>0.0</v>
      </c>
      <c r="AE413" s="2">
        <v>10.0</v>
      </c>
      <c r="AF413" s="2">
        <v>4.33122253080364</v>
      </c>
      <c r="AG413" s="2">
        <v>0.0</v>
      </c>
      <c r="AH413" s="2">
        <v>4.0</v>
      </c>
      <c r="AI413" s="2">
        <v>3.0</v>
      </c>
      <c r="AJ413" s="2">
        <v>0.0</v>
      </c>
      <c r="AK413" s="2">
        <v>0.0</v>
      </c>
      <c r="AL413" s="2">
        <v>16.0</v>
      </c>
      <c r="AM413" s="2">
        <v>23.0</v>
      </c>
      <c r="AN413" s="2">
        <v>163.0</v>
      </c>
      <c r="AO413" s="2">
        <v>3.0</v>
      </c>
      <c r="AP413" s="2">
        <v>0.0</v>
      </c>
      <c r="AQ413" s="2">
        <v>0.0</v>
      </c>
      <c r="AR413" s="2">
        <v>153.0</v>
      </c>
      <c r="AS413" s="2">
        <v>80.0</v>
      </c>
      <c r="AT413" s="2">
        <v>13.0</v>
      </c>
      <c r="AU413" s="2">
        <v>13.8517525962521</v>
      </c>
      <c r="AV413" s="2">
        <v>0.0</v>
      </c>
      <c r="AW413" s="2">
        <v>8.0</v>
      </c>
      <c r="AX413" s="2">
        <v>3.0</v>
      </c>
      <c r="AY413" s="2">
        <v>2.0</v>
      </c>
      <c r="AZ413" s="2">
        <v>0.0</v>
      </c>
      <c r="BA413" s="2">
        <v>0.0</v>
      </c>
      <c r="BB413" s="2">
        <v>20.0</v>
      </c>
      <c r="BC413" s="2">
        <v>1.0</v>
      </c>
      <c r="BD413" s="2">
        <v>39.0</v>
      </c>
      <c r="BE413" s="2">
        <v>4.0</v>
      </c>
      <c r="BF413" s="2">
        <v>11.0</v>
      </c>
      <c r="BG413" s="2">
        <v>1.0</v>
      </c>
      <c r="BH413" s="2">
        <v>2.0</v>
      </c>
      <c r="BI413" s="2">
        <v>9.0</v>
      </c>
      <c r="BJ413" s="2">
        <v>3.0</v>
      </c>
      <c r="BK413" s="2">
        <v>2.0</v>
      </c>
      <c r="BL413" s="2">
        <v>51.0</v>
      </c>
      <c r="BM413" s="2">
        <v>3.0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1.0</v>
      </c>
      <c r="BU413" s="2">
        <v>0.0</v>
      </c>
      <c r="BV413" s="2">
        <v>0.0</v>
      </c>
      <c r="BW413" s="2">
        <v>3.0</v>
      </c>
      <c r="BX413" s="2">
        <v>24.0</v>
      </c>
      <c r="BY413" s="2">
        <v>2.0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</v>
      </c>
      <c r="CE413" s="2">
        <v>2.0</v>
      </c>
      <c r="CF413" s="2">
        <v>8.0</v>
      </c>
      <c r="CG413" s="2">
        <v>1.0</v>
      </c>
      <c r="CH413" s="2">
        <v>35.0</v>
      </c>
      <c r="CI413" s="2">
        <v>1.0</v>
      </c>
      <c r="CJ413" s="2">
        <v>1.0</v>
      </c>
      <c r="CK413" s="2">
        <v>0.0</v>
      </c>
      <c r="CL413" s="2">
        <v>0.0</v>
      </c>
      <c r="CM413" s="2">
        <v>45.0</v>
      </c>
      <c r="CN413" s="2">
        <v>1.0</v>
      </c>
      <c r="CO413" s="2">
        <v>0.0</v>
      </c>
      <c r="CP413" s="2">
        <v>0.0</v>
      </c>
      <c r="CQ413" s="2">
        <v>0.0</v>
      </c>
      <c r="CR413" s="2">
        <v>1.0</v>
      </c>
      <c r="CS413" s="2">
        <v>0.0</v>
      </c>
      <c r="CT413" s="2">
        <v>0.0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 t="s">
        <v>1969</v>
      </c>
      <c r="DD413" s="2">
        <v>45.0</v>
      </c>
      <c r="DE413" s="2">
        <v>0.0</v>
      </c>
      <c r="DF413" s="2">
        <v>0.0</v>
      </c>
      <c r="DG413" s="2">
        <v>4.0</v>
      </c>
      <c r="DH413" s="2">
        <v>4.0</v>
      </c>
      <c r="DI413" s="2">
        <v>0.0</v>
      </c>
      <c r="DJ413" s="2">
        <v>0.0</v>
      </c>
      <c r="DK413" s="2">
        <v>1.0</v>
      </c>
      <c r="DL413" s="2">
        <v>0.0</v>
      </c>
      <c r="DM413" s="2">
        <v>0.0</v>
      </c>
      <c r="DN413" s="2">
        <v>0.0</v>
      </c>
      <c r="DO413" s="2">
        <v>0.0</v>
      </c>
      <c r="DP413" s="2">
        <v>0.0</v>
      </c>
      <c r="DQ413" s="2">
        <v>1.0</v>
      </c>
      <c r="DR413" s="2">
        <v>0.0</v>
      </c>
      <c r="DS413" s="2">
        <v>43.0</v>
      </c>
      <c r="DT413" s="2">
        <v>43.0</v>
      </c>
      <c r="DU413" s="2">
        <v>0.0</v>
      </c>
      <c r="DV413" s="2">
        <v>0.0</v>
      </c>
      <c r="DW413" s="2">
        <v>0.0</v>
      </c>
      <c r="DX413" s="2">
        <v>0.0</v>
      </c>
      <c r="DY413" s="2">
        <v>1.0</v>
      </c>
      <c r="DZ413" s="2">
        <v>0.0</v>
      </c>
      <c r="EA413" s="2">
        <v>0.0</v>
      </c>
      <c r="EB413" s="2">
        <v>0.0</v>
      </c>
      <c r="EC413" s="2">
        <v>43.0</v>
      </c>
      <c r="EE413" s="2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2">
        <v>2025.0</v>
      </c>
      <c r="B414" s="2">
        <v>14.0</v>
      </c>
      <c r="C414" s="2" t="s">
        <v>232</v>
      </c>
      <c r="D414" s="2" t="s">
        <v>390</v>
      </c>
      <c r="E414" s="2" t="s">
        <v>1040</v>
      </c>
      <c r="F414" s="2" t="s">
        <v>150</v>
      </c>
      <c r="G414" s="2">
        <v>13.0</v>
      </c>
      <c r="H414" s="2">
        <v>20.0</v>
      </c>
      <c r="I414" s="2">
        <v>144.0</v>
      </c>
      <c r="J414" s="2">
        <v>0.0</v>
      </c>
      <c r="K414" s="2">
        <v>1.0</v>
      </c>
      <c r="L414" s="2">
        <v>3.0</v>
      </c>
      <c r="M414" s="2">
        <v>-23.0</v>
      </c>
      <c r="N414" s="2">
        <v>0.0</v>
      </c>
      <c r="O414" s="2">
        <v>0.0</v>
      </c>
      <c r="P414" s="2">
        <v>158.0</v>
      </c>
      <c r="Q414" s="2">
        <v>76.0</v>
      </c>
      <c r="R414" s="2">
        <v>9.0</v>
      </c>
      <c r="S414" s="2">
        <v>1.78321987676347</v>
      </c>
      <c r="T414" s="2">
        <v>-2.25125029683113</v>
      </c>
      <c r="U414" s="2">
        <v>0.0</v>
      </c>
      <c r="V414" s="2">
        <v>9.0</v>
      </c>
      <c r="W414" s="2">
        <v>2.0</v>
      </c>
      <c r="X414" s="2">
        <v>0.0</v>
      </c>
      <c r="Y414" s="2">
        <v>0.0</v>
      </c>
      <c r="Z414" s="2">
        <v>32.0</v>
      </c>
      <c r="AA414" s="2">
        <v>139.0</v>
      </c>
      <c r="AB414" s="2">
        <v>3.0</v>
      </c>
      <c r="AC414" s="2">
        <v>1.0</v>
      </c>
      <c r="AD414" s="2">
        <v>0.0</v>
      </c>
      <c r="AE414" s="2">
        <v>7.0</v>
      </c>
      <c r="AF414" s="2">
        <v>-2.79148821497802</v>
      </c>
      <c r="AG414" s="2">
        <v>0.0</v>
      </c>
      <c r="AH414" s="2">
        <v>4.0</v>
      </c>
      <c r="AI414" s="2">
        <v>3.0</v>
      </c>
      <c r="AJ414" s="2">
        <v>2.0</v>
      </c>
      <c r="AK414" s="2">
        <v>0.0</v>
      </c>
      <c r="AL414" s="2">
        <v>13.0</v>
      </c>
      <c r="AM414" s="2">
        <v>20.0</v>
      </c>
      <c r="AN414" s="2">
        <v>144.0</v>
      </c>
      <c r="AO414" s="2">
        <v>0.0</v>
      </c>
      <c r="AP414" s="2">
        <v>0.0</v>
      </c>
      <c r="AQ414" s="2">
        <v>0.0</v>
      </c>
      <c r="AR414" s="2">
        <v>158.0</v>
      </c>
      <c r="AS414" s="2">
        <v>76.0</v>
      </c>
      <c r="AT414" s="2">
        <v>9.0</v>
      </c>
      <c r="AU414" s="2">
        <v>6.95581203053618</v>
      </c>
      <c r="AV414" s="2">
        <v>0.0</v>
      </c>
      <c r="AW414" s="2">
        <v>9.0</v>
      </c>
      <c r="AX414" s="2">
        <v>2.0</v>
      </c>
      <c r="AY414" s="2">
        <v>0.0</v>
      </c>
      <c r="AZ414" s="2">
        <v>0.0</v>
      </c>
      <c r="BA414" s="2">
        <v>0.0</v>
      </c>
      <c r="BB414" s="2">
        <v>45.0</v>
      </c>
      <c r="BC414" s="2">
        <v>0.0</v>
      </c>
      <c r="BD414" s="2">
        <v>22.0</v>
      </c>
      <c r="BE414" s="2">
        <v>3.0</v>
      </c>
      <c r="BF414" s="2">
        <v>13.0</v>
      </c>
      <c r="BG414" s="2">
        <v>0.0</v>
      </c>
      <c r="BH414" s="2">
        <v>0.0</v>
      </c>
      <c r="BI414" s="2">
        <v>0.0</v>
      </c>
      <c r="BJ414" s="2">
        <v>2.0</v>
      </c>
      <c r="BK414" s="2">
        <v>1.0</v>
      </c>
      <c r="BL414" s="2">
        <v>10.0</v>
      </c>
      <c r="BM414" s="2">
        <v>6.0</v>
      </c>
      <c r="BN414" s="2">
        <v>0.0</v>
      </c>
      <c r="BO414" s="2">
        <v>0.0</v>
      </c>
      <c r="BP414" s="2">
        <v>0.0</v>
      </c>
      <c r="BQ414" s="2">
        <v>0.0</v>
      </c>
      <c r="BR414" s="2">
        <v>1.0</v>
      </c>
      <c r="BS414" s="2">
        <v>0.0</v>
      </c>
      <c r="BT414" s="2">
        <v>0.0</v>
      </c>
      <c r="BU414" s="2">
        <v>0.0</v>
      </c>
      <c r="BV414" s="2">
        <v>0.0</v>
      </c>
      <c r="BW414" s="2">
        <v>10.0</v>
      </c>
      <c r="BX414" s="2">
        <v>82.0</v>
      </c>
      <c r="BY414" s="2">
        <v>3.0</v>
      </c>
      <c r="BZ414" s="2">
        <v>0.0</v>
      </c>
      <c r="CA414" s="2">
        <v>1.0</v>
      </c>
      <c r="CB414" s="2">
        <v>0.0</v>
      </c>
      <c r="CC414" s="2">
        <v>1.0</v>
      </c>
      <c r="CD414" s="2">
        <v>0.0</v>
      </c>
      <c r="CE414" s="2">
        <v>0.0</v>
      </c>
      <c r="CF414" s="2">
        <v>0.0</v>
      </c>
      <c r="CG414" s="2">
        <v>5.0</v>
      </c>
      <c r="CH414" s="2">
        <v>138.0</v>
      </c>
      <c r="CI414" s="2">
        <v>1.0</v>
      </c>
      <c r="CJ414" s="2">
        <v>2.0</v>
      </c>
      <c r="CK414" s="2">
        <v>1.0</v>
      </c>
      <c r="CL414" s="2">
        <v>0.0</v>
      </c>
      <c r="CM414" s="2">
        <v>30.0</v>
      </c>
      <c r="CN414" s="2">
        <v>0.5</v>
      </c>
      <c r="CO414" s="2">
        <v>0.0</v>
      </c>
      <c r="CP414" s="2">
        <v>0.0</v>
      </c>
      <c r="CQ414" s="2">
        <v>1.0</v>
      </c>
      <c r="CR414" s="2">
        <v>0.0</v>
      </c>
      <c r="CS414" s="2">
        <v>0.0</v>
      </c>
      <c r="CT414" s="2">
        <v>0.0</v>
      </c>
      <c r="CU414" s="2">
        <v>0.0</v>
      </c>
      <c r="CV414" s="2">
        <v>0.0</v>
      </c>
      <c r="CW414" s="2">
        <v>0.0</v>
      </c>
      <c r="CX414" s="2">
        <v>1.0</v>
      </c>
      <c r="CY414" s="2">
        <v>0.0</v>
      </c>
      <c r="CZ414" s="2">
        <v>0.0</v>
      </c>
      <c r="DA414" s="2" t="s">
        <v>2028</v>
      </c>
      <c r="DB414" s="2" t="s">
        <v>1965</v>
      </c>
      <c r="DD414" s="2">
        <v>30.0</v>
      </c>
      <c r="DE414" s="2">
        <v>48.0</v>
      </c>
      <c r="DF414" s="2">
        <v>0.0</v>
      </c>
      <c r="DG414" s="2">
        <v>3.0</v>
      </c>
      <c r="DH414" s="2">
        <v>3.0</v>
      </c>
      <c r="DI414" s="2">
        <v>0.0</v>
      </c>
      <c r="DJ414" s="2">
        <v>0.0</v>
      </c>
      <c r="DK414" s="2">
        <v>1.0</v>
      </c>
      <c r="DL414" s="2">
        <v>0.0</v>
      </c>
      <c r="DM414" s="2">
        <v>0.0</v>
      </c>
      <c r="DN414" s="2">
        <v>0.0</v>
      </c>
      <c r="DO414" s="2">
        <v>0.0</v>
      </c>
      <c r="DP414" s="2">
        <v>0.0</v>
      </c>
      <c r="DQ414" s="2">
        <v>3.0</v>
      </c>
      <c r="DR414" s="2">
        <v>0.0</v>
      </c>
      <c r="DS414" s="2">
        <v>54.0</v>
      </c>
      <c r="DT414" s="2">
        <v>152.0</v>
      </c>
      <c r="DU414" s="2">
        <v>0.0</v>
      </c>
      <c r="DV414" s="2">
        <v>0.0</v>
      </c>
      <c r="DW414" s="2">
        <v>0.0</v>
      </c>
      <c r="DX414" s="2">
        <v>1.0</v>
      </c>
      <c r="DY414" s="2">
        <v>0.0</v>
      </c>
      <c r="DZ414" s="2">
        <v>2.0</v>
      </c>
      <c r="EA414" s="2">
        <v>0.0</v>
      </c>
      <c r="EB414" s="2">
        <v>0.0</v>
      </c>
      <c r="EC414" s="2">
        <v>132.0</v>
      </c>
      <c r="EE414" s="2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2">
        <v>2025.0</v>
      </c>
      <c r="B415" s="2">
        <v>14.0</v>
      </c>
      <c r="C415" s="2" t="s">
        <v>238</v>
      </c>
      <c r="D415" s="2" t="s">
        <v>390</v>
      </c>
      <c r="E415" s="2" t="s">
        <v>1038</v>
      </c>
      <c r="F415" s="2" t="s">
        <v>225</v>
      </c>
      <c r="G415" s="2">
        <v>15.0</v>
      </c>
      <c r="H415" s="2">
        <v>34.0</v>
      </c>
      <c r="I415" s="2">
        <v>169.0</v>
      </c>
      <c r="J415" s="2">
        <v>0.0</v>
      </c>
      <c r="K415" s="2">
        <v>3.0</v>
      </c>
      <c r="L415" s="2">
        <v>6.0</v>
      </c>
      <c r="M415" s="2">
        <v>-27.0</v>
      </c>
      <c r="N415" s="2">
        <v>1.0</v>
      </c>
      <c r="O415" s="2">
        <v>0.0</v>
      </c>
      <c r="P415" s="2">
        <v>289.0</v>
      </c>
      <c r="Q415" s="2">
        <v>87.0</v>
      </c>
      <c r="R415" s="2">
        <v>8.0</v>
      </c>
      <c r="S415" s="2">
        <v>-24.1542394280056</v>
      </c>
      <c r="T415" s="2">
        <v>-20.353386644274</v>
      </c>
      <c r="U415" s="2">
        <v>0.0</v>
      </c>
      <c r="V415" s="2">
        <v>9.0</v>
      </c>
      <c r="W415" s="2">
        <v>3.0</v>
      </c>
      <c r="X415" s="2">
        <v>1.0</v>
      </c>
      <c r="Y415" s="2">
        <v>0.0</v>
      </c>
      <c r="Z415" s="2">
        <v>17.0</v>
      </c>
      <c r="AA415" s="2">
        <v>65.0</v>
      </c>
      <c r="AB415" s="2">
        <v>0.0</v>
      </c>
      <c r="AC415" s="2">
        <v>1.0</v>
      </c>
      <c r="AD415" s="2">
        <v>0.0</v>
      </c>
      <c r="AE415" s="2">
        <v>3.0</v>
      </c>
      <c r="AF415" s="2">
        <v>-1.6576079291408</v>
      </c>
      <c r="AG415" s="2">
        <v>0.0</v>
      </c>
      <c r="AH415" s="2">
        <v>2.0</v>
      </c>
      <c r="AI415" s="2">
        <v>1.0</v>
      </c>
      <c r="AJ415" s="2">
        <v>0.0</v>
      </c>
      <c r="AK415" s="2">
        <v>0.0</v>
      </c>
      <c r="AL415" s="2">
        <v>15.0</v>
      </c>
      <c r="AM415" s="2">
        <v>32.0</v>
      </c>
      <c r="AN415" s="2">
        <v>169.0</v>
      </c>
      <c r="AO415" s="2">
        <v>0.0</v>
      </c>
      <c r="AP415" s="2">
        <v>0.0</v>
      </c>
      <c r="AQ415" s="2">
        <v>0.0</v>
      </c>
      <c r="AR415" s="2">
        <v>289.0</v>
      </c>
      <c r="AS415" s="2">
        <v>87.0</v>
      </c>
      <c r="AT415" s="2">
        <v>8.0</v>
      </c>
      <c r="AU415" s="2">
        <v>-13.6354436876806</v>
      </c>
      <c r="AV415" s="2">
        <v>0.0</v>
      </c>
      <c r="AW415" s="2">
        <v>9.0</v>
      </c>
      <c r="AX415" s="2">
        <v>3.0</v>
      </c>
      <c r="AY415" s="2">
        <v>1.0</v>
      </c>
      <c r="AZ415" s="2">
        <v>0.0</v>
      </c>
      <c r="BA415" s="2">
        <v>1.0</v>
      </c>
      <c r="BB415" s="2">
        <v>31.0</v>
      </c>
      <c r="BC415" s="2">
        <v>2.0</v>
      </c>
      <c r="BD415" s="2">
        <v>44.0</v>
      </c>
      <c r="BE415" s="2">
        <v>7.0</v>
      </c>
      <c r="BF415" s="2">
        <v>20.0</v>
      </c>
      <c r="BG415" s="2">
        <v>0.0</v>
      </c>
      <c r="BH415" s="2">
        <v>1.0</v>
      </c>
      <c r="BI415" s="2">
        <v>8.0</v>
      </c>
      <c r="BJ415" s="2">
        <v>3.0</v>
      </c>
      <c r="BK415" s="2">
        <v>0.0</v>
      </c>
      <c r="BL415" s="2">
        <v>0.0</v>
      </c>
      <c r="BM415" s="2">
        <v>6.0</v>
      </c>
      <c r="BN415" s="2">
        <v>0.0</v>
      </c>
      <c r="BO415" s="2">
        <v>0.0</v>
      </c>
      <c r="BP415" s="2">
        <v>0.0</v>
      </c>
      <c r="BQ415" s="2">
        <v>0.0</v>
      </c>
      <c r="BR415" s="2">
        <v>3.0</v>
      </c>
      <c r="BS415" s="2">
        <v>-3.0</v>
      </c>
      <c r="BT415" s="2">
        <v>0.0</v>
      </c>
      <c r="BU415" s="2">
        <v>0.0</v>
      </c>
      <c r="BV415" s="2">
        <v>0.0</v>
      </c>
      <c r="BW415" s="2">
        <v>6.0</v>
      </c>
      <c r="BX415" s="2">
        <v>50.0</v>
      </c>
      <c r="BY415" s="2">
        <v>5.0</v>
      </c>
      <c r="BZ415" s="2">
        <v>1.0</v>
      </c>
      <c r="CA415" s="2">
        <v>2.0</v>
      </c>
      <c r="CB415" s="2">
        <v>0.0</v>
      </c>
      <c r="CC415" s="2">
        <v>3.0</v>
      </c>
      <c r="CD415" s="2">
        <v>0.0</v>
      </c>
      <c r="CE415" s="2">
        <v>3.0</v>
      </c>
      <c r="CF415" s="2">
        <v>91.0</v>
      </c>
      <c r="CG415" s="2">
        <v>3.0</v>
      </c>
      <c r="CH415" s="2">
        <v>102.0</v>
      </c>
      <c r="CI415" s="2">
        <v>1.0</v>
      </c>
      <c r="CJ415" s="2">
        <v>1.0</v>
      </c>
      <c r="CK415" s="2">
        <v>0.0</v>
      </c>
      <c r="CL415" s="2">
        <v>0.0</v>
      </c>
      <c r="CM415" s="2">
        <v>31.0</v>
      </c>
      <c r="CN415" s="2">
        <v>1.0</v>
      </c>
      <c r="CO415" s="2">
        <v>0.0</v>
      </c>
      <c r="CP415" s="2">
        <v>0.0</v>
      </c>
      <c r="CQ415" s="2">
        <v>1.0</v>
      </c>
      <c r="CR415" s="2">
        <v>0.0</v>
      </c>
      <c r="CS415" s="2">
        <v>0.0</v>
      </c>
      <c r="CT415" s="2">
        <v>0.0</v>
      </c>
      <c r="CU415" s="2">
        <v>0.0</v>
      </c>
      <c r="CV415" s="2">
        <v>0.0</v>
      </c>
      <c r="CW415" s="2">
        <v>0.0</v>
      </c>
      <c r="CX415" s="2">
        <v>0.0</v>
      </c>
      <c r="CY415" s="2">
        <v>0.0</v>
      </c>
      <c r="CZ415" s="2">
        <v>0.0</v>
      </c>
      <c r="DA415" s="2" t="s">
        <v>1998</v>
      </c>
      <c r="DD415" s="2">
        <v>31.0</v>
      </c>
      <c r="DE415" s="2">
        <v>0.0</v>
      </c>
      <c r="DF415" s="2">
        <v>0.0</v>
      </c>
      <c r="DG415" s="2">
        <v>1.0</v>
      </c>
      <c r="DH415" s="2">
        <v>1.0</v>
      </c>
      <c r="DI415" s="2">
        <v>0.0</v>
      </c>
      <c r="DJ415" s="2">
        <v>0.0</v>
      </c>
      <c r="DK415" s="2">
        <v>1.0</v>
      </c>
      <c r="DL415" s="2">
        <v>0.0</v>
      </c>
      <c r="DM415" s="2">
        <v>0.0</v>
      </c>
      <c r="DN415" s="2">
        <v>0.0</v>
      </c>
      <c r="DO415" s="2">
        <v>0.0</v>
      </c>
      <c r="DP415" s="2">
        <v>0.0</v>
      </c>
      <c r="DQ415" s="2">
        <v>6.0</v>
      </c>
      <c r="DR415" s="2">
        <v>0.0</v>
      </c>
      <c r="DS415" s="2">
        <v>72.0</v>
      </c>
      <c r="DT415" s="2">
        <v>326.0</v>
      </c>
      <c r="DU415" s="2">
        <v>2.0</v>
      </c>
      <c r="DV415" s="2">
        <v>0.0</v>
      </c>
      <c r="DW415" s="2">
        <v>1.0</v>
      </c>
      <c r="DX415" s="2">
        <v>2.0</v>
      </c>
      <c r="DY415" s="2">
        <v>1.0</v>
      </c>
      <c r="DZ415" s="2">
        <v>2.0</v>
      </c>
      <c r="EA415" s="2">
        <v>32.0</v>
      </c>
      <c r="EB415" s="2">
        <v>0.0</v>
      </c>
      <c r="EC415" s="2">
        <v>254.0</v>
      </c>
      <c r="EE415" s="2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2">
        <v>2025.0</v>
      </c>
      <c r="B416" s="2">
        <v>14.0</v>
      </c>
      <c r="C416" s="2" t="s">
        <v>147</v>
      </c>
      <c r="D416" s="2" t="s">
        <v>390</v>
      </c>
      <c r="E416" s="2" t="s">
        <v>1050</v>
      </c>
      <c r="F416" s="2" t="s">
        <v>220</v>
      </c>
      <c r="G416" s="2">
        <v>21.0</v>
      </c>
      <c r="H416" s="2">
        <v>40.0</v>
      </c>
      <c r="I416" s="2">
        <v>240.0</v>
      </c>
      <c r="J416" s="2">
        <v>0.0</v>
      </c>
      <c r="K416" s="2">
        <v>4.0</v>
      </c>
      <c r="L416" s="2">
        <v>1.0</v>
      </c>
      <c r="M416" s="2">
        <v>-9.0</v>
      </c>
      <c r="N416" s="2">
        <v>0.0</v>
      </c>
      <c r="O416" s="2">
        <v>0.0</v>
      </c>
      <c r="P416" s="2">
        <v>408.0</v>
      </c>
      <c r="Q416" s="2">
        <v>111.0</v>
      </c>
      <c r="R416" s="2">
        <v>12.0</v>
      </c>
      <c r="S416" s="2">
        <v>-16.2360342307993</v>
      </c>
      <c r="T416" s="2">
        <v>-10.7479739346002</v>
      </c>
      <c r="U416" s="2">
        <v>0.0</v>
      </c>
      <c r="V416" s="2">
        <v>11.0</v>
      </c>
      <c r="W416" s="2">
        <v>8.0</v>
      </c>
      <c r="X416" s="2">
        <v>3.0</v>
      </c>
      <c r="Y416" s="2">
        <v>0.0</v>
      </c>
      <c r="Z416" s="2">
        <v>25.0</v>
      </c>
      <c r="AA416" s="2">
        <v>134.0</v>
      </c>
      <c r="AB416" s="2">
        <v>1.0</v>
      </c>
      <c r="AC416" s="2">
        <v>0.0</v>
      </c>
      <c r="AD416" s="2">
        <v>0.0</v>
      </c>
      <c r="AE416" s="2">
        <v>5.0</v>
      </c>
      <c r="AF416" s="2">
        <v>-0.858432486100355</v>
      </c>
      <c r="AG416" s="2">
        <v>0.0</v>
      </c>
      <c r="AH416" s="2">
        <v>4.0</v>
      </c>
      <c r="AI416" s="2">
        <v>3.0</v>
      </c>
      <c r="AJ416" s="2">
        <v>1.0</v>
      </c>
      <c r="AK416" s="2">
        <v>1.0</v>
      </c>
      <c r="AL416" s="2">
        <v>21.0</v>
      </c>
      <c r="AM416" s="2">
        <v>38.0</v>
      </c>
      <c r="AN416" s="2">
        <v>240.0</v>
      </c>
      <c r="AO416" s="2">
        <v>0.0</v>
      </c>
      <c r="AP416" s="2">
        <v>0.0</v>
      </c>
      <c r="AQ416" s="2">
        <v>0.0</v>
      </c>
      <c r="AR416" s="2">
        <v>408.0</v>
      </c>
      <c r="AS416" s="2">
        <v>111.0</v>
      </c>
      <c r="AT416" s="2">
        <v>12.0</v>
      </c>
      <c r="AU416" s="2">
        <v>-12.9134289336006</v>
      </c>
      <c r="AV416" s="2">
        <v>0.0</v>
      </c>
      <c r="AW416" s="2">
        <v>11.0</v>
      </c>
      <c r="AX416" s="2">
        <v>8.0</v>
      </c>
      <c r="AY416" s="2">
        <v>3.0</v>
      </c>
      <c r="AZ416" s="2">
        <v>0.0</v>
      </c>
      <c r="BA416" s="2">
        <v>0.0</v>
      </c>
      <c r="BB416" s="2">
        <v>49.0</v>
      </c>
      <c r="BC416" s="2">
        <v>0.0</v>
      </c>
      <c r="BD416" s="2">
        <v>36.0</v>
      </c>
      <c r="BE416" s="2">
        <v>7.0</v>
      </c>
      <c r="BF416" s="2">
        <v>33.0</v>
      </c>
      <c r="BG416" s="2">
        <v>3.0</v>
      </c>
      <c r="BH416" s="2">
        <v>7.0</v>
      </c>
      <c r="BI416" s="2">
        <v>33.0</v>
      </c>
      <c r="BJ416" s="2">
        <v>11.0</v>
      </c>
      <c r="BK416" s="2">
        <v>1.0</v>
      </c>
      <c r="BL416" s="2">
        <v>1.0</v>
      </c>
      <c r="BM416" s="2">
        <v>5.0</v>
      </c>
      <c r="BN416" s="2">
        <v>0.0</v>
      </c>
      <c r="BO416" s="2">
        <v>0.0</v>
      </c>
      <c r="BP416" s="2">
        <v>0.0</v>
      </c>
      <c r="BQ416" s="2">
        <v>0.0</v>
      </c>
      <c r="BR416" s="2">
        <v>1.0</v>
      </c>
      <c r="BS416" s="2">
        <v>0.0</v>
      </c>
      <c r="BT416" s="2">
        <v>2.0</v>
      </c>
      <c r="BU416" s="2">
        <v>-1.0</v>
      </c>
      <c r="BV416" s="2">
        <v>0.0</v>
      </c>
      <c r="BW416" s="2">
        <v>6.0</v>
      </c>
      <c r="BX416" s="2">
        <v>53.0</v>
      </c>
      <c r="BY416" s="2">
        <v>2.0</v>
      </c>
      <c r="BZ416" s="2">
        <v>2.0</v>
      </c>
      <c r="CA416" s="2">
        <v>0.0</v>
      </c>
      <c r="CB416" s="2">
        <v>0.0</v>
      </c>
      <c r="CC416" s="2">
        <v>2.0</v>
      </c>
      <c r="CD416" s="2">
        <v>1.0</v>
      </c>
      <c r="CE416" s="2">
        <v>3.0</v>
      </c>
      <c r="CF416" s="2">
        <v>54.0</v>
      </c>
      <c r="CG416" s="2">
        <v>6.0</v>
      </c>
      <c r="CH416" s="2">
        <v>159.0</v>
      </c>
      <c r="CI416" s="2">
        <v>4.0</v>
      </c>
      <c r="CJ416" s="2">
        <v>5.0</v>
      </c>
      <c r="CK416" s="2">
        <v>1.0</v>
      </c>
      <c r="CL416" s="2">
        <v>0.0</v>
      </c>
      <c r="CM416" s="2">
        <v>54.0</v>
      </c>
      <c r="CN416" s="2">
        <v>0.8</v>
      </c>
      <c r="CO416" s="2">
        <v>0.0</v>
      </c>
      <c r="CP416" s="2">
        <v>0.0</v>
      </c>
      <c r="CQ416" s="2">
        <v>1.0</v>
      </c>
      <c r="CR416" s="2">
        <v>2.0</v>
      </c>
      <c r="CS416" s="2">
        <v>1.0</v>
      </c>
      <c r="CT416" s="2">
        <v>0.0</v>
      </c>
      <c r="CU416" s="2">
        <v>0.0</v>
      </c>
      <c r="CV416" s="2">
        <v>0.0</v>
      </c>
      <c r="CW416" s="2">
        <v>0.0</v>
      </c>
      <c r="CX416" s="2">
        <v>1.0</v>
      </c>
      <c r="CY416" s="2">
        <v>0.0</v>
      </c>
      <c r="CZ416" s="2">
        <v>0.0</v>
      </c>
      <c r="DA416" s="2" t="s">
        <v>2222</v>
      </c>
      <c r="DB416" s="2" t="s">
        <v>1965</v>
      </c>
      <c r="DD416" s="2">
        <v>169.0</v>
      </c>
      <c r="DE416" s="2">
        <v>48.0</v>
      </c>
      <c r="DF416" s="2">
        <v>0.0</v>
      </c>
      <c r="DG416" s="2">
        <v>1.0</v>
      </c>
      <c r="DH416" s="2">
        <v>1.0</v>
      </c>
      <c r="DI416" s="2">
        <v>0.0</v>
      </c>
      <c r="DJ416" s="2">
        <v>0.0</v>
      </c>
      <c r="DK416" s="2">
        <v>1.0</v>
      </c>
      <c r="DL416" s="2">
        <v>0.0</v>
      </c>
      <c r="DM416" s="2">
        <v>0.0</v>
      </c>
      <c r="DN416" s="2">
        <v>0.0</v>
      </c>
      <c r="DO416" s="2">
        <v>0.0</v>
      </c>
      <c r="DP416" s="2">
        <v>0.0</v>
      </c>
      <c r="DQ416" s="2">
        <v>3.0</v>
      </c>
      <c r="DR416" s="2">
        <v>0.0</v>
      </c>
      <c r="DS416" s="2">
        <v>60.0</v>
      </c>
      <c r="DT416" s="2">
        <v>155.0</v>
      </c>
      <c r="DU416" s="2">
        <v>0.0</v>
      </c>
      <c r="DV416" s="2">
        <v>1.0</v>
      </c>
      <c r="DW416" s="2">
        <v>0.0</v>
      </c>
      <c r="DX416" s="2">
        <v>1.0</v>
      </c>
      <c r="DY416" s="2">
        <v>0.0</v>
      </c>
      <c r="DZ416" s="2">
        <v>1.0</v>
      </c>
      <c r="EA416" s="2">
        <v>-10.0</v>
      </c>
      <c r="EB416" s="2">
        <v>0.0</v>
      </c>
      <c r="EC416" s="2">
        <v>145.0</v>
      </c>
      <c r="EE416" s="2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2">
        <v>2025.0</v>
      </c>
      <c r="B417" s="2">
        <v>14.0</v>
      </c>
      <c r="C417" s="2" t="s">
        <v>242</v>
      </c>
      <c r="D417" s="2" t="s">
        <v>390</v>
      </c>
      <c r="E417" s="2" t="s">
        <v>1028</v>
      </c>
      <c r="F417" s="2" t="s">
        <v>148</v>
      </c>
      <c r="G417" s="2">
        <v>23.0</v>
      </c>
      <c r="H417" s="2">
        <v>34.0</v>
      </c>
      <c r="I417" s="2">
        <v>284.0</v>
      </c>
      <c r="J417" s="2">
        <v>1.0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212.0</v>
      </c>
      <c r="Q417" s="2">
        <v>160.0</v>
      </c>
      <c r="R417" s="2">
        <v>7.0</v>
      </c>
      <c r="S417" s="2">
        <v>10.5665620552332</v>
      </c>
      <c r="T417" s="2">
        <v>4.3227210189357</v>
      </c>
      <c r="U417" s="2">
        <v>0.0</v>
      </c>
      <c r="V417" s="2">
        <v>8.0</v>
      </c>
      <c r="W417" s="2">
        <v>5.0</v>
      </c>
      <c r="X417" s="2">
        <v>5.0</v>
      </c>
      <c r="Y417" s="2">
        <v>2.0</v>
      </c>
      <c r="Z417" s="2">
        <v>17.0</v>
      </c>
      <c r="AA417" s="2">
        <v>34.0</v>
      </c>
      <c r="AB417" s="2">
        <v>2.0</v>
      </c>
      <c r="AC417" s="2">
        <v>0.0</v>
      </c>
      <c r="AD417" s="2">
        <v>0.0</v>
      </c>
      <c r="AE417" s="2">
        <v>4.0</v>
      </c>
      <c r="AF417" s="2">
        <v>2.87514711206313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23.0</v>
      </c>
      <c r="AM417" s="2">
        <v>33.0</v>
      </c>
      <c r="AN417" s="2">
        <v>284.0</v>
      </c>
      <c r="AO417" s="2">
        <v>1.0</v>
      </c>
      <c r="AP417" s="2">
        <v>0.0</v>
      </c>
      <c r="AQ417" s="2">
        <v>0.0</v>
      </c>
      <c r="AR417" s="2">
        <v>212.0</v>
      </c>
      <c r="AS417" s="2">
        <v>160.0</v>
      </c>
      <c r="AT417" s="2">
        <v>7.0</v>
      </c>
      <c r="AU417" s="2">
        <v>11.0871240488209</v>
      </c>
      <c r="AV417" s="2">
        <v>0.0</v>
      </c>
      <c r="AW417" s="2">
        <v>8.0</v>
      </c>
      <c r="AX417" s="2">
        <v>5.0</v>
      </c>
      <c r="AY417" s="2">
        <v>5.0</v>
      </c>
      <c r="AZ417" s="2">
        <v>2.0</v>
      </c>
      <c r="BA417" s="2">
        <v>0.0</v>
      </c>
      <c r="BB417" s="2">
        <v>51.0</v>
      </c>
      <c r="BC417" s="2">
        <v>0.0</v>
      </c>
      <c r="BD417" s="2">
        <v>28.0</v>
      </c>
      <c r="BE417" s="2">
        <v>5.0</v>
      </c>
      <c r="BF417" s="2">
        <v>22.0</v>
      </c>
      <c r="BG417" s="2">
        <v>0.0</v>
      </c>
      <c r="BH417" s="2">
        <v>2.0</v>
      </c>
      <c r="BI417" s="2">
        <v>16.0</v>
      </c>
      <c r="BJ417" s="2">
        <v>5.0</v>
      </c>
      <c r="BK417" s="2">
        <v>1.0</v>
      </c>
      <c r="BL417" s="2">
        <v>9.0</v>
      </c>
      <c r="BM417" s="2">
        <v>5.0</v>
      </c>
      <c r="BN417" s="2">
        <v>0.0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7.0</v>
      </c>
      <c r="BX417" s="2">
        <v>33.0</v>
      </c>
      <c r="BY417" s="2">
        <v>4.0</v>
      </c>
      <c r="BZ417" s="2">
        <v>0.0</v>
      </c>
      <c r="CA417" s="2">
        <v>0.0</v>
      </c>
      <c r="CB417" s="2">
        <v>0.0</v>
      </c>
      <c r="CC417" s="2">
        <v>0.0</v>
      </c>
      <c r="CD417" s="2">
        <v>0.0</v>
      </c>
      <c r="CE417" s="2">
        <v>2.0</v>
      </c>
      <c r="CF417" s="2">
        <v>12.0</v>
      </c>
      <c r="CG417" s="2">
        <v>4.0</v>
      </c>
      <c r="CH417" s="2">
        <v>88.0</v>
      </c>
      <c r="CI417" s="2">
        <v>2.0</v>
      </c>
      <c r="CJ417" s="2">
        <v>2.0</v>
      </c>
      <c r="CK417" s="2">
        <v>0.0</v>
      </c>
      <c r="CL417" s="2">
        <v>0.0</v>
      </c>
      <c r="CM417" s="2">
        <v>28.0</v>
      </c>
      <c r="CN417" s="2">
        <v>1.0</v>
      </c>
      <c r="CO417" s="2">
        <v>0.0</v>
      </c>
      <c r="CP417" s="2">
        <v>2.0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 t="s">
        <v>2094</v>
      </c>
      <c r="DD417" s="2">
        <v>51.0</v>
      </c>
      <c r="DE417" s="2">
        <v>0.0</v>
      </c>
      <c r="DF417" s="2">
        <v>0.0</v>
      </c>
      <c r="DG417" s="2">
        <v>3.0</v>
      </c>
      <c r="DH417" s="2">
        <v>3.0</v>
      </c>
      <c r="DI417" s="2">
        <v>0.0</v>
      </c>
      <c r="DJ417" s="2">
        <v>0.0</v>
      </c>
      <c r="DK417" s="2">
        <v>1.0</v>
      </c>
      <c r="DL417" s="2">
        <v>0.0</v>
      </c>
      <c r="DM417" s="2">
        <v>0.0</v>
      </c>
      <c r="DN417" s="2">
        <v>0.0</v>
      </c>
      <c r="DO417" s="2">
        <v>0.0</v>
      </c>
      <c r="DP417" s="2">
        <v>0.0</v>
      </c>
      <c r="DQ417" s="2">
        <v>4.0</v>
      </c>
      <c r="DR417" s="2">
        <v>0.0</v>
      </c>
      <c r="DS417" s="2">
        <v>53.0</v>
      </c>
      <c r="DT417" s="2">
        <v>197.0</v>
      </c>
      <c r="DU417" s="2">
        <v>1.0</v>
      </c>
      <c r="DV417" s="2">
        <v>0.0</v>
      </c>
      <c r="DW417" s="2">
        <v>0.0</v>
      </c>
      <c r="DX417" s="2">
        <v>0.0</v>
      </c>
      <c r="DY417" s="2">
        <v>1.0</v>
      </c>
      <c r="DZ417" s="2">
        <v>3.0</v>
      </c>
      <c r="EA417" s="2">
        <v>14.0</v>
      </c>
      <c r="EB417" s="2">
        <v>0.0</v>
      </c>
      <c r="EC417" s="2">
        <v>183.0</v>
      </c>
      <c r="EE417" s="2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2">
        <v>2025.0</v>
      </c>
      <c r="B418" s="2">
        <v>14.0</v>
      </c>
      <c r="C418" s="2" t="s">
        <v>149</v>
      </c>
      <c r="D418" s="2" t="s">
        <v>390</v>
      </c>
      <c r="E418" s="2" t="s">
        <v>1025</v>
      </c>
      <c r="F418" s="2" t="s">
        <v>132</v>
      </c>
      <c r="G418" s="2">
        <v>20.0</v>
      </c>
      <c r="H418" s="2">
        <v>30.0</v>
      </c>
      <c r="I418" s="2">
        <v>249.0</v>
      </c>
      <c r="J418" s="2">
        <v>3.0</v>
      </c>
      <c r="K418" s="2">
        <v>1.0</v>
      </c>
      <c r="L418" s="2">
        <v>2.0</v>
      </c>
      <c r="M418" s="2">
        <v>-13.0</v>
      </c>
      <c r="N418" s="2">
        <v>0.0</v>
      </c>
      <c r="O418" s="2">
        <v>0.0</v>
      </c>
      <c r="P418" s="2">
        <v>255.0</v>
      </c>
      <c r="Q418" s="2">
        <v>114.0</v>
      </c>
      <c r="R418" s="2">
        <v>11.0</v>
      </c>
      <c r="S418" s="2">
        <v>10.0413748343407</v>
      </c>
      <c r="T418" s="2">
        <v>-0.264247258504232</v>
      </c>
      <c r="U418" s="2">
        <v>0.0</v>
      </c>
      <c r="V418" s="2">
        <v>10.0</v>
      </c>
      <c r="W418" s="2">
        <v>5.0</v>
      </c>
      <c r="X418" s="2">
        <v>4.0</v>
      </c>
      <c r="Y418" s="2">
        <v>0.0</v>
      </c>
      <c r="Z418" s="2">
        <v>26.0</v>
      </c>
      <c r="AA418" s="2">
        <v>129.0</v>
      </c>
      <c r="AB418" s="2">
        <v>0.0</v>
      </c>
      <c r="AC418" s="2">
        <v>1.0</v>
      </c>
      <c r="AD418" s="2">
        <v>0.0</v>
      </c>
      <c r="AE418" s="2">
        <v>6.0</v>
      </c>
      <c r="AF418" s="2">
        <v>-1.23616994294571</v>
      </c>
      <c r="AG418" s="2">
        <v>0.0</v>
      </c>
      <c r="AH418" s="2">
        <v>4.0</v>
      </c>
      <c r="AI418" s="2">
        <v>3.0</v>
      </c>
      <c r="AJ418" s="2">
        <v>2.0</v>
      </c>
      <c r="AK418" s="2">
        <v>0.0</v>
      </c>
      <c r="AL418" s="2">
        <v>20.0</v>
      </c>
      <c r="AM418" s="2">
        <v>30.0</v>
      </c>
      <c r="AN418" s="2">
        <v>249.0</v>
      </c>
      <c r="AO418" s="2">
        <v>3.0</v>
      </c>
      <c r="AP418" s="2">
        <v>1.0</v>
      </c>
      <c r="AQ418" s="2">
        <v>0.0</v>
      </c>
      <c r="AR418" s="2">
        <v>255.0</v>
      </c>
      <c r="AS418" s="2">
        <v>114.0</v>
      </c>
      <c r="AT418" s="2">
        <v>11.0</v>
      </c>
      <c r="AU418" s="2">
        <v>13.0824537888101</v>
      </c>
      <c r="AV418" s="2">
        <v>0.0</v>
      </c>
      <c r="AW418" s="2">
        <v>10.0</v>
      </c>
      <c r="AX418" s="2">
        <v>5.0</v>
      </c>
      <c r="AY418" s="2">
        <v>4.0</v>
      </c>
      <c r="AZ418" s="2">
        <v>0.0</v>
      </c>
      <c r="BA418" s="2">
        <v>1.0</v>
      </c>
      <c r="BB418" s="2">
        <v>36.0</v>
      </c>
      <c r="BC418" s="2">
        <v>1.0</v>
      </c>
      <c r="BD418" s="2">
        <v>33.0</v>
      </c>
      <c r="BE418" s="2">
        <v>3.0</v>
      </c>
      <c r="BF418" s="2">
        <v>11.0</v>
      </c>
      <c r="BG418" s="2">
        <v>1.0</v>
      </c>
      <c r="BH418" s="2">
        <v>1.0</v>
      </c>
      <c r="BI418" s="2">
        <v>8.0</v>
      </c>
      <c r="BJ418" s="2">
        <v>7.0</v>
      </c>
      <c r="BK418" s="2">
        <v>2.0</v>
      </c>
      <c r="BL418" s="2">
        <v>3.0</v>
      </c>
      <c r="BM418" s="2">
        <v>10.0</v>
      </c>
      <c r="BN418" s="2">
        <v>0.0</v>
      </c>
      <c r="BO418" s="2">
        <v>0.0</v>
      </c>
      <c r="BP418" s="2">
        <v>0.0</v>
      </c>
      <c r="BQ418" s="2">
        <v>0.0</v>
      </c>
      <c r="BR418" s="2">
        <v>1.0</v>
      </c>
      <c r="BS418" s="2">
        <v>0.0</v>
      </c>
      <c r="BT418" s="2">
        <v>1.0</v>
      </c>
      <c r="BU418" s="2">
        <v>0.0</v>
      </c>
      <c r="BV418" s="2">
        <v>0.0</v>
      </c>
      <c r="BW418" s="2">
        <v>6.0</v>
      </c>
      <c r="BX418" s="2">
        <v>60.0</v>
      </c>
      <c r="BY418" s="2">
        <v>4.0</v>
      </c>
      <c r="BZ418" s="2">
        <v>1.0</v>
      </c>
      <c r="CA418" s="2">
        <v>1.0</v>
      </c>
      <c r="CB418" s="2">
        <v>1.0</v>
      </c>
      <c r="CC418" s="2">
        <v>2.0</v>
      </c>
      <c r="CD418" s="2">
        <v>0.0</v>
      </c>
      <c r="CE418" s="2">
        <v>0.0</v>
      </c>
      <c r="CF418" s="2">
        <v>0.0</v>
      </c>
      <c r="CG418" s="2">
        <v>3.0</v>
      </c>
      <c r="CH418" s="2">
        <v>148.0</v>
      </c>
      <c r="CI418" s="2">
        <v>3.0</v>
      </c>
      <c r="CJ418" s="2">
        <v>3.0</v>
      </c>
      <c r="CK418" s="2">
        <v>0.0</v>
      </c>
      <c r="CL418" s="2">
        <v>0.0</v>
      </c>
      <c r="CM418" s="2">
        <v>48.0</v>
      </c>
      <c r="CN418" s="2">
        <v>1.0</v>
      </c>
      <c r="CO418" s="2">
        <v>0.0</v>
      </c>
      <c r="CP418" s="2">
        <v>1.0</v>
      </c>
      <c r="CQ418" s="2">
        <v>1.0</v>
      </c>
      <c r="CR418" s="2">
        <v>1.0</v>
      </c>
      <c r="CS418" s="2">
        <v>0.0</v>
      </c>
      <c r="CT418" s="2">
        <v>0.0</v>
      </c>
      <c r="CU418" s="2">
        <v>0.0</v>
      </c>
      <c r="CV418" s="2">
        <v>0.0</v>
      </c>
      <c r="CW418" s="2">
        <v>0.0</v>
      </c>
      <c r="CX418" s="2">
        <v>0.0</v>
      </c>
      <c r="CY418" s="2">
        <v>0.0</v>
      </c>
      <c r="CZ418" s="2">
        <v>0.0</v>
      </c>
      <c r="DA418" s="2" t="s">
        <v>2223</v>
      </c>
      <c r="DD418" s="2">
        <v>107.0</v>
      </c>
      <c r="DE418" s="2">
        <v>0.0</v>
      </c>
      <c r="DF418" s="2">
        <v>0.0</v>
      </c>
      <c r="DG418" s="2">
        <v>4.0</v>
      </c>
      <c r="DH418" s="2">
        <v>4.0</v>
      </c>
      <c r="DI418" s="2">
        <v>0.0</v>
      </c>
      <c r="DJ418" s="2">
        <v>0.0</v>
      </c>
      <c r="DK418" s="2">
        <v>1.0</v>
      </c>
      <c r="DL418" s="2">
        <v>0.0</v>
      </c>
      <c r="DM418" s="2">
        <v>0.0</v>
      </c>
      <c r="DN418" s="2">
        <v>0.0</v>
      </c>
      <c r="DO418" s="2">
        <v>0.0</v>
      </c>
      <c r="DP418" s="2">
        <v>0.0</v>
      </c>
      <c r="DQ418" s="2">
        <v>3.0</v>
      </c>
      <c r="DR418" s="2">
        <v>0.0</v>
      </c>
      <c r="DS418" s="2">
        <v>52.0</v>
      </c>
      <c r="DT418" s="2">
        <v>148.0</v>
      </c>
      <c r="DU418" s="2">
        <v>2.0</v>
      </c>
      <c r="DV418" s="2">
        <v>0.0</v>
      </c>
      <c r="DW418" s="2">
        <v>1.0</v>
      </c>
      <c r="DX418" s="2">
        <v>0.0</v>
      </c>
      <c r="DY418" s="2">
        <v>1.0</v>
      </c>
      <c r="DZ418" s="2">
        <v>1.0</v>
      </c>
      <c r="EA418" s="2">
        <v>14.0</v>
      </c>
      <c r="EB418" s="2">
        <v>0.0</v>
      </c>
      <c r="EC418" s="2">
        <v>134.0</v>
      </c>
      <c r="EE418" s="2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2">
        <v>2025.0</v>
      </c>
      <c r="B419" s="2">
        <v>14.0</v>
      </c>
      <c r="C419" s="2" t="s">
        <v>150</v>
      </c>
      <c r="D419" s="2" t="s">
        <v>390</v>
      </c>
      <c r="E419" s="2" t="s">
        <v>1040</v>
      </c>
      <c r="F419" s="2" t="s">
        <v>232</v>
      </c>
      <c r="G419" s="2">
        <v>14.0</v>
      </c>
      <c r="H419" s="2">
        <v>30.0</v>
      </c>
      <c r="I419" s="2">
        <v>122.0</v>
      </c>
      <c r="J419" s="2">
        <v>1.0</v>
      </c>
      <c r="K419" s="2">
        <v>1.0</v>
      </c>
      <c r="L419" s="2">
        <v>0.0</v>
      </c>
      <c r="M419" s="2">
        <v>0.0</v>
      </c>
      <c r="N419" s="2">
        <v>0.0</v>
      </c>
      <c r="O419" s="2">
        <v>0.0</v>
      </c>
      <c r="P419" s="2">
        <v>230.0</v>
      </c>
      <c r="Q419" s="2">
        <v>94.0</v>
      </c>
      <c r="R419" s="2">
        <v>4.0</v>
      </c>
      <c r="S419" s="2">
        <v>-9.81600643074352</v>
      </c>
      <c r="T419" s="2">
        <v>-16.4797844631331</v>
      </c>
      <c r="U419" s="2">
        <v>0.0</v>
      </c>
      <c r="V419" s="2">
        <v>4.0</v>
      </c>
      <c r="W419" s="2">
        <v>2.0</v>
      </c>
      <c r="X419" s="2">
        <v>2.0</v>
      </c>
      <c r="Y419" s="2">
        <v>0.0</v>
      </c>
      <c r="Z419" s="2">
        <v>39.0</v>
      </c>
      <c r="AA419" s="2">
        <v>179.0</v>
      </c>
      <c r="AB419" s="2">
        <v>1.0</v>
      </c>
      <c r="AC419" s="2">
        <v>0.0</v>
      </c>
      <c r="AD419" s="2">
        <v>0.0</v>
      </c>
      <c r="AE419" s="2">
        <v>11.0</v>
      </c>
      <c r="AF419" s="2">
        <v>-2.49002516950713</v>
      </c>
      <c r="AG419" s="2">
        <v>0.0</v>
      </c>
      <c r="AH419" s="2">
        <v>6.0</v>
      </c>
      <c r="AI419" s="2">
        <v>5.0</v>
      </c>
      <c r="AJ419" s="2">
        <v>1.0</v>
      </c>
      <c r="AK419" s="2">
        <v>0.0</v>
      </c>
      <c r="AL419" s="2">
        <v>14.0</v>
      </c>
      <c r="AM419" s="2">
        <v>28.0</v>
      </c>
      <c r="AN419" s="2">
        <v>122.0</v>
      </c>
      <c r="AO419" s="2">
        <v>1.0</v>
      </c>
      <c r="AP419" s="2">
        <v>0.0</v>
      </c>
      <c r="AQ419" s="2">
        <v>0.0</v>
      </c>
      <c r="AR419" s="2">
        <v>230.0</v>
      </c>
      <c r="AS419" s="2">
        <v>94.0</v>
      </c>
      <c r="AT419" s="2">
        <v>4.0</v>
      </c>
      <c r="AU419" s="2">
        <v>-9.37762736462036</v>
      </c>
      <c r="AV419" s="2">
        <v>0.0</v>
      </c>
      <c r="AW419" s="2">
        <v>4.0</v>
      </c>
      <c r="AX419" s="2">
        <v>2.0</v>
      </c>
      <c r="AY419" s="2">
        <v>2.0</v>
      </c>
      <c r="AZ419" s="2">
        <v>0.0</v>
      </c>
      <c r="BA419" s="2">
        <v>0.0</v>
      </c>
      <c r="BB419" s="2">
        <v>37.0</v>
      </c>
      <c r="BC419" s="2">
        <v>1.0</v>
      </c>
      <c r="BD419" s="2">
        <v>21.0</v>
      </c>
      <c r="BE419" s="2">
        <v>6.0</v>
      </c>
      <c r="BF419" s="2">
        <v>28.0</v>
      </c>
      <c r="BG419" s="2">
        <v>0.0</v>
      </c>
      <c r="BH419" s="2">
        <v>3.0</v>
      </c>
      <c r="BI419" s="2">
        <v>23.0</v>
      </c>
      <c r="BJ419" s="2">
        <v>4.0</v>
      </c>
      <c r="BK419" s="2">
        <v>1.0</v>
      </c>
      <c r="BL419" s="2">
        <v>19.0</v>
      </c>
      <c r="BM419" s="2">
        <v>4.0</v>
      </c>
      <c r="BN419" s="2">
        <v>0.0</v>
      </c>
      <c r="BO419" s="2">
        <v>1.0</v>
      </c>
      <c r="BP419" s="2">
        <v>0.0</v>
      </c>
      <c r="BQ419" s="2">
        <v>0.0</v>
      </c>
      <c r="BR419" s="2">
        <v>1.0</v>
      </c>
      <c r="BS419" s="2">
        <v>0.0</v>
      </c>
      <c r="BT419" s="2">
        <v>0.0</v>
      </c>
      <c r="BU419" s="2">
        <v>0.0</v>
      </c>
      <c r="BV419" s="2">
        <v>0.0</v>
      </c>
      <c r="BW419" s="2">
        <v>7.0</v>
      </c>
      <c r="BX419" s="2">
        <v>49.0</v>
      </c>
      <c r="BY419" s="2">
        <v>6.0</v>
      </c>
      <c r="BZ419" s="2">
        <v>0.0</v>
      </c>
      <c r="CA419" s="2">
        <v>1.0</v>
      </c>
      <c r="CB419" s="2">
        <v>0.0</v>
      </c>
      <c r="CC419" s="2">
        <v>1.0</v>
      </c>
      <c r="CD419" s="2">
        <v>0.0</v>
      </c>
      <c r="CE419" s="2">
        <v>2.0</v>
      </c>
      <c r="CF419" s="2">
        <v>0.0</v>
      </c>
      <c r="CG419" s="2">
        <v>2.0</v>
      </c>
      <c r="CH419" s="2">
        <v>39.0</v>
      </c>
      <c r="CI419" s="2">
        <v>2.0</v>
      </c>
      <c r="CJ419" s="2">
        <v>2.0</v>
      </c>
      <c r="CK419" s="2">
        <v>0.0</v>
      </c>
      <c r="CL419" s="2">
        <v>0.0</v>
      </c>
      <c r="CM419" s="2">
        <v>41.0</v>
      </c>
      <c r="CN419" s="2">
        <v>1.0</v>
      </c>
      <c r="CO419" s="2">
        <v>0.0</v>
      </c>
      <c r="CP419" s="2">
        <v>0.0</v>
      </c>
      <c r="CQ419" s="2">
        <v>1.0</v>
      </c>
      <c r="CR419" s="2">
        <v>1.0</v>
      </c>
      <c r="CS419" s="2">
        <v>0.0</v>
      </c>
      <c r="CT419" s="2">
        <v>0.0</v>
      </c>
      <c r="CU419" s="2">
        <v>0.0</v>
      </c>
      <c r="CV419" s="2">
        <v>0.0</v>
      </c>
      <c r="CW419" s="2">
        <v>0.0</v>
      </c>
      <c r="CX419" s="2">
        <v>0.0</v>
      </c>
      <c r="CY419" s="2">
        <v>0.0</v>
      </c>
      <c r="CZ419" s="2">
        <v>0.0</v>
      </c>
      <c r="DA419" s="2" t="s">
        <v>2224</v>
      </c>
      <c r="DD419" s="2">
        <v>78.0</v>
      </c>
      <c r="DE419" s="2">
        <v>0.0</v>
      </c>
      <c r="DF419" s="2">
        <v>0.0</v>
      </c>
      <c r="DG419" s="2">
        <v>2.0</v>
      </c>
      <c r="DH419" s="2">
        <v>2.0</v>
      </c>
      <c r="DI419" s="2">
        <v>0.0</v>
      </c>
      <c r="DJ419" s="2">
        <v>0.0</v>
      </c>
      <c r="DK419" s="2">
        <v>1.0</v>
      </c>
      <c r="DL419" s="2">
        <v>0.0</v>
      </c>
      <c r="DM419" s="2">
        <v>0.0</v>
      </c>
      <c r="DN419" s="2">
        <v>0.0</v>
      </c>
      <c r="DO419" s="2">
        <v>0.0</v>
      </c>
      <c r="DP419" s="2">
        <v>0.0</v>
      </c>
      <c r="DQ419" s="2">
        <v>1.0</v>
      </c>
      <c r="DR419" s="2">
        <v>0.0</v>
      </c>
      <c r="DS419" s="2">
        <v>31.0</v>
      </c>
      <c r="DT419" s="2">
        <v>31.0</v>
      </c>
      <c r="DU419" s="2">
        <v>1.0</v>
      </c>
      <c r="DV419" s="2">
        <v>0.0</v>
      </c>
      <c r="DW419" s="2">
        <v>0.0</v>
      </c>
      <c r="DX419" s="2">
        <v>0.0</v>
      </c>
      <c r="DY419" s="2">
        <v>1.0</v>
      </c>
      <c r="DZ419" s="2">
        <v>0.0</v>
      </c>
      <c r="EA419" s="2">
        <v>0.0</v>
      </c>
      <c r="EB419" s="2">
        <v>0.0</v>
      </c>
      <c r="EC419" s="2">
        <v>31.0</v>
      </c>
      <c r="EE419" s="2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2">
        <v>2025.0</v>
      </c>
      <c r="B420" s="2">
        <v>14.0</v>
      </c>
      <c r="C420" s="2" t="s">
        <v>250</v>
      </c>
      <c r="D420" s="2" t="s">
        <v>390</v>
      </c>
      <c r="E420" s="2" t="s">
        <v>1030</v>
      </c>
      <c r="F420" s="2" t="s">
        <v>196</v>
      </c>
      <c r="G420" s="2">
        <v>14.0</v>
      </c>
      <c r="H420" s="2">
        <v>28.0</v>
      </c>
      <c r="I420" s="2">
        <v>117.0</v>
      </c>
      <c r="J420" s="2">
        <v>2.0</v>
      </c>
      <c r="K420" s="2">
        <v>1.0</v>
      </c>
      <c r="L420" s="2">
        <v>1.0</v>
      </c>
      <c r="M420" s="2">
        <v>-9.0</v>
      </c>
      <c r="N420" s="2">
        <v>0.0</v>
      </c>
      <c r="O420" s="2">
        <v>0.0</v>
      </c>
      <c r="P420" s="2">
        <v>174.0</v>
      </c>
      <c r="Q420" s="2">
        <v>85.0</v>
      </c>
      <c r="R420" s="2">
        <v>6.0</v>
      </c>
      <c r="S420" s="2">
        <v>-8.78384227008792</v>
      </c>
      <c r="T420" s="2">
        <v>-10.5665153264999</v>
      </c>
      <c r="U420" s="2">
        <v>0.0</v>
      </c>
      <c r="V420" s="2">
        <v>5.0</v>
      </c>
      <c r="W420" s="2">
        <v>2.0</v>
      </c>
      <c r="X420" s="2">
        <v>1.0</v>
      </c>
      <c r="Y420" s="2">
        <v>0.0</v>
      </c>
      <c r="Z420" s="2">
        <v>35.0</v>
      </c>
      <c r="AA420" s="2">
        <v>184.0</v>
      </c>
      <c r="AB420" s="2">
        <v>2.0</v>
      </c>
      <c r="AC420" s="2">
        <v>0.0</v>
      </c>
      <c r="AD420" s="2">
        <v>0.0</v>
      </c>
      <c r="AE420" s="2">
        <v>7.0</v>
      </c>
      <c r="AF420" s="2">
        <v>2.85020054428261</v>
      </c>
      <c r="AG420" s="2">
        <v>0.0</v>
      </c>
      <c r="AH420" s="2">
        <v>2.0</v>
      </c>
      <c r="AI420" s="2">
        <v>2.0</v>
      </c>
      <c r="AJ420" s="2">
        <v>2.0</v>
      </c>
      <c r="AK420" s="2">
        <v>1.0</v>
      </c>
      <c r="AL420" s="2">
        <v>14.0</v>
      </c>
      <c r="AM420" s="2">
        <v>25.0</v>
      </c>
      <c r="AN420" s="2">
        <v>117.0</v>
      </c>
      <c r="AO420" s="2">
        <v>2.0</v>
      </c>
      <c r="AP420" s="2">
        <v>0.0</v>
      </c>
      <c r="AQ420" s="2">
        <v>0.0</v>
      </c>
      <c r="AR420" s="2">
        <v>174.0</v>
      </c>
      <c r="AS420" s="2">
        <v>85.0</v>
      </c>
      <c r="AT420" s="2">
        <v>6.0</v>
      </c>
      <c r="AU420" s="2">
        <v>-4.90339133900125</v>
      </c>
      <c r="AV420" s="2">
        <v>0.0</v>
      </c>
      <c r="AW420" s="2">
        <v>5.0</v>
      </c>
      <c r="AX420" s="2">
        <v>2.0</v>
      </c>
      <c r="AY420" s="2">
        <v>1.0</v>
      </c>
      <c r="AZ420" s="2">
        <v>0.0</v>
      </c>
      <c r="BA420" s="2">
        <v>0.0</v>
      </c>
      <c r="BB420" s="2">
        <v>36.0</v>
      </c>
      <c r="BC420" s="2">
        <v>2.0</v>
      </c>
      <c r="BD420" s="2">
        <v>26.0</v>
      </c>
      <c r="BE420" s="2">
        <v>5.0</v>
      </c>
      <c r="BF420" s="2">
        <v>21.0</v>
      </c>
      <c r="BG420" s="2">
        <v>1.0</v>
      </c>
      <c r="BH420" s="2">
        <v>2.0</v>
      </c>
      <c r="BI420" s="2">
        <v>13.0</v>
      </c>
      <c r="BJ420" s="2">
        <v>13.0</v>
      </c>
      <c r="BK420" s="2">
        <v>1.0</v>
      </c>
      <c r="BL420" s="2">
        <v>35.0</v>
      </c>
      <c r="BM420" s="2">
        <v>9.0</v>
      </c>
      <c r="BN420" s="2">
        <v>0.0</v>
      </c>
      <c r="BO420" s="2">
        <v>0.0</v>
      </c>
      <c r="BP420" s="2">
        <v>0.0</v>
      </c>
      <c r="BQ420" s="2">
        <v>7.0</v>
      </c>
      <c r="BR420" s="2">
        <v>0.0</v>
      </c>
      <c r="BS420" s="2">
        <v>0.0</v>
      </c>
      <c r="BT420" s="2">
        <v>1.0</v>
      </c>
      <c r="BU420" s="2">
        <v>19.0</v>
      </c>
      <c r="BV420" s="2">
        <v>0.0</v>
      </c>
      <c r="BW420" s="2">
        <v>11.0</v>
      </c>
      <c r="BX420" s="2">
        <v>85.0</v>
      </c>
      <c r="BY420" s="2">
        <v>2.0</v>
      </c>
      <c r="BZ420" s="2">
        <v>0.0</v>
      </c>
      <c r="CA420" s="2">
        <v>0.0</v>
      </c>
      <c r="CB420" s="2">
        <v>0.0</v>
      </c>
      <c r="CC420" s="2">
        <v>0.0</v>
      </c>
      <c r="CD420" s="2">
        <v>0.0</v>
      </c>
      <c r="CE420" s="2">
        <v>1.0</v>
      </c>
      <c r="CF420" s="2">
        <v>-2.0</v>
      </c>
      <c r="CG420" s="2">
        <v>1.0</v>
      </c>
      <c r="CH420" s="2">
        <v>41.0</v>
      </c>
      <c r="CI420" s="2">
        <v>1.0</v>
      </c>
      <c r="CJ420" s="2">
        <v>1.0</v>
      </c>
      <c r="CK420" s="2">
        <v>0.0</v>
      </c>
      <c r="CL420" s="2">
        <v>0.0</v>
      </c>
      <c r="CM420" s="2">
        <v>41.0</v>
      </c>
      <c r="CN420" s="2">
        <v>1.0</v>
      </c>
      <c r="CO420" s="2">
        <v>0.0</v>
      </c>
      <c r="CP420" s="2">
        <v>0.0</v>
      </c>
      <c r="CQ420" s="2">
        <v>0.0</v>
      </c>
      <c r="CR420" s="2">
        <v>1.0</v>
      </c>
      <c r="CS420" s="2">
        <v>0.0</v>
      </c>
      <c r="CT420" s="2">
        <v>0.0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 t="s">
        <v>2025</v>
      </c>
      <c r="DD420" s="2">
        <v>41.0</v>
      </c>
      <c r="DE420" s="2">
        <v>0.0</v>
      </c>
      <c r="DF420" s="2">
        <v>0.0</v>
      </c>
      <c r="DG420" s="2">
        <v>4.0</v>
      </c>
      <c r="DH420" s="2">
        <v>4.0</v>
      </c>
      <c r="DI420" s="2">
        <v>0.0</v>
      </c>
      <c r="DJ420" s="2">
        <v>0.0</v>
      </c>
      <c r="DK420" s="2">
        <v>1.0</v>
      </c>
      <c r="DL420" s="2">
        <v>0.0</v>
      </c>
      <c r="DM420" s="2">
        <v>0.0</v>
      </c>
      <c r="DN420" s="2">
        <v>0.0</v>
      </c>
      <c r="DO420" s="2">
        <v>0.0</v>
      </c>
      <c r="DP420" s="2">
        <v>0.0</v>
      </c>
      <c r="DQ420" s="2">
        <v>8.0</v>
      </c>
      <c r="DR420" s="2">
        <v>0.0</v>
      </c>
      <c r="DS420" s="2">
        <v>54.0</v>
      </c>
      <c r="DT420" s="2">
        <v>383.0</v>
      </c>
      <c r="DU420" s="2">
        <v>2.0</v>
      </c>
      <c r="DV420" s="2">
        <v>0.0</v>
      </c>
      <c r="DW420" s="2">
        <v>1.0</v>
      </c>
      <c r="DX420" s="2">
        <v>2.0</v>
      </c>
      <c r="DY420" s="2">
        <v>1.0</v>
      </c>
      <c r="DZ420" s="2">
        <v>4.0</v>
      </c>
      <c r="EA420" s="2">
        <v>16.0</v>
      </c>
      <c r="EB420" s="2">
        <v>0.0</v>
      </c>
      <c r="EC420" s="2">
        <v>327.0</v>
      </c>
      <c r="EE420" s="2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2">
        <v>2025.0</v>
      </c>
      <c r="B421" s="2">
        <v>14.0</v>
      </c>
      <c r="C421" s="2" t="s">
        <v>253</v>
      </c>
      <c r="D421" s="2" t="s">
        <v>390</v>
      </c>
      <c r="E421" s="2" t="s">
        <v>1036</v>
      </c>
      <c r="F421" s="2" t="s">
        <v>144</v>
      </c>
      <c r="G421" s="2">
        <v>11.0</v>
      </c>
      <c r="H421" s="2">
        <v>24.0</v>
      </c>
      <c r="I421" s="2">
        <v>108.0</v>
      </c>
      <c r="J421" s="2">
        <v>0.0</v>
      </c>
      <c r="K421" s="2">
        <v>2.0</v>
      </c>
      <c r="L421" s="2">
        <v>2.0</v>
      </c>
      <c r="M421" s="2">
        <v>-9.0</v>
      </c>
      <c r="N421" s="2">
        <v>0.0</v>
      </c>
      <c r="O421" s="2">
        <v>0.0</v>
      </c>
      <c r="P421" s="2">
        <v>115.0</v>
      </c>
      <c r="Q421" s="2">
        <v>54.0</v>
      </c>
      <c r="R421" s="2">
        <v>6.0</v>
      </c>
      <c r="S421" s="2">
        <v>-17.1245948243886</v>
      </c>
      <c r="T421" s="2">
        <v>-17.4690575897694</v>
      </c>
      <c r="U421" s="2">
        <v>0.0</v>
      </c>
      <c r="V421" s="2">
        <v>5.0</v>
      </c>
      <c r="W421" s="2">
        <v>2.0</v>
      </c>
      <c r="X421" s="2">
        <v>1.0</v>
      </c>
      <c r="Y421" s="2">
        <v>0.0</v>
      </c>
      <c r="Z421" s="2">
        <v>23.0</v>
      </c>
      <c r="AA421" s="2">
        <v>107.0</v>
      </c>
      <c r="AB421" s="2">
        <v>0.0</v>
      </c>
      <c r="AC421" s="2">
        <v>1.0</v>
      </c>
      <c r="AD421" s="2">
        <v>1.0</v>
      </c>
      <c r="AE421" s="2">
        <v>4.0</v>
      </c>
      <c r="AF421" s="2">
        <v>-4.04980926169083</v>
      </c>
      <c r="AG421" s="2">
        <v>0.0</v>
      </c>
      <c r="AH421" s="2">
        <v>3.0</v>
      </c>
      <c r="AI421" s="2">
        <v>1.0</v>
      </c>
      <c r="AJ421" s="2">
        <v>0.0</v>
      </c>
      <c r="AK421" s="2">
        <v>0.0</v>
      </c>
      <c r="AL421" s="2">
        <v>11.0</v>
      </c>
      <c r="AM421" s="2">
        <v>20.0</v>
      </c>
      <c r="AN421" s="2">
        <v>108.0</v>
      </c>
      <c r="AO421" s="2">
        <v>0.0</v>
      </c>
      <c r="AP421" s="2">
        <v>0.0</v>
      </c>
      <c r="AQ421" s="2">
        <v>0.0</v>
      </c>
      <c r="AR421" s="2">
        <v>115.0</v>
      </c>
      <c r="AS421" s="2">
        <v>54.0</v>
      </c>
      <c r="AT421" s="2">
        <v>6.0</v>
      </c>
      <c r="AU421" s="2">
        <v>-10.0052120831097</v>
      </c>
      <c r="AV421" s="2">
        <v>0.0</v>
      </c>
      <c r="AW421" s="2">
        <v>5.0</v>
      </c>
      <c r="AX421" s="2">
        <v>2.0</v>
      </c>
      <c r="AY421" s="2">
        <v>1.0</v>
      </c>
      <c r="AZ421" s="2">
        <v>0.0</v>
      </c>
      <c r="BA421" s="2">
        <v>0.0</v>
      </c>
      <c r="BB421" s="2">
        <v>32.0</v>
      </c>
      <c r="BC421" s="2">
        <v>1.0</v>
      </c>
      <c r="BD421" s="2">
        <v>37.0</v>
      </c>
      <c r="BE421" s="2">
        <v>3.0</v>
      </c>
      <c r="BF421" s="2">
        <v>14.0</v>
      </c>
      <c r="BG421" s="2">
        <v>0.0</v>
      </c>
      <c r="BH421" s="2">
        <v>4.0</v>
      </c>
      <c r="BI421" s="2">
        <v>12.0</v>
      </c>
      <c r="BJ421" s="2">
        <v>6.0</v>
      </c>
      <c r="BK421" s="2">
        <v>0.0</v>
      </c>
      <c r="BL421" s="2">
        <v>0.0</v>
      </c>
      <c r="BM421" s="2">
        <v>5.0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4.0</v>
      </c>
      <c r="BX421" s="2">
        <v>34.0</v>
      </c>
      <c r="BY421" s="2">
        <v>1.0</v>
      </c>
      <c r="BZ421" s="2">
        <v>1.0</v>
      </c>
      <c r="CA421" s="2">
        <v>0.0</v>
      </c>
      <c r="CB421" s="2">
        <v>0.0</v>
      </c>
      <c r="CC421" s="2">
        <v>1.0</v>
      </c>
      <c r="CD421" s="2">
        <v>1.0</v>
      </c>
      <c r="CE421" s="2">
        <v>0.0</v>
      </c>
      <c r="CF421" s="2">
        <v>0.0</v>
      </c>
      <c r="CG421" s="2">
        <v>4.0</v>
      </c>
      <c r="CH421" s="2">
        <v>87.0</v>
      </c>
      <c r="CI421" s="2">
        <v>0.0</v>
      </c>
      <c r="CJ421" s="2">
        <v>0.0</v>
      </c>
      <c r="CK421" s="2">
        <v>0.0</v>
      </c>
      <c r="CL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D421" s="2">
        <v>0.0</v>
      </c>
      <c r="DE421" s="2">
        <v>0.0</v>
      </c>
      <c r="DF421" s="2">
        <v>0.0</v>
      </c>
      <c r="DG421" s="2">
        <v>0.0</v>
      </c>
      <c r="DH421" s="2">
        <v>0.0</v>
      </c>
      <c r="DI421" s="2">
        <v>0.0</v>
      </c>
      <c r="DJ421" s="2">
        <v>0.0</v>
      </c>
      <c r="DL421" s="2">
        <v>0.0</v>
      </c>
      <c r="DM421" s="2">
        <v>0.0</v>
      </c>
      <c r="DN421" s="2">
        <v>0.0</v>
      </c>
      <c r="DO421" s="2">
        <v>0.0</v>
      </c>
      <c r="DP421" s="2">
        <v>0.0</v>
      </c>
      <c r="DQ421" s="2">
        <v>3.0</v>
      </c>
      <c r="DR421" s="2">
        <v>0.0</v>
      </c>
      <c r="DS421" s="2">
        <v>49.0</v>
      </c>
      <c r="DT421" s="2">
        <v>140.0</v>
      </c>
      <c r="DU421" s="2">
        <v>1.0</v>
      </c>
      <c r="DV421" s="2">
        <v>0.0</v>
      </c>
      <c r="DW421" s="2">
        <v>0.0</v>
      </c>
      <c r="DX421" s="2">
        <v>0.0</v>
      </c>
      <c r="DY421" s="2">
        <v>1.0</v>
      </c>
      <c r="DZ421" s="2">
        <v>2.0</v>
      </c>
      <c r="EA421" s="2">
        <v>8.0</v>
      </c>
      <c r="EB421" s="2">
        <v>0.0</v>
      </c>
      <c r="EC421" s="2">
        <v>132.0</v>
      </c>
      <c r="EE421" s="2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2">
        <v>2025.0</v>
      </c>
      <c r="B422" s="2">
        <v>15.0</v>
      </c>
      <c r="C422" s="2" t="s">
        <v>178</v>
      </c>
      <c r="D422" s="2" t="s">
        <v>390</v>
      </c>
      <c r="E422" s="2" t="s">
        <v>1061</v>
      </c>
      <c r="F422" s="2" t="s">
        <v>140</v>
      </c>
      <c r="G422" s="2">
        <v>27.0</v>
      </c>
      <c r="H422" s="2">
        <v>40.0</v>
      </c>
      <c r="I422" s="2">
        <v>249.0</v>
      </c>
      <c r="J422" s="2">
        <v>3.0</v>
      </c>
      <c r="K422" s="2">
        <v>1.0</v>
      </c>
      <c r="L422" s="2">
        <v>2.0</v>
      </c>
      <c r="M422" s="2">
        <v>-14.0</v>
      </c>
      <c r="N422" s="2">
        <v>0.0</v>
      </c>
      <c r="O422" s="2">
        <v>0.0</v>
      </c>
      <c r="P422" s="2">
        <v>256.0</v>
      </c>
      <c r="Q422" s="2">
        <v>141.0</v>
      </c>
      <c r="R422" s="2">
        <v>14.0</v>
      </c>
      <c r="S422" s="2">
        <v>-1.79121373484656</v>
      </c>
      <c r="T422" s="2">
        <v>1.15471011713931</v>
      </c>
      <c r="U422" s="2">
        <v>0.0</v>
      </c>
      <c r="V422" s="2">
        <v>12.0</v>
      </c>
      <c r="W422" s="2">
        <v>7.0</v>
      </c>
      <c r="X422" s="2">
        <v>3.0</v>
      </c>
      <c r="Y422" s="2">
        <v>0.0</v>
      </c>
      <c r="Z422" s="2">
        <v>21.0</v>
      </c>
      <c r="AA422" s="2">
        <v>72.0</v>
      </c>
      <c r="AB422" s="2">
        <v>0.0</v>
      </c>
      <c r="AC422" s="2">
        <v>0.0</v>
      </c>
      <c r="AD422" s="2">
        <v>0.0</v>
      </c>
      <c r="AE422" s="2">
        <v>6.0</v>
      </c>
      <c r="AF422" s="2">
        <v>2.56429830048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27.0</v>
      </c>
      <c r="AM422" s="2">
        <v>38.0</v>
      </c>
      <c r="AN422" s="2">
        <v>249.0</v>
      </c>
      <c r="AO422" s="2">
        <v>3.0</v>
      </c>
      <c r="AP422" s="2">
        <v>0.0</v>
      </c>
      <c r="AQ422" s="2">
        <v>0.0</v>
      </c>
      <c r="AR422" s="2">
        <v>256.0</v>
      </c>
      <c r="AS422" s="2">
        <v>141.0</v>
      </c>
      <c r="AT422" s="2">
        <v>14.0</v>
      </c>
      <c r="AU422" s="2">
        <v>3.31917515663384</v>
      </c>
      <c r="AV422" s="2">
        <v>0.0</v>
      </c>
      <c r="AW422" s="2">
        <v>12.0</v>
      </c>
      <c r="AX422" s="2">
        <v>7.0</v>
      </c>
      <c r="AY422" s="2">
        <v>3.0</v>
      </c>
      <c r="AZ422" s="2">
        <v>0.0</v>
      </c>
      <c r="BA422" s="2">
        <v>0.0</v>
      </c>
      <c r="BB422" s="2">
        <v>35.0</v>
      </c>
      <c r="BC422" s="2">
        <v>0.0</v>
      </c>
      <c r="BD422" s="2">
        <v>38.0</v>
      </c>
      <c r="BE422" s="2">
        <v>3.0</v>
      </c>
      <c r="BF422" s="2">
        <v>13.0</v>
      </c>
      <c r="BG422" s="2">
        <v>0.0</v>
      </c>
      <c r="BH422" s="2">
        <v>1.0</v>
      </c>
      <c r="BI422" s="2">
        <v>4.0</v>
      </c>
      <c r="BJ422" s="2">
        <v>2.0</v>
      </c>
      <c r="BK422" s="2">
        <v>0.0</v>
      </c>
      <c r="BL422" s="2">
        <v>0.0</v>
      </c>
      <c r="BM422" s="2">
        <v>3.0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2.0</v>
      </c>
      <c r="BX422" s="2">
        <v>34.0</v>
      </c>
      <c r="BY422" s="2">
        <v>5.0</v>
      </c>
      <c r="BZ422" s="2">
        <v>1.0</v>
      </c>
      <c r="CA422" s="2">
        <v>0.0</v>
      </c>
      <c r="CB422" s="2">
        <v>0.0</v>
      </c>
      <c r="CC422" s="2">
        <v>1.0</v>
      </c>
      <c r="CD422" s="2">
        <v>1.0</v>
      </c>
      <c r="CE422" s="2">
        <v>0.0</v>
      </c>
      <c r="CF422" s="2">
        <v>0.0</v>
      </c>
      <c r="CG422" s="2">
        <v>8.0</v>
      </c>
      <c r="CH422" s="2">
        <v>207.0</v>
      </c>
      <c r="CI422" s="2">
        <v>0.0</v>
      </c>
      <c r="CJ422" s="2">
        <v>0.0</v>
      </c>
      <c r="CK422" s="2">
        <v>0.0</v>
      </c>
      <c r="CL422" s="2">
        <v>0.0</v>
      </c>
      <c r="CO422" s="2">
        <v>0.0</v>
      </c>
      <c r="CP422" s="2">
        <v>0.0</v>
      </c>
      <c r="CQ422" s="2">
        <v>0.0</v>
      </c>
      <c r="CR422" s="2">
        <v>0.0</v>
      </c>
      <c r="CS422" s="2">
        <v>0.0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D422" s="2">
        <v>0.0</v>
      </c>
      <c r="DE422" s="2">
        <v>0.0</v>
      </c>
      <c r="DF422" s="2">
        <v>0.0</v>
      </c>
      <c r="DG422" s="2">
        <v>2.0</v>
      </c>
      <c r="DH422" s="2">
        <v>2.0</v>
      </c>
      <c r="DI422" s="2">
        <v>0.0</v>
      </c>
      <c r="DJ422" s="2">
        <v>0.0</v>
      </c>
      <c r="DK422" s="2">
        <v>1.0</v>
      </c>
      <c r="DL422" s="2">
        <v>0.0</v>
      </c>
      <c r="DM422" s="2">
        <v>0.0</v>
      </c>
      <c r="DN422" s="2">
        <v>0.0</v>
      </c>
      <c r="DO422" s="2">
        <v>0.0</v>
      </c>
      <c r="DP422" s="2">
        <v>0.0</v>
      </c>
      <c r="DQ422" s="2">
        <v>3.0</v>
      </c>
      <c r="DR422" s="2">
        <v>0.0</v>
      </c>
      <c r="DS422" s="2">
        <v>56.0</v>
      </c>
      <c r="DT422" s="2">
        <v>135.0</v>
      </c>
      <c r="DU422" s="2">
        <v>0.0</v>
      </c>
      <c r="DV422" s="2">
        <v>1.0</v>
      </c>
      <c r="DW422" s="2">
        <v>1.0</v>
      </c>
      <c r="DX422" s="2">
        <v>0.0</v>
      </c>
      <c r="DY422" s="2">
        <v>0.0</v>
      </c>
      <c r="DZ422" s="2">
        <v>1.0</v>
      </c>
      <c r="EA422" s="2">
        <v>13.0</v>
      </c>
      <c r="EB422" s="2">
        <v>0.0</v>
      </c>
      <c r="EC422" s="2">
        <v>122.0</v>
      </c>
      <c r="EE422" s="2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2">
        <v>2025.0</v>
      </c>
      <c r="B423" s="2">
        <v>15.0</v>
      </c>
      <c r="C423" s="2" t="s">
        <v>132</v>
      </c>
      <c r="D423" s="2" t="s">
        <v>390</v>
      </c>
      <c r="E423" s="2" t="s">
        <v>1053</v>
      </c>
      <c r="F423" s="2" t="s">
        <v>150</v>
      </c>
      <c r="G423" s="2">
        <v>30.0</v>
      </c>
      <c r="H423" s="2">
        <v>44.0</v>
      </c>
      <c r="I423" s="2">
        <v>373.0</v>
      </c>
      <c r="J423" s="2">
        <v>3.0</v>
      </c>
      <c r="K423" s="2">
        <v>0.0</v>
      </c>
      <c r="L423" s="2">
        <v>1.0</v>
      </c>
      <c r="M423" s="2">
        <v>-8.0</v>
      </c>
      <c r="N423" s="2">
        <v>1.0</v>
      </c>
      <c r="O423" s="2">
        <v>0.0</v>
      </c>
      <c r="P423" s="2">
        <v>337.0</v>
      </c>
      <c r="Q423" s="2">
        <v>208.0</v>
      </c>
      <c r="R423" s="2">
        <v>19.0</v>
      </c>
      <c r="S423" s="2">
        <v>17.2453829101172</v>
      </c>
      <c r="T423" s="2">
        <v>7.69792497158051</v>
      </c>
      <c r="U423" s="2">
        <v>0.0</v>
      </c>
      <c r="V423" s="2">
        <v>16.0</v>
      </c>
      <c r="W423" s="2">
        <v>10.0</v>
      </c>
      <c r="X423" s="2">
        <v>5.0</v>
      </c>
      <c r="Y423" s="2">
        <v>0.0</v>
      </c>
      <c r="Z423" s="2">
        <v>21.0</v>
      </c>
      <c r="AA423" s="2">
        <v>111.0</v>
      </c>
      <c r="AB423" s="2">
        <v>1.0</v>
      </c>
      <c r="AC423" s="2">
        <v>0.0</v>
      </c>
      <c r="AD423" s="2">
        <v>0.0</v>
      </c>
      <c r="AE423" s="2">
        <v>6.0</v>
      </c>
      <c r="AF423" s="2">
        <v>2.27574091684073</v>
      </c>
      <c r="AG423" s="2">
        <v>0.0</v>
      </c>
      <c r="AH423" s="2">
        <v>4.0</v>
      </c>
      <c r="AI423" s="2">
        <v>3.0</v>
      </c>
      <c r="AJ423" s="2">
        <v>0.0</v>
      </c>
      <c r="AK423" s="2">
        <v>0.0</v>
      </c>
      <c r="AL423" s="2">
        <v>30.0</v>
      </c>
      <c r="AM423" s="2">
        <v>41.0</v>
      </c>
      <c r="AN423" s="2">
        <v>373.0</v>
      </c>
      <c r="AO423" s="2">
        <v>3.0</v>
      </c>
      <c r="AP423" s="2">
        <v>2.0</v>
      </c>
      <c r="AQ423" s="2">
        <v>1.0</v>
      </c>
      <c r="AR423" s="2">
        <v>337.0</v>
      </c>
      <c r="AS423" s="2">
        <v>208.0</v>
      </c>
      <c r="AT423" s="2">
        <v>19.0</v>
      </c>
      <c r="AU423" s="2">
        <v>16.2474081352414</v>
      </c>
      <c r="AV423" s="2">
        <v>0.0</v>
      </c>
      <c r="AW423" s="2">
        <v>16.0</v>
      </c>
      <c r="AX423" s="2">
        <v>10.0</v>
      </c>
      <c r="AY423" s="2">
        <v>5.0</v>
      </c>
      <c r="AZ423" s="2">
        <v>0.0</v>
      </c>
      <c r="BA423" s="2">
        <v>0.0</v>
      </c>
      <c r="BB423" s="2">
        <v>38.0</v>
      </c>
      <c r="BC423" s="2">
        <v>0.0</v>
      </c>
      <c r="BD423" s="2">
        <v>16.0</v>
      </c>
      <c r="BE423" s="2">
        <v>7.0</v>
      </c>
      <c r="BF423" s="2">
        <v>37.0</v>
      </c>
      <c r="BG423" s="2">
        <v>0.0</v>
      </c>
      <c r="BH423" s="2">
        <v>5.0</v>
      </c>
      <c r="BI423" s="2">
        <v>27.0</v>
      </c>
      <c r="BJ423" s="2">
        <v>7.0</v>
      </c>
      <c r="BK423" s="2">
        <v>1.0</v>
      </c>
      <c r="BL423" s="2">
        <v>0.0</v>
      </c>
      <c r="BM423" s="2">
        <v>7.0</v>
      </c>
      <c r="BN423" s="2">
        <v>0.0</v>
      </c>
      <c r="BO423" s="2">
        <v>0.0</v>
      </c>
      <c r="BP423" s="2">
        <v>0.0</v>
      </c>
      <c r="BQ423" s="2">
        <v>0.0</v>
      </c>
      <c r="BR423" s="2">
        <v>2.0</v>
      </c>
      <c r="BS423" s="2">
        <v>0.0</v>
      </c>
      <c r="BT423" s="2">
        <v>0.0</v>
      </c>
      <c r="BU423" s="2">
        <v>0.0</v>
      </c>
      <c r="BV423" s="2">
        <v>0.0</v>
      </c>
      <c r="BW423" s="2">
        <v>19.0</v>
      </c>
      <c r="BX423" s="2">
        <v>125.0</v>
      </c>
      <c r="BY423" s="2">
        <v>4.0</v>
      </c>
      <c r="BZ423" s="2">
        <v>3.0</v>
      </c>
      <c r="CA423" s="2">
        <v>0.0</v>
      </c>
      <c r="CB423" s="2">
        <v>0.0</v>
      </c>
      <c r="CC423" s="2">
        <v>3.0</v>
      </c>
      <c r="CD423" s="2">
        <v>1.0</v>
      </c>
      <c r="CE423" s="2">
        <v>2.0</v>
      </c>
      <c r="CF423" s="2">
        <v>20.0</v>
      </c>
      <c r="CG423" s="2">
        <v>0.0</v>
      </c>
      <c r="CH423" s="2">
        <v>0.0</v>
      </c>
      <c r="CI423" s="2">
        <v>1.0</v>
      </c>
      <c r="CJ423" s="2">
        <v>1.0</v>
      </c>
      <c r="CK423" s="2">
        <v>0.0</v>
      </c>
      <c r="CL423" s="2">
        <v>0.0</v>
      </c>
      <c r="CM423" s="2">
        <v>43.0</v>
      </c>
      <c r="CN423" s="2">
        <v>1.0</v>
      </c>
      <c r="CO423" s="2">
        <v>0.0</v>
      </c>
      <c r="CP423" s="2">
        <v>0.0</v>
      </c>
      <c r="CQ423" s="2">
        <v>0.0</v>
      </c>
      <c r="CR423" s="2">
        <v>1.0</v>
      </c>
      <c r="CS423" s="2">
        <v>0.0</v>
      </c>
      <c r="CT423" s="2">
        <v>0.0</v>
      </c>
      <c r="CU423" s="2">
        <v>0.0</v>
      </c>
      <c r="CV423" s="2">
        <v>0.0</v>
      </c>
      <c r="CW423" s="2">
        <v>0.0</v>
      </c>
      <c r="CX423" s="2">
        <v>0.0</v>
      </c>
      <c r="CY423" s="2">
        <v>0.0</v>
      </c>
      <c r="CZ423" s="2">
        <v>0.0</v>
      </c>
      <c r="DA423" s="2" t="s">
        <v>2033</v>
      </c>
      <c r="DD423" s="2">
        <v>43.0</v>
      </c>
      <c r="DE423" s="2">
        <v>0.0</v>
      </c>
      <c r="DF423" s="2">
        <v>0.0</v>
      </c>
      <c r="DG423" s="2">
        <v>2.0</v>
      </c>
      <c r="DH423" s="2">
        <v>2.0</v>
      </c>
      <c r="DI423" s="2">
        <v>0.0</v>
      </c>
      <c r="DJ423" s="2">
        <v>0.0</v>
      </c>
      <c r="DK423" s="2">
        <v>1.0</v>
      </c>
      <c r="DL423" s="2">
        <v>1.0</v>
      </c>
      <c r="DM423" s="2">
        <v>1.0</v>
      </c>
      <c r="DN423" s="2">
        <v>0.0</v>
      </c>
      <c r="DO423" s="2">
        <v>0.0</v>
      </c>
      <c r="DP423" s="2">
        <v>43.0</v>
      </c>
      <c r="DQ423" s="2">
        <v>4.0</v>
      </c>
      <c r="DR423" s="2">
        <v>0.0</v>
      </c>
      <c r="DS423" s="2">
        <v>53.0</v>
      </c>
      <c r="DT423" s="2">
        <v>170.0</v>
      </c>
      <c r="DU423" s="2">
        <v>2.0</v>
      </c>
      <c r="DV423" s="2">
        <v>0.0</v>
      </c>
      <c r="DW423" s="2">
        <v>0.0</v>
      </c>
      <c r="DX423" s="2">
        <v>2.0</v>
      </c>
      <c r="DY423" s="2">
        <v>1.0</v>
      </c>
      <c r="DZ423" s="2">
        <v>1.0</v>
      </c>
      <c r="EA423" s="2">
        <v>0.0</v>
      </c>
      <c r="EB423" s="2">
        <v>0.0</v>
      </c>
      <c r="EC423" s="2">
        <v>130.0</v>
      </c>
      <c r="EE423" s="2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2">
        <v>2025.0</v>
      </c>
      <c r="B424" s="2">
        <v>15.0</v>
      </c>
      <c r="C424" s="2" t="s">
        <v>148</v>
      </c>
      <c r="D424" s="2" t="s">
        <v>390</v>
      </c>
      <c r="E424" s="2" t="s">
        <v>1059</v>
      </c>
      <c r="F424" s="2" t="s">
        <v>138</v>
      </c>
      <c r="G424" s="2">
        <v>8.0</v>
      </c>
      <c r="H424" s="2">
        <v>12.0</v>
      </c>
      <c r="I424" s="2">
        <v>150.0</v>
      </c>
      <c r="J424" s="2">
        <v>2.0</v>
      </c>
      <c r="K424" s="2">
        <v>1.0</v>
      </c>
      <c r="L424" s="2">
        <v>4.0</v>
      </c>
      <c r="M424" s="2">
        <v>-22.0</v>
      </c>
      <c r="N424" s="2">
        <v>1.0</v>
      </c>
      <c r="O424" s="2">
        <v>0.0</v>
      </c>
      <c r="P424" s="2">
        <v>129.0</v>
      </c>
      <c r="Q424" s="2">
        <v>62.0</v>
      </c>
      <c r="R424" s="2">
        <v>6.0</v>
      </c>
      <c r="S424" s="2">
        <v>0.0706165007556265</v>
      </c>
      <c r="T424" s="2">
        <v>6.79906954367956</v>
      </c>
      <c r="U424" s="2">
        <v>0.0</v>
      </c>
      <c r="V424" s="2">
        <v>6.0</v>
      </c>
      <c r="W424" s="2">
        <v>4.0</v>
      </c>
      <c r="X424" s="2">
        <v>4.0</v>
      </c>
      <c r="Y424" s="2">
        <v>0.0</v>
      </c>
      <c r="Z424" s="2">
        <v>24.0</v>
      </c>
      <c r="AA424" s="2">
        <v>189.0</v>
      </c>
      <c r="AB424" s="2">
        <v>0.0</v>
      </c>
      <c r="AC424" s="2">
        <v>0.0</v>
      </c>
      <c r="AD424" s="2">
        <v>0.0</v>
      </c>
      <c r="AE424" s="2">
        <v>9.0</v>
      </c>
      <c r="AF424" s="2">
        <v>5.19007565756328</v>
      </c>
      <c r="AG424" s="2">
        <v>0.0</v>
      </c>
      <c r="AH424" s="2">
        <v>8.0</v>
      </c>
      <c r="AI424" s="2">
        <v>7.0</v>
      </c>
      <c r="AJ424" s="2">
        <v>4.0</v>
      </c>
      <c r="AK424" s="2">
        <v>0.0</v>
      </c>
      <c r="AL424" s="2">
        <v>8.0</v>
      </c>
      <c r="AM424" s="2">
        <v>12.0</v>
      </c>
      <c r="AN424" s="2">
        <v>150.0</v>
      </c>
      <c r="AO424" s="2">
        <v>2.0</v>
      </c>
      <c r="AP424" s="2">
        <v>0.0</v>
      </c>
      <c r="AQ424" s="2">
        <v>0.0</v>
      </c>
      <c r="AR424" s="2">
        <v>129.0</v>
      </c>
      <c r="AS424" s="2">
        <v>62.0</v>
      </c>
      <c r="AT424" s="2">
        <v>6.0</v>
      </c>
      <c r="AU424" s="2">
        <v>6.24194122753185</v>
      </c>
      <c r="AV424" s="2">
        <v>0.0</v>
      </c>
      <c r="AW424" s="2">
        <v>6.0</v>
      </c>
      <c r="AX424" s="2">
        <v>4.0</v>
      </c>
      <c r="AY424" s="2">
        <v>4.0</v>
      </c>
      <c r="AZ424" s="2">
        <v>0.0</v>
      </c>
      <c r="BA424" s="2">
        <v>0.0</v>
      </c>
      <c r="BB424" s="2">
        <v>44.0</v>
      </c>
      <c r="BC424" s="2">
        <v>0.0</v>
      </c>
      <c r="BD424" s="2">
        <v>40.0</v>
      </c>
      <c r="BE424" s="2">
        <v>3.0</v>
      </c>
      <c r="BF424" s="2">
        <v>27.0</v>
      </c>
      <c r="BG424" s="2">
        <v>1.0</v>
      </c>
      <c r="BH424" s="2">
        <v>3.0</v>
      </c>
      <c r="BI424" s="2">
        <v>27.0</v>
      </c>
      <c r="BJ424" s="2">
        <v>10.0</v>
      </c>
      <c r="BK424" s="2">
        <v>2.0</v>
      </c>
      <c r="BL424" s="2">
        <v>116.0</v>
      </c>
      <c r="BM424" s="2">
        <v>5.0</v>
      </c>
      <c r="BN424" s="2">
        <v>1.0</v>
      </c>
      <c r="BO424" s="2">
        <v>0.0</v>
      </c>
      <c r="BP424" s="2">
        <v>0.0</v>
      </c>
      <c r="BQ424" s="2">
        <v>0.0</v>
      </c>
      <c r="BR424" s="2">
        <v>1.0</v>
      </c>
      <c r="BS424" s="2">
        <v>0.0</v>
      </c>
      <c r="BT424" s="2">
        <v>0.0</v>
      </c>
      <c r="BU424" s="2">
        <v>0.0</v>
      </c>
      <c r="BV424" s="2">
        <v>0.0</v>
      </c>
      <c r="BW424" s="2">
        <v>2.0</v>
      </c>
      <c r="BX424" s="2">
        <v>10.0</v>
      </c>
      <c r="BY424" s="2">
        <v>3.0</v>
      </c>
      <c r="BZ424" s="2">
        <v>1.0</v>
      </c>
      <c r="CA424" s="2">
        <v>0.0</v>
      </c>
      <c r="CB424" s="2">
        <v>0.0</v>
      </c>
      <c r="CC424" s="2">
        <v>1.0</v>
      </c>
      <c r="CD424" s="2">
        <v>0.0</v>
      </c>
      <c r="CE424" s="2">
        <v>0.0</v>
      </c>
      <c r="CF424" s="2">
        <v>0.0</v>
      </c>
      <c r="CG424" s="2">
        <v>1.0</v>
      </c>
      <c r="CH424" s="2">
        <v>32.0</v>
      </c>
      <c r="CI424" s="2">
        <v>1.0</v>
      </c>
      <c r="CJ424" s="2">
        <v>1.0</v>
      </c>
      <c r="CK424" s="2">
        <v>0.0</v>
      </c>
      <c r="CL424" s="2">
        <v>0.0</v>
      </c>
      <c r="CM424" s="2">
        <v>27.0</v>
      </c>
      <c r="CN424" s="2">
        <v>1.0</v>
      </c>
      <c r="CO424" s="2">
        <v>0.0</v>
      </c>
      <c r="CP424" s="2">
        <v>1.0</v>
      </c>
      <c r="CQ424" s="2">
        <v>0.0</v>
      </c>
      <c r="CR424" s="2">
        <v>0.0</v>
      </c>
      <c r="CS424" s="2">
        <v>0.0</v>
      </c>
      <c r="CT424" s="2">
        <v>0.0</v>
      </c>
      <c r="CU424" s="2">
        <v>0.0</v>
      </c>
      <c r="CV424" s="2">
        <v>0.0</v>
      </c>
      <c r="CW424" s="2">
        <v>0.0</v>
      </c>
      <c r="CX424" s="2">
        <v>0.0</v>
      </c>
      <c r="CY424" s="2">
        <v>0.0</v>
      </c>
      <c r="CZ424" s="2">
        <v>0.0</v>
      </c>
      <c r="DA424" s="2" t="s">
        <v>1992</v>
      </c>
      <c r="DD424" s="2">
        <v>27.0</v>
      </c>
      <c r="DE424" s="2">
        <v>0.0</v>
      </c>
      <c r="DF424" s="2">
        <v>0.0</v>
      </c>
      <c r="DG424" s="2">
        <v>3.0</v>
      </c>
      <c r="DH424" s="2">
        <v>3.0</v>
      </c>
      <c r="DI424" s="2">
        <v>0.0</v>
      </c>
      <c r="DJ424" s="2">
        <v>0.0</v>
      </c>
      <c r="DK424" s="2">
        <v>1.0</v>
      </c>
      <c r="DL424" s="2">
        <v>0.0</v>
      </c>
      <c r="DM424" s="2">
        <v>0.0</v>
      </c>
      <c r="DN424" s="2">
        <v>0.0</v>
      </c>
      <c r="DO424" s="2">
        <v>0.0</v>
      </c>
      <c r="DP424" s="2">
        <v>0.0</v>
      </c>
      <c r="DQ424" s="2">
        <v>3.0</v>
      </c>
      <c r="DR424" s="2">
        <v>0.0</v>
      </c>
      <c r="DS424" s="2">
        <v>53.0</v>
      </c>
      <c r="DT424" s="2">
        <v>135.0</v>
      </c>
      <c r="DU424" s="2">
        <v>1.0</v>
      </c>
      <c r="DV424" s="2">
        <v>0.0</v>
      </c>
      <c r="DW424" s="2">
        <v>0.0</v>
      </c>
      <c r="DX424" s="2">
        <v>1.0</v>
      </c>
      <c r="DY424" s="2">
        <v>1.0</v>
      </c>
      <c r="DZ424" s="2">
        <v>1.0</v>
      </c>
      <c r="EA424" s="2">
        <v>-2.0</v>
      </c>
      <c r="EB424" s="2">
        <v>0.0</v>
      </c>
      <c r="EC424" s="2">
        <v>117.0</v>
      </c>
      <c r="EE424" s="2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2">
        <v>2025.0</v>
      </c>
      <c r="B425" s="2">
        <v>15.0</v>
      </c>
      <c r="C425" s="2" t="s">
        <v>136</v>
      </c>
      <c r="D425" s="2" t="s">
        <v>390</v>
      </c>
      <c r="E425" s="2" t="s">
        <v>1069</v>
      </c>
      <c r="F425" s="2" t="s">
        <v>145</v>
      </c>
      <c r="G425" s="2">
        <v>19.0</v>
      </c>
      <c r="H425" s="2">
        <v>28.0</v>
      </c>
      <c r="I425" s="2">
        <v>193.0</v>
      </c>
      <c r="J425" s="2">
        <v>3.0</v>
      </c>
      <c r="K425" s="2">
        <v>0.0</v>
      </c>
      <c r="L425" s="2">
        <v>2.0</v>
      </c>
      <c r="M425" s="2">
        <v>-12.0</v>
      </c>
      <c r="N425" s="2">
        <v>0.0</v>
      </c>
      <c r="O425" s="2">
        <v>0.0</v>
      </c>
      <c r="P425" s="2">
        <v>270.0</v>
      </c>
      <c r="Q425" s="2">
        <v>102.0</v>
      </c>
      <c r="R425" s="2">
        <v>11.0</v>
      </c>
      <c r="S425" s="2">
        <v>9.45444467643392</v>
      </c>
      <c r="T425" s="2">
        <v>10.389750966659</v>
      </c>
      <c r="U425" s="2">
        <v>0.0</v>
      </c>
      <c r="V425" s="2">
        <v>8.0</v>
      </c>
      <c r="W425" s="2">
        <v>4.0</v>
      </c>
      <c r="X425" s="2">
        <v>2.0</v>
      </c>
      <c r="Y425" s="2">
        <v>0.0</v>
      </c>
      <c r="Z425" s="2">
        <v>37.0</v>
      </c>
      <c r="AA425" s="2">
        <v>168.0</v>
      </c>
      <c r="AB425" s="2">
        <v>2.0</v>
      </c>
      <c r="AC425" s="2">
        <v>0.0</v>
      </c>
      <c r="AD425" s="2">
        <v>0.0</v>
      </c>
      <c r="AE425" s="2">
        <v>9.0</v>
      </c>
      <c r="AF425" s="2">
        <v>3.45331100860494</v>
      </c>
      <c r="AG425" s="2">
        <v>0.0</v>
      </c>
      <c r="AH425" s="2">
        <v>4.0</v>
      </c>
      <c r="AI425" s="2">
        <v>2.0</v>
      </c>
      <c r="AJ425" s="2">
        <v>1.0</v>
      </c>
      <c r="AK425" s="2">
        <v>0.0</v>
      </c>
      <c r="AL425" s="2">
        <v>19.0</v>
      </c>
      <c r="AM425" s="2">
        <v>26.0</v>
      </c>
      <c r="AN425" s="2">
        <v>193.0</v>
      </c>
      <c r="AO425" s="2">
        <v>3.0</v>
      </c>
      <c r="AP425" s="2">
        <v>0.0</v>
      </c>
      <c r="AQ425" s="2">
        <v>0.0</v>
      </c>
      <c r="AR425" s="2">
        <v>270.0</v>
      </c>
      <c r="AS425" s="2">
        <v>102.0</v>
      </c>
      <c r="AT425" s="2">
        <v>11.0</v>
      </c>
      <c r="AU425" s="2">
        <v>13.6476196567237</v>
      </c>
      <c r="AV425" s="2">
        <v>0.0</v>
      </c>
      <c r="AW425" s="2">
        <v>8.0</v>
      </c>
      <c r="AX425" s="2">
        <v>4.0</v>
      </c>
      <c r="AY425" s="2">
        <v>2.0</v>
      </c>
      <c r="AZ425" s="2">
        <v>0.0</v>
      </c>
      <c r="BA425" s="2">
        <v>0.0</v>
      </c>
      <c r="BB425" s="2">
        <v>34.0</v>
      </c>
      <c r="BC425" s="2">
        <v>1.0</v>
      </c>
      <c r="BD425" s="2">
        <v>19.0</v>
      </c>
      <c r="BE425" s="2">
        <v>5.0</v>
      </c>
      <c r="BF425" s="2">
        <v>23.0</v>
      </c>
      <c r="BG425" s="2">
        <v>1.0</v>
      </c>
      <c r="BH425" s="2">
        <v>3.0</v>
      </c>
      <c r="BI425" s="2">
        <v>16.0</v>
      </c>
      <c r="BJ425" s="2">
        <v>5.0</v>
      </c>
      <c r="BK425" s="2">
        <v>1.0</v>
      </c>
      <c r="BL425" s="2">
        <v>0.0</v>
      </c>
      <c r="BM425" s="2">
        <v>3.0</v>
      </c>
      <c r="BN425" s="2">
        <v>0.0</v>
      </c>
      <c r="BO425" s="2">
        <v>0.0</v>
      </c>
      <c r="BP425" s="2">
        <v>0.0</v>
      </c>
      <c r="BQ425" s="2">
        <v>0.0</v>
      </c>
      <c r="BR425" s="2">
        <v>0.0</v>
      </c>
      <c r="BS425" s="2">
        <v>0.0</v>
      </c>
      <c r="BT425" s="2">
        <v>0.0</v>
      </c>
      <c r="BU425" s="2">
        <v>0.0</v>
      </c>
      <c r="BV425" s="2">
        <v>0.0</v>
      </c>
      <c r="BW425" s="2">
        <v>2.0</v>
      </c>
      <c r="BX425" s="2">
        <v>15.0</v>
      </c>
      <c r="BY425" s="2">
        <v>2.0</v>
      </c>
      <c r="BZ425" s="2">
        <v>0.0</v>
      </c>
      <c r="CA425" s="2">
        <v>0.0</v>
      </c>
      <c r="CB425" s="2">
        <v>0.0</v>
      </c>
      <c r="CC425" s="2">
        <v>0.0</v>
      </c>
      <c r="CD425" s="2">
        <v>0.0</v>
      </c>
      <c r="CE425" s="2">
        <v>1.0</v>
      </c>
      <c r="CF425" s="2">
        <v>12.0</v>
      </c>
      <c r="CG425" s="2">
        <v>4.0</v>
      </c>
      <c r="CH425" s="2">
        <v>164.0</v>
      </c>
      <c r="CI425" s="2">
        <v>0.0</v>
      </c>
      <c r="CJ425" s="2">
        <v>0.0</v>
      </c>
      <c r="CK425" s="2">
        <v>0.0</v>
      </c>
      <c r="CL425" s="2">
        <v>0.0</v>
      </c>
      <c r="CO425" s="2">
        <v>0.0</v>
      </c>
      <c r="CP425" s="2">
        <v>0.0</v>
      </c>
      <c r="CQ425" s="2">
        <v>0.0</v>
      </c>
      <c r="CR425" s="2">
        <v>0.0</v>
      </c>
      <c r="CS425" s="2">
        <v>0.0</v>
      </c>
      <c r="CT425" s="2">
        <v>0.0</v>
      </c>
      <c r="CU425" s="2">
        <v>0.0</v>
      </c>
      <c r="CV425" s="2">
        <v>0.0</v>
      </c>
      <c r="CW425" s="2">
        <v>0.0</v>
      </c>
      <c r="CX425" s="2">
        <v>0.0</v>
      </c>
      <c r="CY425" s="2">
        <v>0.0</v>
      </c>
      <c r="CZ425" s="2">
        <v>0.0</v>
      </c>
      <c r="DD425" s="2">
        <v>0.0</v>
      </c>
      <c r="DE425" s="2">
        <v>0.0</v>
      </c>
      <c r="DF425" s="2">
        <v>0.0</v>
      </c>
      <c r="DG425" s="2">
        <v>5.0</v>
      </c>
      <c r="DH425" s="2">
        <v>5.0</v>
      </c>
      <c r="DI425" s="2">
        <v>0.0</v>
      </c>
      <c r="DJ425" s="2">
        <v>0.0</v>
      </c>
      <c r="DK425" s="2">
        <v>1.0</v>
      </c>
      <c r="DL425" s="2">
        <v>0.0</v>
      </c>
      <c r="DM425" s="2">
        <v>0.0</v>
      </c>
      <c r="DN425" s="2">
        <v>0.0</v>
      </c>
      <c r="DO425" s="2">
        <v>0.0</v>
      </c>
      <c r="DP425" s="2">
        <v>0.0</v>
      </c>
      <c r="DQ425" s="2">
        <v>4.0</v>
      </c>
      <c r="DR425" s="2">
        <v>0.0</v>
      </c>
      <c r="DS425" s="2">
        <v>50.0</v>
      </c>
      <c r="DT425" s="2">
        <v>162.0</v>
      </c>
      <c r="DU425" s="2">
        <v>3.0</v>
      </c>
      <c r="DV425" s="2">
        <v>1.0</v>
      </c>
      <c r="DW425" s="2">
        <v>1.0</v>
      </c>
      <c r="DX425" s="2">
        <v>0.0</v>
      </c>
      <c r="DY425" s="2">
        <v>0.0</v>
      </c>
      <c r="DZ425" s="2">
        <v>2.0</v>
      </c>
      <c r="EA425" s="2">
        <v>5.0</v>
      </c>
      <c r="EB425" s="2">
        <v>0.0</v>
      </c>
      <c r="EC425" s="2">
        <v>157.0</v>
      </c>
      <c r="EE425" s="2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2">
        <v>2025.0</v>
      </c>
      <c r="B426" s="2">
        <v>15.0</v>
      </c>
      <c r="C426" s="2" t="s">
        <v>189</v>
      </c>
      <c r="D426" s="2" t="s">
        <v>390</v>
      </c>
      <c r="E426" s="2" t="s">
        <v>1081</v>
      </c>
      <c r="F426" s="2" t="s">
        <v>232</v>
      </c>
      <c r="G426" s="2">
        <v>15.0</v>
      </c>
      <c r="H426" s="2">
        <v>24.0</v>
      </c>
      <c r="I426" s="2">
        <v>163.0</v>
      </c>
      <c r="J426" s="2">
        <v>1.0</v>
      </c>
      <c r="K426" s="2">
        <v>0.0</v>
      </c>
      <c r="L426" s="2">
        <v>1.0</v>
      </c>
      <c r="M426" s="2">
        <v>-9.0</v>
      </c>
      <c r="N426" s="2">
        <v>0.0</v>
      </c>
      <c r="O426" s="2">
        <v>0.0</v>
      </c>
      <c r="P426" s="2">
        <v>205.0</v>
      </c>
      <c r="Q426" s="2">
        <v>50.0</v>
      </c>
      <c r="R426" s="2">
        <v>7.0</v>
      </c>
      <c r="S426" s="2">
        <v>7.69738770388504</v>
      </c>
      <c r="T426" s="2">
        <v>7.08888724446297</v>
      </c>
      <c r="U426" s="2">
        <v>0.0</v>
      </c>
      <c r="V426" s="2">
        <v>5.0</v>
      </c>
      <c r="W426" s="2">
        <v>4.0</v>
      </c>
      <c r="X426" s="2">
        <v>4.0</v>
      </c>
      <c r="Y426" s="2">
        <v>0.0</v>
      </c>
      <c r="Z426" s="2">
        <v>31.0</v>
      </c>
      <c r="AA426" s="2">
        <v>127.0</v>
      </c>
      <c r="AB426" s="2">
        <v>1.0</v>
      </c>
      <c r="AC426" s="2">
        <v>0.0</v>
      </c>
      <c r="AD426" s="2">
        <v>0.0</v>
      </c>
      <c r="AE426" s="2">
        <v>7.0</v>
      </c>
      <c r="AF426" s="2">
        <v>-1.51653360005002</v>
      </c>
      <c r="AG426" s="2">
        <v>0.0</v>
      </c>
      <c r="AH426" s="2">
        <v>4.0</v>
      </c>
      <c r="AI426" s="2">
        <v>1.0</v>
      </c>
      <c r="AJ426" s="2">
        <v>0.0</v>
      </c>
      <c r="AK426" s="2">
        <v>0.0</v>
      </c>
      <c r="AL426" s="2">
        <v>15.0</v>
      </c>
      <c r="AM426" s="2">
        <v>20.0</v>
      </c>
      <c r="AN426" s="2">
        <v>163.0</v>
      </c>
      <c r="AO426" s="2">
        <v>1.0</v>
      </c>
      <c r="AP426" s="2">
        <v>1.0</v>
      </c>
      <c r="AQ426" s="2">
        <v>1.0</v>
      </c>
      <c r="AR426" s="2">
        <v>205.0</v>
      </c>
      <c r="AS426" s="2">
        <v>50.0</v>
      </c>
      <c r="AT426" s="2">
        <v>7.0</v>
      </c>
      <c r="AU426" s="2">
        <v>11.2017925027918</v>
      </c>
      <c r="AV426" s="2">
        <v>0.0</v>
      </c>
      <c r="AW426" s="2">
        <v>5.0</v>
      </c>
      <c r="AX426" s="2">
        <v>4.0</v>
      </c>
      <c r="AY426" s="2">
        <v>4.0</v>
      </c>
      <c r="AZ426" s="2">
        <v>0.0</v>
      </c>
      <c r="BA426" s="2">
        <v>0.0</v>
      </c>
      <c r="BB426" s="2">
        <v>38.0</v>
      </c>
      <c r="BC426" s="2">
        <v>0.0</v>
      </c>
      <c r="BD426" s="2">
        <v>32.0</v>
      </c>
      <c r="BE426" s="2">
        <v>3.0</v>
      </c>
      <c r="BF426" s="2">
        <v>19.0</v>
      </c>
      <c r="BG426" s="2">
        <v>1.0</v>
      </c>
      <c r="BH426" s="2">
        <v>5.0</v>
      </c>
      <c r="BI426" s="2">
        <v>16.0</v>
      </c>
      <c r="BJ426" s="2">
        <v>6.0</v>
      </c>
      <c r="BK426" s="2">
        <v>0.0</v>
      </c>
      <c r="BL426" s="2">
        <v>0.0</v>
      </c>
      <c r="BM426" s="2">
        <v>3.0</v>
      </c>
      <c r="BN426" s="2">
        <v>0.0</v>
      </c>
      <c r="BO426" s="2">
        <v>0.0</v>
      </c>
      <c r="BP426" s="2">
        <v>0.0</v>
      </c>
      <c r="BQ426" s="2">
        <v>0.0</v>
      </c>
      <c r="BR426" s="2">
        <v>0.0</v>
      </c>
      <c r="BS426" s="2">
        <v>0.0</v>
      </c>
      <c r="BT426" s="2">
        <v>0.0</v>
      </c>
      <c r="BU426" s="2">
        <v>0.0</v>
      </c>
      <c r="BV426" s="2">
        <v>0.0</v>
      </c>
      <c r="BW426" s="2">
        <v>11.0</v>
      </c>
      <c r="BX426" s="2">
        <v>103.0</v>
      </c>
      <c r="BY426" s="2">
        <v>4.0</v>
      </c>
      <c r="BZ426" s="2">
        <v>0.0</v>
      </c>
      <c r="CA426" s="2">
        <v>1.0</v>
      </c>
      <c r="CB426" s="2">
        <v>0.0</v>
      </c>
      <c r="CC426" s="2">
        <v>1.0</v>
      </c>
      <c r="CD426" s="2">
        <v>1.0</v>
      </c>
      <c r="CE426" s="2">
        <v>1.0</v>
      </c>
      <c r="CF426" s="2">
        <v>16.0</v>
      </c>
      <c r="CG426" s="2">
        <v>4.0</v>
      </c>
      <c r="CH426" s="2">
        <v>98.0</v>
      </c>
      <c r="CI426" s="2">
        <v>1.0</v>
      </c>
      <c r="CJ426" s="2">
        <v>1.0</v>
      </c>
      <c r="CK426" s="2">
        <v>0.0</v>
      </c>
      <c r="CL426" s="2">
        <v>0.0</v>
      </c>
      <c r="CM426" s="2">
        <v>40.0</v>
      </c>
      <c r="CN426" s="2">
        <v>1.0</v>
      </c>
      <c r="CO426" s="2">
        <v>0.0</v>
      </c>
      <c r="CP426" s="2">
        <v>0.0</v>
      </c>
      <c r="CQ426" s="2">
        <v>0.0</v>
      </c>
      <c r="CR426" s="2">
        <v>1.0</v>
      </c>
      <c r="CS426" s="2">
        <v>0.0</v>
      </c>
      <c r="CT426" s="2">
        <v>0.0</v>
      </c>
      <c r="CU426" s="2">
        <v>0.0</v>
      </c>
      <c r="CV426" s="2">
        <v>0.0</v>
      </c>
      <c r="CW426" s="2">
        <v>0.0</v>
      </c>
      <c r="CX426" s="2">
        <v>0.0</v>
      </c>
      <c r="CY426" s="2">
        <v>0.0</v>
      </c>
      <c r="CZ426" s="2">
        <v>0.0</v>
      </c>
      <c r="DA426" s="2" t="s">
        <v>1984</v>
      </c>
      <c r="DD426" s="2">
        <v>40.0</v>
      </c>
      <c r="DE426" s="2">
        <v>0.0</v>
      </c>
      <c r="DF426" s="2">
        <v>0.0</v>
      </c>
      <c r="DG426" s="2">
        <v>2.0</v>
      </c>
      <c r="DH426" s="2">
        <v>2.0</v>
      </c>
      <c r="DI426" s="2">
        <v>0.0</v>
      </c>
      <c r="DJ426" s="2">
        <v>0.0</v>
      </c>
      <c r="DK426" s="2">
        <v>1.0</v>
      </c>
      <c r="DL426" s="2">
        <v>0.0</v>
      </c>
      <c r="DM426" s="2">
        <v>0.0</v>
      </c>
      <c r="DN426" s="2">
        <v>0.0</v>
      </c>
      <c r="DO426" s="2">
        <v>0.0</v>
      </c>
      <c r="DP426" s="2">
        <v>0.0</v>
      </c>
      <c r="DQ426" s="2">
        <v>3.0</v>
      </c>
      <c r="DR426" s="2">
        <v>0.0</v>
      </c>
      <c r="DS426" s="2">
        <v>56.0</v>
      </c>
      <c r="DT426" s="2">
        <v>142.0</v>
      </c>
      <c r="DU426" s="2">
        <v>2.0</v>
      </c>
      <c r="DV426" s="2">
        <v>1.0</v>
      </c>
      <c r="DW426" s="2">
        <v>0.0</v>
      </c>
      <c r="DX426" s="2">
        <v>0.0</v>
      </c>
      <c r="DY426" s="2">
        <v>2.0</v>
      </c>
      <c r="DZ426" s="2">
        <v>0.0</v>
      </c>
      <c r="EA426" s="2">
        <v>0.0</v>
      </c>
      <c r="EB426" s="2">
        <v>0.0</v>
      </c>
      <c r="EC426" s="2">
        <v>142.0</v>
      </c>
      <c r="EE426" s="2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2">
        <v>2025.0</v>
      </c>
      <c r="B427" s="2">
        <v>15.0</v>
      </c>
      <c r="C427" s="2" t="s">
        <v>137</v>
      </c>
      <c r="D427" s="2" t="s">
        <v>390</v>
      </c>
      <c r="E427" s="2" t="s">
        <v>1056</v>
      </c>
      <c r="F427" s="2" t="s">
        <v>196</v>
      </c>
      <c r="G427" s="2">
        <v>17.0</v>
      </c>
      <c r="H427" s="2">
        <v>28.0</v>
      </c>
      <c r="I427" s="2">
        <v>242.0</v>
      </c>
      <c r="J427" s="2">
        <v>2.0</v>
      </c>
      <c r="K427" s="2">
        <v>0.0</v>
      </c>
      <c r="L427" s="2">
        <v>3.0</v>
      </c>
      <c r="M427" s="2">
        <v>-23.0</v>
      </c>
      <c r="N427" s="2">
        <v>0.0</v>
      </c>
      <c r="O427" s="2">
        <v>0.0</v>
      </c>
      <c r="P427" s="2">
        <v>275.0</v>
      </c>
      <c r="Q427" s="2">
        <v>110.0</v>
      </c>
      <c r="R427" s="2">
        <v>12.0</v>
      </c>
      <c r="S427" s="2">
        <v>3.28693505483229</v>
      </c>
      <c r="T427" s="2">
        <v>1.43672459655338</v>
      </c>
      <c r="U427" s="2">
        <v>0.0</v>
      </c>
      <c r="V427" s="2">
        <v>11.0</v>
      </c>
      <c r="W427" s="2">
        <v>7.0</v>
      </c>
      <c r="X427" s="2">
        <v>4.0</v>
      </c>
      <c r="Y427" s="2">
        <v>1.0</v>
      </c>
      <c r="Z427" s="2">
        <v>33.0</v>
      </c>
      <c r="AA427" s="2">
        <v>142.0</v>
      </c>
      <c r="AB427" s="2">
        <v>2.0</v>
      </c>
      <c r="AC427" s="2">
        <v>1.0</v>
      </c>
      <c r="AD427" s="2">
        <v>0.0</v>
      </c>
      <c r="AE427" s="2">
        <v>8.0</v>
      </c>
      <c r="AF427" s="2">
        <v>-0.0059365260531194</v>
      </c>
      <c r="AG427" s="2">
        <v>0.0</v>
      </c>
      <c r="AH427" s="2">
        <v>5.0</v>
      </c>
      <c r="AI427" s="2">
        <v>2.0</v>
      </c>
      <c r="AJ427" s="2">
        <v>0.0</v>
      </c>
      <c r="AK427" s="2">
        <v>0.0</v>
      </c>
      <c r="AL427" s="2">
        <v>17.0</v>
      </c>
      <c r="AM427" s="2">
        <v>27.0</v>
      </c>
      <c r="AN427" s="2">
        <v>242.0</v>
      </c>
      <c r="AO427" s="2">
        <v>2.0</v>
      </c>
      <c r="AP427" s="2">
        <v>0.0</v>
      </c>
      <c r="AQ427" s="2">
        <v>0.0</v>
      </c>
      <c r="AR427" s="2">
        <v>275.0</v>
      </c>
      <c r="AS427" s="2">
        <v>110.0</v>
      </c>
      <c r="AT427" s="2">
        <v>12.0</v>
      </c>
      <c r="AU427" s="2">
        <v>10.2264088996557</v>
      </c>
      <c r="AV427" s="2">
        <v>0.0</v>
      </c>
      <c r="AW427" s="2">
        <v>11.0</v>
      </c>
      <c r="AX427" s="2">
        <v>6.0</v>
      </c>
      <c r="AY427" s="2">
        <v>4.0</v>
      </c>
      <c r="AZ427" s="2">
        <v>1.0</v>
      </c>
      <c r="BA427" s="2">
        <v>0.0</v>
      </c>
      <c r="BB427" s="2">
        <v>31.0</v>
      </c>
      <c r="BC427" s="2">
        <v>0.0</v>
      </c>
      <c r="BD427" s="2">
        <v>24.0</v>
      </c>
      <c r="BE427" s="2">
        <v>8.0</v>
      </c>
      <c r="BF427" s="2">
        <v>43.0</v>
      </c>
      <c r="BG427" s="2">
        <v>0.0</v>
      </c>
      <c r="BH427" s="2">
        <v>5.0</v>
      </c>
      <c r="BI427" s="2">
        <v>35.0</v>
      </c>
      <c r="BJ427" s="2">
        <v>15.0</v>
      </c>
      <c r="BK427" s="2">
        <v>3.0</v>
      </c>
      <c r="BL427" s="2">
        <v>32.0</v>
      </c>
      <c r="BM427" s="2">
        <v>6.0</v>
      </c>
      <c r="BN427" s="2">
        <v>0.0</v>
      </c>
      <c r="BO427" s="2">
        <v>0.0</v>
      </c>
      <c r="BP427" s="2">
        <v>0.0</v>
      </c>
      <c r="BQ427" s="2">
        <v>0.0</v>
      </c>
      <c r="BR427" s="2">
        <v>1.0</v>
      </c>
      <c r="BS427" s="2">
        <v>-4.0</v>
      </c>
      <c r="BT427" s="2">
        <v>0.0</v>
      </c>
      <c r="BU427" s="2">
        <v>0.0</v>
      </c>
      <c r="BV427" s="2">
        <v>0.0</v>
      </c>
      <c r="BW427" s="2">
        <v>4.0</v>
      </c>
      <c r="BX427" s="2">
        <v>25.0</v>
      </c>
      <c r="BY427" s="2">
        <v>2.0</v>
      </c>
      <c r="BZ427" s="2">
        <v>0.0</v>
      </c>
      <c r="CA427" s="2">
        <v>1.0</v>
      </c>
      <c r="CB427" s="2">
        <v>0.0</v>
      </c>
      <c r="CC427" s="2">
        <v>1.0</v>
      </c>
      <c r="CD427" s="2">
        <v>0.0</v>
      </c>
      <c r="CE427" s="2">
        <v>3.0</v>
      </c>
      <c r="CF427" s="2">
        <v>45.0</v>
      </c>
      <c r="CG427" s="2">
        <v>2.0</v>
      </c>
      <c r="CH427" s="2">
        <v>82.0</v>
      </c>
      <c r="CI427" s="2">
        <v>1.0</v>
      </c>
      <c r="CJ427" s="2">
        <v>2.0</v>
      </c>
      <c r="CK427" s="2">
        <v>1.0</v>
      </c>
      <c r="CL427" s="2">
        <v>0.0</v>
      </c>
      <c r="CM427" s="2">
        <v>41.0</v>
      </c>
      <c r="CN427" s="2">
        <v>0.5</v>
      </c>
      <c r="CO427" s="2">
        <v>0.0</v>
      </c>
      <c r="CP427" s="2">
        <v>0.0</v>
      </c>
      <c r="CQ427" s="2">
        <v>0.0</v>
      </c>
      <c r="CR427" s="2">
        <v>1.0</v>
      </c>
      <c r="CS427" s="2">
        <v>0.0</v>
      </c>
      <c r="CT427" s="2">
        <v>0.0</v>
      </c>
      <c r="CU427" s="2">
        <v>0.0</v>
      </c>
      <c r="CV427" s="2">
        <v>0.0</v>
      </c>
      <c r="CW427" s="2">
        <v>1.0</v>
      </c>
      <c r="CX427" s="2">
        <v>0.0</v>
      </c>
      <c r="CY427" s="2">
        <v>0.0</v>
      </c>
      <c r="CZ427" s="2">
        <v>0.0</v>
      </c>
      <c r="DA427" s="2" t="s">
        <v>2025</v>
      </c>
      <c r="DB427" s="2" t="s">
        <v>1968</v>
      </c>
      <c r="DD427" s="2">
        <v>41.0</v>
      </c>
      <c r="DE427" s="2">
        <v>35.0</v>
      </c>
      <c r="DF427" s="2">
        <v>0.0</v>
      </c>
      <c r="DG427" s="2">
        <v>4.0</v>
      </c>
      <c r="DH427" s="2">
        <v>4.0</v>
      </c>
      <c r="DI427" s="2">
        <v>0.0</v>
      </c>
      <c r="DJ427" s="2">
        <v>0.0</v>
      </c>
      <c r="DK427" s="2">
        <v>1.0</v>
      </c>
      <c r="DL427" s="2">
        <v>0.0</v>
      </c>
      <c r="DM427" s="2">
        <v>0.0</v>
      </c>
      <c r="DN427" s="2">
        <v>0.0</v>
      </c>
      <c r="DO427" s="2">
        <v>0.0</v>
      </c>
      <c r="DP427" s="2">
        <v>0.0</v>
      </c>
      <c r="DQ427" s="2">
        <v>4.0</v>
      </c>
      <c r="DR427" s="2">
        <v>0.0</v>
      </c>
      <c r="DS427" s="2">
        <v>45.0</v>
      </c>
      <c r="DT427" s="2">
        <v>171.0</v>
      </c>
      <c r="DU427" s="2">
        <v>3.0</v>
      </c>
      <c r="DV427" s="2">
        <v>0.0</v>
      </c>
      <c r="DW427" s="2">
        <v>2.0</v>
      </c>
      <c r="DX427" s="2">
        <v>0.0</v>
      </c>
      <c r="DY427" s="2">
        <v>1.0</v>
      </c>
      <c r="DZ427" s="2">
        <v>1.0</v>
      </c>
      <c r="EA427" s="2">
        <v>0.0</v>
      </c>
      <c r="EB427" s="2">
        <v>0.0</v>
      </c>
      <c r="EC427" s="2">
        <v>171.0</v>
      </c>
      <c r="EE427" s="2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2">
        <v>2025.0</v>
      </c>
      <c r="B428" s="2">
        <v>15.0</v>
      </c>
      <c r="C428" s="2" t="s">
        <v>138</v>
      </c>
      <c r="D428" s="2" t="s">
        <v>390</v>
      </c>
      <c r="E428" s="2" t="s">
        <v>1059</v>
      </c>
      <c r="F428" s="2" t="s">
        <v>148</v>
      </c>
      <c r="G428" s="2">
        <v>25.0</v>
      </c>
      <c r="H428" s="2">
        <v>39.0</v>
      </c>
      <c r="I428" s="2">
        <v>225.0</v>
      </c>
      <c r="J428" s="2">
        <v>0.0</v>
      </c>
      <c r="K428" s="2">
        <v>2.0</v>
      </c>
      <c r="L428" s="2">
        <v>3.0</v>
      </c>
      <c r="M428" s="2">
        <v>-27.0</v>
      </c>
      <c r="N428" s="2">
        <v>0.0</v>
      </c>
      <c r="O428" s="2">
        <v>0.0</v>
      </c>
      <c r="P428" s="2">
        <v>284.0</v>
      </c>
      <c r="Q428" s="2">
        <v>108.0</v>
      </c>
      <c r="R428" s="2">
        <v>10.0</v>
      </c>
      <c r="S428" s="2">
        <v>-13.7492465174873</v>
      </c>
      <c r="T428" s="2">
        <v>2.63243280351162</v>
      </c>
      <c r="U428" s="2">
        <v>0.0</v>
      </c>
      <c r="V428" s="2">
        <v>7.0</v>
      </c>
      <c r="W428" s="2">
        <v>4.0</v>
      </c>
      <c r="X428" s="2">
        <v>2.0</v>
      </c>
      <c r="Y428" s="2">
        <v>0.0</v>
      </c>
      <c r="Z428" s="2">
        <v>29.0</v>
      </c>
      <c r="AA428" s="2">
        <v>100.0</v>
      </c>
      <c r="AB428" s="2">
        <v>0.0</v>
      </c>
      <c r="AC428" s="2">
        <v>1.0</v>
      </c>
      <c r="AD428" s="2">
        <v>0.0</v>
      </c>
      <c r="AE428" s="2">
        <v>6.0</v>
      </c>
      <c r="AF428" s="2">
        <v>-8.19688951759599</v>
      </c>
      <c r="AG428" s="2">
        <v>0.0</v>
      </c>
      <c r="AH428" s="2">
        <v>1.0</v>
      </c>
      <c r="AI428" s="2">
        <v>0.0</v>
      </c>
      <c r="AJ428" s="2">
        <v>0.0</v>
      </c>
      <c r="AK428" s="2">
        <v>0.0</v>
      </c>
      <c r="AL428" s="2">
        <v>25.0</v>
      </c>
      <c r="AM428" s="2">
        <v>36.0</v>
      </c>
      <c r="AN428" s="2">
        <v>225.0</v>
      </c>
      <c r="AO428" s="2">
        <v>0.0</v>
      </c>
      <c r="AP428" s="2">
        <v>0.0</v>
      </c>
      <c r="AQ428" s="2">
        <v>0.0</v>
      </c>
      <c r="AR428" s="2">
        <v>284.0</v>
      </c>
      <c r="AS428" s="2">
        <v>108.0</v>
      </c>
      <c r="AT428" s="2">
        <v>10.0</v>
      </c>
      <c r="AU428" s="2">
        <v>-5.83284302486572</v>
      </c>
      <c r="AV428" s="2">
        <v>0.0</v>
      </c>
      <c r="AW428" s="2">
        <v>7.0</v>
      </c>
      <c r="AX428" s="2">
        <v>4.0</v>
      </c>
      <c r="AY428" s="2">
        <v>2.0</v>
      </c>
      <c r="AZ428" s="2">
        <v>0.0</v>
      </c>
      <c r="BA428" s="2">
        <v>0.0</v>
      </c>
      <c r="BB428" s="2">
        <v>25.0</v>
      </c>
      <c r="BC428" s="2">
        <v>0.0</v>
      </c>
      <c r="BD428" s="2">
        <v>16.0</v>
      </c>
      <c r="BE428" s="2">
        <v>5.0</v>
      </c>
      <c r="BF428" s="2">
        <v>23.0</v>
      </c>
      <c r="BG428" s="2">
        <v>1.0</v>
      </c>
      <c r="BH428" s="2">
        <v>4.0</v>
      </c>
      <c r="BI428" s="2">
        <v>22.0</v>
      </c>
      <c r="BJ428" s="2">
        <v>5.0</v>
      </c>
      <c r="BK428" s="2">
        <v>1.0</v>
      </c>
      <c r="BL428" s="2">
        <v>0.0</v>
      </c>
      <c r="BM428" s="2">
        <v>1.0</v>
      </c>
      <c r="BN428" s="2">
        <v>0.0</v>
      </c>
      <c r="BO428" s="2">
        <v>0.0</v>
      </c>
      <c r="BP428" s="2">
        <v>0.0</v>
      </c>
      <c r="BQ428" s="2">
        <v>0.0</v>
      </c>
      <c r="BR428" s="2">
        <v>1.0</v>
      </c>
      <c r="BS428" s="2">
        <v>0.0</v>
      </c>
      <c r="BT428" s="2">
        <v>0.0</v>
      </c>
      <c r="BU428" s="2">
        <v>0.0</v>
      </c>
      <c r="BV428" s="2">
        <v>0.0</v>
      </c>
      <c r="BW428" s="2">
        <v>4.0</v>
      </c>
      <c r="BX428" s="2">
        <v>30.0</v>
      </c>
      <c r="BY428" s="2">
        <v>2.0</v>
      </c>
      <c r="BZ428" s="2">
        <v>1.0</v>
      </c>
      <c r="CA428" s="2">
        <v>0.0</v>
      </c>
      <c r="CB428" s="2">
        <v>0.0</v>
      </c>
      <c r="CC428" s="2">
        <v>1.0</v>
      </c>
      <c r="CD428" s="2">
        <v>0.0</v>
      </c>
      <c r="CE428" s="2">
        <v>1.0</v>
      </c>
      <c r="CF428" s="2">
        <v>-2.0</v>
      </c>
      <c r="CG428" s="2">
        <v>5.0</v>
      </c>
      <c r="CH428" s="2">
        <v>110.0</v>
      </c>
      <c r="CI428" s="2">
        <v>0.0</v>
      </c>
      <c r="CJ428" s="2">
        <v>0.0</v>
      </c>
      <c r="CK428" s="2">
        <v>0.0</v>
      </c>
      <c r="CL428" s="2">
        <v>0.0</v>
      </c>
      <c r="CO428" s="2">
        <v>0.0</v>
      </c>
      <c r="CP428" s="2">
        <v>0.0</v>
      </c>
      <c r="CQ428" s="2">
        <v>0.0</v>
      </c>
      <c r="CR428" s="2">
        <v>0.0</v>
      </c>
      <c r="CS428" s="2">
        <v>0.0</v>
      </c>
      <c r="CT428" s="2">
        <v>0.0</v>
      </c>
      <c r="CU428" s="2">
        <v>0.0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D428" s="2">
        <v>0.0</v>
      </c>
      <c r="DE428" s="2">
        <v>0.0</v>
      </c>
      <c r="DF428" s="2">
        <v>0.0</v>
      </c>
      <c r="DG428" s="2">
        <v>0.0</v>
      </c>
      <c r="DH428" s="2">
        <v>0.0</v>
      </c>
      <c r="DI428" s="2">
        <v>0.0</v>
      </c>
      <c r="DJ428" s="2">
        <v>0.0</v>
      </c>
      <c r="DL428" s="2">
        <v>0.0</v>
      </c>
      <c r="DM428" s="2">
        <v>0.0</v>
      </c>
      <c r="DN428" s="2">
        <v>0.0</v>
      </c>
      <c r="DO428" s="2">
        <v>0.0</v>
      </c>
      <c r="DP428" s="2">
        <v>0.0</v>
      </c>
      <c r="DQ428" s="2">
        <v>4.0</v>
      </c>
      <c r="DR428" s="2">
        <v>0.0</v>
      </c>
      <c r="DS428" s="2">
        <v>62.0</v>
      </c>
      <c r="DT428" s="2">
        <v>182.0</v>
      </c>
      <c r="DU428" s="2">
        <v>2.0</v>
      </c>
      <c r="DV428" s="2">
        <v>0.0</v>
      </c>
      <c r="DW428" s="2">
        <v>2.0</v>
      </c>
      <c r="DX428" s="2">
        <v>1.0</v>
      </c>
      <c r="DY428" s="2">
        <v>1.0</v>
      </c>
      <c r="DZ428" s="2">
        <v>0.0</v>
      </c>
      <c r="EA428" s="2">
        <v>0.0</v>
      </c>
      <c r="EB428" s="2">
        <v>0.0</v>
      </c>
      <c r="EC428" s="2">
        <v>162.0</v>
      </c>
      <c r="EE428" s="2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2">
        <v>2025.0</v>
      </c>
      <c r="B429" s="2">
        <v>15.0</v>
      </c>
      <c r="C429" s="2" t="s">
        <v>196</v>
      </c>
      <c r="D429" s="2" t="s">
        <v>390</v>
      </c>
      <c r="E429" s="2" t="s">
        <v>1056</v>
      </c>
      <c r="F429" s="2" t="s">
        <v>137</v>
      </c>
      <c r="G429" s="2">
        <v>18.0</v>
      </c>
      <c r="H429" s="2">
        <v>35.0</v>
      </c>
      <c r="I429" s="2">
        <v>177.0</v>
      </c>
      <c r="J429" s="2">
        <v>0.0</v>
      </c>
      <c r="K429" s="2">
        <v>3.0</v>
      </c>
      <c r="L429" s="2">
        <v>5.0</v>
      </c>
      <c r="M429" s="2">
        <v>-35.0</v>
      </c>
      <c r="N429" s="2">
        <v>0.0</v>
      </c>
      <c r="O429" s="2">
        <v>0.0</v>
      </c>
      <c r="P429" s="2">
        <v>303.0</v>
      </c>
      <c r="Q429" s="2">
        <v>59.0</v>
      </c>
      <c r="R429" s="2">
        <v>7.0</v>
      </c>
      <c r="S429" s="2">
        <v>-22.947253412076</v>
      </c>
      <c r="T429" s="2">
        <v>-4.56381031582432</v>
      </c>
      <c r="U429" s="2">
        <v>0.0</v>
      </c>
      <c r="V429" s="2">
        <v>5.0</v>
      </c>
      <c r="W429" s="2">
        <v>2.0</v>
      </c>
      <c r="X429" s="2">
        <v>2.0</v>
      </c>
      <c r="Y429" s="2">
        <v>2.0</v>
      </c>
      <c r="Z429" s="2">
        <v>16.0</v>
      </c>
      <c r="AA429" s="2">
        <v>50.0</v>
      </c>
      <c r="AB429" s="2">
        <v>0.0</v>
      </c>
      <c r="AC429" s="2">
        <v>0.0</v>
      </c>
      <c r="AD429" s="2">
        <v>0.0</v>
      </c>
      <c r="AE429" s="2">
        <v>2.0</v>
      </c>
      <c r="AF429" s="2">
        <v>-3.15125373494811</v>
      </c>
      <c r="AG429" s="2">
        <v>0.0</v>
      </c>
      <c r="AH429" s="2">
        <v>1.0</v>
      </c>
      <c r="AI429" s="2">
        <v>1.0</v>
      </c>
      <c r="AJ429" s="2">
        <v>0.0</v>
      </c>
      <c r="AK429" s="2">
        <v>0.0</v>
      </c>
      <c r="AL429" s="2">
        <v>18.0</v>
      </c>
      <c r="AM429" s="2">
        <v>31.0</v>
      </c>
      <c r="AN429" s="2">
        <v>177.0</v>
      </c>
      <c r="AO429" s="2">
        <v>0.0</v>
      </c>
      <c r="AP429" s="2">
        <v>0.0</v>
      </c>
      <c r="AQ429" s="2">
        <v>0.0</v>
      </c>
      <c r="AR429" s="2">
        <v>303.0</v>
      </c>
      <c r="AS429" s="2">
        <v>59.0</v>
      </c>
      <c r="AT429" s="2">
        <v>7.0</v>
      </c>
      <c r="AU429" s="2">
        <v>-10.6886431456988</v>
      </c>
      <c r="AV429" s="2">
        <v>0.0</v>
      </c>
      <c r="AW429" s="2">
        <v>5.0</v>
      </c>
      <c r="AX429" s="2">
        <v>2.0</v>
      </c>
      <c r="AY429" s="2">
        <v>2.0</v>
      </c>
      <c r="AZ429" s="2">
        <v>2.0</v>
      </c>
      <c r="BA429" s="2">
        <v>0.0</v>
      </c>
      <c r="BB429" s="2">
        <v>30.0</v>
      </c>
      <c r="BC429" s="2">
        <v>1.0</v>
      </c>
      <c r="BD429" s="2">
        <v>45.0</v>
      </c>
      <c r="BE429" s="2">
        <v>6.0</v>
      </c>
      <c r="BF429" s="2">
        <v>24.0</v>
      </c>
      <c r="BG429" s="2">
        <v>0.0</v>
      </c>
      <c r="BH429" s="2">
        <v>3.0</v>
      </c>
      <c r="BI429" s="2">
        <v>23.0</v>
      </c>
      <c r="BJ429" s="2">
        <v>7.0</v>
      </c>
      <c r="BK429" s="2">
        <v>0.0</v>
      </c>
      <c r="BL429" s="2">
        <v>0.0</v>
      </c>
      <c r="BM429" s="2">
        <v>4.0</v>
      </c>
      <c r="BN429" s="2">
        <v>0.0</v>
      </c>
      <c r="BO429" s="2">
        <v>0.0</v>
      </c>
      <c r="BP429" s="2">
        <v>0.0</v>
      </c>
      <c r="BQ429" s="2">
        <v>0.0</v>
      </c>
      <c r="BR429" s="2">
        <v>0.0</v>
      </c>
      <c r="BS429" s="2">
        <v>0.0</v>
      </c>
      <c r="BT429" s="2">
        <v>0.0</v>
      </c>
      <c r="BU429" s="2">
        <v>0.0</v>
      </c>
      <c r="BV429" s="2">
        <v>0.0</v>
      </c>
      <c r="BW429" s="2">
        <v>6.0</v>
      </c>
      <c r="BX429" s="2">
        <v>21.0</v>
      </c>
      <c r="BY429" s="2">
        <v>3.0</v>
      </c>
      <c r="BZ429" s="2">
        <v>0.0</v>
      </c>
      <c r="CA429" s="2">
        <v>0.0</v>
      </c>
      <c r="CB429" s="2">
        <v>0.0</v>
      </c>
      <c r="CC429" s="2">
        <v>0.0</v>
      </c>
      <c r="CD429" s="2">
        <v>0.0</v>
      </c>
      <c r="CE429" s="2">
        <v>1.0</v>
      </c>
      <c r="CF429" s="2">
        <v>0.0</v>
      </c>
      <c r="CG429" s="2">
        <v>4.0</v>
      </c>
      <c r="CH429" s="2">
        <v>86.0</v>
      </c>
      <c r="CI429" s="2">
        <v>1.0</v>
      </c>
      <c r="CJ429" s="2">
        <v>1.0</v>
      </c>
      <c r="CK429" s="2">
        <v>0.0</v>
      </c>
      <c r="CL429" s="2">
        <v>0.0</v>
      </c>
      <c r="CM429" s="2">
        <v>50.0</v>
      </c>
      <c r="CN429" s="2">
        <v>1.0</v>
      </c>
      <c r="CO429" s="2">
        <v>0.0</v>
      </c>
      <c r="CP429" s="2">
        <v>0.0</v>
      </c>
      <c r="CQ429" s="2">
        <v>0.0</v>
      </c>
      <c r="CR429" s="2">
        <v>0.0</v>
      </c>
      <c r="CS429" s="2">
        <v>1.0</v>
      </c>
      <c r="CT429" s="2">
        <v>0.0</v>
      </c>
      <c r="CU429" s="2">
        <v>0.0</v>
      </c>
      <c r="CV429" s="2">
        <v>0.0</v>
      </c>
      <c r="CW429" s="2">
        <v>0.0</v>
      </c>
      <c r="CX429" s="2">
        <v>0.0</v>
      </c>
      <c r="CY429" s="2">
        <v>0.0</v>
      </c>
      <c r="CZ429" s="2">
        <v>0.0</v>
      </c>
      <c r="DA429" s="2" t="s">
        <v>1967</v>
      </c>
      <c r="DD429" s="2">
        <v>50.0</v>
      </c>
      <c r="DE429" s="2">
        <v>0.0</v>
      </c>
      <c r="DF429" s="2">
        <v>0.0</v>
      </c>
      <c r="DG429" s="2">
        <v>0.0</v>
      </c>
      <c r="DH429" s="2">
        <v>0.0</v>
      </c>
      <c r="DI429" s="2">
        <v>0.0</v>
      </c>
      <c r="DJ429" s="2">
        <v>0.0</v>
      </c>
      <c r="DL429" s="2">
        <v>0.0</v>
      </c>
      <c r="DM429" s="2">
        <v>0.0</v>
      </c>
      <c r="DN429" s="2">
        <v>0.0</v>
      </c>
      <c r="DO429" s="2">
        <v>0.0</v>
      </c>
      <c r="DP429" s="2">
        <v>0.0</v>
      </c>
      <c r="DQ429" s="2">
        <v>7.0</v>
      </c>
      <c r="DR429" s="2">
        <v>0.0</v>
      </c>
      <c r="DS429" s="2">
        <v>61.0</v>
      </c>
      <c r="DT429" s="2">
        <v>339.0</v>
      </c>
      <c r="DU429" s="2">
        <v>1.0</v>
      </c>
      <c r="DV429" s="2">
        <v>0.0</v>
      </c>
      <c r="DW429" s="2">
        <v>1.0</v>
      </c>
      <c r="DX429" s="2">
        <v>1.0</v>
      </c>
      <c r="DY429" s="2">
        <v>2.0</v>
      </c>
      <c r="DZ429" s="2">
        <v>3.0</v>
      </c>
      <c r="EA429" s="2">
        <v>45.0</v>
      </c>
      <c r="EB429" s="2">
        <v>0.0</v>
      </c>
      <c r="EC429" s="2">
        <v>274.0</v>
      </c>
      <c r="EE429" s="2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2">
        <v>2025.0</v>
      </c>
      <c r="B430" s="2">
        <v>15.0</v>
      </c>
      <c r="C430" s="2" t="s">
        <v>146</v>
      </c>
      <c r="D430" s="2" t="s">
        <v>390</v>
      </c>
      <c r="E430" s="2" t="s">
        <v>1089</v>
      </c>
      <c r="F430" s="2" t="s">
        <v>144</v>
      </c>
      <c r="G430" s="2">
        <v>23.0</v>
      </c>
      <c r="H430" s="2">
        <v>38.0</v>
      </c>
      <c r="I430" s="2">
        <v>294.0</v>
      </c>
      <c r="J430" s="2">
        <v>0.0</v>
      </c>
      <c r="K430" s="2">
        <v>0.0</v>
      </c>
      <c r="L430" s="2">
        <v>2.0</v>
      </c>
      <c r="M430" s="2">
        <v>-9.0</v>
      </c>
      <c r="N430" s="2">
        <v>0.0</v>
      </c>
      <c r="O430" s="2">
        <v>0.0</v>
      </c>
      <c r="P430" s="2">
        <v>276.0</v>
      </c>
      <c r="Q430" s="2">
        <v>157.0</v>
      </c>
      <c r="R430" s="2">
        <v>12.0</v>
      </c>
      <c r="S430" s="2">
        <v>0.958932986336323</v>
      </c>
      <c r="T430" s="2">
        <v>-4.06369507312775</v>
      </c>
      <c r="U430" s="2">
        <v>0.0</v>
      </c>
      <c r="V430" s="2">
        <v>13.0</v>
      </c>
      <c r="W430" s="2">
        <v>8.0</v>
      </c>
      <c r="X430" s="2">
        <v>4.0</v>
      </c>
      <c r="Y430" s="2">
        <v>0.0</v>
      </c>
      <c r="Z430" s="2">
        <v>29.0</v>
      </c>
      <c r="AA430" s="2">
        <v>138.0</v>
      </c>
      <c r="AB430" s="2">
        <v>2.0</v>
      </c>
      <c r="AC430" s="2">
        <v>0.0</v>
      </c>
      <c r="AD430" s="2">
        <v>0.0</v>
      </c>
      <c r="AE430" s="2">
        <v>12.0</v>
      </c>
      <c r="AF430" s="2">
        <v>6.72096791249351</v>
      </c>
      <c r="AG430" s="2">
        <v>0.0</v>
      </c>
      <c r="AH430" s="2">
        <v>4.0</v>
      </c>
      <c r="AI430" s="2">
        <v>3.0</v>
      </c>
      <c r="AJ430" s="2">
        <v>1.0</v>
      </c>
      <c r="AK430" s="2">
        <v>0.0</v>
      </c>
      <c r="AL430" s="2">
        <v>23.0</v>
      </c>
      <c r="AM430" s="2">
        <v>35.0</v>
      </c>
      <c r="AN430" s="2">
        <v>294.0</v>
      </c>
      <c r="AO430" s="2">
        <v>0.0</v>
      </c>
      <c r="AP430" s="2">
        <v>0.0</v>
      </c>
      <c r="AQ430" s="2">
        <v>0.0</v>
      </c>
      <c r="AR430" s="2">
        <v>276.0</v>
      </c>
      <c r="AS430" s="2">
        <v>157.0</v>
      </c>
      <c r="AT430" s="2">
        <v>12.0</v>
      </c>
      <c r="AU430" s="2">
        <v>6.15555256927797</v>
      </c>
      <c r="AV430" s="2">
        <v>0.0</v>
      </c>
      <c r="AW430" s="2">
        <v>13.0</v>
      </c>
      <c r="AX430" s="2">
        <v>8.0</v>
      </c>
      <c r="AY430" s="2">
        <v>4.0</v>
      </c>
      <c r="AZ430" s="2">
        <v>0.0</v>
      </c>
      <c r="BA430" s="2">
        <v>0.0</v>
      </c>
      <c r="BB430" s="2">
        <v>30.0</v>
      </c>
      <c r="BC430" s="2">
        <v>1.0</v>
      </c>
      <c r="BD430" s="2">
        <v>27.0</v>
      </c>
      <c r="BE430" s="2">
        <v>5.0</v>
      </c>
      <c r="BF430" s="2">
        <v>11.0</v>
      </c>
      <c r="BG430" s="2">
        <v>0.0</v>
      </c>
      <c r="BH430" s="2">
        <v>0.0</v>
      </c>
      <c r="BI430" s="2">
        <v>0.0</v>
      </c>
      <c r="BJ430" s="2">
        <v>1.0</v>
      </c>
      <c r="BK430" s="2">
        <v>1.0</v>
      </c>
      <c r="BL430" s="2">
        <v>0.0</v>
      </c>
      <c r="BM430" s="2">
        <v>3.0</v>
      </c>
      <c r="BN430" s="2">
        <v>0.0</v>
      </c>
      <c r="BO430" s="2">
        <v>0.0</v>
      </c>
      <c r="BP430" s="2">
        <v>0.0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</v>
      </c>
      <c r="BV430" s="2">
        <v>0.0</v>
      </c>
      <c r="BW430" s="2">
        <v>7.0</v>
      </c>
      <c r="BX430" s="2">
        <v>58.0</v>
      </c>
      <c r="BY430" s="2">
        <v>6.0</v>
      </c>
      <c r="BZ430" s="2">
        <v>0.0</v>
      </c>
      <c r="CA430" s="2">
        <v>0.0</v>
      </c>
      <c r="CB430" s="2">
        <v>0.0</v>
      </c>
      <c r="CC430" s="2">
        <v>0.0</v>
      </c>
      <c r="CD430" s="2">
        <v>0.0</v>
      </c>
      <c r="CE430" s="2">
        <v>0.0</v>
      </c>
      <c r="CF430" s="2">
        <v>0.0</v>
      </c>
      <c r="CG430" s="2">
        <v>4.0</v>
      </c>
      <c r="CH430" s="2">
        <v>124.0</v>
      </c>
      <c r="CI430" s="2">
        <v>4.0</v>
      </c>
      <c r="CJ430" s="2">
        <v>6.0</v>
      </c>
      <c r="CK430" s="2">
        <v>2.0</v>
      </c>
      <c r="CL430" s="2">
        <v>0.0</v>
      </c>
      <c r="CM430" s="2">
        <v>41.0</v>
      </c>
      <c r="CN430" s="2">
        <v>0.666666666666667</v>
      </c>
      <c r="CO430" s="2">
        <v>0.0</v>
      </c>
      <c r="CP430" s="2">
        <v>1.0</v>
      </c>
      <c r="CQ430" s="2">
        <v>1.0</v>
      </c>
      <c r="CR430" s="2">
        <v>2.0</v>
      </c>
      <c r="CS430" s="2">
        <v>0.0</v>
      </c>
      <c r="CT430" s="2">
        <v>0.0</v>
      </c>
      <c r="CU430" s="2">
        <v>0.0</v>
      </c>
      <c r="CV430" s="2">
        <v>0.0</v>
      </c>
      <c r="CW430" s="2">
        <v>0.0</v>
      </c>
      <c r="CX430" s="2">
        <v>0.0</v>
      </c>
      <c r="CY430" s="2">
        <v>2.0</v>
      </c>
      <c r="CZ430" s="2">
        <v>0.0</v>
      </c>
      <c r="DA430" s="2" t="s">
        <v>2225</v>
      </c>
      <c r="DB430" s="2" t="s">
        <v>2226</v>
      </c>
      <c r="DD430" s="2">
        <v>145.0</v>
      </c>
      <c r="DE430" s="2">
        <v>110.0</v>
      </c>
      <c r="DF430" s="2">
        <v>0.0</v>
      </c>
      <c r="DG430" s="2">
        <v>2.0</v>
      </c>
      <c r="DH430" s="2">
        <v>2.0</v>
      </c>
      <c r="DI430" s="2">
        <v>0.0</v>
      </c>
      <c r="DJ430" s="2">
        <v>0.0</v>
      </c>
      <c r="DK430" s="2">
        <v>1.0</v>
      </c>
      <c r="DL430" s="2">
        <v>0.0</v>
      </c>
      <c r="DM430" s="2">
        <v>0.0</v>
      </c>
      <c r="DN430" s="2">
        <v>0.0</v>
      </c>
      <c r="DO430" s="2">
        <v>0.0</v>
      </c>
      <c r="DP430" s="2">
        <v>0.0</v>
      </c>
      <c r="DQ430" s="2">
        <v>1.0</v>
      </c>
      <c r="DR430" s="2">
        <v>0.0</v>
      </c>
      <c r="DS430" s="2">
        <v>42.0</v>
      </c>
      <c r="DT430" s="2">
        <v>42.0</v>
      </c>
      <c r="DU430" s="2">
        <v>0.0</v>
      </c>
      <c r="DV430" s="2">
        <v>0.0</v>
      </c>
      <c r="DW430" s="2">
        <v>0.0</v>
      </c>
      <c r="DX430" s="2">
        <v>0.0</v>
      </c>
      <c r="DY430" s="2">
        <v>1.0</v>
      </c>
      <c r="DZ430" s="2">
        <v>0.0</v>
      </c>
      <c r="EA430" s="2">
        <v>0.0</v>
      </c>
      <c r="EB430" s="2">
        <v>0.0</v>
      </c>
      <c r="EC430" s="2">
        <v>42.0</v>
      </c>
      <c r="EE430" s="2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2">
        <v>2025.0</v>
      </c>
      <c r="B431" s="2">
        <v>15.0</v>
      </c>
      <c r="C431" s="2" t="s">
        <v>139</v>
      </c>
      <c r="D431" s="2" t="s">
        <v>390</v>
      </c>
      <c r="E431" s="2" t="s">
        <v>1077</v>
      </c>
      <c r="F431" s="2" t="s">
        <v>205</v>
      </c>
      <c r="G431" s="2">
        <v>23.0</v>
      </c>
      <c r="H431" s="2">
        <v>34.0</v>
      </c>
      <c r="I431" s="2">
        <v>302.0</v>
      </c>
      <c r="J431" s="2">
        <v>4.0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323.0</v>
      </c>
      <c r="Q431" s="2">
        <v>107.0</v>
      </c>
      <c r="R431" s="2">
        <v>15.0</v>
      </c>
      <c r="S431" s="2">
        <v>20.5881758644828</v>
      </c>
      <c r="T431" s="2">
        <v>8.58259806409478</v>
      </c>
      <c r="U431" s="2">
        <v>0.0</v>
      </c>
      <c r="V431" s="2">
        <v>13.0</v>
      </c>
      <c r="W431" s="2">
        <v>8.0</v>
      </c>
      <c r="X431" s="2">
        <v>5.0</v>
      </c>
      <c r="Y431" s="2">
        <v>1.0</v>
      </c>
      <c r="Z431" s="2">
        <v>31.0</v>
      </c>
      <c r="AA431" s="2">
        <v>89.0</v>
      </c>
      <c r="AB431" s="2">
        <v>1.0</v>
      </c>
      <c r="AC431" s="2">
        <v>1.0</v>
      </c>
      <c r="AD431" s="2">
        <v>1.0</v>
      </c>
      <c r="AE431" s="2">
        <v>4.0</v>
      </c>
      <c r="AF431" s="2">
        <v>-12.0256646658671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23.0</v>
      </c>
      <c r="AM431" s="2">
        <v>32.0</v>
      </c>
      <c r="AN431" s="2">
        <v>302.0</v>
      </c>
      <c r="AO431" s="2">
        <v>4.0</v>
      </c>
      <c r="AP431" s="2">
        <v>0.0</v>
      </c>
      <c r="AQ431" s="2">
        <v>0.0</v>
      </c>
      <c r="AR431" s="2">
        <v>323.0</v>
      </c>
      <c r="AS431" s="2">
        <v>107.0</v>
      </c>
      <c r="AT431" s="2">
        <v>15.0</v>
      </c>
      <c r="AU431" s="2">
        <v>21.5873681493686</v>
      </c>
      <c r="AV431" s="2">
        <v>0.0</v>
      </c>
      <c r="AW431" s="2">
        <v>13.0</v>
      </c>
      <c r="AX431" s="2">
        <v>8.0</v>
      </c>
      <c r="AY431" s="2">
        <v>5.0</v>
      </c>
      <c r="AZ431" s="2">
        <v>1.0</v>
      </c>
      <c r="BA431" s="2">
        <v>0.0</v>
      </c>
      <c r="BB431" s="2">
        <v>34.0</v>
      </c>
      <c r="BC431" s="2">
        <v>0.0</v>
      </c>
      <c r="BD431" s="2">
        <v>24.0</v>
      </c>
      <c r="BE431" s="2">
        <v>5.0</v>
      </c>
      <c r="BF431" s="2">
        <v>24.0</v>
      </c>
      <c r="BG431" s="2">
        <v>0.0</v>
      </c>
      <c r="BH431" s="2">
        <v>3.0</v>
      </c>
      <c r="BI431" s="2">
        <v>29.0</v>
      </c>
      <c r="BJ431" s="2">
        <v>15.0</v>
      </c>
      <c r="BK431" s="2">
        <v>2.0</v>
      </c>
      <c r="BL431" s="2">
        <v>0.0</v>
      </c>
      <c r="BM431" s="2">
        <v>5.0</v>
      </c>
      <c r="BN431" s="2">
        <v>0.0</v>
      </c>
      <c r="BO431" s="2">
        <v>0.0</v>
      </c>
      <c r="BP431" s="2">
        <v>0.0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</v>
      </c>
      <c r="BV431" s="2">
        <v>0.0</v>
      </c>
      <c r="BW431" s="2">
        <v>6.0</v>
      </c>
      <c r="BX431" s="2">
        <v>60.0</v>
      </c>
      <c r="BY431" s="2">
        <v>5.0</v>
      </c>
      <c r="BZ431" s="2">
        <v>1.0</v>
      </c>
      <c r="CA431" s="2">
        <v>0.0</v>
      </c>
      <c r="CB431" s="2">
        <v>0.0</v>
      </c>
      <c r="CC431" s="2">
        <v>1.0</v>
      </c>
      <c r="CD431" s="2">
        <v>1.0</v>
      </c>
      <c r="CE431" s="2">
        <v>0.0</v>
      </c>
      <c r="CF431" s="2">
        <v>0.0</v>
      </c>
      <c r="CG431" s="2">
        <v>6.0</v>
      </c>
      <c r="CH431" s="2">
        <v>178.0</v>
      </c>
      <c r="CI431" s="2">
        <v>0.0</v>
      </c>
      <c r="CJ431" s="2">
        <v>0.0</v>
      </c>
      <c r="CK431" s="2">
        <v>0.0</v>
      </c>
      <c r="CL431" s="2">
        <v>0.0</v>
      </c>
      <c r="CO431" s="2">
        <v>0.0</v>
      </c>
      <c r="CP431" s="2">
        <v>0.0</v>
      </c>
      <c r="CQ431" s="2">
        <v>0.0</v>
      </c>
      <c r="CR431" s="2">
        <v>0.0</v>
      </c>
      <c r="CS431" s="2">
        <v>0.0</v>
      </c>
      <c r="CT431" s="2">
        <v>0.0</v>
      </c>
      <c r="CU431" s="2">
        <v>0.0</v>
      </c>
      <c r="CV431" s="2">
        <v>0.0</v>
      </c>
      <c r="CW431" s="2">
        <v>0.0</v>
      </c>
      <c r="CX431" s="2">
        <v>0.0</v>
      </c>
      <c r="CY431" s="2">
        <v>0.0</v>
      </c>
      <c r="CZ431" s="2">
        <v>0.0</v>
      </c>
      <c r="DD431" s="2">
        <v>0.0</v>
      </c>
      <c r="DE431" s="2">
        <v>0.0</v>
      </c>
      <c r="DF431" s="2">
        <v>0.0</v>
      </c>
      <c r="DG431" s="2">
        <v>4.0</v>
      </c>
      <c r="DH431" s="2">
        <v>4.0</v>
      </c>
      <c r="DI431" s="2">
        <v>0.0</v>
      </c>
      <c r="DJ431" s="2">
        <v>0.0</v>
      </c>
      <c r="DK431" s="2">
        <v>1.0</v>
      </c>
      <c r="DL431" s="2">
        <v>0.0</v>
      </c>
      <c r="DM431" s="2">
        <v>0.0</v>
      </c>
      <c r="DN431" s="2">
        <v>0.0</v>
      </c>
      <c r="DO431" s="2">
        <v>0.0</v>
      </c>
      <c r="DP431" s="2">
        <v>0.0</v>
      </c>
      <c r="DQ431" s="2">
        <v>2.0</v>
      </c>
      <c r="DR431" s="2">
        <v>0.0</v>
      </c>
      <c r="DS431" s="2">
        <v>51.0</v>
      </c>
      <c r="DT431" s="2">
        <v>94.0</v>
      </c>
      <c r="DU431" s="2">
        <v>2.0</v>
      </c>
      <c r="DV431" s="2">
        <v>0.0</v>
      </c>
      <c r="DW431" s="2">
        <v>1.0</v>
      </c>
      <c r="DX431" s="2">
        <v>0.0</v>
      </c>
      <c r="DY431" s="2">
        <v>1.0</v>
      </c>
      <c r="DZ431" s="2">
        <v>0.0</v>
      </c>
      <c r="EA431" s="2">
        <v>0.0</v>
      </c>
      <c r="EB431" s="2">
        <v>0.0</v>
      </c>
      <c r="EC431" s="2">
        <v>94.0</v>
      </c>
      <c r="EE431" s="2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2">
        <v>2025.0</v>
      </c>
      <c r="B432" s="2">
        <v>15.0</v>
      </c>
      <c r="C432" s="2" t="s">
        <v>202</v>
      </c>
      <c r="D432" s="2" t="s">
        <v>390</v>
      </c>
      <c r="E432" s="2" t="s">
        <v>1079</v>
      </c>
      <c r="F432" s="2" t="s">
        <v>142</v>
      </c>
      <c r="G432" s="2">
        <v>25.0</v>
      </c>
      <c r="H432" s="2">
        <v>41.0</v>
      </c>
      <c r="I432" s="2">
        <v>338.0</v>
      </c>
      <c r="J432" s="2">
        <v>3.0</v>
      </c>
      <c r="K432" s="2">
        <v>0.0</v>
      </c>
      <c r="L432" s="2">
        <v>1.0</v>
      </c>
      <c r="M432" s="2">
        <v>-12.0</v>
      </c>
      <c r="N432" s="2">
        <v>0.0</v>
      </c>
      <c r="O432" s="2">
        <v>0.0</v>
      </c>
      <c r="P432" s="2">
        <v>347.0</v>
      </c>
      <c r="Q432" s="2">
        <v>95.0</v>
      </c>
      <c r="R432" s="2">
        <v>17.0</v>
      </c>
      <c r="S432" s="2">
        <v>12.8015997034989</v>
      </c>
      <c r="T432" s="2">
        <v>-0.594461277911538</v>
      </c>
      <c r="U432" s="2">
        <v>0.0</v>
      </c>
      <c r="V432" s="2">
        <v>14.0</v>
      </c>
      <c r="W432" s="2">
        <v>9.0</v>
      </c>
      <c r="X432" s="2">
        <v>6.0</v>
      </c>
      <c r="Y432" s="2">
        <v>1.0</v>
      </c>
      <c r="Z432" s="2">
        <v>20.0</v>
      </c>
      <c r="AA432" s="2">
        <v>70.0</v>
      </c>
      <c r="AB432" s="2">
        <v>1.0</v>
      </c>
      <c r="AC432" s="2">
        <v>0.0</v>
      </c>
      <c r="AD432" s="2">
        <v>0.0</v>
      </c>
      <c r="AE432" s="2">
        <v>3.0</v>
      </c>
      <c r="AF432" s="2">
        <v>-3.1306574627965</v>
      </c>
      <c r="AG432" s="2">
        <v>0.0</v>
      </c>
      <c r="AH432" s="2">
        <v>1.0</v>
      </c>
      <c r="AI432" s="2">
        <v>0.0</v>
      </c>
      <c r="AJ432" s="2">
        <v>0.0</v>
      </c>
      <c r="AK432" s="2">
        <v>0.0</v>
      </c>
      <c r="AL432" s="2">
        <v>25.0</v>
      </c>
      <c r="AM432" s="2">
        <v>38.0</v>
      </c>
      <c r="AN432" s="2">
        <v>338.0</v>
      </c>
      <c r="AO432" s="2">
        <v>3.0</v>
      </c>
      <c r="AP432" s="2">
        <v>0.0</v>
      </c>
      <c r="AQ432" s="2">
        <v>0.0</v>
      </c>
      <c r="AR432" s="2">
        <v>347.0</v>
      </c>
      <c r="AS432" s="2">
        <v>95.0</v>
      </c>
      <c r="AT432" s="2">
        <v>17.0</v>
      </c>
      <c r="AU432" s="2">
        <v>16.496390561925</v>
      </c>
      <c r="AV432" s="2">
        <v>0.0</v>
      </c>
      <c r="AW432" s="2">
        <v>14.0</v>
      </c>
      <c r="AX432" s="2">
        <v>8.0</v>
      </c>
      <c r="AY432" s="2">
        <v>5.0</v>
      </c>
      <c r="AZ432" s="2">
        <v>1.0</v>
      </c>
      <c r="BA432" s="2">
        <v>0.0</v>
      </c>
      <c r="BB432" s="2">
        <v>38.0</v>
      </c>
      <c r="BC432" s="2">
        <v>0.0</v>
      </c>
      <c r="BD432" s="2">
        <v>34.0</v>
      </c>
      <c r="BE432" s="2">
        <v>1.0</v>
      </c>
      <c r="BF432" s="2">
        <v>8.0</v>
      </c>
      <c r="BG432" s="2">
        <v>0.0</v>
      </c>
      <c r="BH432" s="2">
        <v>2.0</v>
      </c>
      <c r="BI432" s="2">
        <v>8.0</v>
      </c>
      <c r="BJ432" s="2">
        <v>8.0</v>
      </c>
      <c r="BK432" s="2">
        <v>1.0</v>
      </c>
      <c r="BL432" s="2">
        <v>58.0</v>
      </c>
      <c r="BM432" s="2">
        <v>7.0</v>
      </c>
      <c r="BN432" s="2">
        <v>0.0</v>
      </c>
      <c r="BO432" s="2">
        <v>0.0</v>
      </c>
      <c r="BP432" s="2">
        <v>0.0</v>
      </c>
      <c r="BQ432" s="2">
        <v>0.0</v>
      </c>
      <c r="BR432" s="2">
        <v>0.0</v>
      </c>
      <c r="BS432" s="2">
        <v>0.0</v>
      </c>
      <c r="BT432" s="2">
        <v>0.0</v>
      </c>
      <c r="BU432" s="2">
        <v>0.0</v>
      </c>
      <c r="BV432" s="2">
        <v>0.0</v>
      </c>
      <c r="BW432" s="2">
        <v>4.0</v>
      </c>
      <c r="BX432" s="2">
        <v>25.0</v>
      </c>
      <c r="BY432" s="2">
        <v>5.0</v>
      </c>
      <c r="BZ432" s="2">
        <v>0.0</v>
      </c>
      <c r="CA432" s="2">
        <v>0.0</v>
      </c>
      <c r="CB432" s="2">
        <v>0.0</v>
      </c>
      <c r="CC432" s="2">
        <v>0.0</v>
      </c>
      <c r="CD432" s="2">
        <v>0.0</v>
      </c>
      <c r="CE432" s="2">
        <v>2.0</v>
      </c>
      <c r="CF432" s="2">
        <v>23.0</v>
      </c>
      <c r="CG432" s="2">
        <v>1.0</v>
      </c>
      <c r="CH432" s="2">
        <v>13.0</v>
      </c>
      <c r="CI432" s="2">
        <v>2.0</v>
      </c>
      <c r="CJ432" s="2">
        <v>3.0</v>
      </c>
      <c r="CK432" s="2">
        <v>1.0</v>
      </c>
      <c r="CL432" s="2">
        <v>0.0</v>
      </c>
      <c r="CM432" s="2">
        <v>48.0</v>
      </c>
      <c r="CN432" s="2">
        <v>0.666666666666667</v>
      </c>
      <c r="CO432" s="2">
        <v>0.0</v>
      </c>
      <c r="CP432" s="2">
        <v>1.0</v>
      </c>
      <c r="CQ432" s="2">
        <v>0.0</v>
      </c>
      <c r="CR432" s="2">
        <v>1.0</v>
      </c>
      <c r="CS432" s="2">
        <v>0.0</v>
      </c>
      <c r="CT432" s="2">
        <v>0.0</v>
      </c>
      <c r="CU432" s="2">
        <v>0.0</v>
      </c>
      <c r="CV432" s="2">
        <v>0.0</v>
      </c>
      <c r="CW432" s="2">
        <v>0.0</v>
      </c>
      <c r="CX432" s="2">
        <v>1.0</v>
      </c>
      <c r="CY432" s="2">
        <v>0.0</v>
      </c>
      <c r="CZ432" s="2">
        <v>0.0</v>
      </c>
      <c r="DA432" s="2" t="s">
        <v>2227</v>
      </c>
      <c r="DB432" s="2" t="s">
        <v>2033</v>
      </c>
      <c r="DD432" s="2">
        <v>72.0</v>
      </c>
      <c r="DE432" s="2">
        <v>43.0</v>
      </c>
      <c r="DF432" s="2">
        <v>0.0</v>
      </c>
      <c r="DG432" s="2">
        <v>4.0</v>
      </c>
      <c r="DH432" s="2">
        <v>4.0</v>
      </c>
      <c r="DI432" s="2">
        <v>0.0</v>
      </c>
      <c r="DJ432" s="2">
        <v>0.0</v>
      </c>
      <c r="DK432" s="2">
        <v>1.0</v>
      </c>
      <c r="DL432" s="2">
        <v>0.0</v>
      </c>
      <c r="DM432" s="2">
        <v>0.0</v>
      </c>
      <c r="DN432" s="2">
        <v>0.0</v>
      </c>
      <c r="DO432" s="2">
        <v>0.0</v>
      </c>
      <c r="DP432" s="2">
        <v>0.0</v>
      </c>
      <c r="DQ432" s="2">
        <v>3.0</v>
      </c>
      <c r="DR432" s="2">
        <v>0.0</v>
      </c>
      <c r="DS432" s="2">
        <v>62.0</v>
      </c>
      <c r="DT432" s="2">
        <v>150.0</v>
      </c>
      <c r="DU432" s="2">
        <v>1.0</v>
      </c>
      <c r="DV432" s="2">
        <v>0.0</v>
      </c>
      <c r="DW432" s="2">
        <v>0.0</v>
      </c>
      <c r="DX432" s="2">
        <v>1.0</v>
      </c>
      <c r="DY432" s="2">
        <v>1.0</v>
      </c>
      <c r="DZ432" s="2">
        <v>1.0</v>
      </c>
      <c r="EA432" s="2">
        <v>0.0</v>
      </c>
      <c r="EB432" s="2">
        <v>0.0</v>
      </c>
      <c r="EC432" s="2">
        <v>130.0</v>
      </c>
      <c r="EE432" s="2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2">
        <v>2025.0</v>
      </c>
      <c r="B433" s="2">
        <v>15.0</v>
      </c>
      <c r="C433" s="2" t="s">
        <v>205</v>
      </c>
      <c r="D433" s="2" t="s">
        <v>390</v>
      </c>
      <c r="E433" s="2" t="s">
        <v>1077</v>
      </c>
      <c r="F433" s="2" t="s">
        <v>139</v>
      </c>
      <c r="G433" s="2">
        <v>24.0</v>
      </c>
      <c r="H433" s="2">
        <v>40.0</v>
      </c>
      <c r="I433" s="2">
        <v>276.0</v>
      </c>
      <c r="J433" s="2">
        <v>1.0</v>
      </c>
      <c r="K433" s="2">
        <v>2.0</v>
      </c>
      <c r="L433" s="2">
        <v>3.0</v>
      </c>
      <c r="M433" s="2">
        <v>-29.0</v>
      </c>
      <c r="N433" s="2">
        <v>0.0</v>
      </c>
      <c r="O433" s="2">
        <v>0.0</v>
      </c>
      <c r="P433" s="2">
        <v>452.0</v>
      </c>
      <c r="Q433" s="2">
        <v>100.0</v>
      </c>
      <c r="R433" s="2">
        <v>12.0</v>
      </c>
      <c r="S433" s="2">
        <v>-0.530707000761573</v>
      </c>
      <c r="T433" s="2">
        <v>6.80500235822466</v>
      </c>
      <c r="U433" s="2">
        <v>0.0</v>
      </c>
      <c r="V433" s="2">
        <v>12.0</v>
      </c>
      <c r="W433" s="2">
        <v>7.0</v>
      </c>
      <c r="X433" s="2">
        <v>4.0</v>
      </c>
      <c r="Y433" s="2">
        <v>0.0</v>
      </c>
      <c r="Z433" s="2">
        <v>20.0</v>
      </c>
      <c r="AA433" s="2">
        <v>115.0</v>
      </c>
      <c r="AB433" s="2">
        <v>1.0</v>
      </c>
      <c r="AC433" s="2">
        <v>0.0</v>
      </c>
      <c r="AD433" s="2">
        <v>0.0</v>
      </c>
      <c r="AE433" s="2">
        <v>5.0</v>
      </c>
      <c r="AF433" s="2">
        <v>1.93700535587125</v>
      </c>
      <c r="AG433" s="2">
        <v>0.0</v>
      </c>
      <c r="AH433" s="2">
        <v>3.0</v>
      </c>
      <c r="AI433" s="2">
        <v>2.0</v>
      </c>
      <c r="AJ433" s="2">
        <v>2.0</v>
      </c>
      <c r="AK433" s="2">
        <v>1.0</v>
      </c>
      <c r="AL433" s="2">
        <v>24.0</v>
      </c>
      <c r="AM433" s="2">
        <v>36.0</v>
      </c>
      <c r="AN433" s="2">
        <v>276.0</v>
      </c>
      <c r="AO433" s="2">
        <v>1.0</v>
      </c>
      <c r="AP433" s="2">
        <v>0.0</v>
      </c>
      <c r="AQ433" s="2">
        <v>0.0</v>
      </c>
      <c r="AR433" s="2">
        <v>452.0</v>
      </c>
      <c r="AS433" s="2">
        <v>100.0</v>
      </c>
      <c r="AT433" s="2">
        <v>12.0</v>
      </c>
      <c r="AU433" s="2">
        <v>7.18821006513868</v>
      </c>
      <c r="AV433" s="2">
        <v>0.0</v>
      </c>
      <c r="AW433" s="2">
        <v>12.0</v>
      </c>
      <c r="AX433" s="2">
        <v>7.0</v>
      </c>
      <c r="AY433" s="2">
        <v>4.0</v>
      </c>
      <c r="AZ433" s="2">
        <v>0.0</v>
      </c>
      <c r="BA433" s="2">
        <v>0.0</v>
      </c>
      <c r="BB433" s="2">
        <v>41.0</v>
      </c>
      <c r="BC433" s="2">
        <v>1.0</v>
      </c>
      <c r="BD433" s="2">
        <v>25.0</v>
      </c>
      <c r="BE433" s="2">
        <v>3.0</v>
      </c>
      <c r="BF433" s="2">
        <v>5.0</v>
      </c>
      <c r="BG433" s="2">
        <v>1.0</v>
      </c>
      <c r="BH433" s="2">
        <v>0.0</v>
      </c>
      <c r="BI433" s="2">
        <v>0.0</v>
      </c>
      <c r="BJ433" s="2">
        <v>3.0</v>
      </c>
      <c r="BK433" s="2">
        <v>0.0</v>
      </c>
      <c r="BL433" s="2">
        <v>0.0</v>
      </c>
      <c r="BM433" s="2">
        <v>6.0</v>
      </c>
      <c r="BN433" s="2">
        <v>0.0</v>
      </c>
      <c r="BO433" s="2">
        <v>0.0</v>
      </c>
      <c r="BP433" s="2">
        <v>0.0</v>
      </c>
      <c r="BQ433" s="2">
        <v>0.0</v>
      </c>
      <c r="BR433" s="2">
        <v>0.0</v>
      </c>
      <c r="BS433" s="2">
        <v>0.0</v>
      </c>
      <c r="BT433" s="2">
        <v>1.0</v>
      </c>
      <c r="BU433" s="2">
        <v>0.0</v>
      </c>
      <c r="BV433" s="2">
        <v>0.0</v>
      </c>
      <c r="BW433" s="2">
        <v>10.0</v>
      </c>
      <c r="BX433" s="2">
        <v>72.0</v>
      </c>
      <c r="BY433" s="2">
        <v>6.0</v>
      </c>
      <c r="BZ433" s="2">
        <v>0.0</v>
      </c>
      <c r="CA433" s="2">
        <v>0.0</v>
      </c>
      <c r="CB433" s="2">
        <v>0.0</v>
      </c>
      <c r="CC433" s="2">
        <v>0.0</v>
      </c>
      <c r="CD433" s="2">
        <v>0.0</v>
      </c>
      <c r="CE433" s="2">
        <v>0.0</v>
      </c>
      <c r="CF433" s="2">
        <v>0.0</v>
      </c>
      <c r="CG433" s="2">
        <v>4.0</v>
      </c>
      <c r="CH433" s="2">
        <v>95.0</v>
      </c>
      <c r="CI433" s="2">
        <v>4.0</v>
      </c>
      <c r="CJ433" s="2">
        <v>4.0</v>
      </c>
      <c r="CK433" s="2">
        <v>0.0</v>
      </c>
      <c r="CL433" s="2">
        <v>0.0</v>
      </c>
      <c r="CM433" s="2">
        <v>53.0</v>
      </c>
      <c r="CN433" s="2">
        <v>1.0</v>
      </c>
      <c r="CO433" s="2">
        <v>0.0</v>
      </c>
      <c r="CP433" s="2">
        <v>1.0</v>
      </c>
      <c r="CQ433" s="2">
        <v>2.0</v>
      </c>
      <c r="CR433" s="2">
        <v>0.0</v>
      </c>
      <c r="CS433" s="2">
        <v>1.0</v>
      </c>
      <c r="CT433" s="2">
        <v>0.0</v>
      </c>
      <c r="CU433" s="2">
        <v>0.0</v>
      </c>
      <c r="CV433" s="2">
        <v>0.0</v>
      </c>
      <c r="CW433" s="2">
        <v>0.0</v>
      </c>
      <c r="CX433" s="2">
        <v>0.0</v>
      </c>
      <c r="CY433" s="2">
        <v>0.0</v>
      </c>
      <c r="CZ433" s="2">
        <v>0.0</v>
      </c>
      <c r="DA433" s="2" t="s">
        <v>2228</v>
      </c>
      <c r="DD433" s="2">
        <v>151.0</v>
      </c>
      <c r="DE433" s="2">
        <v>0.0</v>
      </c>
      <c r="DF433" s="2">
        <v>0.0</v>
      </c>
      <c r="DG433" s="2">
        <v>2.0</v>
      </c>
      <c r="DH433" s="2">
        <v>2.0</v>
      </c>
      <c r="DI433" s="2">
        <v>0.0</v>
      </c>
      <c r="DJ433" s="2">
        <v>0.0</v>
      </c>
      <c r="DK433" s="2">
        <v>1.0</v>
      </c>
      <c r="DL433" s="2">
        <v>0.0</v>
      </c>
      <c r="DM433" s="2">
        <v>0.0</v>
      </c>
      <c r="DN433" s="2">
        <v>0.0</v>
      </c>
      <c r="DO433" s="2">
        <v>0.0</v>
      </c>
      <c r="DP433" s="2">
        <v>0.0</v>
      </c>
      <c r="DQ433" s="2">
        <v>1.0</v>
      </c>
      <c r="DR433" s="2">
        <v>0.0</v>
      </c>
      <c r="DS433" s="2">
        <v>57.0</v>
      </c>
      <c r="DT433" s="2">
        <v>57.0</v>
      </c>
      <c r="DU433" s="2">
        <v>0.0</v>
      </c>
      <c r="DV433" s="2">
        <v>0.0</v>
      </c>
      <c r="DW433" s="2">
        <v>0.0</v>
      </c>
      <c r="DX433" s="2">
        <v>1.0</v>
      </c>
      <c r="DY433" s="2">
        <v>0.0</v>
      </c>
      <c r="DZ433" s="2">
        <v>0.0</v>
      </c>
      <c r="EA433" s="2">
        <v>0.0</v>
      </c>
      <c r="EB433" s="2">
        <v>0.0</v>
      </c>
      <c r="EC433" s="2">
        <v>37.0</v>
      </c>
      <c r="EE433" s="2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2">
        <v>2025.0</v>
      </c>
      <c r="B434" s="2">
        <v>15.0</v>
      </c>
      <c r="C434" s="2" t="s">
        <v>140</v>
      </c>
      <c r="D434" s="2" t="s">
        <v>390</v>
      </c>
      <c r="E434" s="2" t="s">
        <v>1061</v>
      </c>
      <c r="F434" s="2" t="s">
        <v>178</v>
      </c>
      <c r="G434" s="2">
        <v>22.0</v>
      </c>
      <c r="H434" s="2">
        <v>29.0</v>
      </c>
      <c r="I434" s="2">
        <v>260.0</v>
      </c>
      <c r="J434" s="2">
        <v>3.0</v>
      </c>
      <c r="K434" s="2">
        <v>0.0</v>
      </c>
      <c r="L434" s="2">
        <v>1.0</v>
      </c>
      <c r="M434" s="2">
        <v>-4.0</v>
      </c>
      <c r="N434" s="2">
        <v>0.0</v>
      </c>
      <c r="O434" s="2">
        <v>0.0</v>
      </c>
      <c r="P434" s="2">
        <v>117.0</v>
      </c>
      <c r="Q434" s="2">
        <v>173.0</v>
      </c>
      <c r="R434" s="2">
        <v>13.0</v>
      </c>
      <c r="S434" s="2">
        <v>15.1289216409486</v>
      </c>
      <c r="T434" s="2">
        <v>11.9285661440629</v>
      </c>
      <c r="U434" s="2">
        <v>0.0</v>
      </c>
      <c r="V434" s="2">
        <v>9.0</v>
      </c>
      <c r="W434" s="2">
        <v>6.0</v>
      </c>
      <c r="X434" s="2">
        <v>2.0</v>
      </c>
      <c r="Y434" s="2">
        <v>1.0</v>
      </c>
      <c r="Z434" s="2">
        <v>33.0</v>
      </c>
      <c r="AA434" s="2">
        <v>143.0</v>
      </c>
      <c r="AB434" s="2">
        <v>0.0</v>
      </c>
      <c r="AC434" s="2">
        <v>1.0</v>
      </c>
      <c r="AD434" s="2">
        <v>0.0</v>
      </c>
      <c r="AE434" s="2">
        <v>9.0</v>
      </c>
      <c r="AF434" s="2">
        <v>-0.039857974832251</v>
      </c>
      <c r="AG434" s="2">
        <v>0.0</v>
      </c>
      <c r="AH434" s="2">
        <v>4.0</v>
      </c>
      <c r="AI434" s="2">
        <v>2.0</v>
      </c>
      <c r="AJ434" s="2">
        <v>1.0</v>
      </c>
      <c r="AK434" s="2">
        <v>1.0</v>
      </c>
      <c r="AL434" s="2">
        <v>22.0</v>
      </c>
      <c r="AM434" s="2">
        <v>26.0</v>
      </c>
      <c r="AN434" s="2">
        <v>260.0</v>
      </c>
      <c r="AO434" s="2">
        <v>3.0</v>
      </c>
      <c r="AP434" s="2">
        <v>0.0</v>
      </c>
      <c r="AQ434" s="2">
        <v>0.0</v>
      </c>
      <c r="AR434" s="2">
        <v>117.0</v>
      </c>
      <c r="AS434" s="2">
        <v>173.0</v>
      </c>
      <c r="AT434" s="2">
        <v>13.0</v>
      </c>
      <c r="AU434" s="2">
        <v>17.9186218673575</v>
      </c>
      <c r="AV434" s="2">
        <v>0.0</v>
      </c>
      <c r="AW434" s="2">
        <v>9.0</v>
      </c>
      <c r="AX434" s="2">
        <v>6.0</v>
      </c>
      <c r="AY434" s="2">
        <v>2.0</v>
      </c>
      <c r="AZ434" s="2">
        <v>1.0</v>
      </c>
      <c r="BA434" s="2">
        <v>0.0</v>
      </c>
      <c r="BB434" s="2">
        <v>38.0</v>
      </c>
      <c r="BC434" s="2">
        <v>0.0</v>
      </c>
      <c r="BD434" s="2">
        <v>34.0</v>
      </c>
      <c r="BE434" s="2">
        <v>4.0</v>
      </c>
      <c r="BF434" s="2">
        <v>21.0</v>
      </c>
      <c r="BG434" s="2">
        <v>1.0</v>
      </c>
      <c r="BH434" s="2">
        <v>2.0</v>
      </c>
      <c r="BI434" s="2">
        <v>14.0</v>
      </c>
      <c r="BJ434" s="2">
        <v>3.0</v>
      </c>
      <c r="BK434" s="2">
        <v>1.0</v>
      </c>
      <c r="BL434" s="2">
        <v>0.0</v>
      </c>
      <c r="BM434" s="2">
        <v>6.0</v>
      </c>
      <c r="BN434" s="2">
        <v>0.0</v>
      </c>
      <c r="BO434" s="2">
        <v>0.0</v>
      </c>
      <c r="BP434" s="2">
        <v>0.0</v>
      </c>
      <c r="BQ434" s="2">
        <v>0.0</v>
      </c>
      <c r="BR434" s="2">
        <v>1.0</v>
      </c>
      <c r="BS434" s="2">
        <v>1.0</v>
      </c>
      <c r="BT434" s="2">
        <v>1.0</v>
      </c>
      <c r="BU434" s="2">
        <v>6.0</v>
      </c>
      <c r="BV434" s="2">
        <v>1.0</v>
      </c>
      <c r="BW434" s="2">
        <v>5.0</v>
      </c>
      <c r="BX434" s="2">
        <v>40.0</v>
      </c>
      <c r="BY434" s="2">
        <v>3.0</v>
      </c>
      <c r="BZ434" s="2">
        <v>0.0</v>
      </c>
      <c r="CA434" s="2">
        <v>1.0</v>
      </c>
      <c r="CB434" s="2">
        <v>0.0</v>
      </c>
      <c r="CC434" s="2">
        <v>1.0</v>
      </c>
      <c r="CD434" s="2">
        <v>0.0</v>
      </c>
      <c r="CE434" s="2">
        <v>1.0</v>
      </c>
      <c r="CF434" s="2">
        <v>13.0</v>
      </c>
      <c r="CG434" s="2">
        <v>2.0</v>
      </c>
      <c r="CH434" s="2">
        <v>108.0</v>
      </c>
      <c r="CI434" s="2">
        <v>4.0</v>
      </c>
      <c r="CJ434" s="2">
        <v>5.0</v>
      </c>
      <c r="CK434" s="2">
        <v>0.0</v>
      </c>
      <c r="CL434" s="2">
        <v>1.0</v>
      </c>
      <c r="CM434" s="2">
        <v>55.0</v>
      </c>
      <c r="CN434" s="2">
        <v>0.8</v>
      </c>
      <c r="CO434" s="2">
        <v>0.0</v>
      </c>
      <c r="CP434" s="2">
        <v>1.0</v>
      </c>
      <c r="CQ434" s="2">
        <v>2.0</v>
      </c>
      <c r="CR434" s="2">
        <v>0.0</v>
      </c>
      <c r="CS434" s="2">
        <v>1.0</v>
      </c>
      <c r="CT434" s="2">
        <v>0.0</v>
      </c>
      <c r="CU434" s="2">
        <v>0.0</v>
      </c>
      <c r="CV434" s="2">
        <v>0.0</v>
      </c>
      <c r="CW434" s="2">
        <v>0.0</v>
      </c>
      <c r="CX434" s="2">
        <v>0.0</v>
      </c>
      <c r="CY434" s="2">
        <v>0.0</v>
      </c>
      <c r="CZ434" s="2">
        <v>0.0</v>
      </c>
      <c r="DA434" s="2" t="s">
        <v>2229</v>
      </c>
      <c r="DC434" s="2" t="s">
        <v>2034</v>
      </c>
      <c r="DD434" s="2">
        <v>140.0</v>
      </c>
      <c r="DE434" s="2">
        <v>0.0</v>
      </c>
      <c r="DF434" s="2">
        <v>52.0</v>
      </c>
      <c r="DG434" s="2">
        <v>4.0</v>
      </c>
      <c r="DH434" s="2">
        <v>4.0</v>
      </c>
      <c r="DI434" s="2">
        <v>0.0</v>
      </c>
      <c r="DJ434" s="2">
        <v>0.0</v>
      </c>
      <c r="DK434" s="2">
        <v>1.0</v>
      </c>
      <c r="DL434" s="2">
        <v>0.0</v>
      </c>
      <c r="DM434" s="2">
        <v>0.0</v>
      </c>
      <c r="DN434" s="2">
        <v>0.0</v>
      </c>
      <c r="DO434" s="2">
        <v>0.0</v>
      </c>
      <c r="DP434" s="2">
        <v>0.0</v>
      </c>
      <c r="DQ434" s="2">
        <v>1.0</v>
      </c>
      <c r="DR434" s="2">
        <v>0.0</v>
      </c>
      <c r="DS434" s="2">
        <v>43.0</v>
      </c>
      <c r="DT434" s="2">
        <v>43.0</v>
      </c>
      <c r="DU434" s="2">
        <v>1.0</v>
      </c>
      <c r="DV434" s="2">
        <v>0.0</v>
      </c>
      <c r="DW434" s="2">
        <v>1.0</v>
      </c>
      <c r="DX434" s="2">
        <v>0.0</v>
      </c>
      <c r="DY434" s="2">
        <v>0.0</v>
      </c>
      <c r="DZ434" s="2">
        <v>0.0</v>
      </c>
      <c r="EA434" s="2">
        <v>0.0</v>
      </c>
      <c r="EB434" s="2">
        <v>0.0</v>
      </c>
      <c r="EC434" s="2">
        <v>43.0</v>
      </c>
      <c r="EE434" s="2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2">
        <v>2025.0</v>
      </c>
      <c r="B435" s="2">
        <v>15.0</v>
      </c>
      <c r="C435" s="2" t="s">
        <v>210</v>
      </c>
      <c r="D435" s="2" t="s">
        <v>390</v>
      </c>
      <c r="E435" s="2" t="s">
        <v>1083</v>
      </c>
      <c r="F435" s="2" t="s">
        <v>149</v>
      </c>
      <c r="G435" s="2">
        <v>18.0</v>
      </c>
      <c r="H435" s="2">
        <v>27.0</v>
      </c>
      <c r="I435" s="2">
        <v>120.0</v>
      </c>
      <c r="J435" s="2">
        <v>1.0</v>
      </c>
      <c r="K435" s="2">
        <v>1.0</v>
      </c>
      <c r="L435" s="2">
        <v>1.0</v>
      </c>
      <c r="M435" s="2">
        <v>-2.0</v>
      </c>
      <c r="N435" s="2">
        <v>0.0</v>
      </c>
      <c r="O435" s="2">
        <v>0.0</v>
      </c>
      <c r="P435" s="2">
        <v>142.0</v>
      </c>
      <c r="Q435" s="2">
        <v>95.0</v>
      </c>
      <c r="R435" s="2">
        <v>8.0</v>
      </c>
      <c r="S435" s="2">
        <v>-2.5333070954807</v>
      </c>
      <c r="T435" s="2">
        <v>-0.400795157139118</v>
      </c>
      <c r="U435" s="2">
        <v>0.0</v>
      </c>
      <c r="V435" s="2">
        <v>5.0</v>
      </c>
      <c r="W435" s="2">
        <v>2.0</v>
      </c>
      <c r="X435" s="2">
        <v>0.0</v>
      </c>
      <c r="Y435" s="2">
        <v>0.0</v>
      </c>
      <c r="Z435" s="2">
        <v>30.0</v>
      </c>
      <c r="AA435" s="2">
        <v>102.0</v>
      </c>
      <c r="AB435" s="2">
        <v>0.0</v>
      </c>
      <c r="AC435" s="2">
        <v>1.0</v>
      </c>
      <c r="AD435" s="2">
        <v>0.0</v>
      </c>
      <c r="AE435" s="2">
        <v>5.0</v>
      </c>
      <c r="AF435" s="2">
        <v>-3.1503749475547</v>
      </c>
      <c r="AG435" s="2">
        <v>0.0</v>
      </c>
      <c r="AH435" s="2">
        <v>1.0</v>
      </c>
      <c r="AI435" s="2">
        <v>0.0</v>
      </c>
      <c r="AJ435" s="2">
        <v>0.0</v>
      </c>
      <c r="AK435" s="2">
        <v>0.0</v>
      </c>
      <c r="AL435" s="2">
        <v>18.0</v>
      </c>
      <c r="AM435" s="2">
        <v>26.0</v>
      </c>
      <c r="AN435" s="2">
        <v>120.0</v>
      </c>
      <c r="AO435" s="2">
        <v>1.0</v>
      </c>
      <c r="AP435" s="2">
        <v>0.0</v>
      </c>
      <c r="AQ435" s="2">
        <v>0.0</v>
      </c>
      <c r="AR435" s="2">
        <v>142.0</v>
      </c>
      <c r="AS435" s="2">
        <v>95.0</v>
      </c>
      <c r="AT435" s="2">
        <v>8.0</v>
      </c>
      <c r="AU435" s="2">
        <v>-0.735204582990693</v>
      </c>
      <c r="AV435" s="2">
        <v>0.0</v>
      </c>
      <c r="AW435" s="2">
        <v>5.0</v>
      </c>
      <c r="AX435" s="2">
        <v>2.0</v>
      </c>
      <c r="AY435" s="2">
        <v>0.0</v>
      </c>
      <c r="AZ435" s="2">
        <v>0.0</v>
      </c>
      <c r="BA435" s="2">
        <v>0.0</v>
      </c>
      <c r="BB435" s="2">
        <v>39.0</v>
      </c>
      <c r="BC435" s="2">
        <v>1.0</v>
      </c>
      <c r="BD435" s="2">
        <v>21.0</v>
      </c>
      <c r="BE435" s="2">
        <v>5.0</v>
      </c>
      <c r="BF435" s="2">
        <v>15.0</v>
      </c>
      <c r="BG435" s="2">
        <v>1.0</v>
      </c>
      <c r="BH435" s="2">
        <v>1.0</v>
      </c>
      <c r="BI435" s="2">
        <v>7.0</v>
      </c>
      <c r="BJ435" s="2">
        <v>5.0</v>
      </c>
      <c r="BK435" s="2">
        <v>0.0</v>
      </c>
      <c r="BL435" s="2">
        <v>0.0</v>
      </c>
      <c r="BM435" s="2">
        <v>1.0</v>
      </c>
      <c r="BN435" s="2">
        <v>0.0</v>
      </c>
      <c r="BO435" s="2">
        <v>0.0</v>
      </c>
      <c r="BP435" s="2">
        <v>0.0</v>
      </c>
      <c r="BQ435" s="2">
        <v>0.0</v>
      </c>
      <c r="BR435" s="2">
        <v>1.0</v>
      </c>
      <c r="BS435" s="2">
        <v>-5.0</v>
      </c>
      <c r="BT435" s="2">
        <v>0.0</v>
      </c>
      <c r="BU435" s="2">
        <v>0.0</v>
      </c>
      <c r="BV435" s="2">
        <v>0.0</v>
      </c>
      <c r="BW435" s="2">
        <v>3.0</v>
      </c>
      <c r="BX435" s="2">
        <v>14.0</v>
      </c>
      <c r="BY435" s="2">
        <v>3.0</v>
      </c>
      <c r="BZ435" s="2">
        <v>0.0</v>
      </c>
      <c r="CA435" s="2">
        <v>1.0</v>
      </c>
      <c r="CB435" s="2">
        <v>0.0</v>
      </c>
      <c r="CC435" s="2">
        <v>1.0</v>
      </c>
      <c r="CD435" s="2">
        <v>0.0</v>
      </c>
      <c r="CE435" s="2">
        <v>1.0</v>
      </c>
      <c r="CF435" s="2">
        <v>2.0</v>
      </c>
      <c r="CG435" s="2">
        <v>4.0</v>
      </c>
      <c r="CH435" s="2">
        <v>123.0</v>
      </c>
      <c r="CI435" s="2">
        <v>3.0</v>
      </c>
      <c r="CJ435" s="2">
        <v>3.0</v>
      </c>
      <c r="CK435" s="2">
        <v>0.0</v>
      </c>
      <c r="CL435" s="2">
        <v>0.0</v>
      </c>
      <c r="CM435" s="2">
        <v>60.0</v>
      </c>
      <c r="CN435" s="2">
        <v>1.0</v>
      </c>
      <c r="CO435" s="2">
        <v>0.0</v>
      </c>
      <c r="CP435" s="2">
        <v>0.0</v>
      </c>
      <c r="CQ435" s="2">
        <v>0.0</v>
      </c>
      <c r="CR435" s="2">
        <v>1.0</v>
      </c>
      <c r="CS435" s="2">
        <v>1.0</v>
      </c>
      <c r="CT435" s="2">
        <v>1.0</v>
      </c>
      <c r="CU435" s="2">
        <v>0.0</v>
      </c>
      <c r="CV435" s="2">
        <v>0.0</v>
      </c>
      <c r="CW435" s="2">
        <v>0.0</v>
      </c>
      <c r="CX435" s="2">
        <v>0.0</v>
      </c>
      <c r="CY435" s="2">
        <v>0.0</v>
      </c>
      <c r="CZ435" s="2">
        <v>0.0</v>
      </c>
      <c r="DA435" s="2" t="s">
        <v>2230</v>
      </c>
      <c r="DD435" s="2">
        <v>156.0</v>
      </c>
      <c r="DE435" s="2">
        <v>0.0</v>
      </c>
      <c r="DF435" s="2">
        <v>0.0</v>
      </c>
      <c r="DG435" s="2">
        <v>1.0</v>
      </c>
      <c r="DH435" s="2">
        <v>1.0</v>
      </c>
      <c r="DI435" s="2">
        <v>0.0</v>
      </c>
      <c r="DJ435" s="2">
        <v>0.0</v>
      </c>
      <c r="DK435" s="2">
        <v>1.0</v>
      </c>
      <c r="DL435" s="2">
        <v>0.0</v>
      </c>
      <c r="DM435" s="2">
        <v>0.0</v>
      </c>
      <c r="DN435" s="2">
        <v>0.0</v>
      </c>
      <c r="DO435" s="2">
        <v>0.0</v>
      </c>
      <c r="DP435" s="2">
        <v>0.0</v>
      </c>
      <c r="DQ435" s="2">
        <v>5.0</v>
      </c>
      <c r="DR435" s="2">
        <v>0.0</v>
      </c>
      <c r="DS435" s="2">
        <v>59.0</v>
      </c>
      <c r="DT435" s="2">
        <v>228.0</v>
      </c>
      <c r="DU435" s="2">
        <v>4.0</v>
      </c>
      <c r="DV435" s="2">
        <v>0.0</v>
      </c>
      <c r="DW435" s="2">
        <v>2.0</v>
      </c>
      <c r="DX435" s="2">
        <v>1.0</v>
      </c>
      <c r="DY435" s="2">
        <v>1.0</v>
      </c>
      <c r="DZ435" s="2">
        <v>1.0</v>
      </c>
      <c r="EA435" s="2">
        <v>6.0</v>
      </c>
      <c r="EB435" s="2">
        <v>0.0</v>
      </c>
      <c r="EC435" s="2">
        <v>202.0</v>
      </c>
      <c r="EE435" s="2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2">
        <v>2025.0</v>
      </c>
      <c r="B436" s="2">
        <v>15.0</v>
      </c>
      <c r="C436" s="2" t="s">
        <v>141</v>
      </c>
      <c r="D436" s="2" t="s">
        <v>390</v>
      </c>
      <c r="E436" s="2" t="s">
        <v>1063</v>
      </c>
      <c r="F436" s="2" t="s">
        <v>238</v>
      </c>
      <c r="G436" s="2">
        <v>20.0</v>
      </c>
      <c r="H436" s="2">
        <v>32.0</v>
      </c>
      <c r="I436" s="2">
        <v>330.0</v>
      </c>
      <c r="J436" s="2">
        <v>5.0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346.0</v>
      </c>
      <c r="Q436" s="2">
        <v>104.0</v>
      </c>
      <c r="R436" s="2">
        <v>16.0</v>
      </c>
      <c r="S436" s="2">
        <v>23.7658561764067</v>
      </c>
      <c r="T436" s="2">
        <v>12.1633854295526</v>
      </c>
      <c r="U436" s="2">
        <v>0.0</v>
      </c>
      <c r="V436" s="2">
        <v>13.0</v>
      </c>
      <c r="W436" s="2">
        <v>9.0</v>
      </c>
      <c r="X436" s="2">
        <v>6.0</v>
      </c>
      <c r="Y436" s="2">
        <v>1.0</v>
      </c>
      <c r="Z436" s="2">
        <v>27.0</v>
      </c>
      <c r="AA436" s="2">
        <v>108.0</v>
      </c>
      <c r="AB436" s="2">
        <v>1.0</v>
      </c>
      <c r="AC436" s="2">
        <v>1.0</v>
      </c>
      <c r="AD436" s="2">
        <v>1.0</v>
      </c>
      <c r="AE436" s="2">
        <v>6.0</v>
      </c>
      <c r="AF436" s="2">
        <v>-5.43303277698578</v>
      </c>
      <c r="AG436" s="2">
        <v>0.0</v>
      </c>
      <c r="AH436" s="2">
        <v>2.0</v>
      </c>
      <c r="AI436" s="2">
        <v>2.0</v>
      </c>
      <c r="AJ436" s="2">
        <v>1.0</v>
      </c>
      <c r="AK436" s="2">
        <v>0.0</v>
      </c>
      <c r="AL436" s="2">
        <v>20.0</v>
      </c>
      <c r="AM436" s="2">
        <v>28.0</v>
      </c>
      <c r="AN436" s="2">
        <v>330.0</v>
      </c>
      <c r="AO436" s="2">
        <v>5.0</v>
      </c>
      <c r="AP436" s="2">
        <v>0.0</v>
      </c>
      <c r="AQ436" s="2">
        <v>0.0</v>
      </c>
      <c r="AR436" s="2">
        <v>346.0</v>
      </c>
      <c r="AS436" s="2">
        <v>104.0</v>
      </c>
      <c r="AT436" s="2">
        <v>16.0</v>
      </c>
      <c r="AU436" s="2">
        <v>28.0027003041207</v>
      </c>
      <c r="AV436" s="2">
        <v>0.0</v>
      </c>
      <c r="AW436" s="2">
        <v>13.0</v>
      </c>
      <c r="AX436" s="2">
        <v>9.0</v>
      </c>
      <c r="AY436" s="2">
        <v>6.0</v>
      </c>
      <c r="AZ436" s="2">
        <v>1.0</v>
      </c>
      <c r="BA436" s="2">
        <v>0.0</v>
      </c>
      <c r="BB436" s="2">
        <v>39.0</v>
      </c>
      <c r="BC436" s="2">
        <v>0.0</v>
      </c>
      <c r="BD436" s="2">
        <v>34.0</v>
      </c>
      <c r="BE436" s="2">
        <v>7.0</v>
      </c>
      <c r="BF436" s="2">
        <v>39.0</v>
      </c>
      <c r="BG436" s="2">
        <v>0.0</v>
      </c>
      <c r="BH436" s="2">
        <v>3.0</v>
      </c>
      <c r="BI436" s="2">
        <v>22.0</v>
      </c>
      <c r="BJ436" s="2">
        <v>7.0</v>
      </c>
      <c r="BK436" s="2">
        <v>3.0</v>
      </c>
      <c r="BL436" s="2">
        <v>5.0</v>
      </c>
      <c r="BM436" s="2">
        <v>6.0</v>
      </c>
      <c r="BN436" s="2">
        <v>0.0</v>
      </c>
      <c r="BO436" s="2">
        <v>0.0</v>
      </c>
      <c r="BP436" s="2">
        <v>0.0</v>
      </c>
      <c r="BQ436" s="2">
        <v>0.0</v>
      </c>
      <c r="BR436" s="2">
        <v>0.0</v>
      </c>
      <c r="BS436" s="2">
        <v>0.0</v>
      </c>
      <c r="BT436" s="2">
        <v>0.0</v>
      </c>
      <c r="BU436" s="2">
        <v>0.0</v>
      </c>
      <c r="BV436" s="2">
        <v>0.0</v>
      </c>
      <c r="BW436" s="2">
        <v>5.0</v>
      </c>
      <c r="BX436" s="2">
        <v>60.0</v>
      </c>
      <c r="BY436" s="2">
        <v>2.0</v>
      </c>
      <c r="BZ436" s="2">
        <v>1.0</v>
      </c>
      <c r="CA436" s="2">
        <v>0.0</v>
      </c>
      <c r="CB436" s="2">
        <v>0.0</v>
      </c>
      <c r="CC436" s="2">
        <v>1.0</v>
      </c>
      <c r="CD436" s="2">
        <v>1.0</v>
      </c>
      <c r="CE436" s="2">
        <v>0.0</v>
      </c>
      <c r="CF436" s="2">
        <v>0.0</v>
      </c>
      <c r="CG436" s="2">
        <v>4.0</v>
      </c>
      <c r="CH436" s="2">
        <v>143.0</v>
      </c>
      <c r="CI436" s="2">
        <v>2.0</v>
      </c>
      <c r="CJ436" s="2">
        <v>2.0</v>
      </c>
      <c r="CK436" s="2">
        <v>0.0</v>
      </c>
      <c r="CL436" s="2">
        <v>0.0</v>
      </c>
      <c r="CM436" s="2">
        <v>33.0</v>
      </c>
      <c r="CN436" s="2">
        <v>1.0</v>
      </c>
      <c r="CO436" s="2">
        <v>0.0</v>
      </c>
      <c r="CP436" s="2">
        <v>1.0</v>
      </c>
      <c r="CQ436" s="2">
        <v>1.0</v>
      </c>
      <c r="CR436" s="2">
        <v>0.0</v>
      </c>
      <c r="CS436" s="2">
        <v>0.0</v>
      </c>
      <c r="CT436" s="2">
        <v>0.0</v>
      </c>
      <c r="CU436" s="2">
        <v>0.0</v>
      </c>
      <c r="CV436" s="2">
        <v>0.0</v>
      </c>
      <c r="CW436" s="2">
        <v>0.0</v>
      </c>
      <c r="CX436" s="2">
        <v>0.0</v>
      </c>
      <c r="CY436" s="2">
        <v>0.0</v>
      </c>
      <c r="CZ436" s="2">
        <v>0.0</v>
      </c>
      <c r="DA436" s="2" t="s">
        <v>2231</v>
      </c>
      <c r="DD436" s="2">
        <v>55.0</v>
      </c>
      <c r="DE436" s="2">
        <v>0.0</v>
      </c>
      <c r="DF436" s="2">
        <v>0.0</v>
      </c>
      <c r="DG436" s="2">
        <v>6.0</v>
      </c>
      <c r="DH436" s="2">
        <v>6.0</v>
      </c>
      <c r="DI436" s="2">
        <v>0.0</v>
      </c>
      <c r="DJ436" s="2">
        <v>0.0</v>
      </c>
      <c r="DK436" s="2">
        <v>1.0</v>
      </c>
      <c r="DL436" s="2">
        <v>0.0</v>
      </c>
      <c r="DM436" s="2">
        <v>0.0</v>
      </c>
      <c r="DN436" s="2">
        <v>0.0</v>
      </c>
      <c r="DO436" s="2">
        <v>0.0</v>
      </c>
      <c r="DP436" s="2">
        <v>0.0</v>
      </c>
      <c r="DQ436" s="2">
        <v>2.0</v>
      </c>
      <c r="DR436" s="2">
        <v>0.0</v>
      </c>
      <c r="DS436" s="2">
        <v>57.0</v>
      </c>
      <c r="DT436" s="2">
        <v>104.0</v>
      </c>
      <c r="DU436" s="2">
        <v>0.0</v>
      </c>
      <c r="DV436" s="2">
        <v>0.0</v>
      </c>
      <c r="DW436" s="2">
        <v>0.0</v>
      </c>
      <c r="DX436" s="2">
        <v>0.0</v>
      </c>
      <c r="DY436" s="2">
        <v>0.0</v>
      </c>
      <c r="DZ436" s="2">
        <v>2.0</v>
      </c>
      <c r="EA436" s="2">
        <v>9.0</v>
      </c>
      <c r="EB436" s="2">
        <v>0.0</v>
      </c>
      <c r="EC436" s="2">
        <v>95.0</v>
      </c>
      <c r="EE436" s="2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2">
        <v>2025.0</v>
      </c>
      <c r="B437" s="2">
        <v>15.0</v>
      </c>
      <c r="C437" s="2" t="s">
        <v>143</v>
      </c>
      <c r="D437" s="2" t="s">
        <v>390</v>
      </c>
      <c r="E437" s="2" t="s">
        <v>1067</v>
      </c>
      <c r="F437" s="2" t="s">
        <v>220</v>
      </c>
      <c r="G437" s="2">
        <v>19.0</v>
      </c>
      <c r="H437" s="2">
        <v>33.0</v>
      </c>
      <c r="I437" s="2">
        <v>211.0</v>
      </c>
      <c r="J437" s="2">
        <v>0.0</v>
      </c>
      <c r="K437" s="2">
        <v>2.0</v>
      </c>
      <c r="L437" s="2">
        <v>5.0</v>
      </c>
      <c r="M437" s="2">
        <v>-21.0</v>
      </c>
      <c r="N437" s="2">
        <v>0.0</v>
      </c>
      <c r="O437" s="2">
        <v>0.0</v>
      </c>
      <c r="P437" s="2">
        <v>250.0</v>
      </c>
      <c r="Q437" s="2">
        <v>103.0</v>
      </c>
      <c r="R437" s="2">
        <v>9.0</v>
      </c>
      <c r="S437" s="2">
        <v>-4.64268985431844</v>
      </c>
      <c r="T437" s="2">
        <v>-3.66517245769501</v>
      </c>
      <c r="U437" s="2">
        <v>0.0</v>
      </c>
      <c r="V437" s="2">
        <v>8.0</v>
      </c>
      <c r="W437" s="2">
        <v>4.0</v>
      </c>
      <c r="X437" s="2">
        <v>3.0</v>
      </c>
      <c r="Y437" s="2">
        <v>0.0</v>
      </c>
      <c r="Z437" s="2">
        <v>21.0</v>
      </c>
      <c r="AA437" s="2">
        <v>49.0</v>
      </c>
      <c r="AB437" s="2">
        <v>1.0</v>
      </c>
      <c r="AC437" s="2">
        <v>0.0</v>
      </c>
      <c r="AD437" s="2">
        <v>0.0</v>
      </c>
      <c r="AE437" s="2">
        <v>6.0</v>
      </c>
      <c r="AF437" s="2">
        <v>-1.59409466770012</v>
      </c>
      <c r="AG437" s="2">
        <v>0.0</v>
      </c>
      <c r="AH437" s="2">
        <v>1.0</v>
      </c>
      <c r="AI437" s="2">
        <v>1.0</v>
      </c>
      <c r="AJ437" s="2">
        <v>0.0</v>
      </c>
      <c r="AK437" s="2">
        <v>0.0</v>
      </c>
      <c r="AL437" s="2">
        <v>19.0</v>
      </c>
      <c r="AM437" s="2">
        <v>30.0</v>
      </c>
      <c r="AN437" s="2">
        <v>211.0</v>
      </c>
      <c r="AO437" s="2">
        <v>0.0</v>
      </c>
      <c r="AP437" s="2">
        <v>0.0</v>
      </c>
      <c r="AQ437" s="2">
        <v>0.0</v>
      </c>
      <c r="AR437" s="2">
        <v>250.0</v>
      </c>
      <c r="AS437" s="2">
        <v>103.0</v>
      </c>
      <c r="AT437" s="2">
        <v>9.0</v>
      </c>
      <c r="AU437" s="2">
        <v>4.60232385882423</v>
      </c>
      <c r="AV437" s="2">
        <v>0.0</v>
      </c>
      <c r="AW437" s="2">
        <v>8.0</v>
      </c>
      <c r="AX437" s="2">
        <v>4.0</v>
      </c>
      <c r="AY437" s="2">
        <v>3.0</v>
      </c>
      <c r="AZ437" s="2">
        <v>0.0</v>
      </c>
      <c r="BA437" s="2">
        <v>0.0</v>
      </c>
      <c r="BB437" s="2">
        <v>40.0</v>
      </c>
      <c r="BC437" s="2">
        <v>1.0</v>
      </c>
      <c r="BD437" s="2">
        <v>31.0</v>
      </c>
      <c r="BE437" s="2">
        <v>6.0</v>
      </c>
      <c r="BF437" s="2">
        <v>13.0</v>
      </c>
      <c r="BG437" s="2">
        <v>0.0</v>
      </c>
      <c r="BH437" s="2">
        <v>4.0</v>
      </c>
      <c r="BI437" s="2">
        <v>9.0</v>
      </c>
      <c r="BJ437" s="2">
        <v>12.0</v>
      </c>
      <c r="BK437" s="2">
        <v>1.0</v>
      </c>
      <c r="BL437" s="2">
        <v>14.0</v>
      </c>
      <c r="BM437" s="2">
        <v>3.0</v>
      </c>
      <c r="BN437" s="2">
        <v>0.0</v>
      </c>
      <c r="BO437" s="2">
        <v>0.0</v>
      </c>
      <c r="BP437" s="2">
        <v>0.0</v>
      </c>
      <c r="BQ437" s="2">
        <v>0.0</v>
      </c>
      <c r="BR437" s="2">
        <v>0.0</v>
      </c>
      <c r="BS437" s="2">
        <v>0.0</v>
      </c>
      <c r="BT437" s="2">
        <v>0.0</v>
      </c>
      <c r="BU437" s="2">
        <v>0.0</v>
      </c>
      <c r="BV437" s="2">
        <v>0.0</v>
      </c>
      <c r="BW437" s="2">
        <v>9.0</v>
      </c>
      <c r="BX437" s="2">
        <v>64.0</v>
      </c>
      <c r="BY437" s="2">
        <v>4.0</v>
      </c>
      <c r="BZ437" s="2">
        <v>0.0</v>
      </c>
      <c r="CA437" s="2">
        <v>0.0</v>
      </c>
      <c r="CB437" s="2">
        <v>0.0</v>
      </c>
      <c r="CC437" s="2">
        <v>0.0</v>
      </c>
      <c r="CD437" s="2">
        <v>0.0</v>
      </c>
      <c r="CE437" s="2">
        <v>1.0</v>
      </c>
      <c r="CF437" s="2">
        <v>0.0</v>
      </c>
      <c r="CG437" s="2">
        <v>5.0</v>
      </c>
      <c r="CH437" s="2">
        <v>130.0</v>
      </c>
      <c r="CI437" s="2">
        <v>2.0</v>
      </c>
      <c r="CJ437" s="2">
        <v>2.0</v>
      </c>
      <c r="CK437" s="2">
        <v>0.0</v>
      </c>
      <c r="CL437" s="2">
        <v>0.0</v>
      </c>
      <c r="CM437" s="2">
        <v>47.0</v>
      </c>
      <c r="CN437" s="2">
        <v>1.0</v>
      </c>
      <c r="CO437" s="2">
        <v>0.0</v>
      </c>
      <c r="CP437" s="2">
        <v>1.0</v>
      </c>
      <c r="CQ437" s="2">
        <v>0.0</v>
      </c>
      <c r="CR437" s="2">
        <v>1.0</v>
      </c>
      <c r="CS437" s="2">
        <v>0.0</v>
      </c>
      <c r="CT437" s="2">
        <v>0.0</v>
      </c>
      <c r="CU437" s="2">
        <v>0.0</v>
      </c>
      <c r="CV437" s="2">
        <v>0.0</v>
      </c>
      <c r="CW437" s="2">
        <v>0.0</v>
      </c>
      <c r="CX437" s="2">
        <v>0.0</v>
      </c>
      <c r="CY437" s="2">
        <v>0.0</v>
      </c>
      <c r="CZ437" s="2">
        <v>0.0</v>
      </c>
      <c r="DA437" s="2" t="s">
        <v>2232</v>
      </c>
      <c r="DD437" s="2">
        <v>74.0</v>
      </c>
      <c r="DE437" s="2">
        <v>0.0</v>
      </c>
      <c r="DF437" s="2">
        <v>0.0</v>
      </c>
      <c r="DG437" s="2">
        <v>1.0</v>
      </c>
      <c r="DH437" s="2">
        <v>1.0</v>
      </c>
      <c r="DI437" s="2">
        <v>0.0</v>
      </c>
      <c r="DJ437" s="2">
        <v>0.0</v>
      </c>
      <c r="DK437" s="2">
        <v>1.0</v>
      </c>
      <c r="DL437" s="2">
        <v>0.0</v>
      </c>
      <c r="DM437" s="2">
        <v>0.0</v>
      </c>
      <c r="DN437" s="2">
        <v>0.0</v>
      </c>
      <c r="DO437" s="2">
        <v>0.0</v>
      </c>
      <c r="DP437" s="2">
        <v>0.0</v>
      </c>
      <c r="DQ437" s="2">
        <v>4.0</v>
      </c>
      <c r="DR437" s="2">
        <v>0.0</v>
      </c>
      <c r="DS437" s="2">
        <v>57.0</v>
      </c>
      <c r="DT437" s="2">
        <v>190.0</v>
      </c>
      <c r="DU437" s="2">
        <v>1.0</v>
      </c>
      <c r="DV437" s="2">
        <v>0.0</v>
      </c>
      <c r="DW437" s="2">
        <v>2.0</v>
      </c>
      <c r="DX437" s="2">
        <v>0.0</v>
      </c>
      <c r="DY437" s="2">
        <v>2.0</v>
      </c>
      <c r="DZ437" s="2">
        <v>0.0</v>
      </c>
      <c r="EA437" s="2">
        <v>0.0</v>
      </c>
      <c r="EB437" s="2">
        <v>0.0</v>
      </c>
      <c r="EC437" s="2">
        <v>190.0</v>
      </c>
      <c r="EE437" s="2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2">
        <v>2025.0</v>
      </c>
      <c r="B438" s="2">
        <v>15.0</v>
      </c>
      <c r="C438" s="2" t="s">
        <v>142</v>
      </c>
      <c r="D438" s="2" t="s">
        <v>390</v>
      </c>
      <c r="E438" s="2" t="s">
        <v>1079</v>
      </c>
      <c r="F438" s="2" t="s">
        <v>202</v>
      </c>
      <c r="G438" s="2">
        <v>24.0</v>
      </c>
      <c r="H438" s="2">
        <v>38.0</v>
      </c>
      <c r="I438" s="2">
        <v>368.0</v>
      </c>
      <c r="J438" s="2">
        <v>2.0</v>
      </c>
      <c r="K438" s="2">
        <v>1.0</v>
      </c>
      <c r="L438" s="2">
        <v>2.0</v>
      </c>
      <c r="M438" s="2">
        <v>-8.0</v>
      </c>
      <c r="N438" s="2">
        <v>0.0</v>
      </c>
      <c r="O438" s="2">
        <v>0.0</v>
      </c>
      <c r="P438" s="2">
        <v>471.0</v>
      </c>
      <c r="Q438" s="2">
        <v>120.0</v>
      </c>
      <c r="R438" s="2">
        <v>20.0</v>
      </c>
      <c r="S438" s="2">
        <v>8.23646517433645</v>
      </c>
      <c r="T438" s="2">
        <v>-0.5515403653446</v>
      </c>
      <c r="U438" s="2">
        <v>0.0</v>
      </c>
      <c r="V438" s="2">
        <v>16.0</v>
      </c>
      <c r="W438" s="2">
        <v>9.0</v>
      </c>
      <c r="X438" s="2">
        <v>7.0</v>
      </c>
      <c r="Y438" s="2">
        <v>0.0</v>
      </c>
      <c r="Z438" s="2">
        <v>29.0</v>
      </c>
      <c r="AA438" s="2">
        <v>159.0</v>
      </c>
      <c r="AB438" s="2">
        <v>3.0</v>
      </c>
      <c r="AC438" s="2">
        <v>0.0</v>
      </c>
      <c r="AD438" s="2">
        <v>0.0</v>
      </c>
      <c r="AE438" s="2">
        <v>8.0</v>
      </c>
      <c r="AF438" s="2">
        <v>5.37283446325455</v>
      </c>
      <c r="AG438" s="2">
        <v>0.0</v>
      </c>
      <c r="AH438" s="2">
        <v>3.0</v>
      </c>
      <c r="AI438" s="2">
        <v>2.0</v>
      </c>
      <c r="AJ438" s="2">
        <v>1.0</v>
      </c>
      <c r="AK438" s="2">
        <v>0.0</v>
      </c>
      <c r="AL438" s="2">
        <v>24.0</v>
      </c>
      <c r="AM438" s="2">
        <v>38.0</v>
      </c>
      <c r="AN438" s="2">
        <v>368.0</v>
      </c>
      <c r="AO438" s="2">
        <v>2.0</v>
      </c>
      <c r="AP438" s="2">
        <v>0.0</v>
      </c>
      <c r="AQ438" s="2">
        <v>0.0</v>
      </c>
      <c r="AR438" s="2">
        <v>471.0</v>
      </c>
      <c r="AS438" s="2">
        <v>120.0</v>
      </c>
      <c r="AT438" s="2">
        <v>20.0</v>
      </c>
      <c r="AU438" s="2">
        <v>11.540169001305</v>
      </c>
      <c r="AV438" s="2">
        <v>0.0</v>
      </c>
      <c r="AW438" s="2">
        <v>16.0</v>
      </c>
      <c r="AX438" s="2">
        <v>9.0</v>
      </c>
      <c r="AY438" s="2">
        <v>7.0</v>
      </c>
      <c r="AZ438" s="2">
        <v>0.0</v>
      </c>
      <c r="BA438" s="2">
        <v>0.0</v>
      </c>
      <c r="BB438" s="2">
        <v>30.0</v>
      </c>
      <c r="BC438" s="2">
        <v>2.0</v>
      </c>
      <c r="BD438" s="2">
        <v>30.0</v>
      </c>
      <c r="BE438" s="2">
        <v>3.0</v>
      </c>
      <c r="BF438" s="2">
        <v>16.0</v>
      </c>
      <c r="BG438" s="2">
        <v>0.0</v>
      </c>
      <c r="BH438" s="2">
        <v>1.0</v>
      </c>
      <c r="BI438" s="2">
        <v>12.0</v>
      </c>
      <c r="BJ438" s="2">
        <v>8.0</v>
      </c>
      <c r="BK438" s="2">
        <v>0.0</v>
      </c>
      <c r="BL438" s="2">
        <v>0.0</v>
      </c>
      <c r="BM438" s="2">
        <v>2.0</v>
      </c>
      <c r="BN438" s="2">
        <v>0.0</v>
      </c>
      <c r="BO438" s="2">
        <v>0.0</v>
      </c>
      <c r="BP438" s="2">
        <v>0.0</v>
      </c>
      <c r="BQ438" s="2">
        <v>0.0</v>
      </c>
      <c r="BR438" s="2">
        <v>1.0</v>
      </c>
      <c r="BS438" s="2">
        <v>0.0</v>
      </c>
      <c r="BT438" s="2">
        <v>0.0</v>
      </c>
      <c r="BU438" s="2">
        <v>0.0</v>
      </c>
      <c r="BV438" s="2">
        <v>0.0</v>
      </c>
      <c r="BW438" s="2">
        <v>2.0</v>
      </c>
      <c r="BX438" s="2">
        <v>8.0</v>
      </c>
      <c r="BY438" s="2">
        <v>4.0</v>
      </c>
      <c r="BZ438" s="2">
        <v>0.0</v>
      </c>
      <c r="CA438" s="2">
        <v>1.0</v>
      </c>
      <c r="CB438" s="2">
        <v>0.0</v>
      </c>
      <c r="CC438" s="2">
        <v>1.0</v>
      </c>
      <c r="CD438" s="2">
        <v>0.0</v>
      </c>
      <c r="CE438" s="2">
        <v>1.0</v>
      </c>
      <c r="CF438" s="2">
        <v>0.0</v>
      </c>
      <c r="CG438" s="2">
        <v>6.0</v>
      </c>
      <c r="CH438" s="2">
        <v>162.0</v>
      </c>
      <c r="CI438" s="2">
        <v>2.0</v>
      </c>
      <c r="CJ438" s="2">
        <v>2.0</v>
      </c>
      <c r="CK438" s="2">
        <v>0.0</v>
      </c>
      <c r="CL438" s="2">
        <v>0.0</v>
      </c>
      <c r="CM438" s="2">
        <v>44.0</v>
      </c>
      <c r="CN438" s="2">
        <v>1.0</v>
      </c>
      <c r="CO438" s="2">
        <v>0.0</v>
      </c>
      <c r="CP438" s="2">
        <v>0.0</v>
      </c>
      <c r="CQ438" s="2">
        <v>1.0</v>
      </c>
      <c r="CR438" s="2">
        <v>1.0</v>
      </c>
      <c r="CS438" s="2">
        <v>0.0</v>
      </c>
      <c r="CT438" s="2">
        <v>0.0</v>
      </c>
      <c r="CU438" s="2">
        <v>0.0</v>
      </c>
      <c r="CV438" s="2">
        <v>0.0</v>
      </c>
      <c r="CW438" s="2">
        <v>0.0</v>
      </c>
      <c r="CX438" s="2">
        <v>0.0</v>
      </c>
      <c r="CY438" s="2">
        <v>0.0</v>
      </c>
      <c r="CZ438" s="2">
        <v>0.0</v>
      </c>
      <c r="DA438" s="2" t="s">
        <v>2233</v>
      </c>
      <c r="DD438" s="2">
        <v>81.0</v>
      </c>
      <c r="DE438" s="2">
        <v>0.0</v>
      </c>
      <c r="DF438" s="2">
        <v>0.0</v>
      </c>
      <c r="DG438" s="2">
        <v>5.0</v>
      </c>
      <c r="DH438" s="2">
        <v>5.0</v>
      </c>
      <c r="DI438" s="2">
        <v>0.0</v>
      </c>
      <c r="DJ438" s="2">
        <v>0.0</v>
      </c>
      <c r="DK438" s="2">
        <v>1.0</v>
      </c>
      <c r="DL438" s="2">
        <v>0.0</v>
      </c>
      <c r="DM438" s="2">
        <v>0.0</v>
      </c>
      <c r="DN438" s="2">
        <v>0.0</v>
      </c>
      <c r="DO438" s="2">
        <v>0.0</v>
      </c>
      <c r="DP438" s="2">
        <v>0.0</v>
      </c>
      <c r="DQ438" s="2">
        <v>3.0</v>
      </c>
      <c r="DR438" s="2">
        <v>0.0</v>
      </c>
      <c r="DS438" s="2">
        <v>52.0</v>
      </c>
      <c r="DT438" s="2">
        <v>149.0</v>
      </c>
      <c r="DU438" s="2">
        <v>0.0</v>
      </c>
      <c r="DV438" s="2">
        <v>0.0</v>
      </c>
      <c r="DW438" s="2">
        <v>0.0</v>
      </c>
      <c r="DX438" s="2">
        <v>1.0</v>
      </c>
      <c r="DY438" s="2">
        <v>0.0</v>
      </c>
      <c r="DZ438" s="2">
        <v>2.0</v>
      </c>
      <c r="EA438" s="2">
        <v>23.0</v>
      </c>
      <c r="EB438" s="2">
        <v>0.0</v>
      </c>
      <c r="EC438" s="2">
        <v>106.0</v>
      </c>
      <c r="EE438" s="2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2">
        <v>2025.0</v>
      </c>
      <c r="B439" s="2">
        <v>15.0</v>
      </c>
      <c r="C439" s="2" t="s">
        <v>220</v>
      </c>
      <c r="D439" s="2" t="s">
        <v>390</v>
      </c>
      <c r="E439" s="2" t="s">
        <v>1067</v>
      </c>
      <c r="F439" s="2" t="s">
        <v>143</v>
      </c>
      <c r="G439" s="2">
        <v>19.0</v>
      </c>
      <c r="H439" s="2">
        <v>29.0</v>
      </c>
      <c r="I439" s="2">
        <v>210.0</v>
      </c>
      <c r="J439" s="2">
        <v>1.0</v>
      </c>
      <c r="K439" s="2">
        <v>1.0</v>
      </c>
      <c r="L439" s="2">
        <v>4.0</v>
      </c>
      <c r="M439" s="2">
        <v>-9.0</v>
      </c>
      <c r="N439" s="2">
        <v>0.0</v>
      </c>
      <c r="O439" s="2">
        <v>0.0</v>
      </c>
      <c r="P439" s="2">
        <v>198.0</v>
      </c>
      <c r="Q439" s="2">
        <v>83.0</v>
      </c>
      <c r="R439" s="2">
        <v>9.0</v>
      </c>
      <c r="S439" s="2">
        <v>0.433579213286632</v>
      </c>
      <c r="T439" s="2">
        <v>5.86950274614187</v>
      </c>
      <c r="U439" s="2">
        <v>0.0</v>
      </c>
      <c r="V439" s="2">
        <v>8.0</v>
      </c>
      <c r="W439" s="2">
        <v>3.0</v>
      </c>
      <c r="X439" s="2">
        <v>2.0</v>
      </c>
      <c r="Y439" s="2">
        <v>0.0</v>
      </c>
      <c r="Z439" s="2">
        <v>29.0</v>
      </c>
      <c r="AA439" s="2">
        <v>94.0</v>
      </c>
      <c r="AB439" s="2">
        <v>0.0</v>
      </c>
      <c r="AC439" s="2">
        <v>0.0</v>
      </c>
      <c r="AD439" s="2">
        <v>0.0</v>
      </c>
      <c r="AE439" s="2">
        <v>6.0</v>
      </c>
      <c r="AF439" s="2">
        <v>-3.18842878768693</v>
      </c>
      <c r="AG439" s="2">
        <v>0.0</v>
      </c>
      <c r="AH439" s="2">
        <v>1.0</v>
      </c>
      <c r="AI439" s="2">
        <v>1.0</v>
      </c>
      <c r="AJ439" s="2">
        <v>1.0</v>
      </c>
      <c r="AK439" s="2">
        <v>0.0</v>
      </c>
      <c r="AL439" s="2">
        <v>19.0</v>
      </c>
      <c r="AM439" s="2">
        <v>26.0</v>
      </c>
      <c r="AN439" s="2">
        <v>210.0</v>
      </c>
      <c r="AO439" s="2">
        <v>1.0</v>
      </c>
      <c r="AP439" s="2">
        <v>1.0</v>
      </c>
      <c r="AQ439" s="2">
        <v>0.0</v>
      </c>
      <c r="AR439" s="2">
        <v>198.0</v>
      </c>
      <c r="AS439" s="2">
        <v>83.0</v>
      </c>
      <c r="AT439" s="2">
        <v>9.0</v>
      </c>
      <c r="AU439" s="2">
        <v>8.57501432317076</v>
      </c>
      <c r="AV439" s="2">
        <v>0.0</v>
      </c>
      <c r="AW439" s="2">
        <v>8.0</v>
      </c>
      <c r="AX439" s="2">
        <v>3.0</v>
      </c>
      <c r="AY439" s="2">
        <v>2.0</v>
      </c>
      <c r="AZ439" s="2">
        <v>0.0</v>
      </c>
      <c r="BA439" s="2">
        <v>0.0</v>
      </c>
      <c r="BB439" s="2">
        <v>33.0</v>
      </c>
      <c r="BC439" s="2">
        <v>3.0</v>
      </c>
      <c r="BD439" s="2">
        <v>33.0</v>
      </c>
      <c r="BE439" s="2">
        <v>9.0</v>
      </c>
      <c r="BF439" s="2">
        <v>31.0</v>
      </c>
      <c r="BG439" s="2">
        <v>0.0</v>
      </c>
      <c r="BH439" s="2">
        <v>5.0</v>
      </c>
      <c r="BI439" s="2">
        <v>21.0</v>
      </c>
      <c r="BJ439" s="2">
        <v>9.0</v>
      </c>
      <c r="BK439" s="2">
        <v>2.0</v>
      </c>
      <c r="BL439" s="2">
        <v>0.0</v>
      </c>
      <c r="BM439" s="2">
        <v>5.0</v>
      </c>
      <c r="BN439" s="2">
        <v>0.0</v>
      </c>
      <c r="BO439" s="2">
        <v>0.0</v>
      </c>
      <c r="BP439" s="2">
        <v>0.0</v>
      </c>
      <c r="BQ439" s="2">
        <v>0.0</v>
      </c>
      <c r="BR439" s="2">
        <v>1.0</v>
      </c>
      <c r="BS439" s="2">
        <v>2.0</v>
      </c>
      <c r="BT439" s="2">
        <v>0.0</v>
      </c>
      <c r="BU439" s="2">
        <v>0.0</v>
      </c>
      <c r="BV439" s="2">
        <v>0.0</v>
      </c>
      <c r="BW439" s="2">
        <v>5.0</v>
      </c>
      <c r="BX439" s="2">
        <v>50.0</v>
      </c>
      <c r="BY439" s="2">
        <v>2.0</v>
      </c>
      <c r="BZ439" s="2">
        <v>0.0</v>
      </c>
      <c r="CA439" s="2">
        <v>1.0</v>
      </c>
      <c r="CB439" s="2">
        <v>0.0</v>
      </c>
      <c r="CC439" s="2">
        <v>1.0</v>
      </c>
      <c r="CD439" s="2">
        <v>0.0</v>
      </c>
      <c r="CE439" s="2">
        <v>0.0</v>
      </c>
      <c r="CF439" s="2">
        <v>0.0</v>
      </c>
      <c r="CG439" s="2">
        <v>4.0</v>
      </c>
      <c r="CH439" s="2">
        <v>93.0</v>
      </c>
      <c r="CI439" s="2">
        <v>3.0</v>
      </c>
      <c r="CJ439" s="2">
        <v>3.0</v>
      </c>
      <c r="CK439" s="2">
        <v>0.0</v>
      </c>
      <c r="CL439" s="2">
        <v>0.0</v>
      </c>
      <c r="CM439" s="2">
        <v>49.0</v>
      </c>
      <c r="CN439" s="2">
        <v>1.0</v>
      </c>
      <c r="CO439" s="2">
        <v>0.0</v>
      </c>
      <c r="CP439" s="2">
        <v>1.0</v>
      </c>
      <c r="CQ439" s="2">
        <v>0.0</v>
      </c>
      <c r="CR439" s="2">
        <v>2.0</v>
      </c>
      <c r="CS439" s="2">
        <v>0.0</v>
      </c>
      <c r="CT439" s="2">
        <v>0.0</v>
      </c>
      <c r="CU439" s="2">
        <v>0.0</v>
      </c>
      <c r="CV439" s="2">
        <v>0.0</v>
      </c>
      <c r="CW439" s="2">
        <v>0.0</v>
      </c>
      <c r="CX439" s="2">
        <v>0.0</v>
      </c>
      <c r="CY439" s="2">
        <v>0.0</v>
      </c>
      <c r="CZ439" s="2">
        <v>0.0</v>
      </c>
      <c r="DA439" s="2" t="s">
        <v>2234</v>
      </c>
      <c r="DD439" s="2">
        <v>121.0</v>
      </c>
      <c r="DE439" s="2">
        <v>0.0</v>
      </c>
      <c r="DF439" s="2">
        <v>0.0</v>
      </c>
      <c r="DG439" s="2">
        <v>1.0</v>
      </c>
      <c r="DH439" s="2">
        <v>1.0</v>
      </c>
      <c r="DI439" s="2">
        <v>0.0</v>
      </c>
      <c r="DJ439" s="2">
        <v>0.0</v>
      </c>
      <c r="DK439" s="2">
        <v>1.0</v>
      </c>
      <c r="DL439" s="2">
        <v>0.0</v>
      </c>
      <c r="DM439" s="2">
        <v>0.0</v>
      </c>
      <c r="DN439" s="2">
        <v>0.0</v>
      </c>
      <c r="DO439" s="2">
        <v>0.0</v>
      </c>
      <c r="DP439" s="2">
        <v>0.0</v>
      </c>
      <c r="DQ439" s="2">
        <v>4.0</v>
      </c>
      <c r="DR439" s="2">
        <v>0.0</v>
      </c>
      <c r="DS439" s="2">
        <v>48.0</v>
      </c>
      <c r="DT439" s="2">
        <v>150.0</v>
      </c>
      <c r="DU439" s="2">
        <v>3.0</v>
      </c>
      <c r="DV439" s="2">
        <v>0.0</v>
      </c>
      <c r="DW439" s="2">
        <v>0.0</v>
      </c>
      <c r="DX439" s="2">
        <v>0.0</v>
      </c>
      <c r="DY439" s="2">
        <v>3.0</v>
      </c>
      <c r="DZ439" s="2">
        <v>1.0</v>
      </c>
      <c r="EA439" s="2">
        <v>0.0</v>
      </c>
      <c r="EB439" s="2">
        <v>0.0</v>
      </c>
      <c r="EC439" s="2">
        <v>150.0</v>
      </c>
      <c r="EE439" s="2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2">
        <v>2025.0</v>
      </c>
      <c r="B440" s="2">
        <v>15.0</v>
      </c>
      <c r="C440" s="2" t="s">
        <v>222</v>
      </c>
      <c r="D440" s="2" t="s">
        <v>390</v>
      </c>
      <c r="E440" s="2" t="s">
        <v>1073</v>
      </c>
      <c r="F440" s="2" t="s">
        <v>147</v>
      </c>
      <c r="G440" s="2">
        <v>15.0</v>
      </c>
      <c r="H440" s="2">
        <v>25.0</v>
      </c>
      <c r="I440" s="2">
        <v>64.0</v>
      </c>
      <c r="J440" s="2">
        <v>0.0</v>
      </c>
      <c r="K440" s="2">
        <v>1.0</v>
      </c>
      <c r="L440" s="2">
        <v>4.0</v>
      </c>
      <c r="M440" s="2">
        <v>-35.0</v>
      </c>
      <c r="N440" s="2">
        <v>0.0</v>
      </c>
      <c r="O440" s="2">
        <v>0.0</v>
      </c>
      <c r="P440" s="2">
        <v>106.0</v>
      </c>
      <c r="Q440" s="2">
        <v>36.0</v>
      </c>
      <c r="R440" s="2">
        <v>4.0</v>
      </c>
      <c r="S440" s="2">
        <v>-16.7282081663143</v>
      </c>
      <c r="T440" s="2">
        <v>-10.130075097084</v>
      </c>
      <c r="U440" s="2">
        <v>0.0</v>
      </c>
      <c r="V440" s="2">
        <v>2.0</v>
      </c>
      <c r="W440" s="2">
        <v>0.0</v>
      </c>
      <c r="X440" s="2">
        <v>0.0</v>
      </c>
      <c r="Y440" s="2">
        <v>0.0</v>
      </c>
      <c r="Z440" s="2">
        <v>13.0</v>
      </c>
      <c r="AA440" s="2">
        <v>46.0</v>
      </c>
      <c r="AB440" s="2">
        <v>0.0</v>
      </c>
      <c r="AC440" s="2">
        <v>0.0</v>
      </c>
      <c r="AD440" s="2">
        <v>0.0</v>
      </c>
      <c r="AE440" s="2">
        <v>2.0</v>
      </c>
      <c r="AF440" s="2">
        <v>-0.500178002868779</v>
      </c>
      <c r="AG440" s="2">
        <v>0.0</v>
      </c>
      <c r="AH440" s="2">
        <v>1.0</v>
      </c>
      <c r="AI440" s="2">
        <v>0.0</v>
      </c>
      <c r="AJ440" s="2">
        <v>0.0</v>
      </c>
      <c r="AK440" s="2">
        <v>0.0</v>
      </c>
      <c r="AL440" s="2">
        <v>15.0</v>
      </c>
      <c r="AM440" s="2">
        <v>25.0</v>
      </c>
      <c r="AN440" s="2">
        <v>64.0</v>
      </c>
      <c r="AO440" s="2">
        <v>0.0</v>
      </c>
      <c r="AP440" s="2">
        <v>0.0</v>
      </c>
      <c r="AQ440" s="2">
        <v>0.0</v>
      </c>
      <c r="AR440" s="2">
        <v>106.0</v>
      </c>
      <c r="AS440" s="2">
        <v>36.0</v>
      </c>
      <c r="AT440" s="2">
        <v>4.0</v>
      </c>
      <c r="AU440" s="2">
        <v>-13.0359650535975</v>
      </c>
      <c r="AV440" s="2">
        <v>0.0</v>
      </c>
      <c r="AW440" s="2">
        <v>2.0</v>
      </c>
      <c r="AX440" s="2">
        <v>0.0</v>
      </c>
      <c r="AY440" s="2">
        <v>0.0</v>
      </c>
      <c r="AZ440" s="2">
        <v>0.0</v>
      </c>
      <c r="BA440" s="2">
        <v>0.0</v>
      </c>
      <c r="BB440" s="2">
        <v>44.0</v>
      </c>
      <c r="BC440" s="2">
        <v>0.0</v>
      </c>
      <c r="BD440" s="2">
        <v>40.0</v>
      </c>
      <c r="BE440" s="2">
        <v>8.0</v>
      </c>
      <c r="BF440" s="2">
        <v>19.0</v>
      </c>
      <c r="BG440" s="2">
        <v>0.0</v>
      </c>
      <c r="BH440" s="2">
        <v>1.0</v>
      </c>
      <c r="BI440" s="2">
        <v>4.0</v>
      </c>
      <c r="BJ440" s="2">
        <v>1.0</v>
      </c>
      <c r="BK440" s="2">
        <v>0.0</v>
      </c>
      <c r="BL440" s="2">
        <v>0.0</v>
      </c>
      <c r="BM440" s="2">
        <v>0.0</v>
      </c>
      <c r="BN440" s="2">
        <v>0.0</v>
      </c>
      <c r="BO440" s="2">
        <v>0.0</v>
      </c>
      <c r="BP440" s="2">
        <v>0.0</v>
      </c>
      <c r="BQ440" s="2">
        <v>0.0</v>
      </c>
      <c r="BR440" s="2">
        <v>0.0</v>
      </c>
      <c r="BS440" s="2">
        <v>0.0</v>
      </c>
      <c r="BT440" s="2">
        <v>0.0</v>
      </c>
      <c r="BU440" s="2">
        <v>0.0</v>
      </c>
      <c r="BV440" s="2">
        <v>0.0</v>
      </c>
      <c r="BW440" s="2">
        <v>3.0</v>
      </c>
      <c r="BX440" s="2">
        <v>39.0</v>
      </c>
      <c r="BY440" s="2">
        <v>0.0</v>
      </c>
      <c r="BZ440" s="2">
        <v>0.0</v>
      </c>
      <c r="CA440" s="2">
        <v>0.0</v>
      </c>
      <c r="CB440" s="2">
        <v>0.0</v>
      </c>
      <c r="CC440" s="2">
        <v>0.0</v>
      </c>
      <c r="CD440" s="2">
        <v>0.0</v>
      </c>
      <c r="CE440" s="2">
        <v>0.0</v>
      </c>
      <c r="CF440" s="2">
        <v>0.0</v>
      </c>
      <c r="CG440" s="2">
        <v>5.0</v>
      </c>
      <c r="CH440" s="2">
        <v>117.0</v>
      </c>
      <c r="CI440" s="2">
        <v>0.0</v>
      </c>
      <c r="CJ440" s="2">
        <v>0.0</v>
      </c>
      <c r="CK440" s="2">
        <v>0.0</v>
      </c>
      <c r="CL440" s="2">
        <v>0.0</v>
      </c>
      <c r="CO440" s="2">
        <v>0.0</v>
      </c>
      <c r="CP440" s="2">
        <v>0.0</v>
      </c>
      <c r="CQ440" s="2">
        <v>0.0</v>
      </c>
      <c r="CR440" s="2">
        <v>0.0</v>
      </c>
      <c r="CS440" s="2">
        <v>0.0</v>
      </c>
      <c r="CT440" s="2">
        <v>0.0</v>
      </c>
      <c r="CU440" s="2">
        <v>0.0</v>
      </c>
      <c r="CV440" s="2">
        <v>0.0</v>
      </c>
      <c r="CW440" s="2">
        <v>0.0</v>
      </c>
      <c r="CX440" s="2">
        <v>0.0</v>
      </c>
      <c r="CY440" s="2">
        <v>0.0</v>
      </c>
      <c r="CZ440" s="2">
        <v>0.0</v>
      </c>
      <c r="DD440" s="2">
        <v>0.0</v>
      </c>
      <c r="DE440" s="2">
        <v>0.0</v>
      </c>
      <c r="DF440" s="2">
        <v>0.0</v>
      </c>
      <c r="DG440" s="2">
        <v>0.0</v>
      </c>
      <c r="DH440" s="2">
        <v>0.0</v>
      </c>
      <c r="DI440" s="2">
        <v>0.0</v>
      </c>
      <c r="DJ440" s="2">
        <v>0.0</v>
      </c>
      <c r="DL440" s="2">
        <v>0.0</v>
      </c>
      <c r="DM440" s="2">
        <v>0.0</v>
      </c>
      <c r="DN440" s="2">
        <v>0.0</v>
      </c>
      <c r="DO440" s="2">
        <v>0.0</v>
      </c>
      <c r="DP440" s="2">
        <v>0.0</v>
      </c>
      <c r="DQ440" s="2">
        <v>5.0</v>
      </c>
      <c r="DR440" s="2">
        <v>0.0</v>
      </c>
      <c r="DS440" s="2">
        <v>52.0</v>
      </c>
      <c r="DT440" s="2">
        <v>223.0</v>
      </c>
      <c r="DU440" s="2">
        <v>0.0</v>
      </c>
      <c r="DV440" s="2">
        <v>2.0</v>
      </c>
      <c r="DW440" s="2">
        <v>0.0</v>
      </c>
      <c r="DX440" s="2">
        <v>0.0</v>
      </c>
      <c r="DY440" s="2">
        <v>0.0</v>
      </c>
      <c r="DZ440" s="2">
        <v>3.0</v>
      </c>
      <c r="EA440" s="2">
        <v>22.0</v>
      </c>
      <c r="EB440" s="2">
        <v>0.0</v>
      </c>
      <c r="EC440" s="2">
        <v>201.0</v>
      </c>
      <c r="EE440" s="2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2">
        <v>2025.0</v>
      </c>
      <c r="B441" s="2">
        <v>15.0</v>
      </c>
      <c r="C441" s="2" t="s">
        <v>225</v>
      </c>
      <c r="D441" s="2" t="s">
        <v>390</v>
      </c>
      <c r="E441" s="2" t="s">
        <v>1091</v>
      </c>
      <c r="F441" s="2" t="s">
        <v>242</v>
      </c>
      <c r="G441" s="2">
        <v>22.0</v>
      </c>
      <c r="H441" s="2">
        <v>28.0</v>
      </c>
      <c r="I441" s="2">
        <v>253.0</v>
      </c>
      <c r="J441" s="2">
        <v>2.0</v>
      </c>
      <c r="K441" s="2">
        <v>1.0</v>
      </c>
      <c r="L441" s="2">
        <v>4.0</v>
      </c>
      <c r="M441" s="2">
        <v>-31.0</v>
      </c>
      <c r="N441" s="2">
        <v>0.0</v>
      </c>
      <c r="O441" s="2">
        <v>0.0</v>
      </c>
      <c r="P441" s="2">
        <v>171.0</v>
      </c>
      <c r="Q441" s="2">
        <v>135.0</v>
      </c>
      <c r="R441" s="2">
        <v>15.0</v>
      </c>
      <c r="S441" s="2">
        <v>2.64083932511881</v>
      </c>
      <c r="T441" s="2">
        <v>15.5091152741359</v>
      </c>
      <c r="U441" s="2">
        <v>0.0</v>
      </c>
      <c r="V441" s="2">
        <v>11.0</v>
      </c>
      <c r="W441" s="2">
        <v>7.0</v>
      </c>
      <c r="X441" s="2">
        <v>4.0</v>
      </c>
      <c r="Y441" s="2">
        <v>0.0</v>
      </c>
      <c r="Z441" s="2">
        <v>16.0</v>
      </c>
      <c r="AA441" s="2">
        <v>63.0</v>
      </c>
      <c r="AB441" s="2">
        <v>0.0</v>
      </c>
      <c r="AC441" s="2">
        <v>0.0</v>
      </c>
      <c r="AD441" s="2">
        <v>0.0</v>
      </c>
      <c r="AE441" s="2">
        <v>1.0</v>
      </c>
      <c r="AF441" s="2">
        <v>-4.6547752951756</v>
      </c>
      <c r="AG441" s="2">
        <v>0.0</v>
      </c>
      <c r="AH441" s="2">
        <v>1.0</v>
      </c>
      <c r="AI441" s="2">
        <v>1.0</v>
      </c>
      <c r="AJ441" s="2">
        <v>0.0</v>
      </c>
      <c r="AK441" s="2">
        <v>0.0</v>
      </c>
      <c r="AL441" s="2">
        <v>22.0</v>
      </c>
      <c r="AM441" s="2">
        <v>26.0</v>
      </c>
      <c r="AN441" s="2">
        <v>253.0</v>
      </c>
      <c r="AO441" s="2">
        <v>2.0</v>
      </c>
      <c r="AP441" s="2">
        <v>0.0</v>
      </c>
      <c r="AQ441" s="2">
        <v>0.0</v>
      </c>
      <c r="AR441" s="2">
        <v>171.0</v>
      </c>
      <c r="AS441" s="2">
        <v>135.0</v>
      </c>
      <c r="AT441" s="2">
        <v>15.0</v>
      </c>
      <c r="AU441" s="2">
        <v>9.61049639320141</v>
      </c>
      <c r="AV441" s="2">
        <v>0.0</v>
      </c>
      <c r="AW441" s="2">
        <v>11.0</v>
      </c>
      <c r="AX441" s="2">
        <v>7.0</v>
      </c>
      <c r="AY441" s="2">
        <v>4.0</v>
      </c>
      <c r="AZ441" s="2">
        <v>0.0</v>
      </c>
      <c r="BA441" s="2">
        <v>0.0</v>
      </c>
      <c r="BB441" s="2">
        <v>44.0</v>
      </c>
      <c r="BC441" s="2">
        <v>0.0</v>
      </c>
      <c r="BD441" s="2">
        <v>32.0</v>
      </c>
      <c r="BE441" s="2">
        <v>5.0</v>
      </c>
      <c r="BF441" s="2">
        <v>26.0</v>
      </c>
      <c r="BG441" s="2">
        <v>0.0</v>
      </c>
      <c r="BH441" s="2">
        <v>3.0</v>
      </c>
      <c r="BI441" s="2">
        <v>23.0</v>
      </c>
      <c r="BJ441" s="2">
        <v>3.0</v>
      </c>
      <c r="BK441" s="2">
        <v>0.0</v>
      </c>
      <c r="BL441" s="2">
        <v>0.0</v>
      </c>
      <c r="BM441" s="2">
        <v>2.0</v>
      </c>
      <c r="BN441" s="2">
        <v>0.0</v>
      </c>
      <c r="BO441" s="2">
        <v>0.0</v>
      </c>
      <c r="BP441" s="2">
        <v>0.0</v>
      </c>
      <c r="BQ441" s="2">
        <v>0.0</v>
      </c>
      <c r="BR441" s="2">
        <v>0.0</v>
      </c>
      <c r="BS441" s="2">
        <v>0.0</v>
      </c>
      <c r="BT441" s="2">
        <v>0.0</v>
      </c>
      <c r="BU441" s="2">
        <v>0.0</v>
      </c>
      <c r="BV441" s="2">
        <v>0.0</v>
      </c>
      <c r="BW441" s="2">
        <v>6.0</v>
      </c>
      <c r="BX441" s="2">
        <v>31.0</v>
      </c>
      <c r="BY441" s="2">
        <v>6.0</v>
      </c>
      <c r="BZ441" s="2">
        <v>0.0</v>
      </c>
      <c r="CA441" s="2">
        <v>0.0</v>
      </c>
      <c r="CB441" s="2">
        <v>0.0</v>
      </c>
      <c r="CC441" s="2">
        <v>0.0</v>
      </c>
      <c r="CD441" s="2">
        <v>0.0</v>
      </c>
      <c r="CE441" s="2">
        <v>2.0</v>
      </c>
      <c r="CF441" s="2">
        <v>14.0</v>
      </c>
      <c r="CG441" s="2">
        <v>3.0</v>
      </c>
      <c r="CH441" s="2">
        <v>74.0</v>
      </c>
      <c r="CI441" s="2">
        <v>1.0</v>
      </c>
      <c r="CJ441" s="2">
        <v>1.0</v>
      </c>
      <c r="CK441" s="2">
        <v>0.0</v>
      </c>
      <c r="CL441" s="2">
        <v>0.0</v>
      </c>
      <c r="CM441" s="2">
        <v>54.0</v>
      </c>
      <c r="CN441" s="2">
        <v>1.0</v>
      </c>
      <c r="CO441" s="2">
        <v>0.0</v>
      </c>
      <c r="CP441" s="2">
        <v>0.0</v>
      </c>
      <c r="CQ441" s="2">
        <v>0.0</v>
      </c>
      <c r="CR441" s="2">
        <v>0.0</v>
      </c>
      <c r="CS441" s="2">
        <v>1.0</v>
      </c>
      <c r="CT441" s="2">
        <v>0.0</v>
      </c>
      <c r="CU441" s="2">
        <v>0.0</v>
      </c>
      <c r="CV441" s="2">
        <v>0.0</v>
      </c>
      <c r="CW441" s="2">
        <v>0.0</v>
      </c>
      <c r="CX441" s="2">
        <v>0.0</v>
      </c>
      <c r="CY441" s="2">
        <v>0.0</v>
      </c>
      <c r="CZ441" s="2">
        <v>0.0</v>
      </c>
      <c r="DA441" s="2" t="s">
        <v>2018</v>
      </c>
      <c r="DD441" s="2">
        <v>54.0</v>
      </c>
      <c r="DE441" s="2">
        <v>0.0</v>
      </c>
      <c r="DF441" s="2">
        <v>0.0</v>
      </c>
      <c r="DG441" s="2">
        <v>0.0</v>
      </c>
      <c r="DH441" s="2">
        <v>0.0</v>
      </c>
      <c r="DI441" s="2">
        <v>0.0</v>
      </c>
      <c r="DJ441" s="2">
        <v>0.0</v>
      </c>
      <c r="DL441" s="2">
        <v>0.0</v>
      </c>
      <c r="DM441" s="2">
        <v>0.0</v>
      </c>
      <c r="DN441" s="2">
        <v>0.0</v>
      </c>
      <c r="DO441" s="2">
        <v>0.0</v>
      </c>
      <c r="DP441" s="2">
        <v>0.0</v>
      </c>
      <c r="DQ441" s="2">
        <v>4.0</v>
      </c>
      <c r="DR441" s="2">
        <v>0.0</v>
      </c>
      <c r="DS441" s="2">
        <v>55.0</v>
      </c>
      <c r="DT441" s="2">
        <v>194.0</v>
      </c>
      <c r="DU441" s="2">
        <v>0.0</v>
      </c>
      <c r="DV441" s="2">
        <v>0.0</v>
      </c>
      <c r="DW441" s="2">
        <v>0.0</v>
      </c>
      <c r="DX441" s="2">
        <v>1.0</v>
      </c>
      <c r="DY441" s="2">
        <v>0.0</v>
      </c>
      <c r="DZ441" s="2">
        <v>3.0</v>
      </c>
      <c r="EA441" s="2">
        <v>9.0</v>
      </c>
      <c r="EB441" s="2">
        <v>0.0</v>
      </c>
      <c r="EC441" s="2">
        <v>165.0</v>
      </c>
      <c r="EE441" s="2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2">
        <v>2025.0</v>
      </c>
      <c r="B442" s="2">
        <v>15.0</v>
      </c>
      <c r="C442" s="2" t="s">
        <v>144</v>
      </c>
      <c r="D442" s="2" t="s">
        <v>390</v>
      </c>
      <c r="E442" s="2" t="s">
        <v>1089</v>
      </c>
      <c r="F442" s="2" t="s">
        <v>146</v>
      </c>
      <c r="G442" s="2">
        <v>15.0</v>
      </c>
      <c r="H442" s="2">
        <v>24.0</v>
      </c>
      <c r="I442" s="2">
        <v>250.0</v>
      </c>
      <c r="J442" s="2">
        <v>2.0</v>
      </c>
      <c r="K442" s="2">
        <v>1.0</v>
      </c>
      <c r="L442" s="2">
        <v>0.0</v>
      </c>
      <c r="M442" s="2">
        <v>0.0</v>
      </c>
      <c r="N442" s="2">
        <v>0.0</v>
      </c>
      <c r="O442" s="2">
        <v>0.0</v>
      </c>
      <c r="P442" s="2">
        <v>249.0</v>
      </c>
      <c r="Q442" s="2">
        <v>90.0</v>
      </c>
      <c r="R442" s="2">
        <v>11.0</v>
      </c>
      <c r="S442" s="2">
        <v>12.0181671565902</v>
      </c>
      <c r="T442" s="2">
        <v>1.68886830409368</v>
      </c>
      <c r="U442" s="2">
        <v>0.0</v>
      </c>
      <c r="V442" s="2">
        <v>10.0</v>
      </c>
      <c r="W442" s="2">
        <v>7.0</v>
      </c>
      <c r="X442" s="2">
        <v>4.0</v>
      </c>
      <c r="Y442" s="2">
        <v>1.0</v>
      </c>
      <c r="Z442" s="2">
        <v>28.0</v>
      </c>
      <c r="AA442" s="2">
        <v>77.0</v>
      </c>
      <c r="AB442" s="2">
        <v>2.0</v>
      </c>
      <c r="AC442" s="2">
        <v>0.0</v>
      </c>
      <c r="AD442" s="2">
        <v>0.0</v>
      </c>
      <c r="AE442" s="2">
        <v>7.0</v>
      </c>
      <c r="AF442" s="2">
        <v>-1.59167561339909</v>
      </c>
      <c r="AG442" s="2">
        <v>0.0</v>
      </c>
      <c r="AH442" s="2">
        <v>2.0</v>
      </c>
      <c r="AI442" s="2">
        <v>2.0</v>
      </c>
      <c r="AJ442" s="2">
        <v>0.0</v>
      </c>
      <c r="AK442" s="2">
        <v>0.0</v>
      </c>
      <c r="AL442" s="2">
        <v>15.0</v>
      </c>
      <c r="AM442" s="2">
        <v>24.0</v>
      </c>
      <c r="AN442" s="2">
        <v>250.0</v>
      </c>
      <c r="AO442" s="2">
        <v>2.0</v>
      </c>
      <c r="AP442" s="2">
        <v>0.0</v>
      </c>
      <c r="AQ442" s="2">
        <v>0.0</v>
      </c>
      <c r="AR442" s="2">
        <v>249.0</v>
      </c>
      <c r="AS442" s="2">
        <v>90.0</v>
      </c>
      <c r="AT442" s="2">
        <v>11.0</v>
      </c>
      <c r="AU442" s="2">
        <v>12.0181671565902</v>
      </c>
      <c r="AV442" s="2">
        <v>0.0</v>
      </c>
      <c r="AW442" s="2">
        <v>10.0</v>
      </c>
      <c r="AX442" s="2">
        <v>7.0</v>
      </c>
      <c r="AY442" s="2">
        <v>4.0</v>
      </c>
      <c r="AZ442" s="2">
        <v>1.0</v>
      </c>
      <c r="BA442" s="2">
        <v>0.0</v>
      </c>
      <c r="BB442" s="2">
        <v>36.0</v>
      </c>
      <c r="BC442" s="2">
        <v>0.0</v>
      </c>
      <c r="BD442" s="2">
        <v>42.0</v>
      </c>
      <c r="BE442" s="2">
        <v>0.0</v>
      </c>
      <c r="BF442" s="2">
        <v>0.0</v>
      </c>
      <c r="BG442" s="2">
        <v>0.0</v>
      </c>
      <c r="BH442" s="2">
        <v>2.0</v>
      </c>
      <c r="BI442" s="2">
        <v>9.0</v>
      </c>
      <c r="BJ442" s="2">
        <v>11.0</v>
      </c>
      <c r="BK442" s="2">
        <v>0.0</v>
      </c>
      <c r="BL442" s="2">
        <v>0.0</v>
      </c>
      <c r="BM442" s="2">
        <v>5.0</v>
      </c>
      <c r="BN442" s="2">
        <v>0.0</v>
      </c>
      <c r="BO442" s="2">
        <v>0.0</v>
      </c>
      <c r="BP442" s="2">
        <v>0.0</v>
      </c>
      <c r="BQ442" s="2">
        <v>0.0</v>
      </c>
      <c r="BR442" s="2">
        <v>0.0</v>
      </c>
      <c r="BS442" s="2">
        <v>0.0</v>
      </c>
      <c r="BT442" s="2">
        <v>0.0</v>
      </c>
      <c r="BU442" s="2">
        <v>0.0</v>
      </c>
      <c r="BV442" s="2">
        <v>0.0</v>
      </c>
      <c r="BW442" s="2">
        <v>3.0</v>
      </c>
      <c r="BX442" s="2">
        <v>17.0</v>
      </c>
      <c r="BY442" s="2">
        <v>5.0</v>
      </c>
      <c r="BZ442" s="2">
        <v>0.0</v>
      </c>
      <c r="CA442" s="2">
        <v>0.0</v>
      </c>
      <c r="CB442" s="2">
        <v>0.0</v>
      </c>
      <c r="CC442" s="2">
        <v>0.0</v>
      </c>
      <c r="CD442" s="2">
        <v>0.0</v>
      </c>
      <c r="CE442" s="2">
        <v>0.0</v>
      </c>
      <c r="CF442" s="2">
        <v>0.0</v>
      </c>
      <c r="CG442" s="2">
        <v>6.0</v>
      </c>
      <c r="CH442" s="2">
        <v>143.0</v>
      </c>
      <c r="CI442" s="2">
        <v>2.0</v>
      </c>
      <c r="CJ442" s="2">
        <v>2.0</v>
      </c>
      <c r="CK442" s="2">
        <v>0.0</v>
      </c>
      <c r="CL442" s="2">
        <v>0.0</v>
      </c>
      <c r="CM442" s="2">
        <v>53.0</v>
      </c>
      <c r="CN442" s="2">
        <v>1.0</v>
      </c>
      <c r="CO442" s="2">
        <v>0.0</v>
      </c>
      <c r="CP442" s="2">
        <v>1.0</v>
      </c>
      <c r="CQ442" s="2">
        <v>0.0</v>
      </c>
      <c r="CR442" s="2">
        <v>0.0</v>
      </c>
      <c r="CS442" s="2">
        <v>1.0</v>
      </c>
      <c r="CT442" s="2">
        <v>0.0</v>
      </c>
      <c r="CU442" s="2">
        <v>0.0</v>
      </c>
      <c r="CV442" s="2">
        <v>0.0</v>
      </c>
      <c r="CW442" s="2">
        <v>0.0</v>
      </c>
      <c r="CX442" s="2">
        <v>0.0</v>
      </c>
      <c r="CY442" s="2">
        <v>0.0</v>
      </c>
      <c r="CZ442" s="2">
        <v>0.0</v>
      </c>
      <c r="DA442" s="2" t="s">
        <v>2235</v>
      </c>
      <c r="DD442" s="2">
        <v>82.0</v>
      </c>
      <c r="DE442" s="2">
        <v>0.0</v>
      </c>
      <c r="DF442" s="2">
        <v>0.0</v>
      </c>
      <c r="DG442" s="2">
        <v>4.0</v>
      </c>
      <c r="DH442" s="2">
        <v>4.0</v>
      </c>
      <c r="DI442" s="2">
        <v>0.0</v>
      </c>
      <c r="DJ442" s="2">
        <v>0.0</v>
      </c>
      <c r="DK442" s="2">
        <v>1.0</v>
      </c>
      <c r="DL442" s="2">
        <v>0.0</v>
      </c>
      <c r="DM442" s="2">
        <v>0.0</v>
      </c>
      <c r="DN442" s="2">
        <v>0.0</v>
      </c>
      <c r="DO442" s="2">
        <v>0.0</v>
      </c>
      <c r="DP442" s="2">
        <v>0.0</v>
      </c>
      <c r="DQ442" s="2">
        <v>2.0</v>
      </c>
      <c r="DR442" s="2">
        <v>0.0</v>
      </c>
      <c r="DS442" s="2">
        <v>65.0</v>
      </c>
      <c r="DT442" s="2">
        <v>112.0</v>
      </c>
      <c r="DU442" s="2">
        <v>2.0</v>
      </c>
      <c r="DV442" s="2">
        <v>1.0</v>
      </c>
      <c r="DW442" s="2">
        <v>1.0</v>
      </c>
      <c r="DX442" s="2">
        <v>0.0</v>
      </c>
      <c r="DY442" s="2">
        <v>0.0</v>
      </c>
      <c r="DZ442" s="2">
        <v>0.0</v>
      </c>
      <c r="EA442" s="2">
        <v>0.0</v>
      </c>
      <c r="EB442" s="2">
        <v>0.0</v>
      </c>
      <c r="EC442" s="2">
        <v>112.0</v>
      </c>
      <c r="EE442" s="2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2">
        <v>2025.0</v>
      </c>
      <c r="B443" s="2">
        <v>15.0</v>
      </c>
      <c r="C443" s="2" t="s">
        <v>145</v>
      </c>
      <c r="D443" s="2" t="s">
        <v>390</v>
      </c>
      <c r="E443" s="2" t="s">
        <v>1069</v>
      </c>
      <c r="F443" s="2" t="s">
        <v>136</v>
      </c>
      <c r="G443" s="2">
        <v>14.0</v>
      </c>
      <c r="H443" s="2">
        <v>23.0</v>
      </c>
      <c r="I443" s="2">
        <v>155.0</v>
      </c>
      <c r="J443" s="2">
        <v>0.0</v>
      </c>
      <c r="K443" s="2">
        <v>1.0</v>
      </c>
      <c r="L443" s="2">
        <v>3.0</v>
      </c>
      <c r="M443" s="2">
        <v>-16.0</v>
      </c>
      <c r="N443" s="2">
        <v>0.0</v>
      </c>
      <c r="O443" s="2">
        <v>0.0</v>
      </c>
      <c r="P443" s="2">
        <v>244.0</v>
      </c>
      <c r="Q443" s="2">
        <v>68.0</v>
      </c>
      <c r="R443" s="2">
        <v>6.0</v>
      </c>
      <c r="S443" s="2">
        <v>-3.40510795099544</v>
      </c>
      <c r="T443" s="2">
        <v>-0.531536882573908</v>
      </c>
      <c r="U443" s="2">
        <v>0.0</v>
      </c>
      <c r="V443" s="2">
        <v>6.0</v>
      </c>
      <c r="W443" s="2">
        <v>5.0</v>
      </c>
      <c r="X443" s="2">
        <v>1.0</v>
      </c>
      <c r="Y443" s="2">
        <v>0.0</v>
      </c>
      <c r="Z443" s="2">
        <v>25.0</v>
      </c>
      <c r="AA443" s="2">
        <v>246.0</v>
      </c>
      <c r="AB443" s="2">
        <v>4.0</v>
      </c>
      <c r="AC443" s="2">
        <v>0.0</v>
      </c>
      <c r="AD443" s="2">
        <v>0.0</v>
      </c>
      <c r="AE443" s="2">
        <v>13.0</v>
      </c>
      <c r="AF443" s="2">
        <v>15.8642982689676</v>
      </c>
      <c r="AG443" s="2">
        <v>0.0</v>
      </c>
      <c r="AH443" s="2">
        <v>6.0</v>
      </c>
      <c r="AI443" s="2">
        <v>4.0</v>
      </c>
      <c r="AJ443" s="2">
        <v>2.0</v>
      </c>
      <c r="AK443" s="2">
        <v>2.0</v>
      </c>
      <c r="AL443" s="2">
        <v>14.0</v>
      </c>
      <c r="AM443" s="2">
        <v>22.0</v>
      </c>
      <c r="AN443" s="2">
        <v>155.0</v>
      </c>
      <c r="AO443" s="2">
        <v>0.0</v>
      </c>
      <c r="AP443" s="2">
        <v>1.0</v>
      </c>
      <c r="AQ443" s="2">
        <v>0.0</v>
      </c>
      <c r="AR443" s="2">
        <v>244.0</v>
      </c>
      <c r="AS443" s="2">
        <v>68.0</v>
      </c>
      <c r="AT443" s="2">
        <v>6.0</v>
      </c>
      <c r="AU443" s="2">
        <v>1.93564412769047</v>
      </c>
      <c r="AV443" s="2">
        <v>0.0</v>
      </c>
      <c r="AW443" s="2">
        <v>6.0</v>
      </c>
      <c r="AX443" s="2">
        <v>5.0</v>
      </c>
      <c r="AY443" s="2">
        <v>1.0</v>
      </c>
      <c r="AZ443" s="2">
        <v>0.0</v>
      </c>
      <c r="BA443" s="2">
        <v>0.0</v>
      </c>
      <c r="BB443" s="2">
        <v>34.0</v>
      </c>
      <c r="BC443" s="2">
        <v>3.0</v>
      </c>
      <c r="BD443" s="2">
        <v>41.0</v>
      </c>
      <c r="BE443" s="2">
        <v>5.0</v>
      </c>
      <c r="BF443" s="2">
        <v>15.0</v>
      </c>
      <c r="BG443" s="2">
        <v>0.0</v>
      </c>
      <c r="BH443" s="2">
        <v>2.0</v>
      </c>
      <c r="BI443" s="2">
        <v>12.0</v>
      </c>
      <c r="BJ443" s="2">
        <v>4.0</v>
      </c>
      <c r="BK443" s="2">
        <v>0.0</v>
      </c>
      <c r="BL443" s="2">
        <v>0.0</v>
      </c>
      <c r="BM443" s="2">
        <v>4.0</v>
      </c>
      <c r="BN443" s="2">
        <v>0.0</v>
      </c>
      <c r="BO443" s="2">
        <v>1.0</v>
      </c>
      <c r="BP443" s="2">
        <v>0.0</v>
      </c>
      <c r="BQ443" s="2">
        <v>0.0</v>
      </c>
      <c r="BR443" s="2">
        <v>1.0</v>
      </c>
      <c r="BS443" s="2">
        <v>0.0</v>
      </c>
      <c r="BT443" s="2">
        <v>0.0</v>
      </c>
      <c r="BU443" s="2">
        <v>0.0</v>
      </c>
      <c r="BV443" s="2">
        <v>0.0</v>
      </c>
      <c r="BW443" s="2">
        <v>7.0</v>
      </c>
      <c r="BX443" s="2">
        <v>65.0</v>
      </c>
      <c r="BY443" s="2">
        <v>6.0</v>
      </c>
      <c r="BZ443" s="2">
        <v>1.0</v>
      </c>
      <c r="CA443" s="2">
        <v>1.0</v>
      </c>
      <c r="CB443" s="2">
        <v>1.0</v>
      </c>
      <c r="CC443" s="2">
        <v>2.0</v>
      </c>
      <c r="CD443" s="2">
        <v>0.0</v>
      </c>
      <c r="CE443" s="2">
        <v>2.0</v>
      </c>
      <c r="CF443" s="2">
        <v>5.0</v>
      </c>
      <c r="CG443" s="2">
        <v>4.0</v>
      </c>
      <c r="CH443" s="2">
        <v>97.0</v>
      </c>
      <c r="CI443" s="2">
        <v>1.0</v>
      </c>
      <c r="CJ443" s="2">
        <v>1.0</v>
      </c>
      <c r="CK443" s="2">
        <v>0.0</v>
      </c>
      <c r="CL443" s="2">
        <v>0.0</v>
      </c>
      <c r="CM443" s="2">
        <v>36.0</v>
      </c>
      <c r="CN443" s="2">
        <v>1.0</v>
      </c>
      <c r="CO443" s="2">
        <v>0.0</v>
      </c>
      <c r="CP443" s="2">
        <v>0.0</v>
      </c>
      <c r="CQ443" s="2">
        <v>1.0</v>
      </c>
      <c r="CR443" s="2">
        <v>0.0</v>
      </c>
      <c r="CS443" s="2">
        <v>0.0</v>
      </c>
      <c r="CT443" s="2">
        <v>0.0</v>
      </c>
      <c r="CU443" s="2">
        <v>0.0</v>
      </c>
      <c r="CV443" s="2">
        <v>0.0</v>
      </c>
      <c r="CW443" s="2">
        <v>0.0</v>
      </c>
      <c r="CX443" s="2">
        <v>0.0</v>
      </c>
      <c r="CY443" s="2">
        <v>0.0</v>
      </c>
      <c r="CZ443" s="2">
        <v>0.0</v>
      </c>
      <c r="DA443" s="2" t="s">
        <v>1970</v>
      </c>
      <c r="DD443" s="2">
        <v>36.0</v>
      </c>
      <c r="DE443" s="2">
        <v>0.0</v>
      </c>
      <c r="DF443" s="2">
        <v>0.0</v>
      </c>
      <c r="DG443" s="2">
        <v>4.0</v>
      </c>
      <c r="DH443" s="2">
        <v>4.0</v>
      </c>
      <c r="DI443" s="2">
        <v>0.0</v>
      </c>
      <c r="DJ443" s="2">
        <v>0.0</v>
      </c>
      <c r="DK443" s="2">
        <v>1.0</v>
      </c>
      <c r="DL443" s="2">
        <v>0.0</v>
      </c>
      <c r="DM443" s="2">
        <v>0.0</v>
      </c>
      <c r="DN443" s="2">
        <v>0.0</v>
      </c>
      <c r="DO443" s="2">
        <v>0.0</v>
      </c>
      <c r="DP443" s="2">
        <v>0.0</v>
      </c>
      <c r="DQ443" s="2">
        <v>3.0</v>
      </c>
      <c r="DR443" s="2">
        <v>0.0</v>
      </c>
      <c r="DS443" s="2">
        <v>62.0</v>
      </c>
      <c r="DT443" s="2">
        <v>163.0</v>
      </c>
      <c r="DU443" s="2">
        <v>1.0</v>
      </c>
      <c r="DV443" s="2">
        <v>1.0</v>
      </c>
      <c r="DW443" s="2">
        <v>1.0</v>
      </c>
      <c r="DX443" s="2">
        <v>0.0</v>
      </c>
      <c r="DY443" s="2">
        <v>0.0</v>
      </c>
      <c r="DZ443" s="2">
        <v>1.0</v>
      </c>
      <c r="EA443" s="2">
        <v>12.0</v>
      </c>
      <c r="EB443" s="2">
        <v>0.0</v>
      </c>
      <c r="EC443" s="2">
        <v>151.0</v>
      </c>
      <c r="EE443" s="2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2">
        <v>2025.0</v>
      </c>
      <c r="B444" s="2">
        <v>15.0</v>
      </c>
      <c r="C444" s="2" t="s">
        <v>232</v>
      </c>
      <c r="D444" s="2" t="s">
        <v>390</v>
      </c>
      <c r="E444" s="2" t="s">
        <v>1081</v>
      </c>
      <c r="F444" s="2" t="s">
        <v>189</v>
      </c>
      <c r="G444" s="2">
        <v>24.0</v>
      </c>
      <c r="H444" s="2">
        <v>33.0</v>
      </c>
      <c r="I444" s="2">
        <v>272.0</v>
      </c>
      <c r="J444" s="2">
        <v>1.0</v>
      </c>
      <c r="K444" s="2">
        <v>0.0</v>
      </c>
      <c r="L444" s="2">
        <v>5.0</v>
      </c>
      <c r="M444" s="2">
        <v>-16.0</v>
      </c>
      <c r="N444" s="2">
        <v>0.0</v>
      </c>
      <c r="O444" s="2">
        <v>0.0</v>
      </c>
      <c r="P444" s="2">
        <v>269.0</v>
      </c>
      <c r="Q444" s="2">
        <v>91.0</v>
      </c>
      <c r="R444" s="2">
        <v>14.0</v>
      </c>
      <c r="S444" s="2">
        <v>8.72521454778233</v>
      </c>
      <c r="T444" s="2">
        <v>4.05088807305982</v>
      </c>
      <c r="U444" s="2">
        <v>0.0</v>
      </c>
      <c r="V444" s="2">
        <v>15.0</v>
      </c>
      <c r="W444" s="2">
        <v>7.0</v>
      </c>
      <c r="X444" s="2">
        <v>0.0</v>
      </c>
      <c r="Y444" s="2">
        <v>0.0</v>
      </c>
      <c r="Z444" s="2">
        <v>25.0</v>
      </c>
      <c r="AA444" s="2">
        <v>81.0</v>
      </c>
      <c r="AB444" s="2">
        <v>1.0</v>
      </c>
      <c r="AC444" s="2">
        <v>1.0</v>
      </c>
      <c r="AD444" s="2">
        <v>0.0</v>
      </c>
      <c r="AE444" s="2">
        <v>7.0</v>
      </c>
      <c r="AF444" s="2">
        <v>-2.33416463434696</v>
      </c>
      <c r="AG444" s="2">
        <v>0.0</v>
      </c>
      <c r="AH444" s="2">
        <v>2.0</v>
      </c>
      <c r="AI444" s="2">
        <v>2.0</v>
      </c>
      <c r="AJ444" s="2">
        <v>0.0</v>
      </c>
      <c r="AK444" s="2">
        <v>0.0</v>
      </c>
      <c r="AL444" s="2">
        <v>24.0</v>
      </c>
      <c r="AM444" s="2">
        <v>31.0</v>
      </c>
      <c r="AN444" s="2">
        <v>272.0</v>
      </c>
      <c r="AO444" s="2">
        <v>1.0</v>
      </c>
      <c r="AP444" s="2">
        <v>0.0</v>
      </c>
      <c r="AQ444" s="2">
        <v>0.0</v>
      </c>
      <c r="AR444" s="2">
        <v>269.0</v>
      </c>
      <c r="AS444" s="2">
        <v>91.0</v>
      </c>
      <c r="AT444" s="2">
        <v>14.0</v>
      </c>
      <c r="AU444" s="2">
        <v>17.3406249683467</v>
      </c>
      <c r="AV444" s="2">
        <v>0.0</v>
      </c>
      <c r="AW444" s="2">
        <v>15.0</v>
      </c>
      <c r="AX444" s="2">
        <v>7.0</v>
      </c>
      <c r="AY444" s="2">
        <v>0.0</v>
      </c>
      <c r="AZ444" s="2">
        <v>0.0</v>
      </c>
      <c r="BA444" s="2">
        <v>0.0</v>
      </c>
      <c r="BB444" s="2">
        <v>35.0</v>
      </c>
      <c r="BC444" s="2">
        <v>2.0</v>
      </c>
      <c r="BD444" s="2">
        <v>24.0</v>
      </c>
      <c r="BE444" s="2">
        <v>5.0</v>
      </c>
      <c r="BF444" s="2">
        <v>13.0</v>
      </c>
      <c r="BG444" s="2">
        <v>0.0</v>
      </c>
      <c r="BH444" s="2">
        <v>1.0</v>
      </c>
      <c r="BI444" s="2">
        <v>9.0</v>
      </c>
      <c r="BJ444" s="2">
        <v>3.0</v>
      </c>
      <c r="BK444" s="2">
        <v>0.0</v>
      </c>
      <c r="BL444" s="2">
        <v>0.0</v>
      </c>
      <c r="BM444" s="2">
        <v>2.0</v>
      </c>
      <c r="BN444" s="2">
        <v>0.0</v>
      </c>
      <c r="BO444" s="2">
        <v>0.0</v>
      </c>
      <c r="BP444" s="2">
        <v>0.0</v>
      </c>
      <c r="BQ444" s="2">
        <v>0.0</v>
      </c>
      <c r="BR444" s="2">
        <v>1.0</v>
      </c>
      <c r="BS444" s="2">
        <v>0.0</v>
      </c>
      <c r="BT444" s="2">
        <v>1.0</v>
      </c>
      <c r="BU444" s="2">
        <v>0.0</v>
      </c>
      <c r="BV444" s="2">
        <v>0.0</v>
      </c>
      <c r="BW444" s="2">
        <v>9.0</v>
      </c>
      <c r="BX444" s="2">
        <v>78.0</v>
      </c>
      <c r="BY444" s="2">
        <v>4.0</v>
      </c>
      <c r="BZ444" s="2">
        <v>1.0</v>
      </c>
      <c r="CA444" s="2">
        <v>0.0</v>
      </c>
      <c r="CB444" s="2">
        <v>0.0</v>
      </c>
      <c r="CC444" s="2">
        <v>1.0</v>
      </c>
      <c r="CD444" s="2">
        <v>0.0</v>
      </c>
      <c r="CE444" s="2">
        <v>0.0</v>
      </c>
      <c r="CF444" s="2">
        <v>0.0</v>
      </c>
      <c r="CG444" s="2">
        <v>4.0</v>
      </c>
      <c r="CH444" s="2">
        <v>91.0</v>
      </c>
      <c r="CI444" s="2">
        <v>2.0</v>
      </c>
      <c r="CJ444" s="2">
        <v>2.0</v>
      </c>
      <c r="CK444" s="2">
        <v>0.0</v>
      </c>
      <c r="CL444" s="2">
        <v>0.0</v>
      </c>
      <c r="CM444" s="2">
        <v>47.0</v>
      </c>
      <c r="CN444" s="2">
        <v>1.0</v>
      </c>
      <c r="CO444" s="2">
        <v>0.0</v>
      </c>
      <c r="CP444" s="2">
        <v>0.0</v>
      </c>
      <c r="CQ444" s="2">
        <v>0.0</v>
      </c>
      <c r="CR444" s="2">
        <v>2.0</v>
      </c>
      <c r="CS444" s="2">
        <v>0.0</v>
      </c>
      <c r="CT444" s="2">
        <v>0.0</v>
      </c>
      <c r="CU444" s="2">
        <v>0.0</v>
      </c>
      <c r="CV444" s="2">
        <v>0.0</v>
      </c>
      <c r="CW444" s="2">
        <v>0.0</v>
      </c>
      <c r="CX444" s="2">
        <v>0.0</v>
      </c>
      <c r="CY444" s="2">
        <v>0.0</v>
      </c>
      <c r="CZ444" s="2">
        <v>0.0</v>
      </c>
      <c r="DA444" s="2" t="s">
        <v>2236</v>
      </c>
      <c r="DD444" s="2">
        <v>89.0</v>
      </c>
      <c r="DE444" s="2">
        <v>0.0</v>
      </c>
      <c r="DF444" s="2">
        <v>0.0</v>
      </c>
      <c r="DG444" s="2">
        <v>2.0</v>
      </c>
      <c r="DH444" s="2">
        <v>2.0</v>
      </c>
      <c r="DI444" s="2">
        <v>0.0</v>
      </c>
      <c r="DJ444" s="2">
        <v>0.0</v>
      </c>
      <c r="DK444" s="2">
        <v>1.0</v>
      </c>
      <c r="DL444" s="2">
        <v>0.0</v>
      </c>
      <c r="DM444" s="2">
        <v>0.0</v>
      </c>
      <c r="DN444" s="2">
        <v>0.0</v>
      </c>
      <c r="DO444" s="2">
        <v>0.0</v>
      </c>
      <c r="DP444" s="2">
        <v>0.0</v>
      </c>
      <c r="DQ444" s="2">
        <v>2.0</v>
      </c>
      <c r="DR444" s="2">
        <v>0.0</v>
      </c>
      <c r="DS444" s="2">
        <v>58.0</v>
      </c>
      <c r="DT444" s="2">
        <v>95.0</v>
      </c>
      <c r="DU444" s="2">
        <v>1.0</v>
      </c>
      <c r="DV444" s="2">
        <v>0.0</v>
      </c>
      <c r="DW444" s="2">
        <v>0.0</v>
      </c>
      <c r="DX444" s="2">
        <v>0.0</v>
      </c>
      <c r="DY444" s="2">
        <v>1.0</v>
      </c>
      <c r="DZ444" s="2">
        <v>1.0</v>
      </c>
      <c r="EA444" s="2">
        <v>16.0</v>
      </c>
      <c r="EB444" s="2">
        <v>0.0</v>
      </c>
      <c r="EC444" s="2">
        <v>79.0</v>
      </c>
      <c r="EE444" s="2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2">
        <v>2025.0</v>
      </c>
      <c r="B445" s="2">
        <v>15.0</v>
      </c>
      <c r="C445" s="2" t="s">
        <v>235</v>
      </c>
      <c r="D445" s="2" t="s">
        <v>390</v>
      </c>
      <c r="E445" s="2" t="s">
        <v>1071</v>
      </c>
      <c r="F445" s="2" t="s">
        <v>253</v>
      </c>
      <c r="G445" s="2">
        <v>20.0</v>
      </c>
      <c r="H445" s="2">
        <v>37.0</v>
      </c>
      <c r="I445" s="2">
        <v>246.0</v>
      </c>
      <c r="J445" s="2">
        <v>2.0</v>
      </c>
      <c r="K445" s="2">
        <v>1.0</v>
      </c>
      <c r="L445" s="2">
        <v>1.0</v>
      </c>
      <c r="M445" s="2">
        <v>-8.0</v>
      </c>
      <c r="N445" s="2">
        <v>0.0</v>
      </c>
      <c r="O445" s="2">
        <v>0.0</v>
      </c>
      <c r="P445" s="2">
        <v>430.0</v>
      </c>
      <c r="Q445" s="2">
        <v>111.0</v>
      </c>
      <c r="R445" s="2">
        <v>12.0</v>
      </c>
      <c r="S445" s="2">
        <v>-0.249199184200051</v>
      </c>
      <c r="T445" s="2">
        <v>-4.5602987623877</v>
      </c>
      <c r="U445" s="2">
        <v>0.0</v>
      </c>
      <c r="V445" s="2">
        <v>12.0</v>
      </c>
      <c r="W445" s="2">
        <v>7.0</v>
      </c>
      <c r="X445" s="2">
        <v>2.0</v>
      </c>
      <c r="Y445" s="2">
        <v>1.0</v>
      </c>
      <c r="Z445" s="2">
        <v>29.0</v>
      </c>
      <c r="AA445" s="2">
        <v>146.0</v>
      </c>
      <c r="AB445" s="2">
        <v>1.0</v>
      </c>
      <c r="AC445" s="2">
        <v>1.0</v>
      </c>
      <c r="AD445" s="2">
        <v>0.0</v>
      </c>
      <c r="AE445" s="2">
        <v>7.0</v>
      </c>
      <c r="AF445" s="2">
        <v>1.60751349822792</v>
      </c>
      <c r="AG445" s="2">
        <v>0.0</v>
      </c>
      <c r="AH445" s="2">
        <v>3.0</v>
      </c>
      <c r="AI445" s="2">
        <v>2.0</v>
      </c>
      <c r="AJ445" s="2">
        <v>1.0</v>
      </c>
      <c r="AK445" s="2">
        <v>0.0</v>
      </c>
      <c r="AL445" s="2">
        <v>20.0</v>
      </c>
      <c r="AM445" s="2">
        <v>36.0</v>
      </c>
      <c r="AN445" s="2">
        <v>246.0</v>
      </c>
      <c r="AO445" s="2">
        <v>2.0</v>
      </c>
      <c r="AP445" s="2">
        <v>0.0</v>
      </c>
      <c r="AQ445" s="2">
        <v>0.0</v>
      </c>
      <c r="AR445" s="2">
        <v>430.0</v>
      </c>
      <c r="AS445" s="2">
        <v>111.0</v>
      </c>
      <c r="AT445" s="2">
        <v>12.0</v>
      </c>
      <c r="AU445" s="2">
        <v>1.0566985256844</v>
      </c>
      <c r="AV445" s="2">
        <v>0.0</v>
      </c>
      <c r="AW445" s="2">
        <v>12.0</v>
      </c>
      <c r="AX445" s="2">
        <v>7.0</v>
      </c>
      <c r="AY445" s="2">
        <v>2.0</v>
      </c>
      <c r="AZ445" s="2">
        <v>1.0</v>
      </c>
      <c r="BA445" s="2">
        <v>0.0</v>
      </c>
      <c r="BB445" s="2">
        <v>35.0</v>
      </c>
      <c r="BC445" s="2">
        <v>2.0</v>
      </c>
      <c r="BD445" s="2">
        <v>30.0</v>
      </c>
      <c r="BE445" s="2">
        <v>6.0</v>
      </c>
      <c r="BF445" s="2">
        <v>32.0</v>
      </c>
      <c r="BG445" s="2">
        <v>4.0</v>
      </c>
      <c r="BH445" s="2">
        <v>2.0</v>
      </c>
      <c r="BI445" s="2">
        <v>16.0</v>
      </c>
      <c r="BJ445" s="2">
        <v>5.0</v>
      </c>
      <c r="BK445" s="2">
        <v>0.0</v>
      </c>
      <c r="BL445" s="2">
        <v>0.0</v>
      </c>
      <c r="BM445" s="2">
        <v>2.0</v>
      </c>
      <c r="BN445" s="2">
        <v>0.0</v>
      </c>
      <c r="BO445" s="2">
        <v>0.0</v>
      </c>
      <c r="BP445" s="2">
        <v>0.0</v>
      </c>
      <c r="BQ445" s="2">
        <v>0.0</v>
      </c>
      <c r="BR445" s="2">
        <v>1.0</v>
      </c>
      <c r="BS445" s="2">
        <v>0.0</v>
      </c>
      <c r="BT445" s="2">
        <v>2.0</v>
      </c>
      <c r="BU445" s="2">
        <v>24.0</v>
      </c>
      <c r="BV445" s="2">
        <v>0.0</v>
      </c>
      <c r="BW445" s="2">
        <v>6.0</v>
      </c>
      <c r="BX445" s="2">
        <v>62.0</v>
      </c>
      <c r="BY445" s="2">
        <v>6.0</v>
      </c>
      <c r="BZ445" s="2">
        <v>1.0</v>
      </c>
      <c r="CA445" s="2">
        <v>0.0</v>
      </c>
      <c r="CB445" s="2">
        <v>0.0</v>
      </c>
      <c r="CC445" s="2">
        <v>1.0</v>
      </c>
      <c r="CD445" s="2">
        <v>0.0</v>
      </c>
      <c r="CE445" s="2">
        <v>2.0</v>
      </c>
      <c r="CF445" s="2">
        <v>7.0</v>
      </c>
      <c r="CG445" s="2">
        <v>4.0</v>
      </c>
      <c r="CH445" s="2">
        <v>100.0</v>
      </c>
      <c r="CI445" s="2">
        <v>0.0</v>
      </c>
      <c r="CJ445" s="2">
        <v>2.0</v>
      </c>
      <c r="CK445" s="2">
        <v>2.0</v>
      </c>
      <c r="CL445" s="2">
        <v>0.0</v>
      </c>
      <c r="CN445" s="2">
        <v>0.0</v>
      </c>
      <c r="CO445" s="2">
        <v>0.0</v>
      </c>
      <c r="CP445" s="2">
        <v>0.0</v>
      </c>
      <c r="CQ445" s="2">
        <v>0.0</v>
      </c>
      <c r="CR445" s="2">
        <v>0.0</v>
      </c>
      <c r="CS445" s="2">
        <v>0.0</v>
      </c>
      <c r="CT445" s="2">
        <v>0.0</v>
      </c>
      <c r="CU445" s="2">
        <v>0.0</v>
      </c>
      <c r="CV445" s="2">
        <v>0.0</v>
      </c>
      <c r="CW445" s="2">
        <v>0.0</v>
      </c>
      <c r="CX445" s="2">
        <v>0.0</v>
      </c>
      <c r="CY445" s="2">
        <v>2.0</v>
      </c>
      <c r="CZ445" s="2">
        <v>0.0</v>
      </c>
      <c r="DB445" s="2" t="s">
        <v>2237</v>
      </c>
      <c r="DD445" s="2">
        <v>0.0</v>
      </c>
      <c r="DE445" s="2">
        <v>103.0</v>
      </c>
      <c r="DF445" s="2">
        <v>0.0</v>
      </c>
      <c r="DG445" s="2">
        <v>3.0</v>
      </c>
      <c r="DH445" s="2">
        <v>3.0</v>
      </c>
      <c r="DI445" s="2">
        <v>0.0</v>
      </c>
      <c r="DJ445" s="2">
        <v>0.0</v>
      </c>
      <c r="DK445" s="2">
        <v>1.0</v>
      </c>
      <c r="DL445" s="2">
        <v>0.0</v>
      </c>
      <c r="DM445" s="2">
        <v>0.0</v>
      </c>
      <c r="DN445" s="2">
        <v>0.0</v>
      </c>
      <c r="DO445" s="2">
        <v>0.0</v>
      </c>
      <c r="DP445" s="2">
        <v>0.0</v>
      </c>
      <c r="DQ445" s="2">
        <v>4.0</v>
      </c>
      <c r="DR445" s="2">
        <v>0.0</v>
      </c>
      <c r="DS445" s="2">
        <v>49.0</v>
      </c>
      <c r="DT445" s="2">
        <v>182.0</v>
      </c>
      <c r="DU445" s="2">
        <v>0.0</v>
      </c>
      <c r="DV445" s="2">
        <v>0.0</v>
      </c>
      <c r="DW445" s="2">
        <v>0.0</v>
      </c>
      <c r="DX445" s="2">
        <v>0.0</v>
      </c>
      <c r="DY445" s="2">
        <v>1.0</v>
      </c>
      <c r="DZ445" s="2">
        <v>3.0</v>
      </c>
      <c r="EA445" s="2">
        <v>91.0</v>
      </c>
      <c r="EB445" s="2">
        <v>1.0</v>
      </c>
      <c r="EC445" s="2">
        <v>91.0</v>
      </c>
      <c r="EE445" s="2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2">
        <v>2025.0</v>
      </c>
      <c r="B446" s="2">
        <v>15.0</v>
      </c>
      <c r="C446" s="2" t="s">
        <v>238</v>
      </c>
      <c r="D446" s="2" t="s">
        <v>390</v>
      </c>
      <c r="E446" s="2" t="s">
        <v>1063</v>
      </c>
      <c r="F446" s="2" t="s">
        <v>141</v>
      </c>
      <c r="G446" s="2">
        <v>22.0</v>
      </c>
      <c r="H446" s="2">
        <v>33.0</v>
      </c>
      <c r="I446" s="2">
        <v>176.0</v>
      </c>
      <c r="J446" s="2">
        <v>1.0</v>
      </c>
      <c r="K446" s="2">
        <v>3.0</v>
      </c>
      <c r="L446" s="2">
        <v>3.0</v>
      </c>
      <c r="M446" s="2">
        <v>-22.0</v>
      </c>
      <c r="N446" s="2">
        <v>0.0</v>
      </c>
      <c r="O446" s="2">
        <v>0.0</v>
      </c>
      <c r="P446" s="2">
        <v>213.0</v>
      </c>
      <c r="Q446" s="2">
        <v>51.0</v>
      </c>
      <c r="R446" s="2">
        <v>11.0</v>
      </c>
      <c r="S446" s="2">
        <v>-7.77506225737237</v>
      </c>
      <c r="T446" s="2">
        <v>3.10953548178077</v>
      </c>
      <c r="U446" s="2">
        <v>0.0</v>
      </c>
      <c r="V446" s="2">
        <v>7.0</v>
      </c>
      <c r="W446" s="2">
        <v>2.0</v>
      </c>
      <c r="X446" s="2">
        <v>2.0</v>
      </c>
      <c r="Y446" s="2">
        <v>0.0</v>
      </c>
      <c r="Z446" s="2">
        <v>32.0</v>
      </c>
      <c r="AA446" s="2">
        <v>130.0</v>
      </c>
      <c r="AB446" s="2">
        <v>1.0</v>
      </c>
      <c r="AC446" s="2">
        <v>0.0</v>
      </c>
      <c r="AD446" s="2">
        <v>0.0</v>
      </c>
      <c r="AE446" s="2">
        <v>6.0</v>
      </c>
      <c r="AF446" s="2">
        <v>-2.89040665802895</v>
      </c>
      <c r="AG446" s="2">
        <v>0.0</v>
      </c>
      <c r="AH446" s="2">
        <v>4.0</v>
      </c>
      <c r="AI446" s="2">
        <v>3.0</v>
      </c>
      <c r="AJ446" s="2">
        <v>1.0</v>
      </c>
      <c r="AK446" s="2">
        <v>0.0</v>
      </c>
      <c r="AL446" s="2">
        <v>22.0</v>
      </c>
      <c r="AM446" s="2">
        <v>32.0</v>
      </c>
      <c r="AN446" s="2">
        <v>176.0</v>
      </c>
      <c r="AO446" s="2">
        <v>1.0</v>
      </c>
      <c r="AP446" s="2">
        <v>0.0</v>
      </c>
      <c r="AQ446" s="2">
        <v>0.0</v>
      </c>
      <c r="AR446" s="2">
        <v>213.0</v>
      </c>
      <c r="AS446" s="2">
        <v>51.0</v>
      </c>
      <c r="AT446" s="2">
        <v>11.0</v>
      </c>
      <c r="AU446" s="2">
        <v>-1.98108916922116</v>
      </c>
      <c r="AV446" s="2">
        <v>0.0</v>
      </c>
      <c r="AW446" s="2">
        <v>7.0</v>
      </c>
      <c r="AX446" s="2">
        <v>2.0</v>
      </c>
      <c r="AY446" s="2">
        <v>2.0</v>
      </c>
      <c r="AZ446" s="2">
        <v>0.0</v>
      </c>
      <c r="BA446" s="2">
        <v>0.0</v>
      </c>
      <c r="BB446" s="2">
        <v>35.0</v>
      </c>
      <c r="BC446" s="2">
        <v>2.0</v>
      </c>
      <c r="BD446" s="2">
        <v>16.0</v>
      </c>
      <c r="BE446" s="2">
        <v>2.0</v>
      </c>
      <c r="BF446" s="2">
        <v>5.0</v>
      </c>
      <c r="BG446" s="2">
        <v>1.0</v>
      </c>
      <c r="BH446" s="2">
        <v>0.0</v>
      </c>
      <c r="BI446" s="2">
        <v>0.0</v>
      </c>
      <c r="BJ446" s="2">
        <v>2.0</v>
      </c>
      <c r="BK446" s="2">
        <v>0.0</v>
      </c>
      <c r="BL446" s="2">
        <v>0.0</v>
      </c>
      <c r="BM446" s="2">
        <v>3.0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0.0</v>
      </c>
      <c r="BT446" s="2">
        <v>1.0</v>
      </c>
      <c r="BU446" s="2">
        <v>25.0</v>
      </c>
      <c r="BV446" s="2">
        <v>0.0</v>
      </c>
      <c r="BW446" s="2">
        <v>6.0</v>
      </c>
      <c r="BX446" s="2">
        <v>44.0</v>
      </c>
      <c r="BY446" s="2">
        <v>4.0</v>
      </c>
      <c r="BZ446" s="2">
        <v>0.0</v>
      </c>
      <c r="CA446" s="2">
        <v>0.0</v>
      </c>
      <c r="CB446" s="2">
        <v>0.0</v>
      </c>
      <c r="CC446" s="2">
        <v>0.0</v>
      </c>
      <c r="CD446" s="2">
        <v>0.0</v>
      </c>
      <c r="CE446" s="2">
        <v>2.0</v>
      </c>
      <c r="CF446" s="2">
        <v>9.0</v>
      </c>
      <c r="CG446" s="2">
        <v>0.0</v>
      </c>
      <c r="CH446" s="2">
        <v>0.0</v>
      </c>
      <c r="CI446" s="2">
        <v>2.0</v>
      </c>
      <c r="CJ446" s="2">
        <v>2.0</v>
      </c>
      <c r="CK446" s="2">
        <v>0.0</v>
      </c>
      <c r="CL446" s="2">
        <v>0.0</v>
      </c>
      <c r="CM446" s="2">
        <v>51.0</v>
      </c>
      <c r="CN446" s="2">
        <v>1.0</v>
      </c>
      <c r="CO446" s="2">
        <v>0.0</v>
      </c>
      <c r="CP446" s="2">
        <v>0.0</v>
      </c>
      <c r="CQ446" s="2">
        <v>0.0</v>
      </c>
      <c r="CR446" s="2">
        <v>1.0</v>
      </c>
      <c r="CS446" s="2">
        <v>1.0</v>
      </c>
      <c r="CT446" s="2">
        <v>0.0</v>
      </c>
      <c r="CU446" s="2">
        <v>0.0</v>
      </c>
      <c r="CV446" s="2">
        <v>0.0</v>
      </c>
      <c r="CW446" s="2">
        <v>0.0</v>
      </c>
      <c r="CX446" s="2">
        <v>0.0</v>
      </c>
      <c r="CY446" s="2">
        <v>0.0</v>
      </c>
      <c r="CZ446" s="2">
        <v>0.0</v>
      </c>
      <c r="DA446" s="2" t="s">
        <v>2238</v>
      </c>
      <c r="DD446" s="2">
        <v>92.0</v>
      </c>
      <c r="DE446" s="2">
        <v>0.0</v>
      </c>
      <c r="DF446" s="2">
        <v>0.0</v>
      </c>
      <c r="DG446" s="2">
        <v>2.0</v>
      </c>
      <c r="DH446" s="2">
        <v>2.0</v>
      </c>
      <c r="DI446" s="2">
        <v>0.0</v>
      </c>
      <c r="DJ446" s="2">
        <v>0.0</v>
      </c>
      <c r="DK446" s="2">
        <v>1.0</v>
      </c>
      <c r="DL446" s="2">
        <v>0.0</v>
      </c>
      <c r="DM446" s="2">
        <v>0.0</v>
      </c>
      <c r="DN446" s="2">
        <v>0.0</v>
      </c>
      <c r="DO446" s="2">
        <v>0.0</v>
      </c>
      <c r="DP446" s="2">
        <v>0.0</v>
      </c>
      <c r="DQ446" s="2">
        <v>2.0</v>
      </c>
      <c r="DR446" s="2">
        <v>0.0</v>
      </c>
      <c r="DS446" s="2">
        <v>32.0</v>
      </c>
      <c r="DT446" s="2">
        <v>57.0</v>
      </c>
      <c r="DU446" s="2">
        <v>1.0</v>
      </c>
      <c r="DV446" s="2">
        <v>0.0</v>
      </c>
      <c r="DW446" s="2">
        <v>2.0</v>
      </c>
      <c r="DX446" s="2">
        <v>0.0</v>
      </c>
      <c r="DY446" s="2">
        <v>0.0</v>
      </c>
      <c r="DZ446" s="2">
        <v>0.0</v>
      </c>
      <c r="EA446" s="2">
        <v>0.0</v>
      </c>
      <c r="EB446" s="2">
        <v>0.0</v>
      </c>
      <c r="EC446" s="2">
        <v>57.0</v>
      </c>
      <c r="EE446" s="2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2">
        <v>2025.0</v>
      </c>
      <c r="B447" s="2">
        <v>15.0</v>
      </c>
      <c r="C447" s="2" t="s">
        <v>147</v>
      </c>
      <c r="D447" s="2" t="s">
        <v>390</v>
      </c>
      <c r="E447" s="2" t="s">
        <v>1073</v>
      </c>
      <c r="F447" s="2" t="s">
        <v>222</v>
      </c>
      <c r="G447" s="2">
        <v>15.0</v>
      </c>
      <c r="H447" s="2">
        <v>18.0</v>
      </c>
      <c r="I447" s="2">
        <v>208.0</v>
      </c>
      <c r="J447" s="2">
        <v>3.0</v>
      </c>
      <c r="K447" s="2">
        <v>0.0</v>
      </c>
      <c r="L447" s="2">
        <v>1.0</v>
      </c>
      <c r="M447" s="2">
        <v>-4.0</v>
      </c>
      <c r="N447" s="2">
        <v>0.0</v>
      </c>
      <c r="O447" s="2">
        <v>0.0</v>
      </c>
      <c r="P447" s="2">
        <v>132.0</v>
      </c>
      <c r="Q447" s="2">
        <v>81.0</v>
      </c>
      <c r="R447" s="2">
        <v>12.0</v>
      </c>
      <c r="S447" s="2">
        <v>16.448601532744</v>
      </c>
      <c r="T447" s="2">
        <v>17.5725132226944</v>
      </c>
      <c r="U447" s="2">
        <v>0.0</v>
      </c>
      <c r="V447" s="2">
        <v>8.0</v>
      </c>
      <c r="W447" s="2">
        <v>4.0</v>
      </c>
      <c r="X447" s="2">
        <v>3.0</v>
      </c>
      <c r="Y447" s="2">
        <v>1.0</v>
      </c>
      <c r="Z447" s="2">
        <v>47.0</v>
      </c>
      <c r="AA447" s="2">
        <v>183.0</v>
      </c>
      <c r="AB447" s="2">
        <v>1.0</v>
      </c>
      <c r="AC447" s="2">
        <v>0.0</v>
      </c>
      <c r="AD447" s="2">
        <v>0.0</v>
      </c>
      <c r="AE447" s="2">
        <v>12.0</v>
      </c>
      <c r="AF447" s="2">
        <v>-0.209867410594597</v>
      </c>
      <c r="AG447" s="2">
        <v>0.0</v>
      </c>
      <c r="AH447" s="2">
        <v>4.0</v>
      </c>
      <c r="AI447" s="2">
        <v>3.0</v>
      </c>
      <c r="AJ447" s="2">
        <v>0.0</v>
      </c>
      <c r="AK447" s="2">
        <v>0.0</v>
      </c>
      <c r="AL447" s="2">
        <v>15.0</v>
      </c>
      <c r="AM447" s="2">
        <v>18.0</v>
      </c>
      <c r="AN447" s="2">
        <v>208.0</v>
      </c>
      <c r="AO447" s="2">
        <v>3.0</v>
      </c>
      <c r="AP447" s="2">
        <v>0.0</v>
      </c>
      <c r="AQ447" s="2">
        <v>0.0</v>
      </c>
      <c r="AR447" s="2">
        <v>132.0</v>
      </c>
      <c r="AS447" s="2">
        <v>81.0</v>
      </c>
      <c r="AT447" s="2">
        <v>12.0</v>
      </c>
      <c r="AU447" s="2">
        <v>18.1335999386502</v>
      </c>
      <c r="AV447" s="2">
        <v>0.0</v>
      </c>
      <c r="AW447" s="2">
        <v>8.0</v>
      </c>
      <c r="AX447" s="2">
        <v>4.0</v>
      </c>
      <c r="AY447" s="2">
        <v>3.0</v>
      </c>
      <c r="AZ447" s="2">
        <v>1.0</v>
      </c>
      <c r="BA447" s="2">
        <v>0.0</v>
      </c>
      <c r="BB447" s="2">
        <v>24.0</v>
      </c>
      <c r="BC447" s="2">
        <v>0.0</v>
      </c>
      <c r="BD447" s="2">
        <v>24.0</v>
      </c>
      <c r="BE447" s="2">
        <v>6.0</v>
      </c>
      <c r="BF447" s="2">
        <v>35.0</v>
      </c>
      <c r="BG447" s="2">
        <v>0.0</v>
      </c>
      <c r="BH447" s="2">
        <v>4.0</v>
      </c>
      <c r="BI447" s="2">
        <v>35.0</v>
      </c>
      <c r="BJ447" s="2">
        <v>9.0</v>
      </c>
      <c r="BK447" s="2">
        <v>1.0</v>
      </c>
      <c r="BL447" s="2">
        <v>0.0</v>
      </c>
      <c r="BM447" s="2">
        <v>5.0</v>
      </c>
      <c r="BN447" s="2">
        <v>0.0</v>
      </c>
      <c r="BO447" s="2">
        <v>0.0</v>
      </c>
      <c r="BP447" s="2">
        <v>0.0</v>
      </c>
      <c r="BQ447" s="2">
        <v>0.0</v>
      </c>
      <c r="BR447" s="2">
        <v>0.0</v>
      </c>
      <c r="BS447" s="2">
        <v>0.0</v>
      </c>
      <c r="BT447" s="2">
        <v>0.0</v>
      </c>
      <c r="BU447" s="2">
        <v>0.0</v>
      </c>
      <c r="BV447" s="2">
        <v>0.0</v>
      </c>
      <c r="BW447" s="2">
        <v>3.0</v>
      </c>
      <c r="BX447" s="2">
        <v>35.0</v>
      </c>
      <c r="BY447" s="2">
        <v>1.0</v>
      </c>
      <c r="BZ447" s="2">
        <v>0.0</v>
      </c>
      <c r="CA447" s="2">
        <v>0.0</v>
      </c>
      <c r="CB447" s="2">
        <v>0.0</v>
      </c>
      <c r="CC447" s="2">
        <v>0.0</v>
      </c>
      <c r="CD447" s="2">
        <v>0.0</v>
      </c>
      <c r="CE447" s="2">
        <v>3.0</v>
      </c>
      <c r="CF447" s="2">
        <v>22.0</v>
      </c>
      <c r="CG447" s="2">
        <v>1.0</v>
      </c>
      <c r="CH447" s="2">
        <v>31.0</v>
      </c>
      <c r="CI447" s="2">
        <v>1.0</v>
      </c>
      <c r="CJ447" s="2">
        <v>1.0</v>
      </c>
      <c r="CK447" s="2">
        <v>0.0</v>
      </c>
      <c r="CL447" s="2">
        <v>0.0</v>
      </c>
      <c r="CM447" s="2">
        <v>27.0</v>
      </c>
      <c r="CN447" s="2">
        <v>1.0</v>
      </c>
      <c r="CO447" s="2">
        <v>0.0</v>
      </c>
      <c r="CP447" s="2">
        <v>1.0</v>
      </c>
      <c r="CQ447" s="2">
        <v>0.0</v>
      </c>
      <c r="CR447" s="2">
        <v>0.0</v>
      </c>
      <c r="CS447" s="2">
        <v>0.0</v>
      </c>
      <c r="CT447" s="2">
        <v>0.0</v>
      </c>
      <c r="CU447" s="2">
        <v>0.0</v>
      </c>
      <c r="CV447" s="2">
        <v>0.0</v>
      </c>
      <c r="CW447" s="2">
        <v>0.0</v>
      </c>
      <c r="CX447" s="2">
        <v>0.0</v>
      </c>
      <c r="CY447" s="2">
        <v>0.0</v>
      </c>
      <c r="CZ447" s="2">
        <v>0.0</v>
      </c>
      <c r="DA447" s="2" t="s">
        <v>1992</v>
      </c>
      <c r="DD447" s="2">
        <v>27.0</v>
      </c>
      <c r="DE447" s="2">
        <v>0.0</v>
      </c>
      <c r="DF447" s="2">
        <v>0.0</v>
      </c>
      <c r="DG447" s="2">
        <v>4.0</v>
      </c>
      <c r="DH447" s="2">
        <v>4.0</v>
      </c>
      <c r="DI447" s="2">
        <v>0.0</v>
      </c>
      <c r="DJ447" s="2">
        <v>0.0</v>
      </c>
      <c r="DK447" s="2">
        <v>1.0</v>
      </c>
      <c r="DL447" s="2">
        <v>0.0</v>
      </c>
      <c r="DM447" s="2">
        <v>0.0</v>
      </c>
      <c r="DN447" s="2">
        <v>0.0</v>
      </c>
      <c r="DO447" s="2">
        <v>0.0</v>
      </c>
      <c r="DP447" s="2">
        <v>0.0</v>
      </c>
      <c r="DQ447" s="2">
        <v>1.0</v>
      </c>
      <c r="DR447" s="2">
        <v>0.0</v>
      </c>
      <c r="DS447" s="2">
        <v>43.0</v>
      </c>
      <c r="DT447" s="2">
        <v>43.0</v>
      </c>
      <c r="DU447" s="2">
        <v>0.0</v>
      </c>
      <c r="DV447" s="2">
        <v>0.0</v>
      </c>
      <c r="DW447" s="2">
        <v>1.0</v>
      </c>
      <c r="DX447" s="2">
        <v>0.0</v>
      </c>
      <c r="DY447" s="2">
        <v>0.0</v>
      </c>
      <c r="DZ447" s="2">
        <v>0.0</v>
      </c>
      <c r="EA447" s="2">
        <v>0.0</v>
      </c>
      <c r="EB447" s="2">
        <v>0.0</v>
      </c>
      <c r="EC447" s="2">
        <v>43.0</v>
      </c>
      <c r="EE447" s="2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2">
        <v>2025.0</v>
      </c>
      <c r="B448" s="2">
        <v>15.0</v>
      </c>
      <c r="C448" s="2" t="s">
        <v>242</v>
      </c>
      <c r="D448" s="2" t="s">
        <v>390</v>
      </c>
      <c r="E448" s="2" t="s">
        <v>1091</v>
      </c>
      <c r="F448" s="2" t="s">
        <v>225</v>
      </c>
      <c r="G448" s="2">
        <v>23.0</v>
      </c>
      <c r="H448" s="2">
        <v>27.0</v>
      </c>
      <c r="I448" s="2">
        <v>224.0</v>
      </c>
      <c r="J448" s="2">
        <v>2.0</v>
      </c>
      <c r="K448" s="2">
        <v>0.0</v>
      </c>
      <c r="L448" s="2">
        <v>3.0</v>
      </c>
      <c r="M448" s="2">
        <v>-23.0</v>
      </c>
      <c r="N448" s="2">
        <v>0.0</v>
      </c>
      <c r="O448" s="2">
        <v>0.0</v>
      </c>
      <c r="P448" s="2">
        <v>92.0</v>
      </c>
      <c r="Q448" s="2">
        <v>174.0</v>
      </c>
      <c r="R448" s="2">
        <v>11.0</v>
      </c>
      <c r="S448" s="2">
        <v>11.12713446212</v>
      </c>
      <c r="T448" s="2">
        <v>10.4252910172498</v>
      </c>
      <c r="U448" s="2">
        <v>0.0</v>
      </c>
      <c r="V448" s="2">
        <v>11.0</v>
      </c>
      <c r="W448" s="2">
        <v>5.0</v>
      </c>
      <c r="X448" s="2">
        <v>3.0</v>
      </c>
      <c r="Y448" s="2">
        <v>0.0</v>
      </c>
      <c r="Z448" s="2">
        <v>32.0</v>
      </c>
      <c r="AA448" s="2">
        <v>135.0</v>
      </c>
      <c r="AB448" s="2">
        <v>2.0</v>
      </c>
      <c r="AC448" s="2">
        <v>0.0</v>
      </c>
      <c r="AD448" s="2">
        <v>0.0</v>
      </c>
      <c r="AE448" s="2">
        <v>8.0</v>
      </c>
      <c r="AF448" s="2">
        <v>2.71282673836686</v>
      </c>
      <c r="AG448" s="2">
        <v>0.0</v>
      </c>
      <c r="AH448" s="2">
        <v>2.0</v>
      </c>
      <c r="AI448" s="2">
        <v>2.0</v>
      </c>
      <c r="AJ448" s="2">
        <v>1.0</v>
      </c>
      <c r="AK448" s="2">
        <v>0.0</v>
      </c>
      <c r="AL448" s="2">
        <v>23.0</v>
      </c>
      <c r="AM448" s="2">
        <v>27.0</v>
      </c>
      <c r="AN448" s="2">
        <v>224.0</v>
      </c>
      <c r="AO448" s="2">
        <v>2.0</v>
      </c>
      <c r="AP448" s="2">
        <v>0.0</v>
      </c>
      <c r="AQ448" s="2">
        <v>0.0</v>
      </c>
      <c r="AR448" s="2">
        <v>92.0</v>
      </c>
      <c r="AS448" s="2">
        <v>174.0</v>
      </c>
      <c r="AT448" s="2">
        <v>11.0</v>
      </c>
      <c r="AU448" s="2">
        <v>17.3249758307356</v>
      </c>
      <c r="AV448" s="2">
        <v>0.0</v>
      </c>
      <c r="AW448" s="2">
        <v>11.0</v>
      </c>
      <c r="AX448" s="2">
        <v>5.0</v>
      </c>
      <c r="AY448" s="2">
        <v>3.0</v>
      </c>
      <c r="AZ448" s="2">
        <v>0.0</v>
      </c>
      <c r="BA448" s="2">
        <v>0.0</v>
      </c>
      <c r="BB448" s="2">
        <v>37.0</v>
      </c>
      <c r="BC448" s="2">
        <v>0.0</v>
      </c>
      <c r="BD448" s="2">
        <v>16.0</v>
      </c>
      <c r="BE448" s="2">
        <v>7.0</v>
      </c>
      <c r="BF448" s="2">
        <v>37.0</v>
      </c>
      <c r="BG448" s="2">
        <v>0.0</v>
      </c>
      <c r="BH448" s="2">
        <v>4.0</v>
      </c>
      <c r="BI448" s="2">
        <v>31.0</v>
      </c>
      <c r="BJ448" s="2">
        <v>5.0</v>
      </c>
      <c r="BK448" s="2">
        <v>1.0</v>
      </c>
      <c r="BL448" s="2">
        <v>0.0</v>
      </c>
      <c r="BM448" s="2">
        <v>2.0</v>
      </c>
      <c r="BN448" s="2">
        <v>0.0</v>
      </c>
      <c r="BO448" s="2">
        <v>0.0</v>
      </c>
      <c r="BP448" s="2">
        <v>0.0</v>
      </c>
      <c r="BQ448" s="2">
        <v>0.0</v>
      </c>
      <c r="BR448" s="2">
        <v>0.0</v>
      </c>
      <c r="BS448" s="2">
        <v>0.0</v>
      </c>
      <c r="BT448" s="2">
        <v>0.0</v>
      </c>
      <c r="BU448" s="2">
        <v>0.0</v>
      </c>
      <c r="BV448" s="2">
        <v>0.0</v>
      </c>
      <c r="BW448" s="2">
        <v>4.0</v>
      </c>
      <c r="BX448" s="2">
        <v>25.0</v>
      </c>
      <c r="BY448" s="2">
        <v>5.0</v>
      </c>
      <c r="BZ448" s="2">
        <v>0.0</v>
      </c>
      <c r="CA448" s="2">
        <v>0.0</v>
      </c>
      <c r="CB448" s="2">
        <v>0.0</v>
      </c>
      <c r="CC448" s="2">
        <v>0.0</v>
      </c>
      <c r="CD448" s="2">
        <v>0.0</v>
      </c>
      <c r="CE448" s="2">
        <v>3.0</v>
      </c>
      <c r="CF448" s="2">
        <v>9.0</v>
      </c>
      <c r="CG448" s="2">
        <v>2.0</v>
      </c>
      <c r="CH448" s="2">
        <v>54.0</v>
      </c>
      <c r="CI448" s="2">
        <v>0.0</v>
      </c>
      <c r="CJ448" s="2">
        <v>0.0</v>
      </c>
      <c r="CK448" s="2">
        <v>0.0</v>
      </c>
      <c r="CL448" s="2">
        <v>0.0</v>
      </c>
      <c r="CO448" s="2">
        <v>0.0</v>
      </c>
      <c r="CP448" s="2">
        <v>0.0</v>
      </c>
      <c r="CQ448" s="2">
        <v>0.0</v>
      </c>
      <c r="CR448" s="2">
        <v>0.0</v>
      </c>
      <c r="CS448" s="2">
        <v>0.0</v>
      </c>
      <c r="CT448" s="2">
        <v>0.0</v>
      </c>
      <c r="CU448" s="2">
        <v>0.0</v>
      </c>
      <c r="CV448" s="2">
        <v>0.0</v>
      </c>
      <c r="CW448" s="2">
        <v>0.0</v>
      </c>
      <c r="CX448" s="2">
        <v>0.0</v>
      </c>
      <c r="CY448" s="2">
        <v>0.0</v>
      </c>
      <c r="CZ448" s="2">
        <v>0.0</v>
      </c>
      <c r="DD448" s="2">
        <v>0.0</v>
      </c>
      <c r="DE448" s="2">
        <v>0.0</v>
      </c>
      <c r="DF448" s="2">
        <v>0.0</v>
      </c>
      <c r="DG448" s="2">
        <v>4.0</v>
      </c>
      <c r="DH448" s="2">
        <v>4.0</v>
      </c>
      <c r="DI448" s="2">
        <v>0.0</v>
      </c>
      <c r="DJ448" s="2">
        <v>0.0</v>
      </c>
      <c r="DK448" s="2">
        <v>1.0</v>
      </c>
      <c r="DL448" s="2">
        <v>0.0</v>
      </c>
      <c r="DM448" s="2">
        <v>0.0</v>
      </c>
      <c r="DN448" s="2">
        <v>0.0</v>
      </c>
      <c r="DO448" s="2">
        <v>0.0</v>
      </c>
      <c r="DP448" s="2">
        <v>0.0</v>
      </c>
      <c r="DQ448" s="2">
        <v>5.0</v>
      </c>
      <c r="DR448" s="2">
        <v>0.0</v>
      </c>
      <c r="DS448" s="2">
        <v>52.0</v>
      </c>
      <c r="DT448" s="2">
        <v>231.0</v>
      </c>
      <c r="DU448" s="2">
        <v>2.0</v>
      </c>
      <c r="DV448" s="2">
        <v>0.0</v>
      </c>
      <c r="DW448" s="2">
        <v>2.0</v>
      </c>
      <c r="DX448" s="2">
        <v>1.0</v>
      </c>
      <c r="DY448" s="2">
        <v>0.0</v>
      </c>
      <c r="DZ448" s="2">
        <v>2.0</v>
      </c>
      <c r="EA448" s="2">
        <v>14.0</v>
      </c>
      <c r="EB448" s="2">
        <v>0.0</v>
      </c>
      <c r="EC448" s="2">
        <v>197.0</v>
      </c>
      <c r="EE448" s="2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2">
        <v>2025.0</v>
      </c>
      <c r="B449" s="2">
        <v>15.0</v>
      </c>
      <c r="C449" s="2" t="s">
        <v>149</v>
      </c>
      <c r="D449" s="2" t="s">
        <v>390</v>
      </c>
      <c r="E449" s="2" t="s">
        <v>1083</v>
      </c>
      <c r="F449" s="2" t="s">
        <v>210</v>
      </c>
      <c r="G449" s="2">
        <v>22.0</v>
      </c>
      <c r="H449" s="2">
        <v>36.0</v>
      </c>
      <c r="I449" s="2">
        <v>271.0</v>
      </c>
      <c r="J449" s="2">
        <v>0.0</v>
      </c>
      <c r="K449" s="2">
        <v>0.0</v>
      </c>
      <c r="L449" s="2">
        <v>1.0</v>
      </c>
      <c r="M449" s="2">
        <v>-7.0</v>
      </c>
      <c r="N449" s="2">
        <v>0.0</v>
      </c>
      <c r="O449" s="2">
        <v>0.0</v>
      </c>
      <c r="P449" s="2">
        <v>241.0</v>
      </c>
      <c r="Q449" s="2">
        <v>125.0</v>
      </c>
      <c r="R449" s="2">
        <v>9.0</v>
      </c>
      <c r="S449" s="2">
        <v>4.55390199469243</v>
      </c>
      <c r="T449" s="2">
        <v>0.552534244277261</v>
      </c>
      <c r="U449" s="2">
        <v>0.0</v>
      </c>
      <c r="V449" s="2">
        <v>8.0</v>
      </c>
      <c r="W449" s="2">
        <v>6.0</v>
      </c>
      <c r="X449" s="2">
        <v>3.0</v>
      </c>
      <c r="Y449" s="2">
        <v>0.0</v>
      </c>
      <c r="Z449" s="2">
        <v>22.0</v>
      </c>
      <c r="AA449" s="2">
        <v>50.0</v>
      </c>
      <c r="AB449" s="2">
        <v>0.0</v>
      </c>
      <c r="AC449" s="2">
        <v>1.0</v>
      </c>
      <c r="AD449" s="2">
        <v>0.0</v>
      </c>
      <c r="AE449" s="2">
        <v>6.0</v>
      </c>
      <c r="AF449" s="2">
        <v>-6.95795361154554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22.0</v>
      </c>
      <c r="AM449" s="2">
        <v>33.0</v>
      </c>
      <c r="AN449" s="2">
        <v>271.0</v>
      </c>
      <c r="AO449" s="2">
        <v>0.0</v>
      </c>
      <c r="AP449" s="2">
        <v>0.0</v>
      </c>
      <c r="AQ449" s="2">
        <v>0.0</v>
      </c>
      <c r="AR449" s="2">
        <v>241.0</v>
      </c>
      <c r="AS449" s="2">
        <v>125.0</v>
      </c>
      <c r="AT449" s="2">
        <v>9.0</v>
      </c>
      <c r="AU449" s="2">
        <v>7.01580783576659</v>
      </c>
      <c r="AV449" s="2">
        <v>0.0</v>
      </c>
      <c r="AW449" s="2">
        <v>8.0</v>
      </c>
      <c r="AX449" s="2">
        <v>6.0</v>
      </c>
      <c r="AY449" s="2">
        <v>3.0</v>
      </c>
      <c r="AZ449" s="2">
        <v>0.0</v>
      </c>
      <c r="BA449" s="2">
        <v>0.0</v>
      </c>
      <c r="BB449" s="2">
        <v>39.0</v>
      </c>
      <c r="BC449" s="2">
        <v>0.0</v>
      </c>
      <c r="BD449" s="2">
        <v>28.0</v>
      </c>
      <c r="BE449" s="2">
        <v>5.0</v>
      </c>
      <c r="BF449" s="2">
        <v>14.0</v>
      </c>
      <c r="BG449" s="2">
        <v>0.0</v>
      </c>
      <c r="BH449" s="2">
        <v>1.0</v>
      </c>
      <c r="BI449" s="2">
        <v>2.0</v>
      </c>
      <c r="BJ449" s="2">
        <v>4.0</v>
      </c>
      <c r="BK449" s="2">
        <v>1.0</v>
      </c>
      <c r="BL449" s="2">
        <v>0.0</v>
      </c>
      <c r="BM449" s="2">
        <v>6.0</v>
      </c>
      <c r="BN449" s="2">
        <v>0.0</v>
      </c>
      <c r="BO449" s="2">
        <v>0.0</v>
      </c>
      <c r="BP449" s="2">
        <v>0.0</v>
      </c>
      <c r="BQ449" s="2">
        <v>0.0</v>
      </c>
      <c r="BR449" s="2">
        <v>0.0</v>
      </c>
      <c r="BS449" s="2">
        <v>0.0</v>
      </c>
      <c r="BT449" s="2">
        <v>0.0</v>
      </c>
      <c r="BU449" s="2">
        <v>0.0</v>
      </c>
      <c r="BV449" s="2">
        <v>0.0</v>
      </c>
      <c r="BW449" s="2">
        <v>5.0</v>
      </c>
      <c r="BX449" s="2">
        <v>34.0</v>
      </c>
      <c r="BY449" s="2">
        <v>6.0</v>
      </c>
      <c r="BZ449" s="2">
        <v>1.0</v>
      </c>
      <c r="CA449" s="2">
        <v>0.0</v>
      </c>
      <c r="CB449" s="2">
        <v>1.0</v>
      </c>
      <c r="CC449" s="2">
        <v>1.0</v>
      </c>
      <c r="CD449" s="2">
        <v>0.0</v>
      </c>
      <c r="CE449" s="2">
        <v>1.0</v>
      </c>
      <c r="CF449" s="2">
        <v>6.0</v>
      </c>
      <c r="CG449" s="2">
        <v>5.0</v>
      </c>
      <c r="CH449" s="2">
        <v>131.0</v>
      </c>
      <c r="CI449" s="2">
        <v>6.0</v>
      </c>
      <c r="CJ449" s="2">
        <v>6.0</v>
      </c>
      <c r="CK449" s="2">
        <v>0.0</v>
      </c>
      <c r="CL449" s="2">
        <v>0.0</v>
      </c>
      <c r="CM449" s="2">
        <v>56.0</v>
      </c>
      <c r="CN449" s="2">
        <v>1.0</v>
      </c>
      <c r="CO449" s="2">
        <v>0.0</v>
      </c>
      <c r="CP449" s="2">
        <v>0.0</v>
      </c>
      <c r="CQ449" s="2">
        <v>2.0</v>
      </c>
      <c r="CR449" s="2">
        <v>2.0</v>
      </c>
      <c r="CS449" s="2">
        <v>2.0</v>
      </c>
      <c r="CT449" s="2">
        <v>0.0</v>
      </c>
      <c r="CU449" s="2">
        <v>0.0</v>
      </c>
      <c r="CV449" s="2">
        <v>0.0</v>
      </c>
      <c r="CW449" s="2">
        <v>0.0</v>
      </c>
      <c r="CX449" s="2">
        <v>0.0</v>
      </c>
      <c r="CY449" s="2">
        <v>0.0</v>
      </c>
      <c r="CZ449" s="2">
        <v>0.0</v>
      </c>
      <c r="DA449" s="2" t="s">
        <v>2239</v>
      </c>
      <c r="DD449" s="2">
        <v>263.0</v>
      </c>
      <c r="DE449" s="2">
        <v>0.0</v>
      </c>
      <c r="DF449" s="2">
        <v>0.0</v>
      </c>
      <c r="DG449" s="2">
        <v>0.0</v>
      </c>
      <c r="DH449" s="2">
        <v>0.0</v>
      </c>
      <c r="DI449" s="2">
        <v>0.0</v>
      </c>
      <c r="DJ449" s="2">
        <v>0.0</v>
      </c>
      <c r="DL449" s="2">
        <v>0.0</v>
      </c>
      <c r="DM449" s="2">
        <v>0.0</v>
      </c>
      <c r="DN449" s="2">
        <v>0.0</v>
      </c>
      <c r="DO449" s="2">
        <v>0.0</v>
      </c>
      <c r="DP449" s="2">
        <v>0.0</v>
      </c>
      <c r="DQ449" s="2">
        <v>4.0</v>
      </c>
      <c r="DR449" s="2">
        <v>0.0</v>
      </c>
      <c r="DS449" s="2">
        <v>52.0</v>
      </c>
      <c r="DT449" s="2">
        <v>193.0</v>
      </c>
      <c r="DU449" s="2">
        <v>0.0</v>
      </c>
      <c r="DV449" s="2">
        <v>1.0</v>
      </c>
      <c r="DW449" s="2">
        <v>0.0</v>
      </c>
      <c r="DX449" s="2">
        <v>0.0</v>
      </c>
      <c r="DY449" s="2">
        <v>2.0</v>
      </c>
      <c r="DZ449" s="2">
        <v>1.0</v>
      </c>
      <c r="EA449" s="2">
        <v>2.0</v>
      </c>
      <c r="EB449" s="2">
        <v>0.0</v>
      </c>
      <c r="EC449" s="2">
        <v>191.0</v>
      </c>
      <c r="EE449" s="2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2">
        <v>2025.0</v>
      </c>
      <c r="B450" s="2">
        <v>15.0</v>
      </c>
      <c r="C450" s="2" t="s">
        <v>246</v>
      </c>
      <c r="D450" s="2" t="s">
        <v>390</v>
      </c>
      <c r="E450" s="2" t="s">
        <v>1087</v>
      </c>
      <c r="F450" s="2" t="s">
        <v>250</v>
      </c>
      <c r="G450" s="2">
        <v>23.0</v>
      </c>
      <c r="H450" s="2">
        <v>30.0</v>
      </c>
      <c r="I450" s="2">
        <v>295.0</v>
      </c>
      <c r="J450" s="2">
        <v>3.0</v>
      </c>
      <c r="K450" s="2">
        <v>0.0</v>
      </c>
      <c r="L450" s="2">
        <v>2.0</v>
      </c>
      <c r="M450" s="2">
        <v>-3.0</v>
      </c>
      <c r="N450" s="2">
        <v>1.0</v>
      </c>
      <c r="O450" s="2">
        <v>1.0</v>
      </c>
      <c r="P450" s="2">
        <v>251.0</v>
      </c>
      <c r="Q450" s="2">
        <v>127.0</v>
      </c>
      <c r="R450" s="2">
        <v>18.0</v>
      </c>
      <c r="S450" s="2">
        <v>17.8473836992922</v>
      </c>
      <c r="T450" s="2">
        <v>20.5120045159544</v>
      </c>
      <c r="U450" s="2">
        <v>0.0</v>
      </c>
      <c r="V450" s="2">
        <v>14.0</v>
      </c>
      <c r="W450" s="2">
        <v>5.0</v>
      </c>
      <c r="X450" s="2">
        <v>5.0</v>
      </c>
      <c r="Y450" s="2">
        <v>0.0</v>
      </c>
      <c r="Z450" s="2">
        <v>38.0</v>
      </c>
      <c r="AA450" s="2">
        <v>138.0</v>
      </c>
      <c r="AB450" s="2">
        <v>1.0</v>
      </c>
      <c r="AC450" s="2">
        <v>0.0</v>
      </c>
      <c r="AD450" s="2">
        <v>0.0</v>
      </c>
      <c r="AE450" s="2">
        <v>7.0</v>
      </c>
      <c r="AF450" s="2">
        <v>-0.497504920950375</v>
      </c>
      <c r="AG450" s="2">
        <v>0.0</v>
      </c>
      <c r="AH450" s="2">
        <v>1.0</v>
      </c>
      <c r="AI450" s="2">
        <v>1.0</v>
      </c>
      <c r="AJ450" s="2">
        <v>1.0</v>
      </c>
      <c r="AK450" s="2">
        <v>0.0</v>
      </c>
      <c r="AL450" s="2">
        <v>23.0</v>
      </c>
      <c r="AM450" s="2">
        <v>28.0</v>
      </c>
      <c r="AN450" s="2">
        <v>295.0</v>
      </c>
      <c r="AO450" s="2">
        <v>3.0</v>
      </c>
      <c r="AP450" s="2">
        <v>0.0</v>
      </c>
      <c r="AQ450" s="2">
        <v>0.0</v>
      </c>
      <c r="AR450" s="2">
        <v>251.0</v>
      </c>
      <c r="AS450" s="2">
        <v>127.0</v>
      </c>
      <c r="AT450" s="2">
        <v>18.0</v>
      </c>
      <c r="AU450" s="2">
        <v>24.1991377495866</v>
      </c>
      <c r="AV450" s="2">
        <v>0.0</v>
      </c>
      <c r="AW450" s="2">
        <v>14.0</v>
      </c>
      <c r="AX450" s="2">
        <v>5.0</v>
      </c>
      <c r="AY450" s="2">
        <v>5.0</v>
      </c>
      <c r="AZ450" s="2">
        <v>0.0</v>
      </c>
      <c r="BA450" s="2">
        <v>0.0</v>
      </c>
      <c r="BB450" s="2">
        <v>23.0</v>
      </c>
      <c r="BC450" s="2">
        <v>0.0</v>
      </c>
      <c r="BD450" s="2">
        <v>34.0</v>
      </c>
      <c r="BE450" s="2">
        <v>1.0</v>
      </c>
      <c r="BF450" s="2">
        <v>7.0</v>
      </c>
      <c r="BG450" s="2">
        <v>0.0</v>
      </c>
      <c r="BH450" s="2">
        <v>0.0</v>
      </c>
      <c r="BI450" s="2">
        <v>0.0</v>
      </c>
      <c r="BJ450" s="2">
        <v>3.0</v>
      </c>
      <c r="BK450" s="2">
        <v>0.0</v>
      </c>
      <c r="BL450" s="2">
        <v>0.0</v>
      </c>
      <c r="BM450" s="2">
        <v>2.0</v>
      </c>
      <c r="BN450" s="2">
        <v>0.0</v>
      </c>
      <c r="BO450" s="2">
        <v>0.0</v>
      </c>
      <c r="BP450" s="2">
        <v>0.0</v>
      </c>
      <c r="BQ450" s="2">
        <v>0.0</v>
      </c>
      <c r="BR450" s="2">
        <v>0.0</v>
      </c>
      <c r="BS450" s="2">
        <v>0.0</v>
      </c>
      <c r="BT450" s="2">
        <v>0.0</v>
      </c>
      <c r="BU450" s="2">
        <v>0.0</v>
      </c>
      <c r="BV450" s="2">
        <v>0.0</v>
      </c>
      <c r="BW450" s="2">
        <v>6.0</v>
      </c>
      <c r="BX450" s="2">
        <v>30.0</v>
      </c>
      <c r="BY450" s="2">
        <v>4.0</v>
      </c>
      <c r="BZ450" s="2">
        <v>1.0</v>
      </c>
      <c r="CA450" s="2">
        <v>0.0</v>
      </c>
      <c r="CB450" s="2">
        <v>0.0</v>
      </c>
      <c r="CC450" s="2">
        <v>1.0</v>
      </c>
      <c r="CD450" s="2">
        <v>1.0</v>
      </c>
      <c r="CE450" s="2">
        <v>1.0</v>
      </c>
      <c r="CF450" s="2">
        <v>18.0</v>
      </c>
      <c r="CG450" s="2">
        <v>2.0</v>
      </c>
      <c r="CH450" s="2">
        <v>53.0</v>
      </c>
      <c r="CI450" s="2">
        <v>3.0</v>
      </c>
      <c r="CJ450" s="2">
        <v>3.0</v>
      </c>
      <c r="CK450" s="2">
        <v>0.0</v>
      </c>
      <c r="CL450" s="2">
        <v>0.0</v>
      </c>
      <c r="CM450" s="2">
        <v>40.0</v>
      </c>
      <c r="CN450" s="2">
        <v>1.0</v>
      </c>
      <c r="CO450" s="2">
        <v>0.0</v>
      </c>
      <c r="CP450" s="2">
        <v>0.0</v>
      </c>
      <c r="CQ450" s="2">
        <v>2.0</v>
      </c>
      <c r="CR450" s="2">
        <v>1.0</v>
      </c>
      <c r="CS450" s="2">
        <v>0.0</v>
      </c>
      <c r="CT450" s="2">
        <v>0.0</v>
      </c>
      <c r="CU450" s="2">
        <v>0.0</v>
      </c>
      <c r="CV450" s="2">
        <v>0.0</v>
      </c>
      <c r="CW450" s="2">
        <v>0.0</v>
      </c>
      <c r="CX450" s="2">
        <v>0.0</v>
      </c>
      <c r="CY450" s="2">
        <v>0.0</v>
      </c>
      <c r="CZ450" s="2">
        <v>0.0</v>
      </c>
      <c r="DA450" s="2" t="s">
        <v>2240</v>
      </c>
      <c r="DD450" s="2">
        <v>110.0</v>
      </c>
      <c r="DE450" s="2">
        <v>0.0</v>
      </c>
      <c r="DF450" s="2">
        <v>0.0</v>
      </c>
      <c r="DG450" s="2">
        <v>4.0</v>
      </c>
      <c r="DH450" s="2">
        <v>4.0</v>
      </c>
      <c r="DI450" s="2">
        <v>0.0</v>
      </c>
      <c r="DJ450" s="2">
        <v>0.0</v>
      </c>
      <c r="DK450" s="2">
        <v>1.0</v>
      </c>
      <c r="DL450" s="2">
        <v>0.0</v>
      </c>
      <c r="DM450" s="2">
        <v>0.0</v>
      </c>
      <c r="DN450" s="2">
        <v>0.0</v>
      </c>
      <c r="DO450" s="2">
        <v>0.0</v>
      </c>
      <c r="DP450" s="2">
        <v>0.0</v>
      </c>
      <c r="DQ450" s="2">
        <v>0.0</v>
      </c>
      <c r="DR450" s="2">
        <v>0.0</v>
      </c>
      <c r="DT450" s="2">
        <v>0.0</v>
      </c>
      <c r="DU450" s="2">
        <v>0.0</v>
      </c>
      <c r="DV450" s="2">
        <v>0.0</v>
      </c>
      <c r="DW450" s="2">
        <v>0.0</v>
      </c>
      <c r="DX450" s="2">
        <v>0.0</v>
      </c>
      <c r="DY450" s="2">
        <v>0.0</v>
      </c>
      <c r="DZ450" s="2">
        <v>0.0</v>
      </c>
      <c r="EA450" s="2">
        <v>0.0</v>
      </c>
      <c r="EB450" s="2">
        <v>0.0</v>
      </c>
      <c r="EC450" s="2">
        <v>0.0</v>
      </c>
      <c r="EE450" s="2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2">
        <v>2025.0</v>
      </c>
      <c r="B451" s="2">
        <v>15.0</v>
      </c>
      <c r="C451" s="2" t="s">
        <v>150</v>
      </c>
      <c r="D451" s="2" t="s">
        <v>390</v>
      </c>
      <c r="E451" s="2" t="s">
        <v>1053</v>
      </c>
      <c r="F451" s="2" t="s">
        <v>132</v>
      </c>
      <c r="G451" s="2">
        <v>19.0</v>
      </c>
      <c r="H451" s="2">
        <v>34.0</v>
      </c>
      <c r="I451" s="2">
        <v>277.0</v>
      </c>
      <c r="J451" s="2">
        <v>2.0</v>
      </c>
      <c r="K451" s="2">
        <v>1.0</v>
      </c>
      <c r="L451" s="2">
        <v>5.0</v>
      </c>
      <c r="M451" s="2">
        <v>-27.0</v>
      </c>
      <c r="N451" s="2">
        <v>0.0</v>
      </c>
      <c r="O451" s="2">
        <v>0.0</v>
      </c>
      <c r="P451" s="2">
        <v>359.0</v>
      </c>
      <c r="Q451" s="2">
        <v>63.0</v>
      </c>
      <c r="R451" s="2">
        <v>16.0</v>
      </c>
      <c r="S451" s="2">
        <v>4.41692957266996</v>
      </c>
      <c r="T451" s="2">
        <v>-1.12082054838538</v>
      </c>
      <c r="U451" s="2">
        <v>1.0</v>
      </c>
      <c r="V451" s="2">
        <v>12.0</v>
      </c>
      <c r="W451" s="2">
        <v>7.0</v>
      </c>
      <c r="X451" s="2">
        <v>5.0</v>
      </c>
      <c r="Y451" s="2">
        <v>1.0</v>
      </c>
      <c r="Z451" s="2">
        <v>22.0</v>
      </c>
      <c r="AA451" s="2">
        <v>88.0</v>
      </c>
      <c r="AB451" s="2">
        <v>1.0</v>
      </c>
      <c r="AC451" s="2">
        <v>0.0</v>
      </c>
      <c r="AD451" s="2">
        <v>0.0</v>
      </c>
      <c r="AE451" s="2">
        <v>5.0</v>
      </c>
      <c r="AF451" s="2">
        <v>-1.00027693465149</v>
      </c>
      <c r="AG451" s="2">
        <v>0.0</v>
      </c>
      <c r="AH451" s="2">
        <v>3.0</v>
      </c>
      <c r="AI451" s="2">
        <v>2.0</v>
      </c>
      <c r="AJ451" s="2">
        <v>1.0</v>
      </c>
      <c r="AK451" s="2">
        <v>0.0</v>
      </c>
      <c r="AL451" s="2">
        <v>19.0</v>
      </c>
      <c r="AM451" s="2">
        <v>32.0</v>
      </c>
      <c r="AN451" s="2">
        <v>277.0</v>
      </c>
      <c r="AO451" s="2">
        <v>2.0</v>
      </c>
      <c r="AP451" s="2">
        <v>0.0</v>
      </c>
      <c r="AQ451" s="2">
        <v>0.0</v>
      </c>
      <c r="AR451" s="2">
        <v>359.0</v>
      </c>
      <c r="AS451" s="2">
        <v>63.0</v>
      </c>
      <c r="AT451" s="2">
        <v>16.0</v>
      </c>
      <c r="AU451" s="2">
        <v>10.9445060054278</v>
      </c>
      <c r="AV451" s="2">
        <v>1.0</v>
      </c>
      <c r="AW451" s="2">
        <v>12.0</v>
      </c>
      <c r="AX451" s="2">
        <v>7.0</v>
      </c>
      <c r="AY451" s="2">
        <v>5.0</v>
      </c>
      <c r="AZ451" s="2">
        <v>1.0</v>
      </c>
      <c r="BA451" s="2">
        <v>0.0</v>
      </c>
      <c r="BB451" s="2">
        <v>36.0</v>
      </c>
      <c r="BC451" s="2">
        <v>0.0</v>
      </c>
      <c r="BD451" s="2">
        <v>28.0</v>
      </c>
      <c r="BE451" s="2">
        <v>2.0</v>
      </c>
      <c r="BF451" s="2">
        <v>11.0</v>
      </c>
      <c r="BG451" s="2">
        <v>3.0</v>
      </c>
      <c r="BH451" s="2">
        <v>1.0</v>
      </c>
      <c r="BI451" s="2">
        <v>8.0</v>
      </c>
      <c r="BJ451" s="2">
        <v>4.0</v>
      </c>
      <c r="BK451" s="2">
        <v>0.0</v>
      </c>
      <c r="BL451" s="2">
        <v>0.0</v>
      </c>
      <c r="BM451" s="2">
        <v>1.0</v>
      </c>
      <c r="BN451" s="2">
        <v>0.0</v>
      </c>
      <c r="BO451" s="2">
        <v>1.0</v>
      </c>
      <c r="BP451" s="2">
        <v>0.0</v>
      </c>
      <c r="BQ451" s="2">
        <v>0.0</v>
      </c>
      <c r="BR451" s="2">
        <v>1.0</v>
      </c>
      <c r="BS451" s="2">
        <v>0.0</v>
      </c>
      <c r="BT451" s="2">
        <v>1.0</v>
      </c>
      <c r="BU451" s="2">
        <v>0.0</v>
      </c>
      <c r="BV451" s="2">
        <v>0.0</v>
      </c>
      <c r="BW451" s="2">
        <v>4.0</v>
      </c>
      <c r="BX451" s="2">
        <v>25.0</v>
      </c>
      <c r="BY451" s="2">
        <v>4.0</v>
      </c>
      <c r="BZ451" s="2">
        <v>0.0</v>
      </c>
      <c r="CA451" s="2">
        <v>1.0</v>
      </c>
      <c r="CB451" s="2">
        <v>0.0</v>
      </c>
      <c r="CC451" s="2">
        <v>1.0</v>
      </c>
      <c r="CD451" s="2">
        <v>0.0</v>
      </c>
      <c r="CE451" s="2">
        <v>1.0</v>
      </c>
      <c r="CF451" s="2">
        <v>0.0</v>
      </c>
      <c r="CG451" s="2">
        <v>3.0</v>
      </c>
      <c r="CH451" s="2">
        <v>72.0</v>
      </c>
      <c r="CI451" s="2">
        <v>2.0</v>
      </c>
      <c r="CJ451" s="2">
        <v>2.0</v>
      </c>
      <c r="CK451" s="2">
        <v>0.0</v>
      </c>
      <c r="CL451" s="2">
        <v>0.0</v>
      </c>
      <c r="CM451" s="2">
        <v>52.0</v>
      </c>
      <c r="CN451" s="2">
        <v>1.0</v>
      </c>
      <c r="CO451" s="2">
        <v>0.0</v>
      </c>
      <c r="CP451" s="2">
        <v>0.0</v>
      </c>
      <c r="CQ451" s="2">
        <v>0.0</v>
      </c>
      <c r="CR451" s="2">
        <v>1.0</v>
      </c>
      <c r="CS451" s="2">
        <v>1.0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 t="s">
        <v>2241</v>
      </c>
      <c r="DD451" s="2">
        <v>101.0</v>
      </c>
      <c r="DE451" s="2">
        <v>0.0</v>
      </c>
      <c r="DF451" s="2">
        <v>0.0</v>
      </c>
      <c r="DG451" s="2">
        <v>2.0</v>
      </c>
      <c r="DH451" s="2">
        <v>2.0</v>
      </c>
      <c r="DI451" s="2">
        <v>0.0</v>
      </c>
      <c r="DJ451" s="2">
        <v>0.0</v>
      </c>
      <c r="DK451" s="2">
        <v>1.0</v>
      </c>
      <c r="DL451" s="2">
        <v>0.0</v>
      </c>
      <c r="DM451" s="2">
        <v>0.0</v>
      </c>
      <c r="DN451" s="2">
        <v>0.0</v>
      </c>
      <c r="DO451" s="2">
        <v>0.0</v>
      </c>
      <c r="DP451" s="2">
        <v>0.0</v>
      </c>
      <c r="DQ451" s="2">
        <v>4.0</v>
      </c>
      <c r="DR451" s="2">
        <v>0.0</v>
      </c>
      <c r="DS451" s="2">
        <v>45.0</v>
      </c>
      <c r="DT451" s="2">
        <v>165.0</v>
      </c>
      <c r="DU451" s="2">
        <v>2.0</v>
      </c>
      <c r="DV451" s="2">
        <v>0.0</v>
      </c>
      <c r="DW451" s="2">
        <v>1.0</v>
      </c>
      <c r="DX451" s="2">
        <v>0.0</v>
      </c>
      <c r="DY451" s="2">
        <v>1.0</v>
      </c>
      <c r="DZ451" s="2">
        <v>2.0</v>
      </c>
      <c r="EA451" s="2">
        <v>20.0</v>
      </c>
      <c r="EB451" s="2">
        <v>0.0</v>
      </c>
      <c r="EC451" s="2">
        <v>145.0</v>
      </c>
      <c r="EE451" s="2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2">
        <v>2025.0</v>
      </c>
      <c r="B452" s="2">
        <v>15.0</v>
      </c>
      <c r="C452" s="2" t="s">
        <v>250</v>
      </c>
      <c r="D452" s="2" t="s">
        <v>390</v>
      </c>
      <c r="E452" s="2" t="s">
        <v>1087</v>
      </c>
      <c r="F452" s="2" t="s">
        <v>246</v>
      </c>
      <c r="G452" s="2">
        <v>18.0</v>
      </c>
      <c r="H452" s="2">
        <v>29.0</v>
      </c>
      <c r="I452" s="2">
        <v>170.0</v>
      </c>
      <c r="J452" s="2">
        <v>2.0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171.0</v>
      </c>
      <c r="Q452" s="2">
        <v>100.0</v>
      </c>
      <c r="R452" s="2">
        <v>8.0</v>
      </c>
      <c r="S452" s="2">
        <v>1.7431885870742</v>
      </c>
      <c r="T452" s="2">
        <v>-2.7442482886491</v>
      </c>
      <c r="U452" s="2">
        <v>0.0</v>
      </c>
      <c r="V452" s="2">
        <v>5.0</v>
      </c>
      <c r="W452" s="2">
        <v>4.0</v>
      </c>
      <c r="X452" s="2">
        <v>2.0</v>
      </c>
      <c r="Y452" s="2">
        <v>1.0</v>
      </c>
      <c r="Z452" s="2">
        <v>20.0</v>
      </c>
      <c r="AA452" s="2">
        <v>136.0</v>
      </c>
      <c r="AB452" s="2">
        <v>1.0</v>
      </c>
      <c r="AC452" s="2">
        <v>0.0</v>
      </c>
      <c r="AD452" s="2">
        <v>0.0</v>
      </c>
      <c r="AE452" s="2">
        <v>9.0</v>
      </c>
      <c r="AF452" s="2">
        <v>9.63547350047156</v>
      </c>
      <c r="AG452" s="2">
        <v>0.0</v>
      </c>
      <c r="AH452" s="2">
        <v>3.0</v>
      </c>
      <c r="AI452" s="2">
        <v>3.0</v>
      </c>
      <c r="AJ452" s="2">
        <v>3.0</v>
      </c>
      <c r="AK452" s="2">
        <v>0.0</v>
      </c>
      <c r="AL452" s="2">
        <v>18.0</v>
      </c>
      <c r="AM452" s="2">
        <v>27.0</v>
      </c>
      <c r="AN452" s="2">
        <v>170.0</v>
      </c>
      <c r="AO452" s="2">
        <v>2.0</v>
      </c>
      <c r="AP452" s="2">
        <v>0.0</v>
      </c>
      <c r="AQ452" s="2">
        <v>0.0</v>
      </c>
      <c r="AR452" s="2">
        <v>171.0</v>
      </c>
      <c r="AS452" s="2">
        <v>100.0</v>
      </c>
      <c r="AT452" s="2">
        <v>8.0</v>
      </c>
      <c r="AU452" s="2">
        <v>3.82118180306724</v>
      </c>
      <c r="AV452" s="2">
        <v>0.0</v>
      </c>
      <c r="AW452" s="2">
        <v>5.0</v>
      </c>
      <c r="AX452" s="2">
        <v>4.0</v>
      </c>
      <c r="AY452" s="2">
        <v>2.0</v>
      </c>
      <c r="AZ452" s="2">
        <v>1.0</v>
      </c>
      <c r="BA452" s="2">
        <v>0.0</v>
      </c>
      <c r="BB452" s="2">
        <v>37.0</v>
      </c>
      <c r="BC452" s="2">
        <v>4.0</v>
      </c>
      <c r="BD452" s="2">
        <v>44.0</v>
      </c>
      <c r="BE452" s="2">
        <v>5.0</v>
      </c>
      <c r="BF452" s="2">
        <v>7.0</v>
      </c>
      <c r="BG452" s="2">
        <v>1.0</v>
      </c>
      <c r="BH452" s="2">
        <v>2.0</v>
      </c>
      <c r="BI452" s="2">
        <v>3.0</v>
      </c>
      <c r="BJ452" s="2">
        <v>5.0</v>
      </c>
      <c r="BK452" s="2">
        <v>0.0</v>
      </c>
      <c r="BL452" s="2">
        <v>0.0</v>
      </c>
      <c r="BM452" s="2">
        <v>2.0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1.0</v>
      </c>
      <c r="BU452" s="2">
        <v>9.0</v>
      </c>
      <c r="BV452" s="2">
        <v>0.0</v>
      </c>
      <c r="BW452" s="2">
        <v>7.0</v>
      </c>
      <c r="BX452" s="2">
        <v>57.0</v>
      </c>
      <c r="BY452" s="2">
        <v>6.0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</v>
      </c>
      <c r="CE452" s="2">
        <v>0.0</v>
      </c>
      <c r="CF452" s="2">
        <v>0.0</v>
      </c>
      <c r="CG452" s="2">
        <v>4.0</v>
      </c>
      <c r="CH452" s="2">
        <v>90.0</v>
      </c>
      <c r="CI452" s="2">
        <v>1.0</v>
      </c>
      <c r="CJ452" s="2">
        <v>2.0</v>
      </c>
      <c r="CK452" s="2">
        <v>1.0</v>
      </c>
      <c r="CL452" s="2">
        <v>0.0</v>
      </c>
      <c r="CM452" s="2">
        <v>25.0</v>
      </c>
      <c r="CN452" s="2">
        <v>0.5</v>
      </c>
      <c r="CO452" s="2">
        <v>0.0</v>
      </c>
      <c r="CP452" s="2">
        <v>1.0</v>
      </c>
      <c r="CQ452" s="2">
        <v>0.0</v>
      </c>
      <c r="CR452" s="2">
        <v>0.0</v>
      </c>
      <c r="CS452" s="2">
        <v>0.0</v>
      </c>
      <c r="CT452" s="2">
        <v>0.0</v>
      </c>
      <c r="CU452" s="2">
        <v>0.0</v>
      </c>
      <c r="CV452" s="2">
        <v>0.0</v>
      </c>
      <c r="CW452" s="2">
        <v>0.0</v>
      </c>
      <c r="CX452" s="2">
        <v>0.0</v>
      </c>
      <c r="CY452" s="2">
        <v>1.0</v>
      </c>
      <c r="CZ452" s="2">
        <v>0.0</v>
      </c>
      <c r="DA452" s="2" t="s">
        <v>2043</v>
      </c>
      <c r="DB452" s="2" t="s">
        <v>1967</v>
      </c>
      <c r="DD452" s="2">
        <v>25.0</v>
      </c>
      <c r="DE452" s="2">
        <v>50.0</v>
      </c>
      <c r="DF452" s="2">
        <v>0.0</v>
      </c>
      <c r="DG452" s="2">
        <v>3.0</v>
      </c>
      <c r="DH452" s="2">
        <v>3.0</v>
      </c>
      <c r="DI452" s="2">
        <v>0.0</v>
      </c>
      <c r="DJ452" s="2">
        <v>0.0</v>
      </c>
      <c r="DK452" s="2">
        <v>1.0</v>
      </c>
      <c r="DL452" s="2">
        <v>0.0</v>
      </c>
      <c r="DM452" s="2">
        <v>0.0</v>
      </c>
      <c r="DN452" s="2">
        <v>0.0</v>
      </c>
      <c r="DO452" s="2">
        <v>0.0</v>
      </c>
      <c r="DP452" s="2">
        <v>0.0</v>
      </c>
      <c r="DQ452" s="2">
        <v>3.0</v>
      </c>
      <c r="DR452" s="2">
        <v>0.0</v>
      </c>
      <c r="DS452" s="2">
        <v>56.0</v>
      </c>
      <c r="DT452" s="2">
        <v>136.0</v>
      </c>
      <c r="DU452" s="2">
        <v>1.0</v>
      </c>
      <c r="DV452" s="2">
        <v>1.0</v>
      </c>
      <c r="DW452" s="2">
        <v>1.0</v>
      </c>
      <c r="DX452" s="2">
        <v>0.0</v>
      </c>
      <c r="DY452" s="2">
        <v>0.0</v>
      </c>
      <c r="DZ452" s="2">
        <v>1.0</v>
      </c>
      <c r="EA452" s="2">
        <v>18.0</v>
      </c>
      <c r="EB452" s="2">
        <v>0.0</v>
      </c>
      <c r="EC452" s="2">
        <v>118.0</v>
      </c>
      <c r="EE452" s="2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2">
        <v>2025.0</v>
      </c>
      <c r="B453" s="2">
        <v>15.0</v>
      </c>
      <c r="C453" s="2" t="s">
        <v>253</v>
      </c>
      <c r="D453" s="2" t="s">
        <v>390</v>
      </c>
      <c r="E453" s="2" t="s">
        <v>1071</v>
      </c>
      <c r="F453" s="2" t="s">
        <v>235</v>
      </c>
      <c r="G453" s="2">
        <v>10.0</v>
      </c>
      <c r="H453" s="2">
        <v>19.0</v>
      </c>
      <c r="I453" s="2">
        <v>211.0</v>
      </c>
      <c r="J453" s="2">
        <v>1.0</v>
      </c>
      <c r="K453" s="2">
        <v>0.0</v>
      </c>
      <c r="L453" s="2">
        <v>2.0</v>
      </c>
      <c r="M453" s="2">
        <v>-16.0</v>
      </c>
      <c r="N453" s="2">
        <v>2.0</v>
      </c>
      <c r="O453" s="2">
        <v>1.0</v>
      </c>
      <c r="P453" s="2">
        <v>259.0</v>
      </c>
      <c r="Q453" s="2">
        <v>78.0</v>
      </c>
      <c r="R453" s="2">
        <v>10.0</v>
      </c>
      <c r="S453" s="2">
        <v>1.50529609980154</v>
      </c>
      <c r="T453" s="2">
        <v>4.152094386518</v>
      </c>
      <c r="U453" s="2">
        <v>0.0</v>
      </c>
      <c r="V453" s="2">
        <v>9.0</v>
      </c>
      <c r="W453" s="2">
        <v>6.0</v>
      </c>
      <c r="X453" s="2">
        <v>3.0</v>
      </c>
      <c r="Y453" s="2">
        <v>1.0</v>
      </c>
      <c r="Z453" s="2">
        <v>37.0</v>
      </c>
      <c r="AA453" s="2">
        <v>145.0</v>
      </c>
      <c r="AB453" s="2">
        <v>1.0</v>
      </c>
      <c r="AC453" s="2">
        <v>2.0</v>
      </c>
      <c r="AD453" s="2">
        <v>1.0</v>
      </c>
      <c r="AE453" s="2">
        <v>8.0</v>
      </c>
      <c r="AF453" s="2">
        <v>-1.366429576294</v>
      </c>
      <c r="AG453" s="2">
        <v>0.0</v>
      </c>
      <c r="AH453" s="2">
        <v>5.0</v>
      </c>
      <c r="AI453" s="2">
        <v>1.0</v>
      </c>
      <c r="AJ453" s="2">
        <v>0.0</v>
      </c>
      <c r="AK453" s="2">
        <v>0.0</v>
      </c>
      <c r="AL453" s="2">
        <v>10.0</v>
      </c>
      <c r="AM453" s="2">
        <v>16.0</v>
      </c>
      <c r="AN453" s="2">
        <v>211.0</v>
      </c>
      <c r="AO453" s="2">
        <v>1.0</v>
      </c>
      <c r="AP453" s="2">
        <v>0.0</v>
      </c>
      <c r="AQ453" s="2">
        <v>0.0</v>
      </c>
      <c r="AR453" s="2">
        <v>259.0</v>
      </c>
      <c r="AS453" s="2">
        <v>78.0</v>
      </c>
      <c r="AT453" s="2">
        <v>10.0</v>
      </c>
      <c r="AU453" s="2">
        <v>10.3805768459731</v>
      </c>
      <c r="AV453" s="2">
        <v>0.0</v>
      </c>
      <c r="AW453" s="2">
        <v>9.0</v>
      </c>
      <c r="AX453" s="2">
        <v>6.0</v>
      </c>
      <c r="AY453" s="2">
        <v>3.0</v>
      </c>
      <c r="AZ453" s="2">
        <v>1.0</v>
      </c>
      <c r="BA453" s="2">
        <v>1.0</v>
      </c>
      <c r="BB453" s="2">
        <v>46.0</v>
      </c>
      <c r="BC453" s="2">
        <v>1.0</v>
      </c>
      <c r="BD453" s="2">
        <v>17.0</v>
      </c>
      <c r="BE453" s="2">
        <v>4.0</v>
      </c>
      <c r="BF453" s="2">
        <v>14.0</v>
      </c>
      <c r="BG453" s="2">
        <v>1.0</v>
      </c>
      <c r="BH453" s="2">
        <v>1.0</v>
      </c>
      <c r="BI453" s="2">
        <v>8.0</v>
      </c>
      <c r="BJ453" s="2">
        <v>8.0</v>
      </c>
      <c r="BK453" s="2">
        <v>1.0</v>
      </c>
      <c r="BL453" s="2">
        <v>55.0</v>
      </c>
      <c r="BM453" s="2">
        <v>6.0</v>
      </c>
      <c r="BN453" s="2">
        <v>0.0</v>
      </c>
      <c r="BO453" s="2">
        <v>0.0</v>
      </c>
      <c r="BP453" s="2">
        <v>0.0</v>
      </c>
      <c r="BQ453" s="2">
        <v>0.0</v>
      </c>
      <c r="BR453" s="2">
        <v>2.0</v>
      </c>
      <c r="BS453" s="2">
        <v>0.0</v>
      </c>
      <c r="BT453" s="2">
        <v>0.0</v>
      </c>
      <c r="BU453" s="2">
        <v>0.0</v>
      </c>
      <c r="BV453" s="2">
        <v>0.0</v>
      </c>
      <c r="BW453" s="2">
        <v>11.0</v>
      </c>
      <c r="BX453" s="2">
        <v>67.0</v>
      </c>
      <c r="BY453" s="2">
        <v>5.0</v>
      </c>
      <c r="BZ453" s="2">
        <v>4.0</v>
      </c>
      <c r="CA453" s="2">
        <v>0.0</v>
      </c>
      <c r="CB453" s="2">
        <v>0.0</v>
      </c>
      <c r="CC453" s="2">
        <v>4.0</v>
      </c>
      <c r="CD453" s="2">
        <v>2.0</v>
      </c>
      <c r="CE453" s="2">
        <v>3.0</v>
      </c>
      <c r="CF453" s="2">
        <v>91.0</v>
      </c>
      <c r="CG453" s="2">
        <v>4.0</v>
      </c>
      <c r="CH453" s="2">
        <v>73.0</v>
      </c>
      <c r="CI453" s="2">
        <v>3.0</v>
      </c>
      <c r="CJ453" s="2">
        <v>3.0</v>
      </c>
      <c r="CK453" s="2">
        <v>0.0</v>
      </c>
      <c r="CL453" s="2">
        <v>0.0</v>
      </c>
      <c r="CM453" s="2">
        <v>46.0</v>
      </c>
      <c r="CN453" s="2">
        <v>1.0</v>
      </c>
      <c r="CO453" s="2">
        <v>0.0</v>
      </c>
      <c r="CP453" s="2">
        <v>0.0</v>
      </c>
      <c r="CQ453" s="2">
        <v>1.0</v>
      </c>
      <c r="CR453" s="2">
        <v>2.0</v>
      </c>
      <c r="CS453" s="2">
        <v>0.0</v>
      </c>
      <c r="CT453" s="2">
        <v>0.0</v>
      </c>
      <c r="CU453" s="2">
        <v>0.0</v>
      </c>
      <c r="CV453" s="2">
        <v>0.0</v>
      </c>
      <c r="CW453" s="2">
        <v>0.0</v>
      </c>
      <c r="CX453" s="2">
        <v>0.0</v>
      </c>
      <c r="CY453" s="2">
        <v>0.0</v>
      </c>
      <c r="CZ453" s="2">
        <v>0.0</v>
      </c>
      <c r="DA453" s="2" t="s">
        <v>2242</v>
      </c>
      <c r="DD453" s="2">
        <v>127.0</v>
      </c>
      <c r="DE453" s="2">
        <v>0.0</v>
      </c>
      <c r="DF453" s="2">
        <v>0.0</v>
      </c>
      <c r="DG453" s="2">
        <v>2.0</v>
      </c>
      <c r="DH453" s="2">
        <v>3.0</v>
      </c>
      <c r="DI453" s="2">
        <v>1.0</v>
      </c>
      <c r="DJ453" s="2">
        <v>0.0</v>
      </c>
      <c r="DK453" s="2">
        <v>0.666666666666667</v>
      </c>
      <c r="DL453" s="2">
        <v>0.0</v>
      </c>
      <c r="DM453" s="2">
        <v>0.0</v>
      </c>
      <c r="DN453" s="2">
        <v>0.0</v>
      </c>
      <c r="DO453" s="2">
        <v>0.0</v>
      </c>
      <c r="DP453" s="2">
        <v>0.0</v>
      </c>
      <c r="DQ453" s="2">
        <v>4.0</v>
      </c>
      <c r="DR453" s="2">
        <v>0.0</v>
      </c>
      <c r="DS453" s="2">
        <v>55.0</v>
      </c>
      <c r="DT453" s="2">
        <v>183.0</v>
      </c>
      <c r="DU453" s="2">
        <v>3.0</v>
      </c>
      <c r="DV453" s="2">
        <v>0.0</v>
      </c>
      <c r="DW453" s="2">
        <v>0.0</v>
      </c>
      <c r="DX453" s="2">
        <v>0.0</v>
      </c>
      <c r="DY453" s="2">
        <v>2.0</v>
      </c>
      <c r="DZ453" s="2">
        <v>2.0</v>
      </c>
      <c r="EA453" s="2">
        <v>7.0</v>
      </c>
      <c r="EB453" s="2">
        <v>0.0</v>
      </c>
      <c r="EC453" s="2">
        <v>176.0</v>
      </c>
      <c r="EE453" s="2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2">
        <v>2025.0</v>
      </c>
      <c r="B454" s="2">
        <v>16.0</v>
      </c>
      <c r="C454" s="2" t="s">
        <v>178</v>
      </c>
      <c r="D454" s="2" t="s">
        <v>390</v>
      </c>
      <c r="E454" s="2" t="s">
        <v>1121</v>
      </c>
      <c r="F454" s="2" t="s">
        <v>132</v>
      </c>
      <c r="G454" s="2">
        <v>16.0</v>
      </c>
      <c r="H454" s="2">
        <v>31.0</v>
      </c>
      <c r="I454" s="2">
        <v>203.0</v>
      </c>
      <c r="J454" s="2">
        <v>1.0</v>
      </c>
      <c r="K454" s="2">
        <v>1.0</v>
      </c>
      <c r="L454" s="2">
        <v>2.0</v>
      </c>
      <c r="M454" s="2">
        <v>-15.0</v>
      </c>
      <c r="N454" s="2">
        <v>0.0</v>
      </c>
      <c r="O454" s="2">
        <v>0.0</v>
      </c>
      <c r="P454" s="2">
        <v>228.0</v>
      </c>
      <c r="Q454" s="2">
        <v>89.0</v>
      </c>
      <c r="R454" s="2">
        <v>9.0</v>
      </c>
      <c r="S454" s="2">
        <v>-2.39568151871224</v>
      </c>
      <c r="T454" s="2">
        <v>-13.592558379831</v>
      </c>
      <c r="U454" s="2">
        <v>0.0</v>
      </c>
      <c r="V454" s="2">
        <v>9.0</v>
      </c>
      <c r="W454" s="2">
        <v>6.0</v>
      </c>
      <c r="X454" s="2">
        <v>4.0</v>
      </c>
      <c r="Y454" s="2">
        <v>0.0</v>
      </c>
      <c r="Z454" s="2">
        <v>23.0</v>
      </c>
      <c r="AA454" s="2">
        <v>132.0</v>
      </c>
      <c r="AB454" s="2">
        <v>0.0</v>
      </c>
      <c r="AC454" s="2">
        <v>0.0</v>
      </c>
      <c r="AD454" s="2">
        <v>0.0</v>
      </c>
      <c r="AE454" s="2">
        <v>6.0</v>
      </c>
      <c r="AF454" s="2">
        <v>2.15826913965638</v>
      </c>
      <c r="AG454" s="2">
        <v>0.0</v>
      </c>
      <c r="AH454" s="2">
        <v>3.0</v>
      </c>
      <c r="AI454" s="2">
        <v>3.0</v>
      </c>
      <c r="AJ454" s="2">
        <v>2.0</v>
      </c>
      <c r="AK454" s="2">
        <v>0.0</v>
      </c>
      <c r="AL454" s="2">
        <v>16.0</v>
      </c>
      <c r="AM454" s="2">
        <v>29.0</v>
      </c>
      <c r="AN454" s="2">
        <v>203.0</v>
      </c>
      <c r="AO454" s="2">
        <v>1.0</v>
      </c>
      <c r="AP454" s="2">
        <v>0.0</v>
      </c>
      <c r="AQ454" s="2">
        <v>0.0</v>
      </c>
      <c r="AR454" s="2">
        <v>228.0</v>
      </c>
      <c r="AS454" s="2">
        <v>89.0</v>
      </c>
      <c r="AT454" s="2">
        <v>9.0</v>
      </c>
      <c r="AU454" s="2">
        <v>3.04807898972634</v>
      </c>
      <c r="AV454" s="2">
        <v>0.0</v>
      </c>
      <c r="AW454" s="2">
        <v>9.0</v>
      </c>
      <c r="AX454" s="2">
        <v>6.0</v>
      </c>
      <c r="AY454" s="2">
        <v>4.0</v>
      </c>
      <c r="AZ454" s="2">
        <v>0.0</v>
      </c>
      <c r="BA454" s="2">
        <v>0.0</v>
      </c>
      <c r="BB454" s="2">
        <v>32.0</v>
      </c>
      <c r="BC454" s="2">
        <v>1.0</v>
      </c>
      <c r="BD454" s="2">
        <v>41.0</v>
      </c>
      <c r="BE454" s="2">
        <v>5.0</v>
      </c>
      <c r="BF454" s="2">
        <v>19.0</v>
      </c>
      <c r="BG454" s="2">
        <v>0.0</v>
      </c>
      <c r="BH454" s="2">
        <v>1.0</v>
      </c>
      <c r="BI454" s="2">
        <v>7.0</v>
      </c>
      <c r="BJ454" s="2">
        <v>4.0</v>
      </c>
      <c r="BK454" s="2">
        <v>1.0</v>
      </c>
      <c r="BL454" s="2">
        <v>16.0</v>
      </c>
      <c r="BM454" s="2">
        <v>6.0</v>
      </c>
      <c r="BN454" s="2">
        <v>0.0</v>
      </c>
      <c r="BO454" s="2">
        <v>0.0</v>
      </c>
      <c r="BP454" s="2">
        <v>0.0</v>
      </c>
      <c r="BQ454" s="2">
        <v>0.0</v>
      </c>
      <c r="BR454" s="2">
        <v>0.0</v>
      </c>
      <c r="BS454" s="2">
        <v>0.0</v>
      </c>
      <c r="BT454" s="2">
        <v>1.0</v>
      </c>
      <c r="BU454" s="2">
        <v>0.0</v>
      </c>
      <c r="BV454" s="2">
        <v>0.0</v>
      </c>
      <c r="BW454" s="2">
        <v>5.0</v>
      </c>
      <c r="BX454" s="2">
        <v>14.0</v>
      </c>
      <c r="BY454" s="2">
        <v>5.0</v>
      </c>
      <c r="BZ454" s="2">
        <v>0.0</v>
      </c>
      <c r="CA454" s="2">
        <v>0.0</v>
      </c>
      <c r="CB454" s="2">
        <v>0.0</v>
      </c>
      <c r="CC454" s="2">
        <v>0.0</v>
      </c>
      <c r="CD454" s="2">
        <v>0.0</v>
      </c>
      <c r="CE454" s="2">
        <v>0.0</v>
      </c>
      <c r="CF454" s="2">
        <v>0.0</v>
      </c>
      <c r="CG454" s="2">
        <v>4.0</v>
      </c>
      <c r="CH454" s="2">
        <v>111.0</v>
      </c>
      <c r="CI454" s="2">
        <v>4.0</v>
      </c>
      <c r="CJ454" s="2">
        <v>6.0</v>
      </c>
      <c r="CK454" s="2">
        <v>2.0</v>
      </c>
      <c r="CL454" s="2">
        <v>0.0</v>
      </c>
      <c r="CM454" s="2">
        <v>51.0</v>
      </c>
      <c r="CN454" s="2">
        <v>0.666666666666667</v>
      </c>
      <c r="CO454" s="2">
        <v>0.0</v>
      </c>
      <c r="CP454" s="2">
        <v>1.0</v>
      </c>
      <c r="CQ454" s="2">
        <v>1.0</v>
      </c>
      <c r="CR454" s="2">
        <v>0.0</v>
      </c>
      <c r="CS454" s="2">
        <v>2.0</v>
      </c>
      <c r="CT454" s="2">
        <v>0.0</v>
      </c>
      <c r="CU454" s="2">
        <v>0.0</v>
      </c>
      <c r="CV454" s="2">
        <v>0.0</v>
      </c>
      <c r="CW454" s="2">
        <v>0.0</v>
      </c>
      <c r="CX454" s="2">
        <v>1.0</v>
      </c>
      <c r="CY454" s="2">
        <v>1.0</v>
      </c>
      <c r="CZ454" s="2">
        <v>0.0</v>
      </c>
      <c r="DA454" s="2" t="s">
        <v>2243</v>
      </c>
      <c r="DB454" s="2" t="s">
        <v>2244</v>
      </c>
      <c r="DD454" s="2">
        <v>160.0</v>
      </c>
      <c r="DE454" s="2">
        <v>94.0</v>
      </c>
      <c r="DF454" s="2">
        <v>0.0</v>
      </c>
      <c r="DG454" s="2">
        <v>1.0</v>
      </c>
      <c r="DH454" s="2">
        <v>1.0</v>
      </c>
      <c r="DI454" s="2">
        <v>0.0</v>
      </c>
      <c r="DJ454" s="2">
        <v>0.0</v>
      </c>
      <c r="DK454" s="2">
        <v>1.0</v>
      </c>
      <c r="DL454" s="2">
        <v>0.0</v>
      </c>
      <c r="DM454" s="2">
        <v>0.0</v>
      </c>
      <c r="DN454" s="2">
        <v>0.0</v>
      </c>
      <c r="DO454" s="2">
        <v>0.0</v>
      </c>
      <c r="DP454" s="2">
        <v>0.0</v>
      </c>
      <c r="DQ454" s="2">
        <v>1.0</v>
      </c>
      <c r="DR454" s="2">
        <v>0.0</v>
      </c>
      <c r="DS454" s="2">
        <v>51.0</v>
      </c>
      <c r="DT454" s="2">
        <v>51.0</v>
      </c>
      <c r="DU454" s="2">
        <v>0.0</v>
      </c>
      <c r="DV454" s="2">
        <v>0.0</v>
      </c>
      <c r="DW454" s="2">
        <v>0.0</v>
      </c>
      <c r="DX454" s="2">
        <v>0.0</v>
      </c>
      <c r="DY454" s="2">
        <v>0.0</v>
      </c>
      <c r="DZ454" s="2">
        <v>1.0</v>
      </c>
      <c r="EA454" s="2">
        <v>8.0</v>
      </c>
      <c r="EB454" s="2">
        <v>0.0</v>
      </c>
      <c r="EC454" s="2">
        <v>43.0</v>
      </c>
      <c r="EE454" s="2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2">
        <v>2025.0</v>
      </c>
      <c r="B455" s="2">
        <v>16.0</v>
      </c>
      <c r="C455" s="2" t="s">
        <v>132</v>
      </c>
      <c r="D455" s="2" t="s">
        <v>390</v>
      </c>
      <c r="E455" s="2" t="s">
        <v>1121</v>
      </c>
      <c r="F455" s="2" t="s">
        <v>178</v>
      </c>
      <c r="G455" s="2">
        <v>21.0</v>
      </c>
      <c r="H455" s="2">
        <v>35.0</v>
      </c>
      <c r="I455" s="2">
        <v>197.0</v>
      </c>
      <c r="J455" s="2">
        <v>2.0</v>
      </c>
      <c r="K455" s="2">
        <v>1.0</v>
      </c>
      <c r="L455" s="2">
        <v>1.0</v>
      </c>
      <c r="M455" s="2">
        <v>-7.0</v>
      </c>
      <c r="N455" s="2">
        <v>0.0</v>
      </c>
      <c r="O455" s="2">
        <v>0.0</v>
      </c>
      <c r="P455" s="2">
        <v>197.0</v>
      </c>
      <c r="Q455" s="2">
        <v>137.0</v>
      </c>
      <c r="R455" s="2">
        <v>11.0</v>
      </c>
      <c r="S455" s="2">
        <v>8.09414353945012</v>
      </c>
      <c r="T455" s="2">
        <v>-6.86356407754562</v>
      </c>
      <c r="U455" s="2">
        <v>0.0</v>
      </c>
      <c r="V455" s="2">
        <v>8.0</v>
      </c>
      <c r="W455" s="2">
        <v>2.0</v>
      </c>
      <c r="X455" s="2">
        <v>1.0</v>
      </c>
      <c r="Y455" s="2">
        <v>1.0</v>
      </c>
      <c r="Z455" s="2">
        <v>37.0</v>
      </c>
      <c r="AA455" s="2">
        <v>152.0</v>
      </c>
      <c r="AB455" s="2">
        <v>1.0</v>
      </c>
      <c r="AC455" s="2">
        <v>1.0</v>
      </c>
      <c r="AD455" s="2">
        <v>1.0</v>
      </c>
      <c r="AE455" s="2">
        <v>10.0</v>
      </c>
      <c r="AF455" s="2">
        <v>-4.32881230383646</v>
      </c>
      <c r="AG455" s="2">
        <v>0.0</v>
      </c>
      <c r="AH455" s="2">
        <v>6.0</v>
      </c>
      <c r="AI455" s="2">
        <v>3.0</v>
      </c>
      <c r="AJ455" s="2">
        <v>1.0</v>
      </c>
      <c r="AK455" s="2">
        <v>0.0</v>
      </c>
      <c r="AL455" s="2">
        <v>21.0</v>
      </c>
      <c r="AM455" s="2">
        <v>34.0</v>
      </c>
      <c r="AN455" s="2">
        <v>197.0</v>
      </c>
      <c r="AO455" s="2">
        <v>2.0</v>
      </c>
      <c r="AP455" s="2">
        <v>0.0</v>
      </c>
      <c r="AQ455" s="2">
        <v>0.0</v>
      </c>
      <c r="AR455" s="2">
        <v>197.0</v>
      </c>
      <c r="AS455" s="2">
        <v>137.0</v>
      </c>
      <c r="AT455" s="2">
        <v>11.0</v>
      </c>
      <c r="AU455" s="2">
        <v>10.2602393534543</v>
      </c>
      <c r="AV455" s="2">
        <v>0.0</v>
      </c>
      <c r="AW455" s="2">
        <v>8.0</v>
      </c>
      <c r="AX455" s="2">
        <v>2.0</v>
      </c>
      <c r="AY455" s="2">
        <v>1.0</v>
      </c>
      <c r="AZ455" s="2">
        <v>1.0</v>
      </c>
      <c r="BA455" s="2">
        <v>0.0</v>
      </c>
      <c r="BB455" s="2">
        <v>32.0</v>
      </c>
      <c r="BC455" s="2">
        <v>1.0</v>
      </c>
      <c r="BD455" s="2">
        <v>23.0</v>
      </c>
      <c r="BE455" s="2">
        <v>6.0</v>
      </c>
      <c r="BF455" s="2">
        <v>14.0</v>
      </c>
      <c r="BG455" s="2">
        <v>0.0</v>
      </c>
      <c r="BH455" s="2">
        <v>2.0</v>
      </c>
      <c r="BI455" s="2">
        <v>15.0</v>
      </c>
      <c r="BJ455" s="2">
        <v>5.0</v>
      </c>
      <c r="BK455" s="2">
        <v>1.0</v>
      </c>
      <c r="BL455" s="2">
        <v>0.0</v>
      </c>
      <c r="BM455" s="2">
        <v>7.0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-1.0</v>
      </c>
      <c r="BT455" s="2">
        <v>0.0</v>
      </c>
      <c r="BU455" s="2">
        <v>0.0</v>
      </c>
      <c r="BV455" s="2">
        <v>0.0</v>
      </c>
      <c r="BW455" s="2">
        <v>4.0</v>
      </c>
      <c r="BX455" s="2">
        <v>20.0</v>
      </c>
      <c r="BY455" s="2">
        <v>3.0</v>
      </c>
      <c r="BZ455" s="2">
        <v>0.0</v>
      </c>
      <c r="CA455" s="2">
        <v>1.0</v>
      </c>
      <c r="CB455" s="2">
        <v>0.0</v>
      </c>
      <c r="CC455" s="2">
        <v>1.0</v>
      </c>
      <c r="CD455" s="2">
        <v>1.0</v>
      </c>
      <c r="CE455" s="2">
        <v>1.0</v>
      </c>
      <c r="CF455" s="2">
        <v>8.0</v>
      </c>
      <c r="CG455" s="2">
        <v>0.0</v>
      </c>
      <c r="CH455" s="2">
        <v>0.0</v>
      </c>
      <c r="CI455" s="2">
        <v>2.0</v>
      </c>
      <c r="CJ455" s="2">
        <v>2.0</v>
      </c>
      <c r="CK455" s="2">
        <v>0.0</v>
      </c>
      <c r="CL455" s="2">
        <v>0.0</v>
      </c>
      <c r="CM455" s="2">
        <v>49.0</v>
      </c>
      <c r="CN455" s="2">
        <v>1.0</v>
      </c>
      <c r="CO455" s="2">
        <v>0.0</v>
      </c>
      <c r="CP455" s="2">
        <v>0.0</v>
      </c>
      <c r="CQ455" s="2">
        <v>0.0</v>
      </c>
      <c r="CR455" s="2">
        <v>2.0</v>
      </c>
      <c r="CS455" s="2">
        <v>0.0</v>
      </c>
      <c r="CT455" s="2">
        <v>0.0</v>
      </c>
      <c r="CU455" s="2">
        <v>0.0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 t="s">
        <v>2245</v>
      </c>
      <c r="DD455" s="2">
        <v>89.0</v>
      </c>
      <c r="DE455" s="2">
        <v>0.0</v>
      </c>
      <c r="DF455" s="2">
        <v>0.0</v>
      </c>
      <c r="DG455" s="2">
        <v>2.0</v>
      </c>
      <c r="DH455" s="2">
        <v>3.0</v>
      </c>
      <c r="DI455" s="2">
        <v>0.0</v>
      </c>
      <c r="DJ455" s="2">
        <v>1.0</v>
      </c>
      <c r="DK455" s="2">
        <v>0.666666666666667</v>
      </c>
      <c r="DL455" s="2">
        <v>0.0</v>
      </c>
      <c r="DM455" s="2">
        <v>0.0</v>
      </c>
      <c r="DN455" s="2">
        <v>0.0</v>
      </c>
      <c r="DO455" s="2">
        <v>0.0</v>
      </c>
      <c r="DP455" s="2">
        <v>0.0</v>
      </c>
      <c r="DQ455" s="2">
        <v>0.0</v>
      </c>
      <c r="DR455" s="2">
        <v>0.0</v>
      </c>
      <c r="DT455" s="2">
        <v>0.0</v>
      </c>
      <c r="DU455" s="2">
        <v>0.0</v>
      </c>
      <c r="DV455" s="2">
        <v>0.0</v>
      </c>
      <c r="DW455" s="2">
        <v>0.0</v>
      </c>
      <c r="DX455" s="2">
        <v>0.0</v>
      </c>
      <c r="DY455" s="2">
        <v>0.0</v>
      </c>
      <c r="DZ455" s="2">
        <v>0.0</v>
      </c>
      <c r="EA455" s="2">
        <v>0.0</v>
      </c>
      <c r="EB455" s="2">
        <v>0.0</v>
      </c>
      <c r="EC455" s="2">
        <v>0.0</v>
      </c>
      <c r="EE455" s="2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2">
        <v>2025.0</v>
      </c>
      <c r="B456" s="2">
        <v>16.0</v>
      </c>
      <c r="C456" s="2" t="s">
        <v>148</v>
      </c>
      <c r="D456" s="2" t="s">
        <v>390</v>
      </c>
      <c r="E456" s="2" t="s">
        <v>1104</v>
      </c>
      <c r="F456" s="2" t="s">
        <v>145</v>
      </c>
      <c r="G456" s="2">
        <v>16.0</v>
      </c>
      <c r="H456" s="2">
        <v>20.0</v>
      </c>
      <c r="I456" s="2">
        <v>166.0</v>
      </c>
      <c r="J456" s="2">
        <v>0.0</v>
      </c>
      <c r="K456" s="2">
        <v>0.0</v>
      </c>
      <c r="L456" s="2">
        <v>1.0</v>
      </c>
      <c r="M456" s="2">
        <v>-7.0</v>
      </c>
      <c r="N456" s="2">
        <v>0.0</v>
      </c>
      <c r="O456" s="2">
        <v>0.0</v>
      </c>
      <c r="P456" s="2">
        <v>171.0</v>
      </c>
      <c r="Q456" s="2">
        <v>49.0</v>
      </c>
      <c r="R456" s="2">
        <v>9.0</v>
      </c>
      <c r="S456" s="2">
        <v>7.43183865014492</v>
      </c>
      <c r="T456" s="2">
        <v>16.2580552697182</v>
      </c>
      <c r="U456" s="2">
        <v>0.0</v>
      </c>
      <c r="V456" s="2">
        <v>7.0</v>
      </c>
      <c r="W456" s="2">
        <v>5.0</v>
      </c>
      <c r="X456" s="2">
        <v>0.0</v>
      </c>
      <c r="Y456" s="2">
        <v>0.0</v>
      </c>
      <c r="Z456" s="2">
        <v>33.0</v>
      </c>
      <c r="AA456" s="2">
        <v>171.0</v>
      </c>
      <c r="AB456" s="2">
        <v>3.0</v>
      </c>
      <c r="AC456" s="2">
        <v>1.0</v>
      </c>
      <c r="AD456" s="2">
        <v>1.0</v>
      </c>
      <c r="AE456" s="2">
        <v>8.0</v>
      </c>
      <c r="AF456" s="2">
        <v>1.57270038500428</v>
      </c>
      <c r="AG456" s="2">
        <v>0.0</v>
      </c>
      <c r="AH456" s="2">
        <v>4.0</v>
      </c>
      <c r="AI456" s="2">
        <v>4.0</v>
      </c>
      <c r="AJ456" s="2">
        <v>3.0</v>
      </c>
      <c r="AK456" s="2">
        <v>0.0</v>
      </c>
      <c r="AL456" s="2">
        <v>16.0</v>
      </c>
      <c r="AM456" s="2">
        <v>20.0</v>
      </c>
      <c r="AN456" s="2">
        <v>166.0</v>
      </c>
      <c r="AO456" s="2">
        <v>0.0</v>
      </c>
      <c r="AP456" s="2">
        <v>1.0</v>
      </c>
      <c r="AQ456" s="2">
        <v>1.0</v>
      </c>
      <c r="AR456" s="2">
        <v>171.0</v>
      </c>
      <c r="AS456" s="2">
        <v>49.0</v>
      </c>
      <c r="AT456" s="2">
        <v>9.0</v>
      </c>
      <c r="AU456" s="2">
        <v>5.59813756088755</v>
      </c>
      <c r="AV456" s="2">
        <v>0.0</v>
      </c>
      <c r="AW456" s="2">
        <v>7.0</v>
      </c>
      <c r="AX456" s="2">
        <v>5.0</v>
      </c>
      <c r="AY456" s="2">
        <v>0.0</v>
      </c>
      <c r="AZ456" s="2">
        <v>0.0</v>
      </c>
      <c r="BA456" s="2">
        <v>0.0</v>
      </c>
      <c r="BB456" s="2">
        <v>48.0</v>
      </c>
      <c r="BC456" s="2">
        <v>0.0</v>
      </c>
      <c r="BD456" s="2">
        <v>10.0</v>
      </c>
      <c r="BE456" s="2">
        <v>5.0</v>
      </c>
      <c r="BF456" s="2">
        <v>12.0</v>
      </c>
      <c r="BG456" s="2">
        <v>2.0</v>
      </c>
      <c r="BH456" s="2">
        <v>4.0</v>
      </c>
      <c r="BI456" s="2">
        <v>6.0</v>
      </c>
      <c r="BJ456" s="2">
        <v>10.0</v>
      </c>
      <c r="BK456" s="2">
        <v>1.0</v>
      </c>
      <c r="BL456" s="2">
        <v>0.0</v>
      </c>
      <c r="BM456" s="2">
        <v>7.0</v>
      </c>
      <c r="BN456" s="2">
        <v>0.0</v>
      </c>
      <c r="BO456" s="2">
        <v>0.0</v>
      </c>
      <c r="BP456" s="2">
        <v>0.0</v>
      </c>
      <c r="BQ456" s="2">
        <v>0.0</v>
      </c>
      <c r="BR456" s="2">
        <v>0.0</v>
      </c>
      <c r="BS456" s="2">
        <v>0.0</v>
      </c>
      <c r="BT456" s="2">
        <v>1.0</v>
      </c>
      <c r="BU456" s="2">
        <v>0.0</v>
      </c>
      <c r="BV456" s="2">
        <v>0.0</v>
      </c>
      <c r="BW456" s="2">
        <v>7.0</v>
      </c>
      <c r="BX456" s="2">
        <v>28.0</v>
      </c>
      <c r="BY456" s="2">
        <v>4.0</v>
      </c>
      <c r="BZ456" s="2">
        <v>2.0</v>
      </c>
      <c r="CA456" s="2">
        <v>0.0</v>
      </c>
      <c r="CB456" s="2">
        <v>0.0</v>
      </c>
      <c r="CC456" s="2">
        <v>2.0</v>
      </c>
      <c r="CD456" s="2">
        <v>2.0</v>
      </c>
      <c r="CE456" s="2">
        <v>1.0</v>
      </c>
      <c r="CF456" s="2">
        <v>11.0</v>
      </c>
      <c r="CG456" s="2">
        <v>2.0</v>
      </c>
      <c r="CH456" s="2">
        <v>49.0</v>
      </c>
      <c r="CI456" s="2">
        <v>1.0</v>
      </c>
      <c r="CJ456" s="2">
        <v>2.0</v>
      </c>
      <c r="CK456" s="2">
        <v>1.0</v>
      </c>
      <c r="CL456" s="2">
        <v>0.0</v>
      </c>
      <c r="CM456" s="2">
        <v>36.0</v>
      </c>
      <c r="CN456" s="2">
        <v>0.5</v>
      </c>
      <c r="CO456" s="2">
        <v>0.0</v>
      </c>
      <c r="CP456" s="2">
        <v>0.0</v>
      </c>
      <c r="CQ456" s="2">
        <v>1.0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1.0</v>
      </c>
      <c r="CZ456" s="2">
        <v>0.0</v>
      </c>
      <c r="DA456" s="2" t="s">
        <v>1970</v>
      </c>
      <c r="DB456" s="2" t="s">
        <v>2007</v>
      </c>
      <c r="DD456" s="2">
        <v>36.0</v>
      </c>
      <c r="DE456" s="2">
        <v>56.0</v>
      </c>
      <c r="DF456" s="2">
        <v>0.0</v>
      </c>
      <c r="DG456" s="2">
        <v>3.0</v>
      </c>
      <c r="DH456" s="2">
        <v>3.0</v>
      </c>
      <c r="DI456" s="2">
        <v>0.0</v>
      </c>
      <c r="DJ456" s="2">
        <v>0.0</v>
      </c>
      <c r="DK456" s="2">
        <v>1.0</v>
      </c>
      <c r="DL456" s="2">
        <v>0.0</v>
      </c>
      <c r="DM456" s="2">
        <v>0.0</v>
      </c>
      <c r="DN456" s="2">
        <v>0.0</v>
      </c>
      <c r="DO456" s="2">
        <v>0.0</v>
      </c>
      <c r="DP456" s="2">
        <v>0.0</v>
      </c>
      <c r="DQ456" s="2">
        <v>2.0</v>
      </c>
      <c r="DR456" s="2">
        <v>0.0</v>
      </c>
      <c r="DS456" s="2">
        <v>45.0</v>
      </c>
      <c r="DT456" s="2">
        <v>84.0</v>
      </c>
      <c r="DU456" s="2">
        <v>1.0</v>
      </c>
      <c r="DV456" s="2">
        <v>0.0</v>
      </c>
      <c r="DW456" s="2">
        <v>2.0</v>
      </c>
      <c r="DX456" s="2">
        <v>0.0</v>
      </c>
      <c r="DY456" s="2">
        <v>0.0</v>
      </c>
      <c r="DZ456" s="2">
        <v>0.0</v>
      </c>
      <c r="EA456" s="2">
        <v>0.0</v>
      </c>
      <c r="EB456" s="2">
        <v>0.0</v>
      </c>
      <c r="EC456" s="2">
        <v>84.0</v>
      </c>
      <c r="EE456" s="2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2">
        <v>2025.0</v>
      </c>
      <c r="B457" s="2">
        <v>16.0</v>
      </c>
      <c r="C457" s="2" t="s">
        <v>136</v>
      </c>
      <c r="D457" s="2" t="s">
        <v>390</v>
      </c>
      <c r="E457" s="2" t="s">
        <v>1109</v>
      </c>
      <c r="F457" s="2" t="s">
        <v>196</v>
      </c>
      <c r="G457" s="2">
        <v>12.0</v>
      </c>
      <c r="H457" s="2">
        <v>19.0</v>
      </c>
      <c r="I457" s="2">
        <v>130.0</v>
      </c>
      <c r="J457" s="2">
        <v>0.0</v>
      </c>
      <c r="K457" s="2">
        <v>0.0</v>
      </c>
      <c r="L457" s="2">
        <v>2.0</v>
      </c>
      <c r="M457" s="2">
        <v>-35.0</v>
      </c>
      <c r="N457" s="2">
        <v>0.0</v>
      </c>
      <c r="O457" s="2">
        <v>0.0</v>
      </c>
      <c r="P457" s="2">
        <v>121.0</v>
      </c>
      <c r="Q457" s="2">
        <v>103.0</v>
      </c>
      <c r="R457" s="2">
        <v>6.0</v>
      </c>
      <c r="S457" s="2">
        <v>-8.47162467874642</v>
      </c>
      <c r="T457" s="2">
        <v>-0.878301428423988</v>
      </c>
      <c r="U457" s="2">
        <v>0.0</v>
      </c>
      <c r="V457" s="2">
        <v>6.0</v>
      </c>
      <c r="W457" s="2">
        <v>4.0</v>
      </c>
      <c r="X457" s="2">
        <v>1.0</v>
      </c>
      <c r="Y457" s="2">
        <v>0.0</v>
      </c>
      <c r="Z457" s="2">
        <v>29.0</v>
      </c>
      <c r="AA457" s="2">
        <v>164.0</v>
      </c>
      <c r="AB457" s="2">
        <v>3.0</v>
      </c>
      <c r="AC457" s="2">
        <v>0.0</v>
      </c>
      <c r="AD457" s="2">
        <v>0.0</v>
      </c>
      <c r="AE457" s="2">
        <v>10.0</v>
      </c>
      <c r="AF457" s="2">
        <v>9.60228627314791</v>
      </c>
      <c r="AG457" s="2">
        <v>0.0</v>
      </c>
      <c r="AH457" s="2">
        <v>3.0</v>
      </c>
      <c r="AI457" s="2">
        <v>3.0</v>
      </c>
      <c r="AJ457" s="2">
        <v>1.0</v>
      </c>
      <c r="AK457" s="2">
        <v>1.0</v>
      </c>
      <c r="AL457" s="2">
        <v>12.0</v>
      </c>
      <c r="AM457" s="2">
        <v>18.0</v>
      </c>
      <c r="AN457" s="2">
        <v>130.0</v>
      </c>
      <c r="AO457" s="2">
        <v>0.0</v>
      </c>
      <c r="AP457" s="2">
        <v>0.0</v>
      </c>
      <c r="AQ457" s="2">
        <v>0.0</v>
      </c>
      <c r="AR457" s="2">
        <v>121.0</v>
      </c>
      <c r="AS457" s="2">
        <v>103.0</v>
      </c>
      <c r="AT457" s="2">
        <v>6.0</v>
      </c>
      <c r="AU457" s="2">
        <v>-4.31913074839395</v>
      </c>
      <c r="AV457" s="2">
        <v>0.0</v>
      </c>
      <c r="AW457" s="2">
        <v>6.0</v>
      </c>
      <c r="AX457" s="2">
        <v>4.0</v>
      </c>
      <c r="AY457" s="2">
        <v>1.0</v>
      </c>
      <c r="AZ457" s="2">
        <v>0.0</v>
      </c>
      <c r="BA457" s="2">
        <v>0.0</v>
      </c>
      <c r="BB457" s="2">
        <v>35.0</v>
      </c>
      <c r="BC457" s="2">
        <v>0.0</v>
      </c>
      <c r="BD457" s="2">
        <v>44.0</v>
      </c>
      <c r="BE457" s="2">
        <v>5.0</v>
      </c>
      <c r="BF457" s="2">
        <v>29.0</v>
      </c>
      <c r="BG457" s="2">
        <v>0.0</v>
      </c>
      <c r="BH457" s="2">
        <v>3.0</v>
      </c>
      <c r="BI457" s="2">
        <v>23.0</v>
      </c>
      <c r="BJ457" s="2">
        <v>11.0</v>
      </c>
      <c r="BK457" s="2">
        <v>2.0</v>
      </c>
      <c r="BL457" s="2">
        <v>11.0</v>
      </c>
      <c r="BM457" s="2">
        <v>6.0</v>
      </c>
      <c r="BN457" s="2">
        <v>0.0</v>
      </c>
      <c r="BO457" s="2">
        <v>0.0</v>
      </c>
      <c r="BP457" s="2">
        <v>0.0</v>
      </c>
      <c r="BQ457" s="2">
        <v>0.0</v>
      </c>
      <c r="BR457" s="2">
        <v>0.0</v>
      </c>
      <c r="BS457" s="2">
        <v>0.0</v>
      </c>
      <c r="BT457" s="2">
        <v>0.0</v>
      </c>
      <c r="BU457" s="2">
        <v>0.0</v>
      </c>
      <c r="BV457" s="2">
        <v>0.0</v>
      </c>
      <c r="BW457" s="2">
        <v>5.0</v>
      </c>
      <c r="BX457" s="2">
        <v>35.0</v>
      </c>
      <c r="BY457" s="2">
        <v>3.0</v>
      </c>
      <c r="BZ457" s="2">
        <v>0.0</v>
      </c>
      <c r="CA457" s="2">
        <v>0.0</v>
      </c>
      <c r="CB457" s="2">
        <v>0.0</v>
      </c>
      <c r="CC457" s="2">
        <v>0.0</v>
      </c>
      <c r="CD457" s="2">
        <v>0.0</v>
      </c>
      <c r="CE457" s="2">
        <v>2.0</v>
      </c>
      <c r="CF457" s="2">
        <v>7.0</v>
      </c>
      <c r="CG457" s="2">
        <v>4.0</v>
      </c>
      <c r="CH457" s="2">
        <v>92.0</v>
      </c>
      <c r="CI457" s="2">
        <v>1.0</v>
      </c>
      <c r="CJ457" s="2">
        <v>1.0</v>
      </c>
      <c r="CK457" s="2">
        <v>0.0</v>
      </c>
      <c r="CL457" s="2">
        <v>0.0</v>
      </c>
      <c r="CM457" s="2">
        <v>41.0</v>
      </c>
      <c r="CN457" s="2">
        <v>1.0</v>
      </c>
      <c r="CO457" s="2">
        <v>0.0</v>
      </c>
      <c r="CP457" s="2">
        <v>0.0</v>
      </c>
      <c r="CQ457" s="2">
        <v>0.0</v>
      </c>
      <c r="CR457" s="2">
        <v>1.0</v>
      </c>
      <c r="CS457" s="2">
        <v>0.0</v>
      </c>
      <c r="CT457" s="2">
        <v>0.0</v>
      </c>
      <c r="CU457" s="2">
        <v>0.0</v>
      </c>
      <c r="CV457" s="2">
        <v>0.0</v>
      </c>
      <c r="CW457" s="2">
        <v>0.0</v>
      </c>
      <c r="CX457" s="2">
        <v>0.0</v>
      </c>
      <c r="CY457" s="2">
        <v>0.0</v>
      </c>
      <c r="CZ457" s="2">
        <v>0.0</v>
      </c>
      <c r="DA457" s="2" t="s">
        <v>2025</v>
      </c>
      <c r="DD457" s="2">
        <v>41.0</v>
      </c>
      <c r="DE457" s="2">
        <v>0.0</v>
      </c>
      <c r="DF457" s="2">
        <v>0.0</v>
      </c>
      <c r="DG457" s="2">
        <v>2.0</v>
      </c>
      <c r="DH457" s="2">
        <v>3.0</v>
      </c>
      <c r="DI457" s="2">
        <v>1.0</v>
      </c>
      <c r="DJ457" s="2">
        <v>0.0</v>
      </c>
      <c r="DK457" s="2">
        <v>0.666666666666667</v>
      </c>
      <c r="DL457" s="2">
        <v>0.0</v>
      </c>
      <c r="DM457" s="2">
        <v>0.0</v>
      </c>
      <c r="DN457" s="2">
        <v>0.0</v>
      </c>
      <c r="DO457" s="2">
        <v>0.0</v>
      </c>
      <c r="DP457" s="2">
        <v>0.0</v>
      </c>
      <c r="DQ457" s="2">
        <v>3.0</v>
      </c>
      <c r="DR457" s="2">
        <v>0.0</v>
      </c>
      <c r="DS457" s="2">
        <v>62.0</v>
      </c>
      <c r="DT457" s="2">
        <v>149.0</v>
      </c>
      <c r="DU457" s="2">
        <v>0.0</v>
      </c>
      <c r="DV457" s="2">
        <v>0.0</v>
      </c>
      <c r="DW457" s="2">
        <v>0.0</v>
      </c>
      <c r="DX457" s="2">
        <v>1.0</v>
      </c>
      <c r="DY457" s="2">
        <v>1.0</v>
      </c>
      <c r="DZ457" s="2">
        <v>1.0</v>
      </c>
      <c r="EA457" s="2">
        <v>3.0</v>
      </c>
      <c r="EB457" s="2">
        <v>0.0</v>
      </c>
      <c r="EC457" s="2">
        <v>126.0</v>
      </c>
      <c r="EE457" s="2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2">
        <v>2025.0</v>
      </c>
      <c r="B458" s="2">
        <v>16.0</v>
      </c>
      <c r="C458" s="2" t="s">
        <v>189</v>
      </c>
      <c r="D458" s="2" t="s">
        <v>390</v>
      </c>
      <c r="E458" s="2" t="s">
        <v>1107</v>
      </c>
      <c r="F458" s="2" t="s">
        <v>150</v>
      </c>
      <c r="G458" s="2">
        <v>21.0</v>
      </c>
      <c r="H458" s="2">
        <v>32.0</v>
      </c>
      <c r="I458" s="2">
        <v>191.0</v>
      </c>
      <c r="J458" s="2">
        <v>2.0</v>
      </c>
      <c r="K458" s="2">
        <v>0.0</v>
      </c>
      <c r="L458" s="2">
        <v>2.0</v>
      </c>
      <c r="M458" s="2">
        <v>-17.0</v>
      </c>
      <c r="N458" s="2">
        <v>0.0</v>
      </c>
      <c r="O458" s="2">
        <v>0.0</v>
      </c>
      <c r="P458" s="2">
        <v>256.0</v>
      </c>
      <c r="Q458" s="2">
        <v>66.0</v>
      </c>
      <c r="R458" s="2">
        <v>9.0</v>
      </c>
      <c r="S458" s="2">
        <v>3.86950059878528</v>
      </c>
      <c r="T458" s="2">
        <v>6.72962598262295</v>
      </c>
      <c r="U458" s="2">
        <v>0.0</v>
      </c>
      <c r="V458" s="2">
        <v>7.0</v>
      </c>
      <c r="W458" s="2">
        <v>3.0</v>
      </c>
      <c r="X458" s="2">
        <v>2.0</v>
      </c>
      <c r="Y458" s="2">
        <v>0.0</v>
      </c>
      <c r="Z458" s="2">
        <v>20.0</v>
      </c>
      <c r="AA458" s="2">
        <v>101.0</v>
      </c>
      <c r="AB458" s="2">
        <v>0.0</v>
      </c>
      <c r="AC458" s="2">
        <v>0.0</v>
      </c>
      <c r="AD458" s="2">
        <v>0.0</v>
      </c>
      <c r="AE458" s="2">
        <v>7.0</v>
      </c>
      <c r="AF458" s="2">
        <v>1.46180562471992</v>
      </c>
      <c r="AG458" s="2">
        <v>0.0</v>
      </c>
      <c r="AH458" s="2">
        <v>4.0</v>
      </c>
      <c r="AI458" s="2">
        <v>2.0</v>
      </c>
      <c r="AJ458" s="2">
        <v>1.0</v>
      </c>
      <c r="AK458" s="2">
        <v>0.0</v>
      </c>
      <c r="AL458" s="2">
        <v>21.0</v>
      </c>
      <c r="AM458" s="2">
        <v>31.0</v>
      </c>
      <c r="AN458" s="2">
        <v>191.0</v>
      </c>
      <c r="AO458" s="2">
        <v>2.0</v>
      </c>
      <c r="AP458" s="2">
        <v>0.0</v>
      </c>
      <c r="AQ458" s="2">
        <v>0.0</v>
      </c>
      <c r="AR458" s="2">
        <v>256.0</v>
      </c>
      <c r="AS458" s="2">
        <v>66.0</v>
      </c>
      <c r="AT458" s="2">
        <v>9.0</v>
      </c>
      <c r="AU458" s="2">
        <v>7.65039687342766</v>
      </c>
      <c r="AV458" s="2">
        <v>0.0</v>
      </c>
      <c r="AW458" s="2">
        <v>7.0</v>
      </c>
      <c r="AX458" s="2">
        <v>3.0</v>
      </c>
      <c r="AY458" s="2">
        <v>2.0</v>
      </c>
      <c r="AZ458" s="2">
        <v>0.0</v>
      </c>
      <c r="BA458" s="2">
        <v>0.0</v>
      </c>
      <c r="BB458" s="2">
        <v>42.0</v>
      </c>
      <c r="BC458" s="2">
        <v>0.0</v>
      </c>
      <c r="BD458" s="2">
        <v>28.0</v>
      </c>
      <c r="BE458" s="2">
        <v>5.0</v>
      </c>
      <c r="BF458" s="2">
        <v>24.0</v>
      </c>
      <c r="BG458" s="2">
        <v>0.0</v>
      </c>
      <c r="BH458" s="2">
        <v>2.0</v>
      </c>
      <c r="BI458" s="2">
        <v>18.0</v>
      </c>
      <c r="BJ458" s="2">
        <v>2.0</v>
      </c>
      <c r="BK458" s="2">
        <v>1.0</v>
      </c>
      <c r="BL458" s="2">
        <v>5.0</v>
      </c>
      <c r="BM458" s="2">
        <v>4.0</v>
      </c>
      <c r="BN458" s="2">
        <v>0.0</v>
      </c>
      <c r="BO458" s="2">
        <v>0.0</v>
      </c>
      <c r="BP458" s="2">
        <v>0.0</v>
      </c>
      <c r="BQ458" s="2">
        <v>0.0</v>
      </c>
      <c r="BR458" s="2">
        <v>0.0</v>
      </c>
      <c r="BS458" s="2">
        <v>0.0</v>
      </c>
      <c r="BT458" s="2">
        <v>0.0</v>
      </c>
      <c r="BU458" s="2">
        <v>0.0</v>
      </c>
      <c r="BV458" s="2">
        <v>0.0</v>
      </c>
      <c r="BW458" s="2">
        <v>5.0</v>
      </c>
      <c r="BX458" s="2">
        <v>30.0</v>
      </c>
      <c r="BY458" s="2">
        <v>3.0</v>
      </c>
      <c r="BZ458" s="2">
        <v>0.0</v>
      </c>
      <c r="CA458" s="2">
        <v>0.0</v>
      </c>
      <c r="CB458" s="2">
        <v>0.0</v>
      </c>
      <c r="CC458" s="2">
        <v>0.0</v>
      </c>
      <c r="CD458" s="2">
        <v>0.0</v>
      </c>
      <c r="CE458" s="2">
        <v>3.0</v>
      </c>
      <c r="CF458" s="2">
        <v>33.0</v>
      </c>
      <c r="CG458" s="2">
        <v>0.0</v>
      </c>
      <c r="CH458" s="2">
        <v>0.0</v>
      </c>
      <c r="CI458" s="2">
        <v>3.0</v>
      </c>
      <c r="CJ458" s="2">
        <v>3.0</v>
      </c>
      <c r="CK458" s="2">
        <v>0.0</v>
      </c>
      <c r="CL458" s="2">
        <v>0.0</v>
      </c>
      <c r="CM458" s="2">
        <v>48.0</v>
      </c>
      <c r="CN458" s="2">
        <v>1.0</v>
      </c>
      <c r="CO458" s="2">
        <v>0.0</v>
      </c>
      <c r="CP458" s="2">
        <v>1.0</v>
      </c>
      <c r="CQ458" s="2">
        <v>0.0</v>
      </c>
      <c r="CR458" s="2">
        <v>2.0</v>
      </c>
      <c r="CS458" s="2">
        <v>0.0</v>
      </c>
      <c r="CT458" s="2">
        <v>0.0</v>
      </c>
      <c r="CU458" s="2">
        <v>0.0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 t="s">
        <v>2246</v>
      </c>
      <c r="DD458" s="2">
        <v>116.0</v>
      </c>
      <c r="DE458" s="2">
        <v>0.0</v>
      </c>
      <c r="DF458" s="2">
        <v>0.0</v>
      </c>
      <c r="DG458" s="2">
        <v>2.0</v>
      </c>
      <c r="DH458" s="2">
        <v>2.0</v>
      </c>
      <c r="DI458" s="2">
        <v>0.0</v>
      </c>
      <c r="DJ458" s="2">
        <v>0.0</v>
      </c>
      <c r="DK458" s="2">
        <v>1.0</v>
      </c>
      <c r="DL458" s="2">
        <v>0.0</v>
      </c>
      <c r="DM458" s="2">
        <v>0.0</v>
      </c>
      <c r="DN458" s="2">
        <v>0.0</v>
      </c>
      <c r="DO458" s="2">
        <v>0.0</v>
      </c>
      <c r="DP458" s="2">
        <v>0.0</v>
      </c>
      <c r="DQ458" s="2">
        <v>3.0</v>
      </c>
      <c r="DR458" s="2">
        <v>0.0</v>
      </c>
      <c r="DS458" s="2">
        <v>49.0</v>
      </c>
      <c r="DT458" s="2">
        <v>136.0</v>
      </c>
      <c r="DU458" s="2">
        <v>2.0</v>
      </c>
      <c r="DV458" s="2">
        <v>0.0</v>
      </c>
      <c r="DW458" s="2">
        <v>0.0</v>
      </c>
      <c r="DX458" s="2">
        <v>0.0</v>
      </c>
      <c r="DY458" s="2">
        <v>2.0</v>
      </c>
      <c r="DZ458" s="2">
        <v>1.0</v>
      </c>
      <c r="EA458" s="2">
        <v>7.0</v>
      </c>
      <c r="EB458" s="2">
        <v>0.0</v>
      </c>
      <c r="EC458" s="2">
        <v>129.0</v>
      </c>
      <c r="EE458" s="2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2">
        <v>2025.0</v>
      </c>
      <c r="B459" s="2">
        <v>16.0</v>
      </c>
      <c r="C459" s="2" t="s">
        <v>137</v>
      </c>
      <c r="D459" s="2" t="s">
        <v>390</v>
      </c>
      <c r="E459" s="2" t="s">
        <v>1097</v>
      </c>
      <c r="F459" s="2" t="s">
        <v>205</v>
      </c>
      <c r="G459" s="2">
        <v>19.0</v>
      </c>
      <c r="H459" s="2">
        <v>34.0</v>
      </c>
      <c r="I459" s="2">
        <v>250.0</v>
      </c>
      <c r="J459" s="2">
        <v>2.0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331.0</v>
      </c>
      <c r="Q459" s="2">
        <v>89.0</v>
      </c>
      <c r="R459" s="2">
        <v>10.0</v>
      </c>
      <c r="S459" s="2">
        <v>5.73014724981279</v>
      </c>
      <c r="T459" s="2">
        <v>0.609130900481652</v>
      </c>
      <c r="U459" s="2">
        <v>0.0</v>
      </c>
      <c r="V459" s="2">
        <v>9.0</v>
      </c>
      <c r="W459" s="2">
        <v>5.0</v>
      </c>
      <c r="X459" s="2">
        <v>5.0</v>
      </c>
      <c r="Y459" s="2">
        <v>1.0</v>
      </c>
      <c r="Z459" s="2">
        <v>26.0</v>
      </c>
      <c r="AA459" s="2">
        <v>150.0</v>
      </c>
      <c r="AB459" s="2">
        <v>0.0</v>
      </c>
      <c r="AC459" s="2">
        <v>0.0</v>
      </c>
      <c r="AD459" s="2">
        <v>0.0</v>
      </c>
      <c r="AE459" s="2">
        <v>8.0</v>
      </c>
      <c r="AF459" s="2">
        <v>0.308046427147929</v>
      </c>
      <c r="AG459" s="2">
        <v>0.0</v>
      </c>
      <c r="AH459" s="2">
        <v>4.0</v>
      </c>
      <c r="AI459" s="2">
        <v>3.0</v>
      </c>
      <c r="AJ459" s="2">
        <v>0.0</v>
      </c>
      <c r="AK459" s="2">
        <v>0.0</v>
      </c>
      <c r="AL459" s="2">
        <v>19.0</v>
      </c>
      <c r="AM459" s="2">
        <v>29.0</v>
      </c>
      <c r="AN459" s="2">
        <v>250.0</v>
      </c>
      <c r="AO459" s="2">
        <v>2.0</v>
      </c>
      <c r="AP459" s="2">
        <v>0.0</v>
      </c>
      <c r="AQ459" s="2">
        <v>0.0</v>
      </c>
      <c r="AR459" s="2">
        <v>331.0</v>
      </c>
      <c r="AS459" s="2">
        <v>89.0</v>
      </c>
      <c r="AT459" s="2">
        <v>10.0</v>
      </c>
      <c r="AU459" s="2">
        <v>10.6089800697836</v>
      </c>
      <c r="AV459" s="2">
        <v>0.0</v>
      </c>
      <c r="AW459" s="2">
        <v>9.0</v>
      </c>
      <c r="AX459" s="2">
        <v>5.0</v>
      </c>
      <c r="AY459" s="2">
        <v>5.0</v>
      </c>
      <c r="AZ459" s="2">
        <v>1.0</v>
      </c>
      <c r="BA459" s="2">
        <v>0.0</v>
      </c>
      <c r="BB459" s="2">
        <v>40.0</v>
      </c>
      <c r="BC459" s="2">
        <v>0.0</v>
      </c>
      <c r="BD459" s="2">
        <v>42.0</v>
      </c>
      <c r="BE459" s="2">
        <v>1.0</v>
      </c>
      <c r="BF459" s="2">
        <v>6.0</v>
      </c>
      <c r="BG459" s="2">
        <v>1.0</v>
      </c>
      <c r="BH459" s="2">
        <v>2.0</v>
      </c>
      <c r="BI459" s="2">
        <v>6.0</v>
      </c>
      <c r="BJ459" s="2">
        <v>5.0</v>
      </c>
      <c r="BK459" s="2">
        <v>0.0</v>
      </c>
      <c r="BL459" s="2">
        <v>0.0</v>
      </c>
      <c r="BM459" s="2">
        <v>2.0</v>
      </c>
      <c r="BN459" s="2">
        <v>0.0</v>
      </c>
      <c r="BO459" s="2">
        <v>0.0</v>
      </c>
      <c r="BP459" s="2">
        <v>0.0</v>
      </c>
      <c r="BQ459" s="2">
        <v>0.0</v>
      </c>
      <c r="BR459" s="2">
        <v>1.0</v>
      </c>
      <c r="BS459" s="2">
        <v>-18.0</v>
      </c>
      <c r="BT459" s="2">
        <v>1.0</v>
      </c>
      <c r="BU459" s="2">
        <v>0.0</v>
      </c>
      <c r="BV459" s="2">
        <v>0.0</v>
      </c>
      <c r="BW459" s="2">
        <v>10.0</v>
      </c>
      <c r="BX459" s="2">
        <v>105.0</v>
      </c>
      <c r="BY459" s="2">
        <v>4.0</v>
      </c>
      <c r="BZ459" s="2">
        <v>0.0</v>
      </c>
      <c r="CA459" s="2">
        <v>1.0</v>
      </c>
      <c r="CB459" s="2">
        <v>0.0</v>
      </c>
      <c r="CC459" s="2">
        <v>1.0</v>
      </c>
      <c r="CD459" s="2">
        <v>0.0</v>
      </c>
      <c r="CE459" s="2">
        <v>0.0</v>
      </c>
      <c r="CF459" s="2">
        <v>0.0</v>
      </c>
      <c r="CG459" s="2">
        <v>4.0</v>
      </c>
      <c r="CH459" s="2">
        <v>104.0</v>
      </c>
      <c r="CI459" s="2">
        <v>3.0</v>
      </c>
      <c r="CJ459" s="2">
        <v>3.0</v>
      </c>
      <c r="CK459" s="2">
        <v>0.0</v>
      </c>
      <c r="CL459" s="2">
        <v>0.0</v>
      </c>
      <c r="CM459" s="2">
        <v>51.0</v>
      </c>
      <c r="CN459" s="2">
        <v>1.0</v>
      </c>
      <c r="CO459" s="2">
        <v>0.0</v>
      </c>
      <c r="CP459" s="2">
        <v>0.0</v>
      </c>
      <c r="CQ459" s="2">
        <v>0.0</v>
      </c>
      <c r="CR459" s="2">
        <v>2.0</v>
      </c>
      <c r="CS459" s="2">
        <v>1.0</v>
      </c>
      <c r="CT459" s="2">
        <v>0.0</v>
      </c>
      <c r="CU459" s="2">
        <v>0.0</v>
      </c>
      <c r="CV459" s="2">
        <v>0.0</v>
      </c>
      <c r="CW459" s="2">
        <v>0.0</v>
      </c>
      <c r="CX459" s="2">
        <v>0.0</v>
      </c>
      <c r="CY459" s="2">
        <v>0.0</v>
      </c>
      <c r="CZ459" s="2">
        <v>0.0</v>
      </c>
      <c r="DA459" s="2" t="s">
        <v>2247</v>
      </c>
      <c r="DD459" s="2">
        <v>140.0</v>
      </c>
      <c r="DE459" s="2">
        <v>0.0</v>
      </c>
      <c r="DF459" s="2">
        <v>0.0</v>
      </c>
      <c r="DG459" s="2">
        <v>1.0</v>
      </c>
      <c r="DH459" s="2">
        <v>1.0</v>
      </c>
      <c r="DI459" s="2">
        <v>0.0</v>
      </c>
      <c r="DJ459" s="2">
        <v>0.0</v>
      </c>
      <c r="DK459" s="2">
        <v>1.0</v>
      </c>
      <c r="DL459" s="2">
        <v>0.0</v>
      </c>
      <c r="DM459" s="2">
        <v>0.0</v>
      </c>
      <c r="DN459" s="2">
        <v>0.0</v>
      </c>
      <c r="DO459" s="2">
        <v>0.0</v>
      </c>
      <c r="DP459" s="2">
        <v>0.0</v>
      </c>
      <c r="DQ459" s="2">
        <v>3.0</v>
      </c>
      <c r="DR459" s="2">
        <v>0.0</v>
      </c>
      <c r="DS459" s="2">
        <v>43.0</v>
      </c>
      <c r="DT459" s="2">
        <v>125.0</v>
      </c>
      <c r="DU459" s="2">
        <v>2.0</v>
      </c>
      <c r="DV459" s="2">
        <v>1.0</v>
      </c>
      <c r="DW459" s="2">
        <v>1.0</v>
      </c>
      <c r="DX459" s="2">
        <v>0.0</v>
      </c>
      <c r="DY459" s="2">
        <v>1.0</v>
      </c>
      <c r="DZ459" s="2">
        <v>0.0</v>
      </c>
      <c r="EA459" s="2">
        <v>0.0</v>
      </c>
      <c r="EB459" s="2">
        <v>0.0</v>
      </c>
      <c r="EC459" s="2">
        <v>125.0</v>
      </c>
      <c r="EE459" s="2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2">
        <v>2025.0</v>
      </c>
      <c r="B460" s="2">
        <v>16.0</v>
      </c>
      <c r="C460" s="2" t="s">
        <v>138</v>
      </c>
      <c r="D460" s="2" t="s">
        <v>390</v>
      </c>
      <c r="E460" s="2" t="s">
        <v>1129</v>
      </c>
      <c r="F460" s="2" t="s">
        <v>225</v>
      </c>
      <c r="G460" s="2">
        <v>26.0</v>
      </c>
      <c r="H460" s="2">
        <v>33.0</v>
      </c>
      <c r="I460" s="2">
        <v>313.0</v>
      </c>
      <c r="J460" s="2">
        <v>4.0</v>
      </c>
      <c r="K460" s="2">
        <v>0.0</v>
      </c>
      <c r="L460" s="2">
        <v>2.0</v>
      </c>
      <c r="M460" s="2">
        <v>-11.0</v>
      </c>
      <c r="N460" s="2">
        <v>0.0</v>
      </c>
      <c r="O460" s="2">
        <v>0.0</v>
      </c>
      <c r="P460" s="2">
        <v>186.0</v>
      </c>
      <c r="Q460" s="2">
        <v>153.0</v>
      </c>
      <c r="R460" s="2">
        <v>16.0</v>
      </c>
      <c r="S460" s="2">
        <v>19.5995351860173</v>
      </c>
      <c r="T460" s="2">
        <v>16.0907698254431</v>
      </c>
      <c r="U460" s="2">
        <v>0.0</v>
      </c>
      <c r="V460" s="2">
        <v>11.0</v>
      </c>
      <c r="W460" s="2">
        <v>7.0</v>
      </c>
      <c r="X460" s="2">
        <v>6.0</v>
      </c>
      <c r="Y460" s="2">
        <v>0.0</v>
      </c>
      <c r="Z460" s="2">
        <v>26.0</v>
      </c>
      <c r="AA460" s="2">
        <v>105.0</v>
      </c>
      <c r="AB460" s="2">
        <v>2.0</v>
      </c>
      <c r="AC460" s="2">
        <v>0.0</v>
      </c>
      <c r="AD460" s="2">
        <v>0.0</v>
      </c>
      <c r="AE460" s="2">
        <v>6.0</v>
      </c>
      <c r="AF460" s="2">
        <v>3.10185281664599</v>
      </c>
      <c r="AG460" s="2">
        <v>0.0</v>
      </c>
      <c r="AH460" s="2">
        <v>2.0</v>
      </c>
      <c r="AI460" s="2">
        <v>2.0</v>
      </c>
      <c r="AJ460" s="2">
        <v>0.0</v>
      </c>
      <c r="AK460" s="2">
        <v>0.0</v>
      </c>
      <c r="AL460" s="2">
        <v>26.0</v>
      </c>
      <c r="AM460" s="2">
        <v>31.0</v>
      </c>
      <c r="AN460" s="2">
        <v>313.0</v>
      </c>
      <c r="AO460" s="2">
        <v>4.0</v>
      </c>
      <c r="AP460" s="2">
        <v>0.0</v>
      </c>
      <c r="AQ460" s="2">
        <v>0.0</v>
      </c>
      <c r="AR460" s="2">
        <v>186.0</v>
      </c>
      <c r="AS460" s="2">
        <v>153.0</v>
      </c>
      <c r="AT460" s="2">
        <v>16.0</v>
      </c>
      <c r="AU460" s="2">
        <v>24.409772875776</v>
      </c>
      <c r="AV460" s="2">
        <v>0.0</v>
      </c>
      <c r="AW460" s="2">
        <v>11.0</v>
      </c>
      <c r="AX460" s="2">
        <v>7.0</v>
      </c>
      <c r="AY460" s="2">
        <v>6.0</v>
      </c>
      <c r="AZ460" s="2">
        <v>0.0</v>
      </c>
      <c r="BA460" s="2">
        <v>0.0</v>
      </c>
      <c r="BB460" s="2">
        <v>32.0</v>
      </c>
      <c r="BC460" s="2">
        <v>1.0</v>
      </c>
      <c r="BD460" s="2">
        <v>43.0</v>
      </c>
      <c r="BE460" s="2">
        <v>3.0</v>
      </c>
      <c r="BF460" s="2">
        <v>6.0</v>
      </c>
      <c r="BG460" s="2">
        <v>2.0</v>
      </c>
      <c r="BH460" s="2">
        <v>0.0</v>
      </c>
      <c r="BI460" s="2">
        <v>0.0</v>
      </c>
      <c r="BJ460" s="2">
        <v>4.0</v>
      </c>
      <c r="BK460" s="2">
        <v>2.0</v>
      </c>
      <c r="BL460" s="2">
        <v>16.0</v>
      </c>
      <c r="BM460" s="2">
        <v>7.0</v>
      </c>
      <c r="BN460" s="2">
        <v>0.0</v>
      </c>
      <c r="BO460" s="2">
        <v>0.0</v>
      </c>
      <c r="BP460" s="2">
        <v>0.0</v>
      </c>
      <c r="BQ460" s="2">
        <v>0.0</v>
      </c>
      <c r="BR460" s="2">
        <v>0.0</v>
      </c>
      <c r="BS460" s="2">
        <v>0.0</v>
      </c>
      <c r="BT460" s="2">
        <v>1.0</v>
      </c>
      <c r="BU460" s="2">
        <v>0.0</v>
      </c>
      <c r="BV460" s="2">
        <v>0.0</v>
      </c>
      <c r="BW460" s="2">
        <v>2.0</v>
      </c>
      <c r="BX460" s="2">
        <v>10.0</v>
      </c>
      <c r="BY460" s="2">
        <v>2.0</v>
      </c>
      <c r="BZ460" s="2">
        <v>0.0</v>
      </c>
      <c r="CA460" s="2">
        <v>0.0</v>
      </c>
      <c r="CB460" s="2">
        <v>0.0</v>
      </c>
      <c r="CC460" s="2">
        <v>0.0</v>
      </c>
      <c r="CD460" s="2">
        <v>0.0</v>
      </c>
      <c r="CE460" s="2">
        <v>1.0</v>
      </c>
      <c r="CF460" s="2">
        <v>26.0</v>
      </c>
      <c r="CG460" s="2">
        <v>4.0</v>
      </c>
      <c r="CH460" s="2">
        <v>117.0</v>
      </c>
      <c r="CI460" s="2">
        <v>1.0</v>
      </c>
      <c r="CJ460" s="2">
        <v>1.0</v>
      </c>
      <c r="CK460" s="2">
        <v>0.0</v>
      </c>
      <c r="CL460" s="2">
        <v>0.0</v>
      </c>
      <c r="CM460" s="2">
        <v>45.0</v>
      </c>
      <c r="CN460" s="2">
        <v>1.0</v>
      </c>
      <c r="CO460" s="2">
        <v>0.0</v>
      </c>
      <c r="CP460" s="2">
        <v>0.0</v>
      </c>
      <c r="CQ460" s="2">
        <v>0.0</v>
      </c>
      <c r="CR460" s="2">
        <v>1.0</v>
      </c>
      <c r="CS460" s="2">
        <v>0.0</v>
      </c>
      <c r="CT460" s="2">
        <v>0.0</v>
      </c>
      <c r="CU460" s="2">
        <v>0.0</v>
      </c>
      <c r="CV460" s="2">
        <v>0.0</v>
      </c>
      <c r="CW460" s="2">
        <v>0.0</v>
      </c>
      <c r="CX460" s="2">
        <v>0.0</v>
      </c>
      <c r="CY460" s="2">
        <v>0.0</v>
      </c>
      <c r="CZ460" s="2">
        <v>0.0</v>
      </c>
      <c r="DA460" s="2" t="s">
        <v>1969</v>
      </c>
      <c r="DD460" s="2">
        <v>45.0</v>
      </c>
      <c r="DE460" s="2">
        <v>0.0</v>
      </c>
      <c r="DF460" s="2">
        <v>0.0</v>
      </c>
      <c r="DG460" s="2">
        <v>6.0</v>
      </c>
      <c r="DH460" s="2">
        <v>6.0</v>
      </c>
      <c r="DI460" s="2">
        <v>0.0</v>
      </c>
      <c r="DJ460" s="2">
        <v>0.0</v>
      </c>
      <c r="DK460" s="2">
        <v>1.0</v>
      </c>
      <c r="DL460" s="2">
        <v>0.0</v>
      </c>
      <c r="DM460" s="2">
        <v>0.0</v>
      </c>
      <c r="DN460" s="2">
        <v>0.0</v>
      </c>
      <c r="DO460" s="2">
        <v>0.0</v>
      </c>
      <c r="DP460" s="2">
        <v>0.0</v>
      </c>
      <c r="DQ460" s="2">
        <v>4.0</v>
      </c>
      <c r="DR460" s="2">
        <v>0.0</v>
      </c>
      <c r="DS460" s="2">
        <v>59.0</v>
      </c>
      <c r="DT460" s="2">
        <v>208.0</v>
      </c>
      <c r="DU460" s="2">
        <v>4.0</v>
      </c>
      <c r="DV460" s="2">
        <v>0.0</v>
      </c>
      <c r="DW460" s="2">
        <v>2.0</v>
      </c>
      <c r="DX460" s="2">
        <v>0.0</v>
      </c>
      <c r="DY460" s="2">
        <v>2.0</v>
      </c>
      <c r="DZ460" s="2">
        <v>0.0</v>
      </c>
      <c r="EA460" s="2">
        <v>0.0</v>
      </c>
      <c r="EB460" s="2">
        <v>0.0</v>
      </c>
      <c r="EC460" s="2">
        <v>208.0</v>
      </c>
      <c r="EE460" s="2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2">
        <v>2025.0</v>
      </c>
      <c r="B461" s="2">
        <v>16.0</v>
      </c>
      <c r="C461" s="2" t="s">
        <v>196</v>
      </c>
      <c r="D461" s="2" t="s">
        <v>390</v>
      </c>
      <c r="E461" s="2" t="s">
        <v>1109</v>
      </c>
      <c r="F461" s="2" t="s">
        <v>136</v>
      </c>
      <c r="G461" s="2">
        <v>20.0</v>
      </c>
      <c r="H461" s="2">
        <v>30.0</v>
      </c>
      <c r="I461" s="2">
        <v>157.0</v>
      </c>
      <c r="J461" s="2">
        <v>1.0</v>
      </c>
      <c r="K461" s="2">
        <v>2.0</v>
      </c>
      <c r="L461" s="2">
        <v>3.0</v>
      </c>
      <c r="M461" s="2">
        <v>-23.0</v>
      </c>
      <c r="N461" s="2">
        <v>0.0</v>
      </c>
      <c r="O461" s="2">
        <v>0.0</v>
      </c>
      <c r="P461" s="2">
        <v>69.0</v>
      </c>
      <c r="Q461" s="2">
        <v>142.0</v>
      </c>
      <c r="R461" s="2">
        <v>8.0</v>
      </c>
      <c r="S461" s="2">
        <v>-14.880581103838</v>
      </c>
      <c r="T461" s="2">
        <v>1.37288724934613</v>
      </c>
      <c r="U461" s="2">
        <v>0.0</v>
      </c>
      <c r="V461" s="2">
        <v>7.0</v>
      </c>
      <c r="W461" s="2">
        <v>4.0</v>
      </c>
      <c r="X461" s="2">
        <v>2.0</v>
      </c>
      <c r="Y461" s="2">
        <v>0.0</v>
      </c>
      <c r="Z461" s="2">
        <v>31.0</v>
      </c>
      <c r="AA461" s="2">
        <v>160.0</v>
      </c>
      <c r="AB461" s="2">
        <v>1.0</v>
      </c>
      <c r="AC461" s="2">
        <v>0.0</v>
      </c>
      <c r="AD461" s="2">
        <v>0.0</v>
      </c>
      <c r="AE461" s="2">
        <v>12.0</v>
      </c>
      <c r="AF461" s="2">
        <v>8.74427640484646</v>
      </c>
      <c r="AG461" s="2">
        <v>0.0</v>
      </c>
      <c r="AH461" s="2">
        <v>6.0</v>
      </c>
      <c r="AI461" s="2">
        <v>5.0</v>
      </c>
      <c r="AJ461" s="2">
        <v>0.0</v>
      </c>
      <c r="AK461" s="2">
        <v>0.0</v>
      </c>
      <c r="AL461" s="2">
        <v>20.0</v>
      </c>
      <c r="AM461" s="2">
        <v>27.0</v>
      </c>
      <c r="AN461" s="2">
        <v>157.0</v>
      </c>
      <c r="AO461" s="2">
        <v>1.0</v>
      </c>
      <c r="AP461" s="2">
        <v>0.0</v>
      </c>
      <c r="AQ461" s="2">
        <v>0.0</v>
      </c>
      <c r="AR461" s="2">
        <v>69.0</v>
      </c>
      <c r="AS461" s="2">
        <v>142.0</v>
      </c>
      <c r="AT461" s="2">
        <v>8.0</v>
      </c>
      <c r="AU461" s="2">
        <v>-5.67599217055346</v>
      </c>
      <c r="AV461" s="2">
        <v>0.0</v>
      </c>
      <c r="AW461" s="2">
        <v>7.0</v>
      </c>
      <c r="AX461" s="2">
        <v>4.0</v>
      </c>
      <c r="AY461" s="2">
        <v>2.0</v>
      </c>
      <c r="AZ461" s="2">
        <v>0.0</v>
      </c>
      <c r="BA461" s="2">
        <v>0.0</v>
      </c>
      <c r="BB461" s="2">
        <v>29.0</v>
      </c>
      <c r="BC461" s="2">
        <v>0.0</v>
      </c>
      <c r="BD461" s="2">
        <v>34.0</v>
      </c>
      <c r="BE461" s="2">
        <v>1.0</v>
      </c>
      <c r="BF461" s="2">
        <v>13.0</v>
      </c>
      <c r="BG461" s="2">
        <v>0.0</v>
      </c>
      <c r="BH461" s="2">
        <v>2.0</v>
      </c>
      <c r="BI461" s="2">
        <v>35.0</v>
      </c>
      <c r="BJ461" s="2">
        <v>5.0</v>
      </c>
      <c r="BK461" s="2">
        <v>0.0</v>
      </c>
      <c r="BL461" s="2">
        <v>0.0</v>
      </c>
      <c r="BM461" s="2">
        <v>1.0</v>
      </c>
      <c r="BN461" s="2">
        <v>0.0</v>
      </c>
      <c r="BO461" s="2">
        <v>0.0</v>
      </c>
      <c r="BP461" s="2">
        <v>0.0</v>
      </c>
      <c r="BQ461" s="2">
        <v>0.0</v>
      </c>
      <c r="BR461" s="2">
        <v>1.0</v>
      </c>
      <c r="BS461" s="2">
        <v>0.0</v>
      </c>
      <c r="BT461" s="2">
        <v>0.0</v>
      </c>
      <c r="BU461" s="2">
        <v>0.0</v>
      </c>
      <c r="BV461" s="2">
        <v>0.0</v>
      </c>
      <c r="BW461" s="2">
        <v>5.0</v>
      </c>
      <c r="BX461" s="2">
        <v>44.0</v>
      </c>
      <c r="BY461" s="2">
        <v>6.0</v>
      </c>
      <c r="BZ461" s="2">
        <v>0.0</v>
      </c>
      <c r="CA461" s="2">
        <v>1.0</v>
      </c>
      <c r="CB461" s="2">
        <v>0.0</v>
      </c>
      <c r="CC461" s="2">
        <v>1.0</v>
      </c>
      <c r="CD461" s="2">
        <v>0.0</v>
      </c>
      <c r="CE461" s="2">
        <v>1.0</v>
      </c>
      <c r="CF461" s="2">
        <v>3.0</v>
      </c>
      <c r="CG461" s="2">
        <v>4.0</v>
      </c>
      <c r="CH461" s="2">
        <v>107.0</v>
      </c>
      <c r="CI461" s="2">
        <v>2.0</v>
      </c>
      <c r="CJ461" s="2">
        <v>2.0</v>
      </c>
      <c r="CK461" s="2">
        <v>0.0</v>
      </c>
      <c r="CL461" s="2">
        <v>0.0</v>
      </c>
      <c r="CM461" s="2">
        <v>41.0</v>
      </c>
      <c r="CN461" s="2">
        <v>1.0</v>
      </c>
      <c r="CO461" s="2">
        <v>0.0</v>
      </c>
      <c r="CP461" s="2">
        <v>1.0</v>
      </c>
      <c r="CQ461" s="2">
        <v>0.0</v>
      </c>
      <c r="CR461" s="2">
        <v>1.0</v>
      </c>
      <c r="CS461" s="2">
        <v>0.0</v>
      </c>
      <c r="CT461" s="2">
        <v>0.0</v>
      </c>
      <c r="CU461" s="2">
        <v>0.0</v>
      </c>
      <c r="CV461" s="2">
        <v>0.0</v>
      </c>
      <c r="CW461" s="2">
        <v>0.0</v>
      </c>
      <c r="CX461" s="2">
        <v>0.0</v>
      </c>
      <c r="CY461" s="2">
        <v>0.0</v>
      </c>
      <c r="CZ461" s="2">
        <v>0.0</v>
      </c>
      <c r="DA461" s="2" t="s">
        <v>2248</v>
      </c>
      <c r="DD461" s="2">
        <v>65.0</v>
      </c>
      <c r="DE461" s="2">
        <v>0.0</v>
      </c>
      <c r="DF461" s="2">
        <v>0.0</v>
      </c>
      <c r="DG461" s="2">
        <v>2.0</v>
      </c>
      <c r="DH461" s="2">
        <v>2.0</v>
      </c>
      <c r="DI461" s="2">
        <v>0.0</v>
      </c>
      <c r="DJ461" s="2">
        <v>0.0</v>
      </c>
      <c r="DK461" s="2">
        <v>1.0</v>
      </c>
      <c r="DL461" s="2">
        <v>0.0</v>
      </c>
      <c r="DM461" s="2">
        <v>0.0</v>
      </c>
      <c r="DN461" s="2">
        <v>0.0</v>
      </c>
      <c r="DO461" s="2">
        <v>0.0</v>
      </c>
      <c r="DP461" s="2">
        <v>0.0</v>
      </c>
      <c r="DQ461" s="2">
        <v>2.0</v>
      </c>
      <c r="DR461" s="2">
        <v>0.0</v>
      </c>
      <c r="DS461" s="2">
        <v>52.0</v>
      </c>
      <c r="DT461" s="2">
        <v>103.0</v>
      </c>
      <c r="DU461" s="2">
        <v>1.0</v>
      </c>
      <c r="DV461" s="2">
        <v>0.0</v>
      </c>
      <c r="DW461" s="2">
        <v>0.0</v>
      </c>
      <c r="DX461" s="2">
        <v>0.0</v>
      </c>
      <c r="DY461" s="2">
        <v>0.0</v>
      </c>
      <c r="DZ461" s="2">
        <v>2.0</v>
      </c>
      <c r="EA461" s="2">
        <v>7.0</v>
      </c>
      <c r="EB461" s="2">
        <v>0.0</v>
      </c>
      <c r="EC461" s="2">
        <v>96.0</v>
      </c>
      <c r="EE461" s="2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2">
        <v>2025.0</v>
      </c>
      <c r="B462" s="2">
        <v>16.0</v>
      </c>
      <c r="C462" s="2" t="s">
        <v>146</v>
      </c>
      <c r="D462" s="2" t="s">
        <v>390</v>
      </c>
      <c r="E462" s="2" t="s">
        <v>1111</v>
      </c>
      <c r="F462" s="2" t="s">
        <v>220</v>
      </c>
      <c r="G462" s="2">
        <v>23.0</v>
      </c>
      <c r="H462" s="2">
        <v>32.0</v>
      </c>
      <c r="I462" s="2">
        <v>255.0</v>
      </c>
      <c r="J462" s="2">
        <v>2.0</v>
      </c>
      <c r="K462" s="2">
        <v>0.0</v>
      </c>
      <c r="L462" s="2">
        <v>1.0</v>
      </c>
      <c r="M462" s="2">
        <v>-6.0</v>
      </c>
      <c r="N462" s="2">
        <v>0.0</v>
      </c>
      <c r="O462" s="2">
        <v>0.0</v>
      </c>
      <c r="P462" s="2">
        <v>312.0</v>
      </c>
      <c r="Q462" s="2">
        <v>75.0</v>
      </c>
      <c r="R462" s="2">
        <v>13.0</v>
      </c>
      <c r="S462" s="2">
        <v>13.6080341413178</v>
      </c>
      <c r="T462" s="2">
        <v>5.02989627420902</v>
      </c>
      <c r="U462" s="2">
        <v>0.0</v>
      </c>
      <c r="V462" s="2">
        <v>9.0</v>
      </c>
      <c r="W462" s="2">
        <v>4.0</v>
      </c>
      <c r="X462" s="2">
        <v>3.0</v>
      </c>
      <c r="Y462" s="2">
        <v>0.0</v>
      </c>
      <c r="Z462" s="2">
        <v>23.0</v>
      </c>
      <c r="AA462" s="2">
        <v>91.0</v>
      </c>
      <c r="AB462" s="2">
        <v>0.0</v>
      </c>
      <c r="AC462" s="2">
        <v>1.0</v>
      </c>
      <c r="AD462" s="2">
        <v>1.0</v>
      </c>
      <c r="AE462" s="2">
        <v>4.0</v>
      </c>
      <c r="AF462" s="2">
        <v>-11.6913220470888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23.0</v>
      </c>
      <c r="AM462" s="2">
        <v>32.0</v>
      </c>
      <c r="AN462" s="2">
        <v>255.0</v>
      </c>
      <c r="AO462" s="2">
        <v>2.0</v>
      </c>
      <c r="AP462" s="2">
        <v>0.0</v>
      </c>
      <c r="AQ462" s="2">
        <v>0.0</v>
      </c>
      <c r="AR462" s="2">
        <v>312.0</v>
      </c>
      <c r="AS462" s="2">
        <v>75.0</v>
      </c>
      <c r="AT462" s="2">
        <v>13.0</v>
      </c>
      <c r="AU462" s="2">
        <v>13.8021807227193</v>
      </c>
      <c r="AV462" s="2">
        <v>0.0</v>
      </c>
      <c r="AW462" s="2">
        <v>9.0</v>
      </c>
      <c r="AX462" s="2">
        <v>4.0</v>
      </c>
      <c r="AY462" s="2">
        <v>3.0</v>
      </c>
      <c r="AZ462" s="2">
        <v>0.0</v>
      </c>
      <c r="BA462" s="2">
        <v>0.0</v>
      </c>
      <c r="BB462" s="2">
        <v>39.0</v>
      </c>
      <c r="BC462" s="2">
        <v>2.0</v>
      </c>
      <c r="BD462" s="2">
        <v>32.0</v>
      </c>
      <c r="BE462" s="2">
        <v>3.0</v>
      </c>
      <c r="BF462" s="2">
        <v>5.0</v>
      </c>
      <c r="BG462" s="2">
        <v>1.0</v>
      </c>
      <c r="BH462" s="2">
        <v>0.0</v>
      </c>
      <c r="BI462" s="2">
        <v>0.0</v>
      </c>
      <c r="BJ462" s="2">
        <v>5.0</v>
      </c>
      <c r="BK462" s="2">
        <v>0.0</v>
      </c>
      <c r="BL462" s="2">
        <v>0.0</v>
      </c>
      <c r="BM462" s="2">
        <v>2.0</v>
      </c>
      <c r="BN462" s="2">
        <v>0.0</v>
      </c>
      <c r="BO462" s="2">
        <v>0.0</v>
      </c>
      <c r="BP462" s="2">
        <v>0.0</v>
      </c>
      <c r="BQ462" s="2">
        <v>0.0</v>
      </c>
      <c r="BR462" s="2">
        <v>0.0</v>
      </c>
      <c r="BS462" s="2">
        <v>0.0</v>
      </c>
      <c r="BT462" s="2">
        <v>0.0</v>
      </c>
      <c r="BU462" s="2">
        <v>0.0</v>
      </c>
      <c r="BV462" s="2">
        <v>0.0</v>
      </c>
      <c r="BW462" s="2">
        <v>5.0</v>
      </c>
      <c r="BX462" s="2">
        <v>40.0</v>
      </c>
      <c r="BY462" s="2">
        <v>3.0</v>
      </c>
      <c r="BZ462" s="2">
        <v>1.0</v>
      </c>
      <c r="CA462" s="2">
        <v>0.0</v>
      </c>
      <c r="CB462" s="2">
        <v>0.0</v>
      </c>
      <c r="CC462" s="2">
        <v>1.0</v>
      </c>
      <c r="CD462" s="2">
        <v>1.0</v>
      </c>
      <c r="CE462" s="2">
        <v>0.0</v>
      </c>
      <c r="CF462" s="2">
        <v>0.0</v>
      </c>
      <c r="CG462" s="2">
        <v>6.0</v>
      </c>
      <c r="CH462" s="2">
        <v>148.0</v>
      </c>
      <c r="CI462" s="2">
        <v>1.0</v>
      </c>
      <c r="CJ462" s="2">
        <v>1.0</v>
      </c>
      <c r="CK462" s="2">
        <v>0.0</v>
      </c>
      <c r="CL462" s="2">
        <v>0.0</v>
      </c>
      <c r="CM462" s="2">
        <v>33.0</v>
      </c>
      <c r="CN462" s="2">
        <v>1.0</v>
      </c>
      <c r="CO462" s="2">
        <v>0.0</v>
      </c>
      <c r="CP462" s="2">
        <v>0.0</v>
      </c>
      <c r="CQ462" s="2">
        <v>1.0</v>
      </c>
      <c r="CR462" s="2">
        <v>0.0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 t="s">
        <v>2056</v>
      </c>
      <c r="DD462" s="2">
        <v>33.0</v>
      </c>
      <c r="DE462" s="2">
        <v>0.0</v>
      </c>
      <c r="DF462" s="2">
        <v>0.0</v>
      </c>
      <c r="DG462" s="2">
        <v>2.0</v>
      </c>
      <c r="DH462" s="2">
        <v>2.0</v>
      </c>
      <c r="DI462" s="2">
        <v>0.0</v>
      </c>
      <c r="DJ462" s="2">
        <v>0.0</v>
      </c>
      <c r="DK462" s="2">
        <v>1.0</v>
      </c>
      <c r="DL462" s="2">
        <v>0.0</v>
      </c>
      <c r="DM462" s="2">
        <v>0.0</v>
      </c>
      <c r="DN462" s="2">
        <v>0.0</v>
      </c>
      <c r="DO462" s="2">
        <v>0.0</v>
      </c>
      <c r="DP462" s="2">
        <v>0.0</v>
      </c>
      <c r="DQ462" s="2">
        <v>1.0</v>
      </c>
      <c r="DR462" s="2">
        <v>0.0</v>
      </c>
      <c r="DS462" s="2">
        <v>42.0</v>
      </c>
      <c r="DT462" s="2">
        <v>42.0</v>
      </c>
      <c r="DU462" s="2">
        <v>1.0</v>
      </c>
      <c r="DV462" s="2">
        <v>0.0</v>
      </c>
      <c r="DW462" s="2">
        <v>0.0</v>
      </c>
      <c r="DX462" s="2">
        <v>0.0</v>
      </c>
      <c r="DY462" s="2">
        <v>1.0</v>
      </c>
      <c r="DZ462" s="2">
        <v>0.0</v>
      </c>
      <c r="EA462" s="2">
        <v>0.0</v>
      </c>
      <c r="EB462" s="2">
        <v>0.0</v>
      </c>
      <c r="EC462" s="2">
        <v>42.0</v>
      </c>
      <c r="EE462" s="2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2">
        <v>2025.0</v>
      </c>
      <c r="B463" s="2">
        <v>16.0</v>
      </c>
      <c r="C463" s="2" t="s">
        <v>139</v>
      </c>
      <c r="D463" s="2" t="s">
        <v>390</v>
      </c>
      <c r="E463" s="2" t="s">
        <v>1123</v>
      </c>
      <c r="F463" s="2" t="s">
        <v>141</v>
      </c>
      <c r="G463" s="2">
        <v>28.0</v>
      </c>
      <c r="H463" s="2">
        <v>47.0</v>
      </c>
      <c r="I463" s="2">
        <v>352.0</v>
      </c>
      <c r="J463" s="2">
        <v>1.0</v>
      </c>
      <c r="K463" s="2">
        <v>1.0</v>
      </c>
      <c r="L463" s="2">
        <v>1.0</v>
      </c>
      <c r="M463" s="2">
        <v>-8.0</v>
      </c>
      <c r="N463" s="2">
        <v>0.0</v>
      </c>
      <c r="O463" s="2">
        <v>0.0</v>
      </c>
      <c r="P463" s="2">
        <v>449.0</v>
      </c>
      <c r="Q463" s="2">
        <v>145.0</v>
      </c>
      <c r="R463" s="2">
        <v>14.0</v>
      </c>
      <c r="S463" s="2">
        <v>0.289789066115951</v>
      </c>
      <c r="T463" s="2">
        <v>-3.13274572077005</v>
      </c>
      <c r="U463" s="2">
        <v>0.0</v>
      </c>
      <c r="V463" s="2">
        <v>13.0</v>
      </c>
      <c r="W463" s="2">
        <v>7.0</v>
      </c>
      <c r="X463" s="2">
        <v>5.0</v>
      </c>
      <c r="Y463" s="2">
        <v>1.0</v>
      </c>
      <c r="Z463" s="2">
        <v>17.0</v>
      </c>
      <c r="AA463" s="2">
        <v>101.0</v>
      </c>
      <c r="AB463" s="2">
        <v>1.0</v>
      </c>
      <c r="AC463" s="2">
        <v>1.0</v>
      </c>
      <c r="AD463" s="2">
        <v>1.0</v>
      </c>
      <c r="AE463" s="2">
        <v>5.0</v>
      </c>
      <c r="AF463" s="2">
        <v>-2.43548881869494</v>
      </c>
      <c r="AG463" s="2">
        <v>0.0</v>
      </c>
      <c r="AH463" s="2">
        <v>3.0</v>
      </c>
      <c r="AI463" s="2">
        <v>3.0</v>
      </c>
      <c r="AJ463" s="2">
        <v>1.0</v>
      </c>
      <c r="AK463" s="2">
        <v>0.0</v>
      </c>
      <c r="AL463" s="2">
        <v>28.0</v>
      </c>
      <c r="AM463" s="2">
        <v>46.0</v>
      </c>
      <c r="AN463" s="2">
        <v>352.0</v>
      </c>
      <c r="AO463" s="2">
        <v>1.0</v>
      </c>
      <c r="AP463" s="2">
        <v>0.0</v>
      </c>
      <c r="AQ463" s="2">
        <v>0.0</v>
      </c>
      <c r="AR463" s="2">
        <v>449.0</v>
      </c>
      <c r="AS463" s="2">
        <v>145.0</v>
      </c>
      <c r="AT463" s="2">
        <v>14.0</v>
      </c>
      <c r="AU463" s="2">
        <v>2.58629705144707</v>
      </c>
      <c r="AV463" s="2">
        <v>0.0</v>
      </c>
      <c r="AW463" s="2">
        <v>13.0</v>
      </c>
      <c r="AX463" s="2">
        <v>7.0</v>
      </c>
      <c r="AY463" s="2">
        <v>5.0</v>
      </c>
      <c r="AZ463" s="2">
        <v>1.0</v>
      </c>
      <c r="BA463" s="2">
        <v>0.0</v>
      </c>
      <c r="BB463" s="2">
        <v>38.0</v>
      </c>
      <c r="BC463" s="2">
        <v>0.0</v>
      </c>
      <c r="BD463" s="2">
        <v>40.0</v>
      </c>
      <c r="BE463" s="2">
        <v>6.0</v>
      </c>
      <c r="BF463" s="2">
        <v>25.0</v>
      </c>
      <c r="BG463" s="2">
        <v>0.0</v>
      </c>
      <c r="BH463" s="2">
        <v>5.0</v>
      </c>
      <c r="BI463" s="2">
        <v>14.0</v>
      </c>
      <c r="BJ463" s="2">
        <v>14.0</v>
      </c>
      <c r="BK463" s="2">
        <v>0.0</v>
      </c>
      <c r="BL463" s="2">
        <v>0.0</v>
      </c>
      <c r="BM463" s="2">
        <v>5.0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</v>
      </c>
      <c r="BU463" s="2">
        <v>0.0</v>
      </c>
      <c r="BV463" s="2">
        <v>0.0</v>
      </c>
      <c r="BW463" s="2">
        <v>6.0</v>
      </c>
      <c r="BX463" s="2">
        <v>61.0</v>
      </c>
      <c r="BY463" s="2">
        <v>5.0</v>
      </c>
      <c r="BZ463" s="2">
        <v>0.0</v>
      </c>
      <c r="CA463" s="2">
        <v>1.0</v>
      </c>
      <c r="CB463" s="2">
        <v>0.0</v>
      </c>
      <c r="CC463" s="2">
        <v>1.0</v>
      </c>
      <c r="CD463" s="2">
        <v>1.0</v>
      </c>
      <c r="CE463" s="2">
        <v>2.0</v>
      </c>
      <c r="CF463" s="2">
        <v>14.0</v>
      </c>
      <c r="CG463" s="2">
        <v>4.0</v>
      </c>
      <c r="CH463" s="2">
        <v>100.0</v>
      </c>
      <c r="CI463" s="2">
        <v>2.0</v>
      </c>
      <c r="CJ463" s="2">
        <v>3.0</v>
      </c>
      <c r="CK463" s="2">
        <v>1.0</v>
      </c>
      <c r="CL463" s="2">
        <v>0.0</v>
      </c>
      <c r="CM463" s="2">
        <v>54.0</v>
      </c>
      <c r="CN463" s="2">
        <v>0.666666666666667</v>
      </c>
      <c r="CO463" s="2">
        <v>0.0</v>
      </c>
      <c r="CP463" s="2">
        <v>1.0</v>
      </c>
      <c r="CQ463" s="2">
        <v>0.0</v>
      </c>
      <c r="CR463" s="2">
        <v>0.0</v>
      </c>
      <c r="CS463" s="2">
        <v>1.0</v>
      </c>
      <c r="CT463" s="2">
        <v>0.0</v>
      </c>
      <c r="CU463" s="2">
        <v>0.0</v>
      </c>
      <c r="CV463" s="2">
        <v>0.0</v>
      </c>
      <c r="CW463" s="2">
        <v>0.0</v>
      </c>
      <c r="CX463" s="2">
        <v>1.0</v>
      </c>
      <c r="CY463" s="2">
        <v>0.0</v>
      </c>
      <c r="CZ463" s="2">
        <v>0.0</v>
      </c>
      <c r="DA463" s="2" t="s">
        <v>2249</v>
      </c>
      <c r="DB463" s="2" t="s">
        <v>1962</v>
      </c>
      <c r="DD463" s="2">
        <v>75.0</v>
      </c>
      <c r="DE463" s="2">
        <v>44.0</v>
      </c>
      <c r="DF463" s="2">
        <v>0.0</v>
      </c>
      <c r="DG463" s="2">
        <v>2.0</v>
      </c>
      <c r="DH463" s="2">
        <v>2.0</v>
      </c>
      <c r="DI463" s="2">
        <v>0.0</v>
      </c>
      <c r="DJ463" s="2">
        <v>0.0</v>
      </c>
      <c r="DK463" s="2">
        <v>1.0</v>
      </c>
      <c r="DL463" s="2">
        <v>0.0</v>
      </c>
      <c r="DM463" s="2">
        <v>0.0</v>
      </c>
      <c r="DN463" s="2">
        <v>0.0</v>
      </c>
      <c r="DO463" s="2">
        <v>0.0</v>
      </c>
      <c r="DP463" s="2">
        <v>0.0</v>
      </c>
      <c r="DQ463" s="2">
        <v>3.0</v>
      </c>
      <c r="DR463" s="2">
        <v>0.0</v>
      </c>
      <c r="DS463" s="2">
        <v>53.0</v>
      </c>
      <c r="DT463" s="2">
        <v>132.0</v>
      </c>
      <c r="DU463" s="2">
        <v>1.0</v>
      </c>
      <c r="DV463" s="2">
        <v>0.0</v>
      </c>
      <c r="DW463" s="2">
        <v>0.0</v>
      </c>
      <c r="DX463" s="2">
        <v>1.0</v>
      </c>
      <c r="DY463" s="2">
        <v>1.0</v>
      </c>
      <c r="DZ463" s="2">
        <v>1.0</v>
      </c>
      <c r="EA463" s="2">
        <v>2.0</v>
      </c>
      <c r="EB463" s="2">
        <v>0.0</v>
      </c>
      <c r="EC463" s="2">
        <v>110.0</v>
      </c>
      <c r="EE463" s="2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2">
        <v>2025.0</v>
      </c>
      <c r="B464" s="2">
        <v>16.0</v>
      </c>
      <c r="C464" s="2" t="s">
        <v>202</v>
      </c>
      <c r="D464" s="2" t="s">
        <v>390</v>
      </c>
      <c r="E464" s="2" t="s">
        <v>1125</v>
      </c>
      <c r="F464" s="2" t="s">
        <v>242</v>
      </c>
      <c r="G464" s="2">
        <v>34.0</v>
      </c>
      <c r="H464" s="2">
        <v>54.0</v>
      </c>
      <c r="I464" s="2">
        <v>364.0</v>
      </c>
      <c r="J464" s="2">
        <v>3.0</v>
      </c>
      <c r="K464" s="2">
        <v>0.0</v>
      </c>
      <c r="L464" s="2">
        <v>3.0</v>
      </c>
      <c r="M464" s="2">
        <v>-18.0</v>
      </c>
      <c r="N464" s="2">
        <v>0.0</v>
      </c>
      <c r="O464" s="2">
        <v>0.0</v>
      </c>
      <c r="P464" s="2">
        <v>315.0</v>
      </c>
      <c r="Q464" s="2">
        <v>174.0</v>
      </c>
      <c r="R464" s="2">
        <v>19.0</v>
      </c>
      <c r="S464" s="2">
        <v>10.8518014951232</v>
      </c>
      <c r="T464" s="2">
        <v>-7.18925933425243</v>
      </c>
      <c r="U464" s="2">
        <v>0.0</v>
      </c>
      <c r="V464" s="2">
        <v>16.0</v>
      </c>
      <c r="W464" s="2">
        <v>9.0</v>
      </c>
      <c r="X464" s="2">
        <v>6.0</v>
      </c>
      <c r="Y464" s="2">
        <v>0.0</v>
      </c>
      <c r="Z464" s="2">
        <v>12.0</v>
      </c>
      <c r="AA464" s="2">
        <v>15.0</v>
      </c>
      <c r="AB464" s="2">
        <v>0.0</v>
      </c>
      <c r="AC464" s="2">
        <v>1.0</v>
      </c>
      <c r="AD464" s="2">
        <v>0.0</v>
      </c>
      <c r="AE464" s="2">
        <v>2.0</v>
      </c>
      <c r="AF464" s="2">
        <v>-3.96257581393002</v>
      </c>
      <c r="AG464" s="2">
        <v>0.0</v>
      </c>
      <c r="AH464" s="2">
        <v>1.0</v>
      </c>
      <c r="AI464" s="2">
        <v>1.0</v>
      </c>
      <c r="AJ464" s="2">
        <v>0.0</v>
      </c>
      <c r="AK464" s="2">
        <v>0.0</v>
      </c>
      <c r="AL464" s="2">
        <v>34.0</v>
      </c>
      <c r="AM464" s="2">
        <v>52.0</v>
      </c>
      <c r="AN464" s="2">
        <v>364.0</v>
      </c>
      <c r="AO464" s="2">
        <v>3.0</v>
      </c>
      <c r="AP464" s="2">
        <v>0.0</v>
      </c>
      <c r="AQ464" s="2">
        <v>0.0</v>
      </c>
      <c r="AR464" s="2">
        <v>315.0</v>
      </c>
      <c r="AS464" s="2">
        <v>174.0</v>
      </c>
      <c r="AT464" s="2">
        <v>19.0</v>
      </c>
      <c r="AU464" s="2">
        <v>16.2660338044488</v>
      </c>
      <c r="AV464" s="2">
        <v>0.0</v>
      </c>
      <c r="AW464" s="2">
        <v>16.0</v>
      </c>
      <c r="AX464" s="2">
        <v>9.0</v>
      </c>
      <c r="AY464" s="2">
        <v>6.0</v>
      </c>
      <c r="AZ464" s="2">
        <v>0.0</v>
      </c>
      <c r="BA464" s="2">
        <v>0.0</v>
      </c>
      <c r="BB464" s="2">
        <v>38.0</v>
      </c>
      <c r="BC464" s="2">
        <v>0.0</v>
      </c>
      <c r="BD464" s="2">
        <v>36.0</v>
      </c>
      <c r="BE464" s="2">
        <v>4.0</v>
      </c>
      <c r="BF464" s="2">
        <v>18.0</v>
      </c>
      <c r="BG464" s="2">
        <v>1.0</v>
      </c>
      <c r="BH464" s="2">
        <v>2.0</v>
      </c>
      <c r="BI464" s="2">
        <v>15.0</v>
      </c>
      <c r="BJ464" s="2">
        <v>3.0</v>
      </c>
      <c r="BK464" s="2">
        <v>0.0</v>
      </c>
      <c r="BL464" s="2">
        <v>0.0</v>
      </c>
      <c r="BM464" s="2">
        <v>5.0</v>
      </c>
      <c r="BN464" s="2">
        <v>0.0</v>
      </c>
      <c r="BO464" s="2">
        <v>0.0</v>
      </c>
      <c r="BP464" s="2">
        <v>0.0</v>
      </c>
      <c r="BQ464" s="2">
        <v>0.0</v>
      </c>
      <c r="BR464" s="2">
        <v>1.0</v>
      </c>
      <c r="BS464" s="2">
        <v>0.0</v>
      </c>
      <c r="BT464" s="2">
        <v>1.0</v>
      </c>
      <c r="BU464" s="2">
        <v>0.0</v>
      </c>
      <c r="BV464" s="2">
        <v>0.0</v>
      </c>
      <c r="BW464" s="2">
        <v>7.0</v>
      </c>
      <c r="BX464" s="2">
        <v>40.0</v>
      </c>
      <c r="BY464" s="2">
        <v>4.0</v>
      </c>
      <c r="BZ464" s="2">
        <v>1.0</v>
      </c>
      <c r="CA464" s="2">
        <v>0.0</v>
      </c>
      <c r="CB464" s="2">
        <v>0.0</v>
      </c>
      <c r="CC464" s="2">
        <v>1.0</v>
      </c>
      <c r="CD464" s="2">
        <v>0.0</v>
      </c>
      <c r="CE464" s="2">
        <v>3.0</v>
      </c>
      <c r="CF464" s="2">
        <v>16.0</v>
      </c>
      <c r="CG464" s="2">
        <v>5.0</v>
      </c>
      <c r="CH464" s="2">
        <v>134.0</v>
      </c>
      <c r="CI464" s="2">
        <v>1.0</v>
      </c>
      <c r="CJ464" s="2">
        <v>1.0</v>
      </c>
      <c r="CK464" s="2">
        <v>0.0</v>
      </c>
      <c r="CL464" s="2">
        <v>0.0</v>
      </c>
      <c r="CM464" s="2">
        <v>36.0</v>
      </c>
      <c r="CN464" s="2">
        <v>1.0</v>
      </c>
      <c r="CO464" s="2">
        <v>0.0</v>
      </c>
      <c r="CP464" s="2">
        <v>0.0</v>
      </c>
      <c r="CQ464" s="2">
        <v>1.0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 t="s">
        <v>1970</v>
      </c>
      <c r="DD464" s="2">
        <v>36.0</v>
      </c>
      <c r="DE464" s="2">
        <v>0.0</v>
      </c>
      <c r="DF464" s="2">
        <v>0.0</v>
      </c>
      <c r="DG464" s="2">
        <v>3.0</v>
      </c>
      <c r="DH464" s="2">
        <v>3.0</v>
      </c>
      <c r="DI464" s="2">
        <v>0.0</v>
      </c>
      <c r="DJ464" s="2">
        <v>0.0</v>
      </c>
      <c r="DK464" s="2">
        <v>1.0</v>
      </c>
      <c r="DL464" s="2">
        <v>0.0</v>
      </c>
      <c r="DM464" s="2">
        <v>0.0</v>
      </c>
      <c r="DN464" s="2">
        <v>0.0</v>
      </c>
      <c r="DO464" s="2">
        <v>0.0</v>
      </c>
      <c r="DP464" s="2">
        <v>0.0</v>
      </c>
      <c r="DQ464" s="2">
        <v>3.0</v>
      </c>
      <c r="DR464" s="2">
        <v>0.0</v>
      </c>
      <c r="DS464" s="2">
        <v>54.0</v>
      </c>
      <c r="DT464" s="2">
        <v>159.0</v>
      </c>
      <c r="DU464" s="2">
        <v>0.0</v>
      </c>
      <c r="DV464" s="2">
        <v>0.0</v>
      </c>
      <c r="DW464" s="2">
        <v>0.0</v>
      </c>
      <c r="DX464" s="2">
        <v>0.0</v>
      </c>
      <c r="DY464" s="2">
        <v>2.0</v>
      </c>
      <c r="DZ464" s="2">
        <v>1.0</v>
      </c>
      <c r="EA464" s="2">
        <v>9.0</v>
      </c>
      <c r="EB464" s="2">
        <v>0.0</v>
      </c>
      <c r="EC464" s="2">
        <v>150.0</v>
      </c>
      <c r="EE464" s="2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2">
        <v>2025.0</v>
      </c>
      <c r="B465" s="2">
        <v>16.0</v>
      </c>
      <c r="C465" s="2" t="s">
        <v>205</v>
      </c>
      <c r="D465" s="2" t="s">
        <v>390</v>
      </c>
      <c r="E465" s="2" t="s">
        <v>1097</v>
      </c>
      <c r="F465" s="2" t="s">
        <v>137</v>
      </c>
      <c r="G465" s="2">
        <v>17.0</v>
      </c>
      <c r="H465" s="2">
        <v>24.0</v>
      </c>
      <c r="I465" s="2">
        <v>198.0</v>
      </c>
      <c r="J465" s="2">
        <v>1.0</v>
      </c>
      <c r="K465" s="2">
        <v>0.0</v>
      </c>
      <c r="L465" s="2">
        <v>2.0</v>
      </c>
      <c r="M465" s="2">
        <v>-6.0</v>
      </c>
      <c r="N465" s="2">
        <v>0.0</v>
      </c>
      <c r="O465" s="2">
        <v>0.0</v>
      </c>
      <c r="P465" s="2">
        <v>166.0</v>
      </c>
      <c r="Q465" s="2">
        <v>70.0</v>
      </c>
      <c r="R465" s="2">
        <v>10.0</v>
      </c>
      <c r="S465" s="2">
        <v>7.63952754362863</v>
      </c>
      <c r="T465" s="2">
        <v>8.12653601169586</v>
      </c>
      <c r="U465" s="2">
        <v>0.0</v>
      </c>
      <c r="V465" s="2">
        <v>7.0</v>
      </c>
      <c r="W465" s="2">
        <v>4.0</v>
      </c>
      <c r="X465" s="2">
        <v>4.0</v>
      </c>
      <c r="Y465" s="2">
        <v>0.0</v>
      </c>
      <c r="Z465" s="2">
        <v>44.0</v>
      </c>
      <c r="AA465" s="2">
        <v>192.0</v>
      </c>
      <c r="AB465" s="2">
        <v>0.0</v>
      </c>
      <c r="AC465" s="2">
        <v>3.0</v>
      </c>
      <c r="AD465" s="2">
        <v>1.0</v>
      </c>
      <c r="AE465" s="2">
        <v>11.0</v>
      </c>
      <c r="AF465" s="2">
        <v>-3.49936239048839</v>
      </c>
      <c r="AG465" s="2">
        <v>0.0</v>
      </c>
      <c r="AH465" s="2">
        <v>5.0</v>
      </c>
      <c r="AI465" s="2">
        <v>4.0</v>
      </c>
      <c r="AJ465" s="2">
        <v>0.0</v>
      </c>
      <c r="AK465" s="2">
        <v>0.0</v>
      </c>
      <c r="AL465" s="2">
        <v>17.0</v>
      </c>
      <c r="AM465" s="2">
        <v>24.0</v>
      </c>
      <c r="AN465" s="2">
        <v>198.0</v>
      </c>
      <c r="AO465" s="2">
        <v>1.0</v>
      </c>
      <c r="AP465" s="2">
        <v>0.0</v>
      </c>
      <c r="AQ465" s="2">
        <v>0.0</v>
      </c>
      <c r="AR465" s="2">
        <v>166.0</v>
      </c>
      <c r="AS465" s="2">
        <v>70.0</v>
      </c>
      <c r="AT465" s="2">
        <v>10.0</v>
      </c>
      <c r="AU465" s="2">
        <v>8.94947593304705</v>
      </c>
      <c r="AV465" s="2">
        <v>0.0</v>
      </c>
      <c r="AW465" s="2">
        <v>7.0</v>
      </c>
      <c r="AX465" s="2">
        <v>4.0</v>
      </c>
      <c r="AY465" s="2">
        <v>4.0</v>
      </c>
      <c r="AZ465" s="2">
        <v>0.0</v>
      </c>
      <c r="BA465" s="2">
        <v>0.0</v>
      </c>
      <c r="BB465" s="2">
        <v>26.0</v>
      </c>
      <c r="BC465" s="2">
        <v>1.0</v>
      </c>
      <c r="BD465" s="2">
        <v>37.0</v>
      </c>
      <c r="BE465" s="2">
        <v>2.0</v>
      </c>
      <c r="BF465" s="2">
        <v>3.0</v>
      </c>
      <c r="BG465" s="2">
        <v>0.0</v>
      </c>
      <c r="BH465" s="2">
        <v>0.0</v>
      </c>
      <c r="BI465" s="2">
        <v>0.0</v>
      </c>
      <c r="BJ465" s="2">
        <v>4.0</v>
      </c>
      <c r="BK465" s="2">
        <v>0.0</v>
      </c>
      <c r="BL465" s="2">
        <v>0.0</v>
      </c>
      <c r="BM465" s="2">
        <v>3.0</v>
      </c>
      <c r="BN465" s="2">
        <v>0.0</v>
      </c>
      <c r="BO465" s="2">
        <v>0.0</v>
      </c>
      <c r="BP465" s="2">
        <v>0.0</v>
      </c>
      <c r="BQ465" s="2">
        <v>0.0</v>
      </c>
      <c r="BR465" s="2">
        <v>1.0</v>
      </c>
      <c r="BS465" s="2">
        <v>-3.0</v>
      </c>
      <c r="BT465" s="2">
        <v>0.0</v>
      </c>
      <c r="BU465" s="2">
        <v>0.0</v>
      </c>
      <c r="BV465" s="2">
        <v>0.0</v>
      </c>
      <c r="BW465" s="2">
        <v>4.0</v>
      </c>
      <c r="BX465" s="2">
        <v>40.0</v>
      </c>
      <c r="BY465" s="2">
        <v>3.0</v>
      </c>
      <c r="BZ465" s="2">
        <v>1.0</v>
      </c>
      <c r="CA465" s="2">
        <v>2.0</v>
      </c>
      <c r="CB465" s="2">
        <v>1.0</v>
      </c>
      <c r="CC465" s="2">
        <v>3.0</v>
      </c>
      <c r="CD465" s="2">
        <v>1.0</v>
      </c>
      <c r="CE465" s="2">
        <v>0.0</v>
      </c>
      <c r="CF465" s="2">
        <v>0.0</v>
      </c>
      <c r="CG465" s="2">
        <v>4.0</v>
      </c>
      <c r="CH465" s="2">
        <v>106.0</v>
      </c>
      <c r="CI465" s="2">
        <v>3.0</v>
      </c>
      <c r="CJ465" s="2">
        <v>3.0</v>
      </c>
      <c r="CK465" s="2">
        <v>0.0</v>
      </c>
      <c r="CL465" s="2">
        <v>0.0</v>
      </c>
      <c r="CM465" s="2">
        <v>28.0</v>
      </c>
      <c r="CN465" s="2">
        <v>1.0</v>
      </c>
      <c r="CO465" s="2">
        <v>0.0</v>
      </c>
      <c r="CP465" s="2">
        <v>3.0</v>
      </c>
      <c r="CQ465" s="2">
        <v>0.0</v>
      </c>
      <c r="CR465" s="2">
        <v>0.0</v>
      </c>
      <c r="CS465" s="2">
        <v>0.0</v>
      </c>
      <c r="CT465" s="2">
        <v>0.0</v>
      </c>
      <c r="CU465" s="2">
        <v>0.0</v>
      </c>
      <c r="CV465" s="2">
        <v>0.0</v>
      </c>
      <c r="CW465" s="2">
        <v>0.0</v>
      </c>
      <c r="CX465" s="2">
        <v>0.0</v>
      </c>
      <c r="CY465" s="2">
        <v>0.0</v>
      </c>
      <c r="CZ465" s="2">
        <v>0.0</v>
      </c>
      <c r="DA465" s="2" t="s">
        <v>2250</v>
      </c>
      <c r="DD465" s="2">
        <v>76.0</v>
      </c>
      <c r="DE465" s="2">
        <v>0.0</v>
      </c>
      <c r="DF465" s="2">
        <v>0.0</v>
      </c>
      <c r="DG465" s="2">
        <v>1.0</v>
      </c>
      <c r="DH465" s="2">
        <v>1.0</v>
      </c>
      <c r="DI465" s="2">
        <v>0.0</v>
      </c>
      <c r="DJ465" s="2">
        <v>0.0</v>
      </c>
      <c r="DK465" s="2">
        <v>1.0</v>
      </c>
      <c r="DL465" s="2">
        <v>0.0</v>
      </c>
      <c r="DM465" s="2">
        <v>0.0</v>
      </c>
      <c r="DN465" s="2">
        <v>0.0</v>
      </c>
      <c r="DO465" s="2">
        <v>0.0</v>
      </c>
      <c r="DP465" s="2">
        <v>0.0</v>
      </c>
      <c r="DQ465" s="2">
        <v>0.0</v>
      </c>
      <c r="DR465" s="2">
        <v>0.0</v>
      </c>
      <c r="DT465" s="2">
        <v>0.0</v>
      </c>
      <c r="DU465" s="2">
        <v>0.0</v>
      </c>
      <c r="DV465" s="2">
        <v>0.0</v>
      </c>
      <c r="DW465" s="2">
        <v>0.0</v>
      </c>
      <c r="DX465" s="2">
        <v>0.0</v>
      </c>
      <c r="DY465" s="2">
        <v>0.0</v>
      </c>
      <c r="DZ465" s="2">
        <v>0.0</v>
      </c>
      <c r="EA465" s="2">
        <v>0.0</v>
      </c>
      <c r="EB465" s="2">
        <v>0.0</v>
      </c>
      <c r="EC465" s="2">
        <v>0.0</v>
      </c>
      <c r="EE465" s="2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2">
        <v>2025.0</v>
      </c>
      <c r="B466" s="2">
        <v>16.0</v>
      </c>
      <c r="C466" s="2" t="s">
        <v>140</v>
      </c>
      <c r="D466" s="2" t="s">
        <v>390</v>
      </c>
      <c r="E466" s="2" t="s">
        <v>1127</v>
      </c>
      <c r="F466" s="2" t="s">
        <v>222</v>
      </c>
      <c r="G466" s="2">
        <v>23.0</v>
      </c>
      <c r="H466" s="2">
        <v>35.0</v>
      </c>
      <c r="I466" s="2">
        <v>187.0</v>
      </c>
      <c r="J466" s="2">
        <v>1.0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305.0</v>
      </c>
      <c r="Q466" s="2">
        <v>57.0</v>
      </c>
      <c r="R466" s="2">
        <v>10.0</v>
      </c>
      <c r="S466" s="2">
        <v>2.88589461173985</v>
      </c>
      <c r="T466" s="2">
        <v>-1.51576531283996</v>
      </c>
      <c r="U466" s="2">
        <v>0.0</v>
      </c>
      <c r="V466" s="2">
        <v>7.0</v>
      </c>
      <c r="W466" s="2">
        <v>4.0</v>
      </c>
      <c r="X466" s="2">
        <v>2.0</v>
      </c>
      <c r="Y466" s="2">
        <v>0.0</v>
      </c>
      <c r="Z466" s="2">
        <v>26.0</v>
      </c>
      <c r="AA466" s="2">
        <v>83.0</v>
      </c>
      <c r="AB466" s="2">
        <v>0.0</v>
      </c>
      <c r="AC466" s="2">
        <v>1.0</v>
      </c>
      <c r="AD466" s="2">
        <v>0.0</v>
      </c>
      <c r="AE466" s="2">
        <v>4.0</v>
      </c>
      <c r="AF466" s="2">
        <v>-16.0165533908799</v>
      </c>
      <c r="AG466" s="2">
        <v>0.0</v>
      </c>
      <c r="AH466" s="2">
        <v>4.0</v>
      </c>
      <c r="AI466" s="2">
        <v>2.0</v>
      </c>
      <c r="AJ466" s="2">
        <v>1.0</v>
      </c>
      <c r="AK466" s="2">
        <v>0.0</v>
      </c>
      <c r="AL466" s="2">
        <v>23.0</v>
      </c>
      <c r="AM466" s="2">
        <v>34.0</v>
      </c>
      <c r="AN466" s="2">
        <v>187.0</v>
      </c>
      <c r="AO466" s="2">
        <v>1.0</v>
      </c>
      <c r="AP466" s="2">
        <v>0.0</v>
      </c>
      <c r="AQ466" s="2">
        <v>0.0</v>
      </c>
      <c r="AR466" s="2">
        <v>305.0</v>
      </c>
      <c r="AS466" s="2">
        <v>57.0</v>
      </c>
      <c r="AT466" s="2">
        <v>10.0</v>
      </c>
      <c r="AU466" s="2">
        <v>3.36041868515902</v>
      </c>
      <c r="AV466" s="2">
        <v>0.0</v>
      </c>
      <c r="AW466" s="2">
        <v>7.0</v>
      </c>
      <c r="AX466" s="2">
        <v>4.0</v>
      </c>
      <c r="AY466" s="2">
        <v>2.0</v>
      </c>
      <c r="AZ466" s="2">
        <v>0.0</v>
      </c>
      <c r="BA466" s="2">
        <v>0.0</v>
      </c>
      <c r="BB466" s="2">
        <v>30.0</v>
      </c>
      <c r="BC466" s="2">
        <v>2.0</v>
      </c>
      <c r="BD466" s="2">
        <v>40.0</v>
      </c>
      <c r="BE466" s="2">
        <v>4.0</v>
      </c>
      <c r="BF466" s="2">
        <v>34.0</v>
      </c>
      <c r="BG466" s="2">
        <v>1.0</v>
      </c>
      <c r="BH466" s="2">
        <v>3.0</v>
      </c>
      <c r="BI466" s="2">
        <v>31.0</v>
      </c>
      <c r="BJ466" s="2">
        <v>2.0</v>
      </c>
      <c r="BK466" s="2">
        <v>1.0</v>
      </c>
      <c r="BL466" s="2">
        <v>31.0</v>
      </c>
      <c r="BM466" s="2">
        <v>4.0</v>
      </c>
      <c r="BN466" s="2">
        <v>1.0</v>
      </c>
      <c r="BO466" s="2">
        <v>0.0</v>
      </c>
      <c r="BP466" s="2">
        <v>0.0</v>
      </c>
      <c r="BQ466" s="2">
        <v>0.0</v>
      </c>
      <c r="BR466" s="2">
        <v>1.0</v>
      </c>
      <c r="BS466" s="2">
        <v>-11.0</v>
      </c>
      <c r="BT466" s="2">
        <v>0.0</v>
      </c>
      <c r="BU466" s="2">
        <v>0.0</v>
      </c>
      <c r="BV466" s="2">
        <v>0.0</v>
      </c>
      <c r="BW466" s="2">
        <v>4.0</v>
      </c>
      <c r="BX466" s="2">
        <v>29.0</v>
      </c>
      <c r="BY466" s="2">
        <v>3.0</v>
      </c>
      <c r="BZ466" s="2">
        <v>0.0</v>
      </c>
      <c r="CA466" s="2">
        <v>1.0</v>
      </c>
      <c r="CB466" s="2">
        <v>0.0</v>
      </c>
      <c r="CC466" s="2">
        <v>1.0</v>
      </c>
      <c r="CD466" s="2">
        <v>0.0</v>
      </c>
      <c r="CE466" s="2">
        <v>2.0</v>
      </c>
      <c r="CF466" s="2">
        <v>19.0</v>
      </c>
      <c r="CG466" s="2">
        <v>4.0</v>
      </c>
      <c r="CH466" s="2">
        <v>88.0</v>
      </c>
      <c r="CI466" s="2">
        <v>3.0</v>
      </c>
      <c r="CJ466" s="2">
        <v>3.0</v>
      </c>
      <c r="CK466" s="2">
        <v>0.0</v>
      </c>
      <c r="CL466" s="2">
        <v>0.0</v>
      </c>
      <c r="CM466" s="2">
        <v>55.0</v>
      </c>
      <c r="CN466" s="2">
        <v>1.0</v>
      </c>
      <c r="CO466" s="2">
        <v>0.0</v>
      </c>
      <c r="CP466" s="2">
        <v>0.0</v>
      </c>
      <c r="CQ466" s="2">
        <v>0.0</v>
      </c>
      <c r="CR466" s="2">
        <v>1.0</v>
      </c>
      <c r="CS466" s="2">
        <v>2.0</v>
      </c>
      <c r="CT466" s="2">
        <v>0.0</v>
      </c>
      <c r="CU466" s="2">
        <v>0.0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 t="s">
        <v>2251</v>
      </c>
      <c r="DD466" s="2">
        <v>154.0</v>
      </c>
      <c r="DE466" s="2">
        <v>0.0</v>
      </c>
      <c r="DF466" s="2">
        <v>0.0</v>
      </c>
      <c r="DG466" s="2">
        <v>2.0</v>
      </c>
      <c r="DH466" s="2">
        <v>2.0</v>
      </c>
      <c r="DI466" s="2">
        <v>0.0</v>
      </c>
      <c r="DJ466" s="2">
        <v>0.0</v>
      </c>
      <c r="DK466" s="2">
        <v>1.0</v>
      </c>
      <c r="DL466" s="2">
        <v>0.0</v>
      </c>
      <c r="DM466" s="2">
        <v>0.0</v>
      </c>
      <c r="DN466" s="2">
        <v>0.0</v>
      </c>
      <c r="DO466" s="2">
        <v>0.0</v>
      </c>
      <c r="DP466" s="2">
        <v>0.0</v>
      </c>
      <c r="DQ466" s="2">
        <v>5.0</v>
      </c>
      <c r="DR466" s="2">
        <v>0.0</v>
      </c>
      <c r="DS466" s="2">
        <v>57.0</v>
      </c>
      <c r="DT466" s="2">
        <v>258.0</v>
      </c>
      <c r="DU466" s="2">
        <v>1.0</v>
      </c>
      <c r="DV466" s="2">
        <v>1.0</v>
      </c>
      <c r="DW466" s="2">
        <v>0.0</v>
      </c>
      <c r="DX466" s="2">
        <v>0.0</v>
      </c>
      <c r="DY466" s="2">
        <v>0.0</v>
      </c>
      <c r="DZ466" s="2">
        <v>4.0</v>
      </c>
      <c r="EA466" s="2">
        <v>23.0</v>
      </c>
      <c r="EB466" s="2">
        <v>0.0</v>
      </c>
      <c r="EC466" s="2">
        <v>235.0</v>
      </c>
      <c r="EE466" s="2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2">
        <v>2025.0</v>
      </c>
      <c r="B467" s="2">
        <v>16.0</v>
      </c>
      <c r="C467" s="2" t="s">
        <v>210</v>
      </c>
      <c r="D467" s="2" t="s">
        <v>390</v>
      </c>
      <c r="E467" s="2" t="s">
        <v>1133</v>
      </c>
      <c r="F467" s="2" t="s">
        <v>246</v>
      </c>
      <c r="G467" s="2">
        <v>23.0</v>
      </c>
      <c r="H467" s="2">
        <v>36.0</v>
      </c>
      <c r="I467" s="2">
        <v>277.0</v>
      </c>
      <c r="J467" s="2">
        <v>2.0</v>
      </c>
      <c r="K467" s="2">
        <v>1.0</v>
      </c>
      <c r="L467" s="2">
        <v>2.0</v>
      </c>
      <c r="M467" s="2">
        <v>-23.0</v>
      </c>
      <c r="N467" s="2">
        <v>1.0</v>
      </c>
      <c r="O467" s="2">
        <v>0.0</v>
      </c>
      <c r="P467" s="2">
        <v>337.0</v>
      </c>
      <c r="Q467" s="2">
        <v>127.0</v>
      </c>
      <c r="R467" s="2">
        <v>13.0</v>
      </c>
      <c r="S467" s="2">
        <v>-0.374877446894193</v>
      </c>
      <c r="T467" s="2">
        <v>-3.31393447187212</v>
      </c>
      <c r="U467" s="2">
        <v>0.0</v>
      </c>
      <c r="V467" s="2">
        <v>13.0</v>
      </c>
      <c r="W467" s="2">
        <v>7.0</v>
      </c>
      <c r="X467" s="2">
        <v>2.0</v>
      </c>
      <c r="Y467" s="2">
        <v>0.0</v>
      </c>
      <c r="Z467" s="2">
        <v>20.0</v>
      </c>
      <c r="AA467" s="2">
        <v>58.0</v>
      </c>
      <c r="AB467" s="2">
        <v>1.0</v>
      </c>
      <c r="AC467" s="2">
        <v>0.0</v>
      </c>
      <c r="AD467" s="2">
        <v>0.0</v>
      </c>
      <c r="AE467" s="2">
        <v>4.0</v>
      </c>
      <c r="AF467" s="2">
        <v>-1.75839423300931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23.0</v>
      </c>
      <c r="AM467" s="2">
        <v>36.0</v>
      </c>
      <c r="AN467" s="2">
        <v>277.0</v>
      </c>
      <c r="AO467" s="2">
        <v>2.0</v>
      </c>
      <c r="AP467" s="2">
        <v>0.0</v>
      </c>
      <c r="AQ467" s="2">
        <v>0.0</v>
      </c>
      <c r="AR467" s="2">
        <v>337.0</v>
      </c>
      <c r="AS467" s="2">
        <v>127.0</v>
      </c>
      <c r="AT467" s="2">
        <v>13.0</v>
      </c>
      <c r="AU467" s="2">
        <v>4.00600902924348</v>
      </c>
      <c r="AV467" s="2">
        <v>0.0</v>
      </c>
      <c r="AW467" s="2">
        <v>13.0</v>
      </c>
      <c r="AX467" s="2">
        <v>7.0</v>
      </c>
      <c r="AY467" s="2">
        <v>2.0</v>
      </c>
      <c r="AZ467" s="2">
        <v>0.0</v>
      </c>
      <c r="BA467" s="2">
        <v>0.0</v>
      </c>
      <c r="BB467" s="2">
        <v>44.0</v>
      </c>
      <c r="BC467" s="2">
        <v>2.0</v>
      </c>
      <c r="BD467" s="2">
        <v>20.0</v>
      </c>
      <c r="BE467" s="2">
        <v>3.0</v>
      </c>
      <c r="BF467" s="2">
        <v>3.0</v>
      </c>
      <c r="BG467" s="2">
        <v>1.0</v>
      </c>
      <c r="BH467" s="2">
        <v>1.0</v>
      </c>
      <c r="BI467" s="2">
        <v>0.0</v>
      </c>
      <c r="BJ467" s="2">
        <v>1.0</v>
      </c>
      <c r="BK467" s="2">
        <v>1.0</v>
      </c>
      <c r="BL467" s="2">
        <v>8.0</v>
      </c>
      <c r="BM467" s="2">
        <v>5.0</v>
      </c>
      <c r="BN467" s="2">
        <v>0.0</v>
      </c>
      <c r="BO467" s="2">
        <v>0.0</v>
      </c>
      <c r="BP467" s="2">
        <v>0.0</v>
      </c>
      <c r="BQ467" s="2">
        <v>0.0</v>
      </c>
      <c r="BR467" s="2">
        <v>1.0</v>
      </c>
      <c r="BS467" s="2">
        <v>0.0</v>
      </c>
      <c r="BT467" s="2">
        <v>0.0</v>
      </c>
      <c r="BU467" s="2">
        <v>0.0</v>
      </c>
      <c r="BV467" s="2">
        <v>0.0</v>
      </c>
      <c r="BW467" s="2">
        <v>6.0</v>
      </c>
      <c r="BX467" s="2">
        <v>45.0</v>
      </c>
      <c r="BY467" s="2">
        <v>3.0</v>
      </c>
      <c r="BZ467" s="2">
        <v>2.0</v>
      </c>
      <c r="CA467" s="2">
        <v>0.0</v>
      </c>
      <c r="CB467" s="2">
        <v>0.0</v>
      </c>
      <c r="CC467" s="2">
        <v>2.0</v>
      </c>
      <c r="CD467" s="2">
        <v>1.0</v>
      </c>
      <c r="CE467" s="2">
        <v>0.0</v>
      </c>
      <c r="CF467" s="2">
        <v>0.0</v>
      </c>
      <c r="CG467" s="2">
        <v>6.0</v>
      </c>
      <c r="CH467" s="2">
        <v>166.0</v>
      </c>
      <c r="CI467" s="2">
        <v>2.0</v>
      </c>
      <c r="CJ467" s="2">
        <v>2.0</v>
      </c>
      <c r="CK467" s="2">
        <v>0.0</v>
      </c>
      <c r="CL467" s="2">
        <v>0.0</v>
      </c>
      <c r="CM467" s="2">
        <v>51.0</v>
      </c>
      <c r="CN467" s="2">
        <v>1.0</v>
      </c>
      <c r="CO467" s="2">
        <v>0.0</v>
      </c>
      <c r="CP467" s="2">
        <v>0.0</v>
      </c>
      <c r="CQ467" s="2">
        <v>1.0</v>
      </c>
      <c r="CR467" s="2">
        <v>0.0</v>
      </c>
      <c r="CS467" s="2">
        <v>1.0</v>
      </c>
      <c r="CT467" s="2">
        <v>0.0</v>
      </c>
      <c r="CU467" s="2">
        <v>0.0</v>
      </c>
      <c r="CV467" s="2">
        <v>0.0</v>
      </c>
      <c r="CW467" s="2">
        <v>0.0</v>
      </c>
      <c r="CX467" s="2">
        <v>0.0</v>
      </c>
      <c r="CY467" s="2">
        <v>0.0</v>
      </c>
      <c r="CZ467" s="2">
        <v>0.0</v>
      </c>
      <c r="DA467" s="2" t="s">
        <v>2252</v>
      </c>
      <c r="DD467" s="2">
        <v>90.0</v>
      </c>
      <c r="DE467" s="2">
        <v>0.0</v>
      </c>
      <c r="DF467" s="2">
        <v>0.0</v>
      </c>
      <c r="DG467" s="2">
        <v>3.0</v>
      </c>
      <c r="DH467" s="2">
        <v>3.0</v>
      </c>
      <c r="DI467" s="2">
        <v>0.0</v>
      </c>
      <c r="DJ467" s="2">
        <v>0.0</v>
      </c>
      <c r="DK467" s="2">
        <v>1.0</v>
      </c>
      <c r="DL467" s="2">
        <v>0.0</v>
      </c>
      <c r="DM467" s="2">
        <v>0.0</v>
      </c>
      <c r="DN467" s="2">
        <v>0.0</v>
      </c>
      <c r="DO467" s="2">
        <v>0.0</v>
      </c>
      <c r="DP467" s="2">
        <v>0.0</v>
      </c>
      <c r="DQ467" s="2">
        <v>2.0</v>
      </c>
      <c r="DR467" s="2">
        <v>0.0</v>
      </c>
      <c r="DS467" s="2">
        <v>54.0</v>
      </c>
      <c r="DT467" s="2">
        <v>101.0</v>
      </c>
      <c r="DU467" s="2">
        <v>1.0</v>
      </c>
      <c r="DV467" s="2">
        <v>0.0</v>
      </c>
      <c r="DW467" s="2">
        <v>0.0</v>
      </c>
      <c r="DX467" s="2">
        <v>0.0</v>
      </c>
      <c r="DY467" s="2">
        <v>1.0</v>
      </c>
      <c r="DZ467" s="2">
        <v>1.0</v>
      </c>
      <c r="EA467" s="2">
        <v>8.0</v>
      </c>
      <c r="EB467" s="2">
        <v>0.0</v>
      </c>
      <c r="EC467" s="2">
        <v>93.0</v>
      </c>
      <c r="EE467" s="2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2">
        <v>2025.0</v>
      </c>
      <c r="B468" s="2">
        <v>16.0</v>
      </c>
      <c r="C468" s="2" t="s">
        <v>141</v>
      </c>
      <c r="D468" s="2" t="s">
        <v>390</v>
      </c>
      <c r="E468" s="2" t="s">
        <v>1123</v>
      </c>
      <c r="F468" s="2" t="s">
        <v>139</v>
      </c>
      <c r="G468" s="2">
        <v>23.0</v>
      </c>
      <c r="H468" s="2">
        <v>36.0</v>
      </c>
      <c r="I468" s="2">
        <v>279.0</v>
      </c>
      <c r="J468" s="2">
        <v>3.0</v>
      </c>
      <c r="K468" s="2">
        <v>0.0</v>
      </c>
      <c r="L468" s="2">
        <v>5.0</v>
      </c>
      <c r="M468" s="2">
        <v>-14.0</v>
      </c>
      <c r="N468" s="2">
        <v>0.0</v>
      </c>
      <c r="O468" s="2">
        <v>0.0</v>
      </c>
      <c r="P468" s="2">
        <v>281.0</v>
      </c>
      <c r="Q468" s="2">
        <v>145.0</v>
      </c>
      <c r="R468" s="2">
        <v>12.0</v>
      </c>
      <c r="S468" s="2">
        <v>9.17898456061692</v>
      </c>
      <c r="T468" s="2">
        <v>5.51107010671071</v>
      </c>
      <c r="U468" s="2">
        <v>0.0</v>
      </c>
      <c r="V468" s="2">
        <v>10.0</v>
      </c>
      <c r="W468" s="2">
        <v>6.0</v>
      </c>
      <c r="X468" s="2">
        <v>6.0</v>
      </c>
      <c r="Y468" s="2">
        <v>1.0</v>
      </c>
      <c r="Z468" s="2">
        <v>27.0</v>
      </c>
      <c r="AA468" s="2">
        <v>81.0</v>
      </c>
      <c r="AB468" s="2">
        <v>1.0</v>
      </c>
      <c r="AC468" s="2">
        <v>0.0</v>
      </c>
      <c r="AD468" s="2">
        <v>0.0</v>
      </c>
      <c r="AE468" s="2">
        <v>7.0</v>
      </c>
      <c r="AF468" s="2">
        <v>-3.218067428621</v>
      </c>
      <c r="AG468" s="2">
        <v>0.0</v>
      </c>
      <c r="AH468" s="2">
        <v>3.0</v>
      </c>
      <c r="AI468" s="2">
        <v>1.0</v>
      </c>
      <c r="AJ468" s="2">
        <v>1.0</v>
      </c>
      <c r="AK468" s="2">
        <v>0.0</v>
      </c>
      <c r="AL468" s="2">
        <v>23.0</v>
      </c>
      <c r="AM468" s="2">
        <v>35.0</v>
      </c>
      <c r="AN468" s="2">
        <v>279.0</v>
      </c>
      <c r="AO468" s="2">
        <v>3.0</v>
      </c>
      <c r="AP468" s="2">
        <v>0.0</v>
      </c>
      <c r="AQ468" s="2">
        <v>0.0</v>
      </c>
      <c r="AR468" s="2">
        <v>281.0</v>
      </c>
      <c r="AS468" s="2">
        <v>145.0</v>
      </c>
      <c r="AT468" s="2">
        <v>12.0</v>
      </c>
      <c r="AU468" s="2">
        <v>15.4559213069987</v>
      </c>
      <c r="AV468" s="2">
        <v>0.0</v>
      </c>
      <c r="AW468" s="2">
        <v>10.0</v>
      </c>
      <c r="AX468" s="2">
        <v>6.0</v>
      </c>
      <c r="AY468" s="2">
        <v>6.0</v>
      </c>
      <c r="AZ468" s="2">
        <v>1.0</v>
      </c>
      <c r="BA468" s="2">
        <v>0.0</v>
      </c>
      <c r="BB468" s="2">
        <v>40.0</v>
      </c>
      <c r="BC468" s="2">
        <v>0.0</v>
      </c>
      <c r="BD468" s="2">
        <v>16.0</v>
      </c>
      <c r="BE468" s="2">
        <v>3.0</v>
      </c>
      <c r="BF468" s="2">
        <v>13.0</v>
      </c>
      <c r="BG468" s="2">
        <v>0.0</v>
      </c>
      <c r="BH468" s="2">
        <v>1.0</v>
      </c>
      <c r="BI468" s="2">
        <v>8.0</v>
      </c>
      <c r="BJ468" s="2">
        <v>5.0</v>
      </c>
      <c r="BK468" s="2">
        <v>1.0</v>
      </c>
      <c r="BL468" s="2">
        <v>0.0</v>
      </c>
      <c r="BM468" s="2">
        <v>7.0</v>
      </c>
      <c r="BN468" s="2">
        <v>0.0</v>
      </c>
      <c r="BO468" s="2">
        <v>0.0</v>
      </c>
      <c r="BP468" s="2">
        <v>0.0</v>
      </c>
      <c r="BQ468" s="2">
        <v>0.0</v>
      </c>
      <c r="BR468" s="2">
        <v>0.0</v>
      </c>
      <c r="BS468" s="2">
        <v>0.0</v>
      </c>
      <c r="BT468" s="2">
        <v>1.0</v>
      </c>
      <c r="BU468" s="2">
        <v>0.0</v>
      </c>
      <c r="BV468" s="2">
        <v>0.0</v>
      </c>
      <c r="BW468" s="2">
        <v>2.0</v>
      </c>
      <c r="BX468" s="2">
        <v>20.0</v>
      </c>
      <c r="BY468" s="2">
        <v>4.0</v>
      </c>
      <c r="BZ468" s="2">
        <v>0.0</v>
      </c>
      <c r="CA468" s="2">
        <v>0.0</v>
      </c>
      <c r="CB468" s="2">
        <v>0.0</v>
      </c>
      <c r="CC468" s="2">
        <v>0.0</v>
      </c>
      <c r="CD468" s="2">
        <v>0.0</v>
      </c>
      <c r="CE468" s="2">
        <v>1.0</v>
      </c>
      <c r="CF468" s="2">
        <v>2.0</v>
      </c>
      <c r="CG468" s="2">
        <v>5.0</v>
      </c>
      <c r="CH468" s="2">
        <v>139.0</v>
      </c>
      <c r="CI468" s="2">
        <v>2.0</v>
      </c>
      <c r="CJ468" s="2">
        <v>2.0</v>
      </c>
      <c r="CK468" s="2">
        <v>0.0</v>
      </c>
      <c r="CL468" s="2">
        <v>0.0</v>
      </c>
      <c r="CM468" s="2">
        <v>47.0</v>
      </c>
      <c r="CN468" s="2">
        <v>1.0</v>
      </c>
      <c r="CO468" s="2">
        <v>0.0</v>
      </c>
      <c r="CP468" s="2">
        <v>1.0</v>
      </c>
      <c r="CQ468" s="2">
        <v>0.0</v>
      </c>
      <c r="CR468" s="2">
        <v>1.0</v>
      </c>
      <c r="CS468" s="2">
        <v>0.0</v>
      </c>
      <c r="CT468" s="2">
        <v>0.0</v>
      </c>
      <c r="CU468" s="2">
        <v>0.0</v>
      </c>
      <c r="CV468" s="2">
        <v>0.0</v>
      </c>
      <c r="CW468" s="2">
        <v>0.0</v>
      </c>
      <c r="CX468" s="2">
        <v>0.0</v>
      </c>
      <c r="CY468" s="2">
        <v>0.0</v>
      </c>
      <c r="CZ468" s="2">
        <v>0.0</v>
      </c>
      <c r="DA468" s="2" t="s">
        <v>2253</v>
      </c>
      <c r="DD468" s="2">
        <v>73.0</v>
      </c>
      <c r="DE468" s="2">
        <v>0.0</v>
      </c>
      <c r="DF468" s="2">
        <v>0.0</v>
      </c>
      <c r="DG468" s="2">
        <v>4.0</v>
      </c>
      <c r="DH468" s="2">
        <v>4.0</v>
      </c>
      <c r="DI468" s="2">
        <v>0.0</v>
      </c>
      <c r="DJ468" s="2">
        <v>0.0</v>
      </c>
      <c r="DK468" s="2">
        <v>1.0</v>
      </c>
      <c r="DL468" s="2">
        <v>0.0</v>
      </c>
      <c r="DM468" s="2">
        <v>0.0</v>
      </c>
      <c r="DN468" s="2">
        <v>0.0</v>
      </c>
      <c r="DO468" s="2">
        <v>0.0</v>
      </c>
      <c r="DP468" s="2">
        <v>0.0</v>
      </c>
      <c r="DQ468" s="2">
        <v>6.0</v>
      </c>
      <c r="DR468" s="2">
        <v>0.0</v>
      </c>
      <c r="DS468" s="2">
        <v>63.0</v>
      </c>
      <c r="DT468" s="2">
        <v>312.0</v>
      </c>
      <c r="DU468" s="2">
        <v>4.0</v>
      </c>
      <c r="DV468" s="2">
        <v>2.0</v>
      </c>
      <c r="DW468" s="2">
        <v>1.0</v>
      </c>
      <c r="DX468" s="2">
        <v>1.0</v>
      </c>
      <c r="DY468" s="2">
        <v>0.0</v>
      </c>
      <c r="DZ468" s="2">
        <v>2.0</v>
      </c>
      <c r="EA468" s="2">
        <v>14.0</v>
      </c>
      <c r="EB468" s="2">
        <v>0.0</v>
      </c>
      <c r="EC468" s="2">
        <v>278.0</v>
      </c>
      <c r="EE468" s="2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2">
        <v>2025.0</v>
      </c>
      <c r="B469" s="2">
        <v>16.0</v>
      </c>
      <c r="C469" s="2" t="s">
        <v>143</v>
      </c>
      <c r="D469" s="2" t="s">
        <v>390</v>
      </c>
      <c r="E469" s="2" t="s">
        <v>1117</v>
      </c>
      <c r="F469" s="2" t="s">
        <v>250</v>
      </c>
      <c r="G469" s="2">
        <v>14.0</v>
      </c>
      <c r="H469" s="2">
        <v>24.0</v>
      </c>
      <c r="I469" s="2">
        <v>126.0</v>
      </c>
      <c r="J469" s="2">
        <v>0.0</v>
      </c>
      <c r="K469" s="2">
        <v>0.0</v>
      </c>
      <c r="L469" s="2">
        <v>4.0</v>
      </c>
      <c r="M469" s="2">
        <v>-44.0</v>
      </c>
      <c r="N469" s="2">
        <v>1.0</v>
      </c>
      <c r="O469" s="2">
        <v>0.0</v>
      </c>
      <c r="P469" s="2">
        <v>112.0</v>
      </c>
      <c r="Q469" s="2">
        <v>90.0</v>
      </c>
      <c r="R469" s="2">
        <v>5.0</v>
      </c>
      <c r="S469" s="2">
        <v>-11.1314965106357</v>
      </c>
      <c r="T469" s="2">
        <v>-12.681263143366</v>
      </c>
      <c r="U469" s="2">
        <v>0.0</v>
      </c>
      <c r="V469" s="2">
        <v>5.0</v>
      </c>
      <c r="W469" s="2">
        <v>3.0</v>
      </c>
      <c r="X469" s="2">
        <v>2.0</v>
      </c>
      <c r="Y469" s="2">
        <v>0.0</v>
      </c>
      <c r="Z469" s="2">
        <v>15.0</v>
      </c>
      <c r="AA469" s="2">
        <v>51.0</v>
      </c>
      <c r="AB469" s="2">
        <v>0.0</v>
      </c>
      <c r="AC469" s="2">
        <v>0.0</v>
      </c>
      <c r="AD469" s="2">
        <v>0.0</v>
      </c>
      <c r="AE469" s="2">
        <v>3.0</v>
      </c>
      <c r="AF469" s="2">
        <v>-2.30617374152644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14.0</v>
      </c>
      <c r="AM469" s="2">
        <v>22.0</v>
      </c>
      <c r="AN469" s="2">
        <v>126.0</v>
      </c>
      <c r="AO469" s="2">
        <v>0.0</v>
      </c>
      <c r="AP469" s="2">
        <v>0.0</v>
      </c>
      <c r="AQ469" s="2">
        <v>0.0</v>
      </c>
      <c r="AR469" s="2">
        <v>112.0</v>
      </c>
      <c r="AS469" s="2">
        <v>90.0</v>
      </c>
      <c r="AT469" s="2">
        <v>5.0</v>
      </c>
      <c r="AU469" s="2">
        <v>-4.4655390528423</v>
      </c>
      <c r="AV469" s="2">
        <v>0.0</v>
      </c>
      <c r="AW469" s="2">
        <v>5.0</v>
      </c>
      <c r="AX469" s="2">
        <v>3.0</v>
      </c>
      <c r="AY469" s="2">
        <v>2.0</v>
      </c>
      <c r="AZ469" s="2">
        <v>0.0</v>
      </c>
      <c r="BA469" s="2">
        <v>0.0</v>
      </c>
      <c r="BB469" s="2">
        <v>39.0</v>
      </c>
      <c r="BC469" s="2">
        <v>2.0</v>
      </c>
      <c r="BD469" s="2">
        <v>52.0</v>
      </c>
      <c r="BE469" s="2">
        <v>3.0</v>
      </c>
      <c r="BF469" s="2">
        <v>18.0</v>
      </c>
      <c r="BG469" s="2">
        <v>1.0</v>
      </c>
      <c r="BH469" s="2">
        <v>2.0</v>
      </c>
      <c r="BI469" s="2">
        <v>16.0</v>
      </c>
      <c r="BJ469" s="2">
        <v>5.0</v>
      </c>
      <c r="BK469" s="2">
        <v>0.0</v>
      </c>
      <c r="BL469" s="2">
        <v>0.0</v>
      </c>
      <c r="BM469" s="2">
        <v>0.0</v>
      </c>
      <c r="BN469" s="2">
        <v>0.0</v>
      </c>
      <c r="BO469" s="2">
        <v>1.0</v>
      </c>
      <c r="BP469" s="2">
        <v>0.0</v>
      </c>
      <c r="BQ469" s="2">
        <v>0.0</v>
      </c>
      <c r="BR469" s="2">
        <v>2.0</v>
      </c>
      <c r="BS469" s="2">
        <v>0.0</v>
      </c>
      <c r="BT469" s="2">
        <v>0.0</v>
      </c>
      <c r="BU469" s="2">
        <v>0.0</v>
      </c>
      <c r="BV469" s="2">
        <v>0.0</v>
      </c>
      <c r="BW469" s="2">
        <v>10.0</v>
      </c>
      <c r="BX469" s="2">
        <v>59.0</v>
      </c>
      <c r="BY469" s="2">
        <v>6.0</v>
      </c>
      <c r="BZ469" s="2">
        <v>1.0</v>
      </c>
      <c r="CA469" s="2">
        <v>1.0</v>
      </c>
      <c r="CB469" s="2">
        <v>0.0</v>
      </c>
      <c r="CC469" s="2">
        <v>2.0</v>
      </c>
      <c r="CD469" s="2">
        <v>0.0</v>
      </c>
      <c r="CE469" s="2">
        <v>2.0</v>
      </c>
      <c r="CF469" s="2">
        <v>31.0</v>
      </c>
      <c r="CG469" s="2">
        <v>4.0</v>
      </c>
      <c r="CH469" s="2">
        <v>95.0</v>
      </c>
      <c r="CI469" s="2">
        <v>3.0</v>
      </c>
      <c r="CJ469" s="2">
        <v>4.0</v>
      </c>
      <c r="CK469" s="2">
        <v>1.0</v>
      </c>
      <c r="CL469" s="2">
        <v>0.0</v>
      </c>
      <c r="CM469" s="2">
        <v>54.0</v>
      </c>
      <c r="CN469" s="2">
        <v>0.75</v>
      </c>
      <c r="CO469" s="2">
        <v>0.0</v>
      </c>
      <c r="CP469" s="2">
        <v>1.0</v>
      </c>
      <c r="CQ469" s="2">
        <v>0.0</v>
      </c>
      <c r="CR469" s="2">
        <v>1.0</v>
      </c>
      <c r="CS469" s="2">
        <v>1.0</v>
      </c>
      <c r="CT469" s="2">
        <v>0.0</v>
      </c>
      <c r="CU469" s="2">
        <v>0.0</v>
      </c>
      <c r="CV469" s="2">
        <v>0.0</v>
      </c>
      <c r="CW469" s="2">
        <v>0.0</v>
      </c>
      <c r="CX469" s="2">
        <v>0.0</v>
      </c>
      <c r="CY469" s="2">
        <v>1.0</v>
      </c>
      <c r="CZ469" s="2">
        <v>0.0</v>
      </c>
      <c r="DA469" s="2" t="s">
        <v>2254</v>
      </c>
      <c r="DB469" s="2" t="s">
        <v>2015</v>
      </c>
      <c r="DD469" s="2">
        <v>122.0</v>
      </c>
      <c r="DE469" s="2">
        <v>51.0</v>
      </c>
      <c r="DF469" s="2">
        <v>0.0</v>
      </c>
      <c r="DG469" s="2">
        <v>0.0</v>
      </c>
      <c r="DH469" s="2">
        <v>0.0</v>
      </c>
      <c r="DI469" s="2">
        <v>0.0</v>
      </c>
      <c r="DJ469" s="2">
        <v>0.0</v>
      </c>
      <c r="DL469" s="2">
        <v>0.0</v>
      </c>
      <c r="DM469" s="2">
        <v>0.0</v>
      </c>
      <c r="DN469" s="2">
        <v>0.0</v>
      </c>
      <c r="DO469" s="2">
        <v>0.0</v>
      </c>
      <c r="DP469" s="2">
        <v>0.0</v>
      </c>
      <c r="DQ469" s="2">
        <v>5.0</v>
      </c>
      <c r="DR469" s="2">
        <v>0.0</v>
      </c>
      <c r="DS469" s="2">
        <v>54.0</v>
      </c>
      <c r="DT469" s="2">
        <v>219.0</v>
      </c>
      <c r="DU469" s="2">
        <v>1.0</v>
      </c>
      <c r="DV469" s="2">
        <v>0.0</v>
      </c>
      <c r="DW469" s="2">
        <v>0.0</v>
      </c>
      <c r="DX469" s="2">
        <v>0.0</v>
      </c>
      <c r="DY469" s="2">
        <v>2.0</v>
      </c>
      <c r="DZ469" s="2">
        <v>3.0</v>
      </c>
      <c r="EA469" s="2">
        <v>23.0</v>
      </c>
      <c r="EB469" s="2">
        <v>0.0</v>
      </c>
      <c r="EC469" s="2">
        <v>196.0</v>
      </c>
      <c r="EE469" s="2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2">
        <v>2025.0</v>
      </c>
      <c r="B470" s="2">
        <v>16.0</v>
      </c>
      <c r="C470" s="2" t="s">
        <v>142</v>
      </c>
      <c r="D470" s="2" t="s">
        <v>390</v>
      </c>
      <c r="E470" s="2" t="s">
        <v>1094</v>
      </c>
      <c r="F470" s="2" t="s">
        <v>149</v>
      </c>
      <c r="G470" s="2">
        <v>29.0</v>
      </c>
      <c r="H470" s="2">
        <v>49.0</v>
      </c>
      <c r="I470" s="2">
        <v>457.0</v>
      </c>
      <c r="J470" s="2">
        <v>3.0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477.0</v>
      </c>
      <c r="Q470" s="2">
        <v>208.0</v>
      </c>
      <c r="R470" s="2">
        <v>17.0</v>
      </c>
      <c r="S470" s="2">
        <v>26.139787061896</v>
      </c>
      <c r="T470" s="2">
        <v>-2.74462575713793</v>
      </c>
      <c r="U470" s="2">
        <v>0.0</v>
      </c>
      <c r="V470" s="2">
        <v>13.0</v>
      </c>
      <c r="W470" s="2">
        <v>10.0</v>
      </c>
      <c r="X470" s="2">
        <v>7.0</v>
      </c>
      <c r="Y470" s="2">
        <v>4.0</v>
      </c>
      <c r="Z470" s="2">
        <v>39.0</v>
      </c>
      <c r="AA470" s="2">
        <v>124.0</v>
      </c>
      <c r="AB470" s="2">
        <v>1.0</v>
      </c>
      <c r="AC470" s="2">
        <v>0.0</v>
      </c>
      <c r="AD470" s="2">
        <v>0.0</v>
      </c>
      <c r="AE470" s="2">
        <v>7.0</v>
      </c>
      <c r="AF470" s="2">
        <v>-4.68388556537684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29.0</v>
      </c>
      <c r="AM470" s="2">
        <v>48.0</v>
      </c>
      <c r="AN470" s="2">
        <v>457.0</v>
      </c>
      <c r="AO470" s="2">
        <v>3.0</v>
      </c>
      <c r="AP470" s="2">
        <v>0.0</v>
      </c>
      <c r="AQ470" s="2">
        <v>0.0</v>
      </c>
      <c r="AR470" s="2">
        <v>477.0</v>
      </c>
      <c r="AS470" s="2">
        <v>208.0</v>
      </c>
      <c r="AT470" s="2">
        <v>17.0</v>
      </c>
      <c r="AU470" s="2">
        <v>26.4512396646308</v>
      </c>
      <c r="AV470" s="2">
        <v>0.0</v>
      </c>
      <c r="AW470" s="2">
        <v>13.0</v>
      </c>
      <c r="AX470" s="2">
        <v>10.0</v>
      </c>
      <c r="AY470" s="2">
        <v>7.0</v>
      </c>
      <c r="AZ470" s="2">
        <v>4.0</v>
      </c>
      <c r="BA470" s="2">
        <v>0.0</v>
      </c>
      <c r="BB470" s="2">
        <v>33.0</v>
      </c>
      <c r="BC470" s="2">
        <v>0.0</v>
      </c>
      <c r="BD470" s="2">
        <v>24.0</v>
      </c>
      <c r="BE470" s="2">
        <v>3.0</v>
      </c>
      <c r="BF470" s="2">
        <v>17.0</v>
      </c>
      <c r="BG470" s="2">
        <v>1.0</v>
      </c>
      <c r="BH470" s="2">
        <v>4.0</v>
      </c>
      <c r="BI470" s="2">
        <v>26.0</v>
      </c>
      <c r="BJ470" s="2">
        <v>7.0</v>
      </c>
      <c r="BK470" s="2">
        <v>2.0</v>
      </c>
      <c r="BL470" s="2">
        <v>66.0</v>
      </c>
      <c r="BM470" s="2">
        <v>4.0</v>
      </c>
      <c r="BN470" s="2">
        <v>0.0</v>
      </c>
      <c r="BO470" s="2">
        <v>0.0</v>
      </c>
      <c r="BP470" s="2">
        <v>0.0</v>
      </c>
      <c r="BQ470" s="2">
        <v>0.0</v>
      </c>
      <c r="BR470" s="2">
        <v>0.0</v>
      </c>
      <c r="BS470" s="2">
        <v>0.0</v>
      </c>
      <c r="BT470" s="2">
        <v>1.0</v>
      </c>
      <c r="BU470" s="2">
        <v>0.0</v>
      </c>
      <c r="BV470" s="2">
        <v>0.0</v>
      </c>
      <c r="BW470" s="2">
        <v>8.0</v>
      </c>
      <c r="BX470" s="2">
        <v>54.0</v>
      </c>
      <c r="BY470" s="2">
        <v>5.0</v>
      </c>
      <c r="BZ470" s="2">
        <v>0.0</v>
      </c>
      <c r="CA470" s="2">
        <v>0.0</v>
      </c>
      <c r="CB470" s="2">
        <v>0.0</v>
      </c>
      <c r="CC470" s="2">
        <v>0.0</v>
      </c>
      <c r="CD470" s="2">
        <v>0.0</v>
      </c>
      <c r="CE470" s="2">
        <v>1.0</v>
      </c>
      <c r="CF470" s="2">
        <v>31.0</v>
      </c>
      <c r="CG470" s="2">
        <v>6.0</v>
      </c>
      <c r="CH470" s="2">
        <v>127.0</v>
      </c>
      <c r="CI470" s="2">
        <v>3.0</v>
      </c>
      <c r="CJ470" s="2">
        <v>4.0</v>
      </c>
      <c r="CK470" s="2">
        <v>1.0</v>
      </c>
      <c r="CL470" s="2">
        <v>0.0</v>
      </c>
      <c r="CM470" s="2">
        <v>41.0</v>
      </c>
      <c r="CN470" s="2">
        <v>0.75</v>
      </c>
      <c r="CO470" s="2">
        <v>0.0</v>
      </c>
      <c r="CP470" s="2">
        <v>2.0</v>
      </c>
      <c r="CQ470" s="2">
        <v>0.0</v>
      </c>
      <c r="CR470" s="2">
        <v>1.0</v>
      </c>
      <c r="CS470" s="2">
        <v>0.0</v>
      </c>
      <c r="CT470" s="2">
        <v>0.0</v>
      </c>
      <c r="CU470" s="2">
        <v>0.0</v>
      </c>
      <c r="CV470" s="2">
        <v>0.0</v>
      </c>
      <c r="CW470" s="2">
        <v>0.0</v>
      </c>
      <c r="CX470" s="2">
        <v>1.0</v>
      </c>
      <c r="CY470" s="2">
        <v>0.0</v>
      </c>
      <c r="CZ470" s="2">
        <v>0.0</v>
      </c>
      <c r="DA470" s="2" t="s">
        <v>2255</v>
      </c>
      <c r="DB470" s="2" t="s">
        <v>1965</v>
      </c>
      <c r="DD470" s="2">
        <v>92.0</v>
      </c>
      <c r="DE470" s="2">
        <v>48.0</v>
      </c>
      <c r="DF470" s="2">
        <v>0.0</v>
      </c>
      <c r="DG470" s="2">
        <v>4.0</v>
      </c>
      <c r="DH470" s="2">
        <v>4.0</v>
      </c>
      <c r="DI470" s="2">
        <v>0.0</v>
      </c>
      <c r="DJ470" s="2">
        <v>0.0</v>
      </c>
      <c r="DK470" s="2">
        <v>1.0</v>
      </c>
      <c r="DL470" s="2">
        <v>0.0</v>
      </c>
      <c r="DM470" s="2">
        <v>0.0</v>
      </c>
      <c r="DN470" s="2">
        <v>0.0</v>
      </c>
      <c r="DO470" s="2">
        <v>0.0</v>
      </c>
      <c r="DP470" s="2">
        <v>0.0</v>
      </c>
      <c r="DQ470" s="2">
        <v>4.0</v>
      </c>
      <c r="DR470" s="2">
        <v>0.0</v>
      </c>
      <c r="DS470" s="2">
        <v>44.0</v>
      </c>
      <c r="DT470" s="2">
        <v>155.0</v>
      </c>
      <c r="DU470" s="2">
        <v>1.0</v>
      </c>
      <c r="DV470" s="2">
        <v>1.0</v>
      </c>
      <c r="DW470" s="2">
        <v>0.0</v>
      </c>
      <c r="DX470" s="2">
        <v>0.0</v>
      </c>
      <c r="DY470" s="2">
        <v>2.0</v>
      </c>
      <c r="DZ470" s="2">
        <v>1.0</v>
      </c>
      <c r="EA470" s="2">
        <v>58.0</v>
      </c>
      <c r="EB470" s="2">
        <v>1.0</v>
      </c>
      <c r="EC470" s="2">
        <v>97.0</v>
      </c>
      <c r="EE470" s="2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2">
        <v>2025.0</v>
      </c>
      <c r="B471" s="2">
        <v>16.0</v>
      </c>
      <c r="C471" s="2" t="s">
        <v>220</v>
      </c>
      <c r="D471" s="2" t="s">
        <v>390</v>
      </c>
      <c r="E471" s="2" t="s">
        <v>1111</v>
      </c>
      <c r="F471" s="2" t="s">
        <v>146</v>
      </c>
      <c r="G471" s="2">
        <v>23.0</v>
      </c>
      <c r="H471" s="2">
        <v>29.0</v>
      </c>
      <c r="I471" s="2">
        <v>300.0</v>
      </c>
      <c r="J471" s="2">
        <v>2.0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269.0</v>
      </c>
      <c r="Q471" s="2">
        <v>90.0</v>
      </c>
      <c r="R471" s="2">
        <v>15.0</v>
      </c>
      <c r="S471" s="2">
        <v>23.7463215886047</v>
      </c>
      <c r="T471" s="2">
        <v>18.7874282045024</v>
      </c>
      <c r="U471" s="2">
        <v>0.0</v>
      </c>
      <c r="V471" s="2">
        <v>13.0</v>
      </c>
      <c r="W471" s="2">
        <v>5.0</v>
      </c>
      <c r="X471" s="2">
        <v>5.0</v>
      </c>
      <c r="Y471" s="2">
        <v>1.0</v>
      </c>
      <c r="Z471" s="2">
        <v>33.0</v>
      </c>
      <c r="AA471" s="2">
        <v>152.0</v>
      </c>
      <c r="AB471" s="2">
        <v>2.0</v>
      </c>
      <c r="AC471" s="2">
        <v>1.0</v>
      </c>
      <c r="AD471" s="2">
        <v>0.0</v>
      </c>
      <c r="AE471" s="2">
        <v>9.0</v>
      </c>
      <c r="AF471" s="2">
        <v>0.55048062467105</v>
      </c>
      <c r="AG471" s="2">
        <v>0.0</v>
      </c>
      <c r="AH471" s="2">
        <v>4.0</v>
      </c>
      <c r="AI471" s="2">
        <v>3.0</v>
      </c>
      <c r="AJ471" s="2">
        <v>1.0</v>
      </c>
      <c r="AK471" s="2">
        <v>0.0</v>
      </c>
      <c r="AL471" s="2">
        <v>23.0</v>
      </c>
      <c r="AM471" s="2">
        <v>28.0</v>
      </c>
      <c r="AN471" s="2">
        <v>300.0</v>
      </c>
      <c r="AO471" s="2">
        <v>2.0</v>
      </c>
      <c r="AP471" s="2">
        <v>0.0</v>
      </c>
      <c r="AQ471" s="2">
        <v>0.0</v>
      </c>
      <c r="AR471" s="2">
        <v>269.0</v>
      </c>
      <c r="AS471" s="2">
        <v>90.0</v>
      </c>
      <c r="AT471" s="2">
        <v>15.0</v>
      </c>
      <c r="AU471" s="2">
        <v>24.1993681374834</v>
      </c>
      <c r="AV471" s="2">
        <v>0.0</v>
      </c>
      <c r="AW471" s="2">
        <v>13.0</v>
      </c>
      <c r="AX471" s="2">
        <v>5.0</v>
      </c>
      <c r="AY471" s="2">
        <v>5.0</v>
      </c>
      <c r="AZ471" s="2">
        <v>1.0</v>
      </c>
      <c r="BA471" s="2">
        <v>0.0</v>
      </c>
      <c r="BB471" s="2">
        <v>34.0</v>
      </c>
      <c r="BC471" s="2">
        <v>0.0</v>
      </c>
      <c r="BD471" s="2">
        <v>32.0</v>
      </c>
      <c r="BE471" s="2">
        <v>2.0</v>
      </c>
      <c r="BF471" s="2">
        <v>9.0</v>
      </c>
      <c r="BG471" s="2">
        <v>1.0</v>
      </c>
      <c r="BH471" s="2">
        <v>1.0</v>
      </c>
      <c r="BI471" s="2">
        <v>6.0</v>
      </c>
      <c r="BJ471" s="2">
        <v>3.0</v>
      </c>
      <c r="BK471" s="2">
        <v>0.0</v>
      </c>
      <c r="BL471" s="2">
        <v>0.0</v>
      </c>
      <c r="BM471" s="2">
        <v>3.0</v>
      </c>
      <c r="BN471" s="2">
        <v>0.0</v>
      </c>
      <c r="BO471" s="2">
        <v>0.0</v>
      </c>
      <c r="BP471" s="2">
        <v>0.0</v>
      </c>
      <c r="BQ471" s="2">
        <v>0.0</v>
      </c>
      <c r="BR471" s="2">
        <v>1.0</v>
      </c>
      <c r="BS471" s="2">
        <v>0.0</v>
      </c>
      <c r="BT471" s="2">
        <v>1.0</v>
      </c>
      <c r="BU471" s="2">
        <v>11.0</v>
      </c>
      <c r="BV471" s="2">
        <v>0.0</v>
      </c>
      <c r="BW471" s="2">
        <v>4.0</v>
      </c>
      <c r="BX471" s="2">
        <v>34.0</v>
      </c>
      <c r="BY471" s="2">
        <v>3.0</v>
      </c>
      <c r="BZ471" s="2">
        <v>1.0</v>
      </c>
      <c r="CA471" s="2">
        <v>0.0</v>
      </c>
      <c r="CB471" s="2">
        <v>0.0</v>
      </c>
      <c r="CC471" s="2">
        <v>1.0</v>
      </c>
      <c r="CD471" s="2">
        <v>0.0</v>
      </c>
      <c r="CE471" s="2">
        <v>0.0</v>
      </c>
      <c r="CF471" s="2">
        <v>0.0</v>
      </c>
      <c r="CG471" s="2">
        <v>4.0</v>
      </c>
      <c r="CH471" s="2">
        <v>77.0</v>
      </c>
      <c r="CI471" s="2">
        <v>2.0</v>
      </c>
      <c r="CJ471" s="2">
        <v>2.0</v>
      </c>
      <c r="CK471" s="2">
        <v>0.0</v>
      </c>
      <c r="CL471" s="2">
        <v>0.0</v>
      </c>
      <c r="CM471" s="2">
        <v>37.0</v>
      </c>
      <c r="CN471" s="2">
        <v>1.0</v>
      </c>
      <c r="CO471" s="2">
        <v>0.0</v>
      </c>
      <c r="CP471" s="2">
        <v>1.0</v>
      </c>
      <c r="CQ471" s="2">
        <v>1.0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 t="s">
        <v>2256</v>
      </c>
      <c r="DD471" s="2">
        <v>64.0</v>
      </c>
      <c r="DE471" s="2">
        <v>0.0</v>
      </c>
      <c r="DF471" s="2">
        <v>0.0</v>
      </c>
      <c r="DG471" s="2">
        <v>4.0</v>
      </c>
      <c r="DH471" s="2">
        <v>4.0</v>
      </c>
      <c r="DI471" s="2">
        <v>0.0</v>
      </c>
      <c r="DJ471" s="2">
        <v>0.0</v>
      </c>
      <c r="DK471" s="2">
        <v>1.0</v>
      </c>
      <c r="DL471" s="2">
        <v>0.0</v>
      </c>
      <c r="DM471" s="2">
        <v>0.0</v>
      </c>
      <c r="DN471" s="2">
        <v>0.0</v>
      </c>
      <c r="DO471" s="2">
        <v>0.0</v>
      </c>
      <c r="DP471" s="2">
        <v>0.0</v>
      </c>
      <c r="DQ471" s="2">
        <v>1.0</v>
      </c>
      <c r="DR471" s="2">
        <v>0.0</v>
      </c>
      <c r="DS471" s="2">
        <v>55.0</v>
      </c>
      <c r="DT471" s="2">
        <v>55.0</v>
      </c>
      <c r="DU471" s="2">
        <v>1.0</v>
      </c>
      <c r="DV471" s="2">
        <v>0.0</v>
      </c>
      <c r="DW471" s="2">
        <v>0.0</v>
      </c>
      <c r="DX471" s="2">
        <v>0.0</v>
      </c>
      <c r="DY471" s="2">
        <v>1.0</v>
      </c>
      <c r="DZ471" s="2">
        <v>0.0</v>
      </c>
      <c r="EA471" s="2">
        <v>0.0</v>
      </c>
      <c r="EB471" s="2">
        <v>0.0</v>
      </c>
      <c r="EC471" s="2">
        <v>55.0</v>
      </c>
      <c r="EE471" s="2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2">
        <v>2025.0</v>
      </c>
      <c r="B472" s="2">
        <v>16.0</v>
      </c>
      <c r="C472" s="2" t="s">
        <v>222</v>
      </c>
      <c r="D472" s="2" t="s">
        <v>390</v>
      </c>
      <c r="E472" s="2" t="s">
        <v>1127</v>
      </c>
      <c r="F472" s="2" t="s">
        <v>140</v>
      </c>
      <c r="G472" s="2">
        <v>16.0</v>
      </c>
      <c r="H472" s="2">
        <v>23.0</v>
      </c>
      <c r="I472" s="2">
        <v>201.0</v>
      </c>
      <c r="J472" s="2">
        <v>2.0</v>
      </c>
      <c r="K472" s="2">
        <v>1.0</v>
      </c>
      <c r="L472" s="2">
        <v>3.0</v>
      </c>
      <c r="M472" s="2">
        <v>-31.0</v>
      </c>
      <c r="N472" s="2">
        <v>0.0</v>
      </c>
      <c r="O472" s="2">
        <v>0.0</v>
      </c>
      <c r="P472" s="2">
        <v>190.0</v>
      </c>
      <c r="Q472" s="2">
        <v>98.0</v>
      </c>
      <c r="R472" s="2">
        <v>8.0</v>
      </c>
      <c r="S472" s="2">
        <v>1.66039536974859</v>
      </c>
      <c r="T472" s="2">
        <v>4.94341443885456</v>
      </c>
      <c r="U472" s="2">
        <v>0.0</v>
      </c>
      <c r="V472" s="2">
        <v>6.0</v>
      </c>
      <c r="W472" s="2">
        <v>2.0</v>
      </c>
      <c r="X472" s="2">
        <v>2.0</v>
      </c>
      <c r="Y472" s="2">
        <v>1.0</v>
      </c>
      <c r="Z472" s="2">
        <v>27.0</v>
      </c>
      <c r="AA472" s="2">
        <v>145.0</v>
      </c>
      <c r="AB472" s="2">
        <v>1.0</v>
      </c>
      <c r="AC472" s="2">
        <v>0.0</v>
      </c>
      <c r="AD472" s="2">
        <v>0.0</v>
      </c>
      <c r="AE472" s="2">
        <v>3.0</v>
      </c>
      <c r="AF472" s="2">
        <v>-3.91171699471306</v>
      </c>
      <c r="AG472" s="2">
        <v>0.0</v>
      </c>
      <c r="AH472" s="2">
        <v>1.0</v>
      </c>
      <c r="AI472" s="2">
        <v>1.0</v>
      </c>
      <c r="AJ472" s="2">
        <v>1.0</v>
      </c>
      <c r="AK472" s="2">
        <v>1.0</v>
      </c>
      <c r="AL472" s="2">
        <v>16.0</v>
      </c>
      <c r="AM472" s="2">
        <v>22.0</v>
      </c>
      <c r="AN472" s="2">
        <v>201.0</v>
      </c>
      <c r="AO472" s="2">
        <v>2.0</v>
      </c>
      <c r="AP472" s="2">
        <v>1.0</v>
      </c>
      <c r="AQ472" s="2">
        <v>0.0</v>
      </c>
      <c r="AR472" s="2">
        <v>190.0</v>
      </c>
      <c r="AS472" s="2">
        <v>98.0</v>
      </c>
      <c r="AT472" s="2">
        <v>8.0</v>
      </c>
      <c r="AU472" s="2">
        <v>7.00362508196849</v>
      </c>
      <c r="AV472" s="2">
        <v>0.0</v>
      </c>
      <c r="AW472" s="2">
        <v>6.0</v>
      </c>
      <c r="AX472" s="2">
        <v>2.0</v>
      </c>
      <c r="AY472" s="2">
        <v>2.0</v>
      </c>
      <c r="AZ472" s="2">
        <v>1.0</v>
      </c>
      <c r="BA472" s="2">
        <v>0.0</v>
      </c>
      <c r="BB472" s="2">
        <v>33.0</v>
      </c>
      <c r="BC472" s="2">
        <v>1.0</v>
      </c>
      <c r="BD472" s="2">
        <v>33.0</v>
      </c>
      <c r="BE472" s="2">
        <v>6.0</v>
      </c>
      <c r="BF472" s="2">
        <v>17.0</v>
      </c>
      <c r="BG472" s="2">
        <v>0.0</v>
      </c>
      <c r="BH472" s="2">
        <v>0.0</v>
      </c>
      <c r="BI472" s="2">
        <v>0.0</v>
      </c>
      <c r="BJ472" s="2">
        <v>4.0</v>
      </c>
      <c r="BK472" s="2">
        <v>0.0</v>
      </c>
      <c r="BL472" s="2">
        <v>0.0</v>
      </c>
      <c r="BM472" s="2">
        <v>3.0</v>
      </c>
      <c r="BN472" s="2">
        <v>0.0</v>
      </c>
      <c r="BO472" s="2">
        <v>0.0</v>
      </c>
      <c r="BP472" s="2">
        <v>0.0</v>
      </c>
      <c r="BQ472" s="2">
        <v>0.0</v>
      </c>
      <c r="BR472" s="2">
        <v>0.0</v>
      </c>
      <c r="BS472" s="2">
        <v>0.0</v>
      </c>
      <c r="BT472" s="2">
        <v>0.0</v>
      </c>
      <c r="BU472" s="2">
        <v>0.0</v>
      </c>
      <c r="BV472" s="2">
        <v>0.0</v>
      </c>
      <c r="BW472" s="2">
        <v>9.0</v>
      </c>
      <c r="BX472" s="2">
        <v>85.0</v>
      </c>
      <c r="BY472" s="2">
        <v>5.0</v>
      </c>
      <c r="BZ472" s="2">
        <v>1.0</v>
      </c>
      <c r="CA472" s="2">
        <v>0.0</v>
      </c>
      <c r="CB472" s="2">
        <v>1.0</v>
      </c>
      <c r="CC472" s="2">
        <v>1.0</v>
      </c>
      <c r="CD472" s="2">
        <v>0.0</v>
      </c>
      <c r="CE472" s="2">
        <v>4.0</v>
      </c>
      <c r="CF472" s="2">
        <v>23.0</v>
      </c>
      <c r="CG472" s="2">
        <v>4.0</v>
      </c>
      <c r="CH472" s="2">
        <v>100.0</v>
      </c>
      <c r="CI472" s="2">
        <v>0.0</v>
      </c>
      <c r="CJ472" s="2">
        <v>0.0</v>
      </c>
      <c r="CK472" s="2">
        <v>0.0</v>
      </c>
      <c r="CL472" s="2">
        <v>0.0</v>
      </c>
      <c r="CO472" s="2">
        <v>0.0</v>
      </c>
      <c r="CP472" s="2">
        <v>0.0</v>
      </c>
      <c r="CQ472" s="2">
        <v>0.0</v>
      </c>
      <c r="CR472" s="2">
        <v>0.0</v>
      </c>
      <c r="CS472" s="2">
        <v>0.0</v>
      </c>
      <c r="CT472" s="2">
        <v>0.0</v>
      </c>
      <c r="CU472" s="2">
        <v>0.0</v>
      </c>
      <c r="CV472" s="2">
        <v>0.0</v>
      </c>
      <c r="CW472" s="2">
        <v>0.0</v>
      </c>
      <c r="CX472" s="2">
        <v>0.0</v>
      </c>
      <c r="CY472" s="2">
        <v>0.0</v>
      </c>
      <c r="CZ472" s="2">
        <v>0.0</v>
      </c>
      <c r="DD472" s="2">
        <v>0.0</v>
      </c>
      <c r="DE472" s="2">
        <v>0.0</v>
      </c>
      <c r="DF472" s="2">
        <v>0.0</v>
      </c>
      <c r="DG472" s="2">
        <v>3.0</v>
      </c>
      <c r="DH472" s="2">
        <v>3.0</v>
      </c>
      <c r="DI472" s="2">
        <v>0.0</v>
      </c>
      <c r="DJ472" s="2">
        <v>0.0</v>
      </c>
      <c r="DK472" s="2">
        <v>1.0</v>
      </c>
      <c r="DL472" s="2">
        <v>0.0</v>
      </c>
      <c r="DM472" s="2">
        <v>0.0</v>
      </c>
      <c r="DN472" s="2">
        <v>0.0</v>
      </c>
      <c r="DO472" s="2">
        <v>0.0</v>
      </c>
      <c r="DP472" s="2">
        <v>0.0</v>
      </c>
      <c r="DQ472" s="2">
        <v>7.0</v>
      </c>
      <c r="DR472" s="2">
        <v>0.0</v>
      </c>
      <c r="DS472" s="2">
        <v>52.0</v>
      </c>
      <c r="DT472" s="2">
        <v>293.0</v>
      </c>
      <c r="DU472" s="2">
        <v>3.0</v>
      </c>
      <c r="DV472" s="2">
        <v>2.0</v>
      </c>
      <c r="DW472" s="2">
        <v>1.0</v>
      </c>
      <c r="DX472" s="2">
        <v>0.0</v>
      </c>
      <c r="DY472" s="2">
        <v>2.0</v>
      </c>
      <c r="DZ472" s="2">
        <v>2.0</v>
      </c>
      <c r="EA472" s="2">
        <v>19.0</v>
      </c>
      <c r="EB472" s="2">
        <v>0.0</v>
      </c>
      <c r="EC472" s="2">
        <v>274.0</v>
      </c>
      <c r="EE472" s="2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2">
        <v>2025.0</v>
      </c>
      <c r="B473" s="2">
        <v>16.0</v>
      </c>
      <c r="C473" s="2" t="s">
        <v>225</v>
      </c>
      <c r="D473" s="2" t="s">
        <v>390</v>
      </c>
      <c r="E473" s="2" t="s">
        <v>1129</v>
      </c>
      <c r="F473" s="2" t="s">
        <v>138</v>
      </c>
      <c r="G473" s="2">
        <v>20.0</v>
      </c>
      <c r="H473" s="2">
        <v>30.0</v>
      </c>
      <c r="I473" s="2">
        <v>260.0</v>
      </c>
      <c r="J473" s="2">
        <v>0.0</v>
      </c>
      <c r="K473" s="2">
        <v>2.0</v>
      </c>
      <c r="L473" s="2">
        <v>0.0</v>
      </c>
      <c r="M473" s="2">
        <v>0.0</v>
      </c>
      <c r="N473" s="2">
        <v>0.0</v>
      </c>
      <c r="O473" s="2">
        <v>0.0</v>
      </c>
      <c r="P473" s="2">
        <v>261.0</v>
      </c>
      <c r="Q473" s="2">
        <v>141.0</v>
      </c>
      <c r="R473" s="2">
        <v>14.0</v>
      </c>
      <c r="S473" s="2">
        <v>4.66953812883003</v>
      </c>
      <c r="T473" s="2">
        <v>1.55168494273876</v>
      </c>
      <c r="U473" s="2">
        <v>0.0</v>
      </c>
      <c r="V473" s="2">
        <v>13.0</v>
      </c>
      <c r="W473" s="2">
        <v>9.0</v>
      </c>
      <c r="X473" s="2">
        <v>4.0</v>
      </c>
      <c r="Y473" s="2">
        <v>0.0</v>
      </c>
      <c r="Z473" s="2">
        <v>28.0</v>
      </c>
      <c r="AA473" s="2">
        <v>129.0</v>
      </c>
      <c r="AB473" s="2">
        <v>3.0</v>
      </c>
      <c r="AC473" s="2">
        <v>0.0</v>
      </c>
      <c r="AD473" s="2">
        <v>0.0</v>
      </c>
      <c r="AE473" s="2">
        <v>5.0</v>
      </c>
      <c r="AF473" s="2">
        <v>-4.70026260509621</v>
      </c>
      <c r="AG473" s="2">
        <v>0.0</v>
      </c>
      <c r="AH473" s="2">
        <v>2.0</v>
      </c>
      <c r="AI473" s="2">
        <v>1.0</v>
      </c>
      <c r="AJ473" s="2">
        <v>1.0</v>
      </c>
      <c r="AK473" s="2">
        <v>1.0</v>
      </c>
      <c r="AL473" s="2">
        <v>20.0</v>
      </c>
      <c r="AM473" s="2">
        <v>29.0</v>
      </c>
      <c r="AN473" s="2">
        <v>260.0</v>
      </c>
      <c r="AO473" s="2">
        <v>0.0</v>
      </c>
      <c r="AP473" s="2">
        <v>2.0</v>
      </c>
      <c r="AQ473" s="2">
        <v>1.0</v>
      </c>
      <c r="AR473" s="2">
        <v>261.0</v>
      </c>
      <c r="AS473" s="2">
        <v>141.0</v>
      </c>
      <c r="AT473" s="2">
        <v>14.0</v>
      </c>
      <c r="AU473" s="2">
        <v>2.24081369949272</v>
      </c>
      <c r="AV473" s="2">
        <v>0.0</v>
      </c>
      <c r="AW473" s="2">
        <v>13.0</v>
      </c>
      <c r="AX473" s="2">
        <v>9.0</v>
      </c>
      <c r="AY473" s="2">
        <v>4.0</v>
      </c>
      <c r="AZ473" s="2">
        <v>0.0</v>
      </c>
      <c r="BA473" s="2">
        <v>0.0</v>
      </c>
      <c r="BB473" s="2">
        <v>29.0</v>
      </c>
      <c r="BC473" s="2">
        <v>0.0</v>
      </c>
      <c r="BD473" s="2">
        <v>50.0</v>
      </c>
      <c r="BE473" s="2">
        <v>2.0</v>
      </c>
      <c r="BF473" s="2">
        <v>8.0</v>
      </c>
      <c r="BG473" s="2">
        <v>0.0</v>
      </c>
      <c r="BH473" s="2">
        <v>2.0</v>
      </c>
      <c r="BI473" s="2">
        <v>11.0</v>
      </c>
      <c r="BJ473" s="2">
        <v>5.0</v>
      </c>
      <c r="BK473" s="2">
        <v>0.0</v>
      </c>
      <c r="BL473" s="2">
        <v>0.0</v>
      </c>
      <c r="BM473" s="2">
        <v>2.0</v>
      </c>
      <c r="BN473" s="2">
        <v>0.0</v>
      </c>
      <c r="BO473" s="2">
        <v>0.0</v>
      </c>
      <c r="BP473" s="2">
        <v>0.0</v>
      </c>
      <c r="BQ473" s="2">
        <v>0.0</v>
      </c>
      <c r="BR473" s="2">
        <v>1.0</v>
      </c>
      <c r="BS473" s="2">
        <v>3.0</v>
      </c>
      <c r="BT473" s="2">
        <v>0.0</v>
      </c>
      <c r="BU473" s="2">
        <v>0.0</v>
      </c>
      <c r="BV473" s="2">
        <v>0.0</v>
      </c>
      <c r="BW473" s="2">
        <v>3.0</v>
      </c>
      <c r="BX473" s="2">
        <v>20.0</v>
      </c>
      <c r="BY473" s="2">
        <v>2.0</v>
      </c>
      <c r="BZ473" s="2">
        <v>2.0</v>
      </c>
      <c r="CA473" s="2">
        <v>0.0</v>
      </c>
      <c r="CB473" s="2">
        <v>0.0</v>
      </c>
      <c r="CC473" s="2">
        <v>2.0</v>
      </c>
      <c r="CD473" s="2">
        <v>1.0</v>
      </c>
      <c r="CE473" s="2">
        <v>0.0</v>
      </c>
      <c r="CF473" s="2">
        <v>0.0</v>
      </c>
      <c r="CG473" s="2">
        <v>8.0</v>
      </c>
      <c r="CH473" s="2">
        <v>218.0</v>
      </c>
      <c r="CI473" s="2">
        <v>0.0</v>
      </c>
      <c r="CJ473" s="2">
        <v>0.0</v>
      </c>
      <c r="CK473" s="2">
        <v>0.0</v>
      </c>
      <c r="CL473" s="2">
        <v>0.0</v>
      </c>
      <c r="CO473" s="2">
        <v>0.0</v>
      </c>
      <c r="CP473" s="2">
        <v>0.0</v>
      </c>
      <c r="CQ473" s="2">
        <v>0.0</v>
      </c>
      <c r="CR473" s="2">
        <v>0.0</v>
      </c>
      <c r="CS473" s="2">
        <v>0.0</v>
      </c>
      <c r="CT473" s="2">
        <v>0.0</v>
      </c>
      <c r="CU473" s="2">
        <v>0.0</v>
      </c>
      <c r="CV473" s="2">
        <v>0.0</v>
      </c>
      <c r="CW473" s="2">
        <v>0.0</v>
      </c>
      <c r="CX473" s="2">
        <v>0.0</v>
      </c>
      <c r="CY473" s="2">
        <v>0.0</v>
      </c>
      <c r="CZ473" s="2">
        <v>0.0</v>
      </c>
      <c r="DD473" s="2">
        <v>0.0</v>
      </c>
      <c r="DE473" s="2">
        <v>0.0</v>
      </c>
      <c r="DF473" s="2">
        <v>0.0</v>
      </c>
      <c r="DG473" s="2">
        <v>3.0</v>
      </c>
      <c r="DH473" s="2">
        <v>3.0</v>
      </c>
      <c r="DI473" s="2">
        <v>0.0</v>
      </c>
      <c r="DJ473" s="2">
        <v>0.0</v>
      </c>
      <c r="DK473" s="2">
        <v>1.0</v>
      </c>
      <c r="DL473" s="2">
        <v>0.0</v>
      </c>
      <c r="DM473" s="2">
        <v>0.0</v>
      </c>
      <c r="DN473" s="2">
        <v>0.0</v>
      </c>
      <c r="DO473" s="2">
        <v>0.0</v>
      </c>
      <c r="DP473" s="2">
        <v>0.0</v>
      </c>
      <c r="DQ473" s="2">
        <v>4.0</v>
      </c>
      <c r="DR473" s="2">
        <v>0.0</v>
      </c>
      <c r="DS473" s="2">
        <v>62.0</v>
      </c>
      <c r="DT473" s="2">
        <v>201.0</v>
      </c>
      <c r="DU473" s="2">
        <v>2.0</v>
      </c>
      <c r="DV473" s="2">
        <v>0.0</v>
      </c>
      <c r="DW473" s="2">
        <v>1.0</v>
      </c>
      <c r="DX473" s="2">
        <v>1.0</v>
      </c>
      <c r="DY473" s="2">
        <v>1.0</v>
      </c>
      <c r="DZ473" s="2">
        <v>1.0</v>
      </c>
      <c r="EA473" s="2">
        <v>26.0</v>
      </c>
      <c r="EB473" s="2">
        <v>0.0</v>
      </c>
      <c r="EC473" s="2">
        <v>155.0</v>
      </c>
      <c r="EE473" s="2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2">
        <v>2025.0</v>
      </c>
      <c r="B474" s="2">
        <v>16.0</v>
      </c>
      <c r="C474" s="2" t="s">
        <v>144</v>
      </c>
      <c r="D474" s="2" t="s">
        <v>390</v>
      </c>
      <c r="E474" s="2" t="s">
        <v>1115</v>
      </c>
      <c r="F474" s="2" t="s">
        <v>235</v>
      </c>
      <c r="G474" s="2">
        <v>16.0</v>
      </c>
      <c r="H474" s="2">
        <v>23.0</v>
      </c>
      <c r="I474" s="2">
        <v>160.0</v>
      </c>
      <c r="J474" s="2">
        <v>0.0</v>
      </c>
      <c r="K474" s="2">
        <v>1.0</v>
      </c>
      <c r="L474" s="2">
        <v>4.0</v>
      </c>
      <c r="M474" s="2">
        <v>-34.0</v>
      </c>
      <c r="N474" s="2">
        <v>1.0</v>
      </c>
      <c r="O474" s="2">
        <v>1.0</v>
      </c>
      <c r="P474" s="2">
        <v>125.0</v>
      </c>
      <c r="Q474" s="2">
        <v>91.0</v>
      </c>
      <c r="R474" s="2">
        <v>8.0</v>
      </c>
      <c r="S474" s="2">
        <v>-8.8847944350172</v>
      </c>
      <c r="T474" s="2">
        <v>2.01587171658226</v>
      </c>
      <c r="U474" s="2">
        <v>0.0</v>
      </c>
      <c r="V474" s="2">
        <v>7.0</v>
      </c>
      <c r="W474" s="2">
        <v>3.0</v>
      </c>
      <c r="X474" s="2">
        <v>2.0</v>
      </c>
      <c r="Y474" s="2">
        <v>0.0</v>
      </c>
      <c r="Z474" s="2">
        <v>31.0</v>
      </c>
      <c r="AA474" s="2">
        <v>114.0</v>
      </c>
      <c r="AB474" s="2">
        <v>1.0</v>
      </c>
      <c r="AC474" s="2">
        <v>0.0</v>
      </c>
      <c r="AD474" s="2">
        <v>0.0</v>
      </c>
      <c r="AE474" s="2">
        <v>7.0</v>
      </c>
      <c r="AF474" s="2">
        <v>3.84033713690587</v>
      </c>
      <c r="AG474" s="2">
        <v>0.0</v>
      </c>
      <c r="AH474" s="2">
        <v>2.0</v>
      </c>
      <c r="AI474" s="2">
        <v>2.0</v>
      </c>
      <c r="AJ474" s="2">
        <v>0.0</v>
      </c>
      <c r="AK474" s="2">
        <v>0.0</v>
      </c>
      <c r="AL474" s="2">
        <v>16.0</v>
      </c>
      <c r="AM474" s="2">
        <v>23.0</v>
      </c>
      <c r="AN474" s="2">
        <v>160.0</v>
      </c>
      <c r="AO474" s="2">
        <v>0.0</v>
      </c>
      <c r="AP474" s="2">
        <v>0.0</v>
      </c>
      <c r="AQ474" s="2">
        <v>0.0</v>
      </c>
      <c r="AR474" s="2">
        <v>125.0</v>
      </c>
      <c r="AS474" s="2">
        <v>91.0</v>
      </c>
      <c r="AT474" s="2">
        <v>8.0</v>
      </c>
      <c r="AU474" s="2">
        <v>3.24734549917031</v>
      </c>
      <c r="AV474" s="2">
        <v>0.0</v>
      </c>
      <c r="AW474" s="2">
        <v>7.0</v>
      </c>
      <c r="AX474" s="2">
        <v>3.0</v>
      </c>
      <c r="AY474" s="2">
        <v>2.0</v>
      </c>
      <c r="AZ474" s="2">
        <v>0.0</v>
      </c>
      <c r="BA474" s="2">
        <v>0.0</v>
      </c>
      <c r="BB474" s="2">
        <v>29.0</v>
      </c>
      <c r="BC474" s="2">
        <v>1.0</v>
      </c>
      <c r="BD474" s="2">
        <v>37.0</v>
      </c>
      <c r="BE474" s="2">
        <v>6.0</v>
      </c>
      <c r="BF474" s="2">
        <v>23.0</v>
      </c>
      <c r="BG474" s="2">
        <v>0.0</v>
      </c>
      <c r="BH474" s="2">
        <v>5.0</v>
      </c>
      <c r="BI474" s="2">
        <v>20.0</v>
      </c>
      <c r="BJ474" s="2">
        <v>6.0</v>
      </c>
      <c r="BK474" s="2">
        <v>1.0</v>
      </c>
      <c r="BL474" s="2">
        <v>15.0</v>
      </c>
      <c r="BM474" s="2">
        <v>4.0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0.0</v>
      </c>
      <c r="BU474" s="2">
        <v>0.0</v>
      </c>
      <c r="BV474" s="2">
        <v>0.0</v>
      </c>
      <c r="BW474" s="2">
        <v>11.0</v>
      </c>
      <c r="BX474" s="2">
        <v>90.0</v>
      </c>
      <c r="BY474" s="2">
        <v>2.0</v>
      </c>
      <c r="BZ474" s="2">
        <v>1.0</v>
      </c>
      <c r="CA474" s="2">
        <v>0.0</v>
      </c>
      <c r="CB474" s="2">
        <v>0.0</v>
      </c>
      <c r="CC474" s="2">
        <v>1.0</v>
      </c>
      <c r="CD474" s="2">
        <v>1.0</v>
      </c>
      <c r="CE474" s="2">
        <v>1.0</v>
      </c>
      <c r="CF474" s="2">
        <v>12.0</v>
      </c>
      <c r="CG474" s="2">
        <v>2.0</v>
      </c>
      <c r="CH474" s="2">
        <v>50.0</v>
      </c>
      <c r="CI474" s="2">
        <v>3.0</v>
      </c>
      <c r="CJ474" s="2">
        <v>3.0</v>
      </c>
      <c r="CK474" s="2">
        <v>0.0</v>
      </c>
      <c r="CL474" s="2">
        <v>0.0</v>
      </c>
      <c r="CM474" s="2">
        <v>43.0</v>
      </c>
      <c r="CN474" s="2">
        <v>1.0</v>
      </c>
      <c r="CO474" s="2">
        <v>0.0</v>
      </c>
      <c r="CP474" s="2">
        <v>0.0</v>
      </c>
      <c r="CQ474" s="2">
        <v>2.0</v>
      </c>
      <c r="CR474" s="2">
        <v>1.0</v>
      </c>
      <c r="CS474" s="2">
        <v>0.0</v>
      </c>
      <c r="CT474" s="2">
        <v>0.0</v>
      </c>
      <c r="CU474" s="2">
        <v>0.0</v>
      </c>
      <c r="CV474" s="2">
        <v>0.0</v>
      </c>
      <c r="CW474" s="2">
        <v>0.0</v>
      </c>
      <c r="CX474" s="2">
        <v>0.0</v>
      </c>
      <c r="CY474" s="2">
        <v>0.0</v>
      </c>
      <c r="CZ474" s="2">
        <v>0.0</v>
      </c>
      <c r="DA474" s="2" t="s">
        <v>2257</v>
      </c>
      <c r="DD474" s="2">
        <v>104.0</v>
      </c>
      <c r="DE474" s="2">
        <v>0.0</v>
      </c>
      <c r="DF474" s="2">
        <v>0.0</v>
      </c>
      <c r="DG474" s="2">
        <v>1.0</v>
      </c>
      <c r="DH474" s="2">
        <v>1.0</v>
      </c>
      <c r="DI474" s="2">
        <v>0.0</v>
      </c>
      <c r="DJ474" s="2">
        <v>0.0</v>
      </c>
      <c r="DK474" s="2">
        <v>1.0</v>
      </c>
      <c r="DL474" s="2">
        <v>0.0</v>
      </c>
      <c r="DM474" s="2">
        <v>0.0</v>
      </c>
      <c r="DN474" s="2">
        <v>0.0</v>
      </c>
      <c r="DO474" s="2">
        <v>0.0</v>
      </c>
      <c r="DP474" s="2">
        <v>0.0</v>
      </c>
      <c r="DQ474" s="2">
        <v>1.0</v>
      </c>
      <c r="DR474" s="2">
        <v>0.0</v>
      </c>
      <c r="DS474" s="2">
        <v>29.0</v>
      </c>
      <c r="DT474" s="2">
        <v>29.0</v>
      </c>
      <c r="DU474" s="2">
        <v>0.0</v>
      </c>
      <c r="DV474" s="2">
        <v>0.0</v>
      </c>
      <c r="DW474" s="2">
        <v>0.0</v>
      </c>
      <c r="DX474" s="2">
        <v>0.0</v>
      </c>
      <c r="DY474" s="2">
        <v>0.0</v>
      </c>
      <c r="DZ474" s="2">
        <v>1.0</v>
      </c>
      <c r="EA474" s="2">
        <v>5.0</v>
      </c>
      <c r="EB474" s="2">
        <v>0.0</v>
      </c>
      <c r="EC474" s="2">
        <v>24.0</v>
      </c>
      <c r="EE474" s="2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2">
        <v>2025.0</v>
      </c>
      <c r="B475" s="2">
        <v>16.0</v>
      </c>
      <c r="C475" s="2" t="s">
        <v>145</v>
      </c>
      <c r="D475" s="2" t="s">
        <v>390</v>
      </c>
      <c r="E475" s="2" t="s">
        <v>1104</v>
      </c>
      <c r="F475" s="2" t="s">
        <v>148</v>
      </c>
      <c r="G475" s="2">
        <v>31.0</v>
      </c>
      <c r="H475" s="2">
        <v>44.0</v>
      </c>
      <c r="I475" s="2">
        <v>380.0</v>
      </c>
      <c r="J475" s="2">
        <v>2.0</v>
      </c>
      <c r="K475" s="2">
        <v>1.0</v>
      </c>
      <c r="L475" s="2">
        <v>4.0</v>
      </c>
      <c r="M475" s="2">
        <v>-6.0</v>
      </c>
      <c r="N475" s="2">
        <v>2.0</v>
      </c>
      <c r="O475" s="2">
        <v>1.0</v>
      </c>
      <c r="P475" s="2">
        <v>474.0</v>
      </c>
      <c r="Q475" s="2">
        <v>104.0</v>
      </c>
      <c r="R475" s="2">
        <v>17.0</v>
      </c>
      <c r="S475" s="2">
        <v>12.2657393486524</v>
      </c>
      <c r="T475" s="2">
        <v>12.4965979229836</v>
      </c>
      <c r="U475" s="2">
        <v>1.0</v>
      </c>
      <c r="V475" s="2">
        <v>12.0</v>
      </c>
      <c r="W475" s="2">
        <v>10.0</v>
      </c>
      <c r="X475" s="2">
        <v>9.0</v>
      </c>
      <c r="Y475" s="2">
        <v>0.0</v>
      </c>
      <c r="Z475" s="2">
        <v>23.0</v>
      </c>
      <c r="AA475" s="2">
        <v>79.0</v>
      </c>
      <c r="AB475" s="2">
        <v>1.0</v>
      </c>
      <c r="AC475" s="2">
        <v>1.0</v>
      </c>
      <c r="AD475" s="2">
        <v>0.0</v>
      </c>
      <c r="AE475" s="2">
        <v>6.0</v>
      </c>
      <c r="AF475" s="2">
        <v>-3.68111984559801</v>
      </c>
      <c r="AG475" s="2">
        <v>0.0</v>
      </c>
      <c r="AH475" s="2">
        <v>3.0</v>
      </c>
      <c r="AI475" s="2">
        <v>2.0</v>
      </c>
      <c r="AJ475" s="2">
        <v>1.0</v>
      </c>
      <c r="AK475" s="2">
        <v>0.0</v>
      </c>
      <c r="AL475" s="2">
        <v>31.0</v>
      </c>
      <c r="AM475" s="2">
        <v>42.0</v>
      </c>
      <c r="AN475" s="2">
        <v>380.0</v>
      </c>
      <c r="AO475" s="2">
        <v>2.0</v>
      </c>
      <c r="AP475" s="2">
        <v>0.0</v>
      </c>
      <c r="AQ475" s="2">
        <v>0.0</v>
      </c>
      <c r="AR475" s="2">
        <v>474.0</v>
      </c>
      <c r="AS475" s="2">
        <v>104.0</v>
      </c>
      <c r="AT475" s="2">
        <v>17.0</v>
      </c>
      <c r="AU475" s="2">
        <v>23.0178947071919</v>
      </c>
      <c r="AV475" s="2">
        <v>1.0</v>
      </c>
      <c r="AW475" s="2">
        <v>12.0</v>
      </c>
      <c r="AX475" s="2">
        <v>10.0</v>
      </c>
      <c r="AY475" s="2">
        <v>9.0</v>
      </c>
      <c r="AZ475" s="2">
        <v>0.0</v>
      </c>
      <c r="BA475" s="2">
        <v>0.0</v>
      </c>
      <c r="BB475" s="2">
        <v>38.0</v>
      </c>
      <c r="BC475" s="2">
        <v>0.0</v>
      </c>
      <c r="BD475" s="2">
        <v>26.0</v>
      </c>
      <c r="BE475" s="2">
        <v>4.0</v>
      </c>
      <c r="BF475" s="2">
        <v>18.0</v>
      </c>
      <c r="BG475" s="2">
        <v>2.0</v>
      </c>
      <c r="BH475" s="2">
        <v>1.0</v>
      </c>
      <c r="BI475" s="2">
        <v>7.0</v>
      </c>
      <c r="BJ475" s="2">
        <v>5.0</v>
      </c>
      <c r="BK475" s="2">
        <v>0.0</v>
      </c>
      <c r="BL475" s="2">
        <v>0.0</v>
      </c>
      <c r="BM475" s="2">
        <v>1.0</v>
      </c>
      <c r="BN475" s="2">
        <v>0.0</v>
      </c>
      <c r="BO475" s="2">
        <v>0.0</v>
      </c>
      <c r="BP475" s="2">
        <v>0.0</v>
      </c>
      <c r="BQ475" s="2">
        <v>0.0</v>
      </c>
      <c r="BR475" s="2">
        <v>2.0</v>
      </c>
      <c r="BS475" s="2">
        <v>-7.0</v>
      </c>
      <c r="BT475" s="2">
        <v>2.0</v>
      </c>
      <c r="BU475" s="2">
        <v>0.0</v>
      </c>
      <c r="BV475" s="2">
        <v>0.0</v>
      </c>
      <c r="BW475" s="2">
        <v>5.0</v>
      </c>
      <c r="BX475" s="2">
        <v>50.0</v>
      </c>
      <c r="BY475" s="2">
        <v>4.0</v>
      </c>
      <c r="BZ475" s="2">
        <v>2.0</v>
      </c>
      <c r="CA475" s="2">
        <v>1.0</v>
      </c>
      <c r="CB475" s="2">
        <v>0.0</v>
      </c>
      <c r="CC475" s="2">
        <v>3.0</v>
      </c>
      <c r="CD475" s="2">
        <v>1.0</v>
      </c>
      <c r="CE475" s="2">
        <v>0.0</v>
      </c>
      <c r="CF475" s="2">
        <v>0.0</v>
      </c>
      <c r="CG475" s="2">
        <v>3.0</v>
      </c>
      <c r="CH475" s="2">
        <v>89.0</v>
      </c>
      <c r="CI475" s="2">
        <v>2.0</v>
      </c>
      <c r="CJ475" s="2">
        <v>2.0</v>
      </c>
      <c r="CK475" s="2">
        <v>0.0</v>
      </c>
      <c r="CL475" s="2">
        <v>0.0</v>
      </c>
      <c r="CM475" s="2">
        <v>45.0</v>
      </c>
      <c r="CN475" s="2">
        <v>1.0</v>
      </c>
      <c r="CO475" s="2">
        <v>0.0</v>
      </c>
      <c r="CP475" s="2">
        <v>0.0</v>
      </c>
      <c r="CQ475" s="2">
        <v>0.0</v>
      </c>
      <c r="CR475" s="2">
        <v>2.0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 t="s">
        <v>2258</v>
      </c>
      <c r="DD475" s="2">
        <v>86.0</v>
      </c>
      <c r="DE475" s="2">
        <v>0.0</v>
      </c>
      <c r="DF475" s="2">
        <v>0.0</v>
      </c>
      <c r="DG475" s="2">
        <v>2.0</v>
      </c>
      <c r="DH475" s="2">
        <v>2.0</v>
      </c>
      <c r="DI475" s="2">
        <v>0.0</v>
      </c>
      <c r="DJ475" s="2">
        <v>0.0</v>
      </c>
      <c r="DK475" s="2">
        <v>1.0</v>
      </c>
      <c r="DL475" s="2">
        <v>0.0</v>
      </c>
      <c r="DM475" s="2">
        <v>0.0</v>
      </c>
      <c r="DN475" s="2">
        <v>0.0</v>
      </c>
      <c r="DO475" s="2">
        <v>0.0</v>
      </c>
      <c r="DP475" s="2">
        <v>0.0</v>
      </c>
      <c r="DQ475" s="2">
        <v>1.0</v>
      </c>
      <c r="DR475" s="2">
        <v>0.0</v>
      </c>
      <c r="DS475" s="2">
        <v>49.0</v>
      </c>
      <c r="DT475" s="2">
        <v>49.0</v>
      </c>
      <c r="DU475" s="2">
        <v>0.0</v>
      </c>
      <c r="DV475" s="2">
        <v>0.0</v>
      </c>
      <c r="DW475" s="2">
        <v>0.0</v>
      </c>
      <c r="DX475" s="2">
        <v>0.0</v>
      </c>
      <c r="DY475" s="2">
        <v>0.0</v>
      </c>
      <c r="DZ475" s="2">
        <v>1.0</v>
      </c>
      <c r="EA475" s="2">
        <v>11.0</v>
      </c>
      <c r="EB475" s="2">
        <v>0.0</v>
      </c>
      <c r="EC475" s="2">
        <v>38.0</v>
      </c>
      <c r="EE475" s="2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2">
        <v>2025.0</v>
      </c>
      <c r="B476" s="2">
        <v>16.0</v>
      </c>
      <c r="C476" s="2" t="s">
        <v>232</v>
      </c>
      <c r="D476" s="2" t="s">
        <v>390</v>
      </c>
      <c r="E476" s="2" t="s">
        <v>1113</v>
      </c>
      <c r="F476" s="2" t="s">
        <v>238</v>
      </c>
      <c r="G476" s="2">
        <v>33.0</v>
      </c>
      <c r="H476" s="2">
        <v>50.0</v>
      </c>
      <c r="I476" s="2">
        <v>346.0</v>
      </c>
      <c r="J476" s="2">
        <v>2.0</v>
      </c>
      <c r="K476" s="2">
        <v>0.0</v>
      </c>
      <c r="L476" s="2">
        <v>3.0</v>
      </c>
      <c r="M476" s="2">
        <v>-18.0</v>
      </c>
      <c r="N476" s="2">
        <v>0.0</v>
      </c>
      <c r="O476" s="2">
        <v>0.0</v>
      </c>
      <c r="P476" s="2">
        <v>422.0</v>
      </c>
      <c r="Q476" s="2">
        <v>176.0</v>
      </c>
      <c r="R476" s="2">
        <v>17.0</v>
      </c>
      <c r="S476" s="2">
        <v>8.78860004299522</v>
      </c>
      <c r="T476" s="2">
        <v>-0.228297456781915</v>
      </c>
      <c r="U476" s="2">
        <v>0.0</v>
      </c>
      <c r="V476" s="2">
        <v>14.0</v>
      </c>
      <c r="W476" s="2">
        <v>6.0</v>
      </c>
      <c r="X476" s="2">
        <v>4.0</v>
      </c>
      <c r="Y476" s="2">
        <v>0.0</v>
      </c>
      <c r="Z476" s="2">
        <v>25.0</v>
      </c>
      <c r="AA476" s="2">
        <v>84.0</v>
      </c>
      <c r="AB476" s="2">
        <v>0.0</v>
      </c>
      <c r="AC476" s="2">
        <v>1.0</v>
      </c>
      <c r="AD476" s="2">
        <v>1.0</v>
      </c>
      <c r="AE476" s="2">
        <v>6.0</v>
      </c>
      <c r="AF476" s="2">
        <v>-9.27843238489004</v>
      </c>
      <c r="AG476" s="2">
        <v>0.0</v>
      </c>
      <c r="AH476" s="2">
        <v>1.0</v>
      </c>
      <c r="AI476" s="2">
        <v>1.0</v>
      </c>
      <c r="AJ476" s="2">
        <v>0.0</v>
      </c>
      <c r="AK476" s="2">
        <v>0.0</v>
      </c>
      <c r="AL476" s="2">
        <v>33.0</v>
      </c>
      <c r="AM476" s="2">
        <v>47.0</v>
      </c>
      <c r="AN476" s="2">
        <v>346.0</v>
      </c>
      <c r="AO476" s="2">
        <v>2.0</v>
      </c>
      <c r="AP476" s="2">
        <v>0.0</v>
      </c>
      <c r="AQ476" s="2">
        <v>0.0</v>
      </c>
      <c r="AR476" s="2">
        <v>422.0</v>
      </c>
      <c r="AS476" s="2">
        <v>176.0</v>
      </c>
      <c r="AT476" s="2">
        <v>17.0</v>
      </c>
      <c r="AU476" s="2">
        <v>14.2323208500022</v>
      </c>
      <c r="AV476" s="2">
        <v>0.0</v>
      </c>
      <c r="AW476" s="2">
        <v>14.0</v>
      </c>
      <c r="AX476" s="2">
        <v>6.0</v>
      </c>
      <c r="AY476" s="2">
        <v>4.0</v>
      </c>
      <c r="AZ476" s="2">
        <v>0.0</v>
      </c>
      <c r="BA476" s="2">
        <v>0.0</v>
      </c>
      <c r="BB476" s="2">
        <v>32.0</v>
      </c>
      <c r="BC476" s="2">
        <v>1.0</v>
      </c>
      <c r="BD476" s="2">
        <v>39.0</v>
      </c>
      <c r="BE476" s="2">
        <v>11.0</v>
      </c>
      <c r="BF476" s="2">
        <v>62.0</v>
      </c>
      <c r="BG476" s="2">
        <v>1.0</v>
      </c>
      <c r="BH476" s="2">
        <v>8.0</v>
      </c>
      <c r="BI476" s="2">
        <v>57.0</v>
      </c>
      <c r="BJ476" s="2">
        <v>9.0</v>
      </c>
      <c r="BK476" s="2">
        <v>1.0</v>
      </c>
      <c r="BL476" s="2">
        <v>29.0</v>
      </c>
      <c r="BM476" s="2">
        <v>6.0</v>
      </c>
      <c r="BN476" s="2">
        <v>0.0</v>
      </c>
      <c r="BO476" s="2">
        <v>0.0</v>
      </c>
      <c r="BP476" s="2">
        <v>0.0</v>
      </c>
      <c r="BQ476" s="2">
        <v>0.0</v>
      </c>
      <c r="BR476" s="2">
        <v>0.0</v>
      </c>
      <c r="BS476" s="2">
        <v>0.0</v>
      </c>
      <c r="BT476" s="2">
        <v>1.0</v>
      </c>
      <c r="BU476" s="2">
        <v>0.0</v>
      </c>
      <c r="BV476" s="2">
        <v>0.0</v>
      </c>
      <c r="BW476" s="2">
        <v>3.0</v>
      </c>
      <c r="BX476" s="2">
        <v>30.0</v>
      </c>
      <c r="BY476" s="2">
        <v>3.0</v>
      </c>
      <c r="BZ476" s="2">
        <v>1.0</v>
      </c>
      <c r="CA476" s="2">
        <v>0.0</v>
      </c>
      <c r="CB476" s="2">
        <v>0.0</v>
      </c>
      <c r="CC476" s="2">
        <v>1.0</v>
      </c>
      <c r="CD476" s="2">
        <v>1.0</v>
      </c>
      <c r="CE476" s="2">
        <v>2.0</v>
      </c>
      <c r="CF476" s="2">
        <v>10.0</v>
      </c>
      <c r="CG476" s="2">
        <v>2.0</v>
      </c>
      <c r="CH476" s="2">
        <v>44.0</v>
      </c>
      <c r="CI476" s="2">
        <v>5.0</v>
      </c>
      <c r="CJ476" s="2">
        <v>6.0</v>
      </c>
      <c r="CK476" s="2">
        <v>1.0</v>
      </c>
      <c r="CL476" s="2">
        <v>0.0</v>
      </c>
      <c r="CM476" s="2">
        <v>50.0</v>
      </c>
      <c r="CN476" s="2">
        <v>0.833333333333333</v>
      </c>
      <c r="CO476" s="2">
        <v>0.0</v>
      </c>
      <c r="CP476" s="2">
        <v>0.0</v>
      </c>
      <c r="CQ476" s="2">
        <v>3.0</v>
      </c>
      <c r="CR476" s="2">
        <v>1.0</v>
      </c>
      <c r="CS476" s="2">
        <v>1.0</v>
      </c>
      <c r="CT476" s="2">
        <v>0.0</v>
      </c>
      <c r="CU476" s="2">
        <v>0.0</v>
      </c>
      <c r="CV476" s="2">
        <v>0.0</v>
      </c>
      <c r="CW476" s="2">
        <v>0.0</v>
      </c>
      <c r="CX476" s="2">
        <v>0.0</v>
      </c>
      <c r="CY476" s="2">
        <v>0.0</v>
      </c>
      <c r="CZ476" s="2">
        <v>1.0</v>
      </c>
      <c r="DA476" s="2" t="s">
        <v>2259</v>
      </c>
      <c r="DB476" s="2" t="s">
        <v>2176</v>
      </c>
      <c r="DD476" s="2">
        <v>209.0</v>
      </c>
      <c r="DE476" s="2">
        <v>61.0</v>
      </c>
      <c r="DF476" s="2">
        <v>0.0</v>
      </c>
      <c r="DG476" s="2">
        <v>2.0</v>
      </c>
      <c r="DH476" s="2">
        <v>2.0</v>
      </c>
      <c r="DI476" s="2">
        <v>0.0</v>
      </c>
      <c r="DJ476" s="2">
        <v>0.0</v>
      </c>
      <c r="DK476" s="2">
        <v>1.0</v>
      </c>
      <c r="DL476" s="2">
        <v>0.0</v>
      </c>
      <c r="DM476" s="2">
        <v>0.0</v>
      </c>
      <c r="DN476" s="2">
        <v>0.0</v>
      </c>
      <c r="DO476" s="2">
        <v>0.0</v>
      </c>
      <c r="DP476" s="2">
        <v>0.0</v>
      </c>
      <c r="DQ476" s="2">
        <v>1.0</v>
      </c>
      <c r="DR476" s="2">
        <v>0.0</v>
      </c>
      <c r="DS476" s="2">
        <v>46.0</v>
      </c>
      <c r="DT476" s="2">
        <v>46.0</v>
      </c>
      <c r="DU476" s="2">
        <v>0.0</v>
      </c>
      <c r="DV476" s="2">
        <v>0.0</v>
      </c>
      <c r="DW476" s="2">
        <v>1.0</v>
      </c>
      <c r="DX476" s="2">
        <v>0.0</v>
      </c>
      <c r="DY476" s="2">
        <v>0.0</v>
      </c>
      <c r="DZ476" s="2">
        <v>0.0</v>
      </c>
      <c r="EA476" s="2">
        <v>0.0</v>
      </c>
      <c r="EB476" s="2">
        <v>0.0</v>
      </c>
      <c r="EC476" s="2">
        <v>46.0</v>
      </c>
      <c r="EE476" s="2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2">
        <v>2025.0</v>
      </c>
      <c r="B477" s="2">
        <v>16.0</v>
      </c>
      <c r="C477" s="2" t="s">
        <v>235</v>
      </c>
      <c r="D477" s="2" t="s">
        <v>390</v>
      </c>
      <c r="E477" s="2" t="s">
        <v>1115</v>
      </c>
      <c r="F477" s="2" t="s">
        <v>144</v>
      </c>
      <c r="G477" s="2">
        <v>7.0</v>
      </c>
      <c r="H477" s="2">
        <v>13.0</v>
      </c>
      <c r="I477" s="2">
        <v>33.0</v>
      </c>
      <c r="J477" s="2">
        <v>0.0</v>
      </c>
      <c r="K477" s="2">
        <v>1.0</v>
      </c>
      <c r="L477" s="2">
        <v>5.0</v>
      </c>
      <c r="M477" s="2">
        <v>-20.0</v>
      </c>
      <c r="N477" s="2">
        <v>0.0</v>
      </c>
      <c r="O477" s="2">
        <v>0.0</v>
      </c>
      <c r="P477" s="2">
        <v>84.0</v>
      </c>
      <c r="Q477" s="2">
        <v>19.0</v>
      </c>
      <c r="R477" s="2">
        <v>1.0</v>
      </c>
      <c r="S477" s="2">
        <v>-17.0581953036935</v>
      </c>
      <c r="T477" s="2">
        <v>-17.3429523523037</v>
      </c>
      <c r="U477" s="2">
        <v>0.0</v>
      </c>
      <c r="V477" s="2">
        <v>1.0</v>
      </c>
      <c r="W477" s="2">
        <v>0.0</v>
      </c>
      <c r="X477" s="2">
        <v>0.0</v>
      </c>
      <c r="Y477" s="2">
        <v>0.0</v>
      </c>
      <c r="Z477" s="2">
        <v>30.0</v>
      </c>
      <c r="AA477" s="2">
        <v>128.0</v>
      </c>
      <c r="AB477" s="2">
        <v>0.0</v>
      </c>
      <c r="AC477" s="2">
        <v>0.0</v>
      </c>
      <c r="AD477" s="2">
        <v>0.0</v>
      </c>
      <c r="AE477" s="2">
        <v>7.0</v>
      </c>
      <c r="AF477" s="2">
        <v>-1.13605845527491</v>
      </c>
      <c r="AG477" s="2">
        <v>0.0</v>
      </c>
      <c r="AH477" s="2">
        <v>2.0</v>
      </c>
      <c r="AI477" s="2">
        <v>2.0</v>
      </c>
      <c r="AJ477" s="2">
        <v>0.0</v>
      </c>
      <c r="AK477" s="2">
        <v>0.0</v>
      </c>
      <c r="AL477" s="2">
        <v>7.0</v>
      </c>
      <c r="AM477" s="2">
        <v>13.0</v>
      </c>
      <c r="AN477" s="2">
        <v>33.0</v>
      </c>
      <c r="AO477" s="2">
        <v>0.0</v>
      </c>
      <c r="AP477" s="2">
        <v>0.0</v>
      </c>
      <c r="AQ477" s="2">
        <v>0.0</v>
      </c>
      <c r="AR477" s="2">
        <v>84.0</v>
      </c>
      <c r="AS477" s="2">
        <v>19.0</v>
      </c>
      <c r="AT477" s="2">
        <v>1.0</v>
      </c>
      <c r="AU477" s="2">
        <v>-7.61019224469863</v>
      </c>
      <c r="AV477" s="2">
        <v>0.0</v>
      </c>
      <c r="AW477" s="2">
        <v>1.0</v>
      </c>
      <c r="AX477" s="2">
        <v>0.0</v>
      </c>
      <c r="AY477" s="2">
        <v>0.0</v>
      </c>
      <c r="AZ477" s="2">
        <v>0.0</v>
      </c>
      <c r="BA477" s="2">
        <v>0.0</v>
      </c>
      <c r="BB477" s="2">
        <v>34.0</v>
      </c>
      <c r="BC477" s="2">
        <v>0.0</v>
      </c>
      <c r="BD477" s="2">
        <v>28.0</v>
      </c>
      <c r="BE477" s="2">
        <v>7.0</v>
      </c>
      <c r="BF477" s="2">
        <v>37.0</v>
      </c>
      <c r="BG477" s="2">
        <v>1.0</v>
      </c>
      <c r="BH477" s="2">
        <v>4.0</v>
      </c>
      <c r="BI477" s="2">
        <v>34.0</v>
      </c>
      <c r="BJ477" s="2">
        <v>9.0</v>
      </c>
      <c r="BK477" s="2">
        <v>1.0</v>
      </c>
      <c r="BL477" s="2">
        <v>0.0</v>
      </c>
      <c r="BM477" s="2">
        <v>5.0</v>
      </c>
      <c r="BN477" s="2">
        <v>0.0</v>
      </c>
      <c r="BO477" s="2">
        <v>0.0</v>
      </c>
      <c r="BP477" s="2">
        <v>0.0</v>
      </c>
      <c r="BQ477" s="2">
        <v>0.0</v>
      </c>
      <c r="BR477" s="2">
        <v>0.0</v>
      </c>
      <c r="BS477" s="2">
        <v>0.0</v>
      </c>
      <c r="BT477" s="2">
        <v>1.0</v>
      </c>
      <c r="BU477" s="2">
        <v>27.0</v>
      </c>
      <c r="BV477" s="2">
        <v>1.0</v>
      </c>
      <c r="BW477" s="2">
        <v>11.0</v>
      </c>
      <c r="BX477" s="2">
        <v>74.0</v>
      </c>
      <c r="BY477" s="2">
        <v>3.0</v>
      </c>
      <c r="BZ477" s="2">
        <v>0.0</v>
      </c>
      <c r="CA477" s="2">
        <v>0.0</v>
      </c>
      <c r="CB477" s="2">
        <v>0.0</v>
      </c>
      <c r="CC477" s="2">
        <v>0.0</v>
      </c>
      <c r="CD477" s="2">
        <v>0.0</v>
      </c>
      <c r="CE477" s="2">
        <v>1.0</v>
      </c>
      <c r="CF477" s="2">
        <v>5.0</v>
      </c>
      <c r="CG477" s="2">
        <v>5.0</v>
      </c>
      <c r="CH477" s="2">
        <v>127.0</v>
      </c>
      <c r="CI477" s="2">
        <v>2.0</v>
      </c>
      <c r="CJ477" s="2">
        <v>2.0</v>
      </c>
      <c r="CK477" s="2">
        <v>0.0</v>
      </c>
      <c r="CL477" s="2">
        <v>0.0</v>
      </c>
      <c r="CM477" s="2">
        <v>39.0</v>
      </c>
      <c r="CN477" s="2">
        <v>1.0</v>
      </c>
      <c r="CO477" s="2">
        <v>0.0</v>
      </c>
      <c r="CP477" s="2">
        <v>1.0</v>
      </c>
      <c r="CQ477" s="2">
        <v>1.0</v>
      </c>
      <c r="CR477" s="2">
        <v>0.0</v>
      </c>
      <c r="CS477" s="2">
        <v>0.0</v>
      </c>
      <c r="CT477" s="2">
        <v>0.0</v>
      </c>
      <c r="CU477" s="2">
        <v>0.0</v>
      </c>
      <c r="CV477" s="2">
        <v>0.0</v>
      </c>
      <c r="CW477" s="2">
        <v>0.0</v>
      </c>
      <c r="CX477" s="2">
        <v>0.0</v>
      </c>
      <c r="CY477" s="2">
        <v>0.0</v>
      </c>
      <c r="CZ477" s="2">
        <v>0.0</v>
      </c>
      <c r="DA477" s="2" t="s">
        <v>2260</v>
      </c>
      <c r="DD477" s="2">
        <v>66.0</v>
      </c>
      <c r="DE477" s="2">
        <v>0.0</v>
      </c>
      <c r="DF477" s="2">
        <v>0.0</v>
      </c>
      <c r="DG477" s="2">
        <v>1.0</v>
      </c>
      <c r="DH477" s="2">
        <v>1.0</v>
      </c>
      <c r="DI477" s="2">
        <v>0.0</v>
      </c>
      <c r="DJ477" s="2">
        <v>0.0</v>
      </c>
      <c r="DK477" s="2">
        <v>1.0</v>
      </c>
      <c r="DL477" s="2">
        <v>0.0</v>
      </c>
      <c r="DM477" s="2">
        <v>0.0</v>
      </c>
      <c r="DN477" s="2">
        <v>0.0</v>
      </c>
      <c r="DO477" s="2">
        <v>0.0</v>
      </c>
      <c r="DP477" s="2">
        <v>0.0</v>
      </c>
      <c r="DQ477" s="2">
        <v>2.0</v>
      </c>
      <c r="DR477" s="2">
        <v>0.0</v>
      </c>
      <c r="DS477" s="2">
        <v>51.0</v>
      </c>
      <c r="DT477" s="2">
        <v>91.0</v>
      </c>
      <c r="DU477" s="2">
        <v>0.0</v>
      </c>
      <c r="DV477" s="2">
        <v>0.0</v>
      </c>
      <c r="DW477" s="2">
        <v>0.0</v>
      </c>
      <c r="DX477" s="2">
        <v>0.0</v>
      </c>
      <c r="DY477" s="2">
        <v>1.0</v>
      </c>
      <c r="DZ477" s="2">
        <v>1.0</v>
      </c>
      <c r="EA477" s="2">
        <v>12.0</v>
      </c>
      <c r="EB477" s="2">
        <v>0.0</v>
      </c>
      <c r="EC477" s="2">
        <v>79.0</v>
      </c>
      <c r="EE477" s="2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2">
        <v>2025.0</v>
      </c>
      <c r="B478" s="2">
        <v>16.0</v>
      </c>
      <c r="C478" s="2" t="s">
        <v>238</v>
      </c>
      <c r="D478" s="2" t="s">
        <v>390</v>
      </c>
      <c r="E478" s="2" t="s">
        <v>1113</v>
      </c>
      <c r="F478" s="2" t="s">
        <v>232</v>
      </c>
      <c r="G478" s="2">
        <v>22.0</v>
      </c>
      <c r="H478" s="2">
        <v>35.0</v>
      </c>
      <c r="I478" s="2">
        <v>188.0</v>
      </c>
      <c r="J478" s="2">
        <v>0.0</v>
      </c>
      <c r="K478" s="2">
        <v>1.0</v>
      </c>
      <c r="L478" s="2">
        <v>8.0</v>
      </c>
      <c r="M478" s="2">
        <v>-57.0</v>
      </c>
      <c r="N478" s="2">
        <v>1.0</v>
      </c>
      <c r="O478" s="2">
        <v>1.0</v>
      </c>
      <c r="P478" s="2">
        <v>163.0</v>
      </c>
      <c r="Q478" s="2">
        <v>154.0</v>
      </c>
      <c r="R478" s="2">
        <v>6.0</v>
      </c>
      <c r="S478" s="2">
        <v>-21.2872656167221</v>
      </c>
      <c r="T478" s="2">
        <v>-11.8227867519154</v>
      </c>
      <c r="U478" s="2">
        <v>0.0</v>
      </c>
      <c r="V478" s="2">
        <v>7.0</v>
      </c>
      <c r="W478" s="2">
        <v>4.0</v>
      </c>
      <c r="X478" s="2">
        <v>2.0</v>
      </c>
      <c r="Y478" s="2">
        <v>0.0</v>
      </c>
      <c r="Z478" s="2">
        <v>20.0</v>
      </c>
      <c r="AA478" s="2">
        <v>64.0</v>
      </c>
      <c r="AB478" s="2">
        <v>0.0</v>
      </c>
      <c r="AC478" s="2">
        <v>0.0</v>
      </c>
      <c r="AD478" s="2">
        <v>0.0</v>
      </c>
      <c r="AE478" s="2">
        <v>5.0</v>
      </c>
      <c r="AF478" s="2">
        <v>-1.17288678820478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22.0</v>
      </c>
      <c r="AM478" s="2">
        <v>34.0</v>
      </c>
      <c r="AN478" s="2">
        <v>188.0</v>
      </c>
      <c r="AO478" s="2">
        <v>0.0</v>
      </c>
      <c r="AP478" s="2">
        <v>0.0</v>
      </c>
      <c r="AQ478" s="2">
        <v>0.0</v>
      </c>
      <c r="AR478" s="2">
        <v>163.0</v>
      </c>
      <c r="AS478" s="2">
        <v>154.0</v>
      </c>
      <c r="AT478" s="2">
        <v>6.0</v>
      </c>
      <c r="AU478" s="2">
        <v>-4.83345962509898</v>
      </c>
      <c r="AV478" s="2">
        <v>0.0</v>
      </c>
      <c r="AW478" s="2">
        <v>7.0</v>
      </c>
      <c r="AX478" s="2">
        <v>4.0</v>
      </c>
      <c r="AY478" s="2">
        <v>2.0</v>
      </c>
      <c r="AZ478" s="2">
        <v>0.0</v>
      </c>
      <c r="BA478" s="2">
        <v>0.0</v>
      </c>
      <c r="BB478" s="2">
        <v>43.0</v>
      </c>
      <c r="BC478" s="2">
        <v>0.0</v>
      </c>
      <c r="BD478" s="2">
        <v>38.0</v>
      </c>
      <c r="BE478" s="2">
        <v>3.0</v>
      </c>
      <c r="BF478" s="2">
        <v>20.0</v>
      </c>
      <c r="BG478" s="2">
        <v>1.0</v>
      </c>
      <c r="BH478" s="2">
        <v>3.0</v>
      </c>
      <c r="BI478" s="2">
        <v>18.0</v>
      </c>
      <c r="BJ478" s="2">
        <v>5.0</v>
      </c>
      <c r="BK478" s="2">
        <v>0.0</v>
      </c>
      <c r="BL478" s="2">
        <v>0.0</v>
      </c>
      <c r="BM478" s="2">
        <v>2.0</v>
      </c>
      <c r="BN478" s="2">
        <v>0.0</v>
      </c>
      <c r="BO478" s="2">
        <v>0.0</v>
      </c>
      <c r="BP478" s="2">
        <v>0.0</v>
      </c>
      <c r="BQ478" s="2">
        <v>0.0</v>
      </c>
      <c r="BR478" s="2">
        <v>0.0</v>
      </c>
      <c r="BS478" s="2">
        <v>0.0</v>
      </c>
      <c r="BT478" s="2">
        <v>1.0</v>
      </c>
      <c r="BU478" s="2">
        <v>0.0</v>
      </c>
      <c r="BV478" s="2">
        <v>0.0</v>
      </c>
      <c r="BW478" s="2">
        <v>7.0</v>
      </c>
      <c r="BX478" s="2">
        <v>54.0</v>
      </c>
      <c r="BY478" s="2">
        <v>4.0</v>
      </c>
      <c r="BZ478" s="2">
        <v>1.0</v>
      </c>
      <c r="CA478" s="2">
        <v>0.0</v>
      </c>
      <c r="CB478" s="2">
        <v>0.0</v>
      </c>
      <c r="CC478" s="2">
        <v>1.0</v>
      </c>
      <c r="CD478" s="2">
        <v>1.0</v>
      </c>
      <c r="CE478" s="2">
        <v>0.0</v>
      </c>
      <c r="CF478" s="2">
        <v>0.0</v>
      </c>
      <c r="CG478" s="2">
        <v>2.0</v>
      </c>
      <c r="CH478" s="2">
        <v>76.0</v>
      </c>
      <c r="CI478" s="2">
        <v>2.0</v>
      </c>
      <c r="CJ478" s="2">
        <v>2.0</v>
      </c>
      <c r="CK478" s="2">
        <v>0.0</v>
      </c>
      <c r="CL478" s="2">
        <v>0.0</v>
      </c>
      <c r="CM478" s="2">
        <v>36.0</v>
      </c>
      <c r="CN478" s="2">
        <v>1.0</v>
      </c>
      <c r="CO478" s="2">
        <v>0.0</v>
      </c>
      <c r="CP478" s="2">
        <v>1.0</v>
      </c>
      <c r="CQ478" s="2">
        <v>1.0</v>
      </c>
      <c r="CR478" s="2">
        <v>0.0</v>
      </c>
      <c r="CS478" s="2">
        <v>0.0</v>
      </c>
      <c r="CT478" s="2">
        <v>0.0</v>
      </c>
      <c r="CU478" s="2">
        <v>0.0</v>
      </c>
      <c r="CV478" s="2">
        <v>0.0</v>
      </c>
      <c r="CW478" s="2">
        <v>0.0</v>
      </c>
      <c r="CX478" s="2">
        <v>0.0</v>
      </c>
      <c r="CY478" s="2">
        <v>0.0</v>
      </c>
      <c r="CZ478" s="2">
        <v>0.0</v>
      </c>
      <c r="DA478" s="2" t="s">
        <v>2089</v>
      </c>
      <c r="DD478" s="2">
        <v>65.0</v>
      </c>
      <c r="DE478" s="2">
        <v>0.0</v>
      </c>
      <c r="DF478" s="2">
        <v>0.0</v>
      </c>
      <c r="DG478" s="2">
        <v>0.0</v>
      </c>
      <c r="DH478" s="2">
        <v>0.0</v>
      </c>
      <c r="DI478" s="2">
        <v>0.0</v>
      </c>
      <c r="DJ478" s="2">
        <v>0.0</v>
      </c>
      <c r="DL478" s="2">
        <v>0.0</v>
      </c>
      <c r="DM478" s="2">
        <v>0.0</v>
      </c>
      <c r="DN478" s="2">
        <v>0.0</v>
      </c>
      <c r="DO478" s="2">
        <v>0.0</v>
      </c>
      <c r="DP478" s="2">
        <v>0.0</v>
      </c>
      <c r="DQ478" s="2">
        <v>5.0</v>
      </c>
      <c r="DR478" s="2">
        <v>0.0</v>
      </c>
      <c r="DS478" s="2">
        <v>55.0</v>
      </c>
      <c r="DT478" s="2">
        <v>231.0</v>
      </c>
      <c r="DU478" s="2">
        <v>3.0</v>
      </c>
      <c r="DV478" s="2">
        <v>0.0</v>
      </c>
      <c r="DW478" s="2">
        <v>0.0</v>
      </c>
      <c r="DX478" s="2">
        <v>0.0</v>
      </c>
      <c r="DY478" s="2">
        <v>3.0</v>
      </c>
      <c r="DZ478" s="2">
        <v>2.0</v>
      </c>
      <c r="EA478" s="2">
        <v>10.0</v>
      </c>
      <c r="EB478" s="2">
        <v>0.0</v>
      </c>
      <c r="EC478" s="2">
        <v>221.0</v>
      </c>
      <c r="EE478" s="2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2">
        <v>2025.0</v>
      </c>
      <c r="B479" s="2">
        <v>16.0</v>
      </c>
      <c r="C479" s="2" t="s">
        <v>147</v>
      </c>
      <c r="D479" s="2" t="s">
        <v>390</v>
      </c>
      <c r="E479" s="2" t="s">
        <v>1101</v>
      </c>
      <c r="F479" s="2" t="s">
        <v>253</v>
      </c>
      <c r="G479" s="2">
        <v>22.0</v>
      </c>
      <c r="H479" s="2">
        <v>30.0</v>
      </c>
      <c r="I479" s="2">
        <v>185.0</v>
      </c>
      <c r="J479" s="2">
        <v>2.0</v>
      </c>
      <c r="K479" s="2">
        <v>0.0</v>
      </c>
      <c r="L479" s="2">
        <v>2.0</v>
      </c>
      <c r="M479" s="2">
        <v>-7.0</v>
      </c>
      <c r="N479" s="2">
        <v>1.0</v>
      </c>
      <c r="O479" s="2">
        <v>0.0</v>
      </c>
      <c r="P479" s="2">
        <v>201.0</v>
      </c>
      <c r="Q479" s="2">
        <v>80.0</v>
      </c>
      <c r="R479" s="2">
        <v>11.0</v>
      </c>
      <c r="S479" s="2">
        <v>7.48114916545311</v>
      </c>
      <c r="T479" s="2">
        <v>7.54766669766656</v>
      </c>
      <c r="U479" s="2">
        <v>0.0</v>
      </c>
      <c r="V479" s="2">
        <v>5.0</v>
      </c>
      <c r="W479" s="2">
        <v>3.0</v>
      </c>
      <c r="X479" s="2">
        <v>1.0</v>
      </c>
      <c r="Y479" s="2">
        <v>0.0</v>
      </c>
      <c r="Z479" s="2">
        <v>34.0</v>
      </c>
      <c r="AA479" s="2">
        <v>207.0</v>
      </c>
      <c r="AB479" s="2">
        <v>2.0</v>
      </c>
      <c r="AC479" s="2">
        <v>0.0</v>
      </c>
      <c r="AD479" s="2">
        <v>0.0</v>
      </c>
      <c r="AE479" s="2">
        <v>12.0</v>
      </c>
      <c r="AF479" s="2">
        <v>8.92349083370948</v>
      </c>
      <c r="AG479" s="2">
        <v>1.0</v>
      </c>
      <c r="AH479" s="2">
        <v>7.0</v>
      </c>
      <c r="AI479" s="2">
        <v>6.0</v>
      </c>
      <c r="AJ479" s="2">
        <v>2.0</v>
      </c>
      <c r="AK479" s="2">
        <v>1.0</v>
      </c>
      <c r="AL479" s="2">
        <v>22.0</v>
      </c>
      <c r="AM479" s="2">
        <v>29.0</v>
      </c>
      <c r="AN479" s="2">
        <v>185.0</v>
      </c>
      <c r="AO479" s="2">
        <v>2.0</v>
      </c>
      <c r="AP479" s="2">
        <v>0.0</v>
      </c>
      <c r="AQ479" s="2">
        <v>0.0</v>
      </c>
      <c r="AR479" s="2">
        <v>201.0</v>
      </c>
      <c r="AS479" s="2">
        <v>80.0</v>
      </c>
      <c r="AT479" s="2">
        <v>11.0</v>
      </c>
      <c r="AU479" s="2">
        <v>10.1912561180347</v>
      </c>
      <c r="AV479" s="2">
        <v>0.0</v>
      </c>
      <c r="AW479" s="2">
        <v>5.0</v>
      </c>
      <c r="AX479" s="2">
        <v>3.0</v>
      </c>
      <c r="AY479" s="2">
        <v>1.0</v>
      </c>
      <c r="AZ479" s="2">
        <v>0.0</v>
      </c>
      <c r="BA479" s="2">
        <v>0.0</v>
      </c>
      <c r="BB479" s="2">
        <v>29.0</v>
      </c>
      <c r="BC479" s="2">
        <v>1.0</v>
      </c>
      <c r="BD479" s="2">
        <v>25.0</v>
      </c>
      <c r="BE479" s="2">
        <v>5.0</v>
      </c>
      <c r="BF479" s="2">
        <v>13.0</v>
      </c>
      <c r="BG479" s="2">
        <v>0.0</v>
      </c>
      <c r="BH479" s="2">
        <v>2.0</v>
      </c>
      <c r="BI479" s="2">
        <v>8.0</v>
      </c>
      <c r="BJ479" s="2">
        <v>4.0</v>
      </c>
      <c r="BK479" s="2">
        <v>1.0</v>
      </c>
      <c r="BL479" s="2">
        <v>11.0</v>
      </c>
      <c r="BM479" s="2">
        <v>6.0</v>
      </c>
      <c r="BN479" s="2">
        <v>0.0</v>
      </c>
      <c r="BO479" s="2">
        <v>0.0</v>
      </c>
      <c r="BP479" s="2">
        <v>0.0</v>
      </c>
      <c r="BQ479" s="2">
        <v>0.0</v>
      </c>
      <c r="BR479" s="2">
        <v>1.0</v>
      </c>
      <c r="BS479" s="2">
        <v>0.0</v>
      </c>
      <c r="BT479" s="2">
        <v>0.0</v>
      </c>
      <c r="BU479" s="2">
        <v>0.0</v>
      </c>
      <c r="BV479" s="2">
        <v>0.0</v>
      </c>
      <c r="BW479" s="2">
        <v>5.0</v>
      </c>
      <c r="BX479" s="2">
        <v>61.0</v>
      </c>
      <c r="BY479" s="2">
        <v>4.0</v>
      </c>
      <c r="BZ479" s="2">
        <v>2.0</v>
      </c>
      <c r="CA479" s="2">
        <v>0.0</v>
      </c>
      <c r="CB479" s="2">
        <v>0.0</v>
      </c>
      <c r="CC479" s="2">
        <v>2.0</v>
      </c>
      <c r="CD479" s="2">
        <v>1.0</v>
      </c>
      <c r="CE479" s="2">
        <v>1.0</v>
      </c>
      <c r="CF479" s="2">
        <v>11.0</v>
      </c>
      <c r="CG479" s="2">
        <v>3.0</v>
      </c>
      <c r="CH479" s="2">
        <v>66.0</v>
      </c>
      <c r="CI479" s="2">
        <v>0.0</v>
      </c>
      <c r="CJ479" s="2">
        <v>2.0</v>
      </c>
      <c r="CK479" s="2">
        <v>2.0</v>
      </c>
      <c r="CL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0.0</v>
      </c>
      <c r="CS479" s="2">
        <v>0.0</v>
      </c>
      <c r="CT479" s="2">
        <v>0.0</v>
      </c>
      <c r="CU479" s="2">
        <v>0.0</v>
      </c>
      <c r="CV479" s="2">
        <v>0.0</v>
      </c>
      <c r="CW479" s="2">
        <v>0.0</v>
      </c>
      <c r="CX479" s="2">
        <v>1.0</v>
      </c>
      <c r="CY479" s="2">
        <v>1.0</v>
      </c>
      <c r="CZ479" s="2">
        <v>0.0</v>
      </c>
      <c r="DB479" s="2" t="s">
        <v>2261</v>
      </c>
      <c r="DD479" s="2">
        <v>0.0</v>
      </c>
      <c r="DE479" s="2">
        <v>95.0</v>
      </c>
      <c r="DF479" s="2">
        <v>0.0</v>
      </c>
      <c r="DG479" s="2">
        <v>3.0</v>
      </c>
      <c r="DH479" s="2">
        <v>3.0</v>
      </c>
      <c r="DI479" s="2">
        <v>0.0</v>
      </c>
      <c r="DJ479" s="2">
        <v>0.0</v>
      </c>
      <c r="DK479" s="2">
        <v>1.0</v>
      </c>
      <c r="DL479" s="2">
        <v>0.0</v>
      </c>
      <c r="DM479" s="2">
        <v>0.0</v>
      </c>
      <c r="DN479" s="2">
        <v>0.0</v>
      </c>
      <c r="DO479" s="2">
        <v>0.0</v>
      </c>
      <c r="DP479" s="2">
        <v>0.0</v>
      </c>
      <c r="DQ479" s="2">
        <v>2.0</v>
      </c>
      <c r="DR479" s="2">
        <v>0.0</v>
      </c>
      <c r="DS479" s="2">
        <v>49.0</v>
      </c>
      <c r="DT479" s="2">
        <v>87.0</v>
      </c>
      <c r="DU479" s="2">
        <v>1.0</v>
      </c>
      <c r="DV479" s="2">
        <v>1.0</v>
      </c>
      <c r="DW479" s="2">
        <v>0.0</v>
      </c>
      <c r="DX479" s="2">
        <v>0.0</v>
      </c>
      <c r="DY479" s="2">
        <v>0.0</v>
      </c>
      <c r="DZ479" s="2">
        <v>1.0</v>
      </c>
      <c r="EA479" s="2">
        <v>0.0</v>
      </c>
      <c r="EB479" s="2">
        <v>0.0</v>
      </c>
      <c r="EC479" s="2">
        <v>87.0</v>
      </c>
      <c r="EE479" s="2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2">
        <v>2025.0</v>
      </c>
      <c r="B480" s="2">
        <v>16.0</v>
      </c>
      <c r="C480" s="2" t="s">
        <v>242</v>
      </c>
      <c r="D480" s="2" t="s">
        <v>390</v>
      </c>
      <c r="E480" s="2" t="s">
        <v>1125</v>
      </c>
      <c r="F480" s="2" t="s">
        <v>202</v>
      </c>
      <c r="G480" s="2">
        <v>27.0</v>
      </c>
      <c r="H480" s="2">
        <v>41.0</v>
      </c>
      <c r="I480" s="2">
        <v>266.0</v>
      </c>
      <c r="J480" s="2">
        <v>1.0</v>
      </c>
      <c r="K480" s="2">
        <v>0.0</v>
      </c>
      <c r="L480" s="2">
        <v>2.0</v>
      </c>
      <c r="M480" s="2">
        <v>-15.0</v>
      </c>
      <c r="N480" s="2">
        <v>0.0</v>
      </c>
      <c r="O480" s="2">
        <v>0.0</v>
      </c>
      <c r="P480" s="2">
        <v>335.0</v>
      </c>
      <c r="Q480" s="2">
        <v>121.0</v>
      </c>
      <c r="R480" s="2">
        <v>14.0</v>
      </c>
      <c r="S480" s="2">
        <v>11.0238373013166</v>
      </c>
      <c r="T480" s="2">
        <v>-1.3820029403034</v>
      </c>
      <c r="U480" s="2">
        <v>0.0</v>
      </c>
      <c r="V480" s="2">
        <v>10.0</v>
      </c>
      <c r="W480" s="2">
        <v>5.0</v>
      </c>
      <c r="X480" s="2">
        <v>2.0</v>
      </c>
      <c r="Y480" s="2">
        <v>1.0</v>
      </c>
      <c r="Z480" s="2">
        <v>27.0</v>
      </c>
      <c r="AA480" s="2">
        <v>230.0</v>
      </c>
      <c r="AB480" s="2">
        <v>2.0</v>
      </c>
      <c r="AC480" s="2">
        <v>0.0</v>
      </c>
      <c r="AD480" s="2">
        <v>0.0</v>
      </c>
      <c r="AE480" s="2">
        <v>8.0</v>
      </c>
      <c r="AF480" s="2">
        <v>8.73312712297775</v>
      </c>
      <c r="AG480" s="2">
        <v>0.0</v>
      </c>
      <c r="AH480" s="2">
        <v>7.0</v>
      </c>
      <c r="AI480" s="2">
        <v>5.0</v>
      </c>
      <c r="AJ480" s="2">
        <v>4.0</v>
      </c>
      <c r="AK480" s="2">
        <v>2.0</v>
      </c>
      <c r="AL480" s="2">
        <v>27.0</v>
      </c>
      <c r="AM480" s="2">
        <v>38.0</v>
      </c>
      <c r="AN480" s="2">
        <v>266.0</v>
      </c>
      <c r="AO480" s="2">
        <v>1.0</v>
      </c>
      <c r="AP480" s="2">
        <v>1.0</v>
      </c>
      <c r="AQ480" s="2">
        <v>1.0</v>
      </c>
      <c r="AR480" s="2">
        <v>335.0</v>
      </c>
      <c r="AS480" s="2">
        <v>121.0</v>
      </c>
      <c r="AT480" s="2">
        <v>14.0</v>
      </c>
      <c r="AU480" s="2">
        <v>13.0320890309889</v>
      </c>
      <c r="AV480" s="2">
        <v>0.0</v>
      </c>
      <c r="AW480" s="2">
        <v>10.0</v>
      </c>
      <c r="AX480" s="2">
        <v>5.0</v>
      </c>
      <c r="AY480" s="2">
        <v>2.0</v>
      </c>
      <c r="AZ480" s="2">
        <v>1.0</v>
      </c>
      <c r="BA480" s="2">
        <v>0.0</v>
      </c>
      <c r="BB480" s="2">
        <v>38.0</v>
      </c>
      <c r="BC480" s="2">
        <v>1.0</v>
      </c>
      <c r="BD480" s="2">
        <v>27.0</v>
      </c>
      <c r="BE480" s="2">
        <v>7.0</v>
      </c>
      <c r="BF480" s="2">
        <v>27.0</v>
      </c>
      <c r="BG480" s="2">
        <v>1.0</v>
      </c>
      <c r="BH480" s="2">
        <v>3.0</v>
      </c>
      <c r="BI480" s="2">
        <v>18.0</v>
      </c>
      <c r="BJ480" s="2">
        <v>9.0</v>
      </c>
      <c r="BK480" s="2">
        <v>0.0</v>
      </c>
      <c r="BL480" s="2">
        <v>0.0</v>
      </c>
      <c r="BM480" s="2">
        <v>6.0</v>
      </c>
      <c r="BN480" s="2">
        <v>0.0</v>
      </c>
      <c r="BO480" s="2">
        <v>0.0</v>
      </c>
      <c r="BP480" s="2">
        <v>1.0</v>
      </c>
      <c r="BQ480" s="2">
        <v>0.0</v>
      </c>
      <c r="BR480" s="2">
        <v>0.0</v>
      </c>
      <c r="BS480" s="2">
        <v>0.0</v>
      </c>
      <c r="BT480" s="2">
        <v>0.0</v>
      </c>
      <c r="BU480" s="2">
        <v>0.0</v>
      </c>
      <c r="BV480" s="2">
        <v>0.0</v>
      </c>
      <c r="BW480" s="2">
        <v>8.0</v>
      </c>
      <c r="BX480" s="2">
        <v>89.0</v>
      </c>
      <c r="BY480" s="2">
        <v>5.0</v>
      </c>
      <c r="BZ480" s="2">
        <v>1.0</v>
      </c>
      <c r="CA480" s="2">
        <v>0.0</v>
      </c>
      <c r="CB480" s="2">
        <v>0.0</v>
      </c>
      <c r="CC480" s="2">
        <v>1.0</v>
      </c>
      <c r="CD480" s="2">
        <v>1.0</v>
      </c>
      <c r="CE480" s="2">
        <v>1.0</v>
      </c>
      <c r="CF480" s="2">
        <v>9.0</v>
      </c>
      <c r="CG480" s="2">
        <v>4.0</v>
      </c>
      <c r="CH480" s="2">
        <v>99.0</v>
      </c>
      <c r="CI480" s="2">
        <v>2.0</v>
      </c>
      <c r="CJ480" s="2">
        <v>3.0</v>
      </c>
      <c r="CK480" s="2">
        <v>1.0</v>
      </c>
      <c r="CL480" s="2">
        <v>0.0</v>
      </c>
      <c r="CM480" s="2">
        <v>59.0</v>
      </c>
      <c r="CN480" s="2">
        <v>0.666666666666667</v>
      </c>
      <c r="CO480" s="2">
        <v>0.0</v>
      </c>
      <c r="CP480" s="2">
        <v>1.0</v>
      </c>
      <c r="CQ480" s="2">
        <v>0.0</v>
      </c>
      <c r="CR480" s="2">
        <v>0.0</v>
      </c>
      <c r="CS480" s="2">
        <v>1.0</v>
      </c>
      <c r="CT480" s="2">
        <v>0.0</v>
      </c>
      <c r="CU480" s="2">
        <v>0.0</v>
      </c>
      <c r="CV480" s="2">
        <v>0.0</v>
      </c>
      <c r="CW480" s="2">
        <v>1.0</v>
      </c>
      <c r="CX480" s="2">
        <v>0.0</v>
      </c>
      <c r="CY480" s="2">
        <v>0.0</v>
      </c>
      <c r="CZ480" s="2">
        <v>0.0</v>
      </c>
      <c r="DA480" s="2" t="s">
        <v>2262</v>
      </c>
      <c r="DB480" s="2" t="s">
        <v>1986</v>
      </c>
      <c r="DD480" s="2">
        <v>82.0</v>
      </c>
      <c r="DE480" s="2">
        <v>37.0</v>
      </c>
      <c r="DF480" s="2">
        <v>0.0</v>
      </c>
      <c r="DG480" s="2">
        <v>3.0</v>
      </c>
      <c r="DH480" s="2">
        <v>3.0</v>
      </c>
      <c r="DI480" s="2">
        <v>0.0</v>
      </c>
      <c r="DJ480" s="2">
        <v>0.0</v>
      </c>
      <c r="DK480" s="2">
        <v>1.0</v>
      </c>
      <c r="DL480" s="2">
        <v>0.0</v>
      </c>
      <c r="DM480" s="2">
        <v>0.0</v>
      </c>
      <c r="DN480" s="2">
        <v>0.0</v>
      </c>
      <c r="DO480" s="2">
        <v>0.0</v>
      </c>
      <c r="DP480" s="2">
        <v>0.0</v>
      </c>
      <c r="DQ480" s="2">
        <v>3.0</v>
      </c>
      <c r="DR480" s="2">
        <v>0.0</v>
      </c>
      <c r="DS480" s="2">
        <v>54.0</v>
      </c>
      <c r="DT480" s="2">
        <v>150.0</v>
      </c>
      <c r="DU480" s="2">
        <v>1.0</v>
      </c>
      <c r="DV480" s="2">
        <v>0.0</v>
      </c>
      <c r="DW480" s="2">
        <v>0.0</v>
      </c>
      <c r="DX480" s="2">
        <v>0.0</v>
      </c>
      <c r="DY480" s="2">
        <v>0.0</v>
      </c>
      <c r="DZ480" s="2">
        <v>3.0</v>
      </c>
      <c r="EA480" s="2">
        <v>16.0</v>
      </c>
      <c r="EB480" s="2">
        <v>0.0</v>
      </c>
      <c r="EC480" s="2">
        <v>134.0</v>
      </c>
      <c r="EE480" s="2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2">
        <v>2025.0</v>
      </c>
      <c r="B481" s="2">
        <v>16.0</v>
      </c>
      <c r="C481" s="2" t="s">
        <v>149</v>
      </c>
      <c r="D481" s="2" t="s">
        <v>390</v>
      </c>
      <c r="E481" s="2" t="s">
        <v>1094</v>
      </c>
      <c r="F481" s="2" t="s">
        <v>142</v>
      </c>
      <c r="G481" s="2">
        <v>22.0</v>
      </c>
      <c r="H481" s="2">
        <v>34.0</v>
      </c>
      <c r="I481" s="2">
        <v>270.0</v>
      </c>
      <c r="J481" s="2">
        <v>2.0</v>
      </c>
      <c r="K481" s="2">
        <v>2.0</v>
      </c>
      <c r="L481" s="2">
        <v>4.0</v>
      </c>
      <c r="M481" s="2">
        <v>-26.0</v>
      </c>
      <c r="N481" s="2">
        <v>0.0</v>
      </c>
      <c r="O481" s="2">
        <v>0.0</v>
      </c>
      <c r="P481" s="2">
        <v>202.0</v>
      </c>
      <c r="Q481" s="2">
        <v>153.0</v>
      </c>
      <c r="R481" s="2">
        <v>11.0</v>
      </c>
      <c r="S481" s="2">
        <v>-2.73390941024968</v>
      </c>
      <c r="T481" s="2">
        <v>1.34449293536525</v>
      </c>
      <c r="U481" s="2">
        <v>2.0</v>
      </c>
      <c r="V481" s="2">
        <v>11.0</v>
      </c>
      <c r="W481" s="2">
        <v>7.0</v>
      </c>
      <c r="X481" s="2">
        <v>5.0</v>
      </c>
      <c r="Y481" s="2">
        <v>1.0</v>
      </c>
      <c r="Z481" s="2">
        <v>25.0</v>
      </c>
      <c r="AA481" s="2">
        <v>171.0</v>
      </c>
      <c r="AB481" s="2">
        <v>2.0</v>
      </c>
      <c r="AC481" s="2">
        <v>0.0</v>
      </c>
      <c r="AD481" s="2">
        <v>0.0</v>
      </c>
      <c r="AE481" s="2">
        <v>9.0</v>
      </c>
      <c r="AF481" s="2">
        <v>9.25960578474053</v>
      </c>
      <c r="AG481" s="2">
        <v>1.0</v>
      </c>
      <c r="AH481" s="2">
        <v>3.0</v>
      </c>
      <c r="AI481" s="2">
        <v>3.0</v>
      </c>
      <c r="AJ481" s="2">
        <v>2.0</v>
      </c>
      <c r="AK481" s="2">
        <v>1.0</v>
      </c>
      <c r="AL481" s="2">
        <v>22.0</v>
      </c>
      <c r="AM481" s="2">
        <v>31.0</v>
      </c>
      <c r="AN481" s="2">
        <v>270.0</v>
      </c>
      <c r="AO481" s="2">
        <v>2.0</v>
      </c>
      <c r="AP481" s="2">
        <v>1.0</v>
      </c>
      <c r="AQ481" s="2">
        <v>1.0</v>
      </c>
      <c r="AR481" s="2">
        <v>202.0</v>
      </c>
      <c r="AS481" s="2">
        <v>153.0</v>
      </c>
      <c r="AT481" s="2">
        <v>11.0</v>
      </c>
      <c r="AU481" s="2">
        <v>-2.68226012485661</v>
      </c>
      <c r="AV481" s="2">
        <v>2.0</v>
      </c>
      <c r="AW481" s="2">
        <v>11.0</v>
      </c>
      <c r="AX481" s="2">
        <v>7.0</v>
      </c>
      <c r="AY481" s="2">
        <v>5.0</v>
      </c>
      <c r="AZ481" s="2">
        <v>1.0</v>
      </c>
      <c r="BA481" s="2">
        <v>1.0</v>
      </c>
      <c r="BB481" s="2">
        <v>43.0</v>
      </c>
      <c r="BC481" s="2">
        <v>1.0</v>
      </c>
      <c r="BD481" s="2">
        <v>59.0</v>
      </c>
      <c r="BE481" s="2">
        <v>2.0</v>
      </c>
      <c r="BF481" s="2">
        <v>2.0</v>
      </c>
      <c r="BG481" s="2">
        <v>0.0</v>
      </c>
      <c r="BH481" s="2">
        <v>0.0</v>
      </c>
      <c r="BI481" s="2">
        <v>0.0</v>
      </c>
      <c r="BJ481" s="2">
        <v>4.0</v>
      </c>
      <c r="BK481" s="2">
        <v>0.0</v>
      </c>
      <c r="BL481" s="2">
        <v>0.0</v>
      </c>
      <c r="BM481" s="2">
        <v>3.0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</v>
      </c>
      <c r="BU481" s="2">
        <v>0.0</v>
      </c>
      <c r="BV481" s="2">
        <v>0.0</v>
      </c>
      <c r="BW481" s="2">
        <v>5.0</v>
      </c>
      <c r="BX481" s="2">
        <v>40.0</v>
      </c>
      <c r="BY481" s="2">
        <v>7.0</v>
      </c>
      <c r="BZ481" s="2">
        <v>1.0</v>
      </c>
      <c r="CA481" s="2">
        <v>0.0</v>
      </c>
      <c r="CB481" s="2">
        <v>0.0</v>
      </c>
      <c r="CC481" s="2">
        <v>1.0</v>
      </c>
      <c r="CD481" s="2">
        <v>1.0</v>
      </c>
      <c r="CE481" s="2">
        <v>1.0</v>
      </c>
      <c r="CF481" s="2">
        <v>58.0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D481" s="2">
        <v>0.0</v>
      </c>
      <c r="DE481" s="2">
        <v>0.0</v>
      </c>
      <c r="DF481" s="2">
        <v>0.0</v>
      </c>
      <c r="DG481" s="2">
        <v>2.0</v>
      </c>
      <c r="DH481" s="2">
        <v>2.0</v>
      </c>
      <c r="DI481" s="2">
        <v>0.0</v>
      </c>
      <c r="DJ481" s="2">
        <v>0.0</v>
      </c>
      <c r="DK481" s="2">
        <v>1.0</v>
      </c>
      <c r="DL481" s="2">
        <v>0.0</v>
      </c>
      <c r="DM481" s="2">
        <v>0.0</v>
      </c>
      <c r="DN481" s="2">
        <v>0.0</v>
      </c>
      <c r="DO481" s="2">
        <v>0.0</v>
      </c>
      <c r="DP481" s="2">
        <v>0.0</v>
      </c>
      <c r="DQ481" s="2">
        <v>5.0</v>
      </c>
      <c r="DR481" s="2">
        <v>0.0</v>
      </c>
      <c r="DS481" s="2">
        <v>57.0</v>
      </c>
      <c r="DT481" s="2">
        <v>240.0</v>
      </c>
      <c r="DU481" s="2">
        <v>3.0</v>
      </c>
      <c r="DV481" s="2">
        <v>1.0</v>
      </c>
      <c r="DW481" s="2">
        <v>0.0</v>
      </c>
      <c r="DX481" s="2">
        <v>0.0</v>
      </c>
      <c r="DY481" s="2">
        <v>3.0</v>
      </c>
      <c r="DZ481" s="2">
        <v>1.0</v>
      </c>
      <c r="EA481" s="2">
        <v>31.0</v>
      </c>
      <c r="EB481" s="2">
        <v>0.0</v>
      </c>
      <c r="EC481" s="2">
        <v>209.0</v>
      </c>
      <c r="EE481" s="2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2">
        <v>2025.0</v>
      </c>
      <c r="B482" s="2">
        <v>16.0</v>
      </c>
      <c r="C482" s="2" t="s">
        <v>246</v>
      </c>
      <c r="D482" s="2" t="s">
        <v>390</v>
      </c>
      <c r="E482" s="2" t="s">
        <v>1133</v>
      </c>
      <c r="F482" s="2" t="s">
        <v>210</v>
      </c>
      <c r="G482" s="2">
        <v>25.0</v>
      </c>
      <c r="H482" s="2">
        <v>34.0</v>
      </c>
      <c r="I482" s="2">
        <v>295.0</v>
      </c>
      <c r="J482" s="2">
        <v>5.0</v>
      </c>
      <c r="K482" s="2">
        <v>1.0</v>
      </c>
      <c r="L482" s="2">
        <v>1.0</v>
      </c>
      <c r="M482" s="2">
        <v>0.0</v>
      </c>
      <c r="N482" s="2">
        <v>1.0</v>
      </c>
      <c r="O482" s="2">
        <v>0.0</v>
      </c>
      <c r="P482" s="2">
        <v>324.0</v>
      </c>
      <c r="Q482" s="2">
        <v>65.0</v>
      </c>
      <c r="R482" s="2">
        <v>20.0</v>
      </c>
      <c r="S482" s="2">
        <v>20.5293887495236</v>
      </c>
      <c r="T482" s="2">
        <v>12.4163142659447</v>
      </c>
      <c r="U482" s="2">
        <v>0.0</v>
      </c>
      <c r="V482" s="2">
        <v>16.0</v>
      </c>
      <c r="W482" s="2">
        <v>8.0</v>
      </c>
      <c r="X482" s="2">
        <v>5.0</v>
      </c>
      <c r="Y482" s="2">
        <v>0.0</v>
      </c>
      <c r="Z482" s="2">
        <v>31.0</v>
      </c>
      <c r="AA482" s="2">
        <v>145.0</v>
      </c>
      <c r="AB482" s="2">
        <v>0.0</v>
      </c>
      <c r="AC482" s="2">
        <v>0.0</v>
      </c>
      <c r="AD482" s="2">
        <v>0.0</v>
      </c>
      <c r="AE482" s="2">
        <v>8.0</v>
      </c>
      <c r="AF482" s="2">
        <v>1.79969202232314</v>
      </c>
      <c r="AG482" s="2">
        <v>0.0</v>
      </c>
      <c r="AH482" s="2">
        <v>4.0</v>
      </c>
      <c r="AI482" s="2">
        <v>3.0</v>
      </c>
      <c r="AJ482" s="2">
        <v>1.0</v>
      </c>
      <c r="AK482" s="2">
        <v>0.0</v>
      </c>
      <c r="AL482" s="2">
        <v>25.0</v>
      </c>
      <c r="AM482" s="2">
        <v>33.0</v>
      </c>
      <c r="AN482" s="2">
        <v>295.0</v>
      </c>
      <c r="AO482" s="2">
        <v>5.0</v>
      </c>
      <c r="AP482" s="2">
        <v>0.0</v>
      </c>
      <c r="AQ482" s="2">
        <v>0.0</v>
      </c>
      <c r="AR482" s="2">
        <v>324.0</v>
      </c>
      <c r="AS482" s="2">
        <v>65.0</v>
      </c>
      <c r="AT482" s="2">
        <v>20.0</v>
      </c>
      <c r="AU482" s="2">
        <v>21.8658336145044</v>
      </c>
      <c r="AV482" s="2">
        <v>0.0</v>
      </c>
      <c r="AW482" s="2">
        <v>16.0</v>
      </c>
      <c r="AX482" s="2">
        <v>8.0</v>
      </c>
      <c r="AY482" s="2">
        <v>5.0</v>
      </c>
      <c r="AZ482" s="2">
        <v>0.0</v>
      </c>
      <c r="BA482" s="2">
        <v>0.0</v>
      </c>
      <c r="BB482" s="2">
        <v>31.0</v>
      </c>
      <c r="BC482" s="2">
        <v>0.0</v>
      </c>
      <c r="BD482" s="2">
        <v>36.0</v>
      </c>
      <c r="BE482" s="2">
        <v>3.0</v>
      </c>
      <c r="BF482" s="2">
        <v>24.0</v>
      </c>
      <c r="BG482" s="2">
        <v>2.0</v>
      </c>
      <c r="BH482" s="2">
        <v>2.0</v>
      </c>
      <c r="BI482" s="2">
        <v>23.0</v>
      </c>
      <c r="BJ482" s="2">
        <v>4.0</v>
      </c>
      <c r="BK482" s="2">
        <v>1.0</v>
      </c>
      <c r="BL482" s="2">
        <v>74.0</v>
      </c>
      <c r="BM482" s="2">
        <v>7.0</v>
      </c>
      <c r="BN482" s="2">
        <v>1.0</v>
      </c>
      <c r="BO482" s="2">
        <v>0.0</v>
      </c>
      <c r="BP482" s="2">
        <v>0.0</v>
      </c>
      <c r="BQ482" s="2">
        <v>0.0</v>
      </c>
      <c r="BR482" s="2">
        <v>1.0</v>
      </c>
      <c r="BS482" s="2">
        <v>3.0</v>
      </c>
      <c r="BT482" s="2">
        <v>1.0</v>
      </c>
      <c r="BU482" s="2">
        <v>0.0</v>
      </c>
      <c r="BV482" s="2">
        <v>0.0</v>
      </c>
      <c r="BW482" s="2">
        <v>2.0</v>
      </c>
      <c r="BX482" s="2">
        <v>36.0</v>
      </c>
      <c r="BY482" s="2">
        <v>3.0</v>
      </c>
      <c r="BZ482" s="2">
        <v>1.0</v>
      </c>
      <c r="CA482" s="2">
        <v>0.0</v>
      </c>
      <c r="CB482" s="2">
        <v>0.0</v>
      </c>
      <c r="CC482" s="2">
        <v>1.0</v>
      </c>
      <c r="CD482" s="2">
        <v>0.0</v>
      </c>
      <c r="CE482" s="2">
        <v>1.0</v>
      </c>
      <c r="CF482" s="2">
        <v>8.0</v>
      </c>
      <c r="CG482" s="2">
        <v>6.0</v>
      </c>
      <c r="CH482" s="2">
        <v>167.0</v>
      </c>
      <c r="CI482" s="2">
        <v>2.0</v>
      </c>
      <c r="CJ482" s="2">
        <v>3.0</v>
      </c>
      <c r="CK482" s="2">
        <v>1.0</v>
      </c>
      <c r="CL482" s="2">
        <v>0.0</v>
      </c>
      <c r="CM482" s="2">
        <v>38.0</v>
      </c>
      <c r="CN482" s="2">
        <v>0.666666666666667</v>
      </c>
      <c r="CO482" s="2">
        <v>0.0</v>
      </c>
      <c r="CP482" s="2">
        <v>1.0</v>
      </c>
      <c r="CQ482" s="2">
        <v>1.0</v>
      </c>
      <c r="CR482" s="2">
        <v>0.0</v>
      </c>
      <c r="CS482" s="2">
        <v>0.0</v>
      </c>
      <c r="CT482" s="2">
        <v>0.0</v>
      </c>
      <c r="CU482" s="2">
        <v>0.0</v>
      </c>
      <c r="CV482" s="2">
        <v>0.0</v>
      </c>
      <c r="CW482" s="2">
        <v>0.0</v>
      </c>
      <c r="CX482" s="2">
        <v>0.0</v>
      </c>
      <c r="CY482" s="2">
        <v>0.0</v>
      </c>
      <c r="CZ482" s="2">
        <v>1.0</v>
      </c>
      <c r="DA482" s="2" t="s">
        <v>2263</v>
      </c>
      <c r="DB482" s="2" t="s">
        <v>2049</v>
      </c>
      <c r="DD482" s="2">
        <v>63.0</v>
      </c>
      <c r="DE482" s="2">
        <v>64.0</v>
      </c>
      <c r="DF482" s="2">
        <v>0.0</v>
      </c>
      <c r="DG482" s="2">
        <v>6.0</v>
      </c>
      <c r="DH482" s="2">
        <v>6.0</v>
      </c>
      <c r="DI482" s="2">
        <v>0.0</v>
      </c>
      <c r="DJ482" s="2">
        <v>0.0</v>
      </c>
      <c r="DK482" s="2">
        <v>1.0</v>
      </c>
      <c r="DL482" s="2">
        <v>0.0</v>
      </c>
      <c r="DM482" s="2">
        <v>0.0</v>
      </c>
      <c r="DN482" s="2">
        <v>0.0</v>
      </c>
      <c r="DO482" s="2">
        <v>0.0</v>
      </c>
      <c r="DP482" s="2">
        <v>0.0</v>
      </c>
      <c r="DQ482" s="2">
        <v>0.0</v>
      </c>
      <c r="DR482" s="2">
        <v>0.0</v>
      </c>
      <c r="DT482" s="2">
        <v>0.0</v>
      </c>
      <c r="DU482" s="2">
        <v>0.0</v>
      </c>
      <c r="DV482" s="2">
        <v>0.0</v>
      </c>
      <c r="DW482" s="2">
        <v>0.0</v>
      </c>
      <c r="DX482" s="2">
        <v>0.0</v>
      </c>
      <c r="DY482" s="2">
        <v>0.0</v>
      </c>
      <c r="DZ482" s="2">
        <v>0.0</v>
      </c>
      <c r="EA482" s="2">
        <v>0.0</v>
      </c>
      <c r="EB482" s="2">
        <v>0.0</v>
      </c>
      <c r="EC482" s="2">
        <v>0.0</v>
      </c>
      <c r="EE482" s="2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2">
        <v>2025.0</v>
      </c>
      <c r="B483" s="2">
        <v>16.0</v>
      </c>
      <c r="C483" s="2" t="s">
        <v>150</v>
      </c>
      <c r="D483" s="2" t="s">
        <v>390</v>
      </c>
      <c r="E483" s="2" t="s">
        <v>1107</v>
      </c>
      <c r="F483" s="2" t="s">
        <v>189</v>
      </c>
      <c r="G483" s="2">
        <v>18.0</v>
      </c>
      <c r="H483" s="2">
        <v>26.0</v>
      </c>
      <c r="I483" s="2">
        <v>145.0</v>
      </c>
      <c r="J483" s="2">
        <v>1.0</v>
      </c>
      <c r="K483" s="2">
        <v>1.0</v>
      </c>
      <c r="L483" s="2">
        <v>2.0</v>
      </c>
      <c r="M483" s="2">
        <v>-18.0</v>
      </c>
      <c r="N483" s="2">
        <v>0.0</v>
      </c>
      <c r="O483" s="2">
        <v>0.0</v>
      </c>
      <c r="P483" s="2">
        <v>151.0</v>
      </c>
      <c r="Q483" s="2">
        <v>55.0</v>
      </c>
      <c r="R483" s="2">
        <v>9.0</v>
      </c>
      <c r="S483" s="2">
        <v>2.84069157735134</v>
      </c>
      <c r="T483" s="2">
        <v>1.35970652103424</v>
      </c>
      <c r="U483" s="2">
        <v>0.0</v>
      </c>
      <c r="V483" s="2">
        <v>5.0</v>
      </c>
      <c r="W483" s="2">
        <v>1.0</v>
      </c>
      <c r="X483" s="2">
        <v>1.0</v>
      </c>
      <c r="Y483" s="2">
        <v>1.0</v>
      </c>
      <c r="Z483" s="2">
        <v>33.0</v>
      </c>
      <c r="AA483" s="2">
        <v>169.0</v>
      </c>
      <c r="AB483" s="2">
        <v>1.0</v>
      </c>
      <c r="AC483" s="2">
        <v>0.0</v>
      </c>
      <c r="AD483" s="2">
        <v>0.0</v>
      </c>
      <c r="AE483" s="2">
        <v>8.0</v>
      </c>
      <c r="AF483" s="2">
        <v>3.57056947676399</v>
      </c>
      <c r="AG483" s="2">
        <v>0.0</v>
      </c>
      <c r="AH483" s="2">
        <v>4.0</v>
      </c>
      <c r="AI483" s="2">
        <v>4.0</v>
      </c>
      <c r="AJ483" s="2">
        <v>3.0</v>
      </c>
      <c r="AK483" s="2">
        <v>0.0</v>
      </c>
      <c r="AL483" s="2">
        <v>18.0</v>
      </c>
      <c r="AM483" s="2">
        <v>25.0</v>
      </c>
      <c r="AN483" s="2">
        <v>145.0</v>
      </c>
      <c r="AO483" s="2">
        <v>1.0</v>
      </c>
      <c r="AP483" s="2">
        <v>0.0</v>
      </c>
      <c r="AQ483" s="2">
        <v>0.0</v>
      </c>
      <c r="AR483" s="2">
        <v>151.0</v>
      </c>
      <c r="AS483" s="2">
        <v>55.0</v>
      </c>
      <c r="AT483" s="2">
        <v>9.0</v>
      </c>
      <c r="AU483" s="2">
        <v>6.82636044340325</v>
      </c>
      <c r="AV483" s="2">
        <v>0.0</v>
      </c>
      <c r="AW483" s="2">
        <v>5.0</v>
      </c>
      <c r="AX483" s="2">
        <v>1.0</v>
      </c>
      <c r="AY483" s="2">
        <v>1.0</v>
      </c>
      <c r="AZ483" s="2">
        <v>1.0</v>
      </c>
      <c r="BA483" s="2">
        <v>0.0</v>
      </c>
      <c r="BB483" s="2">
        <v>31.0</v>
      </c>
      <c r="BC483" s="2">
        <v>1.0</v>
      </c>
      <c r="BD483" s="2">
        <v>23.0</v>
      </c>
      <c r="BE483" s="2">
        <v>4.0</v>
      </c>
      <c r="BF483" s="2">
        <v>21.0</v>
      </c>
      <c r="BG483" s="2">
        <v>0.0</v>
      </c>
      <c r="BH483" s="2">
        <v>2.0</v>
      </c>
      <c r="BI483" s="2">
        <v>17.0</v>
      </c>
      <c r="BJ483" s="2">
        <v>9.0</v>
      </c>
      <c r="BK483" s="2">
        <v>0.0</v>
      </c>
      <c r="BL483" s="2">
        <v>0.0</v>
      </c>
      <c r="BM483" s="2">
        <v>5.0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8.0</v>
      </c>
      <c r="BX483" s="2">
        <v>56.0</v>
      </c>
      <c r="BY483" s="2">
        <v>2.0</v>
      </c>
      <c r="BZ483" s="2">
        <v>0.0</v>
      </c>
      <c r="CA483" s="2">
        <v>0.0</v>
      </c>
      <c r="CB483" s="2">
        <v>0.0</v>
      </c>
      <c r="CC483" s="2">
        <v>0.0</v>
      </c>
      <c r="CD483" s="2">
        <v>0.0</v>
      </c>
      <c r="CE483" s="2">
        <v>1.0</v>
      </c>
      <c r="CF483" s="2">
        <v>7.0</v>
      </c>
      <c r="CG483" s="2">
        <v>5.0</v>
      </c>
      <c r="CH483" s="2">
        <v>137.0</v>
      </c>
      <c r="CI483" s="2">
        <v>2.0</v>
      </c>
      <c r="CJ483" s="2">
        <v>2.0</v>
      </c>
      <c r="CK483" s="2">
        <v>0.0</v>
      </c>
      <c r="CL483" s="2">
        <v>0.0</v>
      </c>
      <c r="CM483" s="2">
        <v>50.0</v>
      </c>
      <c r="CN483" s="2">
        <v>1.0</v>
      </c>
      <c r="CO483" s="2">
        <v>0.0</v>
      </c>
      <c r="CP483" s="2">
        <v>1.0</v>
      </c>
      <c r="CQ483" s="2">
        <v>0.0</v>
      </c>
      <c r="CR483" s="2">
        <v>0.0</v>
      </c>
      <c r="CS483" s="2">
        <v>1.0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 t="s">
        <v>2264</v>
      </c>
      <c r="DD483" s="2">
        <v>73.0</v>
      </c>
      <c r="DE483" s="2">
        <v>0.0</v>
      </c>
      <c r="DF483" s="2">
        <v>0.0</v>
      </c>
      <c r="DG483" s="2">
        <v>2.0</v>
      </c>
      <c r="DH483" s="2">
        <v>2.0</v>
      </c>
      <c r="DI483" s="2">
        <v>0.0</v>
      </c>
      <c r="DJ483" s="2">
        <v>0.0</v>
      </c>
      <c r="DK483" s="2">
        <v>1.0</v>
      </c>
      <c r="DL483" s="2">
        <v>0.0</v>
      </c>
      <c r="DM483" s="2">
        <v>0.0</v>
      </c>
      <c r="DN483" s="2">
        <v>0.0</v>
      </c>
      <c r="DO483" s="2">
        <v>0.0</v>
      </c>
      <c r="DP483" s="2">
        <v>0.0</v>
      </c>
      <c r="DQ483" s="2">
        <v>3.0</v>
      </c>
      <c r="DR483" s="2">
        <v>0.0</v>
      </c>
      <c r="DS483" s="2">
        <v>47.0</v>
      </c>
      <c r="DT483" s="2">
        <v>134.0</v>
      </c>
      <c r="DU483" s="2">
        <v>1.0</v>
      </c>
      <c r="DV483" s="2">
        <v>0.0</v>
      </c>
      <c r="DW483" s="2">
        <v>0.0</v>
      </c>
      <c r="DX483" s="2">
        <v>0.0</v>
      </c>
      <c r="DY483" s="2">
        <v>0.0</v>
      </c>
      <c r="DZ483" s="2">
        <v>3.0</v>
      </c>
      <c r="EA483" s="2">
        <v>33.0</v>
      </c>
      <c r="EB483" s="2">
        <v>0.0</v>
      </c>
      <c r="EC483" s="2">
        <v>101.0</v>
      </c>
      <c r="EE483" s="2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2">
        <v>2025.0</v>
      </c>
      <c r="B484" s="2">
        <v>16.0</v>
      </c>
      <c r="C484" s="2" t="s">
        <v>250</v>
      </c>
      <c r="D484" s="2" t="s">
        <v>390</v>
      </c>
      <c r="E484" s="2" t="s">
        <v>1117</v>
      </c>
      <c r="F484" s="2" t="s">
        <v>143</v>
      </c>
      <c r="G484" s="2">
        <v>21.0</v>
      </c>
      <c r="H484" s="2">
        <v>28.0</v>
      </c>
      <c r="I484" s="2">
        <v>228.0</v>
      </c>
      <c r="J484" s="2">
        <v>2.0</v>
      </c>
      <c r="K484" s="2">
        <v>0.0</v>
      </c>
      <c r="L484" s="2">
        <v>2.0</v>
      </c>
      <c r="M484" s="2">
        <v>-16.0</v>
      </c>
      <c r="N484" s="2">
        <v>0.0</v>
      </c>
      <c r="O484" s="2">
        <v>0.0</v>
      </c>
      <c r="P484" s="2">
        <v>163.0</v>
      </c>
      <c r="Q484" s="2">
        <v>135.0</v>
      </c>
      <c r="R484" s="2">
        <v>11.0</v>
      </c>
      <c r="S484" s="2">
        <v>6.7691199562978</v>
      </c>
      <c r="T484" s="2">
        <v>10.4373563219</v>
      </c>
      <c r="U484" s="2">
        <v>0.0</v>
      </c>
      <c r="V484" s="2">
        <v>7.0</v>
      </c>
      <c r="W484" s="2">
        <v>4.0</v>
      </c>
      <c r="X484" s="2">
        <v>4.0</v>
      </c>
      <c r="Y484" s="2">
        <v>0.0</v>
      </c>
      <c r="Z484" s="2">
        <v>40.0</v>
      </c>
      <c r="AA484" s="2">
        <v>164.0</v>
      </c>
      <c r="AB484" s="2">
        <v>1.0</v>
      </c>
      <c r="AC484" s="2">
        <v>1.0</v>
      </c>
      <c r="AD484" s="2">
        <v>0.0</v>
      </c>
      <c r="AE484" s="2">
        <v>9.0</v>
      </c>
      <c r="AF484" s="2">
        <v>-4.96137932297268</v>
      </c>
      <c r="AG484" s="2">
        <v>0.0</v>
      </c>
      <c r="AH484" s="2">
        <v>6.0</v>
      </c>
      <c r="AI484" s="2">
        <v>2.0</v>
      </c>
      <c r="AJ484" s="2">
        <v>0.0</v>
      </c>
      <c r="AK484" s="2">
        <v>0.0</v>
      </c>
      <c r="AL484" s="2">
        <v>21.0</v>
      </c>
      <c r="AM484" s="2">
        <v>27.0</v>
      </c>
      <c r="AN484" s="2">
        <v>228.0</v>
      </c>
      <c r="AO484" s="2">
        <v>2.0</v>
      </c>
      <c r="AP484" s="2">
        <v>0.0</v>
      </c>
      <c r="AQ484" s="2">
        <v>0.0</v>
      </c>
      <c r="AR484" s="2">
        <v>163.0</v>
      </c>
      <c r="AS484" s="2">
        <v>135.0</v>
      </c>
      <c r="AT484" s="2">
        <v>11.0</v>
      </c>
      <c r="AU484" s="2">
        <v>11.7809909982607</v>
      </c>
      <c r="AV484" s="2">
        <v>0.0</v>
      </c>
      <c r="AW484" s="2">
        <v>7.0</v>
      </c>
      <c r="AX484" s="2">
        <v>4.0</v>
      </c>
      <c r="AY484" s="2">
        <v>4.0</v>
      </c>
      <c r="AZ484" s="2">
        <v>0.0</v>
      </c>
      <c r="BA484" s="2">
        <v>0.0</v>
      </c>
      <c r="BB484" s="2">
        <v>30.0</v>
      </c>
      <c r="BC484" s="2">
        <v>0.0</v>
      </c>
      <c r="BD484" s="2">
        <v>16.0</v>
      </c>
      <c r="BE484" s="2">
        <v>7.0</v>
      </c>
      <c r="BF484" s="2">
        <v>38.0</v>
      </c>
      <c r="BG484" s="2">
        <v>1.0</v>
      </c>
      <c r="BH484" s="2">
        <v>4.0</v>
      </c>
      <c r="BI484" s="2">
        <v>44.0</v>
      </c>
      <c r="BJ484" s="2">
        <v>5.0</v>
      </c>
      <c r="BK484" s="2">
        <v>0.0</v>
      </c>
      <c r="BL484" s="2">
        <v>0.0</v>
      </c>
      <c r="BM484" s="2">
        <v>5.0</v>
      </c>
      <c r="BN484" s="2">
        <v>0.0</v>
      </c>
      <c r="BO484" s="2">
        <v>0.0</v>
      </c>
      <c r="BP484" s="2">
        <v>1.0</v>
      </c>
      <c r="BQ484" s="2">
        <v>0.0</v>
      </c>
      <c r="BR484" s="2">
        <v>1.0</v>
      </c>
      <c r="BS484" s="2">
        <v>0.0</v>
      </c>
      <c r="BT484" s="2">
        <v>0.0</v>
      </c>
      <c r="BU484" s="2">
        <v>0.0</v>
      </c>
      <c r="BV484" s="2">
        <v>0.0</v>
      </c>
      <c r="BW484" s="2">
        <v>12.0</v>
      </c>
      <c r="BX484" s="2">
        <v>82.0</v>
      </c>
      <c r="BY484" s="2">
        <v>2.0</v>
      </c>
      <c r="BZ484" s="2">
        <v>1.0</v>
      </c>
      <c r="CA484" s="2">
        <v>0.0</v>
      </c>
      <c r="CB484" s="2">
        <v>0.0</v>
      </c>
      <c r="CC484" s="2">
        <v>1.0</v>
      </c>
      <c r="CD484" s="2">
        <v>0.0</v>
      </c>
      <c r="CE484" s="2">
        <v>3.0</v>
      </c>
      <c r="CF484" s="2">
        <v>23.0</v>
      </c>
      <c r="CG484" s="2">
        <v>5.0</v>
      </c>
      <c r="CH484" s="2">
        <v>122.0</v>
      </c>
      <c r="CI484" s="2">
        <v>1.0</v>
      </c>
      <c r="CJ484" s="2">
        <v>1.0</v>
      </c>
      <c r="CK484" s="2">
        <v>0.0</v>
      </c>
      <c r="CL484" s="2">
        <v>0.0</v>
      </c>
      <c r="CM484" s="2">
        <v>27.0</v>
      </c>
      <c r="CN484" s="2">
        <v>1.0</v>
      </c>
      <c r="CO484" s="2">
        <v>0.0</v>
      </c>
      <c r="CP484" s="2">
        <v>1.0</v>
      </c>
      <c r="CQ484" s="2">
        <v>0.0</v>
      </c>
      <c r="CR484" s="2">
        <v>0.0</v>
      </c>
      <c r="CS484" s="2">
        <v>0.0</v>
      </c>
      <c r="CT484" s="2">
        <v>0.0</v>
      </c>
      <c r="CU484" s="2">
        <v>0.0</v>
      </c>
      <c r="CV484" s="2">
        <v>0.0</v>
      </c>
      <c r="CW484" s="2">
        <v>0.0</v>
      </c>
      <c r="CX484" s="2">
        <v>0.0</v>
      </c>
      <c r="CY484" s="2">
        <v>0.0</v>
      </c>
      <c r="CZ484" s="2">
        <v>0.0</v>
      </c>
      <c r="DA484" s="2" t="s">
        <v>1992</v>
      </c>
      <c r="DD484" s="2">
        <v>27.0</v>
      </c>
      <c r="DE484" s="2">
        <v>0.0</v>
      </c>
      <c r="DF484" s="2">
        <v>0.0</v>
      </c>
      <c r="DG484" s="2">
        <v>3.0</v>
      </c>
      <c r="DH484" s="2">
        <v>3.0</v>
      </c>
      <c r="DI484" s="2">
        <v>0.0</v>
      </c>
      <c r="DJ484" s="2">
        <v>0.0</v>
      </c>
      <c r="DK484" s="2">
        <v>1.0</v>
      </c>
      <c r="DL484" s="2">
        <v>0.0</v>
      </c>
      <c r="DM484" s="2">
        <v>0.0</v>
      </c>
      <c r="DN484" s="2">
        <v>0.0</v>
      </c>
      <c r="DO484" s="2">
        <v>0.0</v>
      </c>
      <c r="DP484" s="2">
        <v>0.0</v>
      </c>
      <c r="DQ484" s="2">
        <v>3.0</v>
      </c>
      <c r="DR484" s="2">
        <v>0.0</v>
      </c>
      <c r="DS484" s="2">
        <v>53.0</v>
      </c>
      <c r="DT484" s="2">
        <v>143.0</v>
      </c>
      <c r="DU484" s="2">
        <v>2.0</v>
      </c>
      <c r="DV484" s="2">
        <v>0.0</v>
      </c>
      <c r="DW484" s="2">
        <v>0.0</v>
      </c>
      <c r="DX484" s="2">
        <v>0.0</v>
      </c>
      <c r="DY484" s="2">
        <v>1.0</v>
      </c>
      <c r="DZ484" s="2">
        <v>2.0</v>
      </c>
      <c r="EA484" s="2">
        <v>31.0</v>
      </c>
      <c r="EB484" s="2">
        <v>0.0</v>
      </c>
      <c r="EC484" s="2">
        <v>112.0</v>
      </c>
      <c r="EE484" s="2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2">
        <v>2025.0</v>
      </c>
      <c r="B485" s="2">
        <v>16.0</v>
      </c>
      <c r="C485" s="2" t="s">
        <v>253</v>
      </c>
      <c r="D485" s="2" t="s">
        <v>390</v>
      </c>
      <c r="E485" s="2" t="s">
        <v>1101</v>
      </c>
      <c r="F485" s="2" t="s">
        <v>147</v>
      </c>
      <c r="G485" s="2">
        <v>12.0</v>
      </c>
      <c r="H485" s="2">
        <v>23.0</v>
      </c>
      <c r="I485" s="2">
        <v>138.0</v>
      </c>
      <c r="J485" s="2">
        <v>0.0</v>
      </c>
      <c r="K485" s="2">
        <v>1.0</v>
      </c>
      <c r="L485" s="2">
        <v>2.0</v>
      </c>
      <c r="M485" s="2">
        <v>-8.0</v>
      </c>
      <c r="N485" s="2">
        <v>0.0</v>
      </c>
      <c r="O485" s="2">
        <v>0.0</v>
      </c>
      <c r="P485" s="2">
        <v>171.0</v>
      </c>
      <c r="Q485" s="2">
        <v>65.0</v>
      </c>
      <c r="R485" s="2">
        <v>7.0</v>
      </c>
      <c r="S485" s="2">
        <v>-7.9614455767338</v>
      </c>
      <c r="T485" s="2">
        <v>-8.99866804480553</v>
      </c>
      <c r="U485" s="2">
        <v>0.0</v>
      </c>
      <c r="V485" s="2">
        <v>4.0</v>
      </c>
      <c r="W485" s="2">
        <v>3.0</v>
      </c>
      <c r="X485" s="2">
        <v>3.0</v>
      </c>
      <c r="Y485" s="2">
        <v>1.0</v>
      </c>
      <c r="Z485" s="2">
        <v>26.0</v>
      </c>
      <c r="AA485" s="2">
        <v>90.0</v>
      </c>
      <c r="AB485" s="2">
        <v>2.0</v>
      </c>
      <c r="AC485" s="2">
        <v>1.0</v>
      </c>
      <c r="AD485" s="2">
        <v>0.0</v>
      </c>
      <c r="AE485" s="2">
        <v>7.0</v>
      </c>
      <c r="AF485" s="2">
        <v>1.5841738276796</v>
      </c>
      <c r="AG485" s="2">
        <v>1.0</v>
      </c>
      <c r="AH485" s="2">
        <v>2.0</v>
      </c>
      <c r="AI485" s="2">
        <v>2.0</v>
      </c>
      <c r="AJ485" s="2">
        <v>1.0</v>
      </c>
      <c r="AK485" s="2">
        <v>0.0</v>
      </c>
      <c r="AL485" s="2">
        <v>12.0</v>
      </c>
      <c r="AM485" s="2">
        <v>20.0</v>
      </c>
      <c r="AN485" s="2">
        <v>138.0</v>
      </c>
      <c r="AO485" s="2">
        <v>0.0</v>
      </c>
      <c r="AP485" s="2">
        <v>0.0</v>
      </c>
      <c r="AQ485" s="2">
        <v>0.0</v>
      </c>
      <c r="AR485" s="2">
        <v>171.0</v>
      </c>
      <c r="AS485" s="2">
        <v>65.0</v>
      </c>
      <c r="AT485" s="2">
        <v>7.0</v>
      </c>
      <c r="AU485" s="2">
        <v>-3.22444339264313</v>
      </c>
      <c r="AV485" s="2">
        <v>0.0</v>
      </c>
      <c r="AW485" s="2">
        <v>4.0</v>
      </c>
      <c r="AX485" s="2">
        <v>3.0</v>
      </c>
      <c r="AY485" s="2">
        <v>3.0</v>
      </c>
      <c r="AZ485" s="2">
        <v>1.0</v>
      </c>
      <c r="BA485" s="2">
        <v>0.0</v>
      </c>
      <c r="BB485" s="2">
        <v>48.0</v>
      </c>
      <c r="BC485" s="2">
        <v>0.0</v>
      </c>
      <c r="BD485" s="2">
        <v>20.0</v>
      </c>
      <c r="BE485" s="2">
        <v>4.0</v>
      </c>
      <c r="BF485" s="2">
        <v>9.0</v>
      </c>
      <c r="BG485" s="2">
        <v>2.0</v>
      </c>
      <c r="BH485" s="2">
        <v>2.0</v>
      </c>
      <c r="BI485" s="2">
        <v>7.0</v>
      </c>
      <c r="BJ485" s="2">
        <v>1.0</v>
      </c>
      <c r="BK485" s="2">
        <v>0.0</v>
      </c>
      <c r="BL485" s="2">
        <v>0.0</v>
      </c>
      <c r="BM485" s="2">
        <v>2.0</v>
      </c>
      <c r="BN485" s="2">
        <v>0.0</v>
      </c>
      <c r="BO485" s="2">
        <v>0.0</v>
      </c>
      <c r="BP485" s="2">
        <v>0.0</v>
      </c>
      <c r="BQ485" s="2">
        <v>0.0</v>
      </c>
      <c r="BR485" s="2">
        <v>1.0</v>
      </c>
      <c r="BS485" s="2">
        <v>-4.0</v>
      </c>
      <c r="BT485" s="2">
        <v>1.0</v>
      </c>
      <c r="BU485" s="2">
        <v>0.0</v>
      </c>
      <c r="BV485" s="2">
        <v>0.0</v>
      </c>
      <c r="BW485" s="2">
        <v>5.0</v>
      </c>
      <c r="BX485" s="2">
        <v>44.0</v>
      </c>
      <c r="BY485" s="2">
        <v>5.0</v>
      </c>
      <c r="BZ485" s="2">
        <v>0.0</v>
      </c>
      <c r="CA485" s="2">
        <v>1.0</v>
      </c>
      <c r="CB485" s="2">
        <v>0.0</v>
      </c>
      <c r="CC485" s="2">
        <v>1.0</v>
      </c>
      <c r="CD485" s="2">
        <v>0.0</v>
      </c>
      <c r="CE485" s="2">
        <v>1.0</v>
      </c>
      <c r="CF485" s="2">
        <v>0.0</v>
      </c>
      <c r="CG485" s="2">
        <v>5.0</v>
      </c>
      <c r="CH485" s="2">
        <v>124.0</v>
      </c>
      <c r="CI485" s="2">
        <v>1.0</v>
      </c>
      <c r="CJ485" s="2">
        <v>1.0</v>
      </c>
      <c r="CK485" s="2">
        <v>0.0</v>
      </c>
      <c r="CL485" s="2">
        <v>0.0</v>
      </c>
      <c r="CM485" s="2">
        <v>20.0</v>
      </c>
      <c r="CN485" s="2">
        <v>1.0</v>
      </c>
      <c r="CO485" s="2">
        <v>0.0</v>
      </c>
      <c r="CP485" s="2">
        <v>1.0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 t="s">
        <v>2156</v>
      </c>
      <c r="DD485" s="2">
        <v>20.0</v>
      </c>
      <c r="DE485" s="2">
        <v>0.0</v>
      </c>
      <c r="DF485" s="2">
        <v>0.0</v>
      </c>
      <c r="DG485" s="2">
        <v>1.0</v>
      </c>
      <c r="DH485" s="2">
        <v>1.0</v>
      </c>
      <c r="DI485" s="2">
        <v>0.0</v>
      </c>
      <c r="DJ485" s="2">
        <v>0.0</v>
      </c>
      <c r="DK485" s="2">
        <v>1.0</v>
      </c>
      <c r="DL485" s="2">
        <v>0.0</v>
      </c>
      <c r="DM485" s="2">
        <v>0.0</v>
      </c>
      <c r="DN485" s="2">
        <v>0.0</v>
      </c>
      <c r="DO485" s="2">
        <v>0.0</v>
      </c>
      <c r="DP485" s="2">
        <v>0.0</v>
      </c>
      <c r="DQ485" s="2">
        <v>5.0</v>
      </c>
      <c r="DR485" s="2">
        <v>0.0</v>
      </c>
      <c r="DS485" s="2">
        <v>56.0</v>
      </c>
      <c r="DT485" s="2">
        <v>220.0</v>
      </c>
      <c r="DU485" s="2">
        <v>2.0</v>
      </c>
      <c r="DV485" s="2">
        <v>0.0</v>
      </c>
      <c r="DW485" s="2">
        <v>0.0</v>
      </c>
      <c r="DX485" s="2">
        <v>1.0</v>
      </c>
      <c r="DY485" s="2">
        <v>3.0</v>
      </c>
      <c r="DZ485" s="2">
        <v>1.0</v>
      </c>
      <c r="EA485" s="2">
        <v>11.0</v>
      </c>
      <c r="EB485" s="2">
        <v>0.0</v>
      </c>
      <c r="EC485" s="2">
        <v>189.0</v>
      </c>
      <c r="EE485" s="2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2">
        <v>2025.0</v>
      </c>
      <c r="B486" s="2">
        <v>17.0</v>
      </c>
      <c r="C486" s="2" t="s">
        <v>178</v>
      </c>
      <c r="D486" s="2" t="s">
        <v>390</v>
      </c>
      <c r="E486" s="2" t="s">
        <v>1150</v>
      </c>
      <c r="F486" s="2" t="s">
        <v>138</v>
      </c>
      <c r="G486" s="2">
        <v>21.0</v>
      </c>
      <c r="H486" s="2">
        <v>37.0</v>
      </c>
      <c r="I486" s="2">
        <v>212.0</v>
      </c>
      <c r="J486" s="2">
        <v>2.0</v>
      </c>
      <c r="K486" s="2">
        <v>0.0</v>
      </c>
      <c r="L486" s="2">
        <v>4.0</v>
      </c>
      <c r="M486" s="2">
        <v>-21.0</v>
      </c>
      <c r="N486" s="2">
        <v>0.0</v>
      </c>
      <c r="O486" s="2">
        <v>0.0</v>
      </c>
      <c r="P486" s="2">
        <v>285.0</v>
      </c>
      <c r="Q486" s="2">
        <v>118.0</v>
      </c>
      <c r="R486" s="2">
        <v>9.0</v>
      </c>
      <c r="S486" s="2">
        <v>-0.766520030156244</v>
      </c>
      <c r="T486" s="2">
        <v>-5.66900977066585</v>
      </c>
      <c r="U486" s="2">
        <v>0.0</v>
      </c>
      <c r="V486" s="2">
        <v>8.0</v>
      </c>
      <c r="W486" s="2">
        <v>3.0</v>
      </c>
      <c r="X486" s="2">
        <v>2.0</v>
      </c>
      <c r="Y486" s="2">
        <v>0.0</v>
      </c>
      <c r="Z486" s="2">
        <v>13.0</v>
      </c>
      <c r="AA486" s="2">
        <v>42.0</v>
      </c>
      <c r="AB486" s="2">
        <v>0.0</v>
      </c>
      <c r="AC486" s="2">
        <v>0.0</v>
      </c>
      <c r="AD486" s="2">
        <v>0.0</v>
      </c>
      <c r="AE486" s="2">
        <v>3.0</v>
      </c>
      <c r="AF486" s="2">
        <v>-1.68585139745846</v>
      </c>
      <c r="AG486" s="2">
        <v>0.0</v>
      </c>
      <c r="AH486" s="2">
        <v>1.0</v>
      </c>
      <c r="AI486" s="2">
        <v>0.0</v>
      </c>
      <c r="AJ486" s="2">
        <v>0.0</v>
      </c>
      <c r="AK486" s="2">
        <v>0.0</v>
      </c>
      <c r="AL486" s="2">
        <v>21.0</v>
      </c>
      <c r="AM486" s="2">
        <v>35.0</v>
      </c>
      <c r="AN486" s="2">
        <v>212.0</v>
      </c>
      <c r="AO486" s="2">
        <v>2.0</v>
      </c>
      <c r="AP486" s="2">
        <v>0.0</v>
      </c>
      <c r="AQ486" s="2">
        <v>0.0</v>
      </c>
      <c r="AR486" s="2">
        <v>285.0</v>
      </c>
      <c r="AS486" s="2">
        <v>118.0</v>
      </c>
      <c r="AT486" s="2">
        <v>9.0</v>
      </c>
      <c r="AU486" s="2">
        <v>5.76215697056614</v>
      </c>
      <c r="AV486" s="2">
        <v>0.0</v>
      </c>
      <c r="AW486" s="2">
        <v>8.0</v>
      </c>
      <c r="AX486" s="2">
        <v>3.0</v>
      </c>
      <c r="AY486" s="2">
        <v>2.0</v>
      </c>
      <c r="AZ486" s="2">
        <v>0.0</v>
      </c>
      <c r="BA486" s="2">
        <v>0.0</v>
      </c>
      <c r="BB486" s="2">
        <v>37.0</v>
      </c>
      <c r="BC486" s="2">
        <v>0.0</v>
      </c>
      <c r="BD486" s="2">
        <v>48.0</v>
      </c>
      <c r="BE486" s="2">
        <v>3.0</v>
      </c>
      <c r="BF486" s="2">
        <v>13.0</v>
      </c>
      <c r="BG486" s="2">
        <v>0.0</v>
      </c>
      <c r="BH486" s="2">
        <v>3.0</v>
      </c>
      <c r="BI486" s="2">
        <v>20.0</v>
      </c>
      <c r="BJ486" s="2">
        <v>5.0</v>
      </c>
      <c r="BK486" s="2">
        <v>0.0</v>
      </c>
      <c r="BL486" s="2">
        <v>0.0</v>
      </c>
      <c r="BM486" s="2">
        <v>4.0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6.0</v>
      </c>
      <c r="BX486" s="2">
        <v>51.0</v>
      </c>
      <c r="BY486" s="2">
        <v>2.0</v>
      </c>
      <c r="BZ486" s="2">
        <v>0.0</v>
      </c>
      <c r="CA486" s="2">
        <v>0.0</v>
      </c>
      <c r="CB486" s="2">
        <v>0.0</v>
      </c>
      <c r="CC486" s="2">
        <v>0.0</v>
      </c>
      <c r="CD486" s="2">
        <v>0.0</v>
      </c>
      <c r="CE486" s="2">
        <v>1.0</v>
      </c>
      <c r="CF486" s="2">
        <v>5.0</v>
      </c>
      <c r="CG486" s="2">
        <v>6.0</v>
      </c>
      <c r="CH486" s="2">
        <v>159.0</v>
      </c>
      <c r="CI486" s="2">
        <v>0.0</v>
      </c>
      <c r="CJ486" s="2">
        <v>0.0</v>
      </c>
      <c r="CK486" s="2">
        <v>0.0</v>
      </c>
      <c r="CL486" s="2">
        <v>0.0</v>
      </c>
      <c r="CO486" s="2">
        <v>0.0</v>
      </c>
      <c r="CP486" s="2">
        <v>0.0</v>
      </c>
      <c r="CQ486" s="2">
        <v>0.0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D486" s="2">
        <v>0.0</v>
      </c>
      <c r="DE486" s="2">
        <v>0.0</v>
      </c>
      <c r="DF486" s="2">
        <v>0.0</v>
      </c>
      <c r="DG486" s="2">
        <v>2.0</v>
      </c>
      <c r="DH486" s="2">
        <v>2.0</v>
      </c>
      <c r="DI486" s="2">
        <v>0.0</v>
      </c>
      <c r="DJ486" s="2">
        <v>0.0</v>
      </c>
      <c r="DK486" s="2">
        <v>1.0</v>
      </c>
      <c r="DL486" s="2">
        <v>0.0</v>
      </c>
      <c r="DM486" s="2">
        <v>0.0</v>
      </c>
      <c r="DN486" s="2">
        <v>0.0</v>
      </c>
      <c r="DO486" s="2">
        <v>0.0</v>
      </c>
      <c r="DP486" s="2">
        <v>0.0</v>
      </c>
      <c r="DQ486" s="2">
        <v>6.0</v>
      </c>
      <c r="DR486" s="2">
        <v>0.0</v>
      </c>
      <c r="DS486" s="2">
        <v>63.0</v>
      </c>
      <c r="DT486" s="2">
        <v>326.0</v>
      </c>
      <c r="DU486" s="2">
        <v>3.0</v>
      </c>
      <c r="DV486" s="2">
        <v>1.0</v>
      </c>
      <c r="DW486" s="2">
        <v>0.0</v>
      </c>
      <c r="DX486" s="2">
        <v>0.0</v>
      </c>
      <c r="DY486" s="2">
        <v>0.0</v>
      </c>
      <c r="DZ486" s="2">
        <v>5.0</v>
      </c>
      <c r="EA486" s="2">
        <v>56.0</v>
      </c>
      <c r="EB486" s="2">
        <v>0.0</v>
      </c>
      <c r="EC486" s="2">
        <v>270.0</v>
      </c>
      <c r="EE486" s="2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2">
        <v>2025.0</v>
      </c>
      <c r="B487" s="2">
        <v>17.0</v>
      </c>
      <c r="C487" s="2" t="s">
        <v>132</v>
      </c>
      <c r="D487" s="2" t="s">
        <v>390</v>
      </c>
      <c r="E487" s="2" t="s">
        <v>1174</v>
      </c>
      <c r="F487" s="2" t="s">
        <v>142</v>
      </c>
      <c r="G487" s="2">
        <v>13.0</v>
      </c>
      <c r="H487" s="2">
        <v>20.0</v>
      </c>
      <c r="I487" s="2">
        <v>126.0</v>
      </c>
      <c r="J487" s="2">
        <v>1.0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167.0</v>
      </c>
      <c r="Q487" s="2">
        <v>57.0</v>
      </c>
      <c r="R487" s="2">
        <v>9.0</v>
      </c>
      <c r="S487" s="2">
        <v>4.92349586931965</v>
      </c>
      <c r="T487" s="2">
        <v>0.496985763311386</v>
      </c>
      <c r="U487" s="2">
        <v>0.0</v>
      </c>
      <c r="V487" s="2">
        <v>6.0</v>
      </c>
      <c r="W487" s="2">
        <v>2.0</v>
      </c>
      <c r="X487" s="2">
        <v>2.0</v>
      </c>
      <c r="Y487" s="2">
        <v>0.0</v>
      </c>
      <c r="Z487" s="2">
        <v>33.0</v>
      </c>
      <c r="AA487" s="2">
        <v>219.0</v>
      </c>
      <c r="AB487" s="2">
        <v>1.0</v>
      </c>
      <c r="AC487" s="2">
        <v>0.0</v>
      </c>
      <c r="AD487" s="2">
        <v>0.0</v>
      </c>
      <c r="AE487" s="2">
        <v>5.0</v>
      </c>
      <c r="AF487" s="2">
        <v>1.20562602217568</v>
      </c>
      <c r="AG487" s="2">
        <v>0.0</v>
      </c>
      <c r="AH487" s="2">
        <v>3.0</v>
      </c>
      <c r="AI487" s="2">
        <v>2.0</v>
      </c>
      <c r="AJ487" s="2">
        <v>2.0</v>
      </c>
      <c r="AK487" s="2">
        <v>1.0</v>
      </c>
      <c r="AL487" s="2">
        <v>13.0</v>
      </c>
      <c r="AM487" s="2">
        <v>20.0</v>
      </c>
      <c r="AN487" s="2">
        <v>126.0</v>
      </c>
      <c r="AO487" s="2">
        <v>1.0</v>
      </c>
      <c r="AP487" s="2">
        <v>0.0</v>
      </c>
      <c r="AQ487" s="2">
        <v>0.0</v>
      </c>
      <c r="AR487" s="2">
        <v>167.0</v>
      </c>
      <c r="AS487" s="2">
        <v>57.0</v>
      </c>
      <c r="AT487" s="2">
        <v>9.0</v>
      </c>
      <c r="AU487" s="2">
        <v>4.92349586931965</v>
      </c>
      <c r="AV487" s="2">
        <v>0.0</v>
      </c>
      <c r="AW487" s="2">
        <v>6.0</v>
      </c>
      <c r="AX487" s="2">
        <v>2.0</v>
      </c>
      <c r="AY487" s="2">
        <v>2.0</v>
      </c>
      <c r="AZ487" s="2">
        <v>0.0</v>
      </c>
      <c r="BA487" s="2">
        <v>0.0</v>
      </c>
      <c r="BB487" s="2">
        <v>38.0</v>
      </c>
      <c r="BC487" s="2">
        <v>0.0</v>
      </c>
      <c r="BD487" s="2">
        <v>22.0</v>
      </c>
      <c r="BE487" s="2">
        <v>4.0</v>
      </c>
      <c r="BF487" s="2">
        <v>23.0</v>
      </c>
      <c r="BG487" s="2">
        <v>0.0</v>
      </c>
      <c r="BH487" s="2">
        <v>3.0</v>
      </c>
      <c r="BI487" s="2">
        <v>21.0</v>
      </c>
      <c r="BJ487" s="2">
        <v>5.0</v>
      </c>
      <c r="BK487" s="2">
        <v>3.0</v>
      </c>
      <c r="BL487" s="2">
        <v>66.0</v>
      </c>
      <c r="BM487" s="2">
        <v>8.0</v>
      </c>
      <c r="BN487" s="2">
        <v>1.0</v>
      </c>
      <c r="BO487" s="2">
        <v>0.0</v>
      </c>
      <c r="BP487" s="2">
        <v>0.0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</v>
      </c>
      <c r="BV487" s="2">
        <v>0.0</v>
      </c>
      <c r="BW487" s="2">
        <v>7.0</v>
      </c>
      <c r="BX487" s="2">
        <v>42.0</v>
      </c>
      <c r="BY487" s="2">
        <v>5.0</v>
      </c>
      <c r="BZ487" s="2">
        <v>0.0</v>
      </c>
      <c r="CA487" s="2">
        <v>0.0</v>
      </c>
      <c r="CB487" s="2">
        <v>0.0</v>
      </c>
      <c r="CC487" s="2">
        <v>0.0</v>
      </c>
      <c r="CD487" s="2">
        <v>0.0</v>
      </c>
      <c r="CE487" s="2">
        <v>0.0</v>
      </c>
      <c r="CF487" s="2">
        <v>0.0</v>
      </c>
      <c r="CG487" s="2">
        <v>4.0</v>
      </c>
      <c r="CH487" s="2">
        <v>93.0</v>
      </c>
      <c r="CI487" s="2">
        <v>2.0</v>
      </c>
      <c r="CJ487" s="2">
        <v>3.0</v>
      </c>
      <c r="CK487" s="2">
        <v>0.0</v>
      </c>
      <c r="CL487" s="2">
        <v>1.0</v>
      </c>
      <c r="CM487" s="2">
        <v>56.0</v>
      </c>
      <c r="CN487" s="2">
        <v>0.666666666666667</v>
      </c>
      <c r="CO487" s="2">
        <v>0.0</v>
      </c>
      <c r="CP487" s="2">
        <v>0.0</v>
      </c>
      <c r="CQ487" s="2">
        <v>0.0</v>
      </c>
      <c r="CR487" s="2">
        <v>0.0</v>
      </c>
      <c r="CS487" s="2">
        <v>2.0</v>
      </c>
      <c r="CT487" s="2">
        <v>0.0</v>
      </c>
      <c r="CU487" s="2">
        <v>0.0</v>
      </c>
      <c r="CV487" s="2">
        <v>0.0</v>
      </c>
      <c r="CW487" s="2">
        <v>0.0</v>
      </c>
      <c r="CX487" s="2">
        <v>0.0</v>
      </c>
      <c r="CY487" s="2">
        <v>0.0</v>
      </c>
      <c r="CZ487" s="2">
        <v>0.0</v>
      </c>
      <c r="DA487" s="2" t="s">
        <v>2265</v>
      </c>
      <c r="DC487" s="2" t="s">
        <v>1986</v>
      </c>
      <c r="DD487" s="2">
        <v>107.0</v>
      </c>
      <c r="DE487" s="2">
        <v>0.0</v>
      </c>
      <c r="DF487" s="2">
        <v>37.0</v>
      </c>
      <c r="DG487" s="2">
        <v>3.0</v>
      </c>
      <c r="DH487" s="2">
        <v>3.0</v>
      </c>
      <c r="DI487" s="2">
        <v>0.0</v>
      </c>
      <c r="DJ487" s="2">
        <v>0.0</v>
      </c>
      <c r="DK487" s="2">
        <v>1.0</v>
      </c>
      <c r="DL487" s="2">
        <v>0.0</v>
      </c>
      <c r="DM487" s="2">
        <v>0.0</v>
      </c>
      <c r="DN487" s="2">
        <v>0.0</v>
      </c>
      <c r="DO487" s="2">
        <v>0.0</v>
      </c>
      <c r="DP487" s="2">
        <v>0.0</v>
      </c>
      <c r="DQ487" s="2">
        <v>5.0</v>
      </c>
      <c r="DR487" s="2">
        <v>0.0</v>
      </c>
      <c r="DS487" s="2">
        <v>61.0</v>
      </c>
      <c r="DT487" s="2">
        <v>246.0</v>
      </c>
      <c r="DU487" s="2">
        <v>3.0</v>
      </c>
      <c r="DV487" s="2">
        <v>0.0</v>
      </c>
      <c r="DW487" s="2">
        <v>0.0</v>
      </c>
      <c r="DX487" s="2">
        <v>0.0</v>
      </c>
      <c r="DY487" s="2">
        <v>2.0</v>
      </c>
      <c r="DZ487" s="2">
        <v>3.0</v>
      </c>
      <c r="EA487" s="2">
        <v>23.0</v>
      </c>
      <c r="EB487" s="2">
        <v>0.0</v>
      </c>
      <c r="EC487" s="2">
        <v>223.0</v>
      </c>
      <c r="EE487" s="2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2">
        <v>2025.0</v>
      </c>
      <c r="B488" s="2">
        <v>17.0</v>
      </c>
      <c r="C488" s="2" t="s">
        <v>148</v>
      </c>
      <c r="D488" s="2" t="s">
        <v>390</v>
      </c>
      <c r="E488" s="2" t="s">
        <v>1154</v>
      </c>
      <c r="F488" s="2" t="s">
        <v>205</v>
      </c>
      <c r="G488" s="2">
        <v>16.0</v>
      </c>
      <c r="H488" s="2">
        <v>20.0</v>
      </c>
      <c r="I488" s="2">
        <v>107.0</v>
      </c>
      <c r="J488" s="2">
        <v>1.0</v>
      </c>
      <c r="K488" s="2">
        <v>0.0</v>
      </c>
      <c r="L488" s="2">
        <v>1.0</v>
      </c>
      <c r="M488" s="2">
        <v>0.0</v>
      </c>
      <c r="N488" s="2">
        <v>0.0</v>
      </c>
      <c r="O488" s="2">
        <v>0.0</v>
      </c>
      <c r="P488" s="2">
        <v>80.0</v>
      </c>
      <c r="Q488" s="2">
        <v>53.0</v>
      </c>
      <c r="R488" s="2">
        <v>6.0</v>
      </c>
      <c r="S488" s="2">
        <v>6.45927286919653</v>
      </c>
      <c r="T488" s="2">
        <v>10.441548153758</v>
      </c>
      <c r="U488" s="2">
        <v>0.0</v>
      </c>
      <c r="V488" s="2">
        <v>3.0</v>
      </c>
      <c r="W488" s="2">
        <v>0.0</v>
      </c>
      <c r="X488" s="2">
        <v>0.0</v>
      </c>
      <c r="Y488" s="2">
        <v>0.0</v>
      </c>
      <c r="Z488" s="2">
        <v>53.0</v>
      </c>
      <c r="AA488" s="2">
        <v>307.0</v>
      </c>
      <c r="AB488" s="2">
        <v>4.0</v>
      </c>
      <c r="AC488" s="2">
        <v>0.0</v>
      </c>
      <c r="AD488" s="2">
        <v>0.0</v>
      </c>
      <c r="AE488" s="2">
        <v>22.0</v>
      </c>
      <c r="AF488" s="2">
        <v>19.2924188567267</v>
      </c>
      <c r="AG488" s="2">
        <v>0.0</v>
      </c>
      <c r="AH488" s="2">
        <v>6.0</v>
      </c>
      <c r="AI488" s="2">
        <v>6.0</v>
      </c>
      <c r="AJ488" s="2">
        <v>3.0</v>
      </c>
      <c r="AK488" s="2">
        <v>0.0</v>
      </c>
      <c r="AL488" s="2">
        <v>16.0</v>
      </c>
      <c r="AM488" s="2">
        <v>20.0</v>
      </c>
      <c r="AN488" s="2">
        <v>107.0</v>
      </c>
      <c r="AO488" s="2">
        <v>1.0</v>
      </c>
      <c r="AP488" s="2">
        <v>0.0</v>
      </c>
      <c r="AQ488" s="2">
        <v>0.0</v>
      </c>
      <c r="AR488" s="2">
        <v>80.0</v>
      </c>
      <c r="AS488" s="2">
        <v>53.0</v>
      </c>
      <c r="AT488" s="2">
        <v>6.0</v>
      </c>
      <c r="AU488" s="2">
        <v>7.44613983566854</v>
      </c>
      <c r="AV488" s="2">
        <v>0.0</v>
      </c>
      <c r="AW488" s="2">
        <v>3.0</v>
      </c>
      <c r="AX488" s="2">
        <v>0.0</v>
      </c>
      <c r="AY488" s="2">
        <v>0.0</v>
      </c>
      <c r="AZ488" s="2">
        <v>0.0</v>
      </c>
      <c r="BA488" s="2">
        <v>0.0</v>
      </c>
      <c r="BB488" s="2">
        <v>24.0</v>
      </c>
      <c r="BC488" s="2">
        <v>0.0</v>
      </c>
      <c r="BD488" s="2">
        <v>32.0</v>
      </c>
      <c r="BE488" s="2">
        <v>1.0</v>
      </c>
      <c r="BF488" s="2">
        <v>3.0</v>
      </c>
      <c r="BG488" s="2">
        <v>0.0</v>
      </c>
      <c r="BH488" s="2">
        <v>2.0</v>
      </c>
      <c r="BI488" s="2">
        <v>12.0</v>
      </c>
      <c r="BJ488" s="2">
        <v>4.0</v>
      </c>
      <c r="BK488" s="2">
        <v>1.0</v>
      </c>
      <c r="BL488" s="2">
        <v>6.0</v>
      </c>
      <c r="BM488" s="2">
        <v>1.0</v>
      </c>
      <c r="BN488" s="2">
        <v>0.0</v>
      </c>
      <c r="BO488" s="2">
        <v>0.0</v>
      </c>
      <c r="BP488" s="2">
        <v>0.0</v>
      </c>
      <c r="BQ488" s="2">
        <v>0.0</v>
      </c>
      <c r="BR488" s="2">
        <v>0.0</v>
      </c>
      <c r="BS488" s="2">
        <v>0.0</v>
      </c>
      <c r="BT488" s="2">
        <v>1.0</v>
      </c>
      <c r="BU488" s="2">
        <v>0.0</v>
      </c>
      <c r="BV488" s="2">
        <v>0.0</v>
      </c>
      <c r="BW488" s="2">
        <v>6.0</v>
      </c>
      <c r="BX488" s="2">
        <v>45.0</v>
      </c>
      <c r="BY488" s="2">
        <v>3.0</v>
      </c>
      <c r="BZ488" s="2">
        <v>0.0</v>
      </c>
      <c r="CA488" s="2">
        <v>0.0</v>
      </c>
      <c r="CB488" s="2">
        <v>0.0</v>
      </c>
      <c r="CC488" s="2">
        <v>0.0</v>
      </c>
      <c r="CD488" s="2">
        <v>0.0</v>
      </c>
      <c r="CE488" s="2">
        <v>0.0</v>
      </c>
      <c r="CF488" s="2">
        <v>0.0</v>
      </c>
      <c r="CG488" s="2">
        <v>4.0</v>
      </c>
      <c r="CH488" s="2">
        <v>96.0</v>
      </c>
      <c r="CI488" s="2">
        <v>2.0</v>
      </c>
      <c r="CJ488" s="2">
        <v>2.0</v>
      </c>
      <c r="CK488" s="2">
        <v>0.0</v>
      </c>
      <c r="CL488" s="2">
        <v>0.0</v>
      </c>
      <c r="CM488" s="2">
        <v>34.0</v>
      </c>
      <c r="CN488" s="2">
        <v>1.0</v>
      </c>
      <c r="CO488" s="2">
        <v>0.0</v>
      </c>
      <c r="CP488" s="2">
        <v>1.0</v>
      </c>
      <c r="CQ488" s="2">
        <v>1.0</v>
      </c>
      <c r="CR488" s="2">
        <v>0.0</v>
      </c>
      <c r="CS488" s="2">
        <v>0.0</v>
      </c>
      <c r="CT488" s="2">
        <v>0.0</v>
      </c>
      <c r="CU488" s="2">
        <v>0.0</v>
      </c>
      <c r="CV488" s="2">
        <v>0.0</v>
      </c>
      <c r="CW488" s="2">
        <v>0.0</v>
      </c>
      <c r="CX488" s="2">
        <v>0.0</v>
      </c>
      <c r="CY488" s="2">
        <v>0.0</v>
      </c>
      <c r="CZ488" s="2">
        <v>0.0</v>
      </c>
      <c r="DA488" s="2" t="s">
        <v>2266</v>
      </c>
      <c r="DD488" s="2">
        <v>56.0</v>
      </c>
      <c r="DE488" s="2">
        <v>0.0</v>
      </c>
      <c r="DF488" s="2">
        <v>0.0</v>
      </c>
      <c r="DG488" s="2">
        <v>5.0</v>
      </c>
      <c r="DH488" s="2">
        <v>5.0</v>
      </c>
      <c r="DI488" s="2">
        <v>0.0</v>
      </c>
      <c r="DJ488" s="2">
        <v>0.0</v>
      </c>
      <c r="DK488" s="2">
        <v>1.0</v>
      </c>
      <c r="DL488" s="2">
        <v>0.0</v>
      </c>
      <c r="DM488" s="2">
        <v>0.0</v>
      </c>
      <c r="DN488" s="2">
        <v>0.0</v>
      </c>
      <c r="DO488" s="2">
        <v>0.0</v>
      </c>
      <c r="DP488" s="2">
        <v>0.0</v>
      </c>
      <c r="DQ488" s="2">
        <v>1.0</v>
      </c>
      <c r="DR488" s="2">
        <v>0.0</v>
      </c>
      <c r="DS488" s="2">
        <v>42.0</v>
      </c>
      <c r="DT488" s="2">
        <v>42.0</v>
      </c>
      <c r="DU488" s="2">
        <v>1.0</v>
      </c>
      <c r="DV488" s="2">
        <v>0.0</v>
      </c>
      <c r="DW488" s="2">
        <v>0.0</v>
      </c>
      <c r="DX488" s="2">
        <v>0.0</v>
      </c>
      <c r="DY488" s="2">
        <v>1.0</v>
      </c>
      <c r="DZ488" s="2">
        <v>0.0</v>
      </c>
      <c r="EA488" s="2">
        <v>0.0</v>
      </c>
      <c r="EB488" s="2">
        <v>0.0</v>
      </c>
      <c r="EC488" s="2">
        <v>42.0</v>
      </c>
      <c r="EE488" s="2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2">
        <v>2025.0</v>
      </c>
      <c r="B489" s="2">
        <v>17.0</v>
      </c>
      <c r="C489" s="2" t="s">
        <v>136</v>
      </c>
      <c r="D489" s="2" t="s">
        <v>390</v>
      </c>
      <c r="E489" s="2" t="s">
        <v>1170</v>
      </c>
      <c r="F489" s="2" t="s">
        <v>147</v>
      </c>
      <c r="G489" s="2">
        <v>23.0</v>
      </c>
      <c r="H489" s="2">
        <v>35.0</v>
      </c>
      <c r="I489" s="2">
        <v>262.0</v>
      </c>
      <c r="J489" s="2">
        <v>0.0</v>
      </c>
      <c r="K489" s="2">
        <v>0.0</v>
      </c>
      <c r="L489" s="2">
        <v>5.0</v>
      </c>
      <c r="M489" s="2">
        <v>-51.0</v>
      </c>
      <c r="N489" s="2">
        <v>1.0</v>
      </c>
      <c r="O489" s="2">
        <v>1.0</v>
      </c>
      <c r="P489" s="2">
        <v>251.0</v>
      </c>
      <c r="Q489" s="2">
        <v>95.0</v>
      </c>
      <c r="R489" s="2">
        <v>11.0</v>
      </c>
      <c r="S489" s="2">
        <v>-9.43362353292457</v>
      </c>
      <c r="T489" s="2">
        <v>-0.393228819876006</v>
      </c>
      <c r="U489" s="2">
        <v>0.0</v>
      </c>
      <c r="V489" s="2">
        <v>9.0</v>
      </c>
      <c r="W489" s="2">
        <v>4.0</v>
      </c>
      <c r="X489" s="2">
        <v>4.0</v>
      </c>
      <c r="Y489" s="2">
        <v>1.0</v>
      </c>
      <c r="Z489" s="2">
        <v>33.0</v>
      </c>
      <c r="AA489" s="2">
        <v>120.0</v>
      </c>
      <c r="AB489" s="2">
        <v>2.0</v>
      </c>
      <c r="AC489" s="2">
        <v>1.0</v>
      </c>
      <c r="AD489" s="2">
        <v>0.0</v>
      </c>
      <c r="AE489" s="2">
        <v>7.0</v>
      </c>
      <c r="AF489" s="2">
        <v>0.621562707325211</v>
      </c>
      <c r="AG489" s="2">
        <v>0.0</v>
      </c>
      <c r="AH489" s="2">
        <v>3.0</v>
      </c>
      <c r="AI489" s="2">
        <v>1.0</v>
      </c>
      <c r="AJ489" s="2">
        <v>0.0</v>
      </c>
      <c r="AK489" s="2">
        <v>0.0</v>
      </c>
      <c r="AL489" s="2">
        <v>23.0</v>
      </c>
      <c r="AM489" s="2">
        <v>33.0</v>
      </c>
      <c r="AN489" s="2">
        <v>262.0</v>
      </c>
      <c r="AO489" s="2">
        <v>0.0</v>
      </c>
      <c r="AP489" s="2">
        <v>0.0</v>
      </c>
      <c r="AQ489" s="2">
        <v>0.0</v>
      </c>
      <c r="AR489" s="2">
        <v>251.0</v>
      </c>
      <c r="AS489" s="2">
        <v>95.0</v>
      </c>
      <c r="AT489" s="2">
        <v>11.0</v>
      </c>
      <c r="AU489" s="2">
        <v>7.200458847292</v>
      </c>
      <c r="AV489" s="2">
        <v>0.0</v>
      </c>
      <c r="AW489" s="2">
        <v>9.0</v>
      </c>
      <c r="AX489" s="2">
        <v>4.0</v>
      </c>
      <c r="AY489" s="2">
        <v>4.0</v>
      </c>
      <c r="AZ489" s="2">
        <v>1.0</v>
      </c>
      <c r="BA489" s="2">
        <v>0.0</v>
      </c>
      <c r="BB489" s="2">
        <v>31.0</v>
      </c>
      <c r="BC489" s="2">
        <v>0.0</v>
      </c>
      <c r="BD489" s="2">
        <v>18.0</v>
      </c>
      <c r="BE489" s="2">
        <v>4.0</v>
      </c>
      <c r="BF489" s="2">
        <v>9.0</v>
      </c>
      <c r="BG489" s="2">
        <v>0.0</v>
      </c>
      <c r="BH489" s="2">
        <v>1.0</v>
      </c>
      <c r="BI489" s="2">
        <v>2.0</v>
      </c>
      <c r="BJ489" s="2">
        <v>4.0</v>
      </c>
      <c r="BK489" s="2">
        <v>0.0</v>
      </c>
      <c r="BL489" s="2">
        <v>0.0</v>
      </c>
      <c r="BM489" s="2">
        <v>3.0</v>
      </c>
      <c r="BN489" s="2">
        <v>0.0</v>
      </c>
      <c r="BO489" s="2">
        <v>0.0</v>
      </c>
      <c r="BP489" s="2">
        <v>0.0</v>
      </c>
      <c r="BQ489" s="2">
        <v>0.0</v>
      </c>
      <c r="BR489" s="2">
        <v>1.0</v>
      </c>
      <c r="BS489" s="2">
        <v>-6.0</v>
      </c>
      <c r="BT489" s="2">
        <v>0.0</v>
      </c>
      <c r="BU489" s="2">
        <v>0.0</v>
      </c>
      <c r="BV489" s="2">
        <v>0.0</v>
      </c>
      <c r="BW489" s="2">
        <v>4.0</v>
      </c>
      <c r="BX489" s="2">
        <v>40.0</v>
      </c>
      <c r="BY489" s="2">
        <v>5.0</v>
      </c>
      <c r="BZ489" s="2">
        <v>1.0</v>
      </c>
      <c r="CA489" s="2">
        <v>1.0</v>
      </c>
      <c r="CB489" s="2">
        <v>0.0</v>
      </c>
      <c r="CC489" s="2">
        <v>2.0</v>
      </c>
      <c r="CD489" s="2">
        <v>1.0</v>
      </c>
      <c r="CE489" s="2">
        <v>3.0</v>
      </c>
      <c r="CF489" s="2">
        <v>50.0</v>
      </c>
      <c r="CG489" s="2">
        <v>3.0</v>
      </c>
      <c r="CH489" s="2">
        <v>84.0</v>
      </c>
      <c r="CI489" s="2">
        <v>0.0</v>
      </c>
      <c r="CJ489" s="2">
        <v>0.0</v>
      </c>
      <c r="CK489" s="2">
        <v>0.0</v>
      </c>
      <c r="CL489" s="2">
        <v>0.0</v>
      </c>
      <c r="CO489" s="2">
        <v>0.0</v>
      </c>
      <c r="CP489" s="2">
        <v>0.0</v>
      </c>
      <c r="CQ489" s="2">
        <v>0.0</v>
      </c>
      <c r="CR489" s="2">
        <v>0.0</v>
      </c>
      <c r="CS489" s="2">
        <v>0.0</v>
      </c>
      <c r="CT489" s="2">
        <v>0.0</v>
      </c>
      <c r="CU489" s="2">
        <v>0.0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D489" s="2">
        <v>0.0</v>
      </c>
      <c r="DE489" s="2">
        <v>0.0</v>
      </c>
      <c r="DF489" s="2">
        <v>0.0</v>
      </c>
      <c r="DG489" s="2">
        <v>0.0</v>
      </c>
      <c r="DH489" s="2">
        <v>1.0</v>
      </c>
      <c r="DI489" s="2">
        <v>0.0</v>
      </c>
      <c r="DJ489" s="2">
        <v>1.0</v>
      </c>
      <c r="DK489" s="2">
        <v>0.0</v>
      </c>
      <c r="DL489" s="2">
        <v>0.0</v>
      </c>
      <c r="DM489" s="2">
        <v>0.0</v>
      </c>
      <c r="DN489" s="2">
        <v>0.0</v>
      </c>
      <c r="DO489" s="2">
        <v>0.0</v>
      </c>
      <c r="DP489" s="2">
        <v>0.0</v>
      </c>
      <c r="DQ489" s="2">
        <v>6.0</v>
      </c>
      <c r="DR489" s="2">
        <v>0.0</v>
      </c>
      <c r="DS489" s="2">
        <v>49.0</v>
      </c>
      <c r="DT489" s="2">
        <v>262.0</v>
      </c>
      <c r="DU489" s="2">
        <v>3.0</v>
      </c>
      <c r="DV489" s="2">
        <v>0.0</v>
      </c>
      <c r="DW489" s="2">
        <v>0.0</v>
      </c>
      <c r="DX489" s="2">
        <v>1.0</v>
      </c>
      <c r="DY489" s="2">
        <v>4.0</v>
      </c>
      <c r="DZ489" s="2">
        <v>1.0</v>
      </c>
      <c r="EA489" s="2">
        <v>8.0</v>
      </c>
      <c r="EB489" s="2">
        <v>0.0</v>
      </c>
      <c r="EC489" s="2">
        <v>234.0</v>
      </c>
      <c r="EE489" s="2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2">
        <v>2025.0</v>
      </c>
      <c r="B490" s="2">
        <v>17.0</v>
      </c>
      <c r="C490" s="2" t="s">
        <v>189</v>
      </c>
      <c r="D490" s="2" t="s">
        <v>390</v>
      </c>
      <c r="E490" s="2" t="s">
        <v>1147</v>
      </c>
      <c r="F490" s="2" t="s">
        <v>149</v>
      </c>
      <c r="G490" s="2">
        <v>14.0</v>
      </c>
      <c r="H490" s="2">
        <v>24.0</v>
      </c>
      <c r="I490" s="2">
        <v>54.0</v>
      </c>
      <c r="J490" s="2">
        <v>0.0</v>
      </c>
      <c r="K490" s="2">
        <v>1.0</v>
      </c>
      <c r="L490" s="2">
        <v>2.0</v>
      </c>
      <c r="M490" s="2">
        <v>-14.0</v>
      </c>
      <c r="N490" s="2">
        <v>0.0</v>
      </c>
      <c r="O490" s="2">
        <v>0.0</v>
      </c>
      <c r="P490" s="2">
        <v>43.0</v>
      </c>
      <c r="Q490" s="2">
        <v>71.0</v>
      </c>
      <c r="R490" s="2">
        <v>3.0</v>
      </c>
      <c r="S490" s="2">
        <v>-21.0835844328976</v>
      </c>
      <c r="T490" s="2">
        <v>-7.1114406699226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26.0</v>
      </c>
      <c r="AA490" s="2">
        <v>99.0</v>
      </c>
      <c r="AB490" s="2">
        <v>1.0</v>
      </c>
      <c r="AC490" s="2">
        <v>1.0</v>
      </c>
      <c r="AD490" s="2">
        <v>1.0</v>
      </c>
      <c r="AE490" s="2">
        <v>6.0</v>
      </c>
      <c r="AF490" s="2">
        <v>-7.68520178723241</v>
      </c>
      <c r="AG490" s="2">
        <v>0.0</v>
      </c>
      <c r="AH490" s="2">
        <v>3.0</v>
      </c>
      <c r="AI490" s="2">
        <v>0.0</v>
      </c>
      <c r="AJ490" s="2">
        <v>0.0</v>
      </c>
      <c r="AK490" s="2">
        <v>0.0</v>
      </c>
      <c r="AL490" s="2">
        <v>14.0</v>
      </c>
      <c r="AM490" s="2">
        <v>21.0</v>
      </c>
      <c r="AN490" s="2">
        <v>54.0</v>
      </c>
      <c r="AO490" s="2">
        <v>0.0</v>
      </c>
      <c r="AP490" s="2">
        <v>0.0</v>
      </c>
      <c r="AQ490" s="2">
        <v>0.0</v>
      </c>
      <c r="AR490" s="2">
        <v>43.0</v>
      </c>
      <c r="AS490" s="2">
        <v>71.0</v>
      </c>
      <c r="AT490" s="2">
        <v>3.0</v>
      </c>
      <c r="AU490" s="2">
        <v>-16.9482896937989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35.0</v>
      </c>
      <c r="BC490" s="2">
        <v>1.0</v>
      </c>
      <c r="BD490" s="2">
        <v>41.0</v>
      </c>
      <c r="BE490" s="2">
        <v>5.0</v>
      </c>
      <c r="BF490" s="2">
        <v>30.0</v>
      </c>
      <c r="BG490" s="2">
        <v>1.0</v>
      </c>
      <c r="BH490" s="2">
        <v>3.0</v>
      </c>
      <c r="BI490" s="2">
        <v>22.0</v>
      </c>
      <c r="BJ490" s="2">
        <v>4.0</v>
      </c>
      <c r="BK490" s="2">
        <v>1.0</v>
      </c>
      <c r="BL490" s="2">
        <v>0.0</v>
      </c>
      <c r="BM490" s="2">
        <v>4.0</v>
      </c>
      <c r="BN490" s="2">
        <v>0.0</v>
      </c>
      <c r="BO490" s="2">
        <v>1.0</v>
      </c>
      <c r="BP490" s="2">
        <v>0.0</v>
      </c>
      <c r="BQ490" s="2">
        <v>0.0</v>
      </c>
      <c r="BR490" s="2">
        <v>1.0</v>
      </c>
      <c r="BS490" s="2">
        <v>0.0</v>
      </c>
      <c r="BT490" s="2">
        <v>1.0</v>
      </c>
      <c r="BU490" s="2">
        <v>3.0</v>
      </c>
      <c r="BV490" s="2">
        <v>0.0</v>
      </c>
      <c r="BW490" s="2">
        <v>3.0</v>
      </c>
      <c r="BX490" s="2">
        <v>20.0</v>
      </c>
      <c r="BY490" s="2">
        <v>6.0</v>
      </c>
      <c r="BZ490" s="2">
        <v>2.0</v>
      </c>
      <c r="CA490" s="2">
        <v>0.0</v>
      </c>
      <c r="CB490" s="2">
        <v>0.0</v>
      </c>
      <c r="CC490" s="2">
        <v>2.0</v>
      </c>
      <c r="CD490" s="2">
        <v>1.0</v>
      </c>
      <c r="CE490" s="2">
        <v>0.0</v>
      </c>
      <c r="CF490" s="2">
        <v>0.0</v>
      </c>
      <c r="CG490" s="2">
        <v>5.0</v>
      </c>
      <c r="CH490" s="2">
        <v>118.0</v>
      </c>
      <c r="CI490" s="2">
        <v>1.0</v>
      </c>
      <c r="CJ490" s="2">
        <v>1.0</v>
      </c>
      <c r="CK490" s="2">
        <v>0.0</v>
      </c>
      <c r="CL490" s="2">
        <v>0.0</v>
      </c>
      <c r="CM490" s="2">
        <v>35.0</v>
      </c>
      <c r="CN490" s="2">
        <v>1.0</v>
      </c>
      <c r="CO490" s="2">
        <v>0.0</v>
      </c>
      <c r="CP490" s="2">
        <v>0.0</v>
      </c>
      <c r="CQ490" s="2">
        <v>1.0</v>
      </c>
      <c r="CR490" s="2">
        <v>0.0</v>
      </c>
      <c r="CS490" s="2">
        <v>0.0</v>
      </c>
      <c r="CT490" s="2">
        <v>0.0</v>
      </c>
      <c r="CU490" s="2">
        <v>0.0</v>
      </c>
      <c r="CV490" s="2">
        <v>0.0</v>
      </c>
      <c r="CW490" s="2">
        <v>0.0</v>
      </c>
      <c r="CX490" s="2">
        <v>0.0</v>
      </c>
      <c r="CY490" s="2">
        <v>0.0</v>
      </c>
      <c r="CZ490" s="2">
        <v>0.0</v>
      </c>
      <c r="DA490" s="2" t="s">
        <v>1968</v>
      </c>
      <c r="DD490" s="2">
        <v>35.0</v>
      </c>
      <c r="DE490" s="2">
        <v>0.0</v>
      </c>
      <c r="DF490" s="2">
        <v>0.0</v>
      </c>
      <c r="DG490" s="2">
        <v>1.0</v>
      </c>
      <c r="DH490" s="2">
        <v>1.0</v>
      </c>
      <c r="DI490" s="2">
        <v>0.0</v>
      </c>
      <c r="DJ490" s="2">
        <v>0.0</v>
      </c>
      <c r="DK490" s="2">
        <v>1.0</v>
      </c>
      <c r="DL490" s="2">
        <v>0.0</v>
      </c>
      <c r="DM490" s="2">
        <v>0.0</v>
      </c>
      <c r="DN490" s="2">
        <v>0.0</v>
      </c>
      <c r="DO490" s="2">
        <v>0.0</v>
      </c>
      <c r="DP490" s="2">
        <v>0.0</v>
      </c>
      <c r="DQ490" s="2">
        <v>3.0</v>
      </c>
      <c r="DR490" s="2">
        <v>0.0</v>
      </c>
      <c r="DS490" s="2">
        <v>58.0</v>
      </c>
      <c r="DT490" s="2">
        <v>141.0</v>
      </c>
      <c r="DU490" s="2">
        <v>2.0</v>
      </c>
      <c r="DV490" s="2">
        <v>0.0</v>
      </c>
      <c r="DW490" s="2">
        <v>0.0</v>
      </c>
      <c r="DX490" s="2">
        <v>0.0</v>
      </c>
      <c r="DY490" s="2">
        <v>2.0</v>
      </c>
      <c r="DZ490" s="2">
        <v>1.0</v>
      </c>
      <c r="EA490" s="2">
        <v>13.0</v>
      </c>
      <c r="EB490" s="2">
        <v>0.0</v>
      </c>
      <c r="EC490" s="2">
        <v>128.0</v>
      </c>
      <c r="EE490" s="2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2">
        <v>2025.0</v>
      </c>
      <c r="B491" s="2">
        <v>17.0</v>
      </c>
      <c r="C491" s="2" t="s">
        <v>137</v>
      </c>
      <c r="D491" s="2" t="s">
        <v>390</v>
      </c>
      <c r="E491" s="2" t="s">
        <v>1172</v>
      </c>
      <c r="F491" s="2" t="s">
        <v>246</v>
      </c>
      <c r="G491" s="2">
        <v>25.0</v>
      </c>
      <c r="H491" s="2">
        <v>42.0</v>
      </c>
      <c r="I491" s="2">
        <v>330.0</v>
      </c>
      <c r="J491" s="2">
        <v>2.0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303.0</v>
      </c>
      <c r="Q491" s="2">
        <v>130.0</v>
      </c>
      <c r="R491" s="2">
        <v>16.0</v>
      </c>
      <c r="S491" s="2">
        <v>17.8596808781491</v>
      </c>
      <c r="T491" s="2">
        <v>-2.68440498755528</v>
      </c>
      <c r="U491" s="2">
        <v>0.0</v>
      </c>
      <c r="V491" s="2">
        <v>15.0</v>
      </c>
      <c r="W491" s="2">
        <v>7.0</v>
      </c>
      <c r="X491" s="2">
        <v>6.0</v>
      </c>
      <c r="Y491" s="2">
        <v>0.0</v>
      </c>
      <c r="Z491" s="2">
        <v>22.0</v>
      </c>
      <c r="AA491" s="2">
        <v>110.0</v>
      </c>
      <c r="AB491" s="2">
        <v>2.0</v>
      </c>
      <c r="AC491" s="2">
        <v>0.0</v>
      </c>
      <c r="AD491" s="2">
        <v>0.0</v>
      </c>
      <c r="AE491" s="2">
        <v>7.0</v>
      </c>
      <c r="AF491" s="2">
        <v>4.7344176901388</v>
      </c>
      <c r="AG491" s="2">
        <v>0.0</v>
      </c>
      <c r="AH491" s="2">
        <v>2.0</v>
      </c>
      <c r="AI491" s="2">
        <v>2.0</v>
      </c>
      <c r="AJ491" s="2">
        <v>1.0</v>
      </c>
      <c r="AK491" s="2">
        <v>0.0</v>
      </c>
      <c r="AL491" s="2">
        <v>25.0</v>
      </c>
      <c r="AM491" s="2">
        <v>39.0</v>
      </c>
      <c r="AN491" s="2">
        <v>330.0</v>
      </c>
      <c r="AO491" s="2">
        <v>2.0</v>
      </c>
      <c r="AP491" s="2">
        <v>0.0</v>
      </c>
      <c r="AQ491" s="2">
        <v>0.0</v>
      </c>
      <c r="AR491" s="2">
        <v>303.0</v>
      </c>
      <c r="AS491" s="2">
        <v>130.0</v>
      </c>
      <c r="AT491" s="2">
        <v>16.0</v>
      </c>
      <c r="AU491" s="2">
        <v>19.2201473576475</v>
      </c>
      <c r="AV491" s="2">
        <v>0.0</v>
      </c>
      <c r="AW491" s="2">
        <v>14.0</v>
      </c>
      <c r="AX491" s="2">
        <v>7.0</v>
      </c>
      <c r="AY491" s="2">
        <v>6.0</v>
      </c>
      <c r="AZ491" s="2">
        <v>0.0</v>
      </c>
      <c r="BA491" s="2">
        <v>0.0</v>
      </c>
      <c r="BB491" s="2">
        <v>40.0</v>
      </c>
      <c r="BC491" s="2">
        <v>1.0</v>
      </c>
      <c r="BD491" s="2">
        <v>37.0</v>
      </c>
      <c r="BE491" s="2">
        <v>3.0</v>
      </c>
      <c r="BF491" s="2">
        <v>10.0</v>
      </c>
      <c r="BG491" s="2">
        <v>0.0</v>
      </c>
      <c r="BH491" s="2">
        <v>1.0</v>
      </c>
      <c r="BI491" s="2">
        <v>7.0</v>
      </c>
      <c r="BJ491" s="2">
        <v>1.0</v>
      </c>
      <c r="BK491" s="2">
        <v>1.0</v>
      </c>
      <c r="BL491" s="2">
        <v>34.0</v>
      </c>
      <c r="BM491" s="2">
        <v>6.0</v>
      </c>
      <c r="BN491" s="2">
        <v>1.0</v>
      </c>
      <c r="BO491" s="2">
        <v>0.0</v>
      </c>
      <c r="BP491" s="2">
        <v>0.0</v>
      </c>
      <c r="BQ491" s="2">
        <v>0.0</v>
      </c>
      <c r="BR491" s="2">
        <v>0.0</v>
      </c>
      <c r="BS491" s="2">
        <v>0.0</v>
      </c>
      <c r="BT491" s="2">
        <v>0.0</v>
      </c>
      <c r="BU491" s="2">
        <v>0.0</v>
      </c>
      <c r="BV491" s="2">
        <v>0.0</v>
      </c>
      <c r="BW491" s="2">
        <v>7.0</v>
      </c>
      <c r="BX491" s="2">
        <v>39.0</v>
      </c>
      <c r="BY491" s="2">
        <v>5.0</v>
      </c>
      <c r="BZ491" s="2">
        <v>0.0</v>
      </c>
      <c r="CA491" s="2">
        <v>0.0</v>
      </c>
      <c r="CB491" s="2">
        <v>0.0</v>
      </c>
      <c r="CC491" s="2">
        <v>0.0</v>
      </c>
      <c r="CD491" s="2">
        <v>0.0</v>
      </c>
      <c r="CE491" s="2">
        <v>0.0</v>
      </c>
      <c r="CF491" s="2">
        <v>0.0</v>
      </c>
      <c r="CG491" s="2">
        <v>4.0</v>
      </c>
      <c r="CH491" s="2">
        <v>102.0</v>
      </c>
      <c r="CI491" s="2">
        <v>1.0</v>
      </c>
      <c r="CJ491" s="2">
        <v>1.0</v>
      </c>
      <c r="CK491" s="2">
        <v>0.0</v>
      </c>
      <c r="CL491" s="2">
        <v>0.0</v>
      </c>
      <c r="CM491" s="2">
        <v>29.0</v>
      </c>
      <c r="CN491" s="2">
        <v>1.0</v>
      </c>
      <c r="CO491" s="2">
        <v>0.0</v>
      </c>
      <c r="CP491" s="2">
        <v>1.0</v>
      </c>
      <c r="CQ491" s="2">
        <v>0.0</v>
      </c>
      <c r="CR491" s="2">
        <v>0.0</v>
      </c>
      <c r="CS491" s="2">
        <v>0.0</v>
      </c>
      <c r="CT491" s="2">
        <v>0.0</v>
      </c>
      <c r="CU491" s="2">
        <v>0.0</v>
      </c>
      <c r="CV491" s="2">
        <v>0.0</v>
      </c>
      <c r="CW491" s="2">
        <v>0.0</v>
      </c>
      <c r="CX491" s="2">
        <v>0.0</v>
      </c>
      <c r="CY491" s="2">
        <v>0.0</v>
      </c>
      <c r="CZ491" s="2">
        <v>0.0</v>
      </c>
      <c r="DA491" s="2" t="s">
        <v>2065</v>
      </c>
      <c r="DD491" s="2">
        <v>29.0</v>
      </c>
      <c r="DE491" s="2">
        <v>0.0</v>
      </c>
      <c r="DF491" s="2">
        <v>0.0</v>
      </c>
      <c r="DG491" s="2">
        <v>5.0</v>
      </c>
      <c r="DH491" s="2">
        <v>5.0</v>
      </c>
      <c r="DI491" s="2">
        <v>0.0</v>
      </c>
      <c r="DJ491" s="2">
        <v>0.0</v>
      </c>
      <c r="DK491" s="2">
        <v>1.0</v>
      </c>
      <c r="DL491" s="2">
        <v>0.0</v>
      </c>
      <c r="DM491" s="2">
        <v>0.0</v>
      </c>
      <c r="DN491" s="2">
        <v>0.0</v>
      </c>
      <c r="DO491" s="2">
        <v>0.0</v>
      </c>
      <c r="DP491" s="2">
        <v>0.0</v>
      </c>
      <c r="DQ491" s="2">
        <v>3.0</v>
      </c>
      <c r="DR491" s="2">
        <v>0.0</v>
      </c>
      <c r="DS491" s="2">
        <v>64.0</v>
      </c>
      <c r="DT491" s="2">
        <v>176.0</v>
      </c>
      <c r="DU491" s="2">
        <v>1.0</v>
      </c>
      <c r="DV491" s="2">
        <v>0.0</v>
      </c>
      <c r="DW491" s="2">
        <v>0.0</v>
      </c>
      <c r="DX491" s="2">
        <v>1.0</v>
      </c>
      <c r="DY491" s="2">
        <v>0.0</v>
      </c>
      <c r="DZ491" s="2">
        <v>2.0</v>
      </c>
      <c r="EA491" s="2">
        <v>11.0</v>
      </c>
      <c r="EB491" s="2">
        <v>0.0</v>
      </c>
      <c r="EC491" s="2">
        <v>145.0</v>
      </c>
      <c r="EE491" s="2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2">
        <v>2025.0</v>
      </c>
      <c r="B492" s="2">
        <v>17.0</v>
      </c>
      <c r="C492" s="2" t="s">
        <v>138</v>
      </c>
      <c r="D492" s="2" t="s">
        <v>390</v>
      </c>
      <c r="E492" s="2" t="s">
        <v>1150</v>
      </c>
      <c r="F492" s="2" t="s">
        <v>178</v>
      </c>
      <c r="G492" s="2">
        <v>27.0</v>
      </c>
      <c r="H492" s="2">
        <v>36.0</v>
      </c>
      <c r="I492" s="2">
        <v>329.0</v>
      </c>
      <c r="J492" s="2">
        <v>2.0</v>
      </c>
      <c r="K492" s="2">
        <v>0.0</v>
      </c>
      <c r="L492" s="2">
        <v>3.0</v>
      </c>
      <c r="M492" s="2">
        <v>-20.0</v>
      </c>
      <c r="N492" s="2">
        <v>0.0</v>
      </c>
      <c r="O492" s="2">
        <v>0.0</v>
      </c>
      <c r="P492" s="2">
        <v>268.0</v>
      </c>
      <c r="Q492" s="2">
        <v>188.0</v>
      </c>
      <c r="R492" s="2">
        <v>17.0</v>
      </c>
      <c r="S492" s="2">
        <v>18.6204052868431</v>
      </c>
      <c r="T492" s="2">
        <v>11.8703856612697</v>
      </c>
      <c r="U492" s="2">
        <v>0.0</v>
      </c>
      <c r="V492" s="2">
        <v>15.0</v>
      </c>
      <c r="W492" s="2">
        <v>6.0</v>
      </c>
      <c r="X492" s="2">
        <v>4.0</v>
      </c>
      <c r="Y492" s="2">
        <v>0.0</v>
      </c>
      <c r="Z492" s="2">
        <v>35.0</v>
      </c>
      <c r="AA492" s="2">
        <v>120.0</v>
      </c>
      <c r="AB492" s="2">
        <v>3.0</v>
      </c>
      <c r="AC492" s="2">
        <v>0.0</v>
      </c>
      <c r="AD492" s="2">
        <v>0.0</v>
      </c>
      <c r="AE492" s="2">
        <v>10.0</v>
      </c>
      <c r="AF492" s="2">
        <v>5.1963779872749</v>
      </c>
      <c r="AG492" s="2">
        <v>0.0</v>
      </c>
      <c r="AH492" s="2">
        <v>2.0</v>
      </c>
      <c r="AI492" s="2">
        <v>2.0</v>
      </c>
      <c r="AJ492" s="2">
        <v>1.0</v>
      </c>
      <c r="AK492" s="2">
        <v>0.0</v>
      </c>
      <c r="AL492" s="2">
        <v>27.0</v>
      </c>
      <c r="AM492" s="2">
        <v>33.0</v>
      </c>
      <c r="AN492" s="2">
        <v>329.0</v>
      </c>
      <c r="AO492" s="2">
        <v>2.0</v>
      </c>
      <c r="AP492" s="2">
        <v>0.0</v>
      </c>
      <c r="AQ492" s="2">
        <v>0.0</v>
      </c>
      <c r="AR492" s="2">
        <v>268.0</v>
      </c>
      <c r="AS492" s="2">
        <v>188.0</v>
      </c>
      <c r="AT492" s="2">
        <v>17.0</v>
      </c>
      <c r="AU492" s="2">
        <v>24.8929320467302</v>
      </c>
      <c r="AV492" s="2">
        <v>0.0</v>
      </c>
      <c r="AW492" s="2">
        <v>15.0</v>
      </c>
      <c r="AX492" s="2">
        <v>6.0</v>
      </c>
      <c r="AY492" s="2">
        <v>4.0</v>
      </c>
      <c r="AZ492" s="2">
        <v>0.0</v>
      </c>
      <c r="BA492" s="2">
        <v>0.0</v>
      </c>
      <c r="BB492" s="2">
        <v>28.0</v>
      </c>
      <c r="BC492" s="2">
        <v>0.0</v>
      </c>
      <c r="BD492" s="2">
        <v>26.0</v>
      </c>
      <c r="BE492" s="2">
        <v>4.0</v>
      </c>
      <c r="BF492" s="2">
        <v>21.0</v>
      </c>
      <c r="BG492" s="2">
        <v>0.0</v>
      </c>
      <c r="BH492" s="2">
        <v>4.0</v>
      </c>
      <c r="BI492" s="2">
        <v>21.0</v>
      </c>
      <c r="BJ492" s="2">
        <v>8.0</v>
      </c>
      <c r="BK492" s="2">
        <v>0.0</v>
      </c>
      <c r="BL492" s="2">
        <v>0.0</v>
      </c>
      <c r="BM492" s="2">
        <v>6.0</v>
      </c>
      <c r="BN492" s="2">
        <v>0.0</v>
      </c>
      <c r="BO492" s="2">
        <v>0.0</v>
      </c>
      <c r="BP492" s="2">
        <v>0.0</v>
      </c>
      <c r="BQ492" s="2">
        <v>0.0</v>
      </c>
      <c r="BR492" s="2">
        <v>0.0</v>
      </c>
      <c r="BS492" s="2">
        <v>0.0</v>
      </c>
      <c r="BT492" s="2">
        <v>0.0</v>
      </c>
      <c r="BU492" s="2">
        <v>0.0</v>
      </c>
      <c r="BV492" s="2">
        <v>0.0</v>
      </c>
      <c r="BW492" s="2">
        <v>5.0</v>
      </c>
      <c r="BX492" s="2">
        <v>38.0</v>
      </c>
      <c r="BY492" s="2">
        <v>2.0</v>
      </c>
      <c r="BZ492" s="2">
        <v>0.0</v>
      </c>
      <c r="CA492" s="2">
        <v>0.0</v>
      </c>
      <c r="CB492" s="2">
        <v>0.0</v>
      </c>
      <c r="CC492" s="2">
        <v>0.0</v>
      </c>
      <c r="CD492" s="2">
        <v>0.0</v>
      </c>
      <c r="CE492" s="2">
        <v>5.0</v>
      </c>
      <c r="CF492" s="2">
        <v>56.0</v>
      </c>
      <c r="CG492" s="2">
        <v>1.0</v>
      </c>
      <c r="CH492" s="2">
        <v>28.0</v>
      </c>
      <c r="CI492" s="2">
        <v>1.0</v>
      </c>
      <c r="CJ492" s="2">
        <v>1.0</v>
      </c>
      <c r="CK492" s="2">
        <v>0.0</v>
      </c>
      <c r="CL492" s="2">
        <v>0.0</v>
      </c>
      <c r="CM492" s="2">
        <v>57.0</v>
      </c>
      <c r="CN492" s="2">
        <v>1.0</v>
      </c>
      <c r="CO492" s="2">
        <v>0.0</v>
      </c>
      <c r="CP492" s="2">
        <v>0.0</v>
      </c>
      <c r="CQ492" s="2">
        <v>0.0</v>
      </c>
      <c r="CR492" s="2">
        <v>0.0</v>
      </c>
      <c r="CS492" s="2">
        <v>1.0</v>
      </c>
      <c r="CT492" s="2">
        <v>0.0</v>
      </c>
      <c r="CU492" s="2">
        <v>0.0</v>
      </c>
      <c r="CV492" s="2">
        <v>0.0</v>
      </c>
      <c r="CW492" s="2">
        <v>0.0</v>
      </c>
      <c r="CX492" s="2">
        <v>0.0</v>
      </c>
      <c r="CY492" s="2">
        <v>0.0</v>
      </c>
      <c r="CZ492" s="2">
        <v>0.0</v>
      </c>
      <c r="DA492" s="2" t="s">
        <v>2023</v>
      </c>
      <c r="DD492" s="2">
        <v>57.0</v>
      </c>
      <c r="DE492" s="2">
        <v>0.0</v>
      </c>
      <c r="DF492" s="2">
        <v>0.0</v>
      </c>
      <c r="DG492" s="2">
        <v>4.0</v>
      </c>
      <c r="DH492" s="2">
        <v>5.0</v>
      </c>
      <c r="DI492" s="2">
        <v>1.0</v>
      </c>
      <c r="DJ492" s="2">
        <v>0.0</v>
      </c>
      <c r="DK492" s="2">
        <v>0.8</v>
      </c>
      <c r="DL492" s="2">
        <v>0.0</v>
      </c>
      <c r="DM492" s="2">
        <v>0.0</v>
      </c>
      <c r="DN492" s="2">
        <v>0.0</v>
      </c>
      <c r="DO492" s="2">
        <v>0.0</v>
      </c>
      <c r="DP492" s="2">
        <v>0.0</v>
      </c>
      <c r="DQ492" s="2">
        <v>2.0</v>
      </c>
      <c r="DR492" s="2">
        <v>0.0</v>
      </c>
      <c r="DS492" s="2">
        <v>43.0</v>
      </c>
      <c r="DT492" s="2">
        <v>85.0</v>
      </c>
      <c r="DU492" s="2">
        <v>1.0</v>
      </c>
      <c r="DV492" s="2">
        <v>0.0</v>
      </c>
      <c r="DW492" s="2">
        <v>1.0</v>
      </c>
      <c r="DX492" s="2">
        <v>0.0</v>
      </c>
      <c r="DY492" s="2">
        <v>0.0</v>
      </c>
      <c r="DZ492" s="2">
        <v>1.0</v>
      </c>
      <c r="EA492" s="2">
        <v>5.0</v>
      </c>
      <c r="EB492" s="2">
        <v>0.0</v>
      </c>
      <c r="EC492" s="2">
        <v>80.0</v>
      </c>
      <c r="EE492" s="2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2">
        <v>2025.0</v>
      </c>
      <c r="B493" s="2">
        <v>17.0</v>
      </c>
      <c r="C493" s="2" t="s">
        <v>196</v>
      </c>
      <c r="D493" s="2" t="s">
        <v>390</v>
      </c>
      <c r="E493" s="2" t="s">
        <v>1152</v>
      </c>
      <c r="F493" s="2" t="s">
        <v>242</v>
      </c>
      <c r="G493" s="2">
        <v>17.0</v>
      </c>
      <c r="H493" s="2">
        <v>23.0</v>
      </c>
      <c r="I493" s="2">
        <v>186.0</v>
      </c>
      <c r="J493" s="2">
        <v>1.0</v>
      </c>
      <c r="K493" s="2">
        <v>2.0</v>
      </c>
      <c r="L493" s="2">
        <v>2.0</v>
      </c>
      <c r="M493" s="2">
        <v>-2.0</v>
      </c>
      <c r="N493" s="2">
        <v>0.0</v>
      </c>
      <c r="O493" s="2">
        <v>0.0</v>
      </c>
      <c r="P493" s="2">
        <v>189.0</v>
      </c>
      <c r="Q493" s="2">
        <v>49.0</v>
      </c>
      <c r="R493" s="2">
        <v>9.0</v>
      </c>
      <c r="S493" s="2">
        <v>-5.50395237866573</v>
      </c>
      <c r="T493" s="2">
        <v>7.93348447136257</v>
      </c>
      <c r="U493" s="2">
        <v>0.0</v>
      </c>
      <c r="V493" s="2">
        <v>9.0</v>
      </c>
      <c r="W493" s="2">
        <v>4.0</v>
      </c>
      <c r="X493" s="2">
        <v>2.0</v>
      </c>
      <c r="Y493" s="2">
        <v>1.0</v>
      </c>
      <c r="Z493" s="2">
        <v>25.0</v>
      </c>
      <c r="AA493" s="2">
        <v>78.0</v>
      </c>
      <c r="AB493" s="2">
        <v>0.0</v>
      </c>
      <c r="AC493" s="2">
        <v>0.0</v>
      </c>
      <c r="AD493" s="2">
        <v>0.0</v>
      </c>
      <c r="AE493" s="2">
        <v>1.0</v>
      </c>
      <c r="AF493" s="2">
        <v>-5.94545989713447</v>
      </c>
      <c r="AG493" s="2">
        <v>0.0</v>
      </c>
      <c r="AH493" s="2">
        <v>1.0</v>
      </c>
      <c r="AI493" s="2">
        <v>0.0</v>
      </c>
      <c r="AJ493" s="2">
        <v>0.0</v>
      </c>
      <c r="AK493" s="2">
        <v>0.0</v>
      </c>
      <c r="AL493" s="2">
        <v>17.0</v>
      </c>
      <c r="AM493" s="2">
        <v>23.0</v>
      </c>
      <c r="AN493" s="2">
        <v>186.0</v>
      </c>
      <c r="AO493" s="2">
        <v>1.0</v>
      </c>
      <c r="AP493" s="2">
        <v>0.0</v>
      </c>
      <c r="AQ493" s="2">
        <v>0.0</v>
      </c>
      <c r="AR493" s="2">
        <v>189.0</v>
      </c>
      <c r="AS493" s="2">
        <v>49.0</v>
      </c>
      <c r="AT493" s="2">
        <v>9.0</v>
      </c>
      <c r="AU493" s="2">
        <v>-3.52986713873937</v>
      </c>
      <c r="AV493" s="2">
        <v>0.0</v>
      </c>
      <c r="AW493" s="2">
        <v>9.0</v>
      </c>
      <c r="AX493" s="2">
        <v>4.0</v>
      </c>
      <c r="AY493" s="2">
        <v>2.0</v>
      </c>
      <c r="AZ493" s="2">
        <v>1.0</v>
      </c>
      <c r="BA493" s="2">
        <v>0.0</v>
      </c>
      <c r="BB493" s="2">
        <v>39.0</v>
      </c>
      <c r="BC493" s="2">
        <v>2.0</v>
      </c>
      <c r="BD493" s="2">
        <v>28.0</v>
      </c>
      <c r="BE493" s="2">
        <v>7.0</v>
      </c>
      <c r="BF493" s="2">
        <v>24.0</v>
      </c>
      <c r="BG493" s="2">
        <v>3.0</v>
      </c>
      <c r="BH493" s="2">
        <v>2.0</v>
      </c>
      <c r="BI493" s="2">
        <v>8.0</v>
      </c>
      <c r="BJ493" s="2">
        <v>5.0</v>
      </c>
      <c r="BK493" s="2">
        <v>0.0</v>
      </c>
      <c r="BL493" s="2">
        <v>0.0</v>
      </c>
      <c r="BM493" s="2">
        <v>4.0</v>
      </c>
      <c r="BN493" s="2">
        <v>0.0</v>
      </c>
      <c r="BO493" s="2">
        <v>0.0</v>
      </c>
      <c r="BP493" s="2">
        <v>0.0</v>
      </c>
      <c r="BQ493" s="2">
        <v>0.0</v>
      </c>
      <c r="BR493" s="2">
        <v>0.0</v>
      </c>
      <c r="BS493" s="2">
        <v>0.0</v>
      </c>
      <c r="BT493" s="2">
        <v>0.0</v>
      </c>
      <c r="BU493" s="2">
        <v>0.0</v>
      </c>
      <c r="BV493" s="2">
        <v>0.0</v>
      </c>
      <c r="BW493" s="2">
        <v>6.0</v>
      </c>
      <c r="BX493" s="2">
        <v>45.0</v>
      </c>
      <c r="BY493" s="2">
        <v>2.0</v>
      </c>
      <c r="BZ493" s="2">
        <v>0.0</v>
      </c>
      <c r="CA493" s="2">
        <v>0.0</v>
      </c>
      <c r="CB493" s="2">
        <v>0.0</v>
      </c>
      <c r="CC493" s="2">
        <v>0.0</v>
      </c>
      <c r="CD493" s="2">
        <v>0.0</v>
      </c>
      <c r="CE493" s="2">
        <v>0.0</v>
      </c>
      <c r="CF493" s="2">
        <v>0.0</v>
      </c>
      <c r="CG493" s="2">
        <v>1.0</v>
      </c>
      <c r="CH493" s="2">
        <v>25.0</v>
      </c>
      <c r="CI493" s="2">
        <v>2.0</v>
      </c>
      <c r="CJ493" s="2">
        <v>2.0</v>
      </c>
      <c r="CK493" s="2">
        <v>0.0</v>
      </c>
      <c r="CL493" s="2">
        <v>0.0</v>
      </c>
      <c r="CM493" s="2">
        <v>50.0</v>
      </c>
      <c r="CN493" s="2">
        <v>1.0</v>
      </c>
      <c r="CO493" s="2">
        <v>0.0</v>
      </c>
      <c r="CP493" s="2">
        <v>0.0</v>
      </c>
      <c r="CQ493" s="2">
        <v>1.0</v>
      </c>
      <c r="CR493" s="2">
        <v>0.0</v>
      </c>
      <c r="CS493" s="2">
        <v>1.0</v>
      </c>
      <c r="CT493" s="2">
        <v>0.0</v>
      </c>
      <c r="CU493" s="2">
        <v>0.0</v>
      </c>
      <c r="CV493" s="2">
        <v>0.0</v>
      </c>
      <c r="CW493" s="2">
        <v>0.0</v>
      </c>
      <c r="CX493" s="2">
        <v>0.0</v>
      </c>
      <c r="CY493" s="2">
        <v>0.0</v>
      </c>
      <c r="CZ493" s="2">
        <v>0.0</v>
      </c>
      <c r="DA493" s="2" t="s">
        <v>2267</v>
      </c>
      <c r="DD493" s="2">
        <v>83.0</v>
      </c>
      <c r="DE493" s="2">
        <v>0.0</v>
      </c>
      <c r="DF493" s="2">
        <v>0.0</v>
      </c>
      <c r="DG493" s="2">
        <v>1.0</v>
      </c>
      <c r="DH493" s="2">
        <v>1.0</v>
      </c>
      <c r="DI493" s="2">
        <v>0.0</v>
      </c>
      <c r="DJ493" s="2">
        <v>0.0</v>
      </c>
      <c r="DK493" s="2">
        <v>1.0</v>
      </c>
      <c r="DL493" s="2">
        <v>0.0</v>
      </c>
      <c r="DM493" s="2">
        <v>0.0</v>
      </c>
      <c r="DN493" s="2">
        <v>0.0</v>
      </c>
      <c r="DO493" s="2">
        <v>0.0</v>
      </c>
      <c r="DP493" s="2">
        <v>0.0</v>
      </c>
      <c r="DQ493" s="2">
        <v>4.0</v>
      </c>
      <c r="DR493" s="2">
        <v>0.0</v>
      </c>
      <c r="DS493" s="2">
        <v>64.0</v>
      </c>
      <c r="DT493" s="2">
        <v>228.0</v>
      </c>
      <c r="DU493" s="2">
        <v>0.0</v>
      </c>
      <c r="DV493" s="2">
        <v>1.0</v>
      </c>
      <c r="DW493" s="2">
        <v>0.0</v>
      </c>
      <c r="DX493" s="2">
        <v>0.0</v>
      </c>
      <c r="DY493" s="2">
        <v>1.0</v>
      </c>
      <c r="DZ493" s="2">
        <v>2.0</v>
      </c>
      <c r="EA493" s="2">
        <v>34.0</v>
      </c>
      <c r="EB493" s="2">
        <v>0.0</v>
      </c>
      <c r="EC493" s="2">
        <v>194.0</v>
      </c>
      <c r="EE493" s="2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2">
        <v>2025.0</v>
      </c>
      <c r="B494" s="2">
        <v>17.0</v>
      </c>
      <c r="C494" s="2" t="s">
        <v>146</v>
      </c>
      <c r="D494" s="2" t="s">
        <v>390</v>
      </c>
      <c r="E494" s="2" t="s">
        <v>1136</v>
      </c>
      <c r="F494" s="2" t="s">
        <v>253</v>
      </c>
      <c r="G494" s="2">
        <v>19.0</v>
      </c>
      <c r="H494" s="2">
        <v>37.0</v>
      </c>
      <c r="I494" s="2">
        <v>307.0</v>
      </c>
      <c r="J494" s="2">
        <v>2.0</v>
      </c>
      <c r="K494" s="2">
        <v>0.0</v>
      </c>
      <c r="L494" s="2">
        <v>6.0</v>
      </c>
      <c r="M494" s="2">
        <v>-38.0</v>
      </c>
      <c r="N494" s="2">
        <v>0.0</v>
      </c>
      <c r="O494" s="2">
        <v>0.0</v>
      </c>
      <c r="P494" s="2">
        <v>382.0</v>
      </c>
      <c r="Q494" s="2">
        <v>151.0</v>
      </c>
      <c r="R494" s="2">
        <v>13.0</v>
      </c>
      <c r="S494" s="2">
        <v>11.7382092066109</v>
      </c>
      <c r="T494" s="2">
        <v>-10.9616221653091</v>
      </c>
      <c r="U494" s="2">
        <v>0.0</v>
      </c>
      <c r="V494" s="2">
        <v>11.0</v>
      </c>
      <c r="W494" s="2">
        <v>7.0</v>
      </c>
      <c r="X494" s="2">
        <v>4.0</v>
      </c>
      <c r="Y494" s="2">
        <v>1.0</v>
      </c>
      <c r="Z494" s="2">
        <v>44.0</v>
      </c>
      <c r="AA494" s="2">
        <v>211.0</v>
      </c>
      <c r="AB494" s="2">
        <v>1.0</v>
      </c>
      <c r="AC494" s="2">
        <v>0.0</v>
      </c>
      <c r="AD494" s="2">
        <v>0.0</v>
      </c>
      <c r="AE494" s="2">
        <v>10.0</v>
      </c>
      <c r="AF494" s="2">
        <v>6.77393222659888</v>
      </c>
      <c r="AG494" s="2">
        <v>0.0</v>
      </c>
      <c r="AH494" s="2">
        <v>3.0</v>
      </c>
      <c r="AI494" s="2">
        <v>3.0</v>
      </c>
      <c r="AJ494" s="2">
        <v>1.0</v>
      </c>
      <c r="AK494" s="2">
        <v>0.0</v>
      </c>
      <c r="AL494" s="2">
        <v>19.0</v>
      </c>
      <c r="AM494" s="2">
        <v>36.0</v>
      </c>
      <c r="AN494" s="2">
        <v>307.0</v>
      </c>
      <c r="AO494" s="2">
        <v>2.0</v>
      </c>
      <c r="AP494" s="2">
        <v>0.0</v>
      </c>
      <c r="AQ494" s="2">
        <v>0.0</v>
      </c>
      <c r="AR494" s="2">
        <v>382.0</v>
      </c>
      <c r="AS494" s="2">
        <v>151.0</v>
      </c>
      <c r="AT494" s="2">
        <v>13.0</v>
      </c>
      <c r="AU494" s="2">
        <v>16.361075887619</v>
      </c>
      <c r="AV494" s="2">
        <v>0.0</v>
      </c>
      <c r="AW494" s="2">
        <v>11.0</v>
      </c>
      <c r="AX494" s="2">
        <v>7.0</v>
      </c>
      <c r="AY494" s="2">
        <v>4.0</v>
      </c>
      <c r="AZ494" s="2">
        <v>1.0</v>
      </c>
      <c r="BA494" s="2">
        <v>0.0</v>
      </c>
      <c r="BB494" s="2">
        <v>20.0</v>
      </c>
      <c r="BC494" s="2">
        <v>3.0</v>
      </c>
      <c r="BD494" s="2">
        <v>29.0</v>
      </c>
      <c r="BE494" s="2">
        <v>6.0</v>
      </c>
      <c r="BF494" s="2">
        <v>20.0</v>
      </c>
      <c r="BG494" s="2">
        <v>0.0</v>
      </c>
      <c r="BH494" s="2">
        <v>2.0</v>
      </c>
      <c r="BI494" s="2">
        <v>8.0</v>
      </c>
      <c r="BJ494" s="2">
        <v>6.0</v>
      </c>
      <c r="BK494" s="2">
        <v>0.0</v>
      </c>
      <c r="BL494" s="2">
        <v>0.0</v>
      </c>
      <c r="BM494" s="2">
        <v>3.0</v>
      </c>
      <c r="BN494" s="2">
        <v>0.0</v>
      </c>
      <c r="BO494" s="2">
        <v>0.0</v>
      </c>
      <c r="BP494" s="2">
        <v>0.0</v>
      </c>
      <c r="BQ494" s="2">
        <v>0.0</v>
      </c>
      <c r="BR494" s="2">
        <v>0.0</v>
      </c>
      <c r="BS494" s="2">
        <v>0.0</v>
      </c>
      <c r="BT494" s="2">
        <v>0.0</v>
      </c>
      <c r="BU494" s="2">
        <v>0.0</v>
      </c>
      <c r="BV494" s="2">
        <v>0.0</v>
      </c>
      <c r="BW494" s="2">
        <v>11.0</v>
      </c>
      <c r="BX494" s="2">
        <v>89.0</v>
      </c>
      <c r="BY494" s="2">
        <v>5.0</v>
      </c>
      <c r="BZ494" s="2">
        <v>0.0</v>
      </c>
      <c r="CA494" s="2">
        <v>0.0</v>
      </c>
      <c r="CB494" s="2">
        <v>0.0</v>
      </c>
      <c r="CC494" s="2">
        <v>0.0</v>
      </c>
      <c r="CD494" s="2">
        <v>0.0</v>
      </c>
      <c r="CE494" s="2">
        <v>0.0</v>
      </c>
      <c r="CF494" s="2">
        <v>0.0</v>
      </c>
      <c r="CG494" s="2">
        <v>5.0</v>
      </c>
      <c r="CH494" s="2">
        <v>115.0</v>
      </c>
      <c r="CI494" s="2">
        <v>3.0</v>
      </c>
      <c r="CJ494" s="2">
        <v>4.0</v>
      </c>
      <c r="CK494" s="2">
        <v>1.0</v>
      </c>
      <c r="CL494" s="2">
        <v>0.0</v>
      </c>
      <c r="CM494" s="2">
        <v>52.0</v>
      </c>
      <c r="CN494" s="2">
        <v>0.75</v>
      </c>
      <c r="CO494" s="2">
        <v>0.0</v>
      </c>
      <c r="CP494" s="2">
        <v>0.0</v>
      </c>
      <c r="CQ494" s="2">
        <v>0.0</v>
      </c>
      <c r="CR494" s="2">
        <v>1.0</v>
      </c>
      <c r="CS494" s="2">
        <v>2.0</v>
      </c>
      <c r="CT494" s="2">
        <v>0.0</v>
      </c>
      <c r="CU494" s="2">
        <v>0.0</v>
      </c>
      <c r="CV494" s="2">
        <v>0.0</v>
      </c>
      <c r="CW494" s="2">
        <v>0.0</v>
      </c>
      <c r="CX494" s="2">
        <v>0.0</v>
      </c>
      <c r="CY494" s="2">
        <v>1.0</v>
      </c>
      <c r="CZ494" s="2">
        <v>0.0</v>
      </c>
      <c r="DA494" s="2" t="s">
        <v>2268</v>
      </c>
      <c r="DB494" s="2" t="s">
        <v>1981</v>
      </c>
      <c r="DD494" s="2">
        <v>145.0</v>
      </c>
      <c r="DE494" s="2">
        <v>58.0</v>
      </c>
      <c r="DF494" s="2">
        <v>0.0</v>
      </c>
      <c r="DG494" s="2">
        <v>3.0</v>
      </c>
      <c r="DH494" s="2">
        <v>3.0</v>
      </c>
      <c r="DI494" s="2">
        <v>0.0</v>
      </c>
      <c r="DJ494" s="2">
        <v>0.0</v>
      </c>
      <c r="DK494" s="2">
        <v>1.0</v>
      </c>
      <c r="DL494" s="2">
        <v>0.0</v>
      </c>
      <c r="DM494" s="2">
        <v>0.0</v>
      </c>
      <c r="DN494" s="2">
        <v>0.0</v>
      </c>
      <c r="DO494" s="2">
        <v>0.0</v>
      </c>
      <c r="DP494" s="2">
        <v>0.0</v>
      </c>
      <c r="DQ494" s="2">
        <v>1.0</v>
      </c>
      <c r="DR494" s="2">
        <v>0.0</v>
      </c>
      <c r="DS494" s="2">
        <v>53.0</v>
      </c>
      <c r="DT494" s="2">
        <v>53.0</v>
      </c>
      <c r="DU494" s="2">
        <v>0.0</v>
      </c>
      <c r="DV494" s="2">
        <v>0.0</v>
      </c>
      <c r="DW494" s="2">
        <v>0.0</v>
      </c>
      <c r="DX494" s="2">
        <v>0.0</v>
      </c>
      <c r="DY494" s="2">
        <v>0.0</v>
      </c>
      <c r="DZ494" s="2">
        <v>1.0</v>
      </c>
      <c r="EA494" s="2">
        <v>0.0</v>
      </c>
      <c r="EB494" s="2">
        <v>0.0</v>
      </c>
      <c r="EC494" s="2">
        <v>53.0</v>
      </c>
      <c r="EE494" s="2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2">
        <v>2025.0</v>
      </c>
      <c r="B495" s="2">
        <v>17.0</v>
      </c>
      <c r="C495" s="2" t="s">
        <v>139</v>
      </c>
      <c r="D495" s="2" t="s">
        <v>390</v>
      </c>
      <c r="E495" s="2" t="s">
        <v>1143</v>
      </c>
      <c r="F495" s="2" t="s">
        <v>143</v>
      </c>
      <c r="G495" s="2">
        <v>26.0</v>
      </c>
      <c r="H495" s="2">
        <v>38.0</v>
      </c>
      <c r="I495" s="2">
        <v>182.0</v>
      </c>
      <c r="J495" s="2">
        <v>1.0</v>
      </c>
      <c r="K495" s="2">
        <v>1.0</v>
      </c>
      <c r="L495" s="2">
        <v>1.0</v>
      </c>
      <c r="M495" s="2">
        <v>-7.0</v>
      </c>
      <c r="N495" s="2">
        <v>0.0</v>
      </c>
      <c r="O495" s="2">
        <v>0.0</v>
      </c>
      <c r="P495" s="2">
        <v>206.0</v>
      </c>
      <c r="Q495" s="2">
        <v>100.0</v>
      </c>
      <c r="R495" s="2">
        <v>12.0</v>
      </c>
      <c r="S495" s="2">
        <v>2.93159518284506</v>
      </c>
      <c r="T495" s="2">
        <v>3.61819694171081</v>
      </c>
      <c r="U495" s="2">
        <v>0.0</v>
      </c>
      <c r="V495" s="2">
        <v>5.0</v>
      </c>
      <c r="W495" s="2">
        <v>2.0</v>
      </c>
      <c r="X495" s="2">
        <v>1.0</v>
      </c>
      <c r="Y495" s="2">
        <v>0.0</v>
      </c>
      <c r="Z495" s="2">
        <v>32.0</v>
      </c>
      <c r="AA495" s="2">
        <v>128.0</v>
      </c>
      <c r="AB495" s="2">
        <v>1.0</v>
      </c>
      <c r="AC495" s="2">
        <v>0.0</v>
      </c>
      <c r="AD495" s="2">
        <v>0.0</v>
      </c>
      <c r="AE495" s="2">
        <v>9.0</v>
      </c>
      <c r="AF495" s="2">
        <v>3.82582020544214</v>
      </c>
      <c r="AG495" s="2">
        <v>0.0</v>
      </c>
      <c r="AH495" s="2">
        <v>3.0</v>
      </c>
      <c r="AI495" s="2">
        <v>2.0</v>
      </c>
      <c r="AJ495" s="2">
        <v>0.0</v>
      </c>
      <c r="AK495" s="2">
        <v>0.0</v>
      </c>
      <c r="AL495" s="2">
        <v>26.0</v>
      </c>
      <c r="AM495" s="2">
        <v>37.0</v>
      </c>
      <c r="AN495" s="2">
        <v>182.0</v>
      </c>
      <c r="AO495" s="2">
        <v>1.0</v>
      </c>
      <c r="AP495" s="2">
        <v>0.0</v>
      </c>
      <c r="AQ495" s="2">
        <v>0.0</v>
      </c>
      <c r="AR495" s="2">
        <v>206.0</v>
      </c>
      <c r="AS495" s="2">
        <v>100.0</v>
      </c>
      <c r="AT495" s="2">
        <v>12.0</v>
      </c>
      <c r="AU495" s="2">
        <v>5.31845205473497</v>
      </c>
      <c r="AV495" s="2">
        <v>0.0</v>
      </c>
      <c r="AW495" s="2">
        <v>5.0</v>
      </c>
      <c r="AX495" s="2">
        <v>2.0</v>
      </c>
      <c r="AY495" s="2">
        <v>1.0</v>
      </c>
      <c r="AZ495" s="2">
        <v>0.0</v>
      </c>
      <c r="BA495" s="2">
        <v>0.0</v>
      </c>
      <c r="BB495" s="2">
        <v>27.0</v>
      </c>
      <c r="BC495" s="2">
        <v>0.0</v>
      </c>
      <c r="BD495" s="2">
        <v>20.0</v>
      </c>
      <c r="BE495" s="2">
        <v>2.0</v>
      </c>
      <c r="BF495" s="2">
        <v>7.0</v>
      </c>
      <c r="BG495" s="2">
        <v>0.0</v>
      </c>
      <c r="BH495" s="2">
        <v>1.0</v>
      </c>
      <c r="BI495" s="2">
        <v>9.0</v>
      </c>
      <c r="BJ495" s="2">
        <v>7.0</v>
      </c>
      <c r="BK495" s="2">
        <v>0.0</v>
      </c>
      <c r="BL495" s="2">
        <v>0.0</v>
      </c>
      <c r="BM495" s="2">
        <v>1.0</v>
      </c>
      <c r="BN495" s="2">
        <v>0.0</v>
      </c>
      <c r="BO495" s="2">
        <v>0.0</v>
      </c>
      <c r="BP495" s="2">
        <v>0.0</v>
      </c>
      <c r="BQ495" s="2">
        <v>0.0</v>
      </c>
      <c r="BR495" s="2">
        <v>0.0</v>
      </c>
      <c r="BS495" s="2">
        <v>0.0</v>
      </c>
      <c r="BT495" s="2">
        <v>0.0</v>
      </c>
      <c r="BU495" s="2">
        <v>0.0</v>
      </c>
      <c r="BV495" s="2">
        <v>0.0</v>
      </c>
      <c r="BW495" s="2">
        <v>5.0</v>
      </c>
      <c r="BX495" s="2">
        <v>57.0</v>
      </c>
      <c r="BY495" s="2">
        <v>3.0</v>
      </c>
      <c r="BZ495" s="2">
        <v>0.0</v>
      </c>
      <c r="CA495" s="2">
        <v>0.0</v>
      </c>
      <c r="CB495" s="2">
        <v>0.0</v>
      </c>
      <c r="CC495" s="2">
        <v>0.0</v>
      </c>
      <c r="CD495" s="2">
        <v>0.0</v>
      </c>
      <c r="CE495" s="2">
        <v>1.0</v>
      </c>
      <c r="CF495" s="2">
        <v>8.0</v>
      </c>
      <c r="CG495" s="2">
        <v>2.0</v>
      </c>
      <c r="CH495" s="2">
        <v>61.0</v>
      </c>
      <c r="CI495" s="2">
        <v>2.0</v>
      </c>
      <c r="CJ495" s="2">
        <v>2.0</v>
      </c>
      <c r="CK495" s="2">
        <v>0.0</v>
      </c>
      <c r="CL495" s="2">
        <v>0.0</v>
      </c>
      <c r="CM495" s="2">
        <v>30.0</v>
      </c>
      <c r="CN495" s="2">
        <v>1.0</v>
      </c>
      <c r="CO495" s="2">
        <v>0.0</v>
      </c>
      <c r="CP495" s="2">
        <v>1.0</v>
      </c>
      <c r="CQ495" s="2">
        <v>1.0</v>
      </c>
      <c r="CR495" s="2">
        <v>0.0</v>
      </c>
      <c r="CS495" s="2">
        <v>0.0</v>
      </c>
      <c r="CT495" s="2">
        <v>0.0</v>
      </c>
      <c r="CU495" s="2">
        <v>0.0</v>
      </c>
      <c r="CV495" s="2">
        <v>0.0</v>
      </c>
      <c r="CW495" s="2">
        <v>0.0</v>
      </c>
      <c r="CX495" s="2">
        <v>0.0</v>
      </c>
      <c r="CY495" s="2">
        <v>0.0</v>
      </c>
      <c r="CZ495" s="2">
        <v>0.0</v>
      </c>
      <c r="DA495" s="2" t="s">
        <v>2269</v>
      </c>
      <c r="DD495" s="2">
        <v>57.0</v>
      </c>
      <c r="DE495" s="2">
        <v>0.0</v>
      </c>
      <c r="DF495" s="2">
        <v>0.0</v>
      </c>
      <c r="DG495" s="2">
        <v>2.0</v>
      </c>
      <c r="DH495" s="2">
        <v>2.0</v>
      </c>
      <c r="DI495" s="2">
        <v>0.0</v>
      </c>
      <c r="DJ495" s="2">
        <v>0.0</v>
      </c>
      <c r="DK495" s="2">
        <v>1.0</v>
      </c>
      <c r="DL495" s="2">
        <v>0.0</v>
      </c>
      <c r="DM495" s="2">
        <v>0.0</v>
      </c>
      <c r="DN495" s="2">
        <v>0.0</v>
      </c>
      <c r="DO495" s="2">
        <v>0.0</v>
      </c>
      <c r="DP495" s="2">
        <v>0.0</v>
      </c>
      <c r="DQ495" s="2">
        <v>2.0</v>
      </c>
      <c r="DR495" s="2">
        <v>0.0</v>
      </c>
      <c r="DS495" s="2">
        <v>58.0</v>
      </c>
      <c r="DT495" s="2">
        <v>103.0</v>
      </c>
      <c r="DU495" s="2">
        <v>1.0</v>
      </c>
      <c r="DV495" s="2">
        <v>0.0</v>
      </c>
      <c r="DW495" s="2">
        <v>0.0</v>
      </c>
      <c r="DX495" s="2">
        <v>0.0</v>
      </c>
      <c r="DY495" s="2">
        <v>0.0</v>
      </c>
      <c r="DZ495" s="2">
        <v>2.0</v>
      </c>
      <c r="EA495" s="2">
        <v>55.0</v>
      </c>
      <c r="EB495" s="2">
        <v>0.0</v>
      </c>
      <c r="EC495" s="2">
        <v>48.0</v>
      </c>
      <c r="EE495" s="2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2">
        <v>2025.0</v>
      </c>
      <c r="B496" s="2">
        <v>17.0</v>
      </c>
      <c r="C496" s="2" t="s">
        <v>202</v>
      </c>
      <c r="D496" s="2" t="s">
        <v>390</v>
      </c>
      <c r="E496" s="2" t="s">
        <v>1141</v>
      </c>
      <c r="F496" s="2" t="s">
        <v>144</v>
      </c>
      <c r="G496" s="2">
        <v>18.0</v>
      </c>
      <c r="H496" s="2">
        <v>29.0</v>
      </c>
      <c r="I496" s="2">
        <v>197.0</v>
      </c>
      <c r="J496" s="2">
        <v>1.0</v>
      </c>
      <c r="K496" s="2">
        <v>2.0</v>
      </c>
      <c r="L496" s="2">
        <v>5.0</v>
      </c>
      <c r="M496" s="2">
        <v>-34.0</v>
      </c>
      <c r="N496" s="2">
        <v>1.0</v>
      </c>
      <c r="O496" s="2">
        <v>1.0</v>
      </c>
      <c r="P496" s="2">
        <v>199.0</v>
      </c>
      <c r="Q496" s="2">
        <v>86.0</v>
      </c>
      <c r="R496" s="2">
        <v>12.0</v>
      </c>
      <c r="S496" s="2">
        <v>-7.94251879655706</v>
      </c>
      <c r="T496" s="2">
        <v>-9.00653292392862</v>
      </c>
      <c r="U496" s="2">
        <v>0.0</v>
      </c>
      <c r="V496" s="2">
        <v>11.0</v>
      </c>
      <c r="W496" s="2">
        <v>4.0</v>
      </c>
      <c r="X496" s="2">
        <v>3.0</v>
      </c>
      <c r="Y496" s="2">
        <v>0.0</v>
      </c>
      <c r="Z496" s="2">
        <v>30.0</v>
      </c>
      <c r="AA496" s="2">
        <v>68.0</v>
      </c>
      <c r="AB496" s="2">
        <v>0.0</v>
      </c>
      <c r="AC496" s="2">
        <v>3.0</v>
      </c>
      <c r="AD496" s="2">
        <v>3.0</v>
      </c>
      <c r="AE496" s="2">
        <v>4.0</v>
      </c>
      <c r="AF496" s="2">
        <v>-21.7354320889572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18.0</v>
      </c>
      <c r="AM496" s="2">
        <v>29.0</v>
      </c>
      <c r="AN496" s="2">
        <v>197.0</v>
      </c>
      <c r="AO496" s="2">
        <v>1.0</v>
      </c>
      <c r="AP496" s="2">
        <v>0.0</v>
      </c>
      <c r="AQ496" s="2">
        <v>0.0</v>
      </c>
      <c r="AR496" s="2">
        <v>199.0</v>
      </c>
      <c r="AS496" s="2">
        <v>86.0</v>
      </c>
      <c r="AT496" s="2">
        <v>12.0</v>
      </c>
      <c r="AU496" s="2">
        <v>3.74059934522308</v>
      </c>
      <c r="AV496" s="2">
        <v>0.0</v>
      </c>
      <c r="AW496" s="2">
        <v>11.0</v>
      </c>
      <c r="AX496" s="2">
        <v>4.0</v>
      </c>
      <c r="AY496" s="2">
        <v>3.0</v>
      </c>
      <c r="AZ496" s="2">
        <v>0.0</v>
      </c>
      <c r="BA496" s="2">
        <v>0.0</v>
      </c>
      <c r="BB496" s="2">
        <v>29.0</v>
      </c>
      <c r="BC496" s="2">
        <v>0.0</v>
      </c>
      <c r="BD496" s="2">
        <v>30.0</v>
      </c>
      <c r="BE496" s="2">
        <v>6.0</v>
      </c>
      <c r="BF496" s="2">
        <v>48.0</v>
      </c>
      <c r="BG496" s="2">
        <v>0.0</v>
      </c>
      <c r="BH496" s="2">
        <v>6.0</v>
      </c>
      <c r="BI496" s="2">
        <v>44.0</v>
      </c>
      <c r="BJ496" s="2">
        <v>8.0</v>
      </c>
      <c r="BK496" s="2">
        <v>0.0</v>
      </c>
      <c r="BL496" s="2">
        <v>0.0</v>
      </c>
      <c r="BM496" s="2">
        <v>2.0</v>
      </c>
      <c r="BN496" s="2">
        <v>0.0</v>
      </c>
      <c r="BO496" s="2">
        <v>0.0</v>
      </c>
      <c r="BP496" s="2">
        <v>0.0</v>
      </c>
      <c r="BQ496" s="2">
        <v>0.0</v>
      </c>
      <c r="BR496" s="2">
        <v>0.0</v>
      </c>
      <c r="BS496" s="2">
        <v>-14.0</v>
      </c>
      <c r="BT496" s="2">
        <v>0.0</v>
      </c>
      <c r="BU496" s="2">
        <v>0.0</v>
      </c>
      <c r="BV496" s="2">
        <v>0.0</v>
      </c>
      <c r="BW496" s="2">
        <v>5.0</v>
      </c>
      <c r="BX496" s="2">
        <v>25.0</v>
      </c>
      <c r="BY496" s="2">
        <v>5.0</v>
      </c>
      <c r="BZ496" s="2">
        <v>2.0</v>
      </c>
      <c r="CA496" s="2">
        <v>2.0</v>
      </c>
      <c r="CB496" s="2">
        <v>0.0</v>
      </c>
      <c r="CC496" s="2">
        <v>4.0</v>
      </c>
      <c r="CD496" s="2">
        <v>4.0</v>
      </c>
      <c r="CE496" s="2">
        <v>5.0</v>
      </c>
      <c r="CF496" s="2">
        <v>31.0</v>
      </c>
      <c r="CG496" s="2">
        <v>4.0</v>
      </c>
      <c r="CH496" s="2">
        <v>116.0</v>
      </c>
      <c r="CI496" s="2">
        <v>1.0</v>
      </c>
      <c r="CJ496" s="2">
        <v>1.0</v>
      </c>
      <c r="CK496" s="2">
        <v>0.0</v>
      </c>
      <c r="CL496" s="2">
        <v>0.0</v>
      </c>
      <c r="CM496" s="2">
        <v>48.0</v>
      </c>
      <c r="CN496" s="2">
        <v>1.0</v>
      </c>
      <c r="CO496" s="2">
        <v>0.0</v>
      </c>
      <c r="CP496" s="2">
        <v>0.0</v>
      </c>
      <c r="CQ496" s="2">
        <v>0.0</v>
      </c>
      <c r="CR496" s="2">
        <v>1.0</v>
      </c>
      <c r="CS496" s="2">
        <v>0.0</v>
      </c>
      <c r="CT496" s="2">
        <v>0.0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 t="s">
        <v>1965</v>
      </c>
      <c r="DD496" s="2">
        <v>48.0</v>
      </c>
      <c r="DE496" s="2">
        <v>0.0</v>
      </c>
      <c r="DF496" s="2">
        <v>0.0</v>
      </c>
      <c r="DG496" s="2">
        <v>1.0</v>
      </c>
      <c r="DH496" s="2">
        <v>1.0</v>
      </c>
      <c r="DI496" s="2">
        <v>0.0</v>
      </c>
      <c r="DJ496" s="2">
        <v>0.0</v>
      </c>
      <c r="DK496" s="2">
        <v>1.0</v>
      </c>
      <c r="DL496" s="2">
        <v>0.0</v>
      </c>
      <c r="DM496" s="2">
        <v>0.0</v>
      </c>
      <c r="DN496" s="2">
        <v>0.0</v>
      </c>
      <c r="DO496" s="2">
        <v>0.0</v>
      </c>
      <c r="DP496" s="2">
        <v>0.0</v>
      </c>
      <c r="DQ496" s="2">
        <v>3.0</v>
      </c>
      <c r="DR496" s="2">
        <v>0.0</v>
      </c>
      <c r="DS496" s="2">
        <v>70.0</v>
      </c>
      <c r="DT496" s="2">
        <v>159.0</v>
      </c>
      <c r="DU496" s="2">
        <v>2.0</v>
      </c>
      <c r="DV496" s="2">
        <v>1.0</v>
      </c>
      <c r="DW496" s="2">
        <v>0.0</v>
      </c>
      <c r="DX496" s="2">
        <v>1.0</v>
      </c>
      <c r="DY496" s="2">
        <v>1.0</v>
      </c>
      <c r="DZ496" s="2">
        <v>0.0</v>
      </c>
      <c r="EA496" s="2">
        <v>0.0</v>
      </c>
      <c r="EB496" s="2">
        <v>0.0</v>
      </c>
      <c r="EC496" s="2">
        <v>139.0</v>
      </c>
      <c r="EE496" s="2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2">
        <v>2025.0</v>
      </c>
      <c r="B497" s="2">
        <v>17.0</v>
      </c>
      <c r="C497" s="2" t="s">
        <v>205</v>
      </c>
      <c r="D497" s="2" t="s">
        <v>390</v>
      </c>
      <c r="E497" s="2" t="s">
        <v>1154</v>
      </c>
      <c r="F497" s="2" t="s">
        <v>148</v>
      </c>
      <c r="G497" s="2">
        <v>19.0</v>
      </c>
      <c r="H497" s="2">
        <v>25.0</v>
      </c>
      <c r="I497" s="2">
        <v>296.0</v>
      </c>
      <c r="J497" s="2">
        <v>1.0</v>
      </c>
      <c r="K497" s="2">
        <v>1.0</v>
      </c>
      <c r="L497" s="2">
        <v>2.0</v>
      </c>
      <c r="M497" s="2">
        <v>-12.0</v>
      </c>
      <c r="N497" s="2">
        <v>0.0</v>
      </c>
      <c r="O497" s="2">
        <v>0.0</v>
      </c>
      <c r="P497" s="2">
        <v>291.0</v>
      </c>
      <c r="Q497" s="2">
        <v>82.0</v>
      </c>
      <c r="R497" s="2">
        <v>12.0</v>
      </c>
      <c r="S497" s="2">
        <v>11.3700319891796</v>
      </c>
      <c r="T497" s="2">
        <v>12.3798352479935</v>
      </c>
      <c r="U497" s="2">
        <v>0.0</v>
      </c>
      <c r="V497" s="2">
        <v>10.0</v>
      </c>
      <c r="W497" s="2">
        <v>6.0</v>
      </c>
      <c r="X497" s="2">
        <v>6.0</v>
      </c>
      <c r="Y497" s="2">
        <v>1.0</v>
      </c>
      <c r="Z497" s="2">
        <v>17.0</v>
      </c>
      <c r="AA497" s="2">
        <v>79.0</v>
      </c>
      <c r="AB497" s="2">
        <v>2.0</v>
      </c>
      <c r="AC497" s="2">
        <v>1.0</v>
      </c>
      <c r="AD497" s="2">
        <v>1.0</v>
      </c>
      <c r="AE497" s="2">
        <v>4.0</v>
      </c>
      <c r="AF497" s="2">
        <v>-6.61589749830031</v>
      </c>
      <c r="AG497" s="2">
        <v>0.0</v>
      </c>
      <c r="AH497" s="2">
        <v>4.0</v>
      </c>
      <c r="AI497" s="2">
        <v>2.0</v>
      </c>
      <c r="AJ497" s="2">
        <v>1.0</v>
      </c>
      <c r="AK497" s="2">
        <v>0.0</v>
      </c>
      <c r="AL497" s="2">
        <v>19.0</v>
      </c>
      <c r="AM497" s="2">
        <v>25.0</v>
      </c>
      <c r="AN497" s="2">
        <v>296.0</v>
      </c>
      <c r="AO497" s="2">
        <v>1.0</v>
      </c>
      <c r="AP497" s="2">
        <v>0.0</v>
      </c>
      <c r="AQ497" s="2">
        <v>0.0</v>
      </c>
      <c r="AR497" s="2">
        <v>291.0</v>
      </c>
      <c r="AS497" s="2">
        <v>82.0</v>
      </c>
      <c r="AT497" s="2">
        <v>12.0</v>
      </c>
      <c r="AU497" s="2">
        <v>14.10289530101</v>
      </c>
      <c r="AV497" s="2">
        <v>0.0</v>
      </c>
      <c r="AW497" s="2">
        <v>10.0</v>
      </c>
      <c r="AX497" s="2">
        <v>6.0</v>
      </c>
      <c r="AY497" s="2">
        <v>6.0</v>
      </c>
      <c r="AZ497" s="2">
        <v>1.0</v>
      </c>
      <c r="BA497" s="2">
        <v>0.0</v>
      </c>
      <c r="BB497" s="2">
        <v>49.0</v>
      </c>
      <c r="BC497" s="2">
        <v>0.0</v>
      </c>
      <c r="BD497" s="2">
        <v>40.0</v>
      </c>
      <c r="BE497" s="2">
        <v>2.0</v>
      </c>
      <c r="BF497" s="2">
        <v>7.0</v>
      </c>
      <c r="BG497" s="2">
        <v>0.0</v>
      </c>
      <c r="BH497" s="2">
        <v>1.0</v>
      </c>
      <c r="BI497" s="2">
        <v>0.0</v>
      </c>
      <c r="BJ497" s="2">
        <v>4.0</v>
      </c>
      <c r="BK497" s="2">
        <v>0.0</v>
      </c>
      <c r="BL497" s="2">
        <v>0.0</v>
      </c>
      <c r="BM497" s="2">
        <v>2.0</v>
      </c>
      <c r="BN497" s="2">
        <v>0.0</v>
      </c>
      <c r="BO497" s="2">
        <v>0.0</v>
      </c>
      <c r="BP497" s="2">
        <v>0.0</v>
      </c>
      <c r="BQ497" s="2">
        <v>0.0</v>
      </c>
      <c r="BR497" s="2">
        <v>0.0</v>
      </c>
      <c r="BS497" s="2">
        <v>-4.0</v>
      </c>
      <c r="BT497" s="2">
        <v>0.0</v>
      </c>
      <c r="BU497" s="2">
        <v>0.0</v>
      </c>
      <c r="BV497" s="2">
        <v>0.0</v>
      </c>
      <c r="BW497" s="2">
        <v>5.0</v>
      </c>
      <c r="BX497" s="2">
        <v>38.0</v>
      </c>
      <c r="BY497" s="2">
        <v>3.0</v>
      </c>
      <c r="BZ497" s="2">
        <v>0.0</v>
      </c>
      <c r="CA497" s="2">
        <v>1.0</v>
      </c>
      <c r="CB497" s="2">
        <v>0.0</v>
      </c>
      <c r="CC497" s="2">
        <v>1.0</v>
      </c>
      <c r="CD497" s="2">
        <v>1.0</v>
      </c>
      <c r="CE497" s="2">
        <v>0.0</v>
      </c>
      <c r="CF497" s="2">
        <v>0.0</v>
      </c>
      <c r="CG497" s="2">
        <v>7.0</v>
      </c>
      <c r="CH497" s="2">
        <v>163.0</v>
      </c>
      <c r="CI497" s="2">
        <v>1.0</v>
      </c>
      <c r="CJ497" s="2">
        <v>1.0</v>
      </c>
      <c r="CK497" s="2">
        <v>0.0</v>
      </c>
      <c r="CL497" s="2">
        <v>0.0</v>
      </c>
      <c r="CM497" s="2">
        <v>24.0</v>
      </c>
      <c r="CN497" s="2">
        <v>1.0</v>
      </c>
      <c r="CO497" s="2">
        <v>0.0</v>
      </c>
      <c r="CP497" s="2">
        <v>1.0</v>
      </c>
      <c r="CQ497" s="2">
        <v>0.0</v>
      </c>
      <c r="CR497" s="2">
        <v>0.0</v>
      </c>
      <c r="CS497" s="2">
        <v>0.0</v>
      </c>
      <c r="CT497" s="2">
        <v>0.0</v>
      </c>
      <c r="CU497" s="2">
        <v>0.0</v>
      </c>
      <c r="CV497" s="2">
        <v>0.0</v>
      </c>
      <c r="CW497" s="2">
        <v>0.0</v>
      </c>
      <c r="CX497" s="2">
        <v>0.0</v>
      </c>
      <c r="CY497" s="2">
        <v>0.0</v>
      </c>
      <c r="CZ497" s="2">
        <v>0.0</v>
      </c>
      <c r="DA497" s="2" t="s">
        <v>2101</v>
      </c>
      <c r="DD497" s="2">
        <v>24.0</v>
      </c>
      <c r="DE497" s="2">
        <v>0.0</v>
      </c>
      <c r="DF497" s="2">
        <v>0.0</v>
      </c>
      <c r="DG497" s="2">
        <v>3.0</v>
      </c>
      <c r="DH497" s="2">
        <v>3.0</v>
      </c>
      <c r="DI497" s="2">
        <v>0.0</v>
      </c>
      <c r="DJ497" s="2">
        <v>0.0</v>
      </c>
      <c r="DK497" s="2">
        <v>1.0</v>
      </c>
      <c r="DL497" s="2">
        <v>0.0</v>
      </c>
      <c r="DM497" s="2">
        <v>0.0</v>
      </c>
      <c r="DN497" s="2">
        <v>0.0</v>
      </c>
      <c r="DO497" s="2">
        <v>0.0</v>
      </c>
      <c r="DP497" s="2">
        <v>0.0</v>
      </c>
      <c r="DQ497" s="2">
        <v>0.0</v>
      </c>
      <c r="DR497" s="2">
        <v>0.0</v>
      </c>
      <c r="DT497" s="2">
        <v>0.0</v>
      </c>
      <c r="DU497" s="2">
        <v>0.0</v>
      </c>
      <c r="DV497" s="2">
        <v>0.0</v>
      </c>
      <c r="DW497" s="2">
        <v>0.0</v>
      </c>
      <c r="DX497" s="2">
        <v>0.0</v>
      </c>
      <c r="DY497" s="2">
        <v>0.0</v>
      </c>
      <c r="DZ497" s="2">
        <v>0.0</v>
      </c>
      <c r="EA497" s="2">
        <v>0.0</v>
      </c>
      <c r="EB497" s="2">
        <v>0.0</v>
      </c>
      <c r="EC497" s="2">
        <v>0.0</v>
      </c>
      <c r="EE497" s="2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2">
        <v>2025.0</v>
      </c>
      <c r="B498" s="2">
        <v>17.0</v>
      </c>
      <c r="C498" s="2" t="s">
        <v>140</v>
      </c>
      <c r="D498" s="2" t="s">
        <v>390</v>
      </c>
      <c r="E498" s="2" t="s">
        <v>1160</v>
      </c>
      <c r="F498" s="2" t="s">
        <v>220</v>
      </c>
      <c r="G498" s="2">
        <v>16.0</v>
      </c>
      <c r="H498" s="2">
        <v>28.0</v>
      </c>
      <c r="I498" s="2">
        <v>244.0</v>
      </c>
      <c r="J498" s="2">
        <v>2.0</v>
      </c>
      <c r="K498" s="2">
        <v>2.0</v>
      </c>
      <c r="L498" s="2">
        <v>0.0</v>
      </c>
      <c r="M498" s="2">
        <v>0.0</v>
      </c>
      <c r="N498" s="2">
        <v>0.0</v>
      </c>
      <c r="O498" s="2">
        <v>0.0</v>
      </c>
      <c r="P498" s="2">
        <v>256.0</v>
      </c>
      <c r="Q498" s="2">
        <v>107.0</v>
      </c>
      <c r="R498" s="2">
        <v>8.0</v>
      </c>
      <c r="S498" s="2">
        <v>-4.72669939270786</v>
      </c>
      <c r="T498" s="2">
        <v>-7.46304450126795</v>
      </c>
      <c r="U498" s="2">
        <v>0.0</v>
      </c>
      <c r="V498" s="2">
        <v>9.0</v>
      </c>
      <c r="W498" s="2">
        <v>4.0</v>
      </c>
      <c r="X498" s="2">
        <v>3.0</v>
      </c>
      <c r="Y498" s="2">
        <v>2.0</v>
      </c>
      <c r="Z498" s="2">
        <v>34.0</v>
      </c>
      <c r="AA498" s="2">
        <v>118.0</v>
      </c>
      <c r="AB498" s="2">
        <v>0.0</v>
      </c>
      <c r="AC498" s="2">
        <v>0.0</v>
      </c>
      <c r="AD498" s="2">
        <v>0.0</v>
      </c>
      <c r="AE498" s="2">
        <v>5.0</v>
      </c>
      <c r="AF498" s="2">
        <v>-6.27917531668209</v>
      </c>
      <c r="AG498" s="2">
        <v>0.0</v>
      </c>
      <c r="AH498" s="2">
        <v>2.0</v>
      </c>
      <c r="AI498" s="2">
        <v>1.0</v>
      </c>
      <c r="AJ498" s="2">
        <v>0.0</v>
      </c>
      <c r="AK498" s="2">
        <v>0.0</v>
      </c>
      <c r="AL498" s="2">
        <v>16.0</v>
      </c>
      <c r="AM498" s="2">
        <v>26.0</v>
      </c>
      <c r="AN498" s="2">
        <v>244.0</v>
      </c>
      <c r="AO498" s="2">
        <v>2.0</v>
      </c>
      <c r="AP498" s="2">
        <v>1.0</v>
      </c>
      <c r="AQ498" s="2">
        <v>0.0</v>
      </c>
      <c r="AR498" s="2">
        <v>256.0</v>
      </c>
      <c r="AS498" s="2">
        <v>107.0</v>
      </c>
      <c r="AT498" s="2">
        <v>8.0</v>
      </c>
      <c r="AU498" s="2">
        <v>-2.49613413906268</v>
      </c>
      <c r="AV498" s="2">
        <v>0.0</v>
      </c>
      <c r="AW498" s="2">
        <v>9.0</v>
      </c>
      <c r="AX498" s="2">
        <v>4.0</v>
      </c>
      <c r="AY498" s="2">
        <v>3.0</v>
      </c>
      <c r="AZ498" s="2">
        <v>2.0</v>
      </c>
      <c r="BA498" s="2">
        <v>0.0</v>
      </c>
      <c r="BB498" s="2">
        <v>37.0</v>
      </c>
      <c r="BC498" s="2">
        <v>2.0</v>
      </c>
      <c r="BD498" s="2">
        <v>28.0</v>
      </c>
      <c r="BE498" s="2">
        <v>8.0</v>
      </c>
      <c r="BF498" s="2">
        <v>36.0</v>
      </c>
      <c r="BG498" s="2">
        <v>1.0</v>
      </c>
      <c r="BH498" s="2">
        <v>5.0</v>
      </c>
      <c r="BI498" s="2">
        <v>35.0</v>
      </c>
      <c r="BJ498" s="2">
        <v>8.0</v>
      </c>
      <c r="BK498" s="2">
        <v>1.0</v>
      </c>
      <c r="BL498" s="2">
        <v>0.0</v>
      </c>
      <c r="BM498" s="2">
        <v>5.0</v>
      </c>
      <c r="BN498" s="2">
        <v>0.0</v>
      </c>
      <c r="BO498" s="2">
        <v>0.0</v>
      </c>
      <c r="BP498" s="2">
        <v>0.0</v>
      </c>
      <c r="BQ498" s="2">
        <v>0.0</v>
      </c>
      <c r="BR498" s="2">
        <v>0.0</v>
      </c>
      <c r="BS498" s="2">
        <v>0.0</v>
      </c>
      <c r="BT498" s="2">
        <v>0.0</v>
      </c>
      <c r="BU498" s="2">
        <v>0.0</v>
      </c>
      <c r="BV498" s="2">
        <v>0.0</v>
      </c>
      <c r="BW498" s="2">
        <v>8.0</v>
      </c>
      <c r="BX498" s="2">
        <v>70.0</v>
      </c>
      <c r="BY498" s="2">
        <v>2.0</v>
      </c>
      <c r="BZ498" s="2">
        <v>1.0</v>
      </c>
      <c r="CA498" s="2">
        <v>0.0</v>
      </c>
      <c r="CB498" s="2">
        <v>1.0</v>
      </c>
      <c r="CC498" s="2">
        <v>1.0</v>
      </c>
      <c r="CD498" s="2">
        <v>0.0</v>
      </c>
      <c r="CE498" s="2">
        <v>1.0</v>
      </c>
      <c r="CF498" s="2">
        <v>4.0</v>
      </c>
      <c r="CG498" s="2">
        <v>4.0</v>
      </c>
      <c r="CH498" s="2">
        <v>78.0</v>
      </c>
      <c r="CI498" s="2">
        <v>2.0</v>
      </c>
      <c r="CJ498" s="2">
        <v>2.0</v>
      </c>
      <c r="CK498" s="2">
        <v>0.0</v>
      </c>
      <c r="CL498" s="2">
        <v>0.0</v>
      </c>
      <c r="CM498" s="2">
        <v>44.0</v>
      </c>
      <c r="CN498" s="2">
        <v>1.0</v>
      </c>
      <c r="CO498" s="2">
        <v>0.0</v>
      </c>
      <c r="CP498" s="2">
        <v>0.0</v>
      </c>
      <c r="CQ498" s="2">
        <v>0.0</v>
      </c>
      <c r="CR498" s="2">
        <v>2.0</v>
      </c>
      <c r="CS498" s="2">
        <v>0.0</v>
      </c>
      <c r="CT498" s="2">
        <v>0.0</v>
      </c>
      <c r="CU498" s="2">
        <v>0.0</v>
      </c>
      <c r="CV498" s="2">
        <v>0.0</v>
      </c>
      <c r="CW498" s="2">
        <v>0.0</v>
      </c>
      <c r="CX498" s="2">
        <v>0.0</v>
      </c>
      <c r="CY498" s="2">
        <v>0.0</v>
      </c>
      <c r="CZ498" s="2">
        <v>0.0</v>
      </c>
      <c r="DA498" s="2" t="s">
        <v>2270</v>
      </c>
      <c r="DD498" s="2">
        <v>85.0</v>
      </c>
      <c r="DE498" s="2">
        <v>0.0</v>
      </c>
      <c r="DF498" s="2">
        <v>0.0</v>
      </c>
      <c r="DG498" s="2">
        <v>2.0</v>
      </c>
      <c r="DH498" s="2">
        <v>2.0</v>
      </c>
      <c r="DI498" s="2">
        <v>0.0</v>
      </c>
      <c r="DJ498" s="2">
        <v>0.0</v>
      </c>
      <c r="DK498" s="2">
        <v>1.0</v>
      </c>
      <c r="DL498" s="2">
        <v>0.0</v>
      </c>
      <c r="DM498" s="2">
        <v>0.0</v>
      </c>
      <c r="DN498" s="2">
        <v>0.0</v>
      </c>
      <c r="DO498" s="2">
        <v>0.0</v>
      </c>
      <c r="DP498" s="2">
        <v>0.0</v>
      </c>
      <c r="DQ498" s="2">
        <v>5.0</v>
      </c>
      <c r="DR498" s="2">
        <v>0.0</v>
      </c>
      <c r="DS498" s="2">
        <v>56.0</v>
      </c>
      <c r="DT498" s="2">
        <v>252.0</v>
      </c>
      <c r="DU498" s="2">
        <v>4.0</v>
      </c>
      <c r="DV498" s="2">
        <v>0.0</v>
      </c>
      <c r="DW498" s="2">
        <v>1.0</v>
      </c>
      <c r="DX498" s="2">
        <v>0.0</v>
      </c>
      <c r="DY498" s="2">
        <v>2.0</v>
      </c>
      <c r="DZ498" s="2">
        <v>2.0</v>
      </c>
      <c r="EA498" s="2">
        <v>13.0</v>
      </c>
      <c r="EB498" s="2">
        <v>0.0</v>
      </c>
      <c r="EC498" s="2">
        <v>239.0</v>
      </c>
      <c r="EE498" s="2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2">
        <v>2025.0</v>
      </c>
      <c r="B499" s="2">
        <v>17.0</v>
      </c>
      <c r="C499" s="2" t="s">
        <v>210</v>
      </c>
      <c r="D499" s="2" t="s">
        <v>390</v>
      </c>
      <c r="E499" s="2" t="s">
        <v>1158</v>
      </c>
      <c r="F499" s="2" t="s">
        <v>141</v>
      </c>
      <c r="G499" s="2">
        <v>17.0</v>
      </c>
      <c r="H499" s="2">
        <v>31.0</v>
      </c>
      <c r="I499" s="2">
        <v>147.0</v>
      </c>
      <c r="J499" s="2">
        <v>1.0</v>
      </c>
      <c r="K499" s="2">
        <v>2.0</v>
      </c>
      <c r="L499" s="2">
        <v>2.0</v>
      </c>
      <c r="M499" s="2">
        <v>-12.0</v>
      </c>
      <c r="N499" s="2">
        <v>0.0</v>
      </c>
      <c r="O499" s="2">
        <v>0.0</v>
      </c>
      <c r="P499" s="2">
        <v>288.0</v>
      </c>
      <c r="Q499" s="2">
        <v>49.0</v>
      </c>
      <c r="R499" s="2">
        <v>9.0</v>
      </c>
      <c r="S499" s="2">
        <v>-12.0208114350755</v>
      </c>
      <c r="T499" s="2">
        <v>-9.68868711899067</v>
      </c>
      <c r="U499" s="2">
        <v>0.0</v>
      </c>
      <c r="V499" s="2">
        <v>6.0</v>
      </c>
      <c r="W499" s="2">
        <v>3.0</v>
      </c>
      <c r="X499" s="2">
        <v>0.0</v>
      </c>
      <c r="Y499" s="2">
        <v>0.0</v>
      </c>
      <c r="Z499" s="2">
        <v>22.0</v>
      </c>
      <c r="AA499" s="2">
        <v>69.0</v>
      </c>
      <c r="AB499" s="2">
        <v>1.0</v>
      </c>
      <c r="AC499" s="2">
        <v>0.0</v>
      </c>
      <c r="AD499" s="2">
        <v>0.0</v>
      </c>
      <c r="AE499" s="2">
        <v>5.0</v>
      </c>
      <c r="AF499" s="2">
        <v>0.919361969456077</v>
      </c>
      <c r="AG499" s="2">
        <v>0.0</v>
      </c>
      <c r="AH499" s="2">
        <v>1.0</v>
      </c>
      <c r="AI499" s="2">
        <v>0.0</v>
      </c>
      <c r="AJ499" s="2">
        <v>0.0</v>
      </c>
      <c r="AK499" s="2">
        <v>0.0</v>
      </c>
      <c r="AL499" s="2">
        <v>17.0</v>
      </c>
      <c r="AM499" s="2">
        <v>29.0</v>
      </c>
      <c r="AN499" s="2">
        <v>147.0</v>
      </c>
      <c r="AO499" s="2">
        <v>1.0</v>
      </c>
      <c r="AP499" s="2">
        <v>0.0</v>
      </c>
      <c r="AQ499" s="2">
        <v>0.0</v>
      </c>
      <c r="AR499" s="2">
        <v>288.0</v>
      </c>
      <c r="AS499" s="2">
        <v>49.0</v>
      </c>
      <c r="AT499" s="2">
        <v>9.0</v>
      </c>
      <c r="AU499" s="2">
        <v>-5.25262786419642</v>
      </c>
      <c r="AV499" s="2">
        <v>0.0</v>
      </c>
      <c r="AW499" s="2">
        <v>6.0</v>
      </c>
      <c r="AX499" s="2">
        <v>3.0</v>
      </c>
      <c r="AY499" s="2">
        <v>0.0</v>
      </c>
      <c r="AZ499" s="2">
        <v>0.0</v>
      </c>
      <c r="BA499" s="2">
        <v>0.0</v>
      </c>
      <c r="BB499" s="2">
        <v>45.0</v>
      </c>
      <c r="BC499" s="2">
        <v>0.0</v>
      </c>
      <c r="BD499" s="2">
        <v>26.0</v>
      </c>
      <c r="BE499" s="2">
        <v>6.0</v>
      </c>
      <c r="BF499" s="2">
        <v>29.0</v>
      </c>
      <c r="BG499" s="2">
        <v>0.0</v>
      </c>
      <c r="BH499" s="2">
        <v>2.0</v>
      </c>
      <c r="BI499" s="2">
        <v>14.0</v>
      </c>
      <c r="BJ499" s="2">
        <v>7.0</v>
      </c>
      <c r="BK499" s="2">
        <v>1.0</v>
      </c>
      <c r="BL499" s="2">
        <v>0.0</v>
      </c>
      <c r="BM499" s="2">
        <v>7.0</v>
      </c>
      <c r="BN499" s="2">
        <v>0.0</v>
      </c>
      <c r="BO499" s="2">
        <v>0.0</v>
      </c>
      <c r="BP499" s="2">
        <v>0.0</v>
      </c>
      <c r="BQ499" s="2">
        <v>0.0</v>
      </c>
      <c r="BR499" s="2">
        <v>0.0</v>
      </c>
      <c r="BS499" s="2">
        <v>0.0</v>
      </c>
      <c r="BT499" s="2">
        <v>1.0</v>
      </c>
      <c r="BU499" s="2">
        <v>0.0</v>
      </c>
      <c r="BV499" s="2">
        <v>0.0</v>
      </c>
      <c r="BW499" s="2">
        <v>5.0</v>
      </c>
      <c r="BX499" s="2">
        <v>45.0</v>
      </c>
      <c r="BY499" s="2">
        <v>4.0</v>
      </c>
      <c r="BZ499" s="2">
        <v>0.0</v>
      </c>
      <c r="CA499" s="2">
        <v>0.0</v>
      </c>
      <c r="CB499" s="2">
        <v>0.0</v>
      </c>
      <c r="CC499" s="2">
        <v>0.0</v>
      </c>
      <c r="CD499" s="2">
        <v>0.0</v>
      </c>
      <c r="CE499" s="2">
        <v>1.0</v>
      </c>
      <c r="CF499" s="2">
        <v>0.0</v>
      </c>
      <c r="CG499" s="2">
        <v>3.0</v>
      </c>
      <c r="CH499" s="2">
        <v>129.0</v>
      </c>
      <c r="CI499" s="2">
        <v>1.0</v>
      </c>
      <c r="CJ499" s="2">
        <v>1.0</v>
      </c>
      <c r="CK499" s="2">
        <v>0.0</v>
      </c>
      <c r="CL499" s="2">
        <v>0.0</v>
      </c>
      <c r="CM499" s="2">
        <v>33.0</v>
      </c>
      <c r="CN499" s="2">
        <v>1.0</v>
      </c>
      <c r="CO499" s="2">
        <v>0.0</v>
      </c>
      <c r="CP499" s="2">
        <v>0.0</v>
      </c>
      <c r="CQ499" s="2">
        <v>1.0</v>
      </c>
      <c r="CR499" s="2">
        <v>0.0</v>
      </c>
      <c r="CS499" s="2">
        <v>0.0</v>
      </c>
      <c r="CT499" s="2">
        <v>0.0</v>
      </c>
      <c r="CU499" s="2">
        <v>0.0</v>
      </c>
      <c r="CV499" s="2">
        <v>0.0</v>
      </c>
      <c r="CW499" s="2">
        <v>0.0</v>
      </c>
      <c r="CX499" s="2">
        <v>0.0</v>
      </c>
      <c r="CY499" s="2">
        <v>0.0</v>
      </c>
      <c r="CZ499" s="2">
        <v>0.0</v>
      </c>
      <c r="DA499" s="2" t="s">
        <v>2056</v>
      </c>
      <c r="DD499" s="2">
        <v>33.0</v>
      </c>
      <c r="DE499" s="2">
        <v>0.0</v>
      </c>
      <c r="DF499" s="2">
        <v>0.0</v>
      </c>
      <c r="DG499" s="2">
        <v>2.0</v>
      </c>
      <c r="DH499" s="2">
        <v>2.0</v>
      </c>
      <c r="DI499" s="2">
        <v>0.0</v>
      </c>
      <c r="DJ499" s="2">
        <v>0.0</v>
      </c>
      <c r="DK499" s="2">
        <v>1.0</v>
      </c>
      <c r="DL499" s="2">
        <v>0.0</v>
      </c>
      <c r="DM499" s="2">
        <v>0.0</v>
      </c>
      <c r="DN499" s="2">
        <v>0.0</v>
      </c>
      <c r="DO499" s="2">
        <v>0.0</v>
      </c>
      <c r="DP499" s="2">
        <v>0.0</v>
      </c>
      <c r="DQ499" s="2">
        <v>4.0</v>
      </c>
      <c r="DR499" s="2">
        <v>0.0</v>
      </c>
      <c r="DS499" s="2">
        <v>54.0</v>
      </c>
      <c r="DT499" s="2">
        <v>192.0</v>
      </c>
      <c r="DU499" s="2">
        <v>2.0</v>
      </c>
      <c r="DV499" s="2">
        <v>0.0</v>
      </c>
      <c r="DW499" s="2">
        <v>0.0</v>
      </c>
      <c r="DX499" s="2">
        <v>0.0</v>
      </c>
      <c r="DY499" s="2">
        <v>1.0</v>
      </c>
      <c r="DZ499" s="2">
        <v>3.0</v>
      </c>
      <c r="EA499" s="2">
        <v>10.0</v>
      </c>
      <c r="EB499" s="2">
        <v>0.0</v>
      </c>
      <c r="EC499" s="2">
        <v>182.0</v>
      </c>
      <c r="EE499" s="2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2">
        <v>2025.0</v>
      </c>
      <c r="B500" s="2">
        <v>17.0</v>
      </c>
      <c r="C500" s="2" t="s">
        <v>141</v>
      </c>
      <c r="D500" s="2" t="s">
        <v>390</v>
      </c>
      <c r="E500" s="2" t="s">
        <v>1158</v>
      </c>
      <c r="F500" s="2" t="s">
        <v>210</v>
      </c>
      <c r="G500" s="2">
        <v>23.0</v>
      </c>
      <c r="H500" s="2">
        <v>37.0</v>
      </c>
      <c r="I500" s="2">
        <v>263.0</v>
      </c>
      <c r="J500" s="2">
        <v>0.0</v>
      </c>
      <c r="K500" s="2">
        <v>1.0</v>
      </c>
      <c r="L500" s="2">
        <v>2.0</v>
      </c>
      <c r="M500" s="2">
        <v>-14.0</v>
      </c>
      <c r="N500" s="2">
        <v>0.0</v>
      </c>
      <c r="O500" s="2">
        <v>0.0</v>
      </c>
      <c r="P500" s="2">
        <v>362.0</v>
      </c>
      <c r="Q500" s="2">
        <v>93.0</v>
      </c>
      <c r="R500" s="2">
        <v>12.0</v>
      </c>
      <c r="S500" s="2">
        <v>6.40749406307772</v>
      </c>
      <c r="T500" s="2">
        <v>-0.225233790036794</v>
      </c>
      <c r="U500" s="2">
        <v>0.0</v>
      </c>
      <c r="V500" s="2">
        <v>10.0</v>
      </c>
      <c r="W500" s="2">
        <v>7.0</v>
      </c>
      <c r="X500" s="2">
        <v>4.0</v>
      </c>
      <c r="Y500" s="2">
        <v>0.0</v>
      </c>
      <c r="Z500" s="2">
        <v>29.0</v>
      </c>
      <c r="AA500" s="2">
        <v>121.0</v>
      </c>
      <c r="AB500" s="2">
        <v>2.0</v>
      </c>
      <c r="AC500" s="2">
        <v>0.0</v>
      </c>
      <c r="AD500" s="2">
        <v>0.0</v>
      </c>
      <c r="AE500" s="2">
        <v>9.0</v>
      </c>
      <c r="AF500" s="2">
        <v>-0.58257878487998</v>
      </c>
      <c r="AG500" s="2">
        <v>0.0</v>
      </c>
      <c r="AH500" s="2">
        <v>5.0</v>
      </c>
      <c r="AI500" s="2">
        <v>3.0</v>
      </c>
      <c r="AJ500" s="2">
        <v>0.0</v>
      </c>
      <c r="AK500" s="2">
        <v>0.0</v>
      </c>
      <c r="AL500" s="2">
        <v>23.0</v>
      </c>
      <c r="AM500" s="2">
        <v>37.0</v>
      </c>
      <c r="AN500" s="2">
        <v>263.0</v>
      </c>
      <c r="AO500" s="2">
        <v>0.0</v>
      </c>
      <c r="AP500" s="2">
        <v>1.0</v>
      </c>
      <c r="AQ500" s="2">
        <v>1.0</v>
      </c>
      <c r="AR500" s="2">
        <v>362.0</v>
      </c>
      <c r="AS500" s="2">
        <v>93.0</v>
      </c>
      <c r="AT500" s="2">
        <v>12.0</v>
      </c>
      <c r="AU500" s="2">
        <v>3.53597952593885</v>
      </c>
      <c r="AV500" s="2">
        <v>0.0</v>
      </c>
      <c r="AW500" s="2">
        <v>10.0</v>
      </c>
      <c r="AX500" s="2">
        <v>7.0</v>
      </c>
      <c r="AY500" s="2">
        <v>4.0</v>
      </c>
      <c r="AZ500" s="2">
        <v>0.0</v>
      </c>
      <c r="BA500" s="2">
        <v>0.0</v>
      </c>
      <c r="BB500" s="2">
        <v>27.0</v>
      </c>
      <c r="BC500" s="2">
        <v>0.0</v>
      </c>
      <c r="BD500" s="2">
        <v>28.0</v>
      </c>
      <c r="BE500" s="2">
        <v>4.0</v>
      </c>
      <c r="BF500" s="2">
        <v>15.0</v>
      </c>
      <c r="BG500" s="2">
        <v>0.0</v>
      </c>
      <c r="BH500" s="2">
        <v>2.0</v>
      </c>
      <c r="BI500" s="2">
        <v>12.0</v>
      </c>
      <c r="BJ500" s="2">
        <v>5.0</v>
      </c>
      <c r="BK500" s="2">
        <v>2.0</v>
      </c>
      <c r="BL500" s="2">
        <v>13.0</v>
      </c>
      <c r="BM500" s="2">
        <v>8.0</v>
      </c>
      <c r="BN500" s="2">
        <v>0.0</v>
      </c>
      <c r="BO500" s="2">
        <v>0.0</v>
      </c>
      <c r="BP500" s="2">
        <v>0.0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0.0</v>
      </c>
      <c r="BW500" s="2">
        <v>6.0</v>
      </c>
      <c r="BX500" s="2">
        <v>55.0</v>
      </c>
      <c r="BY500" s="2">
        <v>5.0</v>
      </c>
      <c r="BZ500" s="2">
        <v>0.0</v>
      </c>
      <c r="CA500" s="2">
        <v>1.0</v>
      </c>
      <c r="CB500" s="2">
        <v>0.0</v>
      </c>
      <c r="CC500" s="2">
        <v>1.0</v>
      </c>
      <c r="CD500" s="2">
        <v>1.0</v>
      </c>
      <c r="CE500" s="2">
        <v>3.0</v>
      </c>
      <c r="CF500" s="2">
        <v>10.0</v>
      </c>
      <c r="CG500" s="2">
        <v>4.0</v>
      </c>
      <c r="CH500" s="2">
        <v>120.0</v>
      </c>
      <c r="CI500" s="2">
        <v>3.0</v>
      </c>
      <c r="CJ500" s="2">
        <v>3.0</v>
      </c>
      <c r="CK500" s="2">
        <v>0.0</v>
      </c>
      <c r="CL500" s="2">
        <v>0.0</v>
      </c>
      <c r="CM500" s="2">
        <v>53.0</v>
      </c>
      <c r="CN500" s="2">
        <v>1.0</v>
      </c>
      <c r="CO500" s="2">
        <v>0.0</v>
      </c>
      <c r="CP500" s="2">
        <v>0.0</v>
      </c>
      <c r="CQ500" s="2">
        <v>1.0</v>
      </c>
      <c r="CR500" s="2">
        <v>1.0</v>
      </c>
      <c r="CS500" s="2">
        <v>1.0</v>
      </c>
      <c r="CT500" s="2">
        <v>0.0</v>
      </c>
      <c r="CU500" s="2">
        <v>0.0</v>
      </c>
      <c r="CV500" s="2">
        <v>0.0</v>
      </c>
      <c r="CW500" s="2">
        <v>0.0</v>
      </c>
      <c r="CX500" s="2">
        <v>0.0</v>
      </c>
      <c r="CY500" s="2">
        <v>0.0</v>
      </c>
      <c r="CZ500" s="2">
        <v>0.0</v>
      </c>
      <c r="DA500" s="2" t="s">
        <v>2271</v>
      </c>
      <c r="DD500" s="2">
        <v>129.0</v>
      </c>
      <c r="DE500" s="2">
        <v>0.0</v>
      </c>
      <c r="DF500" s="2">
        <v>0.0</v>
      </c>
      <c r="DG500" s="2">
        <v>2.0</v>
      </c>
      <c r="DH500" s="2">
        <v>2.0</v>
      </c>
      <c r="DI500" s="2">
        <v>0.0</v>
      </c>
      <c r="DJ500" s="2">
        <v>0.0</v>
      </c>
      <c r="DK500" s="2">
        <v>1.0</v>
      </c>
      <c r="DL500" s="2">
        <v>0.0</v>
      </c>
      <c r="DM500" s="2">
        <v>0.0</v>
      </c>
      <c r="DN500" s="2">
        <v>0.0</v>
      </c>
      <c r="DO500" s="2">
        <v>0.0</v>
      </c>
      <c r="DP500" s="2">
        <v>0.0</v>
      </c>
      <c r="DQ500" s="2">
        <v>2.0</v>
      </c>
      <c r="DR500" s="2">
        <v>0.0</v>
      </c>
      <c r="DS500" s="2">
        <v>66.0</v>
      </c>
      <c r="DT500" s="2">
        <v>127.0</v>
      </c>
      <c r="DU500" s="2">
        <v>1.0</v>
      </c>
      <c r="DV500" s="2">
        <v>0.0</v>
      </c>
      <c r="DW500" s="2">
        <v>0.0</v>
      </c>
      <c r="DX500" s="2">
        <v>1.0</v>
      </c>
      <c r="DY500" s="2">
        <v>0.0</v>
      </c>
      <c r="DZ500" s="2">
        <v>1.0</v>
      </c>
      <c r="EA500" s="2">
        <v>0.0</v>
      </c>
      <c r="EB500" s="2">
        <v>0.0</v>
      </c>
      <c r="EC500" s="2">
        <v>107.0</v>
      </c>
      <c r="EE500" s="2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2">
        <v>2025.0</v>
      </c>
      <c r="B501" s="2">
        <v>17.0</v>
      </c>
      <c r="C501" s="2" t="s">
        <v>143</v>
      </c>
      <c r="D501" s="2" t="s">
        <v>390</v>
      </c>
      <c r="E501" s="2" t="s">
        <v>1143</v>
      </c>
      <c r="F501" s="2" t="s">
        <v>139</v>
      </c>
      <c r="G501" s="2">
        <v>13.0</v>
      </c>
      <c r="H501" s="2">
        <v>22.0</v>
      </c>
      <c r="I501" s="2">
        <v>66.0</v>
      </c>
      <c r="J501" s="2">
        <v>1.0</v>
      </c>
      <c r="K501" s="2">
        <v>0.0</v>
      </c>
      <c r="L501" s="2">
        <v>1.0</v>
      </c>
      <c r="M501" s="2">
        <v>-9.0</v>
      </c>
      <c r="N501" s="2">
        <v>0.0</v>
      </c>
      <c r="O501" s="2">
        <v>0.0</v>
      </c>
      <c r="P501" s="2">
        <v>112.0</v>
      </c>
      <c r="Q501" s="2">
        <v>34.0</v>
      </c>
      <c r="R501" s="2">
        <v>4.0</v>
      </c>
      <c r="S501" s="2">
        <v>-8.53884239183909</v>
      </c>
      <c r="T501" s="2">
        <v>-1.79604783654213</v>
      </c>
      <c r="U501" s="2">
        <v>0.0</v>
      </c>
      <c r="V501" s="2">
        <v>3.0</v>
      </c>
      <c r="W501" s="2">
        <v>0.0</v>
      </c>
      <c r="X501" s="2">
        <v>0.0</v>
      </c>
      <c r="Y501" s="2">
        <v>0.0</v>
      </c>
      <c r="Z501" s="2">
        <v>19.0</v>
      </c>
      <c r="AA501" s="2">
        <v>82.0</v>
      </c>
      <c r="AB501" s="2">
        <v>0.0</v>
      </c>
      <c r="AC501" s="2">
        <v>0.0</v>
      </c>
      <c r="AD501" s="2">
        <v>0.0</v>
      </c>
      <c r="AE501" s="2">
        <v>5.0</v>
      </c>
      <c r="AF501" s="2">
        <v>0.195573752658675</v>
      </c>
      <c r="AG501" s="2">
        <v>0.0</v>
      </c>
      <c r="AH501" s="2">
        <v>2.0</v>
      </c>
      <c r="AI501" s="2">
        <v>2.0</v>
      </c>
      <c r="AJ501" s="2">
        <v>0.0</v>
      </c>
      <c r="AK501" s="2">
        <v>0.0</v>
      </c>
      <c r="AL501" s="2">
        <v>13.0</v>
      </c>
      <c r="AM501" s="2">
        <v>20.0</v>
      </c>
      <c r="AN501" s="2">
        <v>66.0</v>
      </c>
      <c r="AO501" s="2">
        <v>1.0</v>
      </c>
      <c r="AP501" s="2">
        <v>0.0</v>
      </c>
      <c r="AQ501" s="2">
        <v>0.0</v>
      </c>
      <c r="AR501" s="2">
        <v>112.0</v>
      </c>
      <c r="AS501" s="2">
        <v>34.0</v>
      </c>
      <c r="AT501" s="2">
        <v>4.0</v>
      </c>
      <c r="AU501" s="2">
        <v>-6.18062910551608</v>
      </c>
      <c r="AV501" s="2">
        <v>0.0</v>
      </c>
      <c r="AW501" s="2">
        <v>3.0</v>
      </c>
      <c r="AX501" s="2">
        <v>0.0</v>
      </c>
      <c r="AY501" s="2">
        <v>0.0</v>
      </c>
      <c r="AZ501" s="2">
        <v>0.0</v>
      </c>
      <c r="BA501" s="2">
        <v>0.0</v>
      </c>
      <c r="BB501" s="2">
        <v>40.0</v>
      </c>
      <c r="BC501" s="2">
        <v>1.0</v>
      </c>
      <c r="BD501" s="2">
        <v>35.0</v>
      </c>
      <c r="BE501" s="2">
        <v>4.0</v>
      </c>
      <c r="BF501" s="2">
        <v>17.0</v>
      </c>
      <c r="BG501" s="2">
        <v>0.0</v>
      </c>
      <c r="BH501" s="2">
        <v>1.0</v>
      </c>
      <c r="BI501" s="2">
        <v>7.0</v>
      </c>
      <c r="BJ501" s="2">
        <v>6.0</v>
      </c>
      <c r="BK501" s="2">
        <v>1.0</v>
      </c>
      <c r="BL501" s="2">
        <v>0.0</v>
      </c>
      <c r="BM501" s="2">
        <v>5.0</v>
      </c>
      <c r="BN501" s="2">
        <v>0.0</v>
      </c>
      <c r="BO501" s="2">
        <v>0.0</v>
      </c>
      <c r="BP501" s="2">
        <v>0.0</v>
      </c>
      <c r="BQ501" s="2">
        <v>0.0</v>
      </c>
      <c r="BR501" s="2">
        <v>1.0</v>
      </c>
      <c r="BS501" s="2">
        <v>0.0</v>
      </c>
      <c r="BT501" s="2">
        <v>0.0</v>
      </c>
      <c r="BU501" s="2">
        <v>0.0</v>
      </c>
      <c r="BV501" s="2">
        <v>0.0</v>
      </c>
      <c r="BW501" s="2">
        <v>2.0</v>
      </c>
      <c r="BX501" s="2">
        <v>10.0</v>
      </c>
      <c r="BY501" s="2">
        <v>3.0</v>
      </c>
      <c r="BZ501" s="2">
        <v>0.0</v>
      </c>
      <c r="CA501" s="2">
        <v>1.0</v>
      </c>
      <c r="CB501" s="2">
        <v>0.0</v>
      </c>
      <c r="CC501" s="2">
        <v>1.0</v>
      </c>
      <c r="CD501" s="2">
        <v>0.0</v>
      </c>
      <c r="CE501" s="2">
        <v>2.0</v>
      </c>
      <c r="CF501" s="2">
        <v>55.0</v>
      </c>
      <c r="CG501" s="2">
        <v>3.0</v>
      </c>
      <c r="CH501" s="2">
        <v>76.0</v>
      </c>
      <c r="CI501" s="2">
        <v>2.0</v>
      </c>
      <c r="CJ501" s="2">
        <v>2.0</v>
      </c>
      <c r="CK501" s="2">
        <v>0.0</v>
      </c>
      <c r="CL501" s="2">
        <v>0.0</v>
      </c>
      <c r="CM501" s="2">
        <v>53.0</v>
      </c>
      <c r="CN501" s="2">
        <v>1.0</v>
      </c>
      <c r="CO501" s="2">
        <v>0.0</v>
      </c>
      <c r="CP501" s="2">
        <v>0.0</v>
      </c>
      <c r="CQ501" s="2">
        <v>0.0</v>
      </c>
      <c r="CR501" s="2">
        <v>1.0</v>
      </c>
      <c r="CS501" s="2">
        <v>1.0</v>
      </c>
      <c r="CT501" s="2">
        <v>0.0</v>
      </c>
      <c r="CU501" s="2">
        <v>0.0</v>
      </c>
      <c r="CV501" s="2">
        <v>0.0</v>
      </c>
      <c r="CW501" s="2">
        <v>0.0</v>
      </c>
      <c r="CX501" s="2">
        <v>0.0</v>
      </c>
      <c r="CY501" s="2">
        <v>0.0</v>
      </c>
      <c r="CZ501" s="2">
        <v>0.0</v>
      </c>
      <c r="DA501" s="2" t="s">
        <v>2272</v>
      </c>
      <c r="DD501" s="2">
        <v>100.0</v>
      </c>
      <c r="DE501" s="2">
        <v>0.0</v>
      </c>
      <c r="DF501" s="2">
        <v>0.0</v>
      </c>
      <c r="DG501" s="2">
        <v>1.0</v>
      </c>
      <c r="DH501" s="2">
        <v>1.0</v>
      </c>
      <c r="DI501" s="2">
        <v>0.0</v>
      </c>
      <c r="DJ501" s="2">
        <v>0.0</v>
      </c>
      <c r="DK501" s="2">
        <v>1.0</v>
      </c>
      <c r="DL501" s="2">
        <v>0.0</v>
      </c>
      <c r="DM501" s="2">
        <v>0.0</v>
      </c>
      <c r="DN501" s="2">
        <v>0.0</v>
      </c>
      <c r="DO501" s="2">
        <v>0.0</v>
      </c>
      <c r="DP501" s="2">
        <v>0.0</v>
      </c>
      <c r="DQ501" s="2">
        <v>3.0</v>
      </c>
      <c r="DR501" s="2">
        <v>0.0</v>
      </c>
      <c r="DS501" s="2">
        <v>62.0</v>
      </c>
      <c r="DT501" s="2">
        <v>171.0</v>
      </c>
      <c r="DU501" s="2">
        <v>1.0</v>
      </c>
      <c r="DV501" s="2">
        <v>0.0</v>
      </c>
      <c r="DW501" s="2">
        <v>0.0</v>
      </c>
      <c r="DX501" s="2">
        <v>2.0</v>
      </c>
      <c r="DY501" s="2">
        <v>0.0</v>
      </c>
      <c r="DZ501" s="2">
        <v>1.0</v>
      </c>
      <c r="EA501" s="2">
        <v>8.0</v>
      </c>
      <c r="EB501" s="2">
        <v>0.0</v>
      </c>
      <c r="EC501" s="2">
        <v>123.0</v>
      </c>
      <c r="EE501" s="2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2">
        <v>2025.0</v>
      </c>
      <c r="B502" s="2">
        <v>17.0</v>
      </c>
      <c r="C502" s="2" t="s">
        <v>142</v>
      </c>
      <c r="D502" s="2" t="s">
        <v>390</v>
      </c>
      <c r="E502" s="2" t="s">
        <v>1174</v>
      </c>
      <c r="F502" s="2" t="s">
        <v>132</v>
      </c>
      <c r="G502" s="2">
        <v>22.0</v>
      </c>
      <c r="H502" s="2">
        <v>38.0</v>
      </c>
      <c r="I502" s="2">
        <v>269.0</v>
      </c>
      <c r="J502" s="2">
        <v>2.0</v>
      </c>
      <c r="K502" s="2">
        <v>3.0</v>
      </c>
      <c r="L502" s="2">
        <v>3.0</v>
      </c>
      <c r="M502" s="2">
        <v>-21.0</v>
      </c>
      <c r="N502" s="2">
        <v>0.0</v>
      </c>
      <c r="O502" s="2">
        <v>0.0</v>
      </c>
      <c r="P502" s="2">
        <v>513.0</v>
      </c>
      <c r="Q502" s="2">
        <v>120.0</v>
      </c>
      <c r="R502" s="2">
        <v>10.0</v>
      </c>
      <c r="S502" s="2">
        <v>-2.7485058022919</v>
      </c>
      <c r="T502" s="2">
        <v>-3.05212496055497</v>
      </c>
      <c r="U502" s="2">
        <v>0.0</v>
      </c>
      <c r="V502" s="2">
        <v>12.0</v>
      </c>
      <c r="W502" s="2">
        <v>6.0</v>
      </c>
      <c r="X502" s="2">
        <v>4.0</v>
      </c>
      <c r="Y502" s="2">
        <v>0.0</v>
      </c>
      <c r="Z502" s="2">
        <v>20.0</v>
      </c>
      <c r="AA502" s="2">
        <v>115.0</v>
      </c>
      <c r="AB502" s="2">
        <v>0.0</v>
      </c>
      <c r="AC502" s="2">
        <v>0.0</v>
      </c>
      <c r="AD502" s="2">
        <v>0.0</v>
      </c>
      <c r="AE502" s="2">
        <v>5.0</v>
      </c>
      <c r="AF502" s="2">
        <v>-3.57214679010212</v>
      </c>
      <c r="AG502" s="2">
        <v>0.0</v>
      </c>
      <c r="AH502" s="2">
        <v>3.0</v>
      </c>
      <c r="AI502" s="2">
        <v>3.0</v>
      </c>
      <c r="AJ502" s="2">
        <v>2.0</v>
      </c>
      <c r="AK502" s="2">
        <v>0.0</v>
      </c>
      <c r="AL502" s="2">
        <v>22.0</v>
      </c>
      <c r="AM502" s="2">
        <v>36.0</v>
      </c>
      <c r="AN502" s="2">
        <v>269.0</v>
      </c>
      <c r="AO502" s="2">
        <v>2.0</v>
      </c>
      <c r="AP502" s="2">
        <v>0.0</v>
      </c>
      <c r="AQ502" s="2">
        <v>0.0</v>
      </c>
      <c r="AR502" s="2">
        <v>513.0</v>
      </c>
      <c r="AS502" s="2">
        <v>120.0</v>
      </c>
      <c r="AT502" s="2">
        <v>10.0</v>
      </c>
      <c r="AU502" s="2">
        <v>2.64238110987935</v>
      </c>
      <c r="AV502" s="2">
        <v>0.0</v>
      </c>
      <c r="AW502" s="2">
        <v>12.0</v>
      </c>
      <c r="AX502" s="2">
        <v>6.0</v>
      </c>
      <c r="AY502" s="2">
        <v>4.0</v>
      </c>
      <c r="AZ502" s="2">
        <v>0.0</v>
      </c>
      <c r="BA502" s="2">
        <v>1.0</v>
      </c>
      <c r="BB502" s="2">
        <v>25.0</v>
      </c>
      <c r="BC502" s="2">
        <v>2.0</v>
      </c>
      <c r="BD502" s="2">
        <v>48.0</v>
      </c>
      <c r="BE502" s="2">
        <v>3.0</v>
      </c>
      <c r="BF502" s="2">
        <v>5.0</v>
      </c>
      <c r="BG502" s="2">
        <v>0.0</v>
      </c>
      <c r="BH502" s="2">
        <v>0.0</v>
      </c>
      <c r="BI502" s="2">
        <v>0.0</v>
      </c>
      <c r="BJ502" s="2">
        <v>7.0</v>
      </c>
      <c r="BK502" s="2">
        <v>0.0</v>
      </c>
      <c r="BL502" s="2">
        <v>0.0</v>
      </c>
      <c r="BM502" s="2">
        <v>1.0</v>
      </c>
      <c r="BN502" s="2">
        <v>0.0</v>
      </c>
      <c r="BO502" s="2">
        <v>0.0</v>
      </c>
      <c r="BP502" s="2">
        <v>0.0</v>
      </c>
      <c r="BQ502" s="2">
        <v>76.0</v>
      </c>
      <c r="BR502" s="2">
        <v>0.0</v>
      </c>
      <c r="BS502" s="2">
        <v>0.0</v>
      </c>
      <c r="BT502" s="2">
        <v>0.0</v>
      </c>
      <c r="BU502" s="2">
        <v>0.0</v>
      </c>
      <c r="BV502" s="2">
        <v>0.0</v>
      </c>
      <c r="BW502" s="2">
        <v>4.0</v>
      </c>
      <c r="BX502" s="2">
        <v>35.0</v>
      </c>
      <c r="BY502" s="2">
        <v>3.0</v>
      </c>
      <c r="BZ502" s="2">
        <v>0.0</v>
      </c>
      <c r="CA502" s="2">
        <v>0.0</v>
      </c>
      <c r="CB502" s="2">
        <v>0.0</v>
      </c>
      <c r="CC502" s="2">
        <v>0.0</v>
      </c>
      <c r="CD502" s="2">
        <v>0.0</v>
      </c>
      <c r="CE502" s="2">
        <v>3.0</v>
      </c>
      <c r="CF502" s="2">
        <v>23.0</v>
      </c>
      <c r="CG502" s="2">
        <v>3.0</v>
      </c>
      <c r="CH502" s="2">
        <v>80.0</v>
      </c>
      <c r="CI502" s="2">
        <v>1.0</v>
      </c>
      <c r="CJ502" s="2">
        <v>1.0</v>
      </c>
      <c r="CK502" s="2">
        <v>0.0</v>
      </c>
      <c r="CL502" s="2">
        <v>0.0</v>
      </c>
      <c r="CM502" s="2">
        <v>35.0</v>
      </c>
      <c r="CN502" s="2">
        <v>1.0</v>
      </c>
      <c r="CO502" s="2">
        <v>0.0</v>
      </c>
      <c r="CP502" s="2">
        <v>0.0</v>
      </c>
      <c r="CQ502" s="2">
        <v>1.0</v>
      </c>
      <c r="CR502" s="2">
        <v>0.0</v>
      </c>
      <c r="CS502" s="2">
        <v>0.0</v>
      </c>
      <c r="CT502" s="2">
        <v>0.0</v>
      </c>
      <c r="CU502" s="2">
        <v>0.0</v>
      </c>
      <c r="CV502" s="2">
        <v>0.0</v>
      </c>
      <c r="CW502" s="2">
        <v>0.0</v>
      </c>
      <c r="CX502" s="2">
        <v>0.0</v>
      </c>
      <c r="CY502" s="2">
        <v>0.0</v>
      </c>
      <c r="CZ502" s="2">
        <v>0.0</v>
      </c>
      <c r="DA502" s="2" t="s">
        <v>1968</v>
      </c>
      <c r="DD502" s="2">
        <v>35.0</v>
      </c>
      <c r="DE502" s="2">
        <v>0.0</v>
      </c>
      <c r="DF502" s="2">
        <v>0.0</v>
      </c>
      <c r="DG502" s="2">
        <v>3.0</v>
      </c>
      <c r="DH502" s="2">
        <v>3.0</v>
      </c>
      <c r="DI502" s="2">
        <v>0.0</v>
      </c>
      <c r="DJ502" s="2">
        <v>0.0</v>
      </c>
      <c r="DK502" s="2">
        <v>1.0</v>
      </c>
      <c r="DL502" s="2">
        <v>0.0</v>
      </c>
      <c r="DM502" s="2">
        <v>0.0</v>
      </c>
      <c r="DN502" s="2">
        <v>0.0</v>
      </c>
      <c r="DO502" s="2">
        <v>0.0</v>
      </c>
      <c r="DP502" s="2">
        <v>0.0</v>
      </c>
      <c r="DQ502" s="2">
        <v>2.0</v>
      </c>
      <c r="DR502" s="2">
        <v>0.0</v>
      </c>
      <c r="DS502" s="2">
        <v>50.0</v>
      </c>
      <c r="DT502" s="2">
        <v>90.0</v>
      </c>
      <c r="DU502" s="2">
        <v>1.0</v>
      </c>
      <c r="DV502" s="2">
        <v>0.0</v>
      </c>
      <c r="DW502" s="2">
        <v>1.0</v>
      </c>
      <c r="DX502" s="2">
        <v>0.0</v>
      </c>
      <c r="DY502" s="2">
        <v>1.0</v>
      </c>
      <c r="DZ502" s="2">
        <v>0.0</v>
      </c>
      <c r="EA502" s="2">
        <v>0.0</v>
      </c>
      <c r="EB502" s="2">
        <v>0.0</v>
      </c>
      <c r="EC502" s="2">
        <v>90.0</v>
      </c>
      <c r="EE502" s="2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2">
        <v>2025.0</v>
      </c>
      <c r="B503" s="2">
        <v>17.0</v>
      </c>
      <c r="C503" s="2" t="s">
        <v>220</v>
      </c>
      <c r="D503" s="2" t="s">
        <v>390</v>
      </c>
      <c r="E503" s="2" t="s">
        <v>1160</v>
      </c>
      <c r="F503" s="2" t="s">
        <v>140</v>
      </c>
      <c r="G503" s="2">
        <v>21.0</v>
      </c>
      <c r="H503" s="2">
        <v>32.0</v>
      </c>
      <c r="I503" s="2">
        <v>236.0</v>
      </c>
      <c r="J503" s="2">
        <v>1.0</v>
      </c>
      <c r="K503" s="2">
        <v>1.0</v>
      </c>
      <c r="L503" s="2">
        <v>5.0</v>
      </c>
      <c r="M503" s="2">
        <v>-35.0</v>
      </c>
      <c r="N503" s="2">
        <v>1.0</v>
      </c>
      <c r="O503" s="2">
        <v>0.0</v>
      </c>
      <c r="P503" s="2">
        <v>280.0</v>
      </c>
      <c r="Q503" s="2">
        <v>112.0</v>
      </c>
      <c r="R503" s="2">
        <v>11.0</v>
      </c>
      <c r="S503" s="2">
        <v>-8.8967715913491</v>
      </c>
      <c r="T503" s="2">
        <v>1.1519169615161</v>
      </c>
      <c r="U503" s="2">
        <v>0.0</v>
      </c>
      <c r="V503" s="2">
        <v>8.0</v>
      </c>
      <c r="W503" s="2">
        <v>7.0</v>
      </c>
      <c r="X503" s="2">
        <v>3.0</v>
      </c>
      <c r="Y503" s="2">
        <v>1.0</v>
      </c>
      <c r="Z503" s="2">
        <v>22.0</v>
      </c>
      <c r="AA503" s="2">
        <v>74.0</v>
      </c>
      <c r="AB503" s="2">
        <v>1.0</v>
      </c>
      <c r="AC503" s="2">
        <v>1.0</v>
      </c>
      <c r="AD503" s="2">
        <v>0.0</v>
      </c>
      <c r="AE503" s="2">
        <v>2.0</v>
      </c>
      <c r="AF503" s="2">
        <v>-3.8062623689184</v>
      </c>
      <c r="AG503" s="2">
        <v>0.0</v>
      </c>
      <c r="AH503" s="2">
        <v>1.0</v>
      </c>
      <c r="AI503" s="2">
        <v>1.0</v>
      </c>
      <c r="AJ503" s="2">
        <v>1.0</v>
      </c>
      <c r="AK503" s="2">
        <v>0.0</v>
      </c>
      <c r="AL503" s="2">
        <v>21.0</v>
      </c>
      <c r="AM503" s="2">
        <v>31.0</v>
      </c>
      <c r="AN503" s="2">
        <v>236.0</v>
      </c>
      <c r="AO503" s="2">
        <v>1.0</v>
      </c>
      <c r="AP503" s="2">
        <v>0.0</v>
      </c>
      <c r="AQ503" s="2">
        <v>0.0</v>
      </c>
      <c r="AR503" s="2">
        <v>280.0</v>
      </c>
      <c r="AS503" s="2">
        <v>112.0</v>
      </c>
      <c r="AT503" s="2">
        <v>11.0</v>
      </c>
      <c r="AU503" s="2">
        <v>1.67346582191097</v>
      </c>
      <c r="AV503" s="2">
        <v>0.0</v>
      </c>
      <c r="AW503" s="2">
        <v>8.0</v>
      </c>
      <c r="AX503" s="2">
        <v>7.0</v>
      </c>
      <c r="AY503" s="2">
        <v>3.0</v>
      </c>
      <c r="AZ503" s="2">
        <v>1.0</v>
      </c>
      <c r="BA503" s="2">
        <v>0.0</v>
      </c>
      <c r="BB503" s="2">
        <v>33.0</v>
      </c>
      <c r="BC503" s="2">
        <v>1.0</v>
      </c>
      <c r="BD503" s="2">
        <v>33.0</v>
      </c>
      <c r="BE503" s="2">
        <v>5.0</v>
      </c>
      <c r="BF503" s="2">
        <v>13.0</v>
      </c>
      <c r="BG503" s="2">
        <v>1.0</v>
      </c>
      <c r="BH503" s="2">
        <v>0.0</v>
      </c>
      <c r="BI503" s="2">
        <v>0.0</v>
      </c>
      <c r="BJ503" s="2">
        <v>1.0</v>
      </c>
      <c r="BK503" s="2">
        <v>2.0</v>
      </c>
      <c r="BL503" s="2">
        <v>7.0</v>
      </c>
      <c r="BM503" s="2">
        <v>5.0</v>
      </c>
      <c r="BN503" s="2">
        <v>0.0</v>
      </c>
      <c r="BO503" s="2">
        <v>0.0</v>
      </c>
      <c r="BP503" s="2">
        <v>0.0</v>
      </c>
      <c r="BQ503" s="2">
        <v>0.0</v>
      </c>
      <c r="BR503" s="2">
        <v>2.0</v>
      </c>
      <c r="BS503" s="2">
        <v>0.0</v>
      </c>
      <c r="BT503" s="2">
        <v>0.0</v>
      </c>
      <c r="BU503" s="2">
        <v>0.0</v>
      </c>
      <c r="BV503" s="2">
        <v>0.0</v>
      </c>
      <c r="BW503" s="2">
        <v>3.0</v>
      </c>
      <c r="BX503" s="2">
        <v>25.0</v>
      </c>
      <c r="BY503" s="2">
        <v>6.0</v>
      </c>
      <c r="BZ503" s="2">
        <v>1.0</v>
      </c>
      <c r="CA503" s="2">
        <v>1.0</v>
      </c>
      <c r="CB503" s="2">
        <v>0.0</v>
      </c>
      <c r="CC503" s="2">
        <v>2.0</v>
      </c>
      <c r="CD503" s="2">
        <v>0.0</v>
      </c>
      <c r="CE503" s="2">
        <v>2.0</v>
      </c>
      <c r="CF503" s="2">
        <v>13.0</v>
      </c>
      <c r="CG503" s="2">
        <v>3.0</v>
      </c>
      <c r="CH503" s="2">
        <v>83.0</v>
      </c>
      <c r="CI503" s="2">
        <v>1.0</v>
      </c>
      <c r="CJ503" s="2">
        <v>2.0</v>
      </c>
      <c r="CK503" s="2">
        <v>1.0</v>
      </c>
      <c r="CL503" s="2">
        <v>0.0</v>
      </c>
      <c r="CM503" s="2">
        <v>27.0</v>
      </c>
      <c r="CN503" s="2">
        <v>0.5</v>
      </c>
      <c r="CO503" s="2">
        <v>0.0</v>
      </c>
      <c r="CP503" s="2">
        <v>1.0</v>
      </c>
      <c r="CQ503" s="2">
        <v>0.0</v>
      </c>
      <c r="CR503" s="2">
        <v>0.0</v>
      </c>
      <c r="CS503" s="2">
        <v>0.0</v>
      </c>
      <c r="CT503" s="2">
        <v>0.0</v>
      </c>
      <c r="CU503" s="2">
        <v>0.0</v>
      </c>
      <c r="CV503" s="2">
        <v>0.0</v>
      </c>
      <c r="CW503" s="2">
        <v>1.0</v>
      </c>
      <c r="CX503" s="2">
        <v>0.0</v>
      </c>
      <c r="CY503" s="2">
        <v>0.0</v>
      </c>
      <c r="CZ503" s="2">
        <v>0.0</v>
      </c>
      <c r="DA503" s="2" t="s">
        <v>1992</v>
      </c>
      <c r="DB503" s="2" t="s">
        <v>1991</v>
      </c>
      <c r="DD503" s="2">
        <v>27.0</v>
      </c>
      <c r="DE503" s="2">
        <v>32.0</v>
      </c>
      <c r="DF503" s="2">
        <v>0.0</v>
      </c>
      <c r="DG503" s="2">
        <v>1.0</v>
      </c>
      <c r="DH503" s="2">
        <v>2.0</v>
      </c>
      <c r="DI503" s="2">
        <v>1.0</v>
      </c>
      <c r="DJ503" s="2">
        <v>0.0</v>
      </c>
      <c r="DK503" s="2">
        <v>0.5</v>
      </c>
      <c r="DL503" s="2">
        <v>0.0</v>
      </c>
      <c r="DM503" s="2">
        <v>0.0</v>
      </c>
      <c r="DN503" s="2">
        <v>0.0</v>
      </c>
      <c r="DO503" s="2">
        <v>0.0</v>
      </c>
      <c r="DP503" s="2">
        <v>0.0</v>
      </c>
      <c r="DQ503" s="2">
        <v>7.0</v>
      </c>
      <c r="DR503" s="2">
        <v>0.0</v>
      </c>
      <c r="DS503" s="2">
        <v>49.0</v>
      </c>
      <c r="DT503" s="2">
        <v>273.0</v>
      </c>
      <c r="DU503" s="2">
        <v>1.0</v>
      </c>
      <c r="DV503" s="2">
        <v>2.0</v>
      </c>
      <c r="DW503" s="2">
        <v>1.0</v>
      </c>
      <c r="DX503" s="2">
        <v>0.0</v>
      </c>
      <c r="DY503" s="2">
        <v>3.0</v>
      </c>
      <c r="DZ503" s="2">
        <v>1.0</v>
      </c>
      <c r="EA503" s="2">
        <v>4.0</v>
      </c>
      <c r="EB503" s="2">
        <v>0.0</v>
      </c>
      <c r="EC503" s="2">
        <v>269.0</v>
      </c>
      <c r="EE503" s="2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2">
        <v>2025.0</v>
      </c>
      <c r="B504" s="2">
        <v>17.0</v>
      </c>
      <c r="C504" s="2" t="s">
        <v>222</v>
      </c>
      <c r="D504" s="2" t="s">
        <v>390</v>
      </c>
      <c r="E504" s="2" t="s">
        <v>1162</v>
      </c>
      <c r="F504" s="2" t="s">
        <v>235</v>
      </c>
      <c r="G504" s="2">
        <v>22.0</v>
      </c>
      <c r="H504" s="2">
        <v>30.0</v>
      </c>
      <c r="I504" s="2">
        <v>192.0</v>
      </c>
      <c r="J504" s="2">
        <v>1.0</v>
      </c>
      <c r="K504" s="2">
        <v>2.0</v>
      </c>
      <c r="L504" s="2">
        <v>4.0</v>
      </c>
      <c r="M504" s="2">
        <v>-24.0</v>
      </c>
      <c r="N504" s="2">
        <v>0.0</v>
      </c>
      <c r="O504" s="2">
        <v>0.0</v>
      </c>
      <c r="P504" s="2">
        <v>167.0</v>
      </c>
      <c r="Q504" s="2">
        <v>100.0</v>
      </c>
      <c r="R504" s="2">
        <v>8.0</v>
      </c>
      <c r="S504" s="2">
        <v>-6.14700387087149</v>
      </c>
      <c r="T504" s="2">
        <v>9.1897223676954</v>
      </c>
      <c r="U504" s="2">
        <v>0.0</v>
      </c>
      <c r="V504" s="2">
        <v>8.0</v>
      </c>
      <c r="W504" s="2">
        <v>3.0</v>
      </c>
      <c r="X504" s="2">
        <v>1.0</v>
      </c>
      <c r="Y504" s="2">
        <v>0.0</v>
      </c>
      <c r="Z504" s="2">
        <v>20.0</v>
      </c>
      <c r="AA504" s="2">
        <v>63.0</v>
      </c>
      <c r="AB504" s="2">
        <v>0.0</v>
      </c>
      <c r="AC504" s="2">
        <v>0.0</v>
      </c>
      <c r="AD504" s="2">
        <v>0.0</v>
      </c>
      <c r="AE504" s="2">
        <v>5.0</v>
      </c>
      <c r="AF504" s="2">
        <v>-5.44609873613808</v>
      </c>
      <c r="AG504" s="2">
        <v>0.0</v>
      </c>
      <c r="AH504" s="2">
        <v>3.0</v>
      </c>
      <c r="AI504" s="2">
        <v>2.0</v>
      </c>
      <c r="AJ504" s="2">
        <v>1.0</v>
      </c>
      <c r="AK504" s="2">
        <v>0.0</v>
      </c>
      <c r="AL504" s="2">
        <v>22.0</v>
      </c>
      <c r="AM504" s="2">
        <v>28.0</v>
      </c>
      <c r="AN504" s="2">
        <v>192.0</v>
      </c>
      <c r="AO504" s="2">
        <v>1.0</v>
      </c>
      <c r="AP504" s="2">
        <v>0.0</v>
      </c>
      <c r="AQ504" s="2">
        <v>0.0</v>
      </c>
      <c r="AR504" s="2">
        <v>167.0</v>
      </c>
      <c r="AS504" s="2">
        <v>100.0</v>
      </c>
      <c r="AT504" s="2">
        <v>8.0</v>
      </c>
      <c r="AU504" s="2">
        <v>2.41815886733821</v>
      </c>
      <c r="AV504" s="2">
        <v>0.0</v>
      </c>
      <c r="AW504" s="2">
        <v>8.0</v>
      </c>
      <c r="AX504" s="2">
        <v>3.0</v>
      </c>
      <c r="AY504" s="2">
        <v>1.0</v>
      </c>
      <c r="AZ504" s="2">
        <v>0.0</v>
      </c>
      <c r="BA504" s="2">
        <v>0.0</v>
      </c>
      <c r="BB504" s="2">
        <v>41.0</v>
      </c>
      <c r="BC504" s="2">
        <v>0.0</v>
      </c>
      <c r="BD504" s="2">
        <v>26.0</v>
      </c>
      <c r="BE504" s="2">
        <v>4.0</v>
      </c>
      <c r="BF504" s="2">
        <v>25.0</v>
      </c>
      <c r="BG504" s="2">
        <v>0.0</v>
      </c>
      <c r="BH504" s="2">
        <v>2.0</v>
      </c>
      <c r="BI504" s="2">
        <v>19.0</v>
      </c>
      <c r="BJ504" s="2">
        <v>7.0</v>
      </c>
      <c r="BK504" s="2">
        <v>0.0</v>
      </c>
      <c r="BL504" s="2">
        <v>0.0</v>
      </c>
      <c r="BM504" s="2">
        <v>4.0</v>
      </c>
      <c r="BN504" s="2">
        <v>0.0</v>
      </c>
      <c r="BO504" s="2">
        <v>0.0</v>
      </c>
      <c r="BP504" s="2">
        <v>0.0</v>
      </c>
      <c r="BQ504" s="2">
        <v>0.0</v>
      </c>
      <c r="BR504" s="2">
        <v>0.0</v>
      </c>
      <c r="BS504" s="2">
        <v>0.0</v>
      </c>
      <c r="BT504" s="2">
        <v>0.0</v>
      </c>
      <c r="BU504" s="2">
        <v>0.0</v>
      </c>
      <c r="BV504" s="2">
        <v>0.0</v>
      </c>
      <c r="BW504" s="2">
        <v>5.0</v>
      </c>
      <c r="BX504" s="2">
        <v>41.0</v>
      </c>
      <c r="BY504" s="2">
        <v>3.0</v>
      </c>
      <c r="BZ504" s="2">
        <v>0.0</v>
      </c>
      <c r="CA504" s="2">
        <v>0.0</v>
      </c>
      <c r="CB504" s="2">
        <v>0.0</v>
      </c>
      <c r="CC504" s="2">
        <v>0.0</v>
      </c>
      <c r="CD504" s="2">
        <v>0.0</v>
      </c>
      <c r="CE504" s="2">
        <v>2.0</v>
      </c>
      <c r="CF504" s="2">
        <v>1.0</v>
      </c>
      <c r="CG504" s="2">
        <v>2.0</v>
      </c>
      <c r="CH504" s="2">
        <v>52.0</v>
      </c>
      <c r="CI504" s="2">
        <v>1.0</v>
      </c>
      <c r="CJ504" s="2">
        <v>1.0</v>
      </c>
      <c r="CK504" s="2">
        <v>0.0</v>
      </c>
      <c r="CL504" s="2">
        <v>0.0</v>
      </c>
      <c r="CM504" s="2">
        <v>42.0</v>
      </c>
      <c r="CN504" s="2">
        <v>1.0</v>
      </c>
      <c r="CO504" s="2">
        <v>0.0</v>
      </c>
      <c r="CP504" s="2">
        <v>0.0</v>
      </c>
      <c r="CQ504" s="2">
        <v>0.0</v>
      </c>
      <c r="CR504" s="2">
        <v>1.0</v>
      </c>
      <c r="CS504" s="2">
        <v>0.0</v>
      </c>
      <c r="CT504" s="2">
        <v>0.0</v>
      </c>
      <c r="CU504" s="2">
        <v>0.0</v>
      </c>
      <c r="CV504" s="2">
        <v>0.0</v>
      </c>
      <c r="CW504" s="2">
        <v>0.0</v>
      </c>
      <c r="CX504" s="2">
        <v>0.0</v>
      </c>
      <c r="CY504" s="2">
        <v>0.0</v>
      </c>
      <c r="CZ504" s="2">
        <v>0.0</v>
      </c>
      <c r="DA504" s="2" t="s">
        <v>1966</v>
      </c>
      <c r="DD504" s="2">
        <v>42.0</v>
      </c>
      <c r="DE504" s="2">
        <v>0.0</v>
      </c>
      <c r="DF504" s="2">
        <v>0.0</v>
      </c>
      <c r="DG504" s="2">
        <v>1.0</v>
      </c>
      <c r="DH504" s="2">
        <v>1.0</v>
      </c>
      <c r="DI504" s="2">
        <v>0.0</v>
      </c>
      <c r="DJ504" s="2">
        <v>0.0</v>
      </c>
      <c r="DK504" s="2">
        <v>1.0</v>
      </c>
      <c r="DL504" s="2">
        <v>0.0</v>
      </c>
      <c r="DM504" s="2">
        <v>0.0</v>
      </c>
      <c r="DN504" s="2">
        <v>0.0</v>
      </c>
      <c r="DO504" s="2">
        <v>0.0</v>
      </c>
      <c r="DP504" s="2">
        <v>0.0</v>
      </c>
      <c r="DQ504" s="2">
        <v>3.0</v>
      </c>
      <c r="DR504" s="2">
        <v>0.0</v>
      </c>
      <c r="DS504" s="2">
        <v>63.0</v>
      </c>
      <c r="DT504" s="2">
        <v>171.0</v>
      </c>
      <c r="DU504" s="2">
        <v>1.0</v>
      </c>
      <c r="DV504" s="2">
        <v>1.0</v>
      </c>
      <c r="DW504" s="2">
        <v>0.0</v>
      </c>
      <c r="DX504" s="2">
        <v>0.0</v>
      </c>
      <c r="DY504" s="2">
        <v>0.0</v>
      </c>
      <c r="DZ504" s="2">
        <v>2.0</v>
      </c>
      <c r="EA504" s="2">
        <v>18.0</v>
      </c>
      <c r="EB504" s="2">
        <v>0.0</v>
      </c>
      <c r="EC504" s="2">
        <v>153.0</v>
      </c>
      <c r="EE504" s="2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2">
        <v>2025.0</v>
      </c>
      <c r="B505" s="2">
        <v>17.0</v>
      </c>
      <c r="C505" s="2" t="s">
        <v>225</v>
      </c>
      <c r="D505" s="2" t="s">
        <v>390</v>
      </c>
      <c r="E505" s="2" t="s">
        <v>1164</v>
      </c>
      <c r="F505" s="2" t="s">
        <v>150</v>
      </c>
      <c r="G505" s="2">
        <v>14.0</v>
      </c>
      <c r="H505" s="2">
        <v>22.0</v>
      </c>
      <c r="I505" s="2">
        <v>172.0</v>
      </c>
      <c r="J505" s="2">
        <v>2.0</v>
      </c>
      <c r="K505" s="2">
        <v>0.0</v>
      </c>
      <c r="L505" s="2">
        <v>2.0</v>
      </c>
      <c r="M505" s="2">
        <v>-19.0</v>
      </c>
      <c r="N505" s="2">
        <v>0.0</v>
      </c>
      <c r="O505" s="2">
        <v>0.0</v>
      </c>
      <c r="P505" s="2">
        <v>196.0</v>
      </c>
      <c r="Q505" s="2">
        <v>109.0</v>
      </c>
      <c r="R505" s="2">
        <v>6.0</v>
      </c>
      <c r="S505" s="2">
        <v>4.75685915748536</v>
      </c>
      <c r="T505" s="2">
        <v>0.392171469601718</v>
      </c>
      <c r="U505" s="2">
        <v>0.0</v>
      </c>
      <c r="V505" s="2">
        <v>6.0</v>
      </c>
      <c r="W505" s="2">
        <v>4.0</v>
      </c>
      <c r="X505" s="2">
        <v>3.0</v>
      </c>
      <c r="Y505" s="2">
        <v>1.0</v>
      </c>
      <c r="Z505" s="2">
        <v>30.0</v>
      </c>
      <c r="AA505" s="2">
        <v>145.0</v>
      </c>
      <c r="AB505" s="2">
        <v>0.0</v>
      </c>
      <c r="AC505" s="2">
        <v>1.0</v>
      </c>
      <c r="AD505" s="2">
        <v>0.0</v>
      </c>
      <c r="AE505" s="2">
        <v>7.0</v>
      </c>
      <c r="AF505" s="2">
        <v>-0.508132886386544</v>
      </c>
      <c r="AG505" s="2">
        <v>0.0</v>
      </c>
      <c r="AH505" s="2">
        <v>4.0</v>
      </c>
      <c r="AI505" s="2">
        <v>3.0</v>
      </c>
      <c r="AJ505" s="2">
        <v>1.0</v>
      </c>
      <c r="AK505" s="2">
        <v>0.0</v>
      </c>
      <c r="AL505" s="2">
        <v>14.0</v>
      </c>
      <c r="AM505" s="2">
        <v>22.0</v>
      </c>
      <c r="AN505" s="2">
        <v>172.0</v>
      </c>
      <c r="AO505" s="2">
        <v>2.0</v>
      </c>
      <c r="AP505" s="2">
        <v>0.0</v>
      </c>
      <c r="AQ505" s="2">
        <v>0.0</v>
      </c>
      <c r="AR505" s="2">
        <v>196.0</v>
      </c>
      <c r="AS505" s="2">
        <v>109.0</v>
      </c>
      <c r="AT505" s="2">
        <v>6.0</v>
      </c>
      <c r="AU505" s="2">
        <v>6.67955810089543</v>
      </c>
      <c r="AV505" s="2">
        <v>0.0</v>
      </c>
      <c r="AW505" s="2">
        <v>6.0</v>
      </c>
      <c r="AX505" s="2">
        <v>4.0</v>
      </c>
      <c r="AY505" s="2">
        <v>3.0</v>
      </c>
      <c r="AZ505" s="2">
        <v>1.0</v>
      </c>
      <c r="BA505" s="2">
        <v>0.0</v>
      </c>
      <c r="BB505" s="2">
        <v>40.0</v>
      </c>
      <c r="BC505" s="2">
        <v>1.0</v>
      </c>
      <c r="BD505" s="2">
        <v>29.0</v>
      </c>
      <c r="BE505" s="2">
        <v>6.0</v>
      </c>
      <c r="BF505" s="2">
        <v>24.0</v>
      </c>
      <c r="BG505" s="2">
        <v>1.0</v>
      </c>
      <c r="BH505" s="2">
        <v>3.0</v>
      </c>
      <c r="BI505" s="2">
        <v>19.0</v>
      </c>
      <c r="BJ505" s="2">
        <v>4.0</v>
      </c>
      <c r="BK505" s="2">
        <v>2.0</v>
      </c>
      <c r="BL505" s="2">
        <v>45.0</v>
      </c>
      <c r="BM505" s="2">
        <v>6.0</v>
      </c>
      <c r="BN505" s="2">
        <v>0.0</v>
      </c>
      <c r="BO505" s="2">
        <v>0.0</v>
      </c>
      <c r="BP505" s="2">
        <v>0.0</v>
      </c>
      <c r="BQ505" s="2">
        <v>0.0</v>
      </c>
      <c r="BR505" s="2">
        <v>0.0</v>
      </c>
      <c r="BS505" s="2">
        <v>0.0</v>
      </c>
      <c r="BT505" s="2">
        <v>1.0</v>
      </c>
      <c r="BU505" s="2">
        <v>0.0</v>
      </c>
      <c r="BV505" s="2">
        <v>0.0</v>
      </c>
      <c r="BW505" s="2">
        <v>10.0</v>
      </c>
      <c r="BX505" s="2">
        <v>77.0</v>
      </c>
      <c r="BY505" s="2">
        <v>2.0</v>
      </c>
      <c r="BZ505" s="2">
        <v>0.0</v>
      </c>
      <c r="CA505" s="2">
        <v>1.0</v>
      </c>
      <c r="CB505" s="2">
        <v>1.0</v>
      </c>
      <c r="CC505" s="2">
        <v>1.0</v>
      </c>
      <c r="CD505" s="2">
        <v>0.0</v>
      </c>
      <c r="CE505" s="2">
        <v>0.0</v>
      </c>
      <c r="CF505" s="2">
        <v>0.0</v>
      </c>
      <c r="CG505" s="2">
        <v>1.0</v>
      </c>
      <c r="CH505" s="2">
        <v>47.0</v>
      </c>
      <c r="CI505" s="2">
        <v>2.0</v>
      </c>
      <c r="CJ505" s="2">
        <v>2.0</v>
      </c>
      <c r="CK505" s="2">
        <v>0.0</v>
      </c>
      <c r="CL505" s="2">
        <v>0.0</v>
      </c>
      <c r="CM505" s="2">
        <v>31.0</v>
      </c>
      <c r="CN505" s="2">
        <v>1.0</v>
      </c>
      <c r="CO505" s="2">
        <v>0.0</v>
      </c>
      <c r="CP505" s="2">
        <v>1.0</v>
      </c>
      <c r="CQ505" s="2">
        <v>1.0</v>
      </c>
      <c r="CR505" s="2">
        <v>0.0</v>
      </c>
      <c r="CS505" s="2">
        <v>0.0</v>
      </c>
      <c r="CT505" s="2">
        <v>0.0</v>
      </c>
      <c r="CU505" s="2">
        <v>0.0</v>
      </c>
      <c r="CV505" s="2">
        <v>0.0</v>
      </c>
      <c r="CW505" s="2">
        <v>0.0</v>
      </c>
      <c r="CX505" s="2">
        <v>0.0</v>
      </c>
      <c r="CY505" s="2">
        <v>0.0</v>
      </c>
      <c r="CZ505" s="2">
        <v>0.0</v>
      </c>
      <c r="DA505" s="2" t="s">
        <v>2273</v>
      </c>
      <c r="DD505" s="2">
        <v>60.0</v>
      </c>
      <c r="DE505" s="2">
        <v>0.0</v>
      </c>
      <c r="DF505" s="2">
        <v>0.0</v>
      </c>
      <c r="DG505" s="2">
        <v>2.0</v>
      </c>
      <c r="DH505" s="2">
        <v>2.0</v>
      </c>
      <c r="DI505" s="2">
        <v>0.0</v>
      </c>
      <c r="DJ505" s="2">
        <v>0.0</v>
      </c>
      <c r="DK505" s="2">
        <v>1.0</v>
      </c>
      <c r="DL505" s="2">
        <v>0.0</v>
      </c>
      <c r="DM505" s="2">
        <v>0.0</v>
      </c>
      <c r="DN505" s="2">
        <v>0.0</v>
      </c>
      <c r="DO505" s="2">
        <v>0.0</v>
      </c>
      <c r="DP505" s="2">
        <v>0.0</v>
      </c>
      <c r="DQ505" s="2">
        <v>5.0</v>
      </c>
      <c r="DR505" s="2">
        <v>0.0</v>
      </c>
      <c r="DS505" s="2">
        <v>58.0</v>
      </c>
      <c r="DT505" s="2">
        <v>236.0</v>
      </c>
      <c r="DU505" s="2">
        <v>1.0</v>
      </c>
      <c r="DV505" s="2">
        <v>1.0</v>
      </c>
      <c r="DW505" s="2">
        <v>1.0</v>
      </c>
      <c r="DX505" s="2">
        <v>0.0</v>
      </c>
      <c r="DY505" s="2">
        <v>1.0</v>
      </c>
      <c r="DZ505" s="2">
        <v>2.0</v>
      </c>
      <c r="EA505" s="2">
        <v>27.0</v>
      </c>
      <c r="EB505" s="2">
        <v>0.0</v>
      </c>
      <c r="EC505" s="2">
        <v>209.0</v>
      </c>
      <c r="EE505" s="2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2">
        <v>2025.0</v>
      </c>
      <c r="B506" s="2">
        <v>17.0</v>
      </c>
      <c r="C506" s="2" t="s">
        <v>144</v>
      </c>
      <c r="D506" s="2" t="s">
        <v>390</v>
      </c>
      <c r="E506" s="2" t="s">
        <v>1141</v>
      </c>
      <c r="F506" s="2" t="s">
        <v>202</v>
      </c>
      <c r="G506" s="2">
        <v>9.0</v>
      </c>
      <c r="H506" s="2">
        <v>16.0</v>
      </c>
      <c r="I506" s="2">
        <v>51.0</v>
      </c>
      <c r="J506" s="2">
        <v>0.0</v>
      </c>
      <c r="K506" s="2">
        <v>0.0</v>
      </c>
      <c r="L506" s="2">
        <v>7.0</v>
      </c>
      <c r="M506" s="2">
        <v>-48.0</v>
      </c>
      <c r="N506" s="2">
        <v>1.0</v>
      </c>
      <c r="O506" s="2">
        <v>0.0</v>
      </c>
      <c r="P506" s="2">
        <v>67.0</v>
      </c>
      <c r="Q506" s="2">
        <v>29.0</v>
      </c>
      <c r="R506" s="2">
        <v>2.0</v>
      </c>
      <c r="S506" s="2">
        <v>-17.5610228633736</v>
      </c>
      <c r="T506" s="2">
        <v>-9.38992244856698</v>
      </c>
      <c r="U506" s="2">
        <v>0.0</v>
      </c>
      <c r="V506" s="2">
        <v>2.0</v>
      </c>
      <c r="W506" s="2">
        <v>0.0</v>
      </c>
      <c r="X506" s="2">
        <v>0.0</v>
      </c>
      <c r="Y506" s="2">
        <v>0.0</v>
      </c>
      <c r="Z506" s="2">
        <v>28.0</v>
      </c>
      <c r="AA506" s="2">
        <v>158.0</v>
      </c>
      <c r="AB506" s="2">
        <v>2.0</v>
      </c>
      <c r="AC506" s="2">
        <v>0.0</v>
      </c>
      <c r="AD506" s="2">
        <v>0.0</v>
      </c>
      <c r="AE506" s="2">
        <v>6.0</v>
      </c>
      <c r="AF506" s="2">
        <v>3.41489016402762</v>
      </c>
      <c r="AG506" s="2">
        <v>0.0</v>
      </c>
      <c r="AH506" s="2">
        <v>3.0</v>
      </c>
      <c r="AI506" s="2">
        <v>1.0</v>
      </c>
      <c r="AJ506" s="2">
        <v>1.0</v>
      </c>
      <c r="AK506" s="2">
        <v>1.0</v>
      </c>
      <c r="AL506" s="2">
        <v>9.0</v>
      </c>
      <c r="AM506" s="2">
        <v>14.0</v>
      </c>
      <c r="AN506" s="2">
        <v>51.0</v>
      </c>
      <c r="AO506" s="2">
        <v>0.0</v>
      </c>
      <c r="AP506" s="2">
        <v>0.0</v>
      </c>
      <c r="AQ506" s="2">
        <v>0.0</v>
      </c>
      <c r="AR506" s="2">
        <v>67.0</v>
      </c>
      <c r="AS506" s="2">
        <v>29.0</v>
      </c>
      <c r="AT506" s="2">
        <v>2.0</v>
      </c>
      <c r="AU506" s="2">
        <v>-4.33187675965019</v>
      </c>
      <c r="AV506" s="2">
        <v>0.0</v>
      </c>
      <c r="AW506" s="2">
        <v>2.0</v>
      </c>
      <c r="AX506" s="2">
        <v>0.0</v>
      </c>
      <c r="AY506" s="2">
        <v>0.0</v>
      </c>
      <c r="AZ506" s="2">
        <v>0.0</v>
      </c>
      <c r="BA506" s="2">
        <v>0.0</v>
      </c>
      <c r="BB506" s="2">
        <v>39.0</v>
      </c>
      <c r="BC506" s="2">
        <v>1.0</v>
      </c>
      <c r="BD506" s="2">
        <v>39.0</v>
      </c>
      <c r="BE506" s="2">
        <v>8.0</v>
      </c>
      <c r="BF506" s="2">
        <v>37.0</v>
      </c>
      <c r="BG506" s="2">
        <v>2.0</v>
      </c>
      <c r="BH506" s="2">
        <v>5.0</v>
      </c>
      <c r="BI506" s="2">
        <v>34.0</v>
      </c>
      <c r="BJ506" s="2">
        <v>8.0</v>
      </c>
      <c r="BK506" s="2">
        <v>2.0</v>
      </c>
      <c r="BL506" s="2">
        <v>1.0</v>
      </c>
      <c r="BM506" s="2">
        <v>5.0</v>
      </c>
      <c r="BN506" s="2">
        <v>0.0</v>
      </c>
      <c r="BO506" s="2">
        <v>0.0</v>
      </c>
      <c r="BP506" s="2">
        <v>0.0</v>
      </c>
      <c r="BQ506" s="2">
        <v>0.0</v>
      </c>
      <c r="BR506" s="2">
        <v>1.0</v>
      </c>
      <c r="BS506" s="2">
        <v>0.0</v>
      </c>
      <c r="BT506" s="2">
        <v>4.0</v>
      </c>
      <c r="BU506" s="2">
        <v>0.0</v>
      </c>
      <c r="BV506" s="2">
        <v>0.0</v>
      </c>
      <c r="BW506" s="2">
        <v>3.0</v>
      </c>
      <c r="BX506" s="2">
        <v>20.0</v>
      </c>
      <c r="BY506" s="2">
        <v>6.0</v>
      </c>
      <c r="BZ506" s="2">
        <v>0.0</v>
      </c>
      <c r="CA506" s="2">
        <v>1.0</v>
      </c>
      <c r="CB506" s="2">
        <v>0.0</v>
      </c>
      <c r="CC506" s="2">
        <v>1.0</v>
      </c>
      <c r="CD506" s="2">
        <v>0.0</v>
      </c>
      <c r="CE506" s="2">
        <v>0.0</v>
      </c>
      <c r="CF506" s="2">
        <v>0.0</v>
      </c>
      <c r="CG506" s="2">
        <v>1.0</v>
      </c>
      <c r="CH506" s="2">
        <v>24.0</v>
      </c>
      <c r="CI506" s="2">
        <v>3.0</v>
      </c>
      <c r="CJ506" s="2">
        <v>3.0</v>
      </c>
      <c r="CK506" s="2">
        <v>0.0</v>
      </c>
      <c r="CL506" s="2">
        <v>0.0</v>
      </c>
      <c r="CM506" s="2">
        <v>56.0</v>
      </c>
      <c r="CN506" s="2">
        <v>1.0</v>
      </c>
      <c r="CO506" s="2">
        <v>0.0</v>
      </c>
      <c r="CP506" s="2">
        <v>0.0</v>
      </c>
      <c r="CQ506" s="2">
        <v>0.0</v>
      </c>
      <c r="CR506" s="2">
        <v>1.0</v>
      </c>
      <c r="CS506" s="2">
        <v>2.0</v>
      </c>
      <c r="CT506" s="2">
        <v>0.0</v>
      </c>
      <c r="CU506" s="2">
        <v>0.0</v>
      </c>
      <c r="CV506" s="2">
        <v>0.0</v>
      </c>
      <c r="CW506" s="2">
        <v>0.0</v>
      </c>
      <c r="CX506" s="2">
        <v>0.0</v>
      </c>
      <c r="CY506" s="2">
        <v>0.0</v>
      </c>
      <c r="CZ506" s="2">
        <v>0.0</v>
      </c>
      <c r="DA506" s="2" t="s">
        <v>2274</v>
      </c>
      <c r="DD506" s="2">
        <v>150.0</v>
      </c>
      <c r="DE506" s="2">
        <v>0.0</v>
      </c>
      <c r="DF506" s="2">
        <v>0.0</v>
      </c>
      <c r="DG506" s="2">
        <v>2.0</v>
      </c>
      <c r="DH506" s="2">
        <v>2.0</v>
      </c>
      <c r="DI506" s="2">
        <v>0.0</v>
      </c>
      <c r="DJ506" s="2">
        <v>0.0</v>
      </c>
      <c r="DK506" s="2">
        <v>1.0</v>
      </c>
      <c r="DL506" s="2">
        <v>0.0</v>
      </c>
      <c r="DM506" s="2">
        <v>0.0</v>
      </c>
      <c r="DN506" s="2">
        <v>0.0</v>
      </c>
      <c r="DO506" s="2">
        <v>0.0</v>
      </c>
      <c r="DP506" s="2">
        <v>0.0</v>
      </c>
      <c r="DQ506" s="2">
        <v>7.0</v>
      </c>
      <c r="DR506" s="2">
        <v>0.0</v>
      </c>
      <c r="DS506" s="2">
        <v>63.0</v>
      </c>
      <c r="DT506" s="2">
        <v>358.0</v>
      </c>
      <c r="DU506" s="2">
        <v>2.0</v>
      </c>
      <c r="DV506" s="2">
        <v>0.0</v>
      </c>
      <c r="DW506" s="2">
        <v>0.0</v>
      </c>
      <c r="DX506" s="2">
        <v>2.0</v>
      </c>
      <c r="DY506" s="2">
        <v>0.0</v>
      </c>
      <c r="DZ506" s="2">
        <v>5.0</v>
      </c>
      <c r="EA506" s="2">
        <v>31.0</v>
      </c>
      <c r="EB506" s="2">
        <v>0.0</v>
      </c>
      <c r="EC506" s="2">
        <v>287.0</v>
      </c>
      <c r="EE506" s="2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2">
        <v>2025.0</v>
      </c>
      <c r="B507" s="2">
        <v>17.0</v>
      </c>
      <c r="C507" s="2" t="s">
        <v>145</v>
      </c>
      <c r="D507" s="2" t="s">
        <v>390</v>
      </c>
      <c r="E507" s="2" t="s">
        <v>1166</v>
      </c>
      <c r="F507" s="2" t="s">
        <v>238</v>
      </c>
      <c r="G507" s="2">
        <v>22.0</v>
      </c>
      <c r="H507" s="2">
        <v>25.0</v>
      </c>
      <c r="I507" s="2">
        <v>286.0</v>
      </c>
      <c r="J507" s="2">
        <v>5.0</v>
      </c>
      <c r="K507" s="2">
        <v>0.0</v>
      </c>
      <c r="L507" s="2">
        <v>1.0</v>
      </c>
      <c r="M507" s="2">
        <v>-1.0</v>
      </c>
      <c r="N507" s="2">
        <v>0.0</v>
      </c>
      <c r="O507" s="2">
        <v>0.0</v>
      </c>
      <c r="P507" s="2">
        <v>220.0</v>
      </c>
      <c r="Q507" s="2">
        <v>137.0</v>
      </c>
      <c r="R507" s="2">
        <v>16.0</v>
      </c>
      <c r="S507" s="2">
        <v>28.1174342208676</v>
      </c>
      <c r="T507" s="2">
        <v>26.035621881485</v>
      </c>
      <c r="U507" s="2">
        <v>0.0</v>
      </c>
      <c r="V507" s="2">
        <v>13.0</v>
      </c>
      <c r="W507" s="2">
        <v>7.0</v>
      </c>
      <c r="X507" s="2">
        <v>6.0</v>
      </c>
      <c r="Y507" s="2">
        <v>0.0</v>
      </c>
      <c r="Z507" s="2">
        <v>36.0</v>
      </c>
      <c r="AA507" s="2">
        <v>155.0</v>
      </c>
      <c r="AB507" s="2">
        <v>1.0</v>
      </c>
      <c r="AC507" s="2">
        <v>0.0</v>
      </c>
      <c r="AD507" s="2">
        <v>0.0</v>
      </c>
      <c r="AE507" s="2">
        <v>9.0</v>
      </c>
      <c r="AF507" s="2">
        <v>1.14120747940615</v>
      </c>
      <c r="AG507" s="2">
        <v>0.0</v>
      </c>
      <c r="AH507" s="2">
        <v>6.0</v>
      </c>
      <c r="AI507" s="2">
        <v>4.0</v>
      </c>
      <c r="AJ507" s="2">
        <v>1.0</v>
      </c>
      <c r="AK507" s="2">
        <v>0.0</v>
      </c>
      <c r="AL507" s="2">
        <v>22.0</v>
      </c>
      <c r="AM507" s="2">
        <v>25.0</v>
      </c>
      <c r="AN507" s="2">
        <v>286.0</v>
      </c>
      <c r="AO507" s="2">
        <v>5.0</v>
      </c>
      <c r="AP507" s="2">
        <v>0.0</v>
      </c>
      <c r="AQ507" s="2">
        <v>0.0</v>
      </c>
      <c r="AR507" s="2">
        <v>220.0</v>
      </c>
      <c r="AS507" s="2">
        <v>137.0</v>
      </c>
      <c r="AT507" s="2">
        <v>16.0</v>
      </c>
      <c r="AU507" s="2">
        <v>28.8829422930855</v>
      </c>
      <c r="AV507" s="2">
        <v>0.0</v>
      </c>
      <c r="AW507" s="2">
        <v>13.0</v>
      </c>
      <c r="AX507" s="2">
        <v>7.0</v>
      </c>
      <c r="AY507" s="2">
        <v>6.0</v>
      </c>
      <c r="AZ507" s="2">
        <v>0.0</v>
      </c>
      <c r="BA507" s="2">
        <v>0.0</v>
      </c>
      <c r="BB507" s="2">
        <v>37.0</v>
      </c>
      <c r="BC507" s="2">
        <v>1.0</v>
      </c>
      <c r="BD507" s="2">
        <v>27.0</v>
      </c>
      <c r="BE507" s="2">
        <v>5.0</v>
      </c>
      <c r="BF507" s="2">
        <v>23.0</v>
      </c>
      <c r="BG507" s="2">
        <v>0.0</v>
      </c>
      <c r="BH507" s="2">
        <v>1.0</v>
      </c>
      <c r="BI507" s="2">
        <v>12.0</v>
      </c>
      <c r="BJ507" s="2">
        <v>5.0</v>
      </c>
      <c r="BK507" s="2">
        <v>1.0</v>
      </c>
      <c r="BL507" s="2">
        <v>0.0</v>
      </c>
      <c r="BM507" s="2">
        <v>3.0</v>
      </c>
      <c r="BN507" s="2">
        <v>0.0</v>
      </c>
      <c r="BO507" s="2">
        <v>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0.0</v>
      </c>
      <c r="BU507" s="2">
        <v>0.0</v>
      </c>
      <c r="BV507" s="2">
        <v>0.0</v>
      </c>
      <c r="BW507" s="2">
        <v>2.0</v>
      </c>
      <c r="BX507" s="2">
        <v>20.0</v>
      </c>
      <c r="BY507" s="2">
        <v>3.0</v>
      </c>
      <c r="BZ507" s="2">
        <v>0.0</v>
      </c>
      <c r="CA507" s="2">
        <v>0.0</v>
      </c>
      <c r="CB507" s="2">
        <v>0.0</v>
      </c>
      <c r="CC507" s="2">
        <v>0.0</v>
      </c>
      <c r="CD507" s="2">
        <v>0.0</v>
      </c>
      <c r="CE507" s="2">
        <v>0.0</v>
      </c>
      <c r="CF507" s="2">
        <v>0.0</v>
      </c>
      <c r="CG507" s="2">
        <v>3.0</v>
      </c>
      <c r="CH507" s="2">
        <v>77.0</v>
      </c>
      <c r="CI507" s="2">
        <v>0.0</v>
      </c>
      <c r="CJ507" s="2">
        <v>1.0</v>
      </c>
      <c r="CK507" s="2">
        <v>1.0</v>
      </c>
      <c r="CL507" s="2">
        <v>0.0</v>
      </c>
      <c r="CN507" s="2">
        <v>0.0</v>
      </c>
      <c r="CO507" s="2">
        <v>0.0</v>
      </c>
      <c r="CP507" s="2">
        <v>0.0</v>
      </c>
      <c r="CQ507" s="2">
        <v>0.0</v>
      </c>
      <c r="CR507" s="2">
        <v>0.0</v>
      </c>
      <c r="CS507" s="2">
        <v>0.0</v>
      </c>
      <c r="CT507" s="2">
        <v>0.0</v>
      </c>
      <c r="CU507" s="2">
        <v>0.0</v>
      </c>
      <c r="CV507" s="2">
        <v>0.0</v>
      </c>
      <c r="CW507" s="2">
        <v>0.0</v>
      </c>
      <c r="CX507" s="2">
        <v>1.0</v>
      </c>
      <c r="CY507" s="2">
        <v>0.0</v>
      </c>
      <c r="CZ507" s="2">
        <v>0.0</v>
      </c>
      <c r="DB507" s="2" t="s">
        <v>2025</v>
      </c>
      <c r="DD507" s="2">
        <v>0.0</v>
      </c>
      <c r="DE507" s="2">
        <v>41.0</v>
      </c>
      <c r="DF507" s="2">
        <v>0.0</v>
      </c>
      <c r="DG507" s="2">
        <v>6.0</v>
      </c>
      <c r="DH507" s="2">
        <v>6.0</v>
      </c>
      <c r="DI507" s="2">
        <v>0.0</v>
      </c>
      <c r="DJ507" s="2">
        <v>0.0</v>
      </c>
      <c r="DK507" s="2">
        <v>1.0</v>
      </c>
      <c r="DL507" s="2">
        <v>0.0</v>
      </c>
      <c r="DM507" s="2">
        <v>0.0</v>
      </c>
      <c r="DN507" s="2">
        <v>0.0</v>
      </c>
      <c r="DO507" s="2">
        <v>0.0</v>
      </c>
      <c r="DP507" s="2">
        <v>0.0</v>
      </c>
      <c r="DQ507" s="2">
        <v>2.0</v>
      </c>
      <c r="DR507" s="2">
        <v>0.0</v>
      </c>
      <c r="DS507" s="2">
        <v>48.0</v>
      </c>
      <c r="DT507" s="2">
        <v>93.0</v>
      </c>
      <c r="DU507" s="2">
        <v>0.0</v>
      </c>
      <c r="DV507" s="2">
        <v>0.0</v>
      </c>
      <c r="DW507" s="2">
        <v>0.0</v>
      </c>
      <c r="DX507" s="2">
        <v>0.0</v>
      </c>
      <c r="DY507" s="2">
        <v>2.0</v>
      </c>
      <c r="DZ507" s="2">
        <v>0.0</v>
      </c>
      <c r="EA507" s="2">
        <v>0.0</v>
      </c>
      <c r="EB507" s="2">
        <v>0.0</v>
      </c>
      <c r="EC507" s="2">
        <v>93.0</v>
      </c>
      <c r="EE507" s="2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2">
        <v>2025.0</v>
      </c>
      <c r="B508" s="2">
        <v>17.0</v>
      </c>
      <c r="C508" s="2" t="s">
        <v>232</v>
      </c>
      <c r="D508" s="2" t="s">
        <v>390</v>
      </c>
      <c r="E508" s="2" t="s">
        <v>1168</v>
      </c>
      <c r="F508" s="2" t="s">
        <v>250</v>
      </c>
      <c r="G508" s="2">
        <v>22.0</v>
      </c>
      <c r="H508" s="2">
        <v>27.0</v>
      </c>
      <c r="I508" s="2">
        <v>333.0</v>
      </c>
      <c r="J508" s="2">
        <v>2.0</v>
      </c>
      <c r="K508" s="2">
        <v>0.0</v>
      </c>
      <c r="L508" s="2">
        <v>2.0</v>
      </c>
      <c r="M508" s="2">
        <v>-13.0</v>
      </c>
      <c r="N508" s="2">
        <v>1.0</v>
      </c>
      <c r="O508" s="2">
        <v>0.0</v>
      </c>
      <c r="P508" s="2">
        <v>282.0</v>
      </c>
      <c r="Q508" s="2">
        <v>168.0</v>
      </c>
      <c r="R508" s="2">
        <v>11.0</v>
      </c>
      <c r="S508" s="2">
        <v>18.1681333048045</v>
      </c>
      <c r="T508" s="2">
        <v>19.8236294366695</v>
      </c>
      <c r="U508" s="2">
        <v>0.0</v>
      </c>
      <c r="V508" s="2">
        <v>10.0</v>
      </c>
      <c r="W508" s="2">
        <v>9.0</v>
      </c>
      <c r="X508" s="2">
        <v>6.0</v>
      </c>
      <c r="Y508" s="2">
        <v>1.0</v>
      </c>
      <c r="Z508" s="2">
        <v>23.0</v>
      </c>
      <c r="AA508" s="2">
        <v>103.0</v>
      </c>
      <c r="AB508" s="2">
        <v>1.0</v>
      </c>
      <c r="AC508" s="2">
        <v>0.0</v>
      </c>
      <c r="AD508" s="2">
        <v>0.0</v>
      </c>
      <c r="AE508" s="2">
        <v>5.0</v>
      </c>
      <c r="AF508" s="2">
        <v>1.21788827795535</v>
      </c>
      <c r="AG508" s="2">
        <v>0.0</v>
      </c>
      <c r="AH508" s="2">
        <v>2.0</v>
      </c>
      <c r="AI508" s="2">
        <v>2.0</v>
      </c>
      <c r="AJ508" s="2">
        <v>1.0</v>
      </c>
      <c r="AK508" s="2">
        <v>0.0</v>
      </c>
      <c r="AL508" s="2">
        <v>22.0</v>
      </c>
      <c r="AM508" s="2">
        <v>27.0</v>
      </c>
      <c r="AN508" s="2">
        <v>333.0</v>
      </c>
      <c r="AO508" s="2">
        <v>2.0</v>
      </c>
      <c r="AP508" s="2">
        <v>1.0</v>
      </c>
      <c r="AQ508" s="2">
        <v>1.0</v>
      </c>
      <c r="AR508" s="2">
        <v>282.0</v>
      </c>
      <c r="AS508" s="2">
        <v>168.0</v>
      </c>
      <c r="AT508" s="2">
        <v>11.0</v>
      </c>
      <c r="AU508" s="2">
        <v>16.1667414698194</v>
      </c>
      <c r="AV508" s="2">
        <v>0.0</v>
      </c>
      <c r="AW508" s="2">
        <v>10.0</v>
      </c>
      <c r="AX508" s="2">
        <v>9.0</v>
      </c>
      <c r="AY508" s="2">
        <v>6.0</v>
      </c>
      <c r="AZ508" s="2">
        <v>1.0</v>
      </c>
      <c r="BA508" s="2">
        <v>0.0</v>
      </c>
      <c r="BB508" s="2">
        <v>37.0</v>
      </c>
      <c r="BC508" s="2">
        <v>1.0</v>
      </c>
      <c r="BD508" s="2">
        <v>31.0</v>
      </c>
      <c r="BE508" s="2">
        <v>6.0</v>
      </c>
      <c r="BF508" s="2">
        <v>18.0</v>
      </c>
      <c r="BG508" s="2">
        <v>2.0</v>
      </c>
      <c r="BH508" s="2">
        <v>4.0</v>
      </c>
      <c r="BI508" s="2">
        <v>23.0</v>
      </c>
      <c r="BJ508" s="2">
        <v>8.0</v>
      </c>
      <c r="BK508" s="2">
        <v>0.0</v>
      </c>
      <c r="BL508" s="2">
        <v>0.0</v>
      </c>
      <c r="BM508" s="2">
        <v>7.0</v>
      </c>
      <c r="BN508" s="2">
        <v>0.0</v>
      </c>
      <c r="BO508" s="2">
        <v>0.0</v>
      </c>
      <c r="BP508" s="2">
        <v>0.0</v>
      </c>
      <c r="BQ508" s="2">
        <v>0.0</v>
      </c>
      <c r="BR508" s="2">
        <v>1.0</v>
      </c>
      <c r="BS508" s="2">
        <v>0.0</v>
      </c>
      <c r="BT508" s="2">
        <v>1.0</v>
      </c>
      <c r="BU508" s="2">
        <v>33.0</v>
      </c>
      <c r="BV508" s="2">
        <v>1.0</v>
      </c>
      <c r="BW508" s="2">
        <v>6.0</v>
      </c>
      <c r="BX508" s="2">
        <v>84.0</v>
      </c>
      <c r="BY508" s="2">
        <v>3.0</v>
      </c>
      <c r="BZ508" s="2">
        <v>2.0</v>
      </c>
      <c r="CA508" s="2">
        <v>0.0</v>
      </c>
      <c r="CB508" s="2">
        <v>0.0</v>
      </c>
      <c r="CC508" s="2">
        <v>2.0</v>
      </c>
      <c r="CD508" s="2">
        <v>1.0</v>
      </c>
      <c r="CE508" s="2">
        <v>2.0</v>
      </c>
      <c r="CF508" s="2">
        <v>22.0</v>
      </c>
      <c r="CG508" s="2">
        <v>5.0</v>
      </c>
      <c r="CH508" s="2">
        <v>126.0</v>
      </c>
      <c r="CI508" s="2">
        <v>2.0</v>
      </c>
      <c r="CJ508" s="2">
        <v>3.0</v>
      </c>
      <c r="CK508" s="2">
        <v>1.0</v>
      </c>
      <c r="CL508" s="2">
        <v>0.0</v>
      </c>
      <c r="CM508" s="2">
        <v>57.0</v>
      </c>
      <c r="CN508" s="2">
        <v>0.666666666666667</v>
      </c>
      <c r="CO508" s="2">
        <v>0.0</v>
      </c>
      <c r="CP508" s="2">
        <v>0.0</v>
      </c>
      <c r="CQ508" s="2">
        <v>0.0</v>
      </c>
      <c r="CR508" s="2">
        <v>0.0</v>
      </c>
      <c r="CS508" s="2">
        <v>2.0</v>
      </c>
      <c r="CT508" s="2">
        <v>0.0</v>
      </c>
      <c r="CU508" s="2">
        <v>0.0</v>
      </c>
      <c r="CV508" s="2">
        <v>0.0</v>
      </c>
      <c r="CW508" s="2">
        <v>0.0</v>
      </c>
      <c r="CX508" s="2">
        <v>1.0</v>
      </c>
      <c r="CY508" s="2">
        <v>0.0</v>
      </c>
      <c r="CZ508" s="2">
        <v>0.0</v>
      </c>
      <c r="DA508" s="2" t="s">
        <v>2275</v>
      </c>
      <c r="DB508" s="2" t="s">
        <v>2033</v>
      </c>
      <c r="DD508" s="2">
        <v>113.0</v>
      </c>
      <c r="DE508" s="2">
        <v>43.0</v>
      </c>
      <c r="DF508" s="2">
        <v>0.0</v>
      </c>
      <c r="DG508" s="2">
        <v>4.0</v>
      </c>
      <c r="DH508" s="2">
        <v>4.0</v>
      </c>
      <c r="DI508" s="2">
        <v>0.0</v>
      </c>
      <c r="DJ508" s="2">
        <v>0.0</v>
      </c>
      <c r="DK508" s="2">
        <v>1.0</v>
      </c>
      <c r="DL508" s="2">
        <v>0.0</v>
      </c>
      <c r="DM508" s="2">
        <v>0.0</v>
      </c>
      <c r="DN508" s="2">
        <v>0.0</v>
      </c>
      <c r="DO508" s="2">
        <v>0.0</v>
      </c>
      <c r="DP508" s="2">
        <v>0.0</v>
      </c>
      <c r="DQ508" s="2">
        <v>3.0</v>
      </c>
      <c r="DR508" s="2">
        <v>0.0</v>
      </c>
      <c r="DS508" s="2">
        <v>41.0</v>
      </c>
      <c r="DT508" s="2">
        <v>96.0</v>
      </c>
      <c r="DU508" s="2">
        <v>0.0</v>
      </c>
      <c r="DV508" s="2">
        <v>1.0</v>
      </c>
      <c r="DW508" s="2">
        <v>1.0</v>
      </c>
      <c r="DX508" s="2">
        <v>0.0</v>
      </c>
      <c r="DY508" s="2">
        <v>0.0</v>
      </c>
      <c r="DZ508" s="2">
        <v>1.0</v>
      </c>
      <c r="EA508" s="2">
        <v>7.0</v>
      </c>
      <c r="EB508" s="2">
        <v>0.0</v>
      </c>
      <c r="EC508" s="2">
        <v>89.0</v>
      </c>
      <c r="EE508" s="2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2">
        <v>2025.0</v>
      </c>
      <c r="B509" s="2">
        <v>17.0</v>
      </c>
      <c r="C509" s="2" t="s">
        <v>235</v>
      </c>
      <c r="D509" s="2" t="s">
        <v>390</v>
      </c>
      <c r="E509" s="2" t="s">
        <v>1162</v>
      </c>
      <c r="F509" s="2" t="s">
        <v>222</v>
      </c>
      <c r="G509" s="2">
        <v>22.0</v>
      </c>
      <c r="H509" s="2">
        <v>30.0</v>
      </c>
      <c r="I509" s="2">
        <v>207.0</v>
      </c>
      <c r="J509" s="2">
        <v>0.0</v>
      </c>
      <c r="K509" s="2">
        <v>0.0</v>
      </c>
      <c r="L509" s="2">
        <v>2.0</v>
      </c>
      <c r="M509" s="2">
        <v>-19.0</v>
      </c>
      <c r="N509" s="2">
        <v>0.0</v>
      </c>
      <c r="O509" s="2">
        <v>0.0</v>
      </c>
      <c r="P509" s="2">
        <v>157.0</v>
      </c>
      <c r="Q509" s="2">
        <v>121.0</v>
      </c>
      <c r="R509" s="2">
        <v>9.0</v>
      </c>
      <c r="S509" s="2">
        <v>2.98345338623146</v>
      </c>
      <c r="T509" s="2">
        <v>4.89984319127839</v>
      </c>
      <c r="U509" s="2">
        <v>0.0</v>
      </c>
      <c r="V509" s="2">
        <v>7.0</v>
      </c>
      <c r="W509" s="2">
        <v>4.0</v>
      </c>
      <c r="X509" s="2">
        <v>2.0</v>
      </c>
      <c r="Y509" s="2">
        <v>0.0</v>
      </c>
      <c r="Z509" s="2">
        <v>31.0</v>
      </c>
      <c r="AA509" s="2">
        <v>155.0</v>
      </c>
      <c r="AB509" s="2">
        <v>3.0</v>
      </c>
      <c r="AC509" s="2">
        <v>0.0</v>
      </c>
      <c r="AD509" s="2">
        <v>0.0</v>
      </c>
      <c r="AE509" s="2">
        <v>11.0</v>
      </c>
      <c r="AF509" s="2">
        <v>11.3699606237933</v>
      </c>
      <c r="AG509" s="2">
        <v>0.0</v>
      </c>
      <c r="AH509" s="2">
        <v>6.0</v>
      </c>
      <c r="AI509" s="2">
        <v>4.0</v>
      </c>
      <c r="AJ509" s="2">
        <v>2.0</v>
      </c>
      <c r="AK509" s="2">
        <v>0.0</v>
      </c>
      <c r="AL509" s="2">
        <v>22.0</v>
      </c>
      <c r="AM509" s="2">
        <v>29.0</v>
      </c>
      <c r="AN509" s="2">
        <v>207.0</v>
      </c>
      <c r="AO509" s="2">
        <v>0.0</v>
      </c>
      <c r="AP509" s="2">
        <v>0.0</v>
      </c>
      <c r="AQ509" s="2">
        <v>0.0</v>
      </c>
      <c r="AR509" s="2">
        <v>157.0</v>
      </c>
      <c r="AS509" s="2">
        <v>121.0</v>
      </c>
      <c r="AT509" s="2">
        <v>9.0</v>
      </c>
      <c r="AU509" s="2">
        <v>6.83770781452874</v>
      </c>
      <c r="AV509" s="2">
        <v>0.0</v>
      </c>
      <c r="AW509" s="2">
        <v>7.0</v>
      </c>
      <c r="AX509" s="2">
        <v>4.0</v>
      </c>
      <c r="AY509" s="2">
        <v>2.0</v>
      </c>
      <c r="AZ509" s="2">
        <v>0.0</v>
      </c>
      <c r="BA509" s="2">
        <v>1.0</v>
      </c>
      <c r="BB509" s="2">
        <v>34.0</v>
      </c>
      <c r="BC509" s="2">
        <v>2.0</v>
      </c>
      <c r="BD509" s="2">
        <v>28.0</v>
      </c>
      <c r="BE509" s="2">
        <v>9.0</v>
      </c>
      <c r="BF509" s="2">
        <v>40.0</v>
      </c>
      <c r="BG509" s="2">
        <v>0.0</v>
      </c>
      <c r="BH509" s="2">
        <v>4.0</v>
      </c>
      <c r="BI509" s="2">
        <v>24.0</v>
      </c>
      <c r="BJ509" s="2">
        <v>9.0</v>
      </c>
      <c r="BK509" s="2">
        <v>2.0</v>
      </c>
      <c r="BL509" s="2">
        <v>55.0</v>
      </c>
      <c r="BM509" s="2">
        <v>5.0</v>
      </c>
      <c r="BN509" s="2">
        <v>0.0</v>
      </c>
      <c r="BO509" s="2">
        <v>0.0</v>
      </c>
      <c r="BP509" s="2">
        <v>0.0</v>
      </c>
      <c r="BQ509" s="2">
        <v>0.0</v>
      </c>
      <c r="BR509" s="2">
        <v>0.0</v>
      </c>
      <c r="BS509" s="2">
        <v>0.0</v>
      </c>
      <c r="BT509" s="2">
        <v>0.0</v>
      </c>
      <c r="BU509" s="2">
        <v>0.0</v>
      </c>
      <c r="BV509" s="2">
        <v>0.0</v>
      </c>
      <c r="BW509" s="2">
        <v>8.0</v>
      </c>
      <c r="BX509" s="2">
        <v>58.0</v>
      </c>
      <c r="BY509" s="2">
        <v>1.0</v>
      </c>
      <c r="BZ509" s="2">
        <v>0.0</v>
      </c>
      <c r="CA509" s="2">
        <v>0.0</v>
      </c>
      <c r="CB509" s="2">
        <v>0.0</v>
      </c>
      <c r="CC509" s="2">
        <v>0.0</v>
      </c>
      <c r="CD509" s="2">
        <v>0.0</v>
      </c>
      <c r="CE509" s="2">
        <v>2.0</v>
      </c>
      <c r="CF509" s="2">
        <v>18.0</v>
      </c>
      <c r="CG509" s="2">
        <v>2.0</v>
      </c>
      <c r="CH509" s="2">
        <v>113.0</v>
      </c>
      <c r="CI509" s="2">
        <v>2.0</v>
      </c>
      <c r="CJ509" s="2">
        <v>2.0</v>
      </c>
      <c r="CK509" s="2">
        <v>0.0</v>
      </c>
      <c r="CL509" s="2">
        <v>0.0</v>
      </c>
      <c r="CM509" s="2">
        <v>32.0</v>
      </c>
      <c r="CN509" s="2">
        <v>1.0</v>
      </c>
      <c r="CO509" s="2">
        <v>0.0</v>
      </c>
      <c r="CP509" s="2">
        <v>1.0</v>
      </c>
      <c r="CQ509" s="2">
        <v>1.0</v>
      </c>
      <c r="CR509" s="2">
        <v>0.0</v>
      </c>
      <c r="CS509" s="2">
        <v>0.0</v>
      </c>
      <c r="CT509" s="2">
        <v>0.0</v>
      </c>
      <c r="CU509" s="2">
        <v>0.0</v>
      </c>
      <c r="CV509" s="2">
        <v>0.0</v>
      </c>
      <c r="CW509" s="2">
        <v>0.0</v>
      </c>
      <c r="CX509" s="2">
        <v>0.0</v>
      </c>
      <c r="CY509" s="2">
        <v>0.0</v>
      </c>
      <c r="CZ509" s="2">
        <v>0.0</v>
      </c>
      <c r="DA509" s="2" t="s">
        <v>2189</v>
      </c>
      <c r="DD509" s="2">
        <v>55.0</v>
      </c>
      <c r="DE509" s="2">
        <v>0.0</v>
      </c>
      <c r="DF509" s="2">
        <v>0.0</v>
      </c>
      <c r="DG509" s="2">
        <v>4.0</v>
      </c>
      <c r="DH509" s="2">
        <v>4.0</v>
      </c>
      <c r="DI509" s="2">
        <v>0.0</v>
      </c>
      <c r="DJ509" s="2">
        <v>0.0</v>
      </c>
      <c r="DK509" s="2">
        <v>1.0</v>
      </c>
      <c r="DL509" s="2">
        <v>0.0</v>
      </c>
      <c r="DM509" s="2">
        <v>0.0</v>
      </c>
      <c r="DN509" s="2">
        <v>0.0</v>
      </c>
      <c r="DO509" s="2">
        <v>0.0</v>
      </c>
      <c r="DP509" s="2">
        <v>0.0</v>
      </c>
      <c r="DQ509" s="2">
        <v>2.0</v>
      </c>
      <c r="DR509" s="2">
        <v>0.0</v>
      </c>
      <c r="DS509" s="2">
        <v>44.0</v>
      </c>
      <c r="DT509" s="2">
        <v>88.0</v>
      </c>
      <c r="DU509" s="2">
        <v>1.0</v>
      </c>
      <c r="DV509" s="2">
        <v>0.0</v>
      </c>
      <c r="DW509" s="2">
        <v>0.0</v>
      </c>
      <c r="DX509" s="2">
        <v>0.0</v>
      </c>
      <c r="DY509" s="2">
        <v>0.0</v>
      </c>
      <c r="DZ509" s="2">
        <v>2.0</v>
      </c>
      <c r="EA509" s="2">
        <v>1.0</v>
      </c>
      <c r="EB509" s="2">
        <v>0.0</v>
      </c>
      <c r="EC509" s="2">
        <v>87.0</v>
      </c>
      <c r="EE509" s="2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2">
        <v>2025.0</v>
      </c>
      <c r="B510" s="2">
        <v>17.0</v>
      </c>
      <c r="C510" s="2" t="s">
        <v>238</v>
      </c>
      <c r="D510" s="2" t="s">
        <v>390</v>
      </c>
      <c r="E510" s="2" t="s">
        <v>1166</v>
      </c>
      <c r="F510" s="2" t="s">
        <v>145</v>
      </c>
      <c r="G510" s="2">
        <v>20.0</v>
      </c>
      <c r="H510" s="2">
        <v>34.0</v>
      </c>
      <c r="I510" s="2">
        <v>155.0</v>
      </c>
      <c r="J510" s="2">
        <v>0.0</v>
      </c>
      <c r="K510" s="2">
        <v>1.0</v>
      </c>
      <c r="L510" s="2">
        <v>1.0</v>
      </c>
      <c r="M510" s="2">
        <v>-12.0</v>
      </c>
      <c r="N510" s="2">
        <v>0.0</v>
      </c>
      <c r="O510" s="2">
        <v>0.0</v>
      </c>
      <c r="P510" s="2">
        <v>150.0</v>
      </c>
      <c r="Q510" s="2">
        <v>98.0</v>
      </c>
      <c r="R510" s="2">
        <v>6.0</v>
      </c>
      <c r="S510" s="2">
        <v>-12.2993907788052</v>
      </c>
      <c r="T510" s="2">
        <v>-5.962891317904</v>
      </c>
      <c r="U510" s="2">
        <v>0.0</v>
      </c>
      <c r="V510" s="2">
        <v>5.0</v>
      </c>
      <c r="W510" s="2">
        <v>3.0</v>
      </c>
      <c r="X510" s="2">
        <v>1.0</v>
      </c>
      <c r="Y510" s="2">
        <v>0.0</v>
      </c>
      <c r="Z510" s="2">
        <v>28.0</v>
      </c>
      <c r="AA510" s="2">
        <v>164.0</v>
      </c>
      <c r="AB510" s="2">
        <v>1.0</v>
      </c>
      <c r="AC510" s="2">
        <v>0.0</v>
      </c>
      <c r="AD510" s="2">
        <v>0.0</v>
      </c>
      <c r="AE510" s="2">
        <v>7.0</v>
      </c>
      <c r="AF510" s="2">
        <v>-0.194025617965963</v>
      </c>
      <c r="AG510" s="2">
        <v>0.0</v>
      </c>
      <c r="AH510" s="2">
        <v>4.0</v>
      </c>
      <c r="AI510" s="2">
        <v>4.0</v>
      </c>
      <c r="AJ510" s="2">
        <v>1.0</v>
      </c>
      <c r="AK510" s="2">
        <v>1.0</v>
      </c>
      <c r="AL510" s="2">
        <v>20.0</v>
      </c>
      <c r="AM510" s="2">
        <v>32.0</v>
      </c>
      <c r="AN510" s="2">
        <v>155.0</v>
      </c>
      <c r="AO510" s="2">
        <v>0.0</v>
      </c>
      <c r="AP510" s="2">
        <v>0.0</v>
      </c>
      <c r="AQ510" s="2">
        <v>0.0</v>
      </c>
      <c r="AR510" s="2">
        <v>150.0</v>
      </c>
      <c r="AS510" s="2">
        <v>98.0</v>
      </c>
      <c r="AT510" s="2">
        <v>6.0</v>
      </c>
      <c r="AU510" s="2">
        <v>-10.0015050484664</v>
      </c>
      <c r="AV510" s="2">
        <v>0.0</v>
      </c>
      <c r="AW510" s="2">
        <v>5.0</v>
      </c>
      <c r="AX510" s="2">
        <v>3.0</v>
      </c>
      <c r="AY510" s="2">
        <v>1.0</v>
      </c>
      <c r="AZ510" s="2">
        <v>0.0</v>
      </c>
      <c r="BA510" s="2">
        <v>0.0</v>
      </c>
      <c r="BB510" s="2">
        <v>39.0</v>
      </c>
      <c r="BC510" s="2">
        <v>2.0</v>
      </c>
      <c r="BD510" s="2">
        <v>26.0</v>
      </c>
      <c r="BE510" s="2">
        <v>5.0</v>
      </c>
      <c r="BF510" s="2">
        <v>7.0</v>
      </c>
      <c r="BG510" s="2">
        <v>0.0</v>
      </c>
      <c r="BH510" s="2">
        <v>1.0</v>
      </c>
      <c r="BI510" s="2">
        <v>1.0</v>
      </c>
      <c r="BJ510" s="2">
        <v>3.0</v>
      </c>
      <c r="BK510" s="2">
        <v>0.0</v>
      </c>
      <c r="BL510" s="2">
        <v>0.0</v>
      </c>
      <c r="BM510" s="2">
        <v>2.0</v>
      </c>
      <c r="BN510" s="2">
        <v>0.0</v>
      </c>
      <c r="BO510" s="2">
        <v>0.0</v>
      </c>
      <c r="BP510" s="2">
        <v>0.0</v>
      </c>
      <c r="BQ510" s="2">
        <v>0.0</v>
      </c>
      <c r="BR510" s="2">
        <v>1.0</v>
      </c>
      <c r="BS510" s="2">
        <v>-1.0</v>
      </c>
      <c r="BT510" s="2">
        <v>0.0</v>
      </c>
      <c r="BU510" s="2">
        <v>0.0</v>
      </c>
      <c r="BV510" s="2">
        <v>0.0</v>
      </c>
      <c r="BW510" s="2">
        <v>5.0</v>
      </c>
      <c r="BX510" s="2">
        <v>53.0</v>
      </c>
      <c r="BY510" s="2">
        <v>4.0</v>
      </c>
      <c r="BZ510" s="2">
        <v>0.0</v>
      </c>
      <c r="CA510" s="2">
        <v>1.0</v>
      </c>
      <c r="CB510" s="2">
        <v>0.0</v>
      </c>
      <c r="CC510" s="2">
        <v>1.0</v>
      </c>
      <c r="CD510" s="2">
        <v>0.0</v>
      </c>
      <c r="CE510" s="2">
        <v>0.0</v>
      </c>
      <c r="CF510" s="2">
        <v>0.0</v>
      </c>
      <c r="CG510" s="2">
        <v>4.0</v>
      </c>
      <c r="CH510" s="2">
        <v>114.0</v>
      </c>
      <c r="CI510" s="2">
        <v>1.0</v>
      </c>
      <c r="CJ510" s="2">
        <v>1.0</v>
      </c>
      <c r="CK510" s="2">
        <v>0.0</v>
      </c>
      <c r="CL510" s="2">
        <v>0.0</v>
      </c>
      <c r="CM510" s="2">
        <v>39.0</v>
      </c>
      <c r="CN510" s="2">
        <v>1.0</v>
      </c>
      <c r="CO510" s="2">
        <v>0.0</v>
      </c>
      <c r="CP510" s="2">
        <v>0.0</v>
      </c>
      <c r="CQ510" s="2">
        <v>1.0</v>
      </c>
      <c r="CR510" s="2">
        <v>0.0</v>
      </c>
      <c r="CS510" s="2">
        <v>0.0</v>
      </c>
      <c r="CT510" s="2">
        <v>0.0</v>
      </c>
      <c r="CU510" s="2">
        <v>0.0</v>
      </c>
      <c r="CV510" s="2">
        <v>0.0</v>
      </c>
      <c r="CW510" s="2">
        <v>0.0</v>
      </c>
      <c r="CX510" s="2">
        <v>0.0</v>
      </c>
      <c r="CY510" s="2">
        <v>0.0</v>
      </c>
      <c r="CZ510" s="2">
        <v>0.0</v>
      </c>
      <c r="DA510" s="2" t="s">
        <v>2026</v>
      </c>
      <c r="DD510" s="2">
        <v>39.0</v>
      </c>
      <c r="DE510" s="2">
        <v>0.0</v>
      </c>
      <c r="DF510" s="2">
        <v>0.0</v>
      </c>
      <c r="DG510" s="2">
        <v>1.0</v>
      </c>
      <c r="DH510" s="2">
        <v>1.0</v>
      </c>
      <c r="DI510" s="2">
        <v>0.0</v>
      </c>
      <c r="DJ510" s="2">
        <v>0.0</v>
      </c>
      <c r="DK510" s="2">
        <v>1.0</v>
      </c>
      <c r="DL510" s="2">
        <v>0.0</v>
      </c>
      <c r="DM510" s="2">
        <v>0.0</v>
      </c>
      <c r="DN510" s="2">
        <v>0.0</v>
      </c>
      <c r="DO510" s="2">
        <v>0.0</v>
      </c>
      <c r="DP510" s="2">
        <v>0.0</v>
      </c>
      <c r="DQ510" s="2">
        <v>2.0</v>
      </c>
      <c r="DR510" s="2">
        <v>0.0</v>
      </c>
      <c r="DS510" s="2">
        <v>50.0</v>
      </c>
      <c r="DT510" s="2">
        <v>98.0</v>
      </c>
      <c r="DU510" s="2">
        <v>2.0</v>
      </c>
      <c r="DV510" s="2">
        <v>0.0</v>
      </c>
      <c r="DW510" s="2">
        <v>0.0</v>
      </c>
      <c r="DX510" s="2">
        <v>0.0</v>
      </c>
      <c r="DY510" s="2">
        <v>2.0</v>
      </c>
      <c r="DZ510" s="2">
        <v>0.0</v>
      </c>
      <c r="EA510" s="2">
        <v>0.0</v>
      </c>
      <c r="EB510" s="2">
        <v>0.0</v>
      </c>
      <c r="EC510" s="2">
        <v>98.0</v>
      </c>
      <c r="EE510" s="2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2">
        <v>2025.0</v>
      </c>
      <c r="B511" s="2">
        <v>17.0</v>
      </c>
      <c r="C511" s="2" t="s">
        <v>147</v>
      </c>
      <c r="D511" s="2" t="s">
        <v>390</v>
      </c>
      <c r="E511" s="2" t="s">
        <v>1170</v>
      </c>
      <c r="F511" s="2" t="s">
        <v>136</v>
      </c>
      <c r="G511" s="2">
        <v>13.0</v>
      </c>
      <c r="H511" s="2">
        <v>27.0</v>
      </c>
      <c r="I511" s="2">
        <v>110.0</v>
      </c>
      <c r="J511" s="2">
        <v>1.0</v>
      </c>
      <c r="K511" s="2">
        <v>0.0</v>
      </c>
      <c r="L511" s="2">
        <v>1.0</v>
      </c>
      <c r="M511" s="2">
        <v>-2.0</v>
      </c>
      <c r="N511" s="2">
        <v>0.0</v>
      </c>
      <c r="O511" s="2">
        <v>0.0</v>
      </c>
      <c r="P511" s="2">
        <v>258.0</v>
      </c>
      <c r="Q511" s="2">
        <v>30.0</v>
      </c>
      <c r="R511" s="2">
        <v>6.0</v>
      </c>
      <c r="S511" s="2">
        <v>-5.00383632252552</v>
      </c>
      <c r="T511" s="2">
        <v>-2.09939141165126</v>
      </c>
      <c r="U511" s="2">
        <v>0.0</v>
      </c>
      <c r="V511" s="2">
        <v>4.0</v>
      </c>
      <c r="W511" s="2">
        <v>2.0</v>
      </c>
      <c r="X511" s="2">
        <v>1.0</v>
      </c>
      <c r="Y511" s="2">
        <v>0.0</v>
      </c>
      <c r="Z511" s="2">
        <v>26.0</v>
      </c>
      <c r="AA511" s="2">
        <v>82.0</v>
      </c>
      <c r="AB511" s="2">
        <v>0.0</v>
      </c>
      <c r="AC511" s="2">
        <v>0.0</v>
      </c>
      <c r="AD511" s="2">
        <v>0.0</v>
      </c>
      <c r="AE511" s="2">
        <v>4.0</v>
      </c>
      <c r="AF511" s="2">
        <v>-1.72839623480104</v>
      </c>
      <c r="AG511" s="2">
        <v>0.0</v>
      </c>
      <c r="AH511" s="2">
        <v>2.0</v>
      </c>
      <c r="AI511" s="2">
        <v>1.0</v>
      </c>
      <c r="AJ511" s="2">
        <v>0.0</v>
      </c>
      <c r="AK511" s="2">
        <v>0.0</v>
      </c>
      <c r="AL511" s="2">
        <v>13.0</v>
      </c>
      <c r="AM511" s="2">
        <v>22.0</v>
      </c>
      <c r="AN511" s="2">
        <v>110.0</v>
      </c>
      <c r="AO511" s="2">
        <v>1.0</v>
      </c>
      <c r="AP511" s="2">
        <v>0.0</v>
      </c>
      <c r="AQ511" s="2">
        <v>0.0</v>
      </c>
      <c r="AR511" s="2">
        <v>258.0</v>
      </c>
      <c r="AS511" s="2">
        <v>30.0</v>
      </c>
      <c r="AT511" s="2">
        <v>6.0</v>
      </c>
      <c r="AU511" s="2">
        <v>0.999969460120419</v>
      </c>
      <c r="AV511" s="2">
        <v>0.0</v>
      </c>
      <c r="AW511" s="2">
        <v>4.0</v>
      </c>
      <c r="AX511" s="2">
        <v>2.0</v>
      </c>
      <c r="AY511" s="2">
        <v>1.0</v>
      </c>
      <c r="AZ511" s="2">
        <v>0.0</v>
      </c>
      <c r="BA511" s="2">
        <v>0.0</v>
      </c>
      <c r="BB511" s="2">
        <v>47.0</v>
      </c>
      <c r="BC511" s="2">
        <v>1.0</v>
      </c>
      <c r="BD511" s="2">
        <v>29.0</v>
      </c>
      <c r="BE511" s="2">
        <v>7.0</v>
      </c>
      <c r="BF511" s="2">
        <v>53.0</v>
      </c>
      <c r="BG511" s="2">
        <v>1.0</v>
      </c>
      <c r="BH511" s="2">
        <v>5.0</v>
      </c>
      <c r="BI511" s="2">
        <v>51.0</v>
      </c>
      <c r="BJ511" s="2">
        <v>6.0</v>
      </c>
      <c r="BK511" s="2">
        <v>0.0</v>
      </c>
      <c r="BL511" s="2">
        <v>0.0</v>
      </c>
      <c r="BM511" s="2">
        <v>3.0</v>
      </c>
      <c r="BN511" s="2">
        <v>0.0</v>
      </c>
      <c r="BO511" s="2">
        <v>0.0</v>
      </c>
      <c r="BP511" s="2">
        <v>0.0</v>
      </c>
      <c r="BQ511" s="2">
        <v>0.0</v>
      </c>
      <c r="BR511" s="2">
        <v>0.0</v>
      </c>
      <c r="BS511" s="2">
        <v>0.0</v>
      </c>
      <c r="BT511" s="2">
        <v>1.0</v>
      </c>
      <c r="BU511" s="2">
        <v>0.0</v>
      </c>
      <c r="BV511" s="2">
        <v>0.0</v>
      </c>
      <c r="BW511" s="2">
        <v>3.0</v>
      </c>
      <c r="BX511" s="2">
        <v>36.0</v>
      </c>
      <c r="BY511" s="2">
        <v>4.0</v>
      </c>
      <c r="BZ511" s="2">
        <v>0.0</v>
      </c>
      <c r="CA511" s="2">
        <v>0.0</v>
      </c>
      <c r="CB511" s="2">
        <v>0.0</v>
      </c>
      <c r="CC511" s="2">
        <v>0.0</v>
      </c>
      <c r="CD511" s="2">
        <v>0.0</v>
      </c>
      <c r="CE511" s="2">
        <v>1.0</v>
      </c>
      <c r="CF511" s="2">
        <v>8.0</v>
      </c>
      <c r="CG511" s="2">
        <v>2.0</v>
      </c>
      <c r="CH511" s="2">
        <v>49.0</v>
      </c>
      <c r="CI511" s="2">
        <v>2.0</v>
      </c>
      <c r="CJ511" s="2">
        <v>2.0</v>
      </c>
      <c r="CK511" s="2">
        <v>0.0</v>
      </c>
      <c r="CL511" s="2">
        <v>0.0</v>
      </c>
      <c r="CM511" s="2">
        <v>47.0</v>
      </c>
      <c r="CN511" s="2">
        <v>1.0</v>
      </c>
      <c r="CO511" s="2">
        <v>0.0</v>
      </c>
      <c r="CP511" s="2">
        <v>1.0</v>
      </c>
      <c r="CQ511" s="2">
        <v>0.0</v>
      </c>
      <c r="CR511" s="2">
        <v>1.0</v>
      </c>
      <c r="CS511" s="2">
        <v>0.0</v>
      </c>
      <c r="CT511" s="2">
        <v>0.0</v>
      </c>
      <c r="CU511" s="2">
        <v>0.0</v>
      </c>
      <c r="CV511" s="2">
        <v>0.0</v>
      </c>
      <c r="CW511" s="2">
        <v>0.0</v>
      </c>
      <c r="CX511" s="2">
        <v>0.0</v>
      </c>
      <c r="CY511" s="2">
        <v>0.0</v>
      </c>
      <c r="CZ511" s="2">
        <v>0.0</v>
      </c>
      <c r="DA511" s="2" t="s">
        <v>2276</v>
      </c>
      <c r="DD511" s="2">
        <v>75.0</v>
      </c>
      <c r="DE511" s="2">
        <v>0.0</v>
      </c>
      <c r="DF511" s="2">
        <v>0.0</v>
      </c>
      <c r="DG511" s="2">
        <v>1.0</v>
      </c>
      <c r="DH511" s="2">
        <v>1.0</v>
      </c>
      <c r="DI511" s="2">
        <v>0.0</v>
      </c>
      <c r="DJ511" s="2">
        <v>0.0</v>
      </c>
      <c r="DK511" s="2">
        <v>1.0</v>
      </c>
      <c r="DL511" s="2">
        <v>0.0</v>
      </c>
      <c r="DM511" s="2">
        <v>0.0</v>
      </c>
      <c r="DN511" s="2">
        <v>0.0</v>
      </c>
      <c r="DO511" s="2">
        <v>0.0</v>
      </c>
      <c r="DP511" s="2">
        <v>0.0</v>
      </c>
      <c r="DQ511" s="2">
        <v>7.0</v>
      </c>
      <c r="DR511" s="2">
        <v>0.0</v>
      </c>
      <c r="DS511" s="2">
        <v>65.0</v>
      </c>
      <c r="DT511" s="2">
        <v>388.0</v>
      </c>
      <c r="DU511" s="2">
        <v>2.0</v>
      </c>
      <c r="DV511" s="2">
        <v>1.0</v>
      </c>
      <c r="DW511" s="2">
        <v>1.0</v>
      </c>
      <c r="DX511" s="2">
        <v>1.0</v>
      </c>
      <c r="DY511" s="2">
        <v>1.0</v>
      </c>
      <c r="DZ511" s="2">
        <v>3.0</v>
      </c>
      <c r="EA511" s="2">
        <v>50.0</v>
      </c>
      <c r="EB511" s="2">
        <v>0.0</v>
      </c>
      <c r="EC511" s="2">
        <v>318.0</v>
      </c>
      <c r="EE511" s="2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2">
        <v>2025.0</v>
      </c>
      <c r="B512" s="2">
        <v>17.0</v>
      </c>
      <c r="C512" s="2" t="s">
        <v>242</v>
      </c>
      <c r="D512" s="2" t="s">
        <v>390</v>
      </c>
      <c r="E512" s="2" t="s">
        <v>1152</v>
      </c>
      <c r="F512" s="2" t="s">
        <v>196</v>
      </c>
      <c r="G512" s="2">
        <v>21.0</v>
      </c>
      <c r="H512" s="2">
        <v>39.0</v>
      </c>
      <c r="I512" s="2">
        <v>168.0</v>
      </c>
      <c r="J512" s="2">
        <v>0.0</v>
      </c>
      <c r="K512" s="2">
        <v>0.0</v>
      </c>
      <c r="L512" s="2">
        <v>2.0</v>
      </c>
      <c r="M512" s="2">
        <v>-8.0</v>
      </c>
      <c r="N512" s="2">
        <v>1.0</v>
      </c>
      <c r="O512" s="2">
        <v>0.0</v>
      </c>
      <c r="P512" s="2">
        <v>228.0</v>
      </c>
      <c r="Q512" s="2">
        <v>88.0</v>
      </c>
      <c r="R512" s="2">
        <v>9.0</v>
      </c>
      <c r="S512" s="2">
        <v>-12.2883411615241</v>
      </c>
      <c r="T512" s="2">
        <v>-9.12314895037058</v>
      </c>
      <c r="U512" s="2">
        <v>0.0</v>
      </c>
      <c r="V512" s="2">
        <v>7.0</v>
      </c>
      <c r="W512" s="2">
        <v>2.0</v>
      </c>
      <c r="X512" s="2">
        <v>2.0</v>
      </c>
      <c r="Y512" s="2">
        <v>0.0</v>
      </c>
      <c r="Z512" s="2">
        <v>24.0</v>
      </c>
      <c r="AA512" s="2">
        <v>131.0</v>
      </c>
      <c r="AB512" s="2">
        <v>0.0</v>
      </c>
      <c r="AC512" s="2">
        <v>1.0</v>
      </c>
      <c r="AD512" s="2">
        <v>0.0</v>
      </c>
      <c r="AE512" s="2">
        <v>5.0</v>
      </c>
      <c r="AF512" s="2">
        <v>-0.46160552528454</v>
      </c>
      <c r="AG512" s="2">
        <v>0.0</v>
      </c>
      <c r="AH512" s="2">
        <v>4.0</v>
      </c>
      <c r="AI512" s="2">
        <v>4.0</v>
      </c>
      <c r="AJ512" s="2">
        <v>1.0</v>
      </c>
      <c r="AK512" s="2">
        <v>0.0</v>
      </c>
      <c r="AL512" s="2">
        <v>21.0</v>
      </c>
      <c r="AM512" s="2">
        <v>37.0</v>
      </c>
      <c r="AN512" s="2">
        <v>168.0</v>
      </c>
      <c r="AO512" s="2">
        <v>0.0</v>
      </c>
      <c r="AP512" s="2">
        <v>1.0</v>
      </c>
      <c r="AQ512" s="2">
        <v>0.0</v>
      </c>
      <c r="AR512" s="2">
        <v>228.0</v>
      </c>
      <c r="AS512" s="2">
        <v>88.0</v>
      </c>
      <c r="AT512" s="2">
        <v>9.0</v>
      </c>
      <c r="AU512" s="2">
        <v>-9.9340360840322</v>
      </c>
      <c r="AV512" s="2">
        <v>0.0</v>
      </c>
      <c r="AW512" s="2">
        <v>7.0</v>
      </c>
      <c r="AX512" s="2">
        <v>2.0</v>
      </c>
      <c r="AY512" s="2">
        <v>2.0</v>
      </c>
      <c r="AZ512" s="2">
        <v>0.0</v>
      </c>
      <c r="BA512" s="2">
        <v>0.0</v>
      </c>
      <c r="BB512" s="2">
        <v>28.0</v>
      </c>
      <c r="BC512" s="2">
        <v>1.0</v>
      </c>
      <c r="BD512" s="2">
        <v>29.0</v>
      </c>
      <c r="BE512" s="2">
        <v>5.0</v>
      </c>
      <c r="BF512" s="2">
        <v>5.0</v>
      </c>
      <c r="BG512" s="2">
        <v>0.0</v>
      </c>
      <c r="BH512" s="2">
        <v>2.0</v>
      </c>
      <c r="BI512" s="2">
        <v>2.0</v>
      </c>
      <c r="BJ512" s="2">
        <v>4.0</v>
      </c>
      <c r="BK512" s="2">
        <v>2.0</v>
      </c>
      <c r="BL512" s="2">
        <v>27.0</v>
      </c>
      <c r="BM512" s="2">
        <v>4.0</v>
      </c>
      <c r="BN512" s="2">
        <v>0.0</v>
      </c>
      <c r="BO512" s="2">
        <v>0.0</v>
      </c>
      <c r="BP512" s="2">
        <v>0.0</v>
      </c>
      <c r="BQ512" s="2">
        <v>0.0</v>
      </c>
      <c r="BR512" s="2">
        <v>3.0</v>
      </c>
      <c r="BS512" s="2">
        <v>0.0</v>
      </c>
      <c r="BT512" s="2">
        <v>0.0</v>
      </c>
      <c r="BU512" s="2">
        <v>0.0</v>
      </c>
      <c r="BV512" s="2">
        <v>0.0</v>
      </c>
      <c r="BW512" s="2">
        <v>4.0</v>
      </c>
      <c r="BX512" s="2">
        <v>34.0</v>
      </c>
      <c r="BY512" s="2">
        <v>6.0</v>
      </c>
      <c r="BZ512" s="2">
        <v>3.0</v>
      </c>
      <c r="CA512" s="2">
        <v>0.0</v>
      </c>
      <c r="CB512" s="2">
        <v>0.0</v>
      </c>
      <c r="CC512" s="2">
        <v>3.0</v>
      </c>
      <c r="CD512" s="2">
        <v>0.0</v>
      </c>
      <c r="CE512" s="2">
        <v>2.0</v>
      </c>
      <c r="CF512" s="2">
        <v>34.0</v>
      </c>
      <c r="CG512" s="2">
        <v>2.0</v>
      </c>
      <c r="CH512" s="2">
        <v>46.0</v>
      </c>
      <c r="CI512" s="2">
        <v>2.0</v>
      </c>
      <c r="CJ512" s="2">
        <v>3.0</v>
      </c>
      <c r="CK512" s="2">
        <v>1.0</v>
      </c>
      <c r="CL512" s="2">
        <v>0.0</v>
      </c>
      <c r="CM512" s="2">
        <v>44.0</v>
      </c>
      <c r="CN512" s="2">
        <v>0.666666666666667</v>
      </c>
      <c r="CO512" s="2">
        <v>0.0</v>
      </c>
      <c r="CP512" s="2">
        <v>0.0</v>
      </c>
      <c r="CQ512" s="2">
        <v>0.0</v>
      </c>
      <c r="CR512" s="2">
        <v>2.0</v>
      </c>
      <c r="CS512" s="2">
        <v>0.0</v>
      </c>
      <c r="CT512" s="2">
        <v>0.0</v>
      </c>
      <c r="CU512" s="2">
        <v>0.0</v>
      </c>
      <c r="CV512" s="2">
        <v>0.0</v>
      </c>
      <c r="CW512" s="2">
        <v>0.0</v>
      </c>
      <c r="CX512" s="2">
        <v>0.0</v>
      </c>
      <c r="CY512" s="2">
        <v>1.0</v>
      </c>
      <c r="CZ512" s="2">
        <v>0.0</v>
      </c>
      <c r="DA512" s="2" t="s">
        <v>2277</v>
      </c>
      <c r="DB512" s="2" t="s">
        <v>2018</v>
      </c>
      <c r="DD512" s="2">
        <v>84.0</v>
      </c>
      <c r="DE512" s="2">
        <v>54.0</v>
      </c>
      <c r="DF512" s="2">
        <v>0.0</v>
      </c>
      <c r="DG512" s="2">
        <v>0.0</v>
      </c>
      <c r="DH512" s="2">
        <v>0.0</v>
      </c>
      <c r="DI512" s="2">
        <v>0.0</v>
      </c>
      <c r="DJ512" s="2">
        <v>0.0</v>
      </c>
      <c r="DL512" s="2">
        <v>0.0</v>
      </c>
      <c r="DM512" s="2">
        <v>0.0</v>
      </c>
      <c r="DN512" s="2">
        <v>0.0</v>
      </c>
      <c r="DO512" s="2">
        <v>0.0</v>
      </c>
      <c r="DP512" s="2">
        <v>0.0</v>
      </c>
      <c r="DQ512" s="2">
        <v>5.0</v>
      </c>
      <c r="DR512" s="2">
        <v>0.0</v>
      </c>
      <c r="DS512" s="2">
        <v>52.0</v>
      </c>
      <c r="DT512" s="2">
        <v>203.0</v>
      </c>
      <c r="DU512" s="2">
        <v>5.0</v>
      </c>
      <c r="DV512" s="2">
        <v>0.0</v>
      </c>
      <c r="DW512" s="2">
        <v>1.0</v>
      </c>
      <c r="DX512" s="2">
        <v>0.0</v>
      </c>
      <c r="DY512" s="2">
        <v>4.0</v>
      </c>
      <c r="DZ512" s="2">
        <v>0.0</v>
      </c>
      <c r="EA512" s="2">
        <v>0.0</v>
      </c>
      <c r="EB512" s="2">
        <v>0.0</v>
      </c>
      <c r="EC512" s="2">
        <v>203.0</v>
      </c>
      <c r="EE512" s="2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2">
        <v>2025.0</v>
      </c>
      <c r="B513" s="2">
        <v>17.0</v>
      </c>
      <c r="C513" s="2" t="s">
        <v>149</v>
      </c>
      <c r="D513" s="2" t="s">
        <v>390</v>
      </c>
      <c r="E513" s="2" t="s">
        <v>1147</v>
      </c>
      <c r="F513" s="2" t="s">
        <v>189</v>
      </c>
      <c r="G513" s="2">
        <v>18.0</v>
      </c>
      <c r="H513" s="2">
        <v>27.0</v>
      </c>
      <c r="I513" s="2">
        <v>147.0</v>
      </c>
      <c r="J513" s="2">
        <v>1.0</v>
      </c>
      <c r="K513" s="2">
        <v>1.0</v>
      </c>
      <c r="L513" s="2">
        <v>3.0</v>
      </c>
      <c r="M513" s="2">
        <v>-22.0</v>
      </c>
      <c r="N513" s="2">
        <v>1.0</v>
      </c>
      <c r="O513" s="2">
        <v>1.0</v>
      </c>
      <c r="P513" s="2">
        <v>141.0</v>
      </c>
      <c r="Q513" s="2">
        <v>73.0</v>
      </c>
      <c r="R513" s="2">
        <v>8.0</v>
      </c>
      <c r="S513" s="2">
        <v>-7.61429640866843</v>
      </c>
      <c r="T513" s="2">
        <v>0.747405909574949</v>
      </c>
      <c r="U513" s="2">
        <v>0.0</v>
      </c>
      <c r="V513" s="2">
        <v>7.0</v>
      </c>
      <c r="W513" s="2">
        <v>3.0</v>
      </c>
      <c r="X513" s="2">
        <v>0.0</v>
      </c>
      <c r="Y513" s="2">
        <v>0.0</v>
      </c>
      <c r="Z513" s="2">
        <v>36.0</v>
      </c>
      <c r="AA513" s="2">
        <v>163.0</v>
      </c>
      <c r="AB513" s="2">
        <v>2.0</v>
      </c>
      <c r="AC513" s="2">
        <v>0.0</v>
      </c>
      <c r="AD513" s="2">
        <v>0.0</v>
      </c>
      <c r="AE513" s="2">
        <v>9.0</v>
      </c>
      <c r="AF513" s="2">
        <v>0.38762353308266</v>
      </c>
      <c r="AG513" s="2">
        <v>0.0</v>
      </c>
      <c r="AH513" s="2">
        <v>5.0</v>
      </c>
      <c r="AI513" s="2">
        <v>4.0</v>
      </c>
      <c r="AJ513" s="2">
        <v>2.0</v>
      </c>
      <c r="AK513" s="2">
        <v>0.0</v>
      </c>
      <c r="AL513" s="2">
        <v>18.0</v>
      </c>
      <c r="AM513" s="2">
        <v>26.0</v>
      </c>
      <c r="AN513" s="2">
        <v>147.0</v>
      </c>
      <c r="AO513" s="2">
        <v>1.0</v>
      </c>
      <c r="AP513" s="2">
        <v>1.0</v>
      </c>
      <c r="AQ513" s="2">
        <v>0.0</v>
      </c>
      <c r="AR513" s="2">
        <v>141.0</v>
      </c>
      <c r="AS513" s="2">
        <v>73.0</v>
      </c>
      <c r="AT513" s="2">
        <v>8.0</v>
      </c>
      <c r="AU513" s="2">
        <v>4.43005363665727</v>
      </c>
      <c r="AV513" s="2">
        <v>0.0</v>
      </c>
      <c r="AW513" s="2">
        <v>7.0</v>
      </c>
      <c r="AX513" s="2">
        <v>3.0</v>
      </c>
      <c r="AY513" s="2">
        <v>0.0</v>
      </c>
      <c r="AZ513" s="2">
        <v>0.0</v>
      </c>
      <c r="BA513" s="2">
        <v>0.0</v>
      </c>
      <c r="BB513" s="2">
        <v>31.0</v>
      </c>
      <c r="BC513" s="2">
        <v>0.0</v>
      </c>
      <c r="BD513" s="2">
        <v>26.0</v>
      </c>
      <c r="BE513" s="2">
        <v>5.0</v>
      </c>
      <c r="BF513" s="2">
        <v>21.0</v>
      </c>
      <c r="BG513" s="2">
        <v>2.0</v>
      </c>
      <c r="BH513" s="2">
        <v>2.0</v>
      </c>
      <c r="BI513" s="2">
        <v>14.0</v>
      </c>
      <c r="BJ513" s="2">
        <v>4.0</v>
      </c>
      <c r="BK513" s="2">
        <v>1.0</v>
      </c>
      <c r="BL513" s="2">
        <v>26.0</v>
      </c>
      <c r="BM513" s="2">
        <v>3.0</v>
      </c>
      <c r="BN513" s="2">
        <v>0.0</v>
      </c>
      <c r="BO513" s="2">
        <v>0.0</v>
      </c>
      <c r="BP513" s="2">
        <v>0.0</v>
      </c>
      <c r="BQ513" s="2">
        <v>0.0</v>
      </c>
      <c r="BR513" s="2">
        <v>2.0</v>
      </c>
      <c r="BS513" s="2">
        <v>0.0</v>
      </c>
      <c r="BT513" s="2">
        <v>1.0</v>
      </c>
      <c r="BU513" s="2">
        <v>0.0</v>
      </c>
      <c r="BV513" s="2">
        <v>0.0</v>
      </c>
      <c r="BW513" s="2">
        <v>4.0</v>
      </c>
      <c r="BX513" s="2">
        <v>40.0</v>
      </c>
      <c r="BY513" s="2">
        <v>3.0</v>
      </c>
      <c r="BZ513" s="2">
        <v>1.0</v>
      </c>
      <c r="CA513" s="2">
        <v>2.0</v>
      </c>
      <c r="CB513" s="2">
        <v>0.0</v>
      </c>
      <c r="CC513" s="2">
        <v>3.0</v>
      </c>
      <c r="CD513" s="2">
        <v>1.0</v>
      </c>
      <c r="CE513" s="2">
        <v>1.0</v>
      </c>
      <c r="CF513" s="2">
        <v>13.0</v>
      </c>
      <c r="CG513" s="2">
        <v>2.0</v>
      </c>
      <c r="CH513" s="2">
        <v>54.0</v>
      </c>
      <c r="CI513" s="2">
        <v>2.0</v>
      </c>
      <c r="CJ513" s="2">
        <v>2.0</v>
      </c>
      <c r="CK513" s="2">
        <v>0.0</v>
      </c>
      <c r="CL513" s="2">
        <v>0.0</v>
      </c>
      <c r="CM513" s="2">
        <v>48.0</v>
      </c>
      <c r="CN513" s="2">
        <v>1.0</v>
      </c>
      <c r="CO513" s="2">
        <v>0.0</v>
      </c>
      <c r="CP513" s="2">
        <v>0.0</v>
      </c>
      <c r="CQ513" s="2">
        <v>1.0</v>
      </c>
      <c r="CR513" s="2">
        <v>1.0</v>
      </c>
      <c r="CS513" s="2">
        <v>0.0</v>
      </c>
      <c r="CT513" s="2">
        <v>0.0</v>
      </c>
      <c r="CU513" s="2">
        <v>0.0</v>
      </c>
      <c r="CV513" s="2">
        <v>0.0</v>
      </c>
      <c r="CW513" s="2">
        <v>0.0</v>
      </c>
      <c r="CX513" s="2">
        <v>0.0</v>
      </c>
      <c r="CY513" s="2">
        <v>0.0</v>
      </c>
      <c r="CZ513" s="2">
        <v>0.0</v>
      </c>
      <c r="DA513" s="2" t="s">
        <v>2278</v>
      </c>
      <c r="DD513" s="2">
        <v>78.0</v>
      </c>
      <c r="DE513" s="2">
        <v>0.0</v>
      </c>
      <c r="DF513" s="2">
        <v>0.0</v>
      </c>
      <c r="DG513" s="2">
        <v>3.0</v>
      </c>
      <c r="DH513" s="2">
        <v>3.0</v>
      </c>
      <c r="DI513" s="2">
        <v>0.0</v>
      </c>
      <c r="DJ513" s="2">
        <v>0.0</v>
      </c>
      <c r="DK513" s="2">
        <v>1.0</v>
      </c>
      <c r="DL513" s="2">
        <v>0.0</v>
      </c>
      <c r="DM513" s="2">
        <v>0.0</v>
      </c>
      <c r="DN513" s="2">
        <v>0.0</v>
      </c>
      <c r="DO513" s="2">
        <v>0.0</v>
      </c>
      <c r="DP513" s="2">
        <v>0.0</v>
      </c>
      <c r="DQ513" s="2">
        <v>2.0</v>
      </c>
      <c r="DR513" s="2">
        <v>0.0</v>
      </c>
      <c r="DS513" s="2">
        <v>53.0</v>
      </c>
      <c r="DT513" s="2">
        <v>88.0</v>
      </c>
      <c r="DU513" s="2">
        <v>0.0</v>
      </c>
      <c r="DV513" s="2">
        <v>1.0</v>
      </c>
      <c r="DW513" s="2">
        <v>0.0</v>
      </c>
      <c r="DX513" s="2">
        <v>0.0</v>
      </c>
      <c r="DY513" s="2">
        <v>1.0</v>
      </c>
      <c r="DZ513" s="2">
        <v>0.0</v>
      </c>
      <c r="EA513" s="2">
        <v>0.0</v>
      </c>
      <c r="EB513" s="2">
        <v>0.0</v>
      </c>
      <c r="EC513" s="2">
        <v>88.0</v>
      </c>
      <c r="EE513" s="2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2">
        <v>2025.0</v>
      </c>
      <c r="B514" s="2">
        <v>17.0</v>
      </c>
      <c r="C514" s="2" t="s">
        <v>246</v>
      </c>
      <c r="D514" s="2" t="s">
        <v>390</v>
      </c>
      <c r="E514" s="2" t="s">
        <v>1172</v>
      </c>
      <c r="F514" s="2" t="s">
        <v>137</v>
      </c>
      <c r="G514" s="2">
        <v>24.0</v>
      </c>
      <c r="H514" s="2">
        <v>33.0</v>
      </c>
      <c r="I514" s="2">
        <v>303.0</v>
      </c>
      <c r="J514" s="2">
        <v>3.0</v>
      </c>
      <c r="K514" s="2">
        <v>1.0</v>
      </c>
      <c r="L514" s="2">
        <v>1.0</v>
      </c>
      <c r="M514" s="2">
        <v>-7.0</v>
      </c>
      <c r="N514" s="2">
        <v>0.0</v>
      </c>
      <c r="O514" s="2">
        <v>0.0</v>
      </c>
      <c r="P514" s="2">
        <v>253.0</v>
      </c>
      <c r="Q514" s="2">
        <v>108.0</v>
      </c>
      <c r="R514" s="2">
        <v>17.0</v>
      </c>
      <c r="S514" s="2">
        <v>12.7213256027317</v>
      </c>
      <c r="T514" s="2">
        <v>5.03304916800875</v>
      </c>
      <c r="U514" s="2">
        <v>0.0</v>
      </c>
      <c r="V514" s="2">
        <v>12.0</v>
      </c>
      <c r="W514" s="2">
        <v>7.0</v>
      </c>
      <c r="X514" s="2">
        <v>5.0</v>
      </c>
      <c r="Y514" s="2">
        <v>0.0</v>
      </c>
      <c r="Z514" s="2">
        <v>34.0</v>
      </c>
      <c r="AA514" s="2">
        <v>200.0</v>
      </c>
      <c r="AB514" s="2">
        <v>3.0</v>
      </c>
      <c r="AC514" s="2">
        <v>0.0</v>
      </c>
      <c r="AD514" s="2">
        <v>0.0</v>
      </c>
      <c r="AE514" s="2">
        <v>13.0</v>
      </c>
      <c r="AF514" s="2">
        <v>6.65546554105822</v>
      </c>
      <c r="AG514" s="2">
        <v>0.0</v>
      </c>
      <c r="AH514" s="2">
        <v>6.0</v>
      </c>
      <c r="AI514" s="2">
        <v>4.0</v>
      </c>
      <c r="AJ514" s="2">
        <v>1.0</v>
      </c>
      <c r="AK514" s="2">
        <v>1.0</v>
      </c>
      <c r="AL514" s="2">
        <v>24.0</v>
      </c>
      <c r="AM514" s="2">
        <v>33.0</v>
      </c>
      <c r="AN514" s="2">
        <v>303.0</v>
      </c>
      <c r="AO514" s="2">
        <v>3.0</v>
      </c>
      <c r="AP514" s="2">
        <v>0.0</v>
      </c>
      <c r="AQ514" s="2">
        <v>0.0</v>
      </c>
      <c r="AR514" s="2">
        <v>253.0</v>
      </c>
      <c r="AS514" s="2">
        <v>108.0</v>
      </c>
      <c r="AT514" s="2">
        <v>17.0</v>
      </c>
      <c r="AU514" s="2">
        <v>13.9481669095112</v>
      </c>
      <c r="AV514" s="2">
        <v>0.0</v>
      </c>
      <c r="AW514" s="2">
        <v>12.0</v>
      </c>
      <c r="AX514" s="2">
        <v>7.0</v>
      </c>
      <c r="AY514" s="2">
        <v>5.0</v>
      </c>
      <c r="AZ514" s="2">
        <v>0.0</v>
      </c>
      <c r="BA514" s="2">
        <v>0.0</v>
      </c>
      <c r="BB514" s="2">
        <v>34.0</v>
      </c>
      <c r="BC514" s="2">
        <v>1.0</v>
      </c>
      <c r="BD514" s="2">
        <v>23.0</v>
      </c>
      <c r="BE514" s="2">
        <v>4.0</v>
      </c>
      <c r="BF514" s="2">
        <v>9.0</v>
      </c>
      <c r="BG514" s="2">
        <v>0.0</v>
      </c>
      <c r="BH514" s="2">
        <v>0.0</v>
      </c>
      <c r="BI514" s="2">
        <v>0.0</v>
      </c>
      <c r="BJ514" s="2">
        <v>3.0</v>
      </c>
      <c r="BK514" s="2">
        <v>0.0</v>
      </c>
      <c r="BL514" s="2">
        <v>0.0</v>
      </c>
      <c r="BM514" s="2">
        <v>5.0</v>
      </c>
      <c r="BN514" s="2">
        <v>0.0</v>
      </c>
      <c r="BO514" s="2">
        <v>0.0</v>
      </c>
      <c r="BP514" s="2">
        <v>0.0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5.0</v>
      </c>
      <c r="BX514" s="2">
        <v>55.0</v>
      </c>
      <c r="BY514" s="2">
        <v>4.0</v>
      </c>
      <c r="BZ514" s="2">
        <v>0.0</v>
      </c>
      <c r="CA514" s="2">
        <v>0.0</v>
      </c>
      <c r="CB514" s="2">
        <v>0.0</v>
      </c>
      <c r="CC514" s="2">
        <v>0.0</v>
      </c>
      <c r="CD514" s="2">
        <v>0.0</v>
      </c>
      <c r="CE514" s="2">
        <v>2.0</v>
      </c>
      <c r="CF514" s="2">
        <v>11.0</v>
      </c>
      <c r="CG514" s="2">
        <v>4.0</v>
      </c>
      <c r="CH514" s="2">
        <v>92.0</v>
      </c>
      <c r="CI514" s="2">
        <v>0.0</v>
      </c>
      <c r="CJ514" s="2">
        <v>0.0</v>
      </c>
      <c r="CK514" s="2">
        <v>0.0</v>
      </c>
      <c r="CL514" s="2">
        <v>0.0</v>
      </c>
      <c r="CO514" s="2">
        <v>0.0</v>
      </c>
      <c r="CP514" s="2">
        <v>0.0</v>
      </c>
      <c r="CQ514" s="2">
        <v>0.0</v>
      </c>
      <c r="CR514" s="2">
        <v>0.0</v>
      </c>
      <c r="CS514" s="2">
        <v>0.0</v>
      </c>
      <c r="CT514" s="2">
        <v>0.0</v>
      </c>
      <c r="CU514" s="2">
        <v>0.0</v>
      </c>
      <c r="CV514" s="2">
        <v>0.0</v>
      </c>
      <c r="CW514" s="2">
        <v>0.0</v>
      </c>
      <c r="CX514" s="2">
        <v>0.0</v>
      </c>
      <c r="CY514" s="2">
        <v>0.0</v>
      </c>
      <c r="CZ514" s="2">
        <v>0.0</v>
      </c>
      <c r="DD514" s="2">
        <v>0.0</v>
      </c>
      <c r="DE514" s="2">
        <v>0.0</v>
      </c>
      <c r="DF514" s="2">
        <v>0.0</v>
      </c>
      <c r="DG514" s="2">
        <v>6.0</v>
      </c>
      <c r="DH514" s="2">
        <v>6.0</v>
      </c>
      <c r="DI514" s="2">
        <v>0.0</v>
      </c>
      <c r="DJ514" s="2">
        <v>0.0</v>
      </c>
      <c r="DK514" s="2">
        <v>1.0</v>
      </c>
      <c r="DL514" s="2">
        <v>0.0</v>
      </c>
      <c r="DM514" s="2">
        <v>0.0</v>
      </c>
      <c r="DN514" s="2">
        <v>0.0</v>
      </c>
      <c r="DO514" s="2">
        <v>0.0</v>
      </c>
      <c r="DP514" s="2">
        <v>0.0</v>
      </c>
      <c r="DQ514" s="2">
        <v>2.0</v>
      </c>
      <c r="DR514" s="2">
        <v>0.0</v>
      </c>
      <c r="DS514" s="2">
        <v>49.0</v>
      </c>
      <c r="DT514" s="2">
        <v>81.0</v>
      </c>
      <c r="DU514" s="2">
        <v>2.0</v>
      </c>
      <c r="DV514" s="2">
        <v>0.0</v>
      </c>
      <c r="DW514" s="2">
        <v>0.0</v>
      </c>
      <c r="DX514" s="2">
        <v>0.0</v>
      </c>
      <c r="DY514" s="2">
        <v>2.0</v>
      </c>
      <c r="DZ514" s="2">
        <v>0.0</v>
      </c>
      <c r="EA514" s="2">
        <v>0.0</v>
      </c>
      <c r="EB514" s="2">
        <v>0.0</v>
      </c>
      <c r="EC514" s="2">
        <v>81.0</v>
      </c>
      <c r="EE514" s="2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2">
        <v>2025.0</v>
      </c>
      <c r="B515" s="2">
        <v>17.0</v>
      </c>
      <c r="C515" s="2" t="s">
        <v>150</v>
      </c>
      <c r="D515" s="2" t="s">
        <v>390</v>
      </c>
      <c r="E515" s="2" t="s">
        <v>1164</v>
      </c>
      <c r="F515" s="2" t="s">
        <v>225</v>
      </c>
      <c r="G515" s="2">
        <v>33.0</v>
      </c>
      <c r="H515" s="2">
        <v>44.0</v>
      </c>
      <c r="I515" s="2">
        <v>346.0</v>
      </c>
      <c r="J515" s="2">
        <v>2.0</v>
      </c>
      <c r="K515" s="2">
        <v>2.0</v>
      </c>
      <c r="L515" s="2">
        <v>3.0</v>
      </c>
      <c r="M515" s="2">
        <v>-19.0</v>
      </c>
      <c r="N515" s="2">
        <v>2.0</v>
      </c>
      <c r="O515" s="2">
        <v>1.0</v>
      </c>
      <c r="P515" s="2">
        <v>360.0</v>
      </c>
      <c r="Q515" s="2">
        <v>205.0</v>
      </c>
      <c r="R515" s="2">
        <v>14.0</v>
      </c>
      <c r="S515" s="2">
        <v>1.74522884231285</v>
      </c>
      <c r="T515" s="2">
        <v>9.29901247674769</v>
      </c>
      <c r="U515" s="2">
        <v>0.0</v>
      </c>
      <c r="V515" s="2">
        <v>11.0</v>
      </c>
      <c r="W515" s="2">
        <v>6.0</v>
      </c>
      <c r="X515" s="2">
        <v>3.0</v>
      </c>
      <c r="Y515" s="2">
        <v>1.0</v>
      </c>
      <c r="Z515" s="2">
        <v>16.0</v>
      </c>
      <c r="AA515" s="2">
        <v>53.0</v>
      </c>
      <c r="AB515" s="2">
        <v>0.0</v>
      </c>
      <c r="AC515" s="2">
        <v>0.0</v>
      </c>
      <c r="AD515" s="2">
        <v>0.0</v>
      </c>
      <c r="AE515" s="2">
        <v>5.0</v>
      </c>
      <c r="AF515" s="2">
        <v>0.464036125689745</v>
      </c>
      <c r="AG515" s="2">
        <v>0.0</v>
      </c>
      <c r="AH515" s="2">
        <v>2.0</v>
      </c>
      <c r="AI515" s="2">
        <v>1.0</v>
      </c>
      <c r="AJ515" s="2">
        <v>0.0</v>
      </c>
      <c r="AK515" s="2">
        <v>0.0</v>
      </c>
      <c r="AL515" s="2">
        <v>33.0</v>
      </c>
      <c r="AM515" s="2">
        <v>44.0</v>
      </c>
      <c r="AN515" s="2">
        <v>346.0</v>
      </c>
      <c r="AO515" s="2">
        <v>2.0</v>
      </c>
      <c r="AP515" s="2">
        <v>0.0</v>
      </c>
      <c r="AQ515" s="2">
        <v>0.0</v>
      </c>
      <c r="AR515" s="2">
        <v>360.0</v>
      </c>
      <c r="AS515" s="2">
        <v>205.0</v>
      </c>
      <c r="AT515" s="2">
        <v>14.0</v>
      </c>
      <c r="AU515" s="2">
        <v>9.26347588442818</v>
      </c>
      <c r="AV515" s="2">
        <v>0.0</v>
      </c>
      <c r="AW515" s="2">
        <v>11.0</v>
      </c>
      <c r="AX515" s="2">
        <v>6.0</v>
      </c>
      <c r="AY515" s="2">
        <v>3.0</v>
      </c>
      <c r="AZ515" s="2">
        <v>1.0</v>
      </c>
      <c r="BA515" s="2">
        <v>0.0</v>
      </c>
      <c r="BB515" s="2">
        <v>30.0</v>
      </c>
      <c r="BC515" s="2">
        <v>1.0</v>
      </c>
      <c r="BD515" s="2">
        <v>27.0</v>
      </c>
      <c r="BE515" s="2">
        <v>6.0</v>
      </c>
      <c r="BF515" s="2">
        <v>38.0</v>
      </c>
      <c r="BG515" s="2">
        <v>0.0</v>
      </c>
      <c r="BH515" s="2">
        <v>2.0</v>
      </c>
      <c r="BI515" s="2">
        <v>19.0</v>
      </c>
      <c r="BJ515" s="2">
        <v>3.0</v>
      </c>
      <c r="BK515" s="2">
        <v>0.0</v>
      </c>
      <c r="BL515" s="2">
        <v>0.0</v>
      </c>
      <c r="BM515" s="2">
        <v>3.0</v>
      </c>
      <c r="BN515" s="2">
        <v>0.0</v>
      </c>
      <c r="BO515" s="2">
        <v>0.0</v>
      </c>
      <c r="BP515" s="2">
        <v>0.0</v>
      </c>
      <c r="BQ515" s="2">
        <v>0.0</v>
      </c>
      <c r="BR515" s="2">
        <v>1.0</v>
      </c>
      <c r="BS515" s="2">
        <v>0.0</v>
      </c>
      <c r="BT515" s="2">
        <v>0.0</v>
      </c>
      <c r="BU515" s="2">
        <v>0.0</v>
      </c>
      <c r="BV515" s="2">
        <v>0.0</v>
      </c>
      <c r="BW515" s="2">
        <v>5.0</v>
      </c>
      <c r="BX515" s="2">
        <v>45.0</v>
      </c>
      <c r="BY515" s="2">
        <v>6.0</v>
      </c>
      <c r="BZ515" s="2">
        <v>1.0</v>
      </c>
      <c r="CA515" s="2">
        <v>1.0</v>
      </c>
      <c r="CB515" s="2">
        <v>0.0</v>
      </c>
      <c r="CC515" s="2">
        <v>2.0</v>
      </c>
      <c r="CD515" s="2">
        <v>1.0</v>
      </c>
      <c r="CE515" s="2">
        <v>2.0</v>
      </c>
      <c r="CF515" s="2">
        <v>27.0</v>
      </c>
      <c r="CG515" s="2">
        <v>3.0</v>
      </c>
      <c r="CH515" s="2">
        <v>75.0</v>
      </c>
      <c r="CI515" s="2">
        <v>1.0</v>
      </c>
      <c r="CJ515" s="2">
        <v>2.0</v>
      </c>
      <c r="CK515" s="2">
        <v>0.0</v>
      </c>
      <c r="CL515" s="2">
        <v>1.0</v>
      </c>
      <c r="CM515" s="2">
        <v>33.0</v>
      </c>
      <c r="CN515" s="2">
        <v>0.5</v>
      </c>
      <c r="CO515" s="2">
        <v>0.0</v>
      </c>
      <c r="CP515" s="2">
        <v>0.0</v>
      </c>
      <c r="CQ515" s="2">
        <v>1.0</v>
      </c>
      <c r="CR515" s="2">
        <v>0.0</v>
      </c>
      <c r="CS515" s="2">
        <v>0.0</v>
      </c>
      <c r="CT515" s="2">
        <v>0.0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0.0</v>
      </c>
      <c r="DA515" s="2" t="s">
        <v>2056</v>
      </c>
      <c r="DC515" s="2" t="s">
        <v>2002</v>
      </c>
      <c r="DD515" s="2">
        <v>33.0</v>
      </c>
      <c r="DE515" s="2">
        <v>0.0</v>
      </c>
      <c r="DF515" s="2">
        <v>55.0</v>
      </c>
      <c r="DG515" s="2">
        <v>2.0</v>
      </c>
      <c r="DH515" s="2">
        <v>2.0</v>
      </c>
      <c r="DI515" s="2">
        <v>0.0</v>
      </c>
      <c r="DJ515" s="2">
        <v>0.0</v>
      </c>
      <c r="DK515" s="2">
        <v>1.0</v>
      </c>
      <c r="DL515" s="2">
        <v>0.0</v>
      </c>
      <c r="DM515" s="2">
        <v>0.0</v>
      </c>
      <c r="DN515" s="2">
        <v>0.0</v>
      </c>
      <c r="DO515" s="2">
        <v>0.0</v>
      </c>
      <c r="DP515" s="2">
        <v>0.0</v>
      </c>
      <c r="DQ515" s="2">
        <v>3.0</v>
      </c>
      <c r="DR515" s="2">
        <v>0.0</v>
      </c>
      <c r="DS515" s="2">
        <v>58.0</v>
      </c>
      <c r="DT515" s="2">
        <v>126.0</v>
      </c>
      <c r="DU515" s="2">
        <v>2.0</v>
      </c>
      <c r="DV515" s="2">
        <v>0.0</v>
      </c>
      <c r="DW515" s="2">
        <v>2.0</v>
      </c>
      <c r="DX515" s="2">
        <v>0.0</v>
      </c>
      <c r="DY515" s="2">
        <v>1.0</v>
      </c>
      <c r="DZ515" s="2">
        <v>0.0</v>
      </c>
      <c r="EA515" s="2">
        <v>0.0</v>
      </c>
      <c r="EB515" s="2">
        <v>0.0</v>
      </c>
      <c r="EC515" s="2">
        <v>126.0</v>
      </c>
      <c r="EE515" s="2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2">
        <v>2025.0</v>
      </c>
      <c r="B516" s="2">
        <v>17.0</v>
      </c>
      <c r="C516" s="2" t="s">
        <v>250</v>
      </c>
      <c r="D516" s="2" t="s">
        <v>390</v>
      </c>
      <c r="E516" s="2" t="s">
        <v>1168</v>
      </c>
      <c r="F516" s="2" t="s">
        <v>232</v>
      </c>
      <c r="G516" s="2">
        <v>21.0</v>
      </c>
      <c r="H516" s="2">
        <v>40.0</v>
      </c>
      <c r="I516" s="2">
        <v>251.0</v>
      </c>
      <c r="J516" s="2">
        <v>2.0</v>
      </c>
      <c r="K516" s="2">
        <v>0.0</v>
      </c>
      <c r="L516" s="2">
        <v>4.0</v>
      </c>
      <c r="M516" s="2">
        <v>-23.0</v>
      </c>
      <c r="N516" s="2">
        <v>1.0</v>
      </c>
      <c r="O516" s="2">
        <v>1.0</v>
      </c>
      <c r="P516" s="2">
        <v>373.0</v>
      </c>
      <c r="Q516" s="2">
        <v>82.0</v>
      </c>
      <c r="R516" s="2">
        <v>12.0</v>
      </c>
      <c r="S516" s="2">
        <v>-8.58679033683069</v>
      </c>
      <c r="T516" s="2">
        <v>-0.292186439037323</v>
      </c>
      <c r="U516" s="2">
        <v>0.0</v>
      </c>
      <c r="V516" s="2">
        <v>8.0</v>
      </c>
      <c r="W516" s="2">
        <v>4.0</v>
      </c>
      <c r="X516" s="2">
        <v>4.0</v>
      </c>
      <c r="Y516" s="2">
        <v>1.0</v>
      </c>
      <c r="Z516" s="2">
        <v>28.0</v>
      </c>
      <c r="AA516" s="2">
        <v>108.0</v>
      </c>
      <c r="AB516" s="2">
        <v>0.0</v>
      </c>
      <c r="AC516" s="2">
        <v>0.0</v>
      </c>
      <c r="AD516" s="2">
        <v>0.0</v>
      </c>
      <c r="AE516" s="2">
        <v>5.0</v>
      </c>
      <c r="AF516" s="2">
        <v>-4.42975004241453</v>
      </c>
      <c r="AG516" s="2">
        <v>0.0</v>
      </c>
      <c r="AH516" s="2">
        <v>2.0</v>
      </c>
      <c r="AI516" s="2">
        <v>1.0</v>
      </c>
      <c r="AJ516" s="2">
        <v>1.0</v>
      </c>
      <c r="AK516" s="2">
        <v>0.0</v>
      </c>
      <c r="AL516" s="2">
        <v>21.0</v>
      </c>
      <c r="AM516" s="2">
        <v>35.0</v>
      </c>
      <c r="AN516" s="2">
        <v>251.0</v>
      </c>
      <c r="AO516" s="2">
        <v>2.0</v>
      </c>
      <c r="AP516" s="2">
        <v>0.0</v>
      </c>
      <c r="AQ516" s="2">
        <v>0.0</v>
      </c>
      <c r="AR516" s="2">
        <v>373.0</v>
      </c>
      <c r="AS516" s="2">
        <v>82.0</v>
      </c>
      <c r="AT516" s="2">
        <v>12.0</v>
      </c>
      <c r="AU516" s="2">
        <v>9.82152122064348</v>
      </c>
      <c r="AV516" s="2">
        <v>0.0</v>
      </c>
      <c r="AW516" s="2">
        <v>8.0</v>
      </c>
      <c r="AX516" s="2">
        <v>4.0</v>
      </c>
      <c r="AY516" s="2">
        <v>4.0</v>
      </c>
      <c r="AZ516" s="2">
        <v>1.0</v>
      </c>
      <c r="BA516" s="2">
        <v>0.0</v>
      </c>
      <c r="BB516" s="2">
        <v>40.0</v>
      </c>
      <c r="BC516" s="2">
        <v>1.0</v>
      </c>
      <c r="BD516" s="2">
        <v>21.0</v>
      </c>
      <c r="BE516" s="2">
        <v>4.0</v>
      </c>
      <c r="BF516" s="2">
        <v>13.0</v>
      </c>
      <c r="BG516" s="2">
        <v>2.0</v>
      </c>
      <c r="BH516" s="2">
        <v>2.0</v>
      </c>
      <c r="BI516" s="2">
        <v>13.0</v>
      </c>
      <c r="BJ516" s="2">
        <v>6.0</v>
      </c>
      <c r="BK516" s="2">
        <v>0.0</v>
      </c>
      <c r="BL516" s="2">
        <v>0.0</v>
      </c>
      <c r="BM516" s="2">
        <v>1.0</v>
      </c>
      <c r="BN516" s="2">
        <v>0.0</v>
      </c>
      <c r="BO516" s="2">
        <v>0.0</v>
      </c>
      <c r="BP516" s="2">
        <v>0.0</v>
      </c>
      <c r="BQ516" s="2">
        <v>0.0</v>
      </c>
      <c r="BR516" s="2">
        <v>1.0</v>
      </c>
      <c r="BS516" s="2">
        <v>0.0</v>
      </c>
      <c r="BT516" s="2">
        <v>1.0</v>
      </c>
      <c r="BU516" s="2">
        <v>0.0</v>
      </c>
      <c r="BV516" s="2">
        <v>0.0</v>
      </c>
      <c r="BW516" s="2">
        <v>4.0</v>
      </c>
      <c r="BX516" s="2">
        <v>35.0</v>
      </c>
      <c r="BY516" s="2">
        <v>3.0</v>
      </c>
      <c r="BZ516" s="2">
        <v>2.0</v>
      </c>
      <c r="CA516" s="2">
        <v>0.0</v>
      </c>
      <c r="CB516" s="2">
        <v>0.0</v>
      </c>
      <c r="CC516" s="2">
        <v>2.0</v>
      </c>
      <c r="CD516" s="2">
        <v>1.0</v>
      </c>
      <c r="CE516" s="2">
        <v>1.0</v>
      </c>
      <c r="CF516" s="2">
        <v>7.0</v>
      </c>
      <c r="CG516" s="2">
        <v>1.0</v>
      </c>
      <c r="CH516" s="2">
        <v>33.0</v>
      </c>
      <c r="CI516" s="2">
        <v>4.0</v>
      </c>
      <c r="CJ516" s="2">
        <v>4.0</v>
      </c>
      <c r="CK516" s="2">
        <v>0.0</v>
      </c>
      <c r="CL516" s="2">
        <v>0.0</v>
      </c>
      <c r="CM516" s="2">
        <v>58.0</v>
      </c>
      <c r="CN516" s="2">
        <v>1.0</v>
      </c>
      <c r="CO516" s="2">
        <v>0.0</v>
      </c>
      <c r="CP516" s="2">
        <v>1.0</v>
      </c>
      <c r="CQ516" s="2">
        <v>1.0</v>
      </c>
      <c r="CR516" s="2">
        <v>0.0</v>
      </c>
      <c r="CS516" s="2">
        <v>2.0</v>
      </c>
      <c r="CT516" s="2">
        <v>0.0</v>
      </c>
      <c r="CU516" s="2">
        <v>0.0</v>
      </c>
      <c r="CV516" s="2">
        <v>0.0</v>
      </c>
      <c r="CW516" s="2">
        <v>0.0</v>
      </c>
      <c r="CX516" s="2">
        <v>0.0</v>
      </c>
      <c r="CY516" s="2">
        <v>0.0</v>
      </c>
      <c r="CZ516" s="2">
        <v>0.0</v>
      </c>
      <c r="DA516" s="2" t="s">
        <v>2279</v>
      </c>
      <c r="DD516" s="2">
        <v>174.0</v>
      </c>
      <c r="DE516" s="2">
        <v>0.0</v>
      </c>
      <c r="DF516" s="2">
        <v>0.0</v>
      </c>
      <c r="DG516" s="2">
        <v>2.0</v>
      </c>
      <c r="DH516" s="2">
        <v>2.0</v>
      </c>
      <c r="DI516" s="2">
        <v>0.0</v>
      </c>
      <c r="DJ516" s="2">
        <v>0.0</v>
      </c>
      <c r="DK516" s="2">
        <v>1.0</v>
      </c>
      <c r="DL516" s="2">
        <v>0.0</v>
      </c>
      <c r="DM516" s="2">
        <v>0.0</v>
      </c>
      <c r="DN516" s="2">
        <v>0.0</v>
      </c>
      <c r="DO516" s="2">
        <v>0.0</v>
      </c>
      <c r="DP516" s="2">
        <v>0.0</v>
      </c>
      <c r="DQ516" s="2">
        <v>3.0</v>
      </c>
      <c r="DR516" s="2">
        <v>0.0</v>
      </c>
      <c r="DS516" s="2">
        <v>61.0</v>
      </c>
      <c r="DT516" s="2">
        <v>151.0</v>
      </c>
      <c r="DU516" s="2">
        <v>0.0</v>
      </c>
      <c r="DV516" s="2">
        <v>0.0</v>
      </c>
      <c r="DW516" s="2">
        <v>0.0</v>
      </c>
      <c r="DX516" s="2">
        <v>1.0</v>
      </c>
      <c r="DY516" s="2">
        <v>0.0</v>
      </c>
      <c r="DZ516" s="2">
        <v>2.0</v>
      </c>
      <c r="EA516" s="2">
        <v>22.0</v>
      </c>
      <c r="EB516" s="2">
        <v>0.0</v>
      </c>
      <c r="EC516" s="2">
        <v>109.0</v>
      </c>
      <c r="EE516" s="2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2">
        <v>2025.0</v>
      </c>
      <c r="B517" s="2">
        <v>17.0</v>
      </c>
      <c r="C517" s="2" t="s">
        <v>253</v>
      </c>
      <c r="D517" s="2" t="s">
        <v>390</v>
      </c>
      <c r="E517" s="2" t="s">
        <v>1136</v>
      </c>
      <c r="F517" s="2" t="s">
        <v>146</v>
      </c>
      <c r="G517" s="2">
        <v>15.0</v>
      </c>
      <c r="H517" s="2">
        <v>23.0</v>
      </c>
      <c r="I517" s="2">
        <v>198.0</v>
      </c>
      <c r="J517" s="2">
        <v>0.0</v>
      </c>
      <c r="K517" s="2">
        <v>0.0</v>
      </c>
      <c r="L517" s="2">
        <v>2.0</v>
      </c>
      <c r="M517" s="2">
        <v>-8.0</v>
      </c>
      <c r="N517" s="2">
        <v>0.0</v>
      </c>
      <c r="O517" s="2">
        <v>0.0</v>
      </c>
      <c r="P517" s="2">
        <v>167.0</v>
      </c>
      <c r="Q517" s="2">
        <v>98.0</v>
      </c>
      <c r="R517" s="2">
        <v>10.0</v>
      </c>
      <c r="S517" s="2">
        <v>3.36841740839437</v>
      </c>
      <c r="T517" s="2">
        <v>4.83795674074264</v>
      </c>
      <c r="U517" s="2">
        <v>0.0</v>
      </c>
      <c r="V517" s="2">
        <v>9.0</v>
      </c>
      <c r="W517" s="2">
        <v>4.0</v>
      </c>
      <c r="X517" s="2">
        <v>2.0</v>
      </c>
      <c r="Y517" s="2">
        <v>1.0</v>
      </c>
      <c r="Z517" s="2">
        <v>16.0</v>
      </c>
      <c r="AA517" s="2">
        <v>138.0</v>
      </c>
      <c r="AB517" s="2">
        <v>2.0</v>
      </c>
      <c r="AC517" s="2">
        <v>0.0</v>
      </c>
      <c r="AD517" s="2">
        <v>0.0</v>
      </c>
      <c r="AE517" s="2">
        <v>4.0</v>
      </c>
      <c r="AF517" s="2">
        <v>3.45417875359999</v>
      </c>
      <c r="AG517" s="2">
        <v>0.0</v>
      </c>
      <c r="AH517" s="2">
        <v>4.0</v>
      </c>
      <c r="AI517" s="2">
        <v>3.0</v>
      </c>
      <c r="AJ517" s="2">
        <v>2.0</v>
      </c>
      <c r="AK517" s="2">
        <v>1.0</v>
      </c>
      <c r="AL517" s="2">
        <v>15.0</v>
      </c>
      <c r="AM517" s="2">
        <v>21.0</v>
      </c>
      <c r="AN517" s="2">
        <v>198.0</v>
      </c>
      <c r="AO517" s="2">
        <v>0.0</v>
      </c>
      <c r="AP517" s="2">
        <v>0.0</v>
      </c>
      <c r="AQ517" s="2">
        <v>0.0</v>
      </c>
      <c r="AR517" s="2">
        <v>167.0</v>
      </c>
      <c r="AS517" s="2">
        <v>98.0</v>
      </c>
      <c r="AT517" s="2">
        <v>10.0</v>
      </c>
      <c r="AU517" s="2">
        <v>7.96186775162445</v>
      </c>
      <c r="AV517" s="2">
        <v>0.0</v>
      </c>
      <c r="AW517" s="2">
        <v>9.0</v>
      </c>
      <c r="AX517" s="2">
        <v>4.0</v>
      </c>
      <c r="AY517" s="2">
        <v>2.0</v>
      </c>
      <c r="AZ517" s="2">
        <v>1.0</v>
      </c>
      <c r="BA517" s="2">
        <v>0.0</v>
      </c>
      <c r="BB517" s="2">
        <v>45.0</v>
      </c>
      <c r="BC517" s="2">
        <v>0.0</v>
      </c>
      <c r="BD517" s="2">
        <v>50.0</v>
      </c>
      <c r="BE517" s="2">
        <v>4.0</v>
      </c>
      <c r="BF517" s="2">
        <v>21.0</v>
      </c>
      <c r="BG517" s="2">
        <v>0.0</v>
      </c>
      <c r="BH517" s="2">
        <v>6.0</v>
      </c>
      <c r="BI517" s="2">
        <v>38.0</v>
      </c>
      <c r="BJ517" s="2">
        <v>11.0</v>
      </c>
      <c r="BK517" s="2">
        <v>0.0</v>
      </c>
      <c r="BL517" s="2">
        <v>0.0</v>
      </c>
      <c r="BM517" s="2">
        <v>8.0</v>
      </c>
      <c r="BN517" s="2">
        <v>0.0</v>
      </c>
      <c r="BO517" s="2">
        <v>0.0</v>
      </c>
      <c r="BP517" s="2">
        <v>0.0</v>
      </c>
      <c r="BQ517" s="2">
        <v>0.0</v>
      </c>
      <c r="BR517" s="2">
        <v>0.0</v>
      </c>
      <c r="BS517" s="2">
        <v>0.0</v>
      </c>
      <c r="BT517" s="2">
        <v>0.0</v>
      </c>
      <c r="BU517" s="2">
        <v>0.0</v>
      </c>
      <c r="BV517" s="2">
        <v>0.0</v>
      </c>
      <c r="BW517" s="2">
        <v>10.0</v>
      </c>
      <c r="BX517" s="2">
        <v>71.0</v>
      </c>
      <c r="BY517" s="2">
        <v>6.0</v>
      </c>
      <c r="BZ517" s="2">
        <v>0.0</v>
      </c>
      <c r="CA517" s="2">
        <v>0.0</v>
      </c>
      <c r="CB517" s="2">
        <v>0.0</v>
      </c>
      <c r="CC517" s="2">
        <v>0.0</v>
      </c>
      <c r="CD517" s="2">
        <v>0.0</v>
      </c>
      <c r="CE517" s="2">
        <v>1.0</v>
      </c>
      <c r="CF517" s="2">
        <v>0.0</v>
      </c>
      <c r="CG517" s="2">
        <v>5.0</v>
      </c>
      <c r="CH517" s="2">
        <v>123.0</v>
      </c>
      <c r="CI517" s="2">
        <v>3.0</v>
      </c>
      <c r="CJ517" s="2">
        <v>3.0</v>
      </c>
      <c r="CK517" s="2">
        <v>0.0</v>
      </c>
      <c r="CL517" s="2">
        <v>0.0</v>
      </c>
      <c r="CM517" s="2">
        <v>51.0</v>
      </c>
      <c r="CN517" s="2">
        <v>1.0</v>
      </c>
      <c r="CO517" s="2">
        <v>0.0</v>
      </c>
      <c r="CP517" s="2">
        <v>2.0</v>
      </c>
      <c r="CQ517" s="2">
        <v>0.0</v>
      </c>
      <c r="CR517" s="2">
        <v>0.0</v>
      </c>
      <c r="CS517" s="2">
        <v>1.0</v>
      </c>
      <c r="CT517" s="2">
        <v>0.0</v>
      </c>
      <c r="CU517" s="2">
        <v>0.0</v>
      </c>
      <c r="CV517" s="2">
        <v>0.0</v>
      </c>
      <c r="CW517" s="2">
        <v>0.0</v>
      </c>
      <c r="CX517" s="2">
        <v>0.0</v>
      </c>
      <c r="CY517" s="2">
        <v>0.0</v>
      </c>
      <c r="CZ517" s="2">
        <v>0.0</v>
      </c>
      <c r="DA517" s="2" t="s">
        <v>2280</v>
      </c>
      <c r="DD517" s="2">
        <v>103.0</v>
      </c>
      <c r="DE517" s="2">
        <v>0.0</v>
      </c>
      <c r="DF517" s="2">
        <v>0.0</v>
      </c>
      <c r="DG517" s="2">
        <v>2.0</v>
      </c>
      <c r="DH517" s="2">
        <v>2.0</v>
      </c>
      <c r="DI517" s="2">
        <v>0.0</v>
      </c>
      <c r="DJ517" s="2">
        <v>0.0</v>
      </c>
      <c r="DK517" s="2">
        <v>1.0</v>
      </c>
      <c r="DL517" s="2">
        <v>0.0</v>
      </c>
      <c r="DM517" s="2">
        <v>0.0</v>
      </c>
      <c r="DN517" s="2">
        <v>0.0</v>
      </c>
      <c r="DO517" s="2">
        <v>0.0</v>
      </c>
      <c r="DP517" s="2">
        <v>0.0</v>
      </c>
      <c r="DQ517" s="2">
        <v>3.0</v>
      </c>
      <c r="DR517" s="2">
        <v>0.0</v>
      </c>
      <c r="DS517" s="2">
        <v>53.0</v>
      </c>
      <c r="DT517" s="2">
        <v>130.0</v>
      </c>
      <c r="DU517" s="2">
        <v>3.0</v>
      </c>
      <c r="DV517" s="2">
        <v>0.0</v>
      </c>
      <c r="DW517" s="2">
        <v>1.0</v>
      </c>
      <c r="DX517" s="2">
        <v>0.0</v>
      </c>
      <c r="DY517" s="2">
        <v>2.0</v>
      </c>
      <c r="DZ517" s="2">
        <v>0.0</v>
      </c>
      <c r="EA517" s="2">
        <v>0.0</v>
      </c>
      <c r="EB517" s="2">
        <v>0.0</v>
      </c>
      <c r="EC517" s="2">
        <v>130.0</v>
      </c>
      <c r="EE517" s="2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2">
        <v>2025.0</v>
      </c>
      <c r="B518" s="2">
        <v>18.0</v>
      </c>
      <c r="C518" s="2" t="s">
        <v>178</v>
      </c>
      <c r="D518" s="2" t="s">
        <v>390</v>
      </c>
      <c r="E518" s="2" t="s">
        <v>1198</v>
      </c>
      <c r="F518" s="2" t="s">
        <v>142</v>
      </c>
      <c r="G518" s="2">
        <v>23.0</v>
      </c>
      <c r="H518" s="2">
        <v>32.0</v>
      </c>
      <c r="I518" s="2">
        <v>271.0</v>
      </c>
      <c r="J518" s="2">
        <v>2.0</v>
      </c>
      <c r="K518" s="2">
        <v>1.0</v>
      </c>
      <c r="L518" s="2">
        <v>6.0</v>
      </c>
      <c r="M518" s="2">
        <v>-33.0</v>
      </c>
      <c r="N518" s="2">
        <v>1.0</v>
      </c>
      <c r="O518" s="2">
        <v>1.0</v>
      </c>
      <c r="P518" s="2">
        <v>251.0</v>
      </c>
      <c r="Q518" s="2">
        <v>110.0</v>
      </c>
      <c r="R518" s="2">
        <v>13.0</v>
      </c>
      <c r="S518" s="2">
        <v>1.31425860718659</v>
      </c>
      <c r="T518" s="2">
        <v>14.1673177480698</v>
      </c>
      <c r="U518" s="2">
        <v>0.0</v>
      </c>
      <c r="V518" s="2">
        <v>10.0</v>
      </c>
      <c r="W518" s="2">
        <v>5.0</v>
      </c>
      <c r="X518" s="2">
        <v>5.0</v>
      </c>
      <c r="Y518" s="2">
        <v>1.0</v>
      </c>
      <c r="Z518" s="2">
        <v>15.0</v>
      </c>
      <c r="AA518" s="2">
        <v>79.0</v>
      </c>
      <c r="AB518" s="2">
        <v>0.0</v>
      </c>
      <c r="AC518" s="2">
        <v>0.0</v>
      </c>
      <c r="AD518" s="2">
        <v>0.0</v>
      </c>
      <c r="AE518" s="2">
        <v>4.0</v>
      </c>
      <c r="AF518" s="2">
        <v>0.603684667847119</v>
      </c>
      <c r="AG518" s="2">
        <v>0.0</v>
      </c>
      <c r="AH518" s="2">
        <v>3.0</v>
      </c>
      <c r="AI518" s="2">
        <v>2.0</v>
      </c>
      <c r="AJ518" s="2">
        <v>0.0</v>
      </c>
      <c r="AK518" s="2">
        <v>0.0</v>
      </c>
      <c r="AL518" s="2">
        <v>23.0</v>
      </c>
      <c r="AM518" s="2">
        <v>28.0</v>
      </c>
      <c r="AN518" s="2">
        <v>271.0</v>
      </c>
      <c r="AO518" s="2">
        <v>2.0</v>
      </c>
      <c r="AP518" s="2">
        <v>0.0</v>
      </c>
      <c r="AQ518" s="2">
        <v>0.0</v>
      </c>
      <c r="AR518" s="2">
        <v>251.0</v>
      </c>
      <c r="AS518" s="2">
        <v>110.0</v>
      </c>
      <c r="AT518" s="2">
        <v>13.0</v>
      </c>
      <c r="AU518" s="2">
        <v>16.5971969022648</v>
      </c>
      <c r="AV518" s="2">
        <v>0.0</v>
      </c>
      <c r="AW518" s="2">
        <v>10.0</v>
      </c>
      <c r="AX518" s="2">
        <v>5.0</v>
      </c>
      <c r="AY518" s="2">
        <v>5.0</v>
      </c>
      <c r="AZ518" s="2">
        <v>1.0</v>
      </c>
      <c r="BA518" s="2">
        <v>0.0</v>
      </c>
      <c r="BB518" s="2">
        <v>37.0</v>
      </c>
      <c r="BC518" s="2">
        <v>2.0</v>
      </c>
      <c r="BD518" s="2">
        <v>36.0</v>
      </c>
      <c r="BE518" s="2">
        <v>4.0</v>
      </c>
      <c r="BF518" s="2">
        <v>10.0</v>
      </c>
      <c r="BG518" s="2">
        <v>0.0</v>
      </c>
      <c r="BH518" s="2">
        <v>1.0</v>
      </c>
      <c r="BI518" s="2">
        <v>7.0</v>
      </c>
      <c r="BJ518" s="2">
        <v>4.0</v>
      </c>
      <c r="BK518" s="2">
        <v>0.0</v>
      </c>
      <c r="BL518" s="2">
        <v>0.0</v>
      </c>
      <c r="BM518" s="2">
        <v>4.0</v>
      </c>
      <c r="BN518" s="2">
        <v>0.0</v>
      </c>
      <c r="BO518" s="2">
        <v>0.0</v>
      </c>
      <c r="BP518" s="2">
        <v>0.0</v>
      </c>
      <c r="BQ518" s="2">
        <v>0.0</v>
      </c>
      <c r="BR518" s="2">
        <v>0.0</v>
      </c>
      <c r="BS518" s="2">
        <v>0.0</v>
      </c>
      <c r="BT518" s="2">
        <v>0.0</v>
      </c>
      <c r="BU518" s="2">
        <v>0.0</v>
      </c>
      <c r="BV518" s="2">
        <v>0.0</v>
      </c>
      <c r="BW518" s="2">
        <v>6.0</v>
      </c>
      <c r="BX518" s="2">
        <v>45.0</v>
      </c>
      <c r="BY518" s="2">
        <v>5.0</v>
      </c>
      <c r="BZ518" s="2">
        <v>1.0</v>
      </c>
      <c r="CA518" s="2">
        <v>0.0</v>
      </c>
      <c r="CB518" s="2">
        <v>0.0</v>
      </c>
      <c r="CC518" s="2">
        <v>1.0</v>
      </c>
      <c r="CD518" s="2">
        <v>1.0</v>
      </c>
      <c r="CE518" s="2">
        <v>2.0</v>
      </c>
      <c r="CF518" s="2">
        <v>27.0</v>
      </c>
      <c r="CG518" s="2">
        <v>3.0</v>
      </c>
      <c r="CH518" s="2">
        <v>49.0</v>
      </c>
      <c r="CI518" s="2">
        <v>2.0</v>
      </c>
      <c r="CJ518" s="2">
        <v>2.0</v>
      </c>
      <c r="CK518" s="2">
        <v>0.0</v>
      </c>
      <c r="CL518" s="2">
        <v>0.0</v>
      </c>
      <c r="CM518" s="2">
        <v>56.0</v>
      </c>
      <c r="CN518" s="2">
        <v>1.0</v>
      </c>
      <c r="CO518" s="2">
        <v>0.0</v>
      </c>
      <c r="CP518" s="2">
        <v>0.0</v>
      </c>
      <c r="CQ518" s="2">
        <v>0.0</v>
      </c>
      <c r="CR518" s="2">
        <v>1.0</v>
      </c>
      <c r="CS518" s="2">
        <v>1.0</v>
      </c>
      <c r="CT518" s="2">
        <v>0.0</v>
      </c>
      <c r="CU518" s="2">
        <v>0.0</v>
      </c>
      <c r="CV518" s="2">
        <v>0.0</v>
      </c>
      <c r="CW518" s="2">
        <v>0.0</v>
      </c>
      <c r="CX518" s="2">
        <v>0.0</v>
      </c>
      <c r="CY518" s="2">
        <v>0.0</v>
      </c>
      <c r="CZ518" s="2">
        <v>0.0</v>
      </c>
      <c r="DA518" s="2" t="s">
        <v>2281</v>
      </c>
      <c r="DD518" s="2">
        <v>101.0</v>
      </c>
      <c r="DE518" s="2">
        <v>0.0</v>
      </c>
      <c r="DF518" s="2">
        <v>0.0</v>
      </c>
      <c r="DG518" s="2">
        <v>2.0</v>
      </c>
      <c r="DH518" s="2">
        <v>2.0</v>
      </c>
      <c r="DI518" s="2">
        <v>0.0</v>
      </c>
      <c r="DJ518" s="2">
        <v>0.0</v>
      </c>
      <c r="DK518" s="2">
        <v>1.0</v>
      </c>
      <c r="DL518" s="2">
        <v>0.0</v>
      </c>
      <c r="DM518" s="2">
        <v>0.0</v>
      </c>
      <c r="DN518" s="2">
        <v>0.0</v>
      </c>
      <c r="DO518" s="2">
        <v>0.0</v>
      </c>
      <c r="DP518" s="2">
        <v>0.0</v>
      </c>
      <c r="DQ518" s="2">
        <v>2.0</v>
      </c>
      <c r="DR518" s="2">
        <v>0.0</v>
      </c>
      <c r="DS518" s="2">
        <v>57.0</v>
      </c>
      <c r="DT518" s="2">
        <v>109.0</v>
      </c>
      <c r="DU518" s="2">
        <v>1.0</v>
      </c>
      <c r="DV518" s="2">
        <v>0.0</v>
      </c>
      <c r="DW518" s="2">
        <v>0.0</v>
      </c>
      <c r="DX518" s="2">
        <v>0.0</v>
      </c>
      <c r="DY518" s="2">
        <v>1.0</v>
      </c>
      <c r="DZ518" s="2">
        <v>1.0</v>
      </c>
      <c r="EA518" s="2">
        <v>9.0</v>
      </c>
      <c r="EB518" s="2">
        <v>0.0</v>
      </c>
      <c r="EC518" s="2">
        <v>100.0</v>
      </c>
      <c r="EE518" s="2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2">
        <v>2025.0</v>
      </c>
      <c r="B519" s="2">
        <v>18.0</v>
      </c>
      <c r="C519" s="2" t="s">
        <v>132</v>
      </c>
      <c r="D519" s="2" t="s">
        <v>390</v>
      </c>
      <c r="E519" s="2" t="s">
        <v>1177</v>
      </c>
      <c r="F519" s="2" t="s">
        <v>232</v>
      </c>
      <c r="G519" s="2">
        <v>18.0</v>
      </c>
      <c r="H519" s="2">
        <v>32.0</v>
      </c>
      <c r="I519" s="2">
        <v>180.0</v>
      </c>
      <c r="J519" s="2">
        <v>1.0</v>
      </c>
      <c r="K519" s="2">
        <v>1.0</v>
      </c>
      <c r="L519" s="2">
        <v>4.0</v>
      </c>
      <c r="M519" s="2">
        <v>-21.0</v>
      </c>
      <c r="N519" s="2">
        <v>0.0</v>
      </c>
      <c r="O519" s="2">
        <v>0.0</v>
      </c>
      <c r="P519" s="2">
        <v>221.0</v>
      </c>
      <c r="Q519" s="2">
        <v>71.0</v>
      </c>
      <c r="R519" s="2">
        <v>11.0</v>
      </c>
      <c r="S519" s="2">
        <v>-5.5532181065601</v>
      </c>
      <c r="T519" s="2">
        <v>-6.60364041725795</v>
      </c>
      <c r="U519" s="2">
        <v>0.0</v>
      </c>
      <c r="V519" s="2">
        <v>9.0</v>
      </c>
      <c r="W519" s="2">
        <v>1.0</v>
      </c>
      <c r="X519" s="2">
        <v>1.0</v>
      </c>
      <c r="Y519" s="2">
        <v>0.0</v>
      </c>
      <c r="Z519" s="2">
        <v>25.0</v>
      </c>
      <c r="AA519" s="2">
        <v>49.0</v>
      </c>
      <c r="AB519" s="2">
        <v>0.0</v>
      </c>
      <c r="AC519" s="2">
        <v>0.0</v>
      </c>
      <c r="AD519" s="2">
        <v>0.0</v>
      </c>
      <c r="AE519" s="2">
        <v>2.0</v>
      </c>
      <c r="AF519" s="2">
        <v>-10.255539907697</v>
      </c>
      <c r="AG519" s="2">
        <v>0.0</v>
      </c>
      <c r="AH519" s="2">
        <v>1.0</v>
      </c>
      <c r="AI519" s="2">
        <v>1.0</v>
      </c>
      <c r="AJ519" s="2">
        <v>0.0</v>
      </c>
      <c r="AK519" s="2">
        <v>0.0</v>
      </c>
      <c r="AL519" s="2">
        <v>18.0</v>
      </c>
      <c r="AM519" s="2">
        <v>30.0</v>
      </c>
      <c r="AN519" s="2">
        <v>180.0</v>
      </c>
      <c r="AO519" s="2">
        <v>1.0</v>
      </c>
      <c r="AP519" s="2">
        <v>0.0</v>
      </c>
      <c r="AQ519" s="2">
        <v>0.0</v>
      </c>
      <c r="AR519" s="2">
        <v>221.0</v>
      </c>
      <c r="AS519" s="2">
        <v>71.0</v>
      </c>
      <c r="AT519" s="2">
        <v>11.0</v>
      </c>
      <c r="AU519" s="2">
        <v>1.71357802587313</v>
      </c>
      <c r="AV519" s="2">
        <v>0.0</v>
      </c>
      <c r="AW519" s="2">
        <v>9.0</v>
      </c>
      <c r="AX519" s="2">
        <v>1.0</v>
      </c>
      <c r="AY519" s="2">
        <v>1.0</v>
      </c>
      <c r="AZ519" s="2">
        <v>0.0</v>
      </c>
      <c r="BA519" s="2">
        <v>0.0</v>
      </c>
      <c r="BB519" s="2">
        <v>35.0</v>
      </c>
      <c r="BC519" s="2">
        <v>1.0</v>
      </c>
      <c r="BD519" s="2">
        <v>43.0</v>
      </c>
      <c r="BE519" s="2">
        <v>6.0</v>
      </c>
      <c r="BF519" s="2">
        <v>29.0</v>
      </c>
      <c r="BG519" s="2">
        <v>1.0</v>
      </c>
      <c r="BH519" s="2">
        <v>4.0</v>
      </c>
      <c r="BI519" s="2">
        <v>27.0</v>
      </c>
      <c r="BJ519" s="2">
        <v>4.0</v>
      </c>
      <c r="BK519" s="2">
        <v>1.0</v>
      </c>
      <c r="BL519" s="2">
        <v>59.0</v>
      </c>
      <c r="BM519" s="2">
        <v>8.0</v>
      </c>
      <c r="BN519" s="2">
        <v>0.0</v>
      </c>
      <c r="BO519" s="2">
        <v>0.0</v>
      </c>
      <c r="BP519" s="2">
        <v>0.0</v>
      </c>
      <c r="BQ519" s="2">
        <v>3.0</v>
      </c>
      <c r="BR519" s="2">
        <v>0.0</v>
      </c>
      <c r="BS519" s="2">
        <v>0.0</v>
      </c>
      <c r="BT519" s="2">
        <v>1.0</v>
      </c>
      <c r="BU519" s="2">
        <v>5.0</v>
      </c>
      <c r="BV519" s="2">
        <v>0.0</v>
      </c>
      <c r="BW519" s="2">
        <v>5.0</v>
      </c>
      <c r="BX519" s="2">
        <v>42.0</v>
      </c>
      <c r="BY519" s="2">
        <v>3.0</v>
      </c>
      <c r="BZ519" s="2">
        <v>0.0</v>
      </c>
      <c r="CA519" s="2">
        <v>0.0</v>
      </c>
      <c r="CB519" s="2">
        <v>0.0</v>
      </c>
      <c r="CC519" s="2">
        <v>0.0</v>
      </c>
      <c r="CD519" s="2">
        <v>0.0</v>
      </c>
      <c r="CE519" s="2">
        <v>3.0</v>
      </c>
      <c r="CF519" s="2">
        <v>26.0</v>
      </c>
      <c r="CG519" s="2">
        <v>3.0</v>
      </c>
      <c r="CH519" s="2">
        <v>73.0</v>
      </c>
      <c r="CI519" s="2">
        <v>4.0</v>
      </c>
      <c r="CJ519" s="2">
        <v>4.0</v>
      </c>
      <c r="CK519" s="2">
        <v>0.0</v>
      </c>
      <c r="CL519" s="2">
        <v>0.0</v>
      </c>
      <c r="CM519" s="2">
        <v>51.0</v>
      </c>
      <c r="CN519" s="2">
        <v>1.0</v>
      </c>
      <c r="CO519" s="2">
        <v>0.0</v>
      </c>
      <c r="CP519" s="2">
        <v>0.0</v>
      </c>
      <c r="CQ519" s="2">
        <v>2.0</v>
      </c>
      <c r="CR519" s="2">
        <v>1.0</v>
      </c>
      <c r="CS519" s="2">
        <v>1.0</v>
      </c>
      <c r="CT519" s="2">
        <v>0.0</v>
      </c>
      <c r="CU519" s="2">
        <v>0.0</v>
      </c>
      <c r="CV519" s="2">
        <v>0.0</v>
      </c>
      <c r="CW519" s="2">
        <v>0.0</v>
      </c>
      <c r="CX519" s="2">
        <v>0.0</v>
      </c>
      <c r="CY519" s="2">
        <v>0.0</v>
      </c>
      <c r="CZ519" s="2">
        <v>0.0</v>
      </c>
      <c r="DA519" s="2" t="s">
        <v>2282</v>
      </c>
      <c r="DD519" s="2">
        <v>167.0</v>
      </c>
      <c r="DE519" s="2">
        <v>0.0</v>
      </c>
      <c r="DF519" s="2">
        <v>0.0</v>
      </c>
      <c r="DG519" s="2">
        <v>1.0</v>
      </c>
      <c r="DH519" s="2">
        <v>1.0</v>
      </c>
      <c r="DI519" s="2">
        <v>0.0</v>
      </c>
      <c r="DJ519" s="2">
        <v>0.0</v>
      </c>
      <c r="DK519" s="2">
        <v>1.0</v>
      </c>
      <c r="DL519" s="2">
        <v>0.0</v>
      </c>
      <c r="DM519" s="2">
        <v>0.0</v>
      </c>
      <c r="DN519" s="2">
        <v>0.0</v>
      </c>
      <c r="DO519" s="2">
        <v>0.0</v>
      </c>
      <c r="DP519" s="2">
        <v>0.0</v>
      </c>
      <c r="DQ519" s="2">
        <v>4.0</v>
      </c>
      <c r="DR519" s="2">
        <v>0.0</v>
      </c>
      <c r="DS519" s="2">
        <v>69.0</v>
      </c>
      <c r="DT519" s="2">
        <v>229.0</v>
      </c>
      <c r="DU519" s="2">
        <v>2.0</v>
      </c>
      <c r="DV519" s="2">
        <v>0.0</v>
      </c>
      <c r="DW519" s="2">
        <v>1.0</v>
      </c>
      <c r="DX519" s="2">
        <v>0.0</v>
      </c>
      <c r="DY519" s="2">
        <v>0.0</v>
      </c>
      <c r="DZ519" s="2">
        <v>3.0</v>
      </c>
      <c r="EA519" s="2">
        <v>28.0</v>
      </c>
      <c r="EB519" s="2">
        <v>0.0</v>
      </c>
      <c r="EC519" s="2">
        <v>201.0</v>
      </c>
      <c r="EE519" s="2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2">
        <v>2025.0</v>
      </c>
      <c r="B520" s="2">
        <v>18.0</v>
      </c>
      <c r="C520" s="2" t="s">
        <v>148</v>
      </c>
      <c r="D520" s="2" t="s">
        <v>390</v>
      </c>
      <c r="E520" s="2" t="s">
        <v>1214</v>
      </c>
      <c r="F520" s="2" t="s">
        <v>242</v>
      </c>
      <c r="G520" s="2">
        <v>11.0</v>
      </c>
      <c r="H520" s="2">
        <v>18.0</v>
      </c>
      <c r="I520" s="2">
        <v>238.0</v>
      </c>
      <c r="J520" s="2">
        <v>3.0</v>
      </c>
      <c r="K520" s="2">
        <v>1.0</v>
      </c>
      <c r="L520" s="2">
        <v>3.0</v>
      </c>
      <c r="M520" s="2">
        <v>-16.0</v>
      </c>
      <c r="N520" s="2">
        <v>0.0</v>
      </c>
      <c r="O520" s="2">
        <v>0.0</v>
      </c>
      <c r="P520" s="2">
        <v>177.0</v>
      </c>
      <c r="Q520" s="2">
        <v>91.0</v>
      </c>
      <c r="R520" s="2">
        <v>5.0</v>
      </c>
      <c r="S520" s="2">
        <v>8.69968816711329</v>
      </c>
      <c r="T520" s="2">
        <v>2.57767920984941</v>
      </c>
      <c r="U520" s="2">
        <v>0.0</v>
      </c>
      <c r="V520" s="2">
        <v>5.0</v>
      </c>
      <c r="W520" s="2">
        <v>4.0</v>
      </c>
      <c r="X520" s="2">
        <v>4.0</v>
      </c>
      <c r="Y520" s="2">
        <v>2.0</v>
      </c>
      <c r="Z520" s="2">
        <v>27.0</v>
      </c>
      <c r="AA520" s="2">
        <v>137.0</v>
      </c>
      <c r="AB520" s="2">
        <v>0.0</v>
      </c>
      <c r="AC520" s="2">
        <v>0.0</v>
      </c>
      <c r="AD520" s="2">
        <v>0.0</v>
      </c>
      <c r="AE520" s="2">
        <v>6.0</v>
      </c>
      <c r="AF520" s="2">
        <v>-1.84044685067406</v>
      </c>
      <c r="AG520" s="2">
        <v>0.0</v>
      </c>
      <c r="AH520" s="2">
        <v>3.0</v>
      </c>
      <c r="AI520" s="2">
        <v>3.0</v>
      </c>
      <c r="AJ520" s="2">
        <v>2.0</v>
      </c>
      <c r="AK520" s="2">
        <v>1.0</v>
      </c>
      <c r="AL520" s="2">
        <v>11.0</v>
      </c>
      <c r="AM520" s="2">
        <v>17.0</v>
      </c>
      <c r="AN520" s="2">
        <v>238.0</v>
      </c>
      <c r="AO520" s="2">
        <v>3.0</v>
      </c>
      <c r="AP520" s="2">
        <v>0.0</v>
      </c>
      <c r="AQ520" s="2">
        <v>0.0</v>
      </c>
      <c r="AR520" s="2">
        <v>177.0</v>
      </c>
      <c r="AS520" s="2">
        <v>91.0</v>
      </c>
      <c r="AT520" s="2">
        <v>5.0</v>
      </c>
      <c r="AU520" s="2">
        <v>13.5065475766314</v>
      </c>
      <c r="AV520" s="2">
        <v>0.0</v>
      </c>
      <c r="AW520" s="2">
        <v>5.0</v>
      </c>
      <c r="AX520" s="2">
        <v>4.0</v>
      </c>
      <c r="AY520" s="2">
        <v>4.0</v>
      </c>
      <c r="AZ520" s="2">
        <v>2.0</v>
      </c>
      <c r="BA520" s="2">
        <v>0.0</v>
      </c>
      <c r="BB520" s="2">
        <v>42.0</v>
      </c>
      <c r="BC520" s="2">
        <v>1.0</v>
      </c>
      <c r="BD520" s="2">
        <v>35.0</v>
      </c>
      <c r="BE520" s="2">
        <v>3.0</v>
      </c>
      <c r="BF520" s="2">
        <v>6.0</v>
      </c>
      <c r="BG520" s="2">
        <v>0.0</v>
      </c>
      <c r="BH520" s="2">
        <v>2.0</v>
      </c>
      <c r="BI520" s="2">
        <v>4.0</v>
      </c>
      <c r="BJ520" s="2">
        <v>3.0</v>
      </c>
      <c r="BK520" s="2">
        <v>0.0</v>
      </c>
      <c r="BL520" s="2">
        <v>0.0</v>
      </c>
      <c r="BM520" s="2">
        <v>5.0</v>
      </c>
      <c r="BN520" s="2">
        <v>0.0</v>
      </c>
      <c r="BO520" s="2">
        <v>0.0</v>
      </c>
      <c r="BP520" s="2">
        <v>0.0</v>
      </c>
      <c r="BQ520" s="2">
        <v>0.0</v>
      </c>
      <c r="BR520" s="2">
        <v>0.0</v>
      </c>
      <c r="BS520" s="2">
        <v>0.0</v>
      </c>
      <c r="BT520" s="2">
        <v>0.0</v>
      </c>
      <c r="BU520" s="2">
        <v>0.0</v>
      </c>
      <c r="BV520" s="2">
        <v>0.0</v>
      </c>
      <c r="BW520" s="2">
        <v>9.0</v>
      </c>
      <c r="BX520" s="2">
        <v>78.0</v>
      </c>
      <c r="BY520" s="2">
        <v>3.0</v>
      </c>
      <c r="BZ520" s="2">
        <v>0.0</v>
      </c>
      <c r="CA520" s="2">
        <v>0.0</v>
      </c>
      <c r="CB520" s="2">
        <v>0.0</v>
      </c>
      <c r="CC520" s="2">
        <v>0.0</v>
      </c>
      <c r="CD520" s="2">
        <v>0.0</v>
      </c>
      <c r="CE520" s="2">
        <v>0.0</v>
      </c>
      <c r="CF520" s="2">
        <v>0.0</v>
      </c>
      <c r="CG520" s="2">
        <v>5.0</v>
      </c>
      <c r="CH520" s="2">
        <v>130.0</v>
      </c>
      <c r="CI520" s="2">
        <v>1.0</v>
      </c>
      <c r="CJ520" s="2">
        <v>2.0</v>
      </c>
      <c r="CK520" s="2">
        <v>1.0</v>
      </c>
      <c r="CL520" s="2">
        <v>0.0</v>
      </c>
      <c r="CM520" s="2">
        <v>40.0</v>
      </c>
      <c r="CN520" s="2">
        <v>0.5</v>
      </c>
      <c r="CO520" s="2">
        <v>0.0</v>
      </c>
      <c r="CP520" s="2">
        <v>0.0</v>
      </c>
      <c r="CQ520" s="2">
        <v>0.0</v>
      </c>
      <c r="CR520" s="2">
        <v>1.0</v>
      </c>
      <c r="CS520" s="2">
        <v>0.0</v>
      </c>
      <c r="CT520" s="2">
        <v>0.0</v>
      </c>
      <c r="CU520" s="2">
        <v>0.0</v>
      </c>
      <c r="CV520" s="2">
        <v>0.0</v>
      </c>
      <c r="CW520" s="2">
        <v>0.0</v>
      </c>
      <c r="CX520" s="2">
        <v>1.0</v>
      </c>
      <c r="CY520" s="2">
        <v>0.0</v>
      </c>
      <c r="CZ520" s="2">
        <v>0.0</v>
      </c>
      <c r="DA520" s="2" t="s">
        <v>1984</v>
      </c>
      <c r="DB520" s="2" t="s">
        <v>1962</v>
      </c>
      <c r="DD520" s="2">
        <v>40.0</v>
      </c>
      <c r="DE520" s="2">
        <v>44.0</v>
      </c>
      <c r="DF520" s="2">
        <v>0.0</v>
      </c>
      <c r="DG520" s="2">
        <v>3.0</v>
      </c>
      <c r="DH520" s="2">
        <v>3.0</v>
      </c>
      <c r="DI520" s="2">
        <v>0.0</v>
      </c>
      <c r="DJ520" s="2">
        <v>0.0</v>
      </c>
      <c r="DK520" s="2">
        <v>1.0</v>
      </c>
      <c r="DL520" s="2">
        <v>0.0</v>
      </c>
      <c r="DM520" s="2">
        <v>1.0</v>
      </c>
      <c r="DN520" s="2">
        <v>1.0</v>
      </c>
      <c r="DO520" s="2">
        <v>0.0</v>
      </c>
      <c r="DP520" s="2">
        <v>44.0</v>
      </c>
      <c r="DQ520" s="2">
        <v>4.0</v>
      </c>
      <c r="DR520" s="2">
        <v>0.0</v>
      </c>
      <c r="DS520" s="2">
        <v>54.0</v>
      </c>
      <c r="DT520" s="2">
        <v>191.0</v>
      </c>
      <c r="DU520" s="2">
        <v>3.0</v>
      </c>
      <c r="DV520" s="2">
        <v>0.0</v>
      </c>
      <c r="DW520" s="2">
        <v>2.0</v>
      </c>
      <c r="DX520" s="2">
        <v>0.0</v>
      </c>
      <c r="DY520" s="2">
        <v>0.0</v>
      </c>
      <c r="DZ520" s="2">
        <v>2.0</v>
      </c>
      <c r="EA520" s="2">
        <v>11.0</v>
      </c>
      <c r="EB520" s="2">
        <v>0.0</v>
      </c>
      <c r="EC520" s="2">
        <v>180.0</v>
      </c>
      <c r="EE520" s="2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2">
        <v>2025.0</v>
      </c>
      <c r="B521" s="2">
        <v>18.0</v>
      </c>
      <c r="C521" s="2" t="s">
        <v>136</v>
      </c>
      <c r="D521" s="2" t="s">
        <v>390</v>
      </c>
      <c r="E521" s="2" t="s">
        <v>1180</v>
      </c>
      <c r="F521" s="2" t="s">
        <v>238</v>
      </c>
      <c r="G521" s="2">
        <v>22.0</v>
      </c>
      <c r="H521" s="2">
        <v>29.0</v>
      </c>
      <c r="I521" s="2">
        <v>259.0</v>
      </c>
      <c r="J521" s="2">
        <v>4.0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199.0</v>
      </c>
      <c r="Q521" s="2">
        <v>120.0</v>
      </c>
      <c r="R521" s="2">
        <v>16.0</v>
      </c>
      <c r="S521" s="2">
        <v>22.4849790778828</v>
      </c>
      <c r="T521" s="2">
        <v>12.694396504334</v>
      </c>
      <c r="U521" s="2">
        <v>1.0</v>
      </c>
      <c r="V521" s="2">
        <v>11.0</v>
      </c>
      <c r="W521" s="2">
        <v>7.0</v>
      </c>
      <c r="X521" s="2">
        <v>4.0</v>
      </c>
      <c r="Y521" s="2">
        <v>0.0</v>
      </c>
      <c r="Z521" s="2">
        <v>43.0</v>
      </c>
      <c r="AA521" s="2">
        <v>211.0</v>
      </c>
      <c r="AB521" s="2">
        <v>1.0</v>
      </c>
      <c r="AC521" s="2">
        <v>0.0</v>
      </c>
      <c r="AD521" s="2">
        <v>0.0</v>
      </c>
      <c r="AE521" s="2">
        <v>13.0</v>
      </c>
      <c r="AF521" s="2">
        <v>-1.18959453652496</v>
      </c>
      <c r="AG521" s="2">
        <v>0.0</v>
      </c>
      <c r="AH521" s="2">
        <v>6.0</v>
      </c>
      <c r="AI521" s="2">
        <v>5.0</v>
      </c>
      <c r="AJ521" s="2">
        <v>1.0</v>
      </c>
      <c r="AK521" s="2">
        <v>0.0</v>
      </c>
      <c r="AL521" s="2">
        <v>22.0</v>
      </c>
      <c r="AM521" s="2">
        <v>28.0</v>
      </c>
      <c r="AN521" s="2">
        <v>259.0</v>
      </c>
      <c r="AO521" s="2">
        <v>4.0</v>
      </c>
      <c r="AP521" s="2">
        <v>0.0</v>
      </c>
      <c r="AQ521" s="2">
        <v>0.0</v>
      </c>
      <c r="AR521" s="2">
        <v>199.0</v>
      </c>
      <c r="AS521" s="2">
        <v>120.0</v>
      </c>
      <c r="AT521" s="2">
        <v>16.0</v>
      </c>
      <c r="AU521" s="2">
        <v>24.2335916284358</v>
      </c>
      <c r="AV521" s="2">
        <v>1.0</v>
      </c>
      <c r="AW521" s="2">
        <v>11.0</v>
      </c>
      <c r="AX521" s="2">
        <v>7.0</v>
      </c>
      <c r="AY521" s="2">
        <v>4.0</v>
      </c>
      <c r="AZ521" s="2">
        <v>0.0</v>
      </c>
      <c r="BA521" s="2">
        <v>0.0</v>
      </c>
      <c r="BB521" s="2">
        <v>21.0</v>
      </c>
      <c r="BC521" s="2">
        <v>3.0</v>
      </c>
      <c r="BD521" s="2">
        <v>29.0</v>
      </c>
      <c r="BE521" s="2">
        <v>5.0</v>
      </c>
      <c r="BF521" s="2">
        <v>14.0</v>
      </c>
      <c r="BG521" s="2">
        <v>0.0</v>
      </c>
      <c r="BH521" s="2">
        <v>1.0</v>
      </c>
      <c r="BI521" s="2">
        <v>7.0</v>
      </c>
      <c r="BJ521" s="2">
        <v>4.0</v>
      </c>
      <c r="BK521" s="2">
        <v>0.0</v>
      </c>
      <c r="BL521" s="2">
        <v>0.0</v>
      </c>
      <c r="BM521" s="2">
        <v>2.0</v>
      </c>
      <c r="BN521" s="2">
        <v>0.0</v>
      </c>
      <c r="BO521" s="2">
        <v>0.0</v>
      </c>
      <c r="BP521" s="2">
        <v>0.0</v>
      </c>
      <c r="BQ521" s="2">
        <v>0.0</v>
      </c>
      <c r="BR521" s="2">
        <v>0.0</v>
      </c>
      <c r="BS521" s="2">
        <v>0.0</v>
      </c>
      <c r="BT521" s="2">
        <v>0.0</v>
      </c>
      <c r="BU521" s="2">
        <v>0.0</v>
      </c>
      <c r="BV521" s="2">
        <v>0.0</v>
      </c>
      <c r="BW521" s="2">
        <v>3.0</v>
      </c>
      <c r="BX521" s="2">
        <v>28.0</v>
      </c>
      <c r="BY521" s="2">
        <v>1.0</v>
      </c>
      <c r="BZ521" s="2">
        <v>0.0</v>
      </c>
      <c r="CA521" s="2">
        <v>0.0</v>
      </c>
      <c r="CB521" s="2">
        <v>0.0</v>
      </c>
      <c r="CC521" s="2">
        <v>0.0</v>
      </c>
      <c r="CD521" s="2">
        <v>0.0</v>
      </c>
      <c r="CE521" s="2">
        <v>1.0</v>
      </c>
      <c r="CF521" s="2">
        <v>2.0</v>
      </c>
      <c r="CG521" s="2">
        <v>1.0</v>
      </c>
      <c r="CH521" s="2">
        <v>22.0</v>
      </c>
      <c r="CI521" s="2">
        <v>0.0</v>
      </c>
      <c r="CJ521" s="2">
        <v>0.0</v>
      </c>
      <c r="CK521" s="2">
        <v>0.0</v>
      </c>
      <c r="CL521" s="2">
        <v>0.0</v>
      </c>
      <c r="CO521" s="2">
        <v>0.0</v>
      </c>
      <c r="CP521" s="2">
        <v>0.0</v>
      </c>
      <c r="CQ521" s="2">
        <v>0.0</v>
      </c>
      <c r="CR521" s="2">
        <v>0.0</v>
      </c>
      <c r="CS521" s="2">
        <v>0.0</v>
      </c>
      <c r="CT521" s="2">
        <v>0.0</v>
      </c>
      <c r="CU521" s="2">
        <v>0.0</v>
      </c>
      <c r="CV521" s="2">
        <v>0.0</v>
      </c>
      <c r="CW521" s="2">
        <v>0.0</v>
      </c>
      <c r="CX521" s="2">
        <v>0.0</v>
      </c>
      <c r="CY521" s="2">
        <v>0.0</v>
      </c>
      <c r="CZ521" s="2">
        <v>0.0</v>
      </c>
      <c r="DD521" s="2">
        <v>0.0</v>
      </c>
      <c r="DE521" s="2">
        <v>0.0</v>
      </c>
      <c r="DF521" s="2">
        <v>0.0</v>
      </c>
      <c r="DG521" s="2">
        <v>3.0</v>
      </c>
      <c r="DH521" s="2">
        <v>3.0</v>
      </c>
      <c r="DI521" s="2">
        <v>0.0</v>
      </c>
      <c r="DJ521" s="2">
        <v>0.0</v>
      </c>
      <c r="DK521" s="2">
        <v>1.0</v>
      </c>
      <c r="DL521" s="2">
        <v>0.0</v>
      </c>
      <c r="DM521" s="2">
        <v>0.0</v>
      </c>
      <c r="DN521" s="2">
        <v>0.0</v>
      </c>
      <c r="DO521" s="2">
        <v>0.0</v>
      </c>
      <c r="DP521" s="2">
        <v>0.0</v>
      </c>
      <c r="DQ521" s="2">
        <v>0.0</v>
      </c>
      <c r="DR521" s="2">
        <v>0.0</v>
      </c>
      <c r="DT521" s="2">
        <v>0.0</v>
      </c>
      <c r="DU521" s="2">
        <v>0.0</v>
      </c>
      <c r="DV521" s="2">
        <v>0.0</v>
      </c>
      <c r="DW521" s="2">
        <v>0.0</v>
      </c>
      <c r="DX521" s="2">
        <v>0.0</v>
      </c>
      <c r="DY521" s="2">
        <v>0.0</v>
      </c>
      <c r="DZ521" s="2">
        <v>0.0</v>
      </c>
      <c r="EA521" s="2">
        <v>0.0</v>
      </c>
      <c r="EB521" s="2">
        <v>0.0</v>
      </c>
      <c r="EC521" s="2">
        <v>0.0</v>
      </c>
      <c r="EE521" s="2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2">
        <v>2025.0</v>
      </c>
      <c r="B522" s="2">
        <v>18.0</v>
      </c>
      <c r="C522" s="2" t="s">
        <v>189</v>
      </c>
      <c r="D522" s="2" t="s">
        <v>390</v>
      </c>
      <c r="E522" s="2" t="s">
        <v>1219</v>
      </c>
      <c r="F522" s="2" t="s">
        <v>150</v>
      </c>
      <c r="G522" s="2">
        <v>24.0</v>
      </c>
      <c r="H522" s="2">
        <v>35.0</v>
      </c>
      <c r="I522" s="2">
        <v>266.0</v>
      </c>
      <c r="J522" s="2">
        <v>2.0</v>
      </c>
      <c r="K522" s="2">
        <v>1.0</v>
      </c>
      <c r="L522" s="2">
        <v>0.0</v>
      </c>
      <c r="M522" s="2">
        <v>0.0</v>
      </c>
      <c r="N522" s="2">
        <v>0.0</v>
      </c>
      <c r="O522" s="2">
        <v>0.0</v>
      </c>
      <c r="P522" s="2">
        <v>253.0</v>
      </c>
      <c r="Q522" s="2">
        <v>91.0</v>
      </c>
      <c r="R522" s="2">
        <v>13.0</v>
      </c>
      <c r="S522" s="2">
        <v>6.42385014375361</v>
      </c>
      <c r="T522" s="2">
        <v>11.2563026944796</v>
      </c>
      <c r="U522" s="2">
        <v>0.0</v>
      </c>
      <c r="V522" s="2">
        <v>12.0</v>
      </c>
      <c r="W522" s="2">
        <v>6.0</v>
      </c>
      <c r="X522" s="2">
        <v>3.0</v>
      </c>
      <c r="Y522" s="2">
        <v>1.0</v>
      </c>
      <c r="Z522" s="2">
        <v>14.0</v>
      </c>
      <c r="AA522" s="2">
        <v>19.0</v>
      </c>
      <c r="AB522" s="2">
        <v>0.0</v>
      </c>
      <c r="AC522" s="2">
        <v>2.0</v>
      </c>
      <c r="AD522" s="2">
        <v>1.0</v>
      </c>
      <c r="AE522" s="2">
        <v>1.0</v>
      </c>
      <c r="AF522" s="2">
        <v>-7.38239190418972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24.0</v>
      </c>
      <c r="AM522" s="2">
        <v>30.0</v>
      </c>
      <c r="AN522" s="2">
        <v>266.0</v>
      </c>
      <c r="AO522" s="2">
        <v>2.0</v>
      </c>
      <c r="AP522" s="2">
        <v>0.0</v>
      </c>
      <c r="AQ522" s="2">
        <v>0.0</v>
      </c>
      <c r="AR522" s="2">
        <v>253.0</v>
      </c>
      <c r="AS522" s="2">
        <v>91.0</v>
      </c>
      <c r="AT522" s="2">
        <v>13.0</v>
      </c>
      <c r="AU522" s="2">
        <v>9.20363721017531</v>
      </c>
      <c r="AV522" s="2">
        <v>0.0</v>
      </c>
      <c r="AW522" s="2">
        <v>12.0</v>
      </c>
      <c r="AX522" s="2">
        <v>6.0</v>
      </c>
      <c r="AY522" s="2">
        <v>3.0</v>
      </c>
      <c r="AZ522" s="2">
        <v>1.0</v>
      </c>
      <c r="BA522" s="2">
        <v>0.0</v>
      </c>
      <c r="BB522" s="2">
        <v>41.0</v>
      </c>
      <c r="BC522" s="2">
        <v>1.0</v>
      </c>
      <c r="BD522" s="2">
        <v>39.0</v>
      </c>
      <c r="BE522" s="2">
        <v>5.0</v>
      </c>
      <c r="BF522" s="2">
        <v>15.0</v>
      </c>
      <c r="BG522" s="2">
        <v>1.0</v>
      </c>
      <c r="BH522" s="2">
        <v>2.0</v>
      </c>
      <c r="BI522" s="2">
        <v>5.0</v>
      </c>
      <c r="BJ522" s="2">
        <v>4.0</v>
      </c>
      <c r="BK522" s="2">
        <v>1.0</v>
      </c>
      <c r="BL522" s="2">
        <v>20.0</v>
      </c>
      <c r="BM522" s="2">
        <v>3.0</v>
      </c>
      <c r="BN522" s="2">
        <v>0.0</v>
      </c>
      <c r="BO522" s="2">
        <v>0.0</v>
      </c>
      <c r="BP522" s="2">
        <v>0.0</v>
      </c>
      <c r="BQ522" s="2">
        <v>0.0</v>
      </c>
      <c r="BR522" s="2">
        <v>1.0</v>
      </c>
      <c r="BS522" s="2">
        <v>-16.0</v>
      </c>
      <c r="BT522" s="2">
        <v>0.0</v>
      </c>
      <c r="BU522" s="2">
        <v>0.0</v>
      </c>
      <c r="BV522" s="2">
        <v>0.0</v>
      </c>
      <c r="BW522" s="2">
        <v>5.0</v>
      </c>
      <c r="BX522" s="2">
        <v>46.0</v>
      </c>
      <c r="BY522" s="2">
        <v>4.0</v>
      </c>
      <c r="BZ522" s="2">
        <v>0.0</v>
      </c>
      <c r="CA522" s="2">
        <v>3.0</v>
      </c>
      <c r="CB522" s="2">
        <v>0.0</v>
      </c>
      <c r="CC522" s="2">
        <v>3.0</v>
      </c>
      <c r="CD522" s="2">
        <v>2.0</v>
      </c>
      <c r="CE522" s="2">
        <v>2.0</v>
      </c>
      <c r="CF522" s="2">
        <v>3.0</v>
      </c>
      <c r="CG522" s="2">
        <v>0.0</v>
      </c>
      <c r="CH522" s="2">
        <v>0.0</v>
      </c>
      <c r="CI522" s="2">
        <v>0.0</v>
      </c>
      <c r="CJ522" s="2">
        <v>1.0</v>
      </c>
      <c r="CK522" s="2">
        <v>1.0</v>
      </c>
      <c r="CL522" s="2">
        <v>0.0</v>
      </c>
      <c r="CN522" s="2">
        <v>0.0</v>
      </c>
      <c r="CO522" s="2">
        <v>0.0</v>
      </c>
      <c r="CP522" s="2">
        <v>0.0</v>
      </c>
      <c r="CQ522" s="2">
        <v>0.0</v>
      </c>
      <c r="CR522" s="2">
        <v>0.0</v>
      </c>
      <c r="CS522" s="2">
        <v>0.0</v>
      </c>
      <c r="CT522" s="2">
        <v>0.0</v>
      </c>
      <c r="CU522" s="2">
        <v>0.0</v>
      </c>
      <c r="CV522" s="2">
        <v>0.0</v>
      </c>
      <c r="CW522" s="2">
        <v>0.0</v>
      </c>
      <c r="CX522" s="2">
        <v>0.0</v>
      </c>
      <c r="CY522" s="2">
        <v>1.0</v>
      </c>
      <c r="CZ522" s="2">
        <v>0.0</v>
      </c>
      <c r="DB522" s="2" t="s">
        <v>2018</v>
      </c>
      <c r="DD522" s="2">
        <v>0.0</v>
      </c>
      <c r="DE522" s="2">
        <v>54.0</v>
      </c>
      <c r="DF522" s="2">
        <v>0.0</v>
      </c>
      <c r="DG522" s="2">
        <v>2.0</v>
      </c>
      <c r="DH522" s="2">
        <v>2.0</v>
      </c>
      <c r="DI522" s="2">
        <v>0.0</v>
      </c>
      <c r="DJ522" s="2">
        <v>0.0</v>
      </c>
      <c r="DK522" s="2">
        <v>1.0</v>
      </c>
      <c r="DL522" s="2">
        <v>0.0</v>
      </c>
      <c r="DM522" s="2">
        <v>0.0</v>
      </c>
      <c r="DN522" s="2">
        <v>0.0</v>
      </c>
      <c r="DO522" s="2">
        <v>0.0</v>
      </c>
      <c r="DP522" s="2">
        <v>0.0</v>
      </c>
      <c r="DQ522" s="2">
        <v>3.0</v>
      </c>
      <c r="DR522" s="2">
        <v>0.0</v>
      </c>
      <c r="DS522" s="2">
        <v>50.0</v>
      </c>
      <c r="DT522" s="2">
        <v>139.0</v>
      </c>
      <c r="DU522" s="2">
        <v>1.0</v>
      </c>
      <c r="DV522" s="2">
        <v>0.0</v>
      </c>
      <c r="DW522" s="2">
        <v>1.0</v>
      </c>
      <c r="DX522" s="2">
        <v>1.0</v>
      </c>
      <c r="DY522" s="2">
        <v>1.0</v>
      </c>
      <c r="DZ522" s="2">
        <v>0.0</v>
      </c>
      <c r="EA522" s="2">
        <v>0.0</v>
      </c>
      <c r="EB522" s="2">
        <v>0.0</v>
      </c>
      <c r="EC522" s="2">
        <v>119.0</v>
      </c>
      <c r="EE522" s="2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2">
        <v>2025.0</v>
      </c>
      <c r="B523" s="2">
        <v>18.0</v>
      </c>
      <c r="C523" s="2" t="s">
        <v>137</v>
      </c>
      <c r="D523" s="2" t="s">
        <v>390</v>
      </c>
      <c r="E523" s="2" t="s">
        <v>1184</v>
      </c>
      <c r="F523" s="2" t="s">
        <v>202</v>
      </c>
      <c r="G523" s="2">
        <v>20.0</v>
      </c>
      <c r="H523" s="2">
        <v>33.0</v>
      </c>
      <c r="I523" s="2">
        <v>212.0</v>
      </c>
      <c r="J523" s="2">
        <v>2.0</v>
      </c>
      <c r="K523" s="2">
        <v>1.0</v>
      </c>
      <c r="L523" s="2">
        <v>1.0</v>
      </c>
      <c r="M523" s="2">
        <v>-7.0</v>
      </c>
      <c r="N523" s="2">
        <v>0.0</v>
      </c>
      <c r="O523" s="2">
        <v>0.0</v>
      </c>
      <c r="P523" s="2">
        <v>260.0</v>
      </c>
      <c r="Q523" s="2">
        <v>98.0</v>
      </c>
      <c r="R523" s="2">
        <v>10.0</v>
      </c>
      <c r="S523" s="2">
        <v>-1.44315143457777</v>
      </c>
      <c r="T523" s="2">
        <v>0.059882011906854</v>
      </c>
      <c r="U523" s="2">
        <v>1.0</v>
      </c>
      <c r="V523" s="2">
        <v>11.0</v>
      </c>
      <c r="W523" s="2">
        <v>3.0</v>
      </c>
      <c r="X523" s="2">
        <v>2.0</v>
      </c>
      <c r="Y523" s="2">
        <v>0.0</v>
      </c>
      <c r="Z523" s="2">
        <v>18.0</v>
      </c>
      <c r="AA523" s="2">
        <v>65.0</v>
      </c>
      <c r="AB523" s="2">
        <v>0.0</v>
      </c>
      <c r="AC523" s="2">
        <v>0.0</v>
      </c>
      <c r="AD523" s="2">
        <v>0.0</v>
      </c>
      <c r="AE523" s="2">
        <v>4.0</v>
      </c>
      <c r="AF523" s="2">
        <v>0.397715166691458</v>
      </c>
      <c r="AG523" s="2">
        <v>1.0</v>
      </c>
      <c r="AH523" s="2">
        <v>2.0</v>
      </c>
      <c r="AI523" s="2">
        <v>0.0</v>
      </c>
      <c r="AJ523" s="2">
        <v>0.0</v>
      </c>
      <c r="AK523" s="2">
        <v>0.0</v>
      </c>
      <c r="AL523" s="2">
        <v>20.0</v>
      </c>
      <c r="AM523" s="2">
        <v>29.0</v>
      </c>
      <c r="AN523" s="2">
        <v>212.0</v>
      </c>
      <c r="AO523" s="2">
        <v>2.0</v>
      </c>
      <c r="AP523" s="2">
        <v>0.0</v>
      </c>
      <c r="AQ523" s="2">
        <v>0.0</v>
      </c>
      <c r="AR523" s="2">
        <v>260.0</v>
      </c>
      <c r="AS523" s="2">
        <v>98.0</v>
      </c>
      <c r="AT523" s="2">
        <v>10.0</v>
      </c>
      <c r="AU523" s="2">
        <v>4.70394047985622</v>
      </c>
      <c r="AV523" s="2">
        <v>1.0</v>
      </c>
      <c r="AW523" s="2">
        <v>11.0</v>
      </c>
      <c r="AX523" s="2">
        <v>3.0</v>
      </c>
      <c r="AY523" s="2">
        <v>2.0</v>
      </c>
      <c r="AZ523" s="2">
        <v>0.0</v>
      </c>
      <c r="BA523" s="2">
        <v>0.0</v>
      </c>
      <c r="BB523" s="2">
        <v>47.0</v>
      </c>
      <c r="BC523" s="2">
        <v>1.0</v>
      </c>
      <c r="BD523" s="2">
        <v>27.0</v>
      </c>
      <c r="BE523" s="2">
        <v>3.0</v>
      </c>
      <c r="BF523" s="2">
        <v>19.0</v>
      </c>
      <c r="BG523" s="2">
        <v>0.0</v>
      </c>
      <c r="BH523" s="2">
        <v>3.0</v>
      </c>
      <c r="BI523" s="2">
        <v>20.0</v>
      </c>
      <c r="BJ523" s="2">
        <v>8.0</v>
      </c>
      <c r="BK523" s="2">
        <v>1.0</v>
      </c>
      <c r="BL523" s="2">
        <v>21.0</v>
      </c>
      <c r="BM523" s="2">
        <v>6.0</v>
      </c>
      <c r="BN523" s="2">
        <v>0.0</v>
      </c>
      <c r="BO523" s="2">
        <v>0.0</v>
      </c>
      <c r="BP523" s="2">
        <v>0.0</v>
      </c>
      <c r="BQ523" s="2">
        <v>0.0</v>
      </c>
      <c r="BR523" s="2">
        <v>1.0</v>
      </c>
      <c r="BS523" s="2">
        <v>0.0</v>
      </c>
      <c r="BT523" s="2">
        <v>0.0</v>
      </c>
      <c r="BU523" s="2">
        <v>0.0</v>
      </c>
      <c r="BV523" s="2">
        <v>0.0</v>
      </c>
      <c r="BW523" s="2">
        <v>4.0</v>
      </c>
      <c r="BX523" s="2">
        <v>25.0</v>
      </c>
      <c r="BY523" s="2">
        <v>2.0</v>
      </c>
      <c r="BZ523" s="2">
        <v>0.0</v>
      </c>
      <c r="CA523" s="2">
        <v>1.0</v>
      </c>
      <c r="CB523" s="2">
        <v>0.0</v>
      </c>
      <c r="CC523" s="2">
        <v>1.0</v>
      </c>
      <c r="CD523" s="2">
        <v>0.0</v>
      </c>
      <c r="CE523" s="2">
        <v>1.0</v>
      </c>
      <c r="CF523" s="2">
        <v>15.0</v>
      </c>
      <c r="CG523" s="2">
        <v>4.0</v>
      </c>
      <c r="CH523" s="2">
        <v>106.0</v>
      </c>
      <c r="CI523" s="2">
        <v>0.0</v>
      </c>
      <c r="CJ523" s="2">
        <v>0.0</v>
      </c>
      <c r="CK523" s="2">
        <v>0.0</v>
      </c>
      <c r="CL523" s="2">
        <v>0.0</v>
      </c>
      <c r="CO523" s="2">
        <v>0.0</v>
      </c>
      <c r="CP523" s="2">
        <v>0.0</v>
      </c>
      <c r="CQ523" s="2">
        <v>0.0</v>
      </c>
      <c r="CR523" s="2">
        <v>0.0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0.0</v>
      </c>
      <c r="DD523" s="2">
        <v>0.0</v>
      </c>
      <c r="DE523" s="2">
        <v>0.0</v>
      </c>
      <c r="DF523" s="2">
        <v>0.0</v>
      </c>
      <c r="DG523" s="2">
        <v>0.0</v>
      </c>
      <c r="DH523" s="2">
        <v>0.0</v>
      </c>
      <c r="DI523" s="2">
        <v>0.0</v>
      </c>
      <c r="DJ523" s="2">
        <v>0.0</v>
      </c>
      <c r="DL523" s="2">
        <v>0.0</v>
      </c>
      <c r="DM523" s="2">
        <v>0.0</v>
      </c>
      <c r="DN523" s="2">
        <v>0.0</v>
      </c>
      <c r="DO523" s="2">
        <v>0.0</v>
      </c>
      <c r="DP523" s="2">
        <v>0.0</v>
      </c>
      <c r="DQ523" s="2">
        <v>4.0</v>
      </c>
      <c r="DR523" s="2">
        <v>0.0</v>
      </c>
      <c r="DS523" s="2">
        <v>54.0</v>
      </c>
      <c r="DT523" s="2">
        <v>178.0</v>
      </c>
      <c r="DU523" s="2">
        <v>0.0</v>
      </c>
      <c r="DV523" s="2">
        <v>0.0</v>
      </c>
      <c r="DW523" s="2">
        <v>0.0</v>
      </c>
      <c r="DX523" s="2">
        <v>0.0</v>
      </c>
      <c r="DY523" s="2">
        <v>1.0</v>
      </c>
      <c r="DZ523" s="2">
        <v>3.0</v>
      </c>
      <c r="EA523" s="2">
        <v>33.0</v>
      </c>
      <c r="EB523" s="2">
        <v>0.0</v>
      </c>
      <c r="EC523" s="2">
        <v>145.0</v>
      </c>
      <c r="EE523" s="2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2">
        <v>2025.0</v>
      </c>
      <c r="B524" s="2">
        <v>18.0</v>
      </c>
      <c r="C524" s="2" t="s">
        <v>138</v>
      </c>
      <c r="D524" s="2" t="s">
        <v>390</v>
      </c>
      <c r="E524" s="2" t="s">
        <v>1186</v>
      </c>
      <c r="F524" s="2" t="s">
        <v>196</v>
      </c>
      <c r="G524" s="2">
        <v>29.0</v>
      </c>
      <c r="H524" s="2">
        <v>39.0</v>
      </c>
      <c r="I524" s="2">
        <v>236.0</v>
      </c>
      <c r="J524" s="2">
        <v>3.0</v>
      </c>
      <c r="K524" s="2">
        <v>1.0</v>
      </c>
      <c r="L524" s="2">
        <v>2.0</v>
      </c>
      <c r="M524" s="2">
        <v>-14.0</v>
      </c>
      <c r="N524" s="2">
        <v>0.0</v>
      </c>
      <c r="O524" s="2">
        <v>0.0</v>
      </c>
      <c r="P524" s="2">
        <v>193.0</v>
      </c>
      <c r="Q524" s="2">
        <v>132.0</v>
      </c>
      <c r="R524" s="2">
        <v>16.0</v>
      </c>
      <c r="S524" s="2">
        <v>-3.44213337778626</v>
      </c>
      <c r="T524" s="2">
        <v>6.81259890920238</v>
      </c>
      <c r="U524" s="2">
        <v>0.0</v>
      </c>
      <c r="V524" s="2">
        <v>10.0</v>
      </c>
      <c r="W524" s="2">
        <v>4.0</v>
      </c>
      <c r="X524" s="2">
        <v>3.0</v>
      </c>
      <c r="Y524" s="2">
        <v>0.0</v>
      </c>
      <c r="Z524" s="2">
        <v>25.0</v>
      </c>
      <c r="AA524" s="2">
        <v>142.0</v>
      </c>
      <c r="AB524" s="2">
        <v>0.0</v>
      </c>
      <c r="AC524" s="2">
        <v>0.0</v>
      </c>
      <c r="AD524" s="2">
        <v>0.0</v>
      </c>
      <c r="AE524" s="2">
        <v>8.0</v>
      </c>
      <c r="AF524" s="2">
        <v>4.89787160645938</v>
      </c>
      <c r="AG524" s="2">
        <v>0.0</v>
      </c>
      <c r="AH524" s="2">
        <v>2.0</v>
      </c>
      <c r="AI524" s="2">
        <v>2.0</v>
      </c>
      <c r="AJ524" s="2">
        <v>0.0</v>
      </c>
      <c r="AK524" s="2">
        <v>0.0</v>
      </c>
      <c r="AL524" s="2">
        <v>29.0</v>
      </c>
      <c r="AM524" s="2">
        <v>38.0</v>
      </c>
      <c r="AN524" s="2">
        <v>236.0</v>
      </c>
      <c r="AO524" s="2">
        <v>3.0</v>
      </c>
      <c r="AP524" s="2">
        <v>1.0</v>
      </c>
      <c r="AQ524" s="2">
        <v>1.0</v>
      </c>
      <c r="AR524" s="2">
        <v>193.0</v>
      </c>
      <c r="AS524" s="2">
        <v>132.0</v>
      </c>
      <c r="AT524" s="2">
        <v>16.0</v>
      </c>
      <c r="AU524" s="2">
        <v>-9.04441686476627</v>
      </c>
      <c r="AV524" s="2">
        <v>0.0</v>
      </c>
      <c r="AW524" s="2">
        <v>10.0</v>
      </c>
      <c r="AX524" s="2">
        <v>4.0</v>
      </c>
      <c r="AY524" s="2">
        <v>3.0</v>
      </c>
      <c r="AZ524" s="2">
        <v>0.0</v>
      </c>
      <c r="BA524" s="2">
        <v>0.0</v>
      </c>
      <c r="BB524" s="2">
        <v>33.0</v>
      </c>
      <c r="BC524" s="2">
        <v>0.0</v>
      </c>
      <c r="BD524" s="2">
        <v>26.0</v>
      </c>
      <c r="BE524" s="2">
        <v>4.0</v>
      </c>
      <c r="BF524" s="2">
        <v>29.0</v>
      </c>
      <c r="BG524" s="2">
        <v>1.0</v>
      </c>
      <c r="BH524" s="2">
        <v>6.0</v>
      </c>
      <c r="BI524" s="2">
        <v>29.0</v>
      </c>
      <c r="BJ524" s="2">
        <v>9.0</v>
      </c>
      <c r="BK524" s="2">
        <v>0.0</v>
      </c>
      <c r="BL524" s="2">
        <v>0.0</v>
      </c>
      <c r="BM524" s="2">
        <v>5.0</v>
      </c>
      <c r="BN524" s="2">
        <v>0.0</v>
      </c>
      <c r="BO524" s="2">
        <v>0.0</v>
      </c>
      <c r="BP524" s="2">
        <v>0.0</v>
      </c>
      <c r="BQ524" s="2">
        <v>0.0</v>
      </c>
      <c r="BR524" s="2">
        <v>0.0</v>
      </c>
      <c r="BS524" s="2">
        <v>0.0</v>
      </c>
      <c r="BT524" s="2">
        <v>1.0</v>
      </c>
      <c r="BU524" s="2">
        <v>0.0</v>
      </c>
      <c r="BV524" s="2">
        <v>0.0</v>
      </c>
      <c r="BW524" s="2">
        <v>6.0</v>
      </c>
      <c r="BX524" s="2">
        <v>40.0</v>
      </c>
      <c r="BY524" s="2">
        <v>5.0</v>
      </c>
      <c r="BZ524" s="2">
        <v>1.0</v>
      </c>
      <c r="CA524" s="2">
        <v>0.0</v>
      </c>
      <c r="CB524" s="2">
        <v>0.0</v>
      </c>
      <c r="CC524" s="2">
        <v>1.0</v>
      </c>
      <c r="CD524" s="2">
        <v>1.0</v>
      </c>
      <c r="CE524" s="2">
        <v>3.0</v>
      </c>
      <c r="CF524" s="2">
        <v>13.0</v>
      </c>
      <c r="CG524" s="2">
        <v>4.0</v>
      </c>
      <c r="CH524" s="2">
        <v>99.0</v>
      </c>
      <c r="CI524" s="2">
        <v>0.0</v>
      </c>
      <c r="CJ524" s="2">
        <v>0.0</v>
      </c>
      <c r="CK524" s="2">
        <v>0.0</v>
      </c>
      <c r="CL524" s="2">
        <v>0.0</v>
      </c>
      <c r="CO524" s="2">
        <v>0.0</v>
      </c>
      <c r="CP524" s="2">
        <v>0.0</v>
      </c>
      <c r="CQ524" s="2">
        <v>0.0</v>
      </c>
      <c r="CR524" s="2">
        <v>0.0</v>
      </c>
      <c r="CS524" s="2">
        <v>0.0</v>
      </c>
      <c r="CT524" s="2">
        <v>0.0</v>
      </c>
      <c r="CU524" s="2">
        <v>0.0</v>
      </c>
      <c r="CV524" s="2">
        <v>0.0</v>
      </c>
      <c r="CW524" s="2">
        <v>0.0</v>
      </c>
      <c r="CX524" s="2">
        <v>0.0</v>
      </c>
      <c r="CY524" s="2">
        <v>0.0</v>
      </c>
      <c r="CZ524" s="2">
        <v>0.0</v>
      </c>
      <c r="DD524" s="2">
        <v>0.0</v>
      </c>
      <c r="DE524" s="2">
        <v>0.0</v>
      </c>
      <c r="DF524" s="2">
        <v>0.0</v>
      </c>
      <c r="DG524" s="2">
        <v>0.0</v>
      </c>
      <c r="DH524" s="2">
        <v>2.0</v>
      </c>
      <c r="DI524" s="2">
        <v>1.0</v>
      </c>
      <c r="DJ524" s="2">
        <v>1.0</v>
      </c>
      <c r="DK524" s="2">
        <v>0.0</v>
      </c>
      <c r="DL524" s="2">
        <v>0.0</v>
      </c>
      <c r="DM524" s="2">
        <v>0.0</v>
      </c>
      <c r="DN524" s="2">
        <v>0.0</v>
      </c>
      <c r="DO524" s="2">
        <v>0.0</v>
      </c>
      <c r="DP524" s="2">
        <v>0.0</v>
      </c>
      <c r="DQ524" s="2">
        <v>5.0</v>
      </c>
      <c r="DR524" s="2">
        <v>0.0</v>
      </c>
      <c r="DS524" s="2">
        <v>58.0</v>
      </c>
      <c r="DT524" s="2">
        <v>222.0</v>
      </c>
      <c r="DU524" s="2">
        <v>4.0</v>
      </c>
      <c r="DV524" s="2">
        <v>0.0</v>
      </c>
      <c r="DW524" s="2">
        <v>0.0</v>
      </c>
      <c r="DX524" s="2">
        <v>0.0</v>
      </c>
      <c r="DY524" s="2">
        <v>3.0</v>
      </c>
      <c r="DZ524" s="2">
        <v>2.0</v>
      </c>
      <c r="EA524" s="2">
        <v>6.0</v>
      </c>
      <c r="EB524" s="2">
        <v>0.0</v>
      </c>
      <c r="EC524" s="2">
        <v>216.0</v>
      </c>
      <c r="EE524" s="2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2">
        <v>2025.0</v>
      </c>
      <c r="B525" s="2">
        <v>18.0</v>
      </c>
      <c r="C525" s="2" t="s">
        <v>196</v>
      </c>
      <c r="D525" s="2" t="s">
        <v>390</v>
      </c>
      <c r="E525" s="2" t="s">
        <v>1186</v>
      </c>
      <c r="F525" s="2" t="s">
        <v>138</v>
      </c>
      <c r="G525" s="2">
        <v>11.0</v>
      </c>
      <c r="H525" s="2">
        <v>22.0</v>
      </c>
      <c r="I525" s="2">
        <v>111.0</v>
      </c>
      <c r="J525" s="2">
        <v>0.0</v>
      </c>
      <c r="K525" s="2">
        <v>0.0</v>
      </c>
      <c r="L525" s="2">
        <v>6.0</v>
      </c>
      <c r="M525" s="2">
        <v>-29.0</v>
      </c>
      <c r="N525" s="2">
        <v>1.0</v>
      </c>
      <c r="O525" s="2">
        <v>1.0</v>
      </c>
      <c r="P525" s="2">
        <v>196.0</v>
      </c>
      <c r="Q525" s="2">
        <v>80.0</v>
      </c>
      <c r="R525" s="2">
        <v>4.0</v>
      </c>
      <c r="S525" s="2">
        <v>-9.69716329078816</v>
      </c>
      <c r="T525" s="2">
        <v>-11.7796123027802</v>
      </c>
      <c r="U525" s="2">
        <v>0.0</v>
      </c>
      <c r="V525" s="2">
        <v>5.0</v>
      </c>
      <c r="W525" s="2">
        <v>2.0</v>
      </c>
      <c r="X525" s="2">
        <v>1.0</v>
      </c>
      <c r="Y525" s="2">
        <v>0.0</v>
      </c>
      <c r="Z525" s="2">
        <v>24.0</v>
      </c>
      <c r="AA525" s="2">
        <v>118.0</v>
      </c>
      <c r="AB525" s="2">
        <v>0.0</v>
      </c>
      <c r="AC525" s="2">
        <v>0.0</v>
      </c>
      <c r="AD525" s="2">
        <v>0.0</v>
      </c>
      <c r="AE525" s="2">
        <v>6.0</v>
      </c>
      <c r="AF525" s="2">
        <v>3.17644417614465</v>
      </c>
      <c r="AG525" s="2">
        <v>0.0</v>
      </c>
      <c r="AH525" s="2">
        <v>3.0</v>
      </c>
      <c r="AI525" s="2">
        <v>2.0</v>
      </c>
      <c r="AJ525" s="2">
        <v>0.0</v>
      </c>
      <c r="AK525" s="2">
        <v>0.0</v>
      </c>
      <c r="AL525" s="2">
        <v>11.0</v>
      </c>
      <c r="AM525" s="2">
        <v>21.0</v>
      </c>
      <c r="AN525" s="2">
        <v>111.0</v>
      </c>
      <c r="AO525" s="2">
        <v>0.0</v>
      </c>
      <c r="AP525" s="2">
        <v>0.0</v>
      </c>
      <c r="AQ525" s="2">
        <v>0.0</v>
      </c>
      <c r="AR525" s="2">
        <v>196.0</v>
      </c>
      <c r="AS525" s="2">
        <v>80.0</v>
      </c>
      <c r="AT525" s="2">
        <v>4.0</v>
      </c>
      <c r="AU525" s="2">
        <v>0.705534719629213</v>
      </c>
      <c r="AV525" s="2">
        <v>0.0</v>
      </c>
      <c r="AW525" s="2">
        <v>5.0</v>
      </c>
      <c r="AX525" s="2">
        <v>2.0</v>
      </c>
      <c r="AY525" s="2">
        <v>1.0</v>
      </c>
      <c r="AZ525" s="2">
        <v>0.0</v>
      </c>
      <c r="BA525" s="2">
        <v>0.0</v>
      </c>
      <c r="BB525" s="2">
        <v>36.0</v>
      </c>
      <c r="BC525" s="2">
        <v>0.0</v>
      </c>
      <c r="BD525" s="2">
        <v>46.0</v>
      </c>
      <c r="BE525" s="2">
        <v>2.0</v>
      </c>
      <c r="BF525" s="2">
        <v>14.0</v>
      </c>
      <c r="BG525" s="2">
        <v>1.0</v>
      </c>
      <c r="BH525" s="2">
        <v>2.0</v>
      </c>
      <c r="BI525" s="2">
        <v>14.0</v>
      </c>
      <c r="BJ525" s="2">
        <v>5.0</v>
      </c>
      <c r="BK525" s="2">
        <v>1.0</v>
      </c>
      <c r="BL525" s="2">
        <v>97.0</v>
      </c>
      <c r="BM525" s="2">
        <v>7.0</v>
      </c>
      <c r="BN525" s="2">
        <v>1.0</v>
      </c>
      <c r="BO525" s="2">
        <v>0.0</v>
      </c>
      <c r="BP525" s="2">
        <v>0.0</v>
      </c>
      <c r="BQ525" s="2">
        <v>0.0</v>
      </c>
      <c r="BR525" s="2">
        <v>0.0</v>
      </c>
      <c r="BS525" s="2">
        <v>0.0</v>
      </c>
      <c r="BT525" s="2">
        <v>1.0</v>
      </c>
      <c r="BU525" s="2">
        <v>47.0</v>
      </c>
      <c r="BV525" s="2">
        <v>1.0</v>
      </c>
      <c r="BW525" s="2">
        <v>4.0</v>
      </c>
      <c r="BX525" s="2">
        <v>40.0</v>
      </c>
      <c r="BY525" s="2">
        <v>3.0</v>
      </c>
      <c r="BZ525" s="2">
        <v>1.0</v>
      </c>
      <c r="CA525" s="2">
        <v>0.0</v>
      </c>
      <c r="CB525" s="2">
        <v>0.0</v>
      </c>
      <c r="CC525" s="2">
        <v>1.0</v>
      </c>
      <c r="CD525" s="2">
        <v>1.0</v>
      </c>
      <c r="CE525" s="2">
        <v>2.0</v>
      </c>
      <c r="CF525" s="2">
        <v>6.0</v>
      </c>
      <c r="CG525" s="2">
        <v>3.0</v>
      </c>
      <c r="CH525" s="2">
        <v>73.0</v>
      </c>
      <c r="CI525" s="2">
        <v>2.0</v>
      </c>
      <c r="CJ525" s="2">
        <v>2.0</v>
      </c>
      <c r="CK525" s="2">
        <v>0.0</v>
      </c>
      <c r="CL525" s="2">
        <v>0.0</v>
      </c>
      <c r="CM525" s="2">
        <v>49.0</v>
      </c>
      <c r="CN525" s="2">
        <v>1.0</v>
      </c>
      <c r="CO525" s="2">
        <v>0.0</v>
      </c>
      <c r="CP525" s="2">
        <v>1.0</v>
      </c>
      <c r="CQ525" s="2">
        <v>0.0</v>
      </c>
      <c r="CR525" s="2">
        <v>1.0</v>
      </c>
      <c r="CS525" s="2">
        <v>0.0</v>
      </c>
      <c r="CT525" s="2">
        <v>0.0</v>
      </c>
      <c r="CU525" s="2">
        <v>0.0</v>
      </c>
      <c r="CV525" s="2">
        <v>0.0</v>
      </c>
      <c r="CW525" s="2">
        <v>0.0</v>
      </c>
      <c r="CX525" s="2">
        <v>0.0</v>
      </c>
      <c r="CY525" s="2">
        <v>0.0</v>
      </c>
      <c r="CZ525" s="2">
        <v>0.0</v>
      </c>
      <c r="DA525" s="2" t="s">
        <v>2283</v>
      </c>
      <c r="DD525" s="2">
        <v>76.0</v>
      </c>
      <c r="DE525" s="2">
        <v>0.0</v>
      </c>
      <c r="DF525" s="2">
        <v>0.0</v>
      </c>
      <c r="DG525" s="2">
        <v>2.0</v>
      </c>
      <c r="DH525" s="2">
        <v>2.0</v>
      </c>
      <c r="DI525" s="2">
        <v>0.0</v>
      </c>
      <c r="DJ525" s="2">
        <v>0.0</v>
      </c>
      <c r="DK525" s="2">
        <v>1.0</v>
      </c>
      <c r="DL525" s="2">
        <v>1.0</v>
      </c>
      <c r="DM525" s="2">
        <v>1.0</v>
      </c>
      <c r="DN525" s="2">
        <v>0.0</v>
      </c>
      <c r="DO525" s="2">
        <v>0.0</v>
      </c>
      <c r="DP525" s="2">
        <v>49.0</v>
      </c>
      <c r="DQ525" s="2">
        <v>5.0</v>
      </c>
      <c r="DR525" s="2">
        <v>0.0</v>
      </c>
      <c r="DS525" s="2">
        <v>52.0</v>
      </c>
      <c r="DT525" s="2">
        <v>225.0</v>
      </c>
      <c r="DU525" s="2">
        <v>1.0</v>
      </c>
      <c r="DV525" s="2">
        <v>1.0</v>
      </c>
      <c r="DW525" s="2">
        <v>0.0</v>
      </c>
      <c r="DX525" s="2">
        <v>0.0</v>
      </c>
      <c r="DY525" s="2">
        <v>1.0</v>
      </c>
      <c r="DZ525" s="2">
        <v>3.0</v>
      </c>
      <c r="EA525" s="2">
        <v>13.0</v>
      </c>
      <c r="EB525" s="2">
        <v>0.0</v>
      </c>
      <c r="EC525" s="2">
        <v>212.0</v>
      </c>
      <c r="EE525" s="2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2">
        <v>2025.0</v>
      </c>
      <c r="B526" s="2">
        <v>18.0</v>
      </c>
      <c r="C526" s="2" t="s">
        <v>146</v>
      </c>
      <c r="D526" s="2" t="s">
        <v>390</v>
      </c>
      <c r="E526" s="2" t="s">
        <v>1208</v>
      </c>
      <c r="F526" s="2" t="s">
        <v>235</v>
      </c>
      <c r="G526" s="2">
        <v>14.0</v>
      </c>
      <c r="H526" s="2">
        <v>24.0</v>
      </c>
      <c r="I526" s="2">
        <v>143.0</v>
      </c>
      <c r="J526" s="2">
        <v>0.0</v>
      </c>
      <c r="K526" s="2">
        <v>1.0</v>
      </c>
      <c r="L526" s="2">
        <v>0.0</v>
      </c>
      <c r="M526" s="2">
        <v>0.0</v>
      </c>
      <c r="N526" s="2">
        <v>0.0</v>
      </c>
      <c r="O526" s="2">
        <v>0.0</v>
      </c>
      <c r="P526" s="2">
        <v>178.0</v>
      </c>
      <c r="Q526" s="2">
        <v>97.0</v>
      </c>
      <c r="R526" s="2">
        <v>8.0</v>
      </c>
      <c r="S526" s="2">
        <v>-6.24818386993574</v>
      </c>
      <c r="T526" s="2">
        <v>-5.37005559257839</v>
      </c>
      <c r="U526" s="2">
        <v>0.0</v>
      </c>
      <c r="V526" s="2">
        <v>6.0</v>
      </c>
      <c r="W526" s="2">
        <v>2.0</v>
      </c>
      <c r="X526" s="2">
        <v>2.0</v>
      </c>
      <c r="Y526" s="2">
        <v>0.0</v>
      </c>
      <c r="Z526" s="2">
        <v>30.0</v>
      </c>
      <c r="AA526" s="2">
        <v>143.0</v>
      </c>
      <c r="AB526" s="2">
        <v>2.0</v>
      </c>
      <c r="AC526" s="2">
        <v>1.0</v>
      </c>
      <c r="AD526" s="2">
        <v>1.0</v>
      </c>
      <c r="AE526" s="2">
        <v>9.0</v>
      </c>
      <c r="AF526" s="2">
        <v>-0.626230492081959</v>
      </c>
      <c r="AG526" s="2">
        <v>0.0</v>
      </c>
      <c r="AH526" s="2">
        <v>6.0</v>
      </c>
      <c r="AI526" s="2">
        <v>4.0</v>
      </c>
      <c r="AJ526" s="2">
        <v>2.0</v>
      </c>
      <c r="AK526" s="2">
        <v>0.0</v>
      </c>
      <c r="AL526" s="2">
        <v>14.0</v>
      </c>
      <c r="AM526" s="2">
        <v>23.0</v>
      </c>
      <c r="AN526" s="2">
        <v>143.0</v>
      </c>
      <c r="AO526" s="2">
        <v>0.0</v>
      </c>
      <c r="AP526" s="2">
        <v>0.0</v>
      </c>
      <c r="AQ526" s="2">
        <v>0.0</v>
      </c>
      <c r="AR526" s="2">
        <v>178.0</v>
      </c>
      <c r="AS526" s="2">
        <v>97.0</v>
      </c>
      <c r="AT526" s="2">
        <v>8.0</v>
      </c>
      <c r="AU526" s="2">
        <v>-5.77223993972147</v>
      </c>
      <c r="AV526" s="2">
        <v>0.0</v>
      </c>
      <c r="AW526" s="2">
        <v>6.0</v>
      </c>
      <c r="AX526" s="2">
        <v>2.0</v>
      </c>
      <c r="AY526" s="2">
        <v>2.0</v>
      </c>
      <c r="AZ526" s="2">
        <v>0.0</v>
      </c>
      <c r="BA526" s="2">
        <v>0.0</v>
      </c>
      <c r="BB526" s="2">
        <v>36.0</v>
      </c>
      <c r="BC526" s="2">
        <v>1.0</v>
      </c>
      <c r="BD526" s="2">
        <v>47.0</v>
      </c>
      <c r="BE526" s="2">
        <v>7.0</v>
      </c>
      <c r="BF526" s="2">
        <v>22.0</v>
      </c>
      <c r="BG526" s="2">
        <v>2.0</v>
      </c>
      <c r="BH526" s="2">
        <v>4.0</v>
      </c>
      <c r="BI526" s="2">
        <v>11.0</v>
      </c>
      <c r="BJ526" s="2">
        <v>9.0</v>
      </c>
      <c r="BK526" s="2">
        <v>0.0</v>
      </c>
      <c r="BL526" s="2">
        <v>0.0</v>
      </c>
      <c r="BM526" s="2">
        <v>2.0</v>
      </c>
      <c r="BN526" s="2">
        <v>0.0</v>
      </c>
      <c r="BO526" s="2">
        <v>0.0</v>
      </c>
      <c r="BP526" s="2">
        <v>0.0</v>
      </c>
      <c r="BQ526" s="2">
        <v>0.0</v>
      </c>
      <c r="BR526" s="2">
        <v>0.0</v>
      </c>
      <c r="BS526" s="2">
        <v>-2.0</v>
      </c>
      <c r="BT526" s="2">
        <v>1.0</v>
      </c>
      <c r="BU526" s="2">
        <v>0.0</v>
      </c>
      <c r="BV526" s="2">
        <v>0.0</v>
      </c>
      <c r="BW526" s="2">
        <v>9.0</v>
      </c>
      <c r="BX526" s="2">
        <v>94.0</v>
      </c>
      <c r="BY526" s="2">
        <v>2.0</v>
      </c>
      <c r="BZ526" s="2">
        <v>0.0</v>
      </c>
      <c r="CA526" s="2">
        <v>1.0</v>
      </c>
      <c r="CB526" s="2">
        <v>0.0</v>
      </c>
      <c r="CC526" s="2">
        <v>1.0</v>
      </c>
      <c r="CD526" s="2">
        <v>1.0</v>
      </c>
      <c r="CE526" s="2">
        <v>0.0</v>
      </c>
      <c r="CF526" s="2">
        <v>0.0</v>
      </c>
      <c r="CG526" s="2">
        <v>7.0</v>
      </c>
      <c r="CH526" s="2">
        <v>215.0</v>
      </c>
      <c r="CI526" s="2">
        <v>1.0</v>
      </c>
      <c r="CJ526" s="2">
        <v>2.0</v>
      </c>
      <c r="CK526" s="2">
        <v>1.0</v>
      </c>
      <c r="CL526" s="2">
        <v>0.0</v>
      </c>
      <c r="CM526" s="2">
        <v>22.0</v>
      </c>
      <c r="CN526" s="2">
        <v>0.5</v>
      </c>
      <c r="CO526" s="2">
        <v>0.0</v>
      </c>
      <c r="CP526" s="2">
        <v>1.0</v>
      </c>
      <c r="CQ526" s="2">
        <v>0.0</v>
      </c>
      <c r="CR526" s="2">
        <v>0.0</v>
      </c>
      <c r="CS526" s="2">
        <v>0.0</v>
      </c>
      <c r="CT526" s="2">
        <v>0.0</v>
      </c>
      <c r="CU526" s="2">
        <v>0.0</v>
      </c>
      <c r="CV526" s="2">
        <v>0.0</v>
      </c>
      <c r="CW526" s="2">
        <v>0.0</v>
      </c>
      <c r="CX526" s="2">
        <v>0.0</v>
      </c>
      <c r="CY526" s="2">
        <v>1.0</v>
      </c>
      <c r="CZ526" s="2">
        <v>0.0</v>
      </c>
      <c r="DA526" s="2" t="s">
        <v>2057</v>
      </c>
      <c r="DB526" s="2" t="s">
        <v>2023</v>
      </c>
      <c r="DD526" s="2">
        <v>22.0</v>
      </c>
      <c r="DE526" s="2">
        <v>57.0</v>
      </c>
      <c r="DF526" s="2">
        <v>0.0</v>
      </c>
      <c r="DG526" s="2">
        <v>2.0</v>
      </c>
      <c r="DH526" s="2">
        <v>2.0</v>
      </c>
      <c r="DI526" s="2">
        <v>0.0</v>
      </c>
      <c r="DJ526" s="2">
        <v>0.0</v>
      </c>
      <c r="DK526" s="2">
        <v>1.0</v>
      </c>
      <c r="DL526" s="2">
        <v>0.0</v>
      </c>
      <c r="DM526" s="2">
        <v>0.0</v>
      </c>
      <c r="DN526" s="2">
        <v>0.0</v>
      </c>
      <c r="DO526" s="2">
        <v>0.0</v>
      </c>
      <c r="DP526" s="2">
        <v>0.0</v>
      </c>
      <c r="DQ526" s="2">
        <v>2.0</v>
      </c>
      <c r="DR526" s="2">
        <v>0.0</v>
      </c>
      <c r="DS526" s="2">
        <v>65.0</v>
      </c>
      <c r="DT526" s="2">
        <v>110.0</v>
      </c>
      <c r="DU526" s="2">
        <v>0.0</v>
      </c>
      <c r="DV526" s="2">
        <v>0.0</v>
      </c>
      <c r="DW526" s="2">
        <v>0.0</v>
      </c>
      <c r="DX526" s="2">
        <v>0.0</v>
      </c>
      <c r="DY526" s="2">
        <v>0.0</v>
      </c>
      <c r="DZ526" s="2">
        <v>2.0</v>
      </c>
      <c r="EA526" s="2">
        <v>27.0</v>
      </c>
      <c r="EB526" s="2">
        <v>0.0</v>
      </c>
      <c r="EC526" s="2">
        <v>83.0</v>
      </c>
      <c r="EE526" s="2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2">
        <v>2025.0</v>
      </c>
      <c r="B527" s="2">
        <v>18.0</v>
      </c>
      <c r="C527" s="2" t="s">
        <v>139</v>
      </c>
      <c r="D527" s="2" t="s">
        <v>390</v>
      </c>
      <c r="E527" s="2" t="s">
        <v>1188</v>
      </c>
      <c r="F527" s="2" t="s">
        <v>220</v>
      </c>
      <c r="G527" s="2">
        <v>14.0</v>
      </c>
      <c r="H527" s="2">
        <v>23.0</v>
      </c>
      <c r="I527" s="2">
        <v>141.0</v>
      </c>
      <c r="J527" s="2">
        <v>0.0</v>
      </c>
      <c r="K527" s="2">
        <v>0.0</v>
      </c>
      <c r="L527" s="2">
        <v>4.0</v>
      </c>
      <c r="M527" s="2">
        <v>-17.0</v>
      </c>
      <c r="N527" s="2">
        <v>0.0</v>
      </c>
      <c r="O527" s="2">
        <v>0.0</v>
      </c>
      <c r="P527" s="2">
        <v>26.0</v>
      </c>
      <c r="Q527" s="2">
        <v>138.0</v>
      </c>
      <c r="R527" s="2">
        <v>6.0</v>
      </c>
      <c r="S527" s="2">
        <v>-5.75090568805673</v>
      </c>
      <c r="T527" s="2">
        <v>-12.6818540303603</v>
      </c>
      <c r="U527" s="2">
        <v>0.0</v>
      </c>
      <c r="V527" s="2">
        <v>5.0</v>
      </c>
      <c r="W527" s="2">
        <v>3.0</v>
      </c>
      <c r="X527" s="2">
        <v>1.0</v>
      </c>
      <c r="Y527" s="2">
        <v>0.0</v>
      </c>
      <c r="Z527" s="2">
        <v>31.0</v>
      </c>
      <c r="AA527" s="2">
        <v>116.0</v>
      </c>
      <c r="AB527" s="2">
        <v>0.0</v>
      </c>
      <c r="AC527" s="2">
        <v>0.0</v>
      </c>
      <c r="AD527" s="2">
        <v>0.0</v>
      </c>
      <c r="AE527" s="2">
        <v>7.0</v>
      </c>
      <c r="AF527" s="2">
        <v>-4.59487915025933</v>
      </c>
      <c r="AG527" s="2">
        <v>0.0</v>
      </c>
      <c r="AH527" s="2">
        <v>4.0</v>
      </c>
      <c r="AI527" s="2">
        <v>1.0</v>
      </c>
      <c r="AJ527" s="2">
        <v>1.0</v>
      </c>
      <c r="AK527" s="2">
        <v>0.0</v>
      </c>
      <c r="AL527" s="2">
        <v>14.0</v>
      </c>
      <c r="AM527" s="2">
        <v>23.0</v>
      </c>
      <c r="AN527" s="2">
        <v>141.0</v>
      </c>
      <c r="AO527" s="2">
        <v>0.0</v>
      </c>
      <c r="AP527" s="2">
        <v>0.0</v>
      </c>
      <c r="AQ527" s="2">
        <v>0.0</v>
      </c>
      <c r="AR527" s="2">
        <v>26.0</v>
      </c>
      <c r="AS527" s="2">
        <v>138.0</v>
      </c>
      <c r="AT527" s="2">
        <v>6.0</v>
      </c>
      <c r="AU527" s="2">
        <v>-0.0520649469370627</v>
      </c>
      <c r="AV527" s="2">
        <v>0.0</v>
      </c>
      <c r="AW527" s="2">
        <v>5.0</v>
      </c>
      <c r="AX527" s="2">
        <v>3.0</v>
      </c>
      <c r="AY527" s="2">
        <v>1.0</v>
      </c>
      <c r="AZ527" s="2">
        <v>0.0</v>
      </c>
      <c r="BA527" s="2">
        <v>0.0</v>
      </c>
      <c r="BB527" s="2">
        <v>31.0</v>
      </c>
      <c r="BC527" s="2">
        <v>1.0</v>
      </c>
      <c r="BD527" s="2">
        <v>35.0</v>
      </c>
      <c r="BE527" s="2">
        <v>5.0</v>
      </c>
      <c r="BF527" s="2">
        <v>24.0</v>
      </c>
      <c r="BG527" s="2">
        <v>1.0</v>
      </c>
      <c r="BH527" s="2">
        <v>4.0</v>
      </c>
      <c r="BI527" s="2">
        <v>32.0</v>
      </c>
      <c r="BJ527" s="2">
        <v>8.0</v>
      </c>
      <c r="BK527" s="2">
        <v>1.0</v>
      </c>
      <c r="BL527" s="2">
        <v>45.0</v>
      </c>
      <c r="BM527" s="2">
        <v>8.0</v>
      </c>
      <c r="BN527" s="2">
        <v>1.0</v>
      </c>
      <c r="BO527" s="2">
        <v>0.0</v>
      </c>
      <c r="BP527" s="2">
        <v>0.0</v>
      </c>
      <c r="BQ527" s="2">
        <v>0.0</v>
      </c>
      <c r="BR527" s="2">
        <v>0.0</v>
      </c>
      <c r="BS527" s="2">
        <v>0.0</v>
      </c>
      <c r="BT527" s="2">
        <v>1.0</v>
      </c>
      <c r="BU527" s="2">
        <v>0.0</v>
      </c>
      <c r="BV527" s="2">
        <v>0.0</v>
      </c>
      <c r="BW527" s="2">
        <v>1.0</v>
      </c>
      <c r="BX527" s="2">
        <v>5.0</v>
      </c>
      <c r="BY527" s="2">
        <v>4.0</v>
      </c>
      <c r="BZ527" s="2">
        <v>0.0</v>
      </c>
      <c r="CA527" s="2">
        <v>0.0</v>
      </c>
      <c r="CB527" s="2">
        <v>0.0</v>
      </c>
      <c r="CC527" s="2">
        <v>0.0</v>
      </c>
      <c r="CD527" s="2">
        <v>0.0</v>
      </c>
      <c r="CE527" s="2">
        <v>2.0</v>
      </c>
      <c r="CF527" s="2">
        <v>36.0</v>
      </c>
      <c r="CG527" s="2">
        <v>0.0</v>
      </c>
      <c r="CH527" s="2">
        <v>0.0</v>
      </c>
      <c r="CI527" s="2">
        <v>4.0</v>
      </c>
      <c r="CJ527" s="2">
        <v>4.0</v>
      </c>
      <c r="CK527" s="2">
        <v>0.0</v>
      </c>
      <c r="CL527" s="2">
        <v>0.0</v>
      </c>
      <c r="CM527" s="2">
        <v>41.0</v>
      </c>
      <c r="CN527" s="2">
        <v>1.0</v>
      </c>
      <c r="CO527" s="2">
        <v>0.0</v>
      </c>
      <c r="CP527" s="2">
        <v>3.0</v>
      </c>
      <c r="CQ527" s="2">
        <v>0.0</v>
      </c>
      <c r="CR527" s="2">
        <v>1.0</v>
      </c>
      <c r="CS527" s="2">
        <v>0.0</v>
      </c>
      <c r="CT527" s="2">
        <v>0.0</v>
      </c>
      <c r="CU527" s="2">
        <v>0.0</v>
      </c>
      <c r="CV527" s="2">
        <v>0.0</v>
      </c>
      <c r="CW527" s="2">
        <v>0.0</v>
      </c>
      <c r="CX527" s="2">
        <v>0.0</v>
      </c>
      <c r="CY527" s="2">
        <v>0.0</v>
      </c>
      <c r="CZ527" s="2">
        <v>0.0</v>
      </c>
      <c r="DA527" s="2" t="s">
        <v>2284</v>
      </c>
      <c r="DD527" s="2">
        <v>114.0</v>
      </c>
      <c r="DE527" s="2">
        <v>0.0</v>
      </c>
      <c r="DF527" s="2">
        <v>0.0</v>
      </c>
      <c r="DG527" s="2">
        <v>1.0</v>
      </c>
      <c r="DH527" s="2">
        <v>1.0</v>
      </c>
      <c r="DI527" s="2">
        <v>0.0</v>
      </c>
      <c r="DJ527" s="2">
        <v>0.0</v>
      </c>
      <c r="DK527" s="2">
        <v>1.0</v>
      </c>
      <c r="DL527" s="2">
        <v>0.0</v>
      </c>
      <c r="DM527" s="2">
        <v>0.0</v>
      </c>
      <c r="DN527" s="2">
        <v>0.0</v>
      </c>
      <c r="DO527" s="2">
        <v>0.0</v>
      </c>
      <c r="DP527" s="2">
        <v>0.0</v>
      </c>
      <c r="DQ527" s="2">
        <v>6.0</v>
      </c>
      <c r="DR527" s="2">
        <v>0.0</v>
      </c>
      <c r="DS527" s="2">
        <v>54.0</v>
      </c>
      <c r="DT527" s="2">
        <v>287.0</v>
      </c>
      <c r="DU527" s="2">
        <v>1.0</v>
      </c>
      <c r="DV527" s="2">
        <v>1.0</v>
      </c>
      <c r="DW527" s="2">
        <v>1.0</v>
      </c>
      <c r="DX527" s="2">
        <v>1.0</v>
      </c>
      <c r="DY527" s="2">
        <v>2.0</v>
      </c>
      <c r="DZ527" s="2">
        <v>1.0</v>
      </c>
      <c r="EA527" s="2">
        <v>11.0</v>
      </c>
      <c r="EB527" s="2">
        <v>0.0</v>
      </c>
      <c r="EC527" s="2">
        <v>256.0</v>
      </c>
      <c r="EE527" s="2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2">
        <v>2025.0</v>
      </c>
      <c r="B528" s="2">
        <v>18.0</v>
      </c>
      <c r="C528" s="2" t="s">
        <v>202</v>
      </c>
      <c r="D528" s="2" t="s">
        <v>390</v>
      </c>
      <c r="E528" s="2" t="s">
        <v>1184</v>
      </c>
      <c r="F528" s="2" t="s">
        <v>137</v>
      </c>
      <c r="G528" s="2">
        <v>27.0</v>
      </c>
      <c r="H528" s="2">
        <v>42.0</v>
      </c>
      <c r="I528" s="2">
        <v>331.0</v>
      </c>
      <c r="J528" s="2">
        <v>1.0</v>
      </c>
      <c r="K528" s="2">
        <v>1.0</v>
      </c>
      <c r="L528" s="2">
        <v>3.0</v>
      </c>
      <c r="M528" s="2">
        <v>-20.0</v>
      </c>
      <c r="N528" s="2">
        <v>0.0</v>
      </c>
      <c r="O528" s="2">
        <v>0.0</v>
      </c>
      <c r="P528" s="2">
        <v>250.0</v>
      </c>
      <c r="Q528" s="2">
        <v>169.0</v>
      </c>
      <c r="R528" s="2">
        <v>17.0</v>
      </c>
      <c r="S528" s="2">
        <v>9.59307072647811</v>
      </c>
      <c r="T528" s="2">
        <v>5.41943742169274</v>
      </c>
      <c r="U528" s="2">
        <v>0.0</v>
      </c>
      <c r="V528" s="2">
        <v>16.0</v>
      </c>
      <c r="W528" s="2">
        <v>7.0</v>
      </c>
      <c r="X528" s="2">
        <v>4.0</v>
      </c>
      <c r="Y528" s="2">
        <v>0.0</v>
      </c>
      <c r="Z528" s="2">
        <v>27.0</v>
      </c>
      <c r="AA528" s="2">
        <v>122.0</v>
      </c>
      <c r="AB528" s="2">
        <v>0.0</v>
      </c>
      <c r="AC528" s="2">
        <v>0.0</v>
      </c>
      <c r="AD528" s="2">
        <v>0.0</v>
      </c>
      <c r="AE528" s="2">
        <v>7.0</v>
      </c>
      <c r="AF528" s="2">
        <v>0.799906265834514</v>
      </c>
      <c r="AG528" s="2">
        <v>0.0</v>
      </c>
      <c r="AH528" s="2">
        <v>1.0</v>
      </c>
      <c r="AI528" s="2">
        <v>1.0</v>
      </c>
      <c r="AJ528" s="2">
        <v>0.0</v>
      </c>
      <c r="AK528" s="2">
        <v>0.0</v>
      </c>
      <c r="AL528" s="2">
        <v>27.0</v>
      </c>
      <c r="AM528" s="2">
        <v>36.0</v>
      </c>
      <c r="AN528" s="2">
        <v>331.0</v>
      </c>
      <c r="AO528" s="2">
        <v>1.0</v>
      </c>
      <c r="AP528" s="2">
        <v>0.0</v>
      </c>
      <c r="AQ528" s="2">
        <v>0.0</v>
      </c>
      <c r="AR528" s="2">
        <v>250.0</v>
      </c>
      <c r="AS528" s="2">
        <v>169.0</v>
      </c>
      <c r="AT528" s="2">
        <v>17.0</v>
      </c>
      <c r="AU528" s="2">
        <v>18.2793143819426</v>
      </c>
      <c r="AV528" s="2">
        <v>0.0</v>
      </c>
      <c r="AW528" s="2">
        <v>16.0</v>
      </c>
      <c r="AX528" s="2">
        <v>7.0</v>
      </c>
      <c r="AY528" s="2">
        <v>4.0</v>
      </c>
      <c r="AZ528" s="2">
        <v>0.0</v>
      </c>
      <c r="BA528" s="2">
        <v>0.0</v>
      </c>
      <c r="BB528" s="2">
        <v>30.0</v>
      </c>
      <c r="BC528" s="2">
        <v>0.0</v>
      </c>
      <c r="BD528" s="2">
        <v>26.0</v>
      </c>
      <c r="BE528" s="2">
        <v>3.0</v>
      </c>
      <c r="BF528" s="2">
        <v>11.0</v>
      </c>
      <c r="BG528" s="2">
        <v>0.0</v>
      </c>
      <c r="BH528" s="2">
        <v>1.0</v>
      </c>
      <c r="BI528" s="2">
        <v>7.0</v>
      </c>
      <c r="BJ528" s="2">
        <v>4.0</v>
      </c>
      <c r="BK528" s="2">
        <v>1.0</v>
      </c>
      <c r="BL528" s="2">
        <v>0.0</v>
      </c>
      <c r="BM528" s="2">
        <v>5.0</v>
      </c>
      <c r="BN528" s="2">
        <v>0.0</v>
      </c>
      <c r="BO528" s="2">
        <v>0.0</v>
      </c>
      <c r="BP528" s="2">
        <v>0.0</v>
      </c>
      <c r="BQ528" s="2">
        <v>0.0</v>
      </c>
      <c r="BR528" s="2">
        <v>0.0</v>
      </c>
      <c r="BS528" s="2">
        <v>0.0</v>
      </c>
      <c r="BT528" s="2">
        <v>0.0</v>
      </c>
      <c r="BU528" s="2">
        <v>0.0</v>
      </c>
      <c r="BV528" s="2">
        <v>0.0</v>
      </c>
      <c r="BW528" s="2">
        <v>6.0</v>
      </c>
      <c r="BX528" s="2">
        <v>35.0</v>
      </c>
      <c r="BY528" s="2">
        <v>6.0</v>
      </c>
      <c r="BZ528" s="2">
        <v>0.0</v>
      </c>
      <c r="CA528" s="2">
        <v>0.0</v>
      </c>
      <c r="CB528" s="2">
        <v>0.0</v>
      </c>
      <c r="CC528" s="2">
        <v>0.0</v>
      </c>
      <c r="CD528" s="2">
        <v>0.0</v>
      </c>
      <c r="CE528" s="2">
        <v>3.0</v>
      </c>
      <c r="CF528" s="2">
        <v>33.0</v>
      </c>
      <c r="CG528" s="2">
        <v>2.0</v>
      </c>
      <c r="CH528" s="2">
        <v>40.0</v>
      </c>
      <c r="CI528" s="2">
        <v>4.0</v>
      </c>
      <c r="CJ528" s="2">
        <v>5.0</v>
      </c>
      <c r="CK528" s="2">
        <v>1.0</v>
      </c>
      <c r="CL528" s="2">
        <v>0.0</v>
      </c>
      <c r="CM528" s="2">
        <v>42.0</v>
      </c>
      <c r="CN528" s="2">
        <v>0.8</v>
      </c>
      <c r="CO528" s="2">
        <v>0.0</v>
      </c>
      <c r="CP528" s="2">
        <v>1.0</v>
      </c>
      <c r="CQ528" s="2">
        <v>2.0</v>
      </c>
      <c r="CR528" s="2">
        <v>1.0</v>
      </c>
      <c r="CS528" s="2">
        <v>0.0</v>
      </c>
      <c r="CT528" s="2">
        <v>0.0</v>
      </c>
      <c r="CU528" s="2">
        <v>0.0</v>
      </c>
      <c r="CV528" s="2">
        <v>0.0</v>
      </c>
      <c r="CW528" s="2">
        <v>0.0</v>
      </c>
      <c r="CX528" s="2">
        <v>0.0</v>
      </c>
      <c r="CY528" s="2">
        <v>1.0</v>
      </c>
      <c r="CZ528" s="2">
        <v>0.0</v>
      </c>
      <c r="DA528" s="2" t="s">
        <v>2285</v>
      </c>
      <c r="DB528" s="2" t="s">
        <v>2072</v>
      </c>
      <c r="DD528" s="2">
        <v>131.0</v>
      </c>
      <c r="DE528" s="2">
        <v>53.0</v>
      </c>
      <c r="DF528" s="2">
        <v>0.0</v>
      </c>
      <c r="DG528" s="2">
        <v>1.0</v>
      </c>
      <c r="DH528" s="2">
        <v>1.0</v>
      </c>
      <c r="DI528" s="2">
        <v>0.0</v>
      </c>
      <c r="DJ528" s="2">
        <v>0.0</v>
      </c>
      <c r="DK528" s="2">
        <v>1.0</v>
      </c>
      <c r="DL528" s="2">
        <v>1.0</v>
      </c>
      <c r="DM528" s="2">
        <v>1.0</v>
      </c>
      <c r="DN528" s="2">
        <v>0.0</v>
      </c>
      <c r="DO528" s="2">
        <v>0.0</v>
      </c>
      <c r="DP528" s="2">
        <v>42.0</v>
      </c>
      <c r="DQ528" s="2">
        <v>2.0</v>
      </c>
      <c r="DR528" s="2">
        <v>0.0</v>
      </c>
      <c r="DS528" s="2">
        <v>59.0</v>
      </c>
      <c r="DT528" s="2">
        <v>93.0</v>
      </c>
      <c r="DU528" s="2">
        <v>1.0</v>
      </c>
      <c r="DV528" s="2">
        <v>0.0</v>
      </c>
      <c r="DW528" s="2">
        <v>0.0</v>
      </c>
      <c r="DX528" s="2">
        <v>0.0</v>
      </c>
      <c r="DY528" s="2">
        <v>1.0</v>
      </c>
      <c r="DZ528" s="2">
        <v>1.0</v>
      </c>
      <c r="EA528" s="2">
        <v>15.0</v>
      </c>
      <c r="EB528" s="2">
        <v>0.0</v>
      </c>
      <c r="EC528" s="2">
        <v>78.0</v>
      </c>
      <c r="EE528" s="2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2">
        <v>2025.0</v>
      </c>
      <c r="B529" s="2">
        <v>18.0</v>
      </c>
      <c r="C529" s="2" t="s">
        <v>205</v>
      </c>
      <c r="D529" s="2" t="s">
        <v>390</v>
      </c>
      <c r="E529" s="2" t="s">
        <v>1202</v>
      </c>
      <c r="F529" s="2" t="s">
        <v>144</v>
      </c>
      <c r="G529" s="2">
        <v>6.0</v>
      </c>
      <c r="H529" s="2">
        <v>11.0</v>
      </c>
      <c r="I529" s="2">
        <v>34.0</v>
      </c>
      <c r="J529" s="2">
        <v>0.0</v>
      </c>
      <c r="K529" s="2">
        <v>0.0</v>
      </c>
      <c r="L529" s="2">
        <v>4.0</v>
      </c>
      <c r="M529" s="2">
        <v>-41.0</v>
      </c>
      <c r="N529" s="2">
        <v>1.0</v>
      </c>
      <c r="O529" s="2">
        <v>0.0</v>
      </c>
      <c r="P529" s="2">
        <v>27.0</v>
      </c>
      <c r="Q529" s="2">
        <v>23.0</v>
      </c>
      <c r="R529" s="2">
        <v>1.0</v>
      </c>
      <c r="S529" s="2">
        <v>-13.1720152435009</v>
      </c>
      <c r="T529" s="2">
        <v>-16.7790639400482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35.0</v>
      </c>
      <c r="AA529" s="2">
        <v>128.0</v>
      </c>
      <c r="AB529" s="2">
        <v>0.0</v>
      </c>
      <c r="AC529" s="2">
        <v>0.0</v>
      </c>
      <c r="AD529" s="2">
        <v>0.0</v>
      </c>
      <c r="AE529" s="2">
        <v>10.0</v>
      </c>
      <c r="AF529" s="2">
        <v>-2.94721761650306</v>
      </c>
      <c r="AG529" s="2">
        <v>0.0</v>
      </c>
      <c r="AH529" s="2">
        <v>4.0</v>
      </c>
      <c r="AI529" s="2">
        <v>3.0</v>
      </c>
      <c r="AJ529" s="2">
        <v>0.0</v>
      </c>
      <c r="AK529" s="2">
        <v>0.0</v>
      </c>
      <c r="AL529" s="2">
        <v>6.0</v>
      </c>
      <c r="AM529" s="2">
        <v>10.0</v>
      </c>
      <c r="AN529" s="2">
        <v>34.0</v>
      </c>
      <c r="AO529" s="2">
        <v>0.0</v>
      </c>
      <c r="AP529" s="2">
        <v>0.0</v>
      </c>
      <c r="AQ529" s="2">
        <v>0.0</v>
      </c>
      <c r="AR529" s="2">
        <v>27.0</v>
      </c>
      <c r="AS529" s="2">
        <v>23.0</v>
      </c>
      <c r="AT529" s="2">
        <v>1.0</v>
      </c>
      <c r="AU529" s="2">
        <v>-3.4445542729809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39.0</v>
      </c>
      <c r="BC529" s="2">
        <v>0.0</v>
      </c>
      <c r="BD529" s="2">
        <v>30.0</v>
      </c>
      <c r="BE529" s="2">
        <v>4.0</v>
      </c>
      <c r="BF529" s="2">
        <v>17.0</v>
      </c>
      <c r="BG529" s="2">
        <v>1.0</v>
      </c>
      <c r="BH529" s="2">
        <v>2.0</v>
      </c>
      <c r="BI529" s="2">
        <v>13.0</v>
      </c>
      <c r="BJ529" s="2">
        <v>7.0</v>
      </c>
      <c r="BK529" s="2">
        <v>0.0</v>
      </c>
      <c r="BL529" s="2">
        <v>0.0</v>
      </c>
      <c r="BM529" s="2">
        <v>2.0</v>
      </c>
      <c r="BN529" s="2">
        <v>0.0</v>
      </c>
      <c r="BO529" s="2">
        <v>0.0</v>
      </c>
      <c r="BP529" s="2">
        <v>0.0</v>
      </c>
      <c r="BQ529" s="2">
        <v>0.0</v>
      </c>
      <c r="BR529" s="2">
        <v>1.0</v>
      </c>
      <c r="BS529" s="2">
        <v>0.0</v>
      </c>
      <c r="BT529" s="2">
        <v>1.0</v>
      </c>
      <c r="BU529" s="2">
        <v>7.0</v>
      </c>
      <c r="BV529" s="2">
        <v>0.0</v>
      </c>
      <c r="BW529" s="2">
        <v>4.0</v>
      </c>
      <c r="BX529" s="2">
        <v>47.0</v>
      </c>
      <c r="BY529" s="2">
        <v>3.0</v>
      </c>
      <c r="BZ529" s="2">
        <v>1.0</v>
      </c>
      <c r="CA529" s="2">
        <v>0.0</v>
      </c>
      <c r="CB529" s="2">
        <v>0.0</v>
      </c>
      <c r="CC529" s="2">
        <v>1.0</v>
      </c>
      <c r="CD529" s="2">
        <v>0.0</v>
      </c>
      <c r="CE529" s="2">
        <v>0.0</v>
      </c>
      <c r="CF529" s="2">
        <v>0.0</v>
      </c>
      <c r="CG529" s="2">
        <v>3.0</v>
      </c>
      <c r="CH529" s="2">
        <v>80.0</v>
      </c>
      <c r="CI529" s="2">
        <v>1.0</v>
      </c>
      <c r="CJ529" s="2">
        <v>1.0</v>
      </c>
      <c r="CK529" s="2">
        <v>0.0</v>
      </c>
      <c r="CL529" s="2">
        <v>0.0</v>
      </c>
      <c r="CM529" s="2">
        <v>24.0</v>
      </c>
      <c r="CN529" s="2">
        <v>1.0</v>
      </c>
      <c r="CO529" s="2">
        <v>0.0</v>
      </c>
      <c r="CP529" s="2">
        <v>1.0</v>
      </c>
      <c r="CQ529" s="2">
        <v>0.0</v>
      </c>
      <c r="CR529" s="2">
        <v>0.0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0.0</v>
      </c>
      <c r="CY529" s="2">
        <v>0.0</v>
      </c>
      <c r="CZ529" s="2">
        <v>0.0</v>
      </c>
      <c r="DA529" s="2" t="s">
        <v>2101</v>
      </c>
      <c r="DD529" s="2">
        <v>24.0</v>
      </c>
      <c r="DE529" s="2">
        <v>0.0</v>
      </c>
      <c r="DF529" s="2">
        <v>0.0</v>
      </c>
      <c r="DG529" s="2">
        <v>0.0</v>
      </c>
      <c r="DH529" s="2">
        <v>0.0</v>
      </c>
      <c r="DI529" s="2">
        <v>0.0</v>
      </c>
      <c r="DJ529" s="2">
        <v>0.0</v>
      </c>
      <c r="DL529" s="2">
        <v>0.0</v>
      </c>
      <c r="DM529" s="2">
        <v>0.0</v>
      </c>
      <c r="DN529" s="2">
        <v>0.0</v>
      </c>
      <c r="DO529" s="2">
        <v>0.0</v>
      </c>
      <c r="DP529" s="2">
        <v>0.0</v>
      </c>
      <c r="DQ529" s="2">
        <v>8.0</v>
      </c>
      <c r="DR529" s="2">
        <v>0.0</v>
      </c>
      <c r="DS529" s="2">
        <v>68.0</v>
      </c>
      <c r="DT529" s="2">
        <v>431.0</v>
      </c>
      <c r="DU529" s="2">
        <v>5.0</v>
      </c>
      <c r="DV529" s="2">
        <v>0.0</v>
      </c>
      <c r="DW529" s="2">
        <v>1.0</v>
      </c>
      <c r="DX529" s="2">
        <v>1.0</v>
      </c>
      <c r="DY529" s="2">
        <v>4.0</v>
      </c>
      <c r="DZ529" s="2">
        <v>2.0</v>
      </c>
      <c r="EA529" s="2">
        <v>5.0</v>
      </c>
      <c r="EB529" s="2">
        <v>0.0</v>
      </c>
      <c r="EC529" s="2">
        <v>406.0</v>
      </c>
      <c r="EE529" s="2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2">
        <v>2025.0</v>
      </c>
      <c r="B530" s="2">
        <v>18.0</v>
      </c>
      <c r="C530" s="2" t="s">
        <v>140</v>
      </c>
      <c r="D530" s="2" t="s">
        <v>390</v>
      </c>
      <c r="E530" s="2" t="s">
        <v>1192</v>
      </c>
      <c r="F530" s="2" t="s">
        <v>210</v>
      </c>
      <c r="G530" s="2">
        <v>17.0</v>
      </c>
      <c r="H530" s="2">
        <v>32.0</v>
      </c>
      <c r="I530" s="2">
        <v>205.0</v>
      </c>
      <c r="J530" s="2">
        <v>1.0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193.0</v>
      </c>
      <c r="Q530" s="2">
        <v>97.0</v>
      </c>
      <c r="R530" s="2">
        <v>9.0</v>
      </c>
      <c r="S530" s="2">
        <v>-1.89867958826082</v>
      </c>
      <c r="T530" s="2">
        <v>-12.2306297932352</v>
      </c>
      <c r="U530" s="2">
        <v>0.0</v>
      </c>
      <c r="V530" s="2">
        <v>10.0</v>
      </c>
      <c r="W530" s="2">
        <v>5.0</v>
      </c>
      <c r="X530" s="2">
        <v>3.0</v>
      </c>
      <c r="Y530" s="2">
        <v>0.0</v>
      </c>
      <c r="Z530" s="2">
        <v>32.0</v>
      </c>
      <c r="AA530" s="2">
        <v>134.0</v>
      </c>
      <c r="AB530" s="2">
        <v>1.0</v>
      </c>
      <c r="AC530" s="2">
        <v>0.0</v>
      </c>
      <c r="AD530" s="2">
        <v>0.0</v>
      </c>
      <c r="AE530" s="2">
        <v>10.0</v>
      </c>
      <c r="AF530" s="2">
        <v>0.541252269044944</v>
      </c>
      <c r="AG530" s="2">
        <v>0.0</v>
      </c>
      <c r="AH530" s="2">
        <v>2.0</v>
      </c>
      <c r="AI530" s="2">
        <v>2.0</v>
      </c>
      <c r="AJ530" s="2">
        <v>1.0</v>
      </c>
      <c r="AK530" s="2">
        <v>0.0</v>
      </c>
      <c r="AL530" s="2">
        <v>17.0</v>
      </c>
      <c r="AM530" s="2">
        <v>28.0</v>
      </c>
      <c r="AN530" s="2">
        <v>205.0</v>
      </c>
      <c r="AO530" s="2">
        <v>1.0</v>
      </c>
      <c r="AP530" s="2">
        <v>0.0</v>
      </c>
      <c r="AQ530" s="2">
        <v>0.0</v>
      </c>
      <c r="AR530" s="2">
        <v>193.0</v>
      </c>
      <c r="AS530" s="2">
        <v>97.0</v>
      </c>
      <c r="AT530" s="2">
        <v>9.0</v>
      </c>
      <c r="AU530" s="2">
        <v>3.5340149659353</v>
      </c>
      <c r="AV530" s="2">
        <v>0.0</v>
      </c>
      <c r="AW530" s="2">
        <v>10.0</v>
      </c>
      <c r="AX530" s="2">
        <v>5.0</v>
      </c>
      <c r="AY530" s="2">
        <v>3.0</v>
      </c>
      <c r="AZ530" s="2">
        <v>0.0</v>
      </c>
      <c r="BA530" s="2">
        <v>0.0</v>
      </c>
      <c r="BB530" s="2">
        <v>35.0</v>
      </c>
      <c r="BC530" s="2">
        <v>1.0</v>
      </c>
      <c r="BD530" s="2">
        <v>35.0</v>
      </c>
      <c r="BE530" s="2">
        <v>6.0</v>
      </c>
      <c r="BF530" s="2">
        <v>22.0</v>
      </c>
      <c r="BG530" s="2">
        <v>2.0</v>
      </c>
      <c r="BH530" s="2">
        <v>1.0</v>
      </c>
      <c r="BI530" s="2">
        <v>8.0</v>
      </c>
      <c r="BJ530" s="2">
        <v>3.0</v>
      </c>
      <c r="BK530" s="2">
        <v>1.0</v>
      </c>
      <c r="BL530" s="2">
        <v>0.0</v>
      </c>
      <c r="BM530" s="2">
        <v>6.0</v>
      </c>
      <c r="BN530" s="2">
        <v>0.0</v>
      </c>
      <c r="BO530" s="2">
        <v>0.0</v>
      </c>
      <c r="BP530" s="2">
        <v>0.0</v>
      </c>
      <c r="BQ530" s="2">
        <v>0.0</v>
      </c>
      <c r="BR530" s="2">
        <v>0.0</v>
      </c>
      <c r="BS530" s="2">
        <v>0.0</v>
      </c>
      <c r="BT530" s="2">
        <v>2.0</v>
      </c>
      <c r="BU530" s="2">
        <v>17.0</v>
      </c>
      <c r="BV530" s="2">
        <v>1.0</v>
      </c>
      <c r="BW530" s="2">
        <v>7.0</v>
      </c>
      <c r="BX530" s="2">
        <v>77.0</v>
      </c>
      <c r="BY530" s="2">
        <v>4.0</v>
      </c>
      <c r="BZ530" s="2">
        <v>0.0</v>
      </c>
      <c r="CA530" s="2">
        <v>0.0</v>
      </c>
      <c r="CB530" s="2">
        <v>0.0</v>
      </c>
      <c r="CC530" s="2">
        <v>0.0</v>
      </c>
      <c r="CD530" s="2">
        <v>0.0</v>
      </c>
      <c r="CE530" s="2">
        <v>1.0</v>
      </c>
      <c r="CF530" s="2">
        <v>6.0</v>
      </c>
      <c r="CG530" s="2">
        <v>6.0</v>
      </c>
      <c r="CH530" s="2">
        <v>175.0</v>
      </c>
      <c r="CI530" s="2">
        <v>6.0</v>
      </c>
      <c r="CJ530" s="2">
        <v>6.0</v>
      </c>
      <c r="CK530" s="2">
        <v>0.0</v>
      </c>
      <c r="CL530" s="2">
        <v>0.0</v>
      </c>
      <c r="CM530" s="2">
        <v>51.0</v>
      </c>
      <c r="CN530" s="2">
        <v>1.0</v>
      </c>
      <c r="CO530" s="2">
        <v>0.0</v>
      </c>
      <c r="CP530" s="2">
        <v>1.0</v>
      </c>
      <c r="CQ530" s="2">
        <v>0.0</v>
      </c>
      <c r="CR530" s="2">
        <v>4.0</v>
      </c>
      <c r="CS530" s="2">
        <v>1.0</v>
      </c>
      <c r="CT530" s="2">
        <v>0.0</v>
      </c>
      <c r="CU530" s="2">
        <v>0.0</v>
      </c>
      <c r="CV530" s="2">
        <v>0.0</v>
      </c>
      <c r="CW530" s="2">
        <v>0.0</v>
      </c>
      <c r="CX530" s="2">
        <v>0.0</v>
      </c>
      <c r="CY530" s="2">
        <v>0.0</v>
      </c>
      <c r="CZ530" s="2">
        <v>0.0</v>
      </c>
      <c r="DA530" s="2" t="s">
        <v>2286</v>
      </c>
      <c r="DD530" s="2">
        <v>258.0</v>
      </c>
      <c r="DE530" s="2">
        <v>0.0</v>
      </c>
      <c r="DF530" s="2">
        <v>0.0</v>
      </c>
      <c r="DG530" s="2">
        <v>2.0</v>
      </c>
      <c r="DH530" s="2">
        <v>2.0</v>
      </c>
      <c r="DI530" s="2">
        <v>0.0</v>
      </c>
      <c r="DJ530" s="2">
        <v>0.0</v>
      </c>
      <c r="DK530" s="2">
        <v>1.0</v>
      </c>
      <c r="DL530" s="2">
        <v>0.0</v>
      </c>
      <c r="DM530" s="2">
        <v>0.0</v>
      </c>
      <c r="DN530" s="2">
        <v>0.0</v>
      </c>
      <c r="DO530" s="2">
        <v>0.0</v>
      </c>
      <c r="DP530" s="2">
        <v>0.0</v>
      </c>
      <c r="DQ530" s="2">
        <v>3.0</v>
      </c>
      <c r="DR530" s="2">
        <v>0.0</v>
      </c>
      <c r="DS530" s="2">
        <v>45.0</v>
      </c>
      <c r="DT530" s="2">
        <v>121.0</v>
      </c>
      <c r="DU530" s="2">
        <v>2.0</v>
      </c>
      <c r="DV530" s="2">
        <v>1.0</v>
      </c>
      <c r="DW530" s="2">
        <v>0.0</v>
      </c>
      <c r="DX530" s="2">
        <v>0.0</v>
      </c>
      <c r="DY530" s="2">
        <v>1.0</v>
      </c>
      <c r="DZ530" s="2">
        <v>1.0</v>
      </c>
      <c r="EA530" s="2">
        <v>13.0</v>
      </c>
      <c r="EB530" s="2">
        <v>0.0</v>
      </c>
      <c r="EC530" s="2">
        <v>108.0</v>
      </c>
      <c r="EE530" s="2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2">
        <v>2025.0</v>
      </c>
      <c r="B531" s="2">
        <v>18.0</v>
      </c>
      <c r="C531" s="2" t="s">
        <v>210</v>
      </c>
      <c r="D531" s="2" t="s">
        <v>390</v>
      </c>
      <c r="E531" s="2" t="s">
        <v>1192</v>
      </c>
      <c r="F531" s="2" t="s">
        <v>140</v>
      </c>
      <c r="G531" s="2">
        <v>22.0</v>
      </c>
      <c r="H531" s="2">
        <v>35.0</v>
      </c>
      <c r="I531" s="2">
        <v>286.0</v>
      </c>
      <c r="J531" s="2">
        <v>2.0</v>
      </c>
      <c r="K531" s="2">
        <v>1.0</v>
      </c>
      <c r="L531" s="2">
        <v>1.0</v>
      </c>
      <c r="M531" s="2">
        <v>-8.0</v>
      </c>
      <c r="N531" s="2">
        <v>1.0</v>
      </c>
      <c r="O531" s="2">
        <v>1.0</v>
      </c>
      <c r="P531" s="2">
        <v>318.0</v>
      </c>
      <c r="Q531" s="2">
        <v>104.0</v>
      </c>
      <c r="R531" s="2">
        <v>11.0</v>
      </c>
      <c r="S531" s="2">
        <v>5.36501449962631</v>
      </c>
      <c r="T531" s="2">
        <v>2.22416872327978</v>
      </c>
      <c r="U531" s="2">
        <v>0.0</v>
      </c>
      <c r="V531" s="2">
        <v>8.0</v>
      </c>
      <c r="W531" s="2">
        <v>6.0</v>
      </c>
      <c r="X531" s="2">
        <v>4.0</v>
      </c>
      <c r="Y531" s="2">
        <v>2.0</v>
      </c>
      <c r="Z531" s="2">
        <v>28.0</v>
      </c>
      <c r="AA531" s="2">
        <v>76.0</v>
      </c>
      <c r="AB531" s="2">
        <v>1.0</v>
      </c>
      <c r="AC531" s="2">
        <v>0.0</v>
      </c>
      <c r="AD531" s="2">
        <v>0.0</v>
      </c>
      <c r="AE531" s="2">
        <v>7.0</v>
      </c>
      <c r="AF531" s="2">
        <v>-3.05512869497761</v>
      </c>
      <c r="AG531" s="2">
        <v>0.0</v>
      </c>
      <c r="AH531" s="2">
        <v>1.0</v>
      </c>
      <c r="AI531" s="2">
        <v>0.0</v>
      </c>
      <c r="AJ531" s="2">
        <v>0.0</v>
      </c>
      <c r="AK531" s="2">
        <v>0.0</v>
      </c>
      <c r="AL531" s="2">
        <v>22.0</v>
      </c>
      <c r="AM531" s="2">
        <v>33.0</v>
      </c>
      <c r="AN531" s="2">
        <v>286.0</v>
      </c>
      <c r="AO531" s="2">
        <v>2.0</v>
      </c>
      <c r="AP531" s="2">
        <v>0.0</v>
      </c>
      <c r="AQ531" s="2">
        <v>0.0</v>
      </c>
      <c r="AR531" s="2">
        <v>318.0</v>
      </c>
      <c r="AS531" s="2">
        <v>104.0</v>
      </c>
      <c r="AT531" s="2">
        <v>11.0</v>
      </c>
      <c r="AU531" s="2">
        <v>6.09753719748365</v>
      </c>
      <c r="AV531" s="2">
        <v>0.0</v>
      </c>
      <c r="AW531" s="2">
        <v>8.0</v>
      </c>
      <c r="AX531" s="2">
        <v>6.0</v>
      </c>
      <c r="AY531" s="2">
        <v>4.0</v>
      </c>
      <c r="AZ531" s="2">
        <v>2.0</v>
      </c>
      <c r="BA531" s="2">
        <v>0.0</v>
      </c>
      <c r="BB531" s="2">
        <v>37.0</v>
      </c>
      <c r="BC531" s="2">
        <v>1.0</v>
      </c>
      <c r="BD531" s="2">
        <v>35.0</v>
      </c>
      <c r="BE531" s="2">
        <v>3.0</v>
      </c>
      <c r="BF531" s="2">
        <v>8.0</v>
      </c>
      <c r="BG531" s="2">
        <v>0.0</v>
      </c>
      <c r="BH531" s="2">
        <v>0.0</v>
      </c>
      <c r="BI531" s="2">
        <v>0.0</v>
      </c>
      <c r="BJ531" s="2">
        <v>2.0</v>
      </c>
      <c r="BK531" s="2">
        <v>0.0</v>
      </c>
      <c r="BL531" s="2">
        <v>0.0</v>
      </c>
      <c r="BM531" s="2">
        <v>3.0</v>
      </c>
      <c r="BN531" s="2">
        <v>0.0</v>
      </c>
      <c r="BO531" s="2">
        <v>0.0</v>
      </c>
      <c r="BP531" s="2">
        <v>0.0</v>
      </c>
      <c r="BQ531" s="2">
        <v>0.0</v>
      </c>
      <c r="BR531" s="2">
        <v>0.0</v>
      </c>
      <c r="BS531" s="2">
        <v>0.0</v>
      </c>
      <c r="BT531" s="2">
        <v>0.0</v>
      </c>
      <c r="BU531" s="2">
        <v>0.0</v>
      </c>
      <c r="BV531" s="2">
        <v>0.0</v>
      </c>
      <c r="BW531" s="2">
        <v>7.0</v>
      </c>
      <c r="BX531" s="2">
        <v>81.0</v>
      </c>
      <c r="BY531" s="2">
        <v>3.0</v>
      </c>
      <c r="BZ531" s="2">
        <v>2.0</v>
      </c>
      <c r="CA531" s="2">
        <v>0.0</v>
      </c>
      <c r="CB531" s="2">
        <v>0.0</v>
      </c>
      <c r="CC531" s="2">
        <v>2.0</v>
      </c>
      <c r="CD531" s="2">
        <v>2.0</v>
      </c>
      <c r="CE531" s="2">
        <v>1.0</v>
      </c>
      <c r="CF531" s="2">
        <v>13.0</v>
      </c>
      <c r="CG531" s="2">
        <v>4.0</v>
      </c>
      <c r="CH531" s="2">
        <v>112.0</v>
      </c>
      <c r="CI531" s="2">
        <v>3.0</v>
      </c>
      <c r="CJ531" s="2">
        <v>3.0</v>
      </c>
      <c r="CK531" s="2">
        <v>0.0</v>
      </c>
      <c r="CL531" s="2">
        <v>0.0</v>
      </c>
      <c r="CM531" s="2">
        <v>50.0</v>
      </c>
      <c r="CN531" s="2">
        <v>1.0</v>
      </c>
      <c r="CO531" s="2">
        <v>0.0</v>
      </c>
      <c r="CP531" s="2">
        <v>1.0</v>
      </c>
      <c r="CQ531" s="2">
        <v>1.0</v>
      </c>
      <c r="CR531" s="2">
        <v>0.0</v>
      </c>
      <c r="CS531" s="2">
        <v>1.0</v>
      </c>
      <c r="CT531" s="2">
        <v>0.0</v>
      </c>
      <c r="CU531" s="2">
        <v>0.0</v>
      </c>
      <c r="CV531" s="2">
        <v>0.0</v>
      </c>
      <c r="CW531" s="2">
        <v>0.0</v>
      </c>
      <c r="CX531" s="2">
        <v>0.0</v>
      </c>
      <c r="CY531" s="2">
        <v>0.0</v>
      </c>
      <c r="CZ531" s="2">
        <v>0.0</v>
      </c>
      <c r="DA531" s="2" t="s">
        <v>2287</v>
      </c>
      <c r="DD531" s="2">
        <v>111.0</v>
      </c>
      <c r="DE531" s="2">
        <v>0.0</v>
      </c>
      <c r="DF531" s="2">
        <v>0.0</v>
      </c>
      <c r="DG531" s="2">
        <v>3.0</v>
      </c>
      <c r="DH531" s="2">
        <v>3.0</v>
      </c>
      <c r="DI531" s="2">
        <v>0.0</v>
      </c>
      <c r="DJ531" s="2">
        <v>0.0</v>
      </c>
      <c r="DK531" s="2">
        <v>1.0</v>
      </c>
      <c r="DL531" s="2">
        <v>0.0</v>
      </c>
      <c r="DM531" s="2">
        <v>0.0</v>
      </c>
      <c r="DN531" s="2">
        <v>0.0</v>
      </c>
      <c r="DO531" s="2">
        <v>0.0</v>
      </c>
      <c r="DP531" s="2">
        <v>0.0</v>
      </c>
      <c r="DQ531" s="2">
        <v>2.0</v>
      </c>
      <c r="DR531" s="2">
        <v>0.0</v>
      </c>
      <c r="DS531" s="2">
        <v>49.0</v>
      </c>
      <c r="DT531" s="2">
        <v>90.0</v>
      </c>
      <c r="DU531" s="2">
        <v>0.0</v>
      </c>
      <c r="DV531" s="2">
        <v>0.0</v>
      </c>
      <c r="DW531" s="2">
        <v>1.0</v>
      </c>
      <c r="DX531" s="2">
        <v>0.0</v>
      </c>
      <c r="DY531" s="2">
        <v>0.0</v>
      </c>
      <c r="DZ531" s="2">
        <v>1.0</v>
      </c>
      <c r="EA531" s="2">
        <v>6.0</v>
      </c>
      <c r="EB531" s="2">
        <v>0.0</v>
      </c>
      <c r="EC531" s="2">
        <v>84.0</v>
      </c>
      <c r="EE531" s="2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2">
        <v>2025.0</v>
      </c>
      <c r="B532" s="2">
        <v>18.0</v>
      </c>
      <c r="C532" s="2" t="s">
        <v>141</v>
      </c>
      <c r="D532" s="2" t="s">
        <v>390</v>
      </c>
      <c r="E532" s="2" t="s">
        <v>1196</v>
      </c>
      <c r="F532" s="2" t="s">
        <v>250</v>
      </c>
      <c r="G532" s="2">
        <v>24.0</v>
      </c>
      <c r="H532" s="2">
        <v>32.0</v>
      </c>
      <c r="I532" s="2">
        <v>271.0</v>
      </c>
      <c r="J532" s="2">
        <v>3.0</v>
      </c>
      <c r="K532" s="2">
        <v>0.0</v>
      </c>
      <c r="L532" s="2">
        <v>2.0</v>
      </c>
      <c r="M532" s="2">
        <v>-16.0</v>
      </c>
      <c r="N532" s="2">
        <v>0.0</v>
      </c>
      <c r="O532" s="2">
        <v>0.0</v>
      </c>
      <c r="P532" s="2">
        <v>295.0</v>
      </c>
      <c r="Q532" s="2">
        <v>90.0</v>
      </c>
      <c r="R532" s="2">
        <v>17.0</v>
      </c>
      <c r="S532" s="2">
        <v>13.6185745220602</v>
      </c>
      <c r="T532" s="2">
        <v>13.267306262447</v>
      </c>
      <c r="U532" s="2">
        <v>0.0</v>
      </c>
      <c r="V532" s="2">
        <v>11.0</v>
      </c>
      <c r="W532" s="2">
        <v>6.0</v>
      </c>
      <c r="X532" s="2">
        <v>4.0</v>
      </c>
      <c r="Y532" s="2">
        <v>0.0</v>
      </c>
      <c r="Z532" s="2">
        <v>24.0</v>
      </c>
      <c r="AA532" s="2">
        <v>64.0</v>
      </c>
      <c r="AB532" s="2">
        <v>1.0</v>
      </c>
      <c r="AC532" s="2">
        <v>0.0</v>
      </c>
      <c r="AD532" s="2">
        <v>0.0</v>
      </c>
      <c r="AE532" s="2">
        <v>4.0</v>
      </c>
      <c r="AF532" s="2">
        <v>-1.58131104425411</v>
      </c>
      <c r="AG532" s="2">
        <v>0.0</v>
      </c>
      <c r="AH532" s="2">
        <v>3.0</v>
      </c>
      <c r="AI532" s="2">
        <v>1.0</v>
      </c>
      <c r="AJ532" s="2">
        <v>0.0</v>
      </c>
      <c r="AK532" s="2">
        <v>0.0</v>
      </c>
      <c r="AL532" s="2">
        <v>24.0</v>
      </c>
      <c r="AM532" s="2">
        <v>31.0</v>
      </c>
      <c r="AN532" s="2">
        <v>271.0</v>
      </c>
      <c r="AO532" s="2">
        <v>3.0</v>
      </c>
      <c r="AP532" s="2">
        <v>0.0</v>
      </c>
      <c r="AQ532" s="2">
        <v>0.0</v>
      </c>
      <c r="AR532" s="2">
        <v>295.0</v>
      </c>
      <c r="AS532" s="2">
        <v>90.0</v>
      </c>
      <c r="AT532" s="2">
        <v>17.0</v>
      </c>
      <c r="AU532" s="2">
        <v>18.5806975260813</v>
      </c>
      <c r="AV532" s="2">
        <v>0.0</v>
      </c>
      <c r="AW532" s="2">
        <v>11.0</v>
      </c>
      <c r="AX532" s="2">
        <v>6.0</v>
      </c>
      <c r="AY532" s="2">
        <v>4.0</v>
      </c>
      <c r="AZ532" s="2">
        <v>0.0</v>
      </c>
      <c r="BA532" s="2">
        <v>0.0</v>
      </c>
      <c r="BB532" s="2">
        <v>27.0</v>
      </c>
      <c r="BC532" s="2">
        <v>1.0</v>
      </c>
      <c r="BD532" s="2">
        <v>27.0</v>
      </c>
      <c r="BE532" s="2">
        <v>5.0</v>
      </c>
      <c r="BF532" s="2">
        <v>16.0</v>
      </c>
      <c r="BG532" s="2">
        <v>0.0</v>
      </c>
      <c r="BH532" s="2">
        <v>1.0</v>
      </c>
      <c r="BI532" s="2">
        <v>7.0</v>
      </c>
      <c r="BJ532" s="2">
        <v>5.0</v>
      </c>
      <c r="BK532" s="2">
        <v>1.0</v>
      </c>
      <c r="BL532" s="2">
        <v>58.0</v>
      </c>
      <c r="BM532" s="2">
        <v>4.0</v>
      </c>
      <c r="BN532" s="2">
        <v>1.0</v>
      </c>
      <c r="BO532" s="2">
        <v>1.0</v>
      </c>
      <c r="BP532" s="2">
        <v>0.0</v>
      </c>
      <c r="BQ532" s="2">
        <v>0.0</v>
      </c>
      <c r="BR532" s="2">
        <v>1.0</v>
      </c>
      <c r="BS532" s="2">
        <v>0.0</v>
      </c>
      <c r="BT532" s="2">
        <v>0.0</v>
      </c>
      <c r="BU532" s="2">
        <v>0.0</v>
      </c>
      <c r="BV532" s="2">
        <v>0.0</v>
      </c>
      <c r="BW532" s="2">
        <v>3.0</v>
      </c>
      <c r="BX532" s="2">
        <v>20.0</v>
      </c>
      <c r="BY532" s="2">
        <v>1.0</v>
      </c>
      <c r="BZ532" s="2">
        <v>0.0</v>
      </c>
      <c r="CA532" s="2">
        <v>1.0</v>
      </c>
      <c r="CB532" s="2">
        <v>0.0</v>
      </c>
      <c r="CC532" s="2">
        <v>1.0</v>
      </c>
      <c r="CD532" s="2">
        <v>0.0</v>
      </c>
      <c r="CE532" s="2">
        <v>2.0</v>
      </c>
      <c r="CF532" s="2">
        <v>6.0</v>
      </c>
      <c r="CG532" s="2">
        <v>2.0</v>
      </c>
      <c r="CH532" s="2">
        <v>52.0</v>
      </c>
      <c r="CI532" s="2">
        <v>2.0</v>
      </c>
      <c r="CJ532" s="2">
        <v>2.0</v>
      </c>
      <c r="CK532" s="2">
        <v>0.0</v>
      </c>
      <c r="CL532" s="2">
        <v>0.0</v>
      </c>
      <c r="CM532" s="2">
        <v>67.0</v>
      </c>
      <c r="CN532" s="2">
        <v>1.0</v>
      </c>
      <c r="CO532" s="2">
        <v>0.0</v>
      </c>
      <c r="CP532" s="2">
        <v>0.0</v>
      </c>
      <c r="CQ532" s="2">
        <v>0.0</v>
      </c>
      <c r="CR532" s="2">
        <v>0.0</v>
      </c>
      <c r="CS532" s="2">
        <v>1.0</v>
      </c>
      <c r="CT532" s="2">
        <v>1.0</v>
      </c>
      <c r="CU532" s="2">
        <v>0.0</v>
      </c>
      <c r="CV532" s="2">
        <v>0.0</v>
      </c>
      <c r="CW532" s="2">
        <v>0.0</v>
      </c>
      <c r="CX532" s="2">
        <v>0.0</v>
      </c>
      <c r="CY532" s="2">
        <v>0.0</v>
      </c>
      <c r="CZ532" s="2">
        <v>0.0</v>
      </c>
      <c r="DA532" s="2" t="s">
        <v>2288</v>
      </c>
      <c r="DD532" s="2">
        <v>119.0</v>
      </c>
      <c r="DE532" s="2">
        <v>0.0</v>
      </c>
      <c r="DF532" s="2">
        <v>0.0</v>
      </c>
      <c r="DG532" s="2">
        <v>5.0</v>
      </c>
      <c r="DH532" s="2">
        <v>5.0</v>
      </c>
      <c r="DI532" s="2">
        <v>0.0</v>
      </c>
      <c r="DJ532" s="2">
        <v>0.0</v>
      </c>
      <c r="DK532" s="2">
        <v>1.0</v>
      </c>
      <c r="DL532" s="2">
        <v>0.0</v>
      </c>
      <c r="DM532" s="2">
        <v>0.0</v>
      </c>
      <c r="DN532" s="2">
        <v>0.0</v>
      </c>
      <c r="DO532" s="2">
        <v>0.0</v>
      </c>
      <c r="DP532" s="2">
        <v>0.0</v>
      </c>
      <c r="DQ532" s="2">
        <v>3.0</v>
      </c>
      <c r="DR532" s="2">
        <v>0.0</v>
      </c>
      <c r="DS532" s="2">
        <v>60.0</v>
      </c>
      <c r="DT532" s="2">
        <v>138.0</v>
      </c>
      <c r="DU532" s="2">
        <v>1.0</v>
      </c>
      <c r="DV532" s="2">
        <v>2.0</v>
      </c>
      <c r="DW532" s="2">
        <v>0.0</v>
      </c>
      <c r="DX532" s="2">
        <v>0.0</v>
      </c>
      <c r="DY532" s="2">
        <v>0.0</v>
      </c>
      <c r="DZ532" s="2">
        <v>1.0</v>
      </c>
      <c r="EA532" s="2">
        <v>9.0</v>
      </c>
      <c r="EB532" s="2">
        <v>0.0</v>
      </c>
      <c r="EC532" s="2">
        <v>129.0</v>
      </c>
      <c r="EE532" s="2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2">
        <v>2025.0</v>
      </c>
      <c r="B533" s="2">
        <v>18.0</v>
      </c>
      <c r="C533" s="2" t="s">
        <v>143</v>
      </c>
      <c r="D533" s="2" t="s">
        <v>390</v>
      </c>
      <c r="E533" s="2" t="s">
        <v>1200</v>
      </c>
      <c r="F533" s="2" t="s">
        <v>222</v>
      </c>
      <c r="G533" s="2">
        <v>18.0</v>
      </c>
      <c r="H533" s="2">
        <v>31.0</v>
      </c>
      <c r="I533" s="2">
        <v>146.0</v>
      </c>
      <c r="J533" s="2">
        <v>0.0</v>
      </c>
      <c r="K533" s="2">
        <v>0.0</v>
      </c>
      <c r="L533" s="2">
        <v>8.0</v>
      </c>
      <c r="M533" s="2">
        <v>-62.0</v>
      </c>
      <c r="N533" s="2">
        <v>1.0</v>
      </c>
      <c r="O533" s="2">
        <v>1.0</v>
      </c>
      <c r="P533" s="2">
        <v>223.0</v>
      </c>
      <c r="Q533" s="2">
        <v>80.0</v>
      </c>
      <c r="R533" s="2">
        <v>6.0</v>
      </c>
      <c r="S533" s="2">
        <v>-22.6187338409778</v>
      </c>
      <c r="T533" s="2">
        <v>-12.0007945100466</v>
      </c>
      <c r="U533" s="2">
        <v>0.0</v>
      </c>
      <c r="V533" s="2">
        <v>5.0</v>
      </c>
      <c r="W533" s="2">
        <v>1.0</v>
      </c>
      <c r="X533" s="2">
        <v>1.0</v>
      </c>
      <c r="Y533" s="2">
        <v>1.0</v>
      </c>
      <c r="Z533" s="2">
        <v>23.0</v>
      </c>
      <c r="AA533" s="2">
        <v>84.0</v>
      </c>
      <c r="AB533" s="2">
        <v>0.0</v>
      </c>
      <c r="AC533" s="2">
        <v>1.0</v>
      </c>
      <c r="AD533" s="2">
        <v>1.0</v>
      </c>
      <c r="AE533" s="2">
        <v>4.0</v>
      </c>
      <c r="AF533" s="2">
        <v>-6.41004245792283</v>
      </c>
      <c r="AG533" s="2">
        <v>0.0</v>
      </c>
      <c r="AH533" s="2">
        <v>2.0</v>
      </c>
      <c r="AI533" s="2">
        <v>1.0</v>
      </c>
      <c r="AJ533" s="2">
        <v>0.0</v>
      </c>
      <c r="AK533" s="2">
        <v>0.0</v>
      </c>
      <c r="AL533" s="2">
        <v>18.0</v>
      </c>
      <c r="AM533" s="2">
        <v>30.0</v>
      </c>
      <c r="AN533" s="2">
        <v>146.0</v>
      </c>
      <c r="AO533" s="2">
        <v>0.0</v>
      </c>
      <c r="AP533" s="2">
        <v>1.0</v>
      </c>
      <c r="AQ533" s="2">
        <v>0.0</v>
      </c>
      <c r="AR533" s="2">
        <v>223.0</v>
      </c>
      <c r="AS533" s="2">
        <v>80.0</v>
      </c>
      <c r="AT533" s="2">
        <v>6.0</v>
      </c>
      <c r="AU533" s="2">
        <v>-5.25334330129909</v>
      </c>
      <c r="AV533" s="2">
        <v>0.0</v>
      </c>
      <c r="AW533" s="2">
        <v>5.0</v>
      </c>
      <c r="AX533" s="2">
        <v>1.0</v>
      </c>
      <c r="AY533" s="2">
        <v>1.0</v>
      </c>
      <c r="AZ533" s="2">
        <v>1.0</v>
      </c>
      <c r="BA533" s="2">
        <v>0.0</v>
      </c>
      <c r="BB533" s="2">
        <v>36.0</v>
      </c>
      <c r="BC533" s="2">
        <v>2.0</v>
      </c>
      <c r="BD533" s="2">
        <v>36.0</v>
      </c>
      <c r="BE533" s="2">
        <v>8.0</v>
      </c>
      <c r="BF533" s="2">
        <v>26.0</v>
      </c>
      <c r="BG533" s="2">
        <v>1.0</v>
      </c>
      <c r="BH533" s="2">
        <v>3.0</v>
      </c>
      <c r="BI533" s="2">
        <v>19.0</v>
      </c>
      <c r="BJ533" s="2">
        <v>5.0</v>
      </c>
      <c r="BK533" s="2">
        <v>1.0</v>
      </c>
      <c r="BL533" s="2">
        <v>1.0</v>
      </c>
      <c r="BM533" s="2">
        <v>7.0</v>
      </c>
      <c r="BN533" s="2">
        <v>0.0</v>
      </c>
      <c r="BO533" s="2">
        <v>0.0</v>
      </c>
      <c r="BP533" s="2">
        <v>0.0</v>
      </c>
      <c r="BQ533" s="2">
        <v>0.0</v>
      </c>
      <c r="BR533" s="2">
        <v>1.0</v>
      </c>
      <c r="BS533" s="2">
        <v>8.0</v>
      </c>
      <c r="BT533" s="2">
        <v>1.0</v>
      </c>
      <c r="BU533" s="2">
        <v>0.0</v>
      </c>
      <c r="BV533" s="2">
        <v>0.0</v>
      </c>
      <c r="BW533" s="2">
        <v>7.0</v>
      </c>
      <c r="BX533" s="2">
        <v>45.0</v>
      </c>
      <c r="BY533" s="2">
        <v>4.0</v>
      </c>
      <c r="BZ533" s="2">
        <v>3.0</v>
      </c>
      <c r="CA533" s="2">
        <v>0.0</v>
      </c>
      <c r="CB533" s="2">
        <v>0.0</v>
      </c>
      <c r="CC533" s="2">
        <v>3.0</v>
      </c>
      <c r="CD533" s="2">
        <v>2.0</v>
      </c>
      <c r="CE533" s="2">
        <v>4.0</v>
      </c>
      <c r="CF533" s="2">
        <v>13.0</v>
      </c>
      <c r="CG533" s="2">
        <v>0.0</v>
      </c>
      <c r="CH533" s="2">
        <v>0.0</v>
      </c>
      <c r="CI533" s="2">
        <v>4.0</v>
      </c>
      <c r="CJ533" s="2">
        <v>4.0</v>
      </c>
      <c r="CK533" s="2">
        <v>0.0</v>
      </c>
      <c r="CL533" s="2">
        <v>0.0</v>
      </c>
      <c r="CM533" s="2">
        <v>47.0</v>
      </c>
      <c r="CN533" s="2">
        <v>1.0</v>
      </c>
      <c r="CO533" s="2">
        <v>0.0</v>
      </c>
      <c r="CP533" s="2">
        <v>0.0</v>
      </c>
      <c r="CQ533" s="2">
        <v>1.0</v>
      </c>
      <c r="CR533" s="2">
        <v>3.0</v>
      </c>
      <c r="CS533" s="2">
        <v>0.0</v>
      </c>
      <c r="CT533" s="2">
        <v>0.0</v>
      </c>
      <c r="CU533" s="2">
        <v>0.0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 t="s">
        <v>2289</v>
      </c>
      <c r="DD533" s="2">
        <v>164.0</v>
      </c>
      <c r="DE533" s="2">
        <v>0.0</v>
      </c>
      <c r="DF533" s="2">
        <v>0.0</v>
      </c>
      <c r="DG533" s="2">
        <v>0.0</v>
      </c>
      <c r="DH533" s="2">
        <v>0.0</v>
      </c>
      <c r="DI533" s="2">
        <v>0.0</v>
      </c>
      <c r="DJ533" s="2">
        <v>0.0</v>
      </c>
      <c r="DL533" s="2">
        <v>0.0</v>
      </c>
      <c r="DM533" s="2">
        <v>0.0</v>
      </c>
      <c r="DN533" s="2">
        <v>0.0</v>
      </c>
      <c r="DO533" s="2">
        <v>0.0</v>
      </c>
      <c r="DP533" s="2">
        <v>0.0</v>
      </c>
      <c r="DQ533" s="2">
        <v>6.0</v>
      </c>
      <c r="DR533" s="2">
        <v>0.0</v>
      </c>
      <c r="DS533" s="2">
        <v>59.0</v>
      </c>
      <c r="DT533" s="2">
        <v>308.0</v>
      </c>
      <c r="DU533" s="2">
        <v>3.0</v>
      </c>
      <c r="DV533" s="2">
        <v>0.0</v>
      </c>
      <c r="DW533" s="2">
        <v>0.0</v>
      </c>
      <c r="DX533" s="2">
        <v>0.0</v>
      </c>
      <c r="DY533" s="2">
        <v>1.0</v>
      </c>
      <c r="DZ533" s="2">
        <v>5.0</v>
      </c>
      <c r="EA533" s="2">
        <v>25.0</v>
      </c>
      <c r="EB533" s="2">
        <v>0.0</v>
      </c>
      <c r="EC533" s="2">
        <v>283.0</v>
      </c>
      <c r="EE533" s="2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2">
        <v>2025.0</v>
      </c>
      <c r="B534" s="2">
        <v>18.0</v>
      </c>
      <c r="C534" s="2" t="s">
        <v>142</v>
      </c>
      <c r="D534" s="2" t="s">
        <v>390</v>
      </c>
      <c r="E534" s="2" t="s">
        <v>1198</v>
      </c>
      <c r="F534" s="2" t="s">
        <v>178</v>
      </c>
      <c r="G534" s="2">
        <v>25.0</v>
      </c>
      <c r="H534" s="2">
        <v>40.0</v>
      </c>
      <c r="I534" s="2">
        <v>259.0</v>
      </c>
      <c r="J534" s="2">
        <v>4.0</v>
      </c>
      <c r="K534" s="2">
        <v>0.0</v>
      </c>
      <c r="L534" s="2">
        <v>1.0</v>
      </c>
      <c r="M534" s="2">
        <v>-7.0</v>
      </c>
      <c r="N534" s="2">
        <v>0.0</v>
      </c>
      <c r="O534" s="2">
        <v>0.0</v>
      </c>
      <c r="P534" s="2">
        <v>359.0</v>
      </c>
      <c r="Q534" s="2">
        <v>89.0</v>
      </c>
      <c r="R534" s="2">
        <v>16.0</v>
      </c>
      <c r="S534" s="2">
        <v>15.790981256605</v>
      </c>
      <c r="T534" s="2">
        <v>-1.889185969894</v>
      </c>
      <c r="U534" s="2">
        <v>0.0</v>
      </c>
      <c r="V534" s="2">
        <v>10.0</v>
      </c>
      <c r="W534" s="2">
        <v>7.0</v>
      </c>
      <c r="X534" s="2">
        <v>4.0</v>
      </c>
      <c r="Y534" s="2">
        <v>0.0</v>
      </c>
      <c r="Z534" s="2">
        <v>31.0</v>
      </c>
      <c r="AA534" s="2">
        <v>143.0</v>
      </c>
      <c r="AB534" s="2">
        <v>0.0</v>
      </c>
      <c r="AC534" s="2">
        <v>0.0</v>
      </c>
      <c r="AD534" s="2">
        <v>0.0</v>
      </c>
      <c r="AE534" s="2">
        <v>9.0</v>
      </c>
      <c r="AF534" s="2">
        <v>0.274100388434027</v>
      </c>
      <c r="AG534" s="2">
        <v>0.0</v>
      </c>
      <c r="AH534" s="2">
        <v>5.0</v>
      </c>
      <c r="AI534" s="2">
        <v>4.0</v>
      </c>
      <c r="AJ534" s="2">
        <v>2.0</v>
      </c>
      <c r="AK534" s="2">
        <v>0.0</v>
      </c>
      <c r="AL534" s="2">
        <v>25.0</v>
      </c>
      <c r="AM534" s="2">
        <v>37.0</v>
      </c>
      <c r="AN534" s="2">
        <v>259.0</v>
      </c>
      <c r="AO534" s="2">
        <v>4.0</v>
      </c>
      <c r="AP534" s="2">
        <v>0.0</v>
      </c>
      <c r="AQ534" s="2">
        <v>0.0</v>
      </c>
      <c r="AR534" s="2">
        <v>359.0</v>
      </c>
      <c r="AS534" s="2">
        <v>89.0</v>
      </c>
      <c r="AT534" s="2">
        <v>16.0</v>
      </c>
      <c r="AU534" s="2">
        <v>17.6488578596891</v>
      </c>
      <c r="AV534" s="2">
        <v>0.0</v>
      </c>
      <c r="AW534" s="2">
        <v>10.0</v>
      </c>
      <c r="AX534" s="2">
        <v>7.0</v>
      </c>
      <c r="AY534" s="2">
        <v>4.0</v>
      </c>
      <c r="AZ534" s="2">
        <v>0.0</v>
      </c>
      <c r="BA534" s="2">
        <v>0.0</v>
      </c>
      <c r="BB534" s="2">
        <v>40.0</v>
      </c>
      <c r="BC534" s="2">
        <v>0.0</v>
      </c>
      <c r="BD534" s="2">
        <v>12.0</v>
      </c>
      <c r="BE534" s="2">
        <v>7.0</v>
      </c>
      <c r="BF534" s="2">
        <v>36.0</v>
      </c>
      <c r="BG534" s="2">
        <v>1.0</v>
      </c>
      <c r="BH534" s="2">
        <v>6.0</v>
      </c>
      <c r="BI534" s="2">
        <v>33.0</v>
      </c>
      <c r="BJ534" s="2">
        <v>12.0</v>
      </c>
      <c r="BK534" s="2">
        <v>1.0</v>
      </c>
      <c r="BL534" s="2">
        <v>0.0</v>
      </c>
      <c r="BM534" s="2">
        <v>3.0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1.0</v>
      </c>
      <c r="BU534" s="2">
        <v>0.0</v>
      </c>
      <c r="BV534" s="2">
        <v>0.0</v>
      </c>
      <c r="BW534" s="2">
        <v>4.0</v>
      </c>
      <c r="BX534" s="2">
        <v>20.0</v>
      </c>
      <c r="BY534" s="2">
        <v>3.0</v>
      </c>
      <c r="BZ534" s="2">
        <v>0.0</v>
      </c>
      <c r="CA534" s="2">
        <v>0.0</v>
      </c>
      <c r="CB534" s="2">
        <v>0.0</v>
      </c>
      <c r="CC534" s="2">
        <v>0.0</v>
      </c>
      <c r="CD534" s="2">
        <v>0.0</v>
      </c>
      <c r="CE534" s="2">
        <v>1.0</v>
      </c>
      <c r="CF534" s="2">
        <v>9.0</v>
      </c>
      <c r="CG534" s="2">
        <v>5.0</v>
      </c>
      <c r="CH534" s="2">
        <v>134.0</v>
      </c>
      <c r="CI534" s="2">
        <v>3.0</v>
      </c>
      <c r="CJ534" s="2">
        <v>3.0</v>
      </c>
      <c r="CK534" s="2">
        <v>0.0</v>
      </c>
      <c r="CL534" s="2">
        <v>0.0</v>
      </c>
      <c r="CM534" s="2">
        <v>42.0</v>
      </c>
      <c r="CN534" s="2">
        <v>1.0</v>
      </c>
      <c r="CO534" s="2">
        <v>0.0</v>
      </c>
      <c r="CP534" s="2">
        <v>0.0</v>
      </c>
      <c r="CQ534" s="2">
        <v>1.0</v>
      </c>
      <c r="CR534" s="2">
        <v>2.0</v>
      </c>
      <c r="CS534" s="2">
        <v>0.0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0.0</v>
      </c>
      <c r="DA534" s="2" t="s">
        <v>2290</v>
      </c>
      <c r="DD534" s="2">
        <v>116.0</v>
      </c>
      <c r="DE534" s="2">
        <v>0.0</v>
      </c>
      <c r="DF534" s="2">
        <v>0.0</v>
      </c>
      <c r="DG534" s="2">
        <v>4.0</v>
      </c>
      <c r="DH534" s="2">
        <v>4.0</v>
      </c>
      <c r="DI534" s="2">
        <v>0.0</v>
      </c>
      <c r="DJ534" s="2">
        <v>0.0</v>
      </c>
      <c r="DK534" s="2">
        <v>1.0</v>
      </c>
      <c r="DL534" s="2">
        <v>0.0</v>
      </c>
      <c r="DM534" s="2">
        <v>0.0</v>
      </c>
      <c r="DN534" s="2">
        <v>0.0</v>
      </c>
      <c r="DO534" s="2">
        <v>0.0</v>
      </c>
      <c r="DP534" s="2">
        <v>0.0</v>
      </c>
      <c r="DQ534" s="2">
        <v>2.0</v>
      </c>
      <c r="DR534" s="2">
        <v>0.0</v>
      </c>
      <c r="DS534" s="2">
        <v>64.0</v>
      </c>
      <c r="DT534" s="2">
        <v>117.0</v>
      </c>
      <c r="DU534" s="2">
        <v>0.0</v>
      </c>
      <c r="DV534" s="2">
        <v>0.0</v>
      </c>
      <c r="DW534" s="2">
        <v>0.0</v>
      </c>
      <c r="DX534" s="2">
        <v>0.0</v>
      </c>
      <c r="DY534" s="2">
        <v>0.0</v>
      </c>
      <c r="DZ534" s="2">
        <v>2.0</v>
      </c>
      <c r="EA534" s="2">
        <v>27.0</v>
      </c>
      <c r="EB534" s="2">
        <v>0.0</v>
      </c>
      <c r="EC534" s="2">
        <v>90.0</v>
      </c>
      <c r="EE534" s="2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2">
        <v>2025.0</v>
      </c>
      <c r="B535" s="2">
        <v>18.0</v>
      </c>
      <c r="C535" s="2" t="s">
        <v>220</v>
      </c>
      <c r="D535" s="2" t="s">
        <v>390</v>
      </c>
      <c r="E535" s="2" t="s">
        <v>1188</v>
      </c>
      <c r="F535" s="2" t="s">
        <v>139</v>
      </c>
      <c r="G535" s="2">
        <v>20.0</v>
      </c>
      <c r="H535" s="2">
        <v>44.0</v>
      </c>
      <c r="I535" s="2">
        <v>136.0</v>
      </c>
      <c r="J535" s="2">
        <v>0.0</v>
      </c>
      <c r="K535" s="2">
        <v>1.0</v>
      </c>
      <c r="L535" s="2">
        <v>4.0</v>
      </c>
      <c r="M535" s="2">
        <v>-32.0</v>
      </c>
      <c r="N535" s="2">
        <v>1.0</v>
      </c>
      <c r="O535" s="2">
        <v>1.0</v>
      </c>
      <c r="P535" s="2">
        <v>395.0</v>
      </c>
      <c r="Q535" s="2">
        <v>69.0</v>
      </c>
      <c r="R535" s="2">
        <v>7.0</v>
      </c>
      <c r="S535" s="2">
        <v>-31.4968801013859</v>
      </c>
      <c r="T535" s="2">
        <v>-11.0033992873995</v>
      </c>
      <c r="U535" s="2">
        <v>0.0</v>
      </c>
      <c r="V535" s="2">
        <v>4.0</v>
      </c>
      <c r="W535" s="2">
        <v>3.0</v>
      </c>
      <c r="X535" s="2">
        <v>0.0</v>
      </c>
      <c r="Y535" s="2">
        <v>0.0</v>
      </c>
      <c r="Z535" s="2">
        <v>21.0</v>
      </c>
      <c r="AA535" s="2">
        <v>113.0</v>
      </c>
      <c r="AB535" s="2">
        <v>0.0</v>
      </c>
      <c r="AC535" s="2">
        <v>0.0</v>
      </c>
      <c r="AD535" s="2">
        <v>0.0</v>
      </c>
      <c r="AE535" s="2">
        <v>6.0</v>
      </c>
      <c r="AF535" s="2">
        <v>3.34226779721212</v>
      </c>
      <c r="AG535" s="2">
        <v>0.0</v>
      </c>
      <c r="AH535" s="2">
        <v>5.0</v>
      </c>
      <c r="AI535" s="2">
        <v>3.0</v>
      </c>
      <c r="AJ535" s="2">
        <v>1.0</v>
      </c>
      <c r="AK535" s="2">
        <v>0.0</v>
      </c>
      <c r="AL535" s="2">
        <v>20.0</v>
      </c>
      <c r="AM535" s="2">
        <v>38.0</v>
      </c>
      <c r="AN535" s="2">
        <v>136.0</v>
      </c>
      <c r="AO535" s="2">
        <v>0.0</v>
      </c>
      <c r="AP535" s="2">
        <v>0.0</v>
      </c>
      <c r="AQ535" s="2">
        <v>0.0</v>
      </c>
      <c r="AR535" s="2">
        <v>395.0</v>
      </c>
      <c r="AS535" s="2">
        <v>69.0</v>
      </c>
      <c r="AT535" s="2">
        <v>7.0</v>
      </c>
      <c r="AU535" s="2">
        <v>-16.7605808433112</v>
      </c>
      <c r="AV535" s="2">
        <v>0.0</v>
      </c>
      <c r="AW535" s="2">
        <v>4.0</v>
      </c>
      <c r="AX535" s="2">
        <v>3.0</v>
      </c>
      <c r="AY535" s="2">
        <v>0.0</v>
      </c>
      <c r="AZ535" s="2">
        <v>0.0</v>
      </c>
      <c r="BA535" s="2">
        <v>0.0</v>
      </c>
      <c r="BB535" s="2">
        <v>35.0</v>
      </c>
      <c r="BC535" s="2">
        <v>0.0</v>
      </c>
      <c r="BD535" s="2">
        <v>28.0</v>
      </c>
      <c r="BE535" s="2">
        <v>7.0</v>
      </c>
      <c r="BF535" s="2">
        <v>22.0</v>
      </c>
      <c r="BG535" s="2">
        <v>0.0</v>
      </c>
      <c r="BH535" s="2">
        <v>4.0</v>
      </c>
      <c r="BI535" s="2">
        <v>17.0</v>
      </c>
      <c r="BJ535" s="2">
        <v>7.0</v>
      </c>
      <c r="BK535" s="2">
        <v>0.0</v>
      </c>
      <c r="BL535" s="2">
        <v>0.0</v>
      </c>
      <c r="BM535" s="2">
        <v>3.0</v>
      </c>
      <c r="BN535" s="2">
        <v>0.0</v>
      </c>
      <c r="BO535" s="2">
        <v>0.0</v>
      </c>
      <c r="BP535" s="2">
        <v>0.0</v>
      </c>
      <c r="BQ535" s="2">
        <v>0.0</v>
      </c>
      <c r="BR535" s="2">
        <v>0.0</v>
      </c>
      <c r="BS535" s="2">
        <v>0.0</v>
      </c>
      <c r="BT535" s="2">
        <v>0.0</v>
      </c>
      <c r="BU535" s="2">
        <v>0.0</v>
      </c>
      <c r="BV535" s="2">
        <v>0.0</v>
      </c>
      <c r="BW535" s="2">
        <v>5.0</v>
      </c>
      <c r="BX535" s="2">
        <v>25.0</v>
      </c>
      <c r="BY535" s="2">
        <v>6.0</v>
      </c>
      <c r="BZ535" s="2">
        <v>1.0</v>
      </c>
      <c r="CA535" s="2">
        <v>0.0</v>
      </c>
      <c r="CB535" s="2">
        <v>0.0</v>
      </c>
      <c r="CC535" s="2">
        <v>1.0</v>
      </c>
      <c r="CD535" s="2">
        <v>1.0</v>
      </c>
      <c r="CE535" s="2">
        <v>1.0</v>
      </c>
      <c r="CF535" s="2">
        <v>11.0</v>
      </c>
      <c r="CG535" s="2">
        <v>3.0</v>
      </c>
      <c r="CH535" s="2">
        <v>66.0</v>
      </c>
      <c r="CI535" s="2">
        <v>1.0</v>
      </c>
      <c r="CJ535" s="2">
        <v>1.0</v>
      </c>
      <c r="CK535" s="2">
        <v>0.0</v>
      </c>
      <c r="CL535" s="2">
        <v>0.0</v>
      </c>
      <c r="CM535" s="2">
        <v>30.0</v>
      </c>
      <c r="CN535" s="2">
        <v>1.0</v>
      </c>
      <c r="CO535" s="2">
        <v>0.0</v>
      </c>
      <c r="CP535" s="2">
        <v>0.0</v>
      </c>
      <c r="CQ535" s="2">
        <v>1.0</v>
      </c>
      <c r="CR535" s="2">
        <v>0.0</v>
      </c>
      <c r="CS535" s="2">
        <v>0.0</v>
      </c>
      <c r="CT535" s="2">
        <v>0.0</v>
      </c>
      <c r="CU535" s="2">
        <v>0.0</v>
      </c>
      <c r="CV535" s="2">
        <v>0.0</v>
      </c>
      <c r="CW535" s="2">
        <v>0.0</v>
      </c>
      <c r="CX535" s="2">
        <v>0.0</v>
      </c>
      <c r="CY535" s="2">
        <v>0.0</v>
      </c>
      <c r="CZ535" s="2">
        <v>0.0</v>
      </c>
      <c r="DA535" s="2" t="s">
        <v>2028</v>
      </c>
      <c r="DD535" s="2">
        <v>30.0</v>
      </c>
      <c r="DE535" s="2">
        <v>0.0</v>
      </c>
      <c r="DF535" s="2">
        <v>0.0</v>
      </c>
      <c r="DG535" s="2">
        <v>0.0</v>
      </c>
      <c r="DH535" s="2">
        <v>0.0</v>
      </c>
      <c r="DI535" s="2">
        <v>0.0</v>
      </c>
      <c r="DJ535" s="2">
        <v>0.0</v>
      </c>
      <c r="DL535" s="2">
        <v>0.0</v>
      </c>
      <c r="DM535" s="2">
        <v>0.0</v>
      </c>
      <c r="DN535" s="2">
        <v>0.0</v>
      </c>
      <c r="DO535" s="2">
        <v>0.0</v>
      </c>
      <c r="DP535" s="2">
        <v>0.0</v>
      </c>
      <c r="DQ535" s="2">
        <v>7.0</v>
      </c>
      <c r="DR535" s="2">
        <v>0.0</v>
      </c>
      <c r="DS535" s="2">
        <v>58.0</v>
      </c>
      <c r="DT535" s="2">
        <v>355.0</v>
      </c>
      <c r="DU535" s="2">
        <v>4.0</v>
      </c>
      <c r="DV535" s="2">
        <v>0.0</v>
      </c>
      <c r="DW535" s="2">
        <v>0.0</v>
      </c>
      <c r="DX535" s="2">
        <v>1.0</v>
      </c>
      <c r="DY535" s="2">
        <v>4.0</v>
      </c>
      <c r="DZ535" s="2">
        <v>2.0</v>
      </c>
      <c r="EA535" s="2">
        <v>36.0</v>
      </c>
      <c r="EB535" s="2">
        <v>0.0</v>
      </c>
      <c r="EC535" s="2">
        <v>299.0</v>
      </c>
      <c r="EE535" s="2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2">
        <v>2025.0</v>
      </c>
      <c r="B536" s="2">
        <v>18.0</v>
      </c>
      <c r="C536" s="2" t="s">
        <v>222</v>
      </c>
      <c r="D536" s="2" t="s">
        <v>390</v>
      </c>
      <c r="E536" s="2" t="s">
        <v>1200</v>
      </c>
      <c r="F536" s="2" t="s">
        <v>143</v>
      </c>
      <c r="G536" s="2">
        <v>11.0</v>
      </c>
      <c r="H536" s="2">
        <v>26.0</v>
      </c>
      <c r="I536" s="2">
        <v>105.0</v>
      </c>
      <c r="J536" s="2">
        <v>0.0</v>
      </c>
      <c r="K536" s="2">
        <v>1.0</v>
      </c>
      <c r="L536" s="2">
        <v>3.0</v>
      </c>
      <c r="M536" s="2">
        <v>-19.0</v>
      </c>
      <c r="N536" s="2">
        <v>0.0</v>
      </c>
      <c r="O536" s="2">
        <v>0.0</v>
      </c>
      <c r="P536" s="2">
        <v>226.0</v>
      </c>
      <c r="Q536" s="2">
        <v>39.0</v>
      </c>
      <c r="R536" s="2">
        <v>5.0</v>
      </c>
      <c r="S536" s="2">
        <v>-16.6992927914124</v>
      </c>
      <c r="T536" s="2">
        <v>-27.3680055370698</v>
      </c>
      <c r="U536" s="2">
        <v>0.0</v>
      </c>
      <c r="V536" s="2">
        <v>5.0</v>
      </c>
      <c r="W536" s="2">
        <v>3.0</v>
      </c>
      <c r="X536" s="2">
        <v>2.0</v>
      </c>
      <c r="Y536" s="2">
        <v>0.0</v>
      </c>
      <c r="Z536" s="2">
        <v>32.0</v>
      </c>
      <c r="AA536" s="2">
        <v>118.0</v>
      </c>
      <c r="AB536" s="2">
        <v>0.0</v>
      </c>
      <c r="AC536" s="2">
        <v>0.0</v>
      </c>
      <c r="AD536" s="2">
        <v>0.0</v>
      </c>
      <c r="AE536" s="2">
        <v>5.0</v>
      </c>
      <c r="AF536" s="2">
        <v>-13.2053418532993</v>
      </c>
      <c r="AG536" s="2">
        <v>0.0</v>
      </c>
      <c r="AH536" s="2">
        <v>2.0</v>
      </c>
      <c r="AI536" s="2">
        <v>1.0</v>
      </c>
      <c r="AJ536" s="2">
        <v>0.0</v>
      </c>
      <c r="AK536" s="2">
        <v>0.0</v>
      </c>
      <c r="AL536" s="2">
        <v>11.0</v>
      </c>
      <c r="AM536" s="2">
        <v>26.0</v>
      </c>
      <c r="AN536" s="2">
        <v>105.0</v>
      </c>
      <c r="AO536" s="2">
        <v>0.0</v>
      </c>
      <c r="AP536" s="2">
        <v>0.0</v>
      </c>
      <c r="AQ536" s="2">
        <v>0.0</v>
      </c>
      <c r="AR536" s="2">
        <v>226.0</v>
      </c>
      <c r="AS536" s="2">
        <v>39.0</v>
      </c>
      <c r="AT536" s="2">
        <v>5.0</v>
      </c>
      <c r="AU536" s="2">
        <v>-12.0775180364597</v>
      </c>
      <c r="AV536" s="2">
        <v>0.0</v>
      </c>
      <c r="AW536" s="2">
        <v>5.0</v>
      </c>
      <c r="AX536" s="2">
        <v>3.0</v>
      </c>
      <c r="AY536" s="2">
        <v>2.0</v>
      </c>
      <c r="AZ536" s="2">
        <v>0.0</v>
      </c>
      <c r="BA536" s="2">
        <v>0.0</v>
      </c>
      <c r="BB536" s="2">
        <v>45.0</v>
      </c>
      <c r="BC536" s="2">
        <v>1.0</v>
      </c>
      <c r="BD536" s="2">
        <v>17.0</v>
      </c>
      <c r="BE536" s="2">
        <v>7.0</v>
      </c>
      <c r="BF536" s="2">
        <v>62.0</v>
      </c>
      <c r="BG536" s="2">
        <v>3.0</v>
      </c>
      <c r="BH536" s="2">
        <v>8.0</v>
      </c>
      <c r="BI536" s="2">
        <v>62.0</v>
      </c>
      <c r="BJ536" s="2">
        <v>14.0</v>
      </c>
      <c r="BK536" s="2">
        <v>0.0</v>
      </c>
      <c r="BL536" s="2">
        <v>0.0</v>
      </c>
      <c r="BM536" s="2">
        <v>5.0</v>
      </c>
      <c r="BN536" s="2">
        <v>0.0</v>
      </c>
      <c r="BO536" s="2">
        <v>1.0</v>
      </c>
      <c r="BP536" s="2">
        <v>1.0</v>
      </c>
      <c r="BQ536" s="2">
        <v>0.0</v>
      </c>
      <c r="BR536" s="2">
        <v>1.0</v>
      </c>
      <c r="BS536" s="2">
        <v>0.0</v>
      </c>
      <c r="BT536" s="2">
        <v>2.0</v>
      </c>
      <c r="BU536" s="2">
        <v>0.0</v>
      </c>
      <c r="BV536" s="2">
        <v>0.0</v>
      </c>
      <c r="BW536" s="2">
        <v>2.0</v>
      </c>
      <c r="BX536" s="2">
        <v>10.0</v>
      </c>
      <c r="BY536" s="2">
        <v>6.0</v>
      </c>
      <c r="BZ536" s="2">
        <v>1.0</v>
      </c>
      <c r="CA536" s="2">
        <v>1.0</v>
      </c>
      <c r="CB536" s="2">
        <v>0.0</v>
      </c>
      <c r="CC536" s="2">
        <v>2.0</v>
      </c>
      <c r="CD536" s="2">
        <v>1.0</v>
      </c>
      <c r="CE536" s="2">
        <v>5.0</v>
      </c>
      <c r="CF536" s="2">
        <v>25.0</v>
      </c>
      <c r="CG536" s="2">
        <v>6.0</v>
      </c>
      <c r="CH536" s="2">
        <v>165.0</v>
      </c>
      <c r="CI536" s="2">
        <v>4.0</v>
      </c>
      <c r="CJ536" s="2">
        <v>4.0</v>
      </c>
      <c r="CK536" s="2">
        <v>0.0</v>
      </c>
      <c r="CL536" s="2">
        <v>0.0</v>
      </c>
      <c r="CM536" s="2">
        <v>60.0</v>
      </c>
      <c r="CN536" s="2">
        <v>1.0</v>
      </c>
      <c r="CO536" s="2">
        <v>0.0</v>
      </c>
      <c r="CP536" s="2">
        <v>1.0</v>
      </c>
      <c r="CQ536" s="2">
        <v>1.0</v>
      </c>
      <c r="CR536" s="2">
        <v>0.0</v>
      </c>
      <c r="CS536" s="2">
        <v>1.0</v>
      </c>
      <c r="CT536" s="2">
        <v>1.0</v>
      </c>
      <c r="CU536" s="2">
        <v>0.0</v>
      </c>
      <c r="CV536" s="2">
        <v>0.0</v>
      </c>
      <c r="CW536" s="2">
        <v>0.0</v>
      </c>
      <c r="CX536" s="2">
        <v>0.0</v>
      </c>
      <c r="CY536" s="2">
        <v>0.0</v>
      </c>
      <c r="CZ536" s="2">
        <v>0.0</v>
      </c>
      <c r="DA536" s="2" t="s">
        <v>2291</v>
      </c>
      <c r="DD536" s="2">
        <v>170.0</v>
      </c>
      <c r="DE536" s="2">
        <v>0.0</v>
      </c>
      <c r="DF536" s="2">
        <v>0.0</v>
      </c>
      <c r="DG536" s="2">
        <v>0.0</v>
      </c>
      <c r="DH536" s="2">
        <v>0.0</v>
      </c>
      <c r="DI536" s="2">
        <v>0.0</v>
      </c>
      <c r="DJ536" s="2">
        <v>0.0</v>
      </c>
      <c r="DL536" s="2">
        <v>1.0</v>
      </c>
      <c r="DM536" s="2">
        <v>1.0</v>
      </c>
      <c r="DN536" s="2">
        <v>0.0</v>
      </c>
      <c r="DO536" s="2">
        <v>0.0</v>
      </c>
      <c r="DP536" s="2">
        <v>60.0</v>
      </c>
      <c r="DQ536" s="2">
        <v>6.0</v>
      </c>
      <c r="DR536" s="2">
        <v>0.0</v>
      </c>
      <c r="DS536" s="2">
        <v>56.0</v>
      </c>
      <c r="DT536" s="2">
        <v>307.0</v>
      </c>
      <c r="DU536" s="2">
        <v>2.0</v>
      </c>
      <c r="DV536" s="2">
        <v>1.0</v>
      </c>
      <c r="DW536" s="2">
        <v>0.0</v>
      </c>
      <c r="DX536" s="2">
        <v>0.0</v>
      </c>
      <c r="DY536" s="2">
        <v>1.0</v>
      </c>
      <c r="DZ536" s="2">
        <v>4.0</v>
      </c>
      <c r="EA536" s="2">
        <v>13.0</v>
      </c>
      <c r="EB536" s="2">
        <v>0.0</v>
      </c>
      <c r="EC536" s="2">
        <v>294.0</v>
      </c>
      <c r="EE536" s="2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2">
        <v>2025.0</v>
      </c>
      <c r="B537" s="2">
        <v>18.0</v>
      </c>
      <c r="C537" s="2" t="s">
        <v>225</v>
      </c>
      <c r="D537" s="2" t="s">
        <v>390</v>
      </c>
      <c r="E537" s="2" t="s">
        <v>1206</v>
      </c>
      <c r="F537" s="2" t="s">
        <v>145</v>
      </c>
      <c r="G537" s="2">
        <v>16.0</v>
      </c>
      <c r="H537" s="2">
        <v>25.0</v>
      </c>
      <c r="I537" s="2">
        <v>137.0</v>
      </c>
      <c r="J537" s="2">
        <v>1.0</v>
      </c>
      <c r="K537" s="2">
        <v>1.0</v>
      </c>
      <c r="L537" s="2">
        <v>4.0</v>
      </c>
      <c r="M537" s="2">
        <v>-20.0</v>
      </c>
      <c r="N537" s="2">
        <v>0.0</v>
      </c>
      <c r="O537" s="2">
        <v>0.0</v>
      </c>
      <c r="P537" s="2">
        <v>160.0</v>
      </c>
      <c r="Q537" s="2">
        <v>89.0</v>
      </c>
      <c r="R537" s="2">
        <v>7.0</v>
      </c>
      <c r="S537" s="2">
        <v>-10.1004116802193</v>
      </c>
      <c r="T537" s="2">
        <v>0.968720763921738</v>
      </c>
      <c r="U537" s="2">
        <v>0.0</v>
      </c>
      <c r="V537" s="2">
        <v>5.0</v>
      </c>
      <c r="W537" s="2">
        <v>4.0</v>
      </c>
      <c r="X537" s="2">
        <v>2.0</v>
      </c>
      <c r="Y537" s="2">
        <v>0.0</v>
      </c>
      <c r="Z537" s="2">
        <v>25.0</v>
      </c>
      <c r="AA537" s="2">
        <v>63.0</v>
      </c>
      <c r="AB537" s="2">
        <v>0.0</v>
      </c>
      <c r="AC537" s="2">
        <v>2.0</v>
      </c>
      <c r="AD537" s="2">
        <v>1.0</v>
      </c>
      <c r="AE537" s="2">
        <v>5.0</v>
      </c>
      <c r="AF537" s="2">
        <v>-8.48060325789265</v>
      </c>
      <c r="AG537" s="2">
        <v>0.0</v>
      </c>
      <c r="AH537" s="2">
        <v>1.0</v>
      </c>
      <c r="AI537" s="2">
        <v>1.0</v>
      </c>
      <c r="AJ537" s="2">
        <v>0.0</v>
      </c>
      <c r="AK537" s="2">
        <v>0.0</v>
      </c>
      <c r="AL537" s="2">
        <v>16.0</v>
      </c>
      <c r="AM537" s="2">
        <v>24.0</v>
      </c>
      <c r="AN537" s="2">
        <v>137.0</v>
      </c>
      <c r="AO537" s="2">
        <v>1.0</v>
      </c>
      <c r="AP537" s="2">
        <v>0.0</v>
      </c>
      <c r="AQ537" s="2">
        <v>0.0</v>
      </c>
      <c r="AR537" s="2">
        <v>160.0</v>
      </c>
      <c r="AS537" s="2">
        <v>89.0</v>
      </c>
      <c r="AT537" s="2">
        <v>7.0</v>
      </c>
      <c r="AU537" s="2">
        <v>-3.4287435696875</v>
      </c>
      <c r="AV537" s="2">
        <v>0.0</v>
      </c>
      <c r="AW537" s="2">
        <v>5.0</v>
      </c>
      <c r="AX537" s="2">
        <v>4.0</v>
      </c>
      <c r="AY537" s="2">
        <v>2.0</v>
      </c>
      <c r="AZ537" s="2">
        <v>0.0</v>
      </c>
      <c r="BA537" s="2">
        <v>0.0</v>
      </c>
      <c r="BB537" s="2">
        <v>24.0</v>
      </c>
      <c r="BC537" s="2">
        <v>1.0</v>
      </c>
      <c r="BD537" s="2">
        <v>43.0</v>
      </c>
      <c r="BE537" s="2">
        <v>1.0</v>
      </c>
      <c r="BF537" s="2">
        <v>1.0</v>
      </c>
      <c r="BG537" s="2">
        <v>0.0</v>
      </c>
      <c r="BH537" s="2">
        <v>0.0</v>
      </c>
      <c r="BI537" s="2">
        <v>0.0</v>
      </c>
      <c r="BJ537" s="2">
        <v>3.0</v>
      </c>
      <c r="BK537" s="2">
        <v>0.0</v>
      </c>
      <c r="BL537" s="2">
        <v>0.0</v>
      </c>
      <c r="BM537" s="2">
        <v>1.0</v>
      </c>
      <c r="BN537" s="2">
        <v>0.0</v>
      </c>
      <c r="BO537" s="2">
        <v>0.0</v>
      </c>
      <c r="BP537" s="2">
        <v>0.0</v>
      </c>
      <c r="BQ537" s="2">
        <v>10.0</v>
      </c>
      <c r="BR537" s="2">
        <v>1.0</v>
      </c>
      <c r="BS537" s="2">
        <v>0.0</v>
      </c>
      <c r="BT537" s="2">
        <v>0.0</v>
      </c>
      <c r="BU537" s="2">
        <v>0.0</v>
      </c>
      <c r="BV537" s="2">
        <v>0.0</v>
      </c>
      <c r="BW537" s="2">
        <v>7.0</v>
      </c>
      <c r="BX537" s="2">
        <v>52.0</v>
      </c>
      <c r="BY537" s="2">
        <v>3.0</v>
      </c>
      <c r="BZ537" s="2">
        <v>2.0</v>
      </c>
      <c r="CA537" s="2">
        <v>0.0</v>
      </c>
      <c r="CB537" s="2">
        <v>0.0</v>
      </c>
      <c r="CC537" s="2">
        <v>2.0</v>
      </c>
      <c r="CD537" s="2">
        <v>1.0</v>
      </c>
      <c r="CE537" s="2">
        <v>1.0</v>
      </c>
      <c r="CF537" s="2">
        <v>2.0</v>
      </c>
      <c r="CG537" s="2">
        <v>2.0</v>
      </c>
      <c r="CH537" s="2">
        <v>54.0</v>
      </c>
      <c r="CI537" s="2">
        <v>1.0</v>
      </c>
      <c r="CJ537" s="2">
        <v>1.0</v>
      </c>
      <c r="CK537" s="2">
        <v>0.0</v>
      </c>
      <c r="CL537" s="2">
        <v>0.0</v>
      </c>
      <c r="CM537" s="2">
        <v>52.0</v>
      </c>
      <c r="CN537" s="2">
        <v>1.0</v>
      </c>
      <c r="CO537" s="2">
        <v>0.0</v>
      </c>
      <c r="CP537" s="2">
        <v>0.0</v>
      </c>
      <c r="CQ537" s="2">
        <v>0.0</v>
      </c>
      <c r="CR537" s="2">
        <v>0.0</v>
      </c>
      <c r="CS537" s="2">
        <v>1.0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 t="s">
        <v>2034</v>
      </c>
      <c r="DD537" s="2">
        <v>52.0</v>
      </c>
      <c r="DE537" s="2">
        <v>0.0</v>
      </c>
      <c r="DF537" s="2">
        <v>0.0</v>
      </c>
      <c r="DG537" s="2">
        <v>1.0</v>
      </c>
      <c r="DH537" s="2">
        <v>1.0</v>
      </c>
      <c r="DI537" s="2">
        <v>0.0</v>
      </c>
      <c r="DJ537" s="2">
        <v>0.0</v>
      </c>
      <c r="DK537" s="2">
        <v>1.0</v>
      </c>
      <c r="DL537" s="2">
        <v>0.0</v>
      </c>
      <c r="DM537" s="2">
        <v>0.0</v>
      </c>
      <c r="DN537" s="2">
        <v>0.0</v>
      </c>
      <c r="DO537" s="2">
        <v>0.0</v>
      </c>
      <c r="DP537" s="2">
        <v>0.0</v>
      </c>
      <c r="DQ537" s="2">
        <v>6.0</v>
      </c>
      <c r="DR537" s="2">
        <v>0.0</v>
      </c>
      <c r="DS537" s="2">
        <v>50.0</v>
      </c>
      <c r="DT537" s="2">
        <v>245.0</v>
      </c>
      <c r="DU537" s="2">
        <v>0.0</v>
      </c>
      <c r="DV537" s="2">
        <v>1.0</v>
      </c>
      <c r="DW537" s="2">
        <v>3.0</v>
      </c>
      <c r="DX537" s="2">
        <v>0.0</v>
      </c>
      <c r="DY537" s="2">
        <v>2.0</v>
      </c>
      <c r="DZ537" s="2">
        <v>0.0</v>
      </c>
      <c r="EA537" s="2">
        <v>0.0</v>
      </c>
      <c r="EB537" s="2">
        <v>0.0</v>
      </c>
      <c r="EC537" s="2">
        <v>245.0</v>
      </c>
      <c r="EE537" s="2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2">
        <v>2025.0</v>
      </c>
      <c r="B538" s="2">
        <v>18.0</v>
      </c>
      <c r="C538" s="2" t="s">
        <v>144</v>
      </c>
      <c r="D538" s="2" t="s">
        <v>390</v>
      </c>
      <c r="E538" s="2" t="s">
        <v>1202</v>
      </c>
      <c r="F538" s="2" t="s">
        <v>205</v>
      </c>
      <c r="G538" s="2">
        <v>21.0</v>
      </c>
      <c r="H538" s="2">
        <v>31.0</v>
      </c>
      <c r="I538" s="2">
        <v>239.0</v>
      </c>
      <c r="J538" s="2">
        <v>0.0</v>
      </c>
      <c r="K538" s="2">
        <v>0.0</v>
      </c>
      <c r="L538" s="2">
        <v>2.0</v>
      </c>
      <c r="M538" s="2">
        <v>-13.0</v>
      </c>
      <c r="N538" s="2">
        <v>1.0</v>
      </c>
      <c r="O538" s="2">
        <v>1.0</v>
      </c>
      <c r="P538" s="2">
        <v>198.0</v>
      </c>
      <c r="Q538" s="2">
        <v>135.0</v>
      </c>
      <c r="R538" s="2">
        <v>14.0</v>
      </c>
      <c r="S538" s="2">
        <v>2.13356801680502</v>
      </c>
      <c r="T538" s="2">
        <v>1.7802639802297</v>
      </c>
      <c r="U538" s="2">
        <v>0.0</v>
      </c>
      <c r="V538" s="2">
        <v>11.0</v>
      </c>
      <c r="W538" s="2">
        <v>7.0</v>
      </c>
      <c r="X538" s="2">
        <v>2.0</v>
      </c>
      <c r="Y538" s="2">
        <v>0.0</v>
      </c>
      <c r="Z538" s="2">
        <v>31.0</v>
      </c>
      <c r="AA538" s="2">
        <v>137.0</v>
      </c>
      <c r="AB538" s="2">
        <v>1.0</v>
      </c>
      <c r="AC538" s="2">
        <v>0.0</v>
      </c>
      <c r="AD538" s="2">
        <v>0.0</v>
      </c>
      <c r="AE538" s="2">
        <v>8.0</v>
      </c>
      <c r="AF538" s="2">
        <v>-4.86813678816543</v>
      </c>
      <c r="AG538" s="2">
        <v>0.0</v>
      </c>
      <c r="AH538" s="2">
        <v>5.0</v>
      </c>
      <c r="AI538" s="2">
        <v>4.0</v>
      </c>
      <c r="AJ538" s="2">
        <v>1.0</v>
      </c>
      <c r="AK538" s="2">
        <v>0.0</v>
      </c>
      <c r="AL538" s="2">
        <v>21.0</v>
      </c>
      <c r="AM538" s="2">
        <v>30.0</v>
      </c>
      <c r="AN538" s="2">
        <v>239.0</v>
      </c>
      <c r="AO538" s="2">
        <v>0.0</v>
      </c>
      <c r="AP538" s="2">
        <v>0.0</v>
      </c>
      <c r="AQ538" s="2">
        <v>0.0</v>
      </c>
      <c r="AR538" s="2">
        <v>198.0</v>
      </c>
      <c r="AS538" s="2">
        <v>135.0</v>
      </c>
      <c r="AT538" s="2">
        <v>14.0</v>
      </c>
      <c r="AU538" s="2">
        <v>12.0621478392205</v>
      </c>
      <c r="AV538" s="2">
        <v>0.0</v>
      </c>
      <c r="AW538" s="2">
        <v>11.0</v>
      </c>
      <c r="AX538" s="2">
        <v>7.0</v>
      </c>
      <c r="AY538" s="2">
        <v>2.0</v>
      </c>
      <c r="AZ538" s="2">
        <v>0.0</v>
      </c>
      <c r="BA538" s="2">
        <v>0.0</v>
      </c>
      <c r="BB538" s="2">
        <v>33.0</v>
      </c>
      <c r="BC538" s="2">
        <v>2.0</v>
      </c>
      <c r="BD538" s="2">
        <v>28.0</v>
      </c>
      <c r="BE538" s="2">
        <v>8.0</v>
      </c>
      <c r="BF538" s="2">
        <v>65.0</v>
      </c>
      <c r="BG538" s="2">
        <v>1.0</v>
      </c>
      <c r="BH538" s="2">
        <v>4.0</v>
      </c>
      <c r="BI538" s="2">
        <v>41.0</v>
      </c>
      <c r="BJ538" s="2">
        <v>5.0</v>
      </c>
      <c r="BK538" s="2">
        <v>0.0</v>
      </c>
      <c r="BL538" s="2">
        <v>0.0</v>
      </c>
      <c r="BM538" s="2">
        <v>3.0</v>
      </c>
      <c r="BN538" s="2">
        <v>0.0</v>
      </c>
      <c r="BO538" s="2">
        <v>0.0</v>
      </c>
      <c r="BP538" s="2">
        <v>0.0</v>
      </c>
      <c r="BQ538" s="2">
        <v>0.0</v>
      </c>
      <c r="BR538" s="2">
        <v>0.0</v>
      </c>
      <c r="BS538" s="2">
        <v>0.0</v>
      </c>
      <c r="BT538" s="2">
        <v>0.0</v>
      </c>
      <c r="BU538" s="2">
        <v>0.0</v>
      </c>
      <c r="BV538" s="2">
        <v>0.0</v>
      </c>
      <c r="BW538" s="2">
        <v>2.0</v>
      </c>
      <c r="BX538" s="2">
        <v>20.0</v>
      </c>
      <c r="BY538" s="2">
        <v>4.0</v>
      </c>
      <c r="BZ538" s="2">
        <v>1.0</v>
      </c>
      <c r="CA538" s="2">
        <v>0.0</v>
      </c>
      <c r="CB538" s="2">
        <v>0.0</v>
      </c>
      <c r="CC538" s="2">
        <v>1.0</v>
      </c>
      <c r="CD538" s="2">
        <v>1.0</v>
      </c>
      <c r="CE538" s="2">
        <v>2.0</v>
      </c>
      <c r="CF538" s="2">
        <v>5.0</v>
      </c>
      <c r="CG538" s="2">
        <v>1.0</v>
      </c>
      <c r="CH538" s="2">
        <v>29.0</v>
      </c>
      <c r="CI538" s="2">
        <v>3.0</v>
      </c>
      <c r="CJ538" s="2">
        <v>3.0</v>
      </c>
      <c r="CK538" s="2">
        <v>0.0</v>
      </c>
      <c r="CL538" s="2">
        <v>0.0</v>
      </c>
      <c r="CM538" s="2">
        <v>43.0</v>
      </c>
      <c r="CN538" s="2">
        <v>1.0</v>
      </c>
      <c r="CO538" s="2">
        <v>0.0</v>
      </c>
      <c r="CP538" s="2">
        <v>1.0</v>
      </c>
      <c r="CQ538" s="2">
        <v>1.0</v>
      </c>
      <c r="CR538" s="2">
        <v>1.0</v>
      </c>
      <c r="CS538" s="2">
        <v>0.0</v>
      </c>
      <c r="CT538" s="2">
        <v>0.0</v>
      </c>
      <c r="CU538" s="2">
        <v>0.0</v>
      </c>
      <c r="CV538" s="2">
        <v>0.0</v>
      </c>
      <c r="CW538" s="2">
        <v>0.0</v>
      </c>
      <c r="CX538" s="2">
        <v>0.0</v>
      </c>
      <c r="CY538" s="2">
        <v>0.0</v>
      </c>
      <c r="CZ538" s="2">
        <v>0.0</v>
      </c>
      <c r="DA538" s="2" t="s">
        <v>2292</v>
      </c>
      <c r="DD538" s="2">
        <v>105.0</v>
      </c>
      <c r="DE538" s="2">
        <v>0.0</v>
      </c>
      <c r="DF538" s="2">
        <v>0.0</v>
      </c>
      <c r="DG538" s="2">
        <v>1.0</v>
      </c>
      <c r="DH538" s="2">
        <v>1.0</v>
      </c>
      <c r="DI538" s="2">
        <v>0.0</v>
      </c>
      <c r="DJ538" s="2">
        <v>0.0</v>
      </c>
      <c r="DK538" s="2">
        <v>1.0</v>
      </c>
      <c r="DL538" s="2">
        <v>0.0</v>
      </c>
      <c r="DM538" s="2">
        <v>0.0</v>
      </c>
      <c r="DN538" s="2">
        <v>0.0</v>
      </c>
      <c r="DO538" s="2">
        <v>0.0</v>
      </c>
      <c r="DP538" s="2">
        <v>0.0</v>
      </c>
      <c r="DQ538" s="2">
        <v>4.0</v>
      </c>
      <c r="DR538" s="2">
        <v>0.0</v>
      </c>
      <c r="DS538" s="2">
        <v>55.0</v>
      </c>
      <c r="DT538" s="2">
        <v>196.0</v>
      </c>
      <c r="DU538" s="2">
        <v>2.0</v>
      </c>
      <c r="DV538" s="2">
        <v>1.0</v>
      </c>
      <c r="DW538" s="2">
        <v>2.0</v>
      </c>
      <c r="DX538" s="2">
        <v>0.0</v>
      </c>
      <c r="DY538" s="2">
        <v>1.0</v>
      </c>
      <c r="DZ538" s="2">
        <v>0.0</v>
      </c>
      <c r="EA538" s="2">
        <v>0.0</v>
      </c>
      <c r="EB538" s="2">
        <v>0.0</v>
      </c>
      <c r="EC538" s="2">
        <v>196.0</v>
      </c>
      <c r="EE538" s="2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2">
        <v>2025.0</v>
      </c>
      <c r="B539" s="2">
        <v>18.0</v>
      </c>
      <c r="C539" s="2" t="s">
        <v>145</v>
      </c>
      <c r="D539" s="2" t="s">
        <v>390</v>
      </c>
      <c r="E539" s="2" t="s">
        <v>1206</v>
      </c>
      <c r="F539" s="2" t="s">
        <v>225</v>
      </c>
      <c r="G539" s="2">
        <v>17.0</v>
      </c>
      <c r="H539" s="2">
        <v>22.0</v>
      </c>
      <c r="I539" s="2">
        <v>214.0</v>
      </c>
      <c r="J539" s="2">
        <v>1.0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257.0</v>
      </c>
      <c r="Q539" s="2">
        <v>118.0</v>
      </c>
      <c r="R539" s="2">
        <v>8.0</v>
      </c>
      <c r="S539" s="2">
        <v>8.79744142352181</v>
      </c>
      <c r="T539" s="2">
        <v>21.2237948179245</v>
      </c>
      <c r="U539" s="2">
        <v>0.0</v>
      </c>
      <c r="V539" s="2">
        <v>8.0</v>
      </c>
      <c r="W539" s="2">
        <v>5.0</v>
      </c>
      <c r="X539" s="2">
        <v>4.0</v>
      </c>
      <c r="Y539" s="2">
        <v>0.0</v>
      </c>
      <c r="Z539" s="2">
        <v>34.0</v>
      </c>
      <c r="AA539" s="2">
        <v>243.0</v>
      </c>
      <c r="AB539" s="2">
        <v>4.0</v>
      </c>
      <c r="AC539" s="2">
        <v>0.0</v>
      </c>
      <c r="AD539" s="2">
        <v>0.0</v>
      </c>
      <c r="AE539" s="2">
        <v>12.0</v>
      </c>
      <c r="AF539" s="2">
        <v>6.78266680147499</v>
      </c>
      <c r="AG539" s="2">
        <v>0.0</v>
      </c>
      <c r="AH539" s="2">
        <v>5.0</v>
      </c>
      <c r="AI539" s="2">
        <v>5.0</v>
      </c>
      <c r="AJ539" s="2">
        <v>3.0</v>
      </c>
      <c r="AK539" s="2">
        <v>1.0</v>
      </c>
      <c r="AL539" s="2">
        <v>17.0</v>
      </c>
      <c r="AM539" s="2">
        <v>20.0</v>
      </c>
      <c r="AN539" s="2">
        <v>214.0</v>
      </c>
      <c r="AO539" s="2">
        <v>1.0</v>
      </c>
      <c r="AP539" s="2">
        <v>0.0</v>
      </c>
      <c r="AQ539" s="2">
        <v>0.0</v>
      </c>
      <c r="AR539" s="2">
        <v>257.0</v>
      </c>
      <c r="AS539" s="2">
        <v>118.0</v>
      </c>
      <c r="AT539" s="2">
        <v>8.0</v>
      </c>
      <c r="AU539" s="2">
        <v>9.26037233281403</v>
      </c>
      <c r="AV539" s="2">
        <v>0.0</v>
      </c>
      <c r="AW539" s="2">
        <v>8.0</v>
      </c>
      <c r="AX539" s="2">
        <v>5.0</v>
      </c>
      <c r="AY539" s="2">
        <v>4.0</v>
      </c>
      <c r="AZ539" s="2">
        <v>0.0</v>
      </c>
      <c r="BA539" s="2">
        <v>0.0</v>
      </c>
      <c r="BB539" s="2">
        <v>32.0</v>
      </c>
      <c r="BC539" s="2">
        <v>2.0</v>
      </c>
      <c r="BD539" s="2">
        <v>28.0</v>
      </c>
      <c r="BE539" s="2">
        <v>10.0</v>
      </c>
      <c r="BF539" s="2">
        <v>45.0</v>
      </c>
      <c r="BG539" s="2">
        <v>2.0</v>
      </c>
      <c r="BH539" s="2">
        <v>4.0</v>
      </c>
      <c r="BI539" s="2">
        <v>20.0</v>
      </c>
      <c r="BJ539" s="2">
        <v>9.0</v>
      </c>
      <c r="BK539" s="2">
        <v>1.0</v>
      </c>
      <c r="BL539" s="2">
        <v>0.0</v>
      </c>
      <c r="BM539" s="2">
        <v>4.0</v>
      </c>
      <c r="BN539" s="2">
        <v>0.0</v>
      </c>
      <c r="BO539" s="2">
        <v>0.0</v>
      </c>
      <c r="BP539" s="2">
        <v>0.0</v>
      </c>
      <c r="BQ539" s="2">
        <v>0.0</v>
      </c>
      <c r="BR539" s="2">
        <v>0.0</v>
      </c>
      <c r="BS539" s="2">
        <v>0.0</v>
      </c>
      <c r="BT539" s="2">
        <v>1.0</v>
      </c>
      <c r="BU539" s="2">
        <v>18.0</v>
      </c>
      <c r="BV539" s="2">
        <v>0.0</v>
      </c>
      <c r="BW539" s="2">
        <v>4.0</v>
      </c>
      <c r="BX539" s="2">
        <v>52.0</v>
      </c>
      <c r="BY539" s="2">
        <v>4.0</v>
      </c>
      <c r="BZ539" s="2">
        <v>0.0</v>
      </c>
      <c r="CA539" s="2">
        <v>0.0</v>
      </c>
      <c r="CB539" s="2">
        <v>0.0</v>
      </c>
      <c r="CC539" s="2">
        <v>0.0</v>
      </c>
      <c r="CD539" s="2">
        <v>0.0</v>
      </c>
      <c r="CE539" s="2">
        <v>0.0</v>
      </c>
      <c r="CF539" s="2">
        <v>0.0</v>
      </c>
      <c r="CG539" s="2">
        <v>2.0</v>
      </c>
      <c r="CH539" s="2">
        <v>51.0</v>
      </c>
      <c r="CI539" s="2">
        <v>1.0</v>
      </c>
      <c r="CJ539" s="2">
        <v>2.0</v>
      </c>
      <c r="CK539" s="2">
        <v>0.0</v>
      </c>
      <c r="CL539" s="2">
        <v>1.0</v>
      </c>
      <c r="CM539" s="2">
        <v>59.0</v>
      </c>
      <c r="CN539" s="2">
        <v>0.5</v>
      </c>
      <c r="CO539" s="2">
        <v>0.0</v>
      </c>
      <c r="CP539" s="2">
        <v>0.0</v>
      </c>
      <c r="CQ539" s="2">
        <v>0.0</v>
      </c>
      <c r="CR539" s="2">
        <v>0.0</v>
      </c>
      <c r="CS539" s="2">
        <v>1.0</v>
      </c>
      <c r="CT539" s="2">
        <v>0.0</v>
      </c>
      <c r="CU539" s="2">
        <v>0.0</v>
      </c>
      <c r="CV539" s="2">
        <v>0.0</v>
      </c>
      <c r="CW539" s="2">
        <v>0.0</v>
      </c>
      <c r="CX539" s="2">
        <v>0.0</v>
      </c>
      <c r="CY539" s="2">
        <v>0.0</v>
      </c>
      <c r="CZ539" s="2">
        <v>0.0</v>
      </c>
      <c r="DA539" s="2" t="s">
        <v>2150</v>
      </c>
      <c r="DC539" s="2" t="s">
        <v>1999</v>
      </c>
      <c r="DD539" s="2">
        <v>59.0</v>
      </c>
      <c r="DE539" s="2">
        <v>0.0</v>
      </c>
      <c r="DF539" s="2">
        <v>38.0</v>
      </c>
      <c r="DG539" s="2">
        <v>5.0</v>
      </c>
      <c r="DH539" s="2">
        <v>5.0</v>
      </c>
      <c r="DI539" s="2">
        <v>0.0</v>
      </c>
      <c r="DJ539" s="2">
        <v>0.0</v>
      </c>
      <c r="DK539" s="2">
        <v>1.0</v>
      </c>
      <c r="DL539" s="2">
        <v>0.0</v>
      </c>
      <c r="DM539" s="2">
        <v>0.0</v>
      </c>
      <c r="DN539" s="2">
        <v>0.0</v>
      </c>
      <c r="DO539" s="2">
        <v>0.0</v>
      </c>
      <c r="DP539" s="2">
        <v>0.0</v>
      </c>
      <c r="DQ539" s="2">
        <v>3.0</v>
      </c>
      <c r="DR539" s="2">
        <v>0.0</v>
      </c>
      <c r="DS539" s="2">
        <v>56.0</v>
      </c>
      <c r="DT539" s="2">
        <v>155.0</v>
      </c>
      <c r="DU539" s="2">
        <v>3.0</v>
      </c>
      <c r="DV539" s="2">
        <v>1.0</v>
      </c>
      <c r="DW539" s="2">
        <v>1.0</v>
      </c>
      <c r="DX539" s="2">
        <v>0.0</v>
      </c>
      <c r="DY539" s="2">
        <v>0.0</v>
      </c>
      <c r="DZ539" s="2">
        <v>1.0</v>
      </c>
      <c r="EA539" s="2">
        <v>2.0</v>
      </c>
      <c r="EB539" s="2">
        <v>0.0</v>
      </c>
      <c r="EC539" s="2">
        <v>153.0</v>
      </c>
      <c r="EE539" s="2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2">
        <v>2025.0</v>
      </c>
      <c r="B540" s="2">
        <v>18.0</v>
      </c>
      <c r="C540" s="2" t="s">
        <v>232</v>
      </c>
      <c r="D540" s="2" t="s">
        <v>390</v>
      </c>
      <c r="E540" s="2" t="s">
        <v>1177</v>
      </c>
      <c r="F540" s="2" t="s">
        <v>132</v>
      </c>
      <c r="G540" s="2">
        <v>23.0</v>
      </c>
      <c r="H540" s="2">
        <v>35.0</v>
      </c>
      <c r="I540" s="2">
        <v>259.0</v>
      </c>
      <c r="J540" s="2">
        <v>1.0</v>
      </c>
      <c r="K540" s="2">
        <v>1.0</v>
      </c>
      <c r="L540" s="2">
        <v>4.0</v>
      </c>
      <c r="M540" s="2">
        <v>-27.0</v>
      </c>
      <c r="N540" s="2">
        <v>0.0</v>
      </c>
      <c r="O540" s="2">
        <v>0.0</v>
      </c>
      <c r="P540" s="2">
        <v>281.0</v>
      </c>
      <c r="Q540" s="2">
        <v>129.0</v>
      </c>
      <c r="R540" s="2">
        <v>10.0</v>
      </c>
      <c r="S540" s="2">
        <v>-2.61001997632487</v>
      </c>
      <c r="T540" s="2">
        <v>-1.69133245944977</v>
      </c>
      <c r="U540" s="2">
        <v>0.0</v>
      </c>
      <c r="V540" s="2">
        <v>12.0</v>
      </c>
      <c r="W540" s="2">
        <v>6.0</v>
      </c>
      <c r="X540" s="2">
        <v>3.0</v>
      </c>
      <c r="Y540" s="2">
        <v>0.0</v>
      </c>
      <c r="Z540" s="2">
        <v>26.0</v>
      </c>
      <c r="AA540" s="2">
        <v>108.0</v>
      </c>
      <c r="AB540" s="2">
        <v>1.0</v>
      </c>
      <c r="AC540" s="2">
        <v>0.0</v>
      </c>
      <c r="AD540" s="2">
        <v>0.0</v>
      </c>
      <c r="AE540" s="2">
        <v>5.0</v>
      </c>
      <c r="AF540" s="2">
        <v>0.700269677297911</v>
      </c>
      <c r="AG540" s="2">
        <v>0.0</v>
      </c>
      <c r="AH540" s="2">
        <v>1.0</v>
      </c>
      <c r="AI540" s="2">
        <v>1.0</v>
      </c>
      <c r="AJ540" s="2">
        <v>1.0</v>
      </c>
      <c r="AK540" s="2">
        <v>0.0</v>
      </c>
      <c r="AL540" s="2">
        <v>23.0</v>
      </c>
      <c r="AM540" s="2">
        <v>34.0</v>
      </c>
      <c r="AN540" s="2">
        <v>259.0</v>
      </c>
      <c r="AO540" s="2">
        <v>1.0</v>
      </c>
      <c r="AP540" s="2">
        <v>1.0</v>
      </c>
      <c r="AQ540" s="2">
        <v>1.0</v>
      </c>
      <c r="AR540" s="2">
        <v>281.0</v>
      </c>
      <c r="AS540" s="2">
        <v>129.0</v>
      </c>
      <c r="AT540" s="2">
        <v>10.0</v>
      </c>
      <c r="AU540" s="2">
        <v>-1.10850387787726</v>
      </c>
      <c r="AV540" s="2">
        <v>0.0</v>
      </c>
      <c r="AW540" s="2">
        <v>12.0</v>
      </c>
      <c r="AX540" s="2">
        <v>6.0</v>
      </c>
      <c r="AY540" s="2">
        <v>3.0</v>
      </c>
      <c r="AZ540" s="2">
        <v>0.0</v>
      </c>
      <c r="BA540" s="2">
        <v>0.0</v>
      </c>
      <c r="BB540" s="2">
        <v>35.0</v>
      </c>
      <c r="BC540" s="2">
        <v>2.0</v>
      </c>
      <c r="BD540" s="2">
        <v>30.0</v>
      </c>
      <c r="BE540" s="2">
        <v>9.0</v>
      </c>
      <c r="BF540" s="2">
        <v>34.0</v>
      </c>
      <c r="BG540" s="2">
        <v>0.0</v>
      </c>
      <c r="BH540" s="2">
        <v>4.0</v>
      </c>
      <c r="BI540" s="2">
        <v>21.0</v>
      </c>
      <c r="BJ540" s="2">
        <v>9.0</v>
      </c>
      <c r="BK540" s="2">
        <v>1.0</v>
      </c>
      <c r="BL540" s="2">
        <v>0.0</v>
      </c>
      <c r="BM540" s="2">
        <v>8.0</v>
      </c>
      <c r="BN540" s="2">
        <v>0.0</v>
      </c>
      <c r="BO540" s="2">
        <v>0.0</v>
      </c>
      <c r="BP540" s="2">
        <v>0.0</v>
      </c>
      <c r="BQ540" s="2">
        <v>0.0</v>
      </c>
      <c r="BR540" s="2">
        <v>0.0</v>
      </c>
      <c r="BS540" s="2">
        <v>0.0</v>
      </c>
      <c r="BT540" s="2">
        <v>0.0</v>
      </c>
      <c r="BU540" s="2">
        <v>0.0</v>
      </c>
      <c r="BV540" s="2">
        <v>0.0</v>
      </c>
      <c r="BW540" s="2">
        <v>6.0</v>
      </c>
      <c r="BX540" s="2">
        <v>40.0</v>
      </c>
      <c r="BY540" s="2">
        <v>4.0</v>
      </c>
      <c r="BZ540" s="2">
        <v>1.0</v>
      </c>
      <c r="CA540" s="2">
        <v>0.0</v>
      </c>
      <c r="CB540" s="2">
        <v>0.0</v>
      </c>
      <c r="CC540" s="2">
        <v>1.0</v>
      </c>
      <c r="CD540" s="2">
        <v>1.0</v>
      </c>
      <c r="CE540" s="2">
        <v>3.0</v>
      </c>
      <c r="CF540" s="2">
        <v>28.0</v>
      </c>
      <c r="CG540" s="2">
        <v>3.0</v>
      </c>
      <c r="CH540" s="2">
        <v>78.0</v>
      </c>
      <c r="CI540" s="2">
        <v>1.0</v>
      </c>
      <c r="CJ540" s="2">
        <v>2.0</v>
      </c>
      <c r="CK540" s="2">
        <v>1.0</v>
      </c>
      <c r="CL540" s="2">
        <v>0.0</v>
      </c>
      <c r="CM540" s="2">
        <v>29.0</v>
      </c>
      <c r="CN540" s="2">
        <v>0.5</v>
      </c>
      <c r="CO540" s="2">
        <v>0.0</v>
      </c>
      <c r="CP540" s="2">
        <v>1.0</v>
      </c>
      <c r="CQ540" s="2">
        <v>0.0</v>
      </c>
      <c r="CR540" s="2">
        <v>0.0</v>
      </c>
      <c r="CS540" s="2">
        <v>0.0</v>
      </c>
      <c r="CT540" s="2">
        <v>0.0</v>
      </c>
      <c r="CU540" s="2">
        <v>0.0</v>
      </c>
      <c r="CV540" s="2">
        <v>0.0</v>
      </c>
      <c r="CW540" s="2">
        <v>0.0</v>
      </c>
      <c r="CX540" s="2">
        <v>0.0</v>
      </c>
      <c r="CY540" s="2">
        <v>1.0</v>
      </c>
      <c r="CZ540" s="2">
        <v>0.0</v>
      </c>
      <c r="DA540" s="2" t="s">
        <v>2065</v>
      </c>
      <c r="DB540" s="2" t="s">
        <v>2007</v>
      </c>
      <c r="DD540" s="2">
        <v>29.0</v>
      </c>
      <c r="DE540" s="2">
        <v>56.0</v>
      </c>
      <c r="DF540" s="2">
        <v>0.0</v>
      </c>
      <c r="DG540" s="2">
        <v>2.0</v>
      </c>
      <c r="DH540" s="2">
        <v>2.0</v>
      </c>
      <c r="DI540" s="2">
        <v>0.0</v>
      </c>
      <c r="DJ540" s="2">
        <v>0.0</v>
      </c>
      <c r="DK540" s="2">
        <v>1.0</v>
      </c>
      <c r="DL540" s="2">
        <v>0.0</v>
      </c>
      <c r="DM540" s="2">
        <v>0.0</v>
      </c>
      <c r="DN540" s="2">
        <v>0.0</v>
      </c>
      <c r="DO540" s="2">
        <v>0.0</v>
      </c>
      <c r="DP540" s="2">
        <v>0.0</v>
      </c>
      <c r="DQ540" s="2">
        <v>4.0</v>
      </c>
      <c r="DR540" s="2">
        <v>1.0</v>
      </c>
      <c r="DS540" s="2">
        <v>55.0</v>
      </c>
      <c r="DT540" s="2">
        <v>203.0</v>
      </c>
      <c r="DU540" s="2">
        <v>1.0</v>
      </c>
      <c r="DV540" s="2">
        <v>0.0</v>
      </c>
      <c r="DW540" s="2">
        <v>1.0</v>
      </c>
      <c r="DX540" s="2">
        <v>0.0</v>
      </c>
      <c r="DY540" s="2">
        <v>0.0</v>
      </c>
      <c r="DZ540" s="2">
        <v>3.0</v>
      </c>
      <c r="EA540" s="2">
        <v>26.0</v>
      </c>
      <c r="EB540" s="2">
        <v>0.0</v>
      </c>
      <c r="EC540" s="2">
        <v>177.0</v>
      </c>
      <c r="EE540" s="2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2">
        <v>2025.0</v>
      </c>
      <c r="B541" s="2">
        <v>18.0</v>
      </c>
      <c r="C541" s="2" t="s">
        <v>235</v>
      </c>
      <c r="D541" s="2" t="s">
        <v>390</v>
      </c>
      <c r="E541" s="2" t="s">
        <v>1208</v>
      </c>
      <c r="F541" s="2" t="s">
        <v>146</v>
      </c>
      <c r="G541" s="2">
        <v>22.0</v>
      </c>
      <c r="H541" s="2">
        <v>33.0</v>
      </c>
      <c r="I541" s="2">
        <v>230.0</v>
      </c>
      <c r="J541" s="2">
        <v>2.0</v>
      </c>
      <c r="K541" s="2">
        <v>0.0</v>
      </c>
      <c r="L541" s="2">
        <v>4.0</v>
      </c>
      <c r="M541" s="2">
        <v>-11.0</v>
      </c>
      <c r="N541" s="2">
        <v>1.0</v>
      </c>
      <c r="O541" s="2">
        <v>0.0</v>
      </c>
      <c r="P541" s="2">
        <v>184.0</v>
      </c>
      <c r="Q541" s="2">
        <v>168.0</v>
      </c>
      <c r="R541" s="2">
        <v>14.0</v>
      </c>
      <c r="S541" s="2">
        <v>14.0357000092246</v>
      </c>
      <c r="T541" s="2">
        <v>4.88298153504729</v>
      </c>
      <c r="U541" s="2">
        <v>1.0</v>
      </c>
      <c r="V541" s="2">
        <v>9.0</v>
      </c>
      <c r="W541" s="2">
        <v>4.0</v>
      </c>
      <c r="X541" s="2">
        <v>3.0</v>
      </c>
      <c r="Y541" s="2">
        <v>0.0</v>
      </c>
      <c r="Z541" s="2">
        <v>32.0</v>
      </c>
      <c r="AA541" s="2">
        <v>161.0</v>
      </c>
      <c r="AB541" s="2">
        <v>1.0</v>
      </c>
      <c r="AC541" s="2">
        <v>0.0</v>
      </c>
      <c r="AD541" s="2">
        <v>0.0</v>
      </c>
      <c r="AE541" s="2">
        <v>8.0</v>
      </c>
      <c r="AF541" s="2">
        <v>1.11449988013208</v>
      </c>
      <c r="AG541" s="2">
        <v>0.0</v>
      </c>
      <c r="AH541" s="2">
        <v>6.0</v>
      </c>
      <c r="AI541" s="2">
        <v>6.0</v>
      </c>
      <c r="AJ541" s="2">
        <v>1.0</v>
      </c>
      <c r="AK541" s="2">
        <v>0.0</v>
      </c>
      <c r="AL541" s="2">
        <v>22.0</v>
      </c>
      <c r="AM541" s="2">
        <v>32.0</v>
      </c>
      <c r="AN541" s="2">
        <v>230.0</v>
      </c>
      <c r="AO541" s="2">
        <v>2.0</v>
      </c>
      <c r="AP541" s="2">
        <v>1.0</v>
      </c>
      <c r="AQ541" s="2">
        <v>1.0</v>
      </c>
      <c r="AR541" s="2">
        <v>184.0</v>
      </c>
      <c r="AS541" s="2">
        <v>168.0</v>
      </c>
      <c r="AT541" s="2">
        <v>14.0</v>
      </c>
      <c r="AU541" s="2">
        <v>11.6828538287008</v>
      </c>
      <c r="AV541" s="2">
        <v>1.0</v>
      </c>
      <c r="AW541" s="2">
        <v>9.0</v>
      </c>
      <c r="AX541" s="2">
        <v>4.0</v>
      </c>
      <c r="AY541" s="2">
        <v>3.0</v>
      </c>
      <c r="AZ541" s="2">
        <v>0.0</v>
      </c>
      <c r="BA541" s="2">
        <v>0.0</v>
      </c>
      <c r="BB541" s="2">
        <v>32.0</v>
      </c>
      <c r="BC541" s="2">
        <v>1.0</v>
      </c>
      <c r="BD541" s="2">
        <v>27.0</v>
      </c>
      <c r="BE541" s="2">
        <v>5.0</v>
      </c>
      <c r="BF541" s="2">
        <v>15.0</v>
      </c>
      <c r="BG541" s="2">
        <v>0.0</v>
      </c>
      <c r="BH541" s="2">
        <v>0.0</v>
      </c>
      <c r="BI541" s="2">
        <v>0.0</v>
      </c>
      <c r="BJ541" s="2">
        <v>2.0</v>
      </c>
      <c r="BK541" s="2">
        <v>1.0</v>
      </c>
      <c r="BL541" s="2">
        <v>7.0</v>
      </c>
      <c r="BM541" s="2">
        <v>4.0</v>
      </c>
      <c r="BN541" s="2">
        <v>0.0</v>
      </c>
      <c r="BO541" s="2">
        <v>0.0</v>
      </c>
      <c r="BP541" s="2">
        <v>0.0</v>
      </c>
      <c r="BQ541" s="2">
        <v>0.0</v>
      </c>
      <c r="BR541" s="2">
        <v>1.0</v>
      </c>
      <c r="BS541" s="2">
        <v>0.0</v>
      </c>
      <c r="BT541" s="2">
        <v>1.0</v>
      </c>
      <c r="BU541" s="2">
        <v>0.0</v>
      </c>
      <c r="BV541" s="2">
        <v>0.0</v>
      </c>
      <c r="BW541" s="2">
        <v>7.0</v>
      </c>
      <c r="BX541" s="2">
        <v>63.0</v>
      </c>
      <c r="BY541" s="2">
        <v>2.0</v>
      </c>
      <c r="BZ541" s="2">
        <v>2.0</v>
      </c>
      <c r="CA541" s="2">
        <v>0.0</v>
      </c>
      <c r="CB541" s="2">
        <v>0.0</v>
      </c>
      <c r="CC541" s="2">
        <v>2.0</v>
      </c>
      <c r="CD541" s="2">
        <v>1.0</v>
      </c>
      <c r="CE541" s="2">
        <v>2.0</v>
      </c>
      <c r="CF541" s="2">
        <v>27.0</v>
      </c>
      <c r="CG541" s="2">
        <v>2.0</v>
      </c>
      <c r="CH541" s="2">
        <v>64.0</v>
      </c>
      <c r="CI541" s="2">
        <v>4.0</v>
      </c>
      <c r="CJ541" s="2">
        <v>4.0</v>
      </c>
      <c r="CK541" s="2">
        <v>0.0</v>
      </c>
      <c r="CL541" s="2">
        <v>0.0</v>
      </c>
      <c r="CM541" s="2">
        <v>45.0</v>
      </c>
      <c r="CN541" s="2">
        <v>1.0</v>
      </c>
      <c r="CO541" s="2">
        <v>0.0</v>
      </c>
      <c r="CP541" s="2">
        <v>1.0</v>
      </c>
      <c r="CQ541" s="2">
        <v>2.0</v>
      </c>
      <c r="CR541" s="2">
        <v>1.0</v>
      </c>
      <c r="CS541" s="2">
        <v>0.0</v>
      </c>
      <c r="CT541" s="2">
        <v>0.0</v>
      </c>
      <c r="CU541" s="2">
        <v>0.0</v>
      </c>
      <c r="CV541" s="2">
        <v>0.0</v>
      </c>
      <c r="CW541" s="2">
        <v>0.0</v>
      </c>
      <c r="CX541" s="2">
        <v>0.0</v>
      </c>
      <c r="CY541" s="2">
        <v>0.0</v>
      </c>
      <c r="CZ541" s="2">
        <v>0.0</v>
      </c>
      <c r="DA541" s="2" t="s">
        <v>2293</v>
      </c>
      <c r="DD541" s="2">
        <v>133.0</v>
      </c>
      <c r="DE541" s="2">
        <v>0.0</v>
      </c>
      <c r="DF541" s="2">
        <v>0.0</v>
      </c>
      <c r="DG541" s="2">
        <v>2.0</v>
      </c>
      <c r="DH541" s="2">
        <v>2.0</v>
      </c>
      <c r="DI541" s="2">
        <v>0.0</v>
      </c>
      <c r="DJ541" s="2">
        <v>0.0</v>
      </c>
      <c r="DK541" s="2">
        <v>1.0</v>
      </c>
      <c r="DL541" s="2">
        <v>0.0</v>
      </c>
      <c r="DM541" s="2">
        <v>0.0</v>
      </c>
      <c r="DN541" s="2">
        <v>0.0</v>
      </c>
      <c r="DO541" s="2">
        <v>0.0</v>
      </c>
      <c r="DP541" s="2">
        <v>0.0</v>
      </c>
      <c r="DQ541" s="2">
        <v>2.0</v>
      </c>
      <c r="DR541" s="2">
        <v>0.0</v>
      </c>
      <c r="DS541" s="2">
        <v>48.0</v>
      </c>
      <c r="DT541" s="2">
        <v>84.0</v>
      </c>
      <c r="DU541" s="2">
        <v>1.0</v>
      </c>
      <c r="DV541" s="2">
        <v>1.0</v>
      </c>
      <c r="DW541" s="2">
        <v>1.0</v>
      </c>
      <c r="DX541" s="2">
        <v>0.0</v>
      </c>
      <c r="DY541" s="2">
        <v>0.0</v>
      </c>
      <c r="DZ541" s="2">
        <v>0.0</v>
      </c>
      <c r="EA541" s="2">
        <v>0.0</v>
      </c>
      <c r="EB541" s="2">
        <v>0.0</v>
      </c>
      <c r="EC541" s="2">
        <v>84.0</v>
      </c>
      <c r="EE541" s="2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2">
        <v>2025.0</v>
      </c>
      <c r="B542" s="2">
        <v>18.0</v>
      </c>
      <c r="C542" s="2" t="s">
        <v>238</v>
      </c>
      <c r="D542" s="2" t="s">
        <v>390</v>
      </c>
      <c r="E542" s="2" t="s">
        <v>1180</v>
      </c>
      <c r="F542" s="2" t="s">
        <v>136</v>
      </c>
      <c r="G542" s="2">
        <v>11.0</v>
      </c>
      <c r="H542" s="2">
        <v>22.0</v>
      </c>
      <c r="I542" s="2">
        <v>60.0</v>
      </c>
      <c r="J542" s="2">
        <v>1.0</v>
      </c>
      <c r="K542" s="2">
        <v>0.0</v>
      </c>
      <c r="L542" s="2">
        <v>1.0</v>
      </c>
      <c r="M542" s="2">
        <v>-7.0</v>
      </c>
      <c r="N542" s="2">
        <v>0.0</v>
      </c>
      <c r="O542" s="2">
        <v>0.0</v>
      </c>
      <c r="P542" s="2">
        <v>73.0</v>
      </c>
      <c r="Q542" s="2">
        <v>32.0</v>
      </c>
      <c r="R542" s="2">
        <v>5.0</v>
      </c>
      <c r="S542" s="2">
        <v>-6.33271967437747</v>
      </c>
      <c r="T542" s="2">
        <v>-19.8908706957644</v>
      </c>
      <c r="U542" s="2">
        <v>1.0</v>
      </c>
      <c r="V542" s="2">
        <v>3.0</v>
      </c>
      <c r="W542" s="2">
        <v>0.0</v>
      </c>
      <c r="X542" s="2">
        <v>0.0</v>
      </c>
      <c r="Y542" s="2">
        <v>0.0</v>
      </c>
      <c r="Z542" s="2">
        <v>23.0</v>
      </c>
      <c r="AA542" s="2">
        <v>69.0</v>
      </c>
      <c r="AB542" s="2">
        <v>0.0</v>
      </c>
      <c r="AC542" s="2">
        <v>0.0</v>
      </c>
      <c r="AD542" s="2">
        <v>0.0</v>
      </c>
      <c r="AE542" s="2">
        <v>3.0</v>
      </c>
      <c r="AF542" s="2">
        <v>-5.69025789646548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11.0</v>
      </c>
      <c r="AM542" s="2">
        <v>22.0</v>
      </c>
      <c r="AN542" s="2">
        <v>60.0</v>
      </c>
      <c r="AO542" s="2">
        <v>1.0</v>
      </c>
      <c r="AP542" s="2">
        <v>0.0</v>
      </c>
      <c r="AQ542" s="2">
        <v>0.0</v>
      </c>
      <c r="AR542" s="2">
        <v>73.0</v>
      </c>
      <c r="AS542" s="2">
        <v>32.0</v>
      </c>
      <c r="AT542" s="2">
        <v>5.0</v>
      </c>
      <c r="AU542" s="2">
        <v>-5.28935170346801</v>
      </c>
      <c r="AV542" s="2">
        <v>1.0</v>
      </c>
      <c r="AW542" s="2">
        <v>3.0</v>
      </c>
      <c r="AX542" s="2">
        <v>0.0</v>
      </c>
      <c r="AY542" s="2">
        <v>0.0</v>
      </c>
      <c r="AZ542" s="2">
        <v>0.0</v>
      </c>
      <c r="BA542" s="2">
        <v>0.0</v>
      </c>
      <c r="BB542" s="2">
        <v>37.0</v>
      </c>
      <c r="BC542" s="2">
        <v>0.0</v>
      </c>
      <c r="BD542" s="2">
        <v>42.0</v>
      </c>
      <c r="BE542" s="2">
        <v>2.0</v>
      </c>
      <c r="BF542" s="2">
        <v>3.0</v>
      </c>
      <c r="BG542" s="2">
        <v>0.0</v>
      </c>
      <c r="BH542" s="2">
        <v>0.0</v>
      </c>
      <c r="BI542" s="2">
        <v>0.0</v>
      </c>
      <c r="BJ542" s="2">
        <v>0.0</v>
      </c>
      <c r="BK542" s="2">
        <v>0.0</v>
      </c>
      <c r="BL542" s="2">
        <v>0.0</v>
      </c>
      <c r="BM542" s="2">
        <v>2.0</v>
      </c>
      <c r="BN542" s="2">
        <v>0.0</v>
      </c>
      <c r="BO542" s="2">
        <v>0.0</v>
      </c>
      <c r="BP542" s="2">
        <v>0.0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0.0</v>
      </c>
      <c r="BW542" s="2">
        <v>4.0</v>
      </c>
      <c r="BX542" s="2">
        <v>27.0</v>
      </c>
      <c r="BY542" s="2">
        <v>2.0</v>
      </c>
      <c r="BZ542" s="2">
        <v>0.0</v>
      </c>
      <c r="CA542" s="2">
        <v>0.0</v>
      </c>
      <c r="CB542" s="2">
        <v>0.0</v>
      </c>
      <c r="CC542" s="2">
        <v>0.0</v>
      </c>
      <c r="CD542" s="2">
        <v>0.0</v>
      </c>
      <c r="CE542" s="2">
        <v>0.0</v>
      </c>
      <c r="CF542" s="2">
        <v>0.0</v>
      </c>
      <c r="CG542" s="2">
        <v>5.0</v>
      </c>
      <c r="CH542" s="2">
        <v>142.0</v>
      </c>
      <c r="CI542" s="2">
        <v>0.0</v>
      </c>
      <c r="CJ542" s="2">
        <v>0.0</v>
      </c>
      <c r="CK542" s="2">
        <v>0.0</v>
      </c>
      <c r="CL542" s="2">
        <v>0.0</v>
      </c>
      <c r="CO542" s="2">
        <v>0.0</v>
      </c>
      <c r="CP542" s="2">
        <v>0.0</v>
      </c>
      <c r="CQ542" s="2">
        <v>0.0</v>
      </c>
      <c r="CR542" s="2">
        <v>0.0</v>
      </c>
      <c r="CS542" s="2">
        <v>0.0</v>
      </c>
      <c r="CT542" s="2">
        <v>0.0</v>
      </c>
      <c r="CU542" s="2">
        <v>0.0</v>
      </c>
      <c r="CV542" s="2">
        <v>0.0</v>
      </c>
      <c r="CW542" s="2">
        <v>0.0</v>
      </c>
      <c r="CX542" s="2">
        <v>0.0</v>
      </c>
      <c r="CY542" s="2">
        <v>0.0</v>
      </c>
      <c r="CZ542" s="2">
        <v>0.0</v>
      </c>
      <c r="DD542" s="2">
        <v>0.0</v>
      </c>
      <c r="DE542" s="2">
        <v>0.0</v>
      </c>
      <c r="DF542" s="2">
        <v>0.0</v>
      </c>
      <c r="DG542" s="2">
        <v>0.0</v>
      </c>
      <c r="DH542" s="2">
        <v>0.0</v>
      </c>
      <c r="DI542" s="2">
        <v>0.0</v>
      </c>
      <c r="DJ542" s="2">
        <v>0.0</v>
      </c>
      <c r="DL542" s="2">
        <v>0.0</v>
      </c>
      <c r="DM542" s="2">
        <v>0.0</v>
      </c>
      <c r="DN542" s="2">
        <v>0.0</v>
      </c>
      <c r="DO542" s="2">
        <v>0.0</v>
      </c>
      <c r="DP542" s="2">
        <v>0.0</v>
      </c>
      <c r="DQ542" s="2">
        <v>5.0</v>
      </c>
      <c r="DR542" s="2">
        <v>0.0</v>
      </c>
      <c r="DS542" s="2">
        <v>50.0</v>
      </c>
      <c r="DT542" s="2">
        <v>211.0</v>
      </c>
      <c r="DU542" s="2">
        <v>2.0</v>
      </c>
      <c r="DV542" s="2">
        <v>0.0</v>
      </c>
      <c r="DW542" s="2">
        <v>3.0</v>
      </c>
      <c r="DX542" s="2">
        <v>0.0</v>
      </c>
      <c r="DY542" s="2">
        <v>1.0</v>
      </c>
      <c r="DZ542" s="2">
        <v>1.0</v>
      </c>
      <c r="EA542" s="2">
        <v>2.0</v>
      </c>
      <c r="EB542" s="2">
        <v>0.0</v>
      </c>
      <c r="EC542" s="2">
        <v>209.0</v>
      </c>
      <c r="EE542" s="2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2">
        <v>2025.0</v>
      </c>
      <c r="B543" s="2">
        <v>18.0</v>
      </c>
      <c r="C543" s="2" t="s">
        <v>147</v>
      </c>
      <c r="D543" s="2" t="s">
        <v>390</v>
      </c>
      <c r="E543" s="2" t="s">
        <v>1210</v>
      </c>
      <c r="F543" s="2" t="s">
        <v>253</v>
      </c>
      <c r="G543" s="2">
        <v>21.0</v>
      </c>
      <c r="H543" s="2">
        <v>40.0</v>
      </c>
      <c r="I543" s="2">
        <v>241.0</v>
      </c>
      <c r="J543" s="2">
        <v>1.0</v>
      </c>
      <c r="K543" s="2">
        <v>1.0</v>
      </c>
      <c r="L543" s="2">
        <v>3.0</v>
      </c>
      <c r="M543" s="2">
        <v>-14.0</v>
      </c>
      <c r="N543" s="2">
        <v>0.0</v>
      </c>
      <c r="O543" s="2">
        <v>0.0</v>
      </c>
      <c r="P543" s="2">
        <v>383.0</v>
      </c>
      <c r="Q543" s="2">
        <v>95.0</v>
      </c>
      <c r="R543" s="2">
        <v>13.0</v>
      </c>
      <c r="S543" s="2">
        <v>-6.15672980211773</v>
      </c>
      <c r="T543" s="2">
        <v>-1.39107844408821</v>
      </c>
      <c r="U543" s="2">
        <v>0.0</v>
      </c>
      <c r="V543" s="2">
        <v>11.0</v>
      </c>
      <c r="W543" s="2">
        <v>5.0</v>
      </c>
      <c r="X543" s="2">
        <v>2.0</v>
      </c>
      <c r="Y543" s="2">
        <v>0.0</v>
      </c>
      <c r="Z543" s="2">
        <v>19.0</v>
      </c>
      <c r="AA543" s="2">
        <v>80.0</v>
      </c>
      <c r="AB543" s="2">
        <v>1.0</v>
      </c>
      <c r="AC543" s="2">
        <v>0.0</v>
      </c>
      <c r="AD543" s="2">
        <v>0.0</v>
      </c>
      <c r="AE543" s="2">
        <v>5.0</v>
      </c>
      <c r="AF543" s="2">
        <v>-0.224920639651828</v>
      </c>
      <c r="AG543" s="2">
        <v>0.0</v>
      </c>
      <c r="AH543" s="2">
        <v>3.0</v>
      </c>
      <c r="AI543" s="2">
        <v>2.0</v>
      </c>
      <c r="AJ543" s="2">
        <v>0.0</v>
      </c>
      <c r="AK543" s="2">
        <v>0.0</v>
      </c>
      <c r="AL543" s="2">
        <v>21.0</v>
      </c>
      <c r="AM543" s="2">
        <v>34.0</v>
      </c>
      <c r="AN543" s="2">
        <v>241.0</v>
      </c>
      <c r="AO543" s="2">
        <v>1.0</v>
      </c>
      <c r="AP543" s="2">
        <v>0.0</v>
      </c>
      <c r="AQ543" s="2">
        <v>0.0</v>
      </c>
      <c r="AR543" s="2">
        <v>383.0</v>
      </c>
      <c r="AS543" s="2">
        <v>95.0</v>
      </c>
      <c r="AT543" s="2">
        <v>13.0</v>
      </c>
      <c r="AU543" s="2">
        <v>-0.68812822810239</v>
      </c>
      <c r="AV543" s="2">
        <v>0.0</v>
      </c>
      <c r="AW543" s="2">
        <v>11.0</v>
      </c>
      <c r="AX543" s="2">
        <v>5.0</v>
      </c>
      <c r="AY543" s="2">
        <v>2.0</v>
      </c>
      <c r="AZ543" s="2">
        <v>0.0</v>
      </c>
      <c r="BA543" s="2">
        <v>0.0</v>
      </c>
      <c r="BB543" s="2">
        <v>30.0</v>
      </c>
      <c r="BC543" s="2">
        <v>3.0</v>
      </c>
      <c r="BD543" s="2">
        <v>43.0</v>
      </c>
      <c r="BE543" s="2">
        <v>2.0</v>
      </c>
      <c r="BF543" s="2">
        <v>3.0</v>
      </c>
      <c r="BG543" s="2">
        <v>1.0</v>
      </c>
      <c r="BH543" s="2">
        <v>0.0</v>
      </c>
      <c r="BI543" s="2">
        <v>0.0</v>
      </c>
      <c r="BJ543" s="2">
        <v>4.0</v>
      </c>
      <c r="BK543" s="2">
        <v>1.0</v>
      </c>
      <c r="BL543" s="2">
        <v>0.0</v>
      </c>
      <c r="BM543" s="2">
        <v>5.0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1.0</v>
      </c>
      <c r="BU543" s="2">
        <v>0.0</v>
      </c>
      <c r="BV543" s="2">
        <v>0.0</v>
      </c>
      <c r="BW543" s="2">
        <v>9.0</v>
      </c>
      <c r="BX543" s="2">
        <v>123.0</v>
      </c>
      <c r="BY543" s="2">
        <v>4.0</v>
      </c>
      <c r="BZ543" s="2">
        <v>0.0</v>
      </c>
      <c r="CA543" s="2">
        <v>0.0</v>
      </c>
      <c r="CB543" s="2">
        <v>0.0</v>
      </c>
      <c r="CC543" s="2">
        <v>0.0</v>
      </c>
      <c r="CD543" s="2">
        <v>0.0</v>
      </c>
      <c r="CE543" s="2">
        <v>2.0</v>
      </c>
      <c r="CF543" s="2">
        <v>20.0</v>
      </c>
      <c r="CG543" s="2">
        <v>2.0</v>
      </c>
      <c r="CH543" s="2">
        <v>55.0</v>
      </c>
      <c r="CI543" s="2">
        <v>1.0</v>
      </c>
      <c r="CJ543" s="2">
        <v>1.0</v>
      </c>
      <c r="CK543" s="2">
        <v>0.0</v>
      </c>
      <c r="CL543" s="2">
        <v>0.0</v>
      </c>
      <c r="CM543" s="2">
        <v>39.0</v>
      </c>
      <c r="CN543" s="2">
        <v>1.0</v>
      </c>
      <c r="CO543" s="2">
        <v>0.0</v>
      </c>
      <c r="CP543" s="2">
        <v>0.0</v>
      </c>
      <c r="CQ543" s="2">
        <v>1.0</v>
      </c>
      <c r="CR543" s="2">
        <v>0.0</v>
      </c>
      <c r="CS543" s="2">
        <v>0.0</v>
      </c>
      <c r="CT543" s="2">
        <v>0.0</v>
      </c>
      <c r="CU543" s="2">
        <v>0.0</v>
      </c>
      <c r="CV543" s="2">
        <v>0.0</v>
      </c>
      <c r="CW543" s="2">
        <v>0.0</v>
      </c>
      <c r="CX543" s="2">
        <v>0.0</v>
      </c>
      <c r="CY543" s="2">
        <v>0.0</v>
      </c>
      <c r="CZ543" s="2">
        <v>0.0</v>
      </c>
      <c r="DA543" s="2" t="s">
        <v>2026</v>
      </c>
      <c r="DD543" s="2">
        <v>39.0</v>
      </c>
      <c r="DE543" s="2">
        <v>0.0</v>
      </c>
      <c r="DF543" s="2">
        <v>0.0</v>
      </c>
      <c r="DG543" s="2">
        <v>2.0</v>
      </c>
      <c r="DH543" s="2">
        <v>2.0</v>
      </c>
      <c r="DI543" s="2">
        <v>0.0</v>
      </c>
      <c r="DJ543" s="2">
        <v>0.0</v>
      </c>
      <c r="DK543" s="2">
        <v>1.0</v>
      </c>
      <c r="DL543" s="2">
        <v>0.0</v>
      </c>
      <c r="DM543" s="2">
        <v>0.0</v>
      </c>
      <c r="DN543" s="2">
        <v>0.0</v>
      </c>
      <c r="DO543" s="2">
        <v>0.0</v>
      </c>
      <c r="DP543" s="2">
        <v>0.0</v>
      </c>
      <c r="DQ543" s="2">
        <v>3.0</v>
      </c>
      <c r="DR543" s="2">
        <v>0.0</v>
      </c>
      <c r="DS543" s="2">
        <v>44.0</v>
      </c>
      <c r="DT543" s="2">
        <v>115.0</v>
      </c>
      <c r="DU543" s="2">
        <v>1.0</v>
      </c>
      <c r="DV543" s="2">
        <v>1.0</v>
      </c>
      <c r="DW543" s="2">
        <v>1.0</v>
      </c>
      <c r="DX543" s="2">
        <v>0.0</v>
      </c>
      <c r="DY543" s="2">
        <v>0.0</v>
      </c>
      <c r="DZ543" s="2">
        <v>1.0</v>
      </c>
      <c r="EA543" s="2">
        <v>1.0</v>
      </c>
      <c r="EB543" s="2">
        <v>0.0</v>
      </c>
      <c r="EC543" s="2">
        <v>114.0</v>
      </c>
      <c r="EE543" s="2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2">
        <v>2025.0</v>
      </c>
      <c r="B544" s="2">
        <v>18.0</v>
      </c>
      <c r="C544" s="2" t="s">
        <v>242</v>
      </c>
      <c r="D544" s="2" t="s">
        <v>390</v>
      </c>
      <c r="E544" s="2" t="s">
        <v>1214</v>
      </c>
      <c r="F544" s="2" t="s">
        <v>148</v>
      </c>
      <c r="G544" s="2">
        <v>31.0</v>
      </c>
      <c r="H544" s="2">
        <v>47.0</v>
      </c>
      <c r="I544" s="2">
        <v>294.0</v>
      </c>
      <c r="J544" s="2">
        <v>1.0</v>
      </c>
      <c r="K544" s="2">
        <v>0.0</v>
      </c>
      <c r="L544" s="2">
        <v>2.0</v>
      </c>
      <c r="M544" s="2">
        <v>-4.0</v>
      </c>
      <c r="N544" s="2">
        <v>0.0</v>
      </c>
      <c r="O544" s="2">
        <v>0.0</v>
      </c>
      <c r="P544" s="2">
        <v>325.0</v>
      </c>
      <c r="Q544" s="2">
        <v>194.0</v>
      </c>
      <c r="R544" s="2">
        <v>14.0</v>
      </c>
      <c r="S544" s="2">
        <v>7.45087876743144</v>
      </c>
      <c r="T544" s="2">
        <v>1.21738429773938</v>
      </c>
      <c r="U544" s="2">
        <v>0.0</v>
      </c>
      <c r="V544" s="2">
        <v>11.0</v>
      </c>
      <c r="W544" s="2">
        <v>5.0</v>
      </c>
      <c r="X544" s="2">
        <v>3.0</v>
      </c>
      <c r="Y544" s="2">
        <v>0.0</v>
      </c>
      <c r="Z544" s="2">
        <v>24.0</v>
      </c>
      <c r="AA544" s="2">
        <v>100.0</v>
      </c>
      <c r="AB544" s="2">
        <v>2.0</v>
      </c>
      <c r="AC544" s="2">
        <v>0.0</v>
      </c>
      <c r="AD544" s="2">
        <v>0.0</v>
      </c>
      <c r="AE544" s="2">
        <v>8.0</v>
      </c>
      <c r="AF544" s="2">
        <v>-3.18068019722705</v>
      </c>
      <c r="AG544" s="2">
        <v>0.0</v>
      </c>
      <c r="AH544" s="2">
        <v>3.0</v>
      </c>
      <c r="AI544" s="2">
        <v>3.0</v>
      </c>
      <c r="AJ544" s="2">
        <v>1.0</v>
      </c>
      <c r="AK544" s="2">
        <v>0.0</v>
      </c>
      <c r="AL544" s="2">
        <v>31.0</v>
      </c>
      <c r="AM544" s="2">
        <v>44.0</v>
      </c>
      <c r="AN544" s="2">
        <v>294.0</v>
      </c>
      <c r="AO544" s="2">
        <v>1.0</v>
      </c>
      <c r="AP544" s="2">
        <v>0.0</v>
      </c>
      <c r="AQ544" s="2">
        <v>0.0</v>
      </c>
      <c r="AR544" s="2">
        <v>325.0</v>
      </c>
      <c r="AS544" s="2">
        <v>194.0</v>
      </c>
      <c r="AT544" s="2">
        <v>14.0</v>
      </c>
      <c r="AU544" s="2">
        <v>12.7089796048291</v>
      </c>
      <c r="AV544" s="2">
        <v>0.0</v>
      </c>
      <c r="AW544" s="2">
        <v>11.0</v>
      </c>
      <c r="AX544" s="2">
        <v>5.0</v>
      </c>
      <c r="AY544" s="2">
        <v>3.0</v>
      </c>
      <c r="AZ544" s="2">
        <v>0.0</v>
      </c>
      <c r="BA544" s="2">
        <v>0.0</v>
      </c>
      <c r="BB544" s="2">
        <v>32.0</v>
      </c>
      <c r="BC544" s="2">
        <v>0.0</v>
      </c>
      <c r="BD544" s="2">
        <v>18.0</v>
      </c>
      <c r="BE544" s="2">
        <v>3.0</v>
      </c>
      <c r="BF544" s="2">
        <v>17.0</v>
      </c>
      <c r="BG544" s="2">
        <v>0.0</v>
      </c>
      <c r="BH544" s="2">
        <v>3.0</v>
      </c>
      <c r="BI544" s="2">
        <v>16.0</v>
      </c>
      <c r="BJ544" s="2">
        <v>5.0</v>
      </c>
      <c r="BK544" s="2">
        <v>1.0</v>
      </c>
      <c r="BL544" s="2">
        <v>0.0</v>
      </c>
      <c r="BM544" s="2">
        <v>4.0</v>
      </c>
      <c r="BN544" s="2">
        <v>0.0</v>
      </c>
      <c r="BO544" s="2">
        <v>0.0</v>
      </c>
      <c r="BP544" s="2">
        <v>0.0</v>
      </c>
      <c r="BQ544" s="2">
        <v>0.0</v>
      </c>
      <c r="BR544" s="2">
        <v>0.0</v>
      </c>
      <c r="BS544" s="2">
        <v>0.0</v>
      </c>
      <c r="BT544" s="2">
        <v>0.0</v>
      </c>
      <c r="BU544" s="2">
        <v>0.0</v>
      </c>
      <c r="BV544" s="2">
        <v>0.0</v>
      </c>
      <c r="BW544" s="2">
        <v>5.0</v>
      </c>
      <c r="BX544" s="2">
        <v>45.0</v>
      </c>
      <c r="BY544" s="2">
        <v>6.0</v>
      </c>
      <c r="BZ544" s="2">
        <v>0.0</v>
      </c>
      <c r="CA544" s="2">
        <v>0.0</v>
      </c>
      <c r="CB544" s="2">
        <v>0.0</v>
      </c>
      <c r="CC544" s="2">
        <v>0.0</v>
      </c>
      <c r="CD544" s="2">
        <v>0.0</v>
      </c>
      <c r="CE544" s="2">
        <v>2.0</v>
      </c>
      <c r="CF544" s="2">
        <v>11.0</v>
      </c>
      <c r="CG544" s="2">
        <v>3.0</v>
      </c>
      <c r="CH544" s="2">
        <v>91.0</v>
      </c>
      <c r="CI544" s="2">
        <v>2.0</v>
      </c>
      <c r="CJ544" s="2">
        <v>2.0</v>
      </c>
      <c r="CK544" s="2">
        <v>0.0</v>
      </c>
      <c r="CL544" s="2">
        <v>0.0</v>
      </c>
      <c r="CM544" s="2">
        <v>57.0</v>
      </c>
      <c r="CN544" s="2">
        <v>1.0</v>
      </c>
      <c r="CO544" s="2">
        <v>0.0</v>
      </c>
      <c r="CP544" s="2">
        <v>1.0</v>
      </c>
      <c r="CQ544" s="2">
        <v>0.0</v>
      </c>
      <c r="CR544" s="2">
        <v>0.0</v>
      </c>
      <c r="CS544" s="2">
        <v>1.0</v>
      </c>
      <c r="CT544" s="2">
        <v>0.0</v>
      </c>
      <c r="CU544" s="2">
        <v>0.0</v>
      </c>
      <c r="CV544" s="2">
        <v>0.0</v>
      </c>
      <c r="CW544" s="2">
        <v>0.0</v>
      </c>
      <c r="CX544" s="2">
        <v>0.0</v>
      </c>
      <c r="CY544" s="2">
        <v>0.0</v>
      </c>
      <c r="CZ544" s="2">
        <v>0.0</v>
      </c>
      <c r="DA544" s="2" t="s">
        <v>2294</v>
      </c>
      <c r="DD544" s="2">
        <v>82.0</v>
      </c>
      <c r="DE544" s="2">
        <v>0.0</v>
      </c>
      <c r="DF544" s="2">
        <v>0.0</v>
      </c>
      <c r="DG544" s="2">
        <v>2.0</v>
      </c>
      <c r="DH544" s="2">
        <v>3.0</v>
      </c>
      <c r="DI544" s="2">
        <v>0.0</v>
      </c>
      <c r="DJ544" s="2">
        <v>1.0</v>
      </c>
      <c r="DK544" s="2">
        <v>0.666666666666667</v>
      </c>
      <c r="DL544" s="2">
        <v>0.0</v>
      </c>
      <c r="DM544" s="2">
        <v>0.0</v>
      </c>
      <c r="DN544" s="2">
        <v>0.0</v>
      </c>
      <c r="DO544" s="2">
        <v>0.0</v>
      </c>
      <c r="DP544" s="2">
        <v>0.0</v>
      </c>
      <c r="DQ544" s="2">
        <v>3.0</v>
      </c>
      <c r="DR544" s="2">
        <v>0.0</v>
      </c>
      <c r="DS544" s="2">
        <v>53.0</v>
      </c>
      <c r="DT544" s="2">
        <v>119.0</v>
      </c>
      <c r="DU544" s="2">
        <v>1.0</v>
      </c>
      <c r="DV544" s="2">
        <v>0.0</v>
      </c>
      <c r="DW544" s="2">
        <v>1.0</v>
      </c>
      <c r="DX544" s="2">
        <v>0.0</v>
      </c>
      <c r="DY544" s="2">
        <v>2.0</v>
      </c>
      <c r="DZ544" s="2">
        <v>0.0</v>
      </c>
      <c r="EA544" s="2">
        <v>0.0</v>
      </c>
      <c r="EB544" s="2">
        <v>0.0</v>
      </c>
      <c r="EC544" s="2">
        <v>119.0</v>
      </c>
      <c r="EE544" s="2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2">
        <v>2025.0</v>
      </c>
      <c r="B545" s="2">
        <v>18.0</v>
      </c>
      <c r="C545" s="2" t="s">
        <v>149</v>
      </c>
      <c r="D545" s="2" t="s">
        <v>390</v>
      </c>
      <c r="E545" s="2" t="s">
        <v>1216</v>
      </c>
      <c r="F545" s="2" t="s">
        <v>246</v>
      </c>
      <c r="G545" s="2">
        <v>20.0</v>
      </c>
      <c r="H545" s="2">
        <v>26.0</v>
      </c>
      <c r="I545" s="2">
        <v>198.0</v>
      </c>
      <c r="J545" s="2">
        <v>0.0</v>
      </c>
      <c r="K545" s="2">
        <v>0.0</v>
      </c>
      <c r="L545" s="2">
        <v>2.0</v>
      </c>
      <c r="M545" s="2">
        <v>-17.0</v>
      </c>
      <c r="N545" s="2">
        <v>0.0</v>
      </c>
      <c r="O545" s="2">
        <v>0.0</v>
      </c>
      <c r="P545" s="2">
        <v>126.0</v>
      </c>
      <c r="Q545" s="2">
        <v>128.0</v>
      </c>
      <c r="R545" s="2">
        <v>11.0</v>
      </c>
      <c r="S545" s="2">
        <v>4.77963781639172</v>
      </c>
      <c r="T545" s="2">
        <v>6.9315295953017</v>
      </c>
      <c r="U545" s="2">
        <v>0.0</v>
      </c>
      <c r="V545" s="2">
        <v>9.0</v>
      </c>
      <c r="W545" s="2">
        <v>5.0</v>
      </c>
      <c r="X545" s="2">
        <v>2.0</v>
      </c>
      <c r="Y545" s="2">
        <v>0.0</v>
      </c>
      <c r="Z545" s="2">
        <v>39.0</v>
      </c>
      <c r="AA545" s="2">
        <v>180.0</v>
      </c>
      <c r="AB545" s="2">
        <v>1.0</v>
      </c>
      <c r="AC545" s="2">
        <v>1.0</v>
      </c>
      <c r="AD545" s="2">
        <v>0.0</v>
      </c>
      <c r="AE545" s="2">
        <v>10.0</v>
      </c>
      <c r="AF545" s="2">
        <v>-2.57333882903913</v>
      </c>
      <c r="AG545" s="2">
        <v>0.0</v>
      </c>
      <c r="AH545" s="2">
        <v>6.0</v>
      </c>
      <c r="AI545" s="2">
        <v>3.0</v>
      </c>
      <c r="AJ545" s="2">
        <v>2.0</v>
      </c>
      <c r="AK545" s="2">
        <v>0.0</v>
      </c>
      <c r="AL545" s="2">
        <v>20.0</v>
      </c>
      <c r="AM545" s="2">
        <v>26.0</v>
      </c>
      <c r="AN545" s="2">
        <v>198.0</v>
      </c>
      <c r="AO545" s="2">
        <v>0.0</v>
      </c>
      <c r="AP545" s="2">
        <v>0.0</v>
      </c>
      <c r="AQ545" s="2">
        <v>0.0</v>
      </c>
      <c r="AR545" s="2">
        <v>126.0</v>
      </c>
      <c r="AS545" s="2">
        <v>128.0</v>
      </c>
      <c r="AT545" s="2">
        <v>11.0</v>
      </c>
      <c r="AU545" s="2">
        <v>7.54219031360171</v>
      </c>
      <c r="AV545" s="2">
        <v>0.0</v>
      </c>
      <c r="AW545" s="2">
        <v>9.0</v>
      </c>
      <c r="AX545" s="2">
        <v>5.0</v>
      </c>
      <c r="AY545" s="2">
        <v>2.0</v>
      </c>
      <c r="AZ545" s="2">
        <v>0.0</v>
      </c>
      <c r="BA545" s="2">
        <v>0.0</v>
      </c>
      <c r="BB545" s="2">
        <v>26.0</v>
      </c>
      <c r="BC545" s="2">
        <v>0.0</v>
      </c>
      <c r="BD545" s="2">
        <v>18.0</v>
      </c>
      <c r="BE545" s="2">
        <v>4.0</v>
      </c>
      <c r="BF545" s="2">
        <v>14.0</v>
      </c>
      <c r="BG545" s="2">
        <v>0.0</v>
      </c>
      <c r="BH545" s="2">
        <v>3.0</v>
      </c>
      <c r="BI545" s="2">
        <v>7.0</v>
      </c>
      <c r="BJ545" s="2">
        <v>8.0</v>
      </c>
      <c r="BK545" s="2">
        <v>1.0</v>
      </c>
      <c r="BL545" s="2">
        <v>0.0</v>
      </c>
      <c r="BM545" s="2">
        <v>5.0</v>
      </c>
      <c r="BN545" s="2">
        <v>0.0</v>
      </c>
      <c r="BO545" s="2">
        <v>0.0</v>
      </c>
      <c r="BP545" s="2">
        <v>0.0</v>
      </c>
      <c r="BQ545" s="2">
        <v>0.0</v>
      </c>
      <c r="BR545" s="2">
        <v>1.0</v>
      </c>
      <c r="BS545" s="2">
        <v>-4.0</v>
      </c>
      <c r="BT545" s="2">
        <v>0.0</v>
      </c>
      <c r="BU545" s="2">
        <v>0.0</v>
      </c>
      <c r="BV545" s="2">
        <v>0.0</v>
      </c>
      <c r="BW545" s="2">
        <v>5.0</v>
      </c>
      <c r="BX545" s="2">
        <v>25.0</v>
      </c>
      <c r="BY545" s="2">
        <v>3.0</v>
      </c>
      <c r="BZ545" s="2">
        <v>0.0</v>
      </c>
      <c r="CA545" s="2">
        <v>1.0</v>
      </c>
      <c r="CB545" s="2">
        <v>0.0</v>
      </c>
      <c r="CC545" s="2">
        <v>1.0</v>
      </c>
      <c r="CD545" s="2">
        <v>0.0</v>
      </c>
      <c r="CE545" s="2">
        <v>2.0</v>
      </c>
      <c r="CF545" s="2">
        <v>30.0</v>
      </c>
      <c r="CG545" s="2">
        <v>1.0</v>
      </c>
      <c r="CH545" s="2">
        <v>34.0</v>
      </c>
      <c r="CI545" s="2">
        <v>2.0</v>
      </c>
      <c r="CJ545" s="2">
        <v>4.0</v>
      </c>
      <c r="CK545" s="2">
        <v>2.0</v>
      </c>
      <c r="CL545" s="2">
        <v>0.0</v>
      </c>
      <c r="CM545" s="2">
        <v>45.0</v>
      </c>
      <c r="CN545" s="2">
        <v>0.5</v>
      </c>
      <c r="CO545" s="2">
        <v>0.0</v>
      </c>
      <c r="CP545" s="2">
        <v>0.0</v>
      </c>
      <c r="CQ545" s="2">
        <v>1.0</v>
      </c>
      <c r="CR545" s="2">
        <v>1.0</v>
      </c>
      <c r="CS545" s="2">
        <v>0.0</v>
      </c>
      <c r="CT545" s="2">
        <v>0.0</v>
      </c>
      <c r="CU545" s="2">
        <v>0.0</v>
      </c>
      <c r="CV545" s="2">
        <v>1.0</v>
      </c>
      <c r="CW545" s="2">
        <v>0.0</v>
      </c>
      <c r="CX545" s="2">
        <v>1.0</v>
      </c>
      <c r="CY545" s="2">
        <v>0.0</v>
      </c>
      <c r="CZ545" s="2">
        <v>0.0</v>
      </c>
      <c r="DA545" s="2" t="s">
        <v>2295</v>
      </c>
      <c r="DB545" s="2" t="s">
        <v>2253</v>
      </c>
      <c r="DD545" s="2">
        <v>76.0</v>
      </c>
      <c r="DE545" s="2">
        <v>73.0</v>
      </c>
      <c r="DF545" s="2">
        <v>0.0</v>
      </c>
      <c r="DG545" s="2">
        <v>1.0</v>
      </c>
      <c r="DH545" s="2">
        <v>1.0</v>
      </c>
      <c r="DI545" s="2">
        <v>0.0</v>
      </c>
      <c r="DJ545" s="2">
        <v>0.0</v>
      </c>
      <c r="DK545" s="2">
        <v>1.0</v>
      </c>
      <c r="DL545" s="2">
        <v>0.0</v>
      </c>
      <c r="DM545" s="2">
        <v>0.0</v>
      </c>
      <c r="DN545" s="2">
        <v>0.0</v>
      </c>
      <c r="DO545" s="2">
        <v>0.0</v>
      </c>
      <c r="DP545" s="2">
        <v>0.0</v>
      </c>
      <c r="DQ545" s="2">
        <v>1.0</v>
      </c>
      <c r="DR545" s="2">
        <v>0.0</v>
      </c>
      <c r="DS545" s="2">
        <v>36.0</v>
      </c>
      <c r="DT545" s="2">
        <v>36.0</v>
      </c>
      <c r="DU545" s="2">
        <v>1.0</v>
      </c>
      <c r="DV545" s="2">
        <v>0.0</v>
      </c>
      <c r="DW545" s="2">
        <v>0.0</v>
      </c>
      <c r="DX545" s="2">
        <v>0.0</v>
      </c>
      <c r="DY545" s="2">
        <v>1.0</v>
      </c>
      <c r="DZ545" s="2">
        <v>0.0</v>
      </c>
      <c r="EA545" s="2">
        <v>0.0</v>
      </c>
      <c r="EB545" s="2">
        <v>0.0</v>
      </c>
      <c r="EC545" s="2">
        <v>36.0</v>
      </c>
      <c r="EE545" s="2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2">
        <v>2025.0</v>
      </c>
      <c r="B546" s="2">
        <v>18.0</v>
      </c>
      <c r="C546" s="2" t="s">
        <v>246</v>
      </c>
      <c r="D546" s="2" t="s">
        <v>390</v>
      </c>
      <c r="E546" s="2" t="s">
        <v>1216</v>
      </c>
      <c r="F546" s="2" t="s">
        <v>149</v>
      </c>
      <c r="G546" s="2">
        <v>19.0</v>
      </c>
      <c r="H546" s="2">
        <v>27.0</v>
      </c>
      <c r="I546" s="2">
        <v>127.0</v>
      </c>
      <c r="J546" s="2">
        <v>0.0</v>
      </c>
      <c r="K546" s="2">
        <v>1.0</v>
      </c>
      <c r="L546" s="2">
        <v>3.0</v>
      </c>
      <c r="M546" s="2">
        <v>-7.0</v>
      </c>
      <c r="N546" s="2">
        <v>0.0</v>
      </c>
      <c r="O546" s="2">
        <v>0.0</v>
      </c>
      <c r="P546" s="2">
        <v>129.0</v>
      </c>
      <c r="Q546" s="2">
        <v>50.0</v>
      </c>
      <c r="R546" s="2">
        <v>8.0</v>
      </c>
      <c r="S546" s="2">
        <v>-13.5590725159193</v>
      </c>
      <c r="T546" s="2">
        <v>3.17152970367008</v>
      </c>
      <c r="U546" s="2">
        <v>0.0</v>
      </c>
      <c r="V546" s="2">
        <v>5.0</v>
      </c>
      <c r="W546" s="2">
        <v>2.0</v>
      </c>
      <c r="X546" s="2">
        <v>1.0</v>
      </c>
      <c r="Y546" s="2">
        <v>0.0</v>
      </c>
      <c r="Z546" s="2">
        <v>12.0</v>
      </c>
      <c r="AA546" s="2">
        <v>53.0</v>
      </c>
      <c r="AB546" s="2">
        <v>0.0</v>
      </c>
      <c r="AC546" s="2">
        <v>0.0</v>
      </c>
      <c r="AD546" s="2">
        <v>0.0</v>
      </c>
      <c r="AE546" s="2">
        <v>1.0</v>
      </c>
      <c r="AF546" s="2">
        <v>-1.51853693241719</v>
      </c>
      <c r="AG546" s="2">
        <v>0.0</v>
      </c>
      <c r="AH546" s="2">
        <v>2.0</v>
      </c>
      <c r="AI546" s="2">
        <v>0.0</v>
      </c>
      <c r="AJ546" s="2">
        <v>0.0</v>
      </c>
      <c r="AK546" s="2">
        <v>0.0</v>
      </c>
      <c r="AL546" s="2">
        <v>19.0</v>
      </c>
      <c r="AM546" s="2">
        <v>27.0</v>
      </c>
      <c r="AN546" s="2">
        <v>127.0</v>
      </c>
      <c r="AO546" s="2">
        <v>0.0</v>
      </c>
      <c r="AP546" s="2">
        <v>0.0</v>
      </c>
      <c r="AQ546" s="2">
        <v>0.0</v>
      </c>
      <c r="AR546" s="2">
        <v>129.0</v>
      </c>
      <c r="AS546" s="2">
        <v>50.0</v>
      </c>
      <c r="AT546" s="2">
        <v>8.0</v>
      </c>
      <c r="AU546" s="2">
        <v>-10.0907291262411</v>
      </c>
      <c r="AV546" s="2">
        <v>0.0</v>
      </c>
      <c r="AW546" s="2">
        <v>5.0</v>
      </c>
      <c r="AX546" s="2">
        <v>2.0</v>
      </c>
      <c r="AY546" s="2">
        <v>1.0</v>
      </c>
      <c r="AZ546" s="2">
        <v>0.0</v>
      </c>
      <c r="BA546" s="2">
        <v>0.0</v>
      </c>
      <c r="BB546" s="2">
        <v>46.0</v>
      </c>
      <c r="BC546" s="2">
        <v>0.0</v>
      </c>
      <c r="BD546" s="2">
        <v>26.0</v>
      </c>
      <c r="BE546" s="2">
        <v>5.0</v>
      </c>
      <c r="BF546" s="2">
        <v>28.0</v>
      </c>
      <c r="BG546" s="2">
        <v>0.0</v>
      </c>
      <c r="BH546" s="2">
        <v>2.0</v>
      </c>
      <c r="BI546" s="2">
        <v>17.0</v>
      </c>
      <c r="BJ546" s="2">
        <v>3.0</v>
      </c>
      <c r="BK546" s="2">
        <v>0.0</v>
      </c>
      <c r="BL546" s="2">
        <v>0.0</v>
      </c>
      <c r="BM546" s="2">
        <v>3.0</v>
      </c>
      <c r="BN546" s="2">
        <v>0.0</v>
      </c>
      <c r="BO546" s="2">
        <v>0.0</v>
      </c>
      <c r="BP546" s="2">
        <v>0.0</v>
      </c>
      <c r="BQ546" s="2">
        <v>0.0</v>
      </c>
      <c r="BR546" s="2">
        <v>0.0</v>
      </c>
      <c r="BS546" s="2">
        <v>0.0</v>
      </c>
      <c r="BT546" s="2">
        <v>0.0</v>
      </c>
      <c r="BU546" s="2">
        <v>0.0</v>
      </c>
      <c r="BV546" s="2">
        <v>0.0</v>
      </c>
      <c r="BW546" s="2">
        <v>3.0</v>
      </c>
      <c r="BX546" s="2">
        <v>31.0</v>
      </c>
      <c r="BY546" s="2">
        <v>3.0</v>
      </c>
      <c r="BZ546" s="2">
        <v>0.0</v>
      </c>
      <c r="CA546" s="2">
        <v>0.0</v>
      </c>
      <c r="CB546" s="2">
        <v>0.0</v>
      </c>
      <c r="CC546" s="2">
        <v>0.0</v>
      </c>
      <c r="CD546" s="2">
        <v>0.0</v>
      </c>
      <c r="CE546" s="2">
        <v>0.0</v>
      </c>
      <c r="CF546" s="2">
        <v>0.0</v>
      </c>
      <c r="CG546" s="2">
        <v>2.0</v>
      </c>
      <c r="CH546" s="2">
        <v>36.0</v>
      </c>
      <c r="CI546" s="2">
        <v>1.0</v>
      </c>
      <c r="CJ546" s="2">
        <v>1.0</v>
      </c>
      <c r="CK546" s="2">
        <v>0.0</v>
      </c>
      <c r="CL546" s="2">
        <v>0.0</v>
      </c>
      <c r="CM546" s="2">
        <v>48.0</v>
      </c>
      <c r="CN546" s="2">
        <v>1.0</v>
      </c>
      <c r="CO546" s="2">
        <v>0.0</v>
      </c>
      <c r="CP546" s="2">
        <v>0.0</v>
      </c>
      <c r="CQ546" s="2">
        <v>0.0</v>
      </c>
      <c r="CR546" s="2">
        <v>1.0</v>
      </c>
      <c r="CS546" s="2">
        <v>0.0</v>
      </c>
      <c r="CT546" s="2">
        <v>0.0</v>
      </c>
      <c r="CU546" s="2">
        <v>0.0</v>
      </c>
      <c r="CV546" s="2">
        <v>0.0</v>
      </c>
      <c r="CW546" s="2">
        <v>0.0</v>
      </c>
      <c r="CX546" s="2">
        <v>0.0</v>
      </c>
      <c r="CY546" s="2">
        <v>0.0</v>
      </c>
      <c r="CZ546" s="2">
        <v>0.0</v>
      </c>
      <c r="DA546" s="2" t="s">
        <v>1965</v>
      </c>
      <c r="DD546" s="2">
        <v>48.0</v>
      </c>
      <c r="DE546" s="2">
        <v>0.0</v>
      </c>
      <c r="DF546" s="2">
        <v>0.0</v>
      </c>
      <c r="DG546" s="2">
        <v>0.0</v>
      </c>
      <c r="DH546" s="2">
        <v>0.0</v>
      </c>
      <c r="DI546" s="2">
        <v>0.0</v>
      </c>
      <c r="DJ546" s="2">
        <v>0.0</v>
      </c>
      <c r="DL546" s="2">
        <v>0.0</v>
      </c>
      <c r="DM546" s="2">
        <v>0.0</v>
      </c>
      <c r="DN546" s="2">
        <v>0.0</v>
      </c>
      <c r="DO546" s="2">
        <v>0.0</v>
      </c>
      <c r="DP546" s="2">
        <v>0.0</v>
      </c>
      <c r="DQ546" s="2">
        <v>4.0</v>
      </c>
      <c r="DR546" s="2">
        <v>0.0</v>
      </c>
      <c r="DS546" s="2">
        <v>50.0</v>
      </c>
      <c r="DT546" s="2">
        <v>181.0</v>
      </c>
      <c r="DU546" s="2">
        <v>1.0</v>
      </c>
      <c r="DV546" s="2">
        <v>0.0</v>
      </c>
      <c r="DW546" s="2">
        <v>0.0</v>
      </c>
      <c r="DX546" s="2">
        <v>0.0</v>
      </c>
      <c r="DY546" s="2">
        <v>2.0</v>
      </c>
      <c r="DZ546" s="2">
        <v>2.0</v>
      </c>
      <c r="EA546" s="2">
        <v>30.0</v>
      </c>
      <c r="EB546" s="2">
        <v>0.0</v>
      </c>
      <c r="EC546" s="2">
        <v>151.0</v>
      </c>
      <c r="EE546" s="2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2">
        <v>2025.0</v>
      </c>
      <c r="B547" s="2">
        <v>18.0</v>
      </c>
      <c r="C547" s="2" t="s">
        <v>150</v>
      </c>
      <c r="D547" s="2" t="s">
        <v>390</v>
      </c>
      <c r="E547" s="2" t="s">
        <v>1219</v>
      </c>
      <c r="F547" s="2" t="s">
        <v>189</v>
      </c>
      <c r="G547" s="2">
        <v>16.0</v>
      </c>
      <c r="H547" s="2">
        <v>22.0</v>
      </c>
      <c r="I547" s="2">
        <v>203.0</v>
      </c>
      <c r="J547" s="2">
        <v>1.0</v>
      </c>
      <c r="K547" s="2">
        <v>1.0</v>
      </c>
      <c r="L547" s="2">
        <v>2.0</v>
      </c>
      <c r="M547" s="2">
        <v>-5.0</v>
      </c>
      <c r="N547" s="2">
        <v>1.0</v>
      </c>
      <c r="O547" s="2">
        <v>0.0</v>
      </c>
      <c r="P547" s="2">
        <v>142.0</v>
      </c>
      <c r="Q547" s="2">
        <v>111.0</v>
      </c>
      <c r="R547" s="2">
        <v>12.0</v>
      </c>
      <c r="S547" s="2">
        <v>6.78564281672731</v>
      </c>
      <c r="T547" s="2">
        <v>5.47834038734436</v>
      </c>
      <c r="U547" s="2">
        <v>0.0</v>
      </c>
      <c r="V547" s="2">
        <v>11.0</v>
      </c>
      <c r="W547" s="2">
        <v>5.0</v>
      </c>
      <c r="X547" s="2">
        <v>3.0</v>
      </c>
      <c r="Y547" s="2">
        <v>0.0</v>
      </c>
      <c r="Z547" s="2">
        <v>42.0</v>
      </c>
      <c r="AA547" s="2">
        <v>140.0</v>
      </c>
      <c r="AB547" s="2">
        <v>0.0</v>
      </c>
      <c r="AC547" s="2">
        <v>0.0</v>
      </c>
      <c r="AD547" s="2">
        <v>0.0</v>
      </c>
      <c r="AE547" s="2">
        <v>7.0</v>
      </c>
      <c r="AF547" s="2">
        <v>-6.38699651445369</v>
      </c>
      <c r="AG547" s="2">
        <v>0.0</v>
      </c>
      <c r="AH547" s="2">
        <v>1.0</v>
      </c>
      <c r="AI547" s="2">
        <v>0.0</v>
      </c>
      <c r="AJ547" s="2">
        <v>0.0</v>
      </c>
      <c r="AK547" s="2">
        <v>0.0</v>
      </c>
      <c r="AL547" s="2">
        <v>16.0</v>
      </c>
      <c r="AM547" s="2">
        <v>22.0</v>
      </c>
      <c r="AN547" s="2">
        <v>203.0</v>
      </c>
      <c r="AO547" s="2">
        <v>1.0</v>
      </c>
      <c r="AP547" s="2">
        <v>0.0</v>
      </c>
      <c r="AQ547" s="2">
        <v>0.0</v>
      </c>
      <c r="AR547" s="2">
        <v>142.0</v>
      </c>
      <c r="AS547" s="2">
        <v>111.0</v>
      </c>
      <c r="AT547" s="2">
        <v>12.0</v>
      </c>
      <c r="AU547" s="2">
        <v>8.85778405498274</v>
      </c>
      <c r="AV547" s="2">
        <v>0.0</v>
      </c>
      <c r="AW547" s="2">
        <v>11.0</v>
      </c>
      <c r="AX547" s="2">
        <v>5.0</v>
      </c>
      <c r="AY547" s="2">
        <v>3.0</v>
      </c>
      <c r="AZ547" s="2">
        <v>0.0</v>
      </c>
      <c r="BA547" s="2">
        <v>0.0</v>
      </c>
      <c r="BB547" s="2">
        <v>28.0</v>
      </c>
      <c r="BC547" s="2">
        <v>1.0</v>
      </c>
      <c r="BD547" s="2">
        <v>9.0</v>
      </c>
      <c r="BE547" s="2">
        <v>3.0</v>
      </c>
      <c r="BF547" s="2">
        <v>8.0</v>
      </c>
      <c r="BG547" s="2">
        <v>0.0</v>
      </c>
      <c r="BH547" s="2">
        <v>0.0</v>
      </c>
      <c r="BI547" s="2">
        <v>0.0</v>
      </c>
      <c r="BJ547" s="2">
        <v>1.0</v>
      </c>
      <c r="BK547" s="2">
        <v>1.0</v>
      </c>
      <c r="BL547" s="2">
        <v>0.0</v>
      </c>
      <c r="BM547" s="2">
        <v>2.0</v>
      </c>
      <c r="BN547" s="2">
        <v>0.0</v>
      </c>
      <c r="BO547" s="2">
        <v>0.0</v>
      </c>
      <c r="BP547" s="2">
        <v>0.0</v>
      </c>
      <c r="BQ547" s="2">
        <v>0.0</v>
      </c>
      <c r="BR547" s="2">
        <v>2.0</v>
      </c>
      <c r="BS547" s="2">
        <v>0.0</v>
      </c>
      <c r="BT547" s="2">
        <v>2.0</v>
      </c>
      <c r="BU547" s="2">
        <v>0.0</v>
      </c>
      <c r="BV547" s="2">
        <v>0.0</v>
      </c>
      <c r="BW547" s="2">
        <v>6.0</v>
      </c>
      <c r="BX547" s="2">
        <v>45.0</v>
      </c>
      <c r="BY547" s="2">
        <v>5.0</v>
      </c>
      <c r="BZ547" s="2">
        <v>1.0</v>
      </c>
      <c r="CA547" s="2">
        <v>1.0</v>
      </c>
      <c r="CB547" s="2">
        <v>0.0</v>
      </c>
      <c r="CC547" s="2">
        <v>2.0</v>
      </c>
      <c r="CD547" s="2">
        <v>0.0</v>
      </c>
      <c r="CE547" s="2">
        <v>0.0</v>
      </c>
      <c r="CF547" s="2">
        <v>0.0</v>
      </c>
      <c r="CG547" s="2">
        <v>3.0</v>
      </c>
      <c r="CH547" s="2">
        <v>57.0</v>
      </c>
      <c r="CI547" s="2">
        <v>3.0</v>
      </c>
      <c r="CJ547" s="2">
        <v>4.0</v>
      </c>
      <c r="CK547" s="2">
        <v>0.0</v>
      </c>
      <c r="CL547" s="2">
        <v>1.0</v>
      </c>
      <c r="CM547" s="2">
        <v>48.0</v>
      </c>
      <c r="CN547" s="2">
        <v>0.75</v>
      </c>
      <c r="CO547" s="2">
        <v>0.0</v>
      </c>
      <c r="CP547" s="2">
        <v>1.0</v>
      </c>
      <c r="CQ547" s="2">
        <v>1.0</v>
      </c>
      <c r="CR547" s="2">
        <v>1.0</v>
      </c>
      <c r="CS547" s="2">
        <v>0.0</v>
      </c>
      <c r="CT547" s="2">
        <v>0.0</v>
      </c>
      <c r="CU547" s="2">
        <v>0.0</v>
      </c>
      <c r="CV547" s="2">
        <v>0.0</v>
      </c>
      <c r="CW547" s="2">
        <v>0.0</v>
      </c>
      <c r="CX547" s="2">
        <v>0.0</v>
      </c>
      <c r="CY547" s="2">
        <v>0.0</v>
      </c>
      <c r="CZ547" s="2">
        <v>0.0</v>
      </c>
      <c r="DA547" s="2" t="s">
        <v>2296</v>
      </c>
      <c r="DC547" s="2" t="s">
        <v>1999</v>
      </c>
      <c r="DD547" s="2">
        <v>113.0</v>
      </c>
      <c r="DE547" s="2">
        <v>0.0</v>
      </c>
      <c r="DF547" s="2">
        <v>38.0</v>
      </c>
      <c r="DG547" s="2">
        <v>1.0</v>
      </c>
      <c r="DH547" s="2">
        <v>1.0</v>
      </c>
      <c r="DI547" s="2">
        <v>0.0</v>
      </c>
      <c r="DJ547" s="2">
        <v>0.0</v>
      </c>
      <c r="DK547" s="2">
        <v>1.0</v>
      </c>
      <c r="DL547" s="2">
        <v>0.0</v>
      </c>
      <c r="DM547" s="2">
        <v>0.0</v>
      </c>
      <c r="DN547" s="2">
        <v>0.0</v>
      </c>
      <c r="DO547" s="2">
        <v>0.0</v>
      </c>
      <c r="DP547" s="2">
        <v>0.0</v>
      </c>
      <c r="DQ547" s="2">
        <v>3.0</v>
      </c>
      <c r="DR547" s="2">
        <v>0.0</v>
      </c>
      <c r="DS547" s="2">
        <v>46.0</v>
      </c>
      <c r="DT547" s="2">
        <v>130.0</v>
      </c>
      <c r="DU547" s="2">
        <v>3.0</v>
      </c>
      <c r="DV547" s="2">
        <v>0.0</v>
      </c>
      <c r="DW547" s="2">
        <v>0.0</v>
      </c>
      <c r="DX547" s="2">
        <v>0.0</v>
      </c>
      <c r="DY547" s="2">
        <v>1.0</v>
      </c>
      <c r="DZ547" s="2">
        <v>2.0</v>
      </c>
      <c r="EA547" s="2">
        <v>3.0</v>
      </c>
      <c r="EB547" s="2">
        <v>0.0</v>
      </c>
      <c r="EC547" s="2">
        <v>127.0</v>
      </c>
      <c r="EE547" s="2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2">
        <v>2025.0</v>
      </c>
      <c r="B548" s="2">
        <v>18.0</v>
      </c>
      <c r="C548" s="2" t="s">
        <v>250</v>
      </c>
      <c r="D548" s="2" t="s">
        <v>390</v>
      </c>
      <c r="E548" s="2" t="s">
        <v>1196</v>
      </c>
      <c r="F548" s="2" t="s">
        <v>141</v>
      </c>
      <c r="G548" s="2">
        <v>20.0</v>
      </c>
      <c r="H548" s="2">
        <v>33.0</v>
      </c>
      <c r="I548" s="2">
        <v>124.0</v>
      </c>
      <c r="J548" s="2">
        <v>0.0</v>
      </c>
      <c r="K548" s="2">
        <v>1.0</v>
      </c>
      <c r="L548" s="2">
        <v>1.0</v>
      </c>
      <c r="M548" s="2">
        <v>-7.0</v>
      </c>
      <c r="N548" s="2">
        <v>0.0</v>
      </c>
      <c r="O548" s="2">
        <v>0.0</v>
      </c>
      <c r="P548" s="2">
        <v>127.0</v>
      </c>
      <c r="Q548" s="2">
        <v>114.0</v>
      </c>
      <c r="R548" s="2">
        <v>5.0</v>
      </c>
      <c r="S548" s="2">
        <v>-19.5929012844492</v>
      </c>
      <c r="T548" s="2">
        <v>-9.16635619871544</v>
      </c>
      <c r="U548" s="2">
        <v>0.0</v>
      </c>
      <c r="V548" s="2">
        <v>5.0</v>
      </c>
      <c r="W548" s="2">
        <v>2.0</v>
      </c>
      <c r="X548" s="2">
        <v>2.0</v>
      </c>
      <c r="Y548" s="2">
        <v>0.0</v>
      </c>
      <c r="Z548" s="2">
        <v>19.0</v>
      </c>
      <c r="AA548" s="2">
        <v>77.0</v>
      </c>
      <c r="AB548" s="2">
        <v>1.0</v>
      </c>
      <c r="AC548" s="2">
        <v>0.0</v>
      </c>
      <c r="AD548" s="2">
        <v>0.0</v>
      </c>
      <c r="AE548" s="2">
        <v>5.0</v>
      </c>
      <c r="AF548" s="2">
        <v>1.12047498865286</v>
      </c>
      <c r="AG548" s="2">
        <v>0.0</v>
      </c>
      <c r="AH548" s="2">
        <v>1.0</v>
      </c>
      <c r="AI548" s="2">
        <v>0.0</v>
      </c>
      <c r="AJ548" s="2">
        <v>0.0</v>
      </c>
      <c r="AK548" s="2">
        <v>0.0</v>
      </c>
      <c r="AL548" s="2">
        <v>20.0</v>
      </c>
      <c r="AM548" s="2">
        <v>33.0</v>
      </c>
      <c r="AN548" s="2">
        <v>124.0</v>
      </c>
      <c r="AO548" s="2">
        <v>0.0</v>
      </c>
      <c r="AP548" s="2">
        <v>0.0</v>
      </c>
      <c r="AQ548" s="2">
        <v>0.0</v>
      </c>
      <c r="AR548" s="2">
        <v>127.0</v>
      </c>
      <c r="AS548" s="2">
        <v>114.0</v>
      </c>
      <c r="AT548" s="2">
        <v>5.0</v>
      </c>
      <c r="AU548" s="2">
        <v>-18.1806420887274</v>
      </c>
      <c r="AV548" s="2">
        <v>0.0</v>
      </c>
      <c r="AW548" s="2">
        <v>5.0</v>
      </c>
      <c r="AX548" s="2">
        <v>2.0</v>
      </c>
      <c r="AY548" s="2">
        <v>2.0</v>
      </c>
      <c r="AZ548" s="2">
        <v>0.0</v>
      </c>
      <c r="BA548" s="2">
        <v>0.0</v>
      </c>
      <c r="BB548" s="2">
        <v>30.0</v>
      </c>
      <c r="BC548" s="2">
        <v>0.0</v>
      </c>
      <c r="BD548" s="2">
        <v>34.0</v>
      </c>
      <c r="BE548" s="2">
        <v>5.0</v>
      </c>
      <c r="BF548" s="2">
        <v>22.0</v>
      </c>
      <c r="BG548" s="2">
        <v>0.0</v>
      </c>
      <c r="BH548" s="2">
        <v>2.0</v>
      </c>
      <c r="BI548" s="2">
        <v>16.0</v>
      </c>
      <c r="BJ548" s="2">
        <v>2.0</v>
      </c>
      <c r="BK548" s="2">
        <v>0.0</v>
      </c>
      <c r="BL548" s="2">
        <v>0.0</v>
      </c>
      <c r="BM548" s="2">
        <v>3.0</v>
      </c>
      <c r="BN548" s="2">
        <v>0.0</v>
      </c>
      <c r="BO548" s="2">
        <v>0.0</v>
      </c>
      <c r="BP548" s="2">
        <v>0.0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</v>
      </c>
      <c r="BV548" s="2">
        <v>0.0</v>
      </c>
      <c r="BW548" s="2">
        <v>6.0</v>
      </c>
      <c r="BX548" s="2">
        <v>67.0</v>
      </c>
      <c r="BY548" s="2">
        <v>2.0</v>
      </c>
      <c r="BZ548" s="2">
        <v>0.0</v>
      </c>
      <c r="CA548" s="2">
        <v>0.0</v>
      </c>
      <c r="CB548" s="2">
        <v>0.0</v>
      </c>
      <c r="CC548" s="2">
        <v>0.0</v>
      </c>
      <c r="CD548" s="2">
        <v>0.0</v>
      </c>
      <c r="CE548" s="2">
        <v>1.0</v>
      </c>
      <c r="CF548" s="2">
        <v>9.0</v>
      </c>
      <c r="CG548" s="2">
        <v>1.0</v>
      </c>
      <c r="CH548" s="2">
        <v>20.0</v>
      </c>
      <c r="CI548" s="2">
        <v>0.0</v>
      </c>
      <c r="CJ548" s="2">
        <v>1.0</v>
      </c>
      <c r="CK548" s="2">
        <v>1.0</v>
      </c>
      <c r="CL548" s="2">
        <v>0.0</v>
      </c>
      <c r="CN548" s="2">
        <v>0.0</v>
      </c>
      <c r="CO548" s="2">
        <v>0.0</v>
      </c>
      <c r="CP548" s="2">
        <v>0.0</v>
      </c>
      <c r="CQ548" s="2">
        <v>0.0</v>
      </c>
      <c r="CR548" s="2">
        <v>0.0</v>
      </c>
      <c r="CS548" s="2">
        <v>0.0</v>
      </c>
      <c r="CT548" s="2">
        <v>0.0</v>
      </c>
      <c r="CU548" s="2">
        <v>0.0</v>
      </c>
      <c r="CV548" s="2">
        <v>0.0</v>
      </c>
      <c r="CW548" s="2">
        <v>0.0</v>
      </c>
      <c r="CX548" s="2">
        <v>0.0</v>
      </c>
      <c r="CY548" s="2">
        <v>1.0</v>
      </c>
      <c r="CZ548" s="2">
        <v>0.0</v>
      </c>
      <c r="DB548" s="2" t="s">
        <v>2034</v>
      </c>
      <c r="DD548" s="2">
        <v>0.0</v>
      </c>
      <c r="DE548" s="2">
        <v>52.0</v>
      </c>
      <c r="DF548" s="2">
        <v>0.0</v>
      </c>
      <c r="DG548" s="2">
        <v>1.0</v>
      </c>
      <c r="DH548" s="2">
        <v>1.0</v>
      </c>
      <c r="DI548" s="2">
        <v>0.0</v>
      </c>
      <c r="DJ548" s="2">
        <v>0.0</v>
      </c>
      <c r="DK548" s="2">
        <v>1.0</v>
      </c>
      <c r="DL548" s="2">
        <v>0.0</v>
      </c>
      <c r="DM548" s="2">
        <v>0.0</v>
      </c>
      <c r="DN548" s="2">
        <v>0.0</v>
      </c>
      <c r="DO548" s="2">
        <v>0.0</v>
      </c>
      <c r="DP548" s="2">
        <v>0.0</v>
      </c>
      <c r="DQ548" s="2">
        <v>5.0</v>
      </c>
      <c r="DR548" s="2">
        <v>0.0</v>
      </c>
      <c r="DS548" s="2">
        <v>57.0</v>
      </c>
      <c r="DT548" s="2">
        <v>243.0</v>
      </c>
      <c r="DU548" s="2">
        <v>2.0</v>
      </c>
      <c r="DV548" s="2">
        <v>1.0</v>
      </c>
      <c r="DW548" s="2">
        <v>0.0</v>
      </c>
      <c r="DX548" s="2">
        <v>0.0</v>
      </c>
      <c r="DY548" s="2">
        <v>2.0</v>
      </c>
      <c r="DZ548" s="2">
        <v>2.0</v>
      </c>
      <c r="EA548" s="2">
        <v>6.0</v>
      </c>
      <c r="EB548" s="2">
        <v>0.0</v>
      </c>
      <c r="EC548" s="2">
        <v>237.0</v>
      </c>
      <c r="EE548" s="2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2">
        <v>2025.0</v>
      </c>
      <c r="B549" s="2">
        <v>18.0</v>
      </c>
      <c r="C549" s="2" t="s">
        <v>253</v>
      </c>
      <c r="D549" s="2" t="s">
        <v>390</v>
      </c>
      <c r="E549" s="2" t="s">
        <v>1210</v>
      </c>
      <c r="F549" s="2" t="s">
        <v>147</v>
      </c>
      <c r="G549" s="2">
        <v>14.0</v>
      </c>
      <c r="H549" s="2">
        <v>22.0</v>
      </c>
      <c r="I549" s="2">
        <v>131.0</v>
      </c>
      <c r="J549" s="2">
        <v>1.0</v>
      </c>
      <c r="K549" s="2">
        <v>1.0</v>
      </c>
      <c r="L549" s="2">
        <v>0.0</v>
      </c>
      <c r="M549" s="2">
        <v>0.0</v>
      </c>
      <c r="N549" s="2">
        <v>0.0</v>
      </c>
      <c r="O549" s="2">
        <v>0.0</v>
      </c>
      <c r="P549" s="2">
        <v>123.0</v>
      </c>
      <c r="Q549" s="2">
        <v>86.0</v>
      </c>
      <c r="R549" s="2">
        <v>9.0</v>
      </c>
      <c r="S549" s="2">
        <v>4.47136463279309</v>
      </c>
      <c r="T549" s="2">
        <v>6.25135130003879</v>
      </c>
      <c r="U549" s="2">
        <v>0.0</v>
      </c>
      <c r="V549" s="2">
        <v>6.0</v>
      </c>
      <c r="W549" s="2">
        <v>3.0</v>
      </c>
      <c r="X549" s="2">
        <v>1.0</v>
      </c>
      <c r="Y549" s="2">
        <v>0.0</v>
      </c>
      <c r="Z549" s="2">
        <v>41.0</v>
      </c>
      <c r="AA549" s="2">
        <v>143.0</v>
      </c>
      <c r="AB549" s="2">
        <v>2.0</v>
      </c>
      <c r="AC549" s="2">
        <v>2.0</v>
      </c>
      <c r="AD549" s="2">
        <v>1.0</v>
      </c>
      <c r="AE549" s="2">
        <v>10.0</v>
      </c>
      <c r="AF549" s="2">
        <v>-7.68531006653211</v>
      </c>
      <c r="AG549" s="2">
        <v>0.0</v>
      </c>
      <c r="AH549" s="2">
        <v>4.0</v>
      </c>
      <c r="AI549" s="2">
        <v>2.0</v>
      </c>
      <c r="AJ549" s="2">
        <v>0.0</v>
      </c>
      <c r="AK549" s="2">
        <v>0.0</v>
      </c>
      <c r="AL549" s="2">
        <v>14.0</v>
      </c>
      <c r="AM549" s="2">
        <v>19.0</v>
      </c>
      <c r="AN549" s="2">
        <v>131.0</v>
      </c>
      <c r="AO549" s="2">
        <v>1.0</v>
      </c>
      <c r="AP549" s="2">
        <v>0.0</v>
      </c>
      <c r="AQ549" s="2">
        <v>0.0</v>
      </c>
      <c r="AR549" s="2">
        <v>123.0</v>
      </c>
      <c r="AS549" s="2">
        <v>86.0</v>
      </c>
      <c r="AT549" s="2">
        <v>9.0</v>
      </c>
      <c r="AU549" s="2">
        <v>5.16235151925223</v>
      </c>
      <c r="AV549" s="2">
        <v>0.0</v>
      </c>
      <c r="AW549" s="2">
        <v>6.0</v>
      </c>
      <c r="AX549" s="2">
        <v>3.0</v>
      </c>
      <c r="AY549" s="2">
        <v>1.0</v>
      </c>
      <c r="AZ549" s="2">
        <v>0.0</v>
      </c>
      <c r="BA549" s="2">
        <v>0.0</v>
      </c>
      <c r="BB549" s="2">
        <v>33.0</v>
      </c>
      <c r="BC549" s="2">
        <v>0.0</v>
      </c>
      <c r="BD549" s="2">
        <v>22.0</v>
      </c>
      <c r="BE549" s="2">
        <v>3.0</v>
      </c>
      <c r="BF549" s="2">
        <v>15.0</v>
      </c>
      <c r="BG549" s="2">
        <v>0.0</v>
      </c>
      <c r="BH549" s="2">
        <v>3.0</v>
      </c>
      <c r="BI549" s="2">
        <v>14.0</v>
      </c>
      <c r="BJ549" s="2">
        <v>6.0</v>
      </c>
      <c r="BK549" s="2">
        <v>1.0</v>
      </c>
      <c r="BL549" s="2">
        <v>28.0</v>
      </c>
      <c r="BM549" s="2">
        <v>3.0</v>
      </c>
      <c r="BN549" s="2">
        <v>0.0</v>
      </c>
      <c r="BO549" s="2">
        <v>0.0</v>
      </c>
      <c r="BP549" s="2">
        <v>0.0</v>
      </c>
      <c r="BQ549" s="2">
        <v>0.0</v>
      </c>
      <c r="BR549" s="2">
        <v>2.0</v>
      </c>
      <c r="BS549" s="2">
        <v>-12.0</v>
      </c>
      <c r="BT549" s="2">
        <v>0.0</v>
      </c>
      <c r="BU549" s="2">
        <v>0.0</v>
      </c>
      <c r="BV549" s="2">
        <v>0.0</v>
      </c>
      <c r="BW549" s="2">
        <v>4.0</v>
      </c>
      <c r="BX549" s="2">
        <v>19.0</v>
      </c>
      <c r="BY549" s="2">
        <v>6.0</v>
      </c>
      <c r="BZ549" s="2">
        <v>1.0</v>
      </c>
      <c r="CA549" s="2">
        <v>2.0</v>
      </c>
      <c r="CB549" s="2">
        <v>0.0</v>
      </c>
      <c r="CC549" s="2">
        <v>3.0</v>
      </c>
      <c r="CD549" s="2">
        <v>1.0</v>
      </c>
      <c r="CE549" s="2">
        <v>1.0</v>
      </c>
      <c r="CF549" s="2">
        <v>1.0</v>
      </c>
      <c r="CG549" s="2">
        <v>1.0</v>
      </c>
      <c r="CH549" s="2">
        <v>22.0</v>
      </c>
      <c r="CI549" s="2">
        <v>1.0</v>
      </c>
      <c r="CJ549" s="2">
        <v>2.0</v>
      </c>
      <c r="CK549" s="2">
        <v>1.0</v>
      </c>
      <c r="CL549" s="2">
        <v>0.0</v>
      </c>
      <c r="CM549" s="2">
        <v>56.0</v>
      </c>
      <c r="CN549" s="2">
        <v>0.5</v>
      </c>
      <c r="CO549" s="2">
        <v>0.0</v>
      </c>
      <c r="CP549" s="2">
        <v>0.0</v>
      </c>
      <c r="CQ549" s="2">
        <v>0.0</v>
      </c>
      <c r="CR549" s="2">
        <v>0.0</v>
      </c>
      <c r="CS549" s="2">
        <v>1.0</v>
      </c>
      <c r="CT549" s="2">
        <v>0.0</v>
      </c>
      <c r="CU549" s="2">
        <v>0.0</v>
      </c>
      <c r="CV549" s="2">
        <v>1.0</v>
      </c>
      <c r="CW549" s="2">
        <v>0.0</v>
      </c>
      <c r="CX549" s="2">
        <v>0.0</v>
      </c>
      <c r="CY549" s="2">
        <v>0.0</v>
      </c>
      <c r="CZ549" s="2">
        <v>0.0</v>
      </c>
      <c r="DA549" s="2" t="s">
        <v>2007</v>
      </c>
      <c r="DB549" s="2" t="s">
        <v>2101</v>
      </c>
      <c r="DD549" s="2">
        <v>56.0</v>
      </c>
      <c r="DE549" s="2">
        <v>24.0</v>
      </c>
      <c r="DF549" s="2">
        <v>0.0</v>
      </c>
      <c r="DG549" s="2">
        <v>3.0</v>
      </c>
      <c r="DH549" s="2">
        <v>3.0</v>
      </c>
      <c r="DI549" s="2">
        <v>0.0</v>
      </c>
      <c r="DJ549" s="2">
        <v>0.0</v>
      </c>
      <c r="DK549" s="2">
        <v>1.0</v>
      </c>
      <c r="DL549" s="2">
        <v>0.0</v>
      </c>
      <c r="DM549" s="2">
        <v>0.0</v>
      </c>
      <c r="DN549" s="2">
        <v>0.0</v>
      </c>
      <c r="DO549" s="2">
        <v>0.0</v>
      </c>
      <c r="DP549" s="2">
        <v>0.0</v>
      </c>
      <c r="DQ549" s="2">
        <v>3.0</v>
      </c>
      <c r="DR549" s="2">
        <v>0.0</v>
      </c>
      <c r="DS549" s="2">
        <v>71.0</v>
      </c>
      <c r="DT549" s="2">
        <v>159.0</v>
      </c>
      <c r="DU549" s="2">
        <v>1.0</v>
      </c>
      <c r="DV549" s="2">
        <v>0.0</v>
      </c>
      <c r="DW549" s="2">
        <v>1.0</v>
      </c>
      <c r="DX549" s="2">
        <v>0.0</v>
      </c>
      <c r="DY549" s="2">
        <v>0.0</v>
      </c>
      <c r="DZ549" s="2">
        <v>2.0</v>
      </c>
      <c r="EA549" s="2">
        <v>20.0</v>
      </c>
      <c r="EB549" s="2">
        <v>0.0</v>
      </c>
      <c r="EC549" s="2">
        <v>139.0</v>
      </c>
      <c r="EE549" s="2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2">
        <v>2025.0</v>
      </c>
      <c r="B550" s="2">
        <v>19.0</v>
      </c>
      <c r="C550" s="2" t="s">
        <v>136</v>
      </c>
      <c r="D550" s="2" t="s">
        <v>2297</v>
      </c>
      <c r="E550" s="2" t="s">
        <v>1225</v>
      </c>
      <c r="F550" s="2" t="s">
        <v>141</v>
      </c>
      <c r="G550" s="2">
        <v>28.0</v>
      </c>
      <c r="H550" s="2">
        <v>35.0</v>
      </c>
      <c r="I550" s="2">
        <v>273.0</v>
      </c>
      <c r="J550" s="2">
        <v>1.0</v>
      </c>
      <c r="K550" s="2">
        <v>0.0</v>
      </c>
      <c r="L550" s="2">
        <v>1.0</v>
      </c>
      <c r="M550" s="2">
        <v>-12.0</v>
      </c>
      <c r="N550" s="2">
        <v>0.0</v>
      </c>
      <c r="O550" s="2">
        <v>0.0</v>
      </c>
      <c r="P550" s="2">
        <v>277.0</v>
      </c>
      <c r="Q550" s="2">
        <v>101.0</v>
      </c>
      <c r="R550" s="2">
        <v>12.0</v>
      </c>
      <c r="S550" s="2">
        <v>9.793463674944</v>
      </c>
      <c r="T550" s="2">
        <v>11.29694546972</v>
      </c>
      <c r="U550" s="2">
        <v>0.0</v>
      </c>
      <c r="V550" s="2">
        <v>10.0</v>
      </c>
      <c r="W550" s="2">
        <v>4.0</v>
      </c>
      <c r="X550" s="2">
        <v>3.0</v>
      </c>
      <c r="Y550" s="2">
        <v>0.0</v>
      </c>
      <c r="Z550" s="2">
        <v>26.0</v>
      </c>
      <c r="AA550" s="2">
        <v>79.0</v>
      </c>
      <c r="AB550" s="2">
        <v>2.0</v>
      </c>
      <c r="AC550" s="2">
        <v>0.0</v>
      </c>
      <c r="AD550" s="2">
        <v>0.0</v>
      </c>
      <c r="AE550" s="2">
        <v>8.0</v>
      </c>
      <c r="AF550" s="2">
        <v>3.16636962478515</v>
      </c>
      <c r="AG550" s="2">
        <v>0.0</v>
      </c>
      <c r="AH550" s="2">
        <v>2.0</v>
      </c>
      <c r="AI550" s="2">
        <v>0.0</v>
      </c>
      <c r="AJ550" s="2">
        <v>0.0</v>
      </c>
      <c r="AK550" s="2">
        <v>0.0</v>
      </c>
      <c r="AL550" s="2">
        <v>28.0</v>
      </c>
      <c r="AM550" s="2">
        <v>35.0</v>
      </c>
      <c r="AN550" s="2">
        <v>273.0</v>
      </c>
      <c r="AO550" s="2">
        <v>1.0</v>
      </c>
      <c r="AP550" s="2">
        <v>0.0</v>
      </c>
      <c r="AQ550" s="2">
        <v>0.0</v>
      </c>
      <c r="AR550" s="2">
        <v>277.0</v>
      </c>
      <c r="AS550" s="2">
        <v>101.0</v>
      </c>
      <c r="AT550" s="2">
        <v>12.0</v>
      </c>
      <c r="AU550" s="2">
        <v>11.8048105846272</v>
      </c>
      <c r="AV550" s="2">
        <v>0.0</v>
      </c>
      <c r="AW550" s="2">
        <v>10.0</v>
      </c>
      <c r="AX550" s="2">
        <v>4.0</v>
      </c>
      <c r="AY550" s="2">
        <v>3.0</v>
      </c>
      <c r="AZ550" s="2">
        <v>0.0</v>
      </c>
      <c r="BA550" s="2">
        <v>0.0</v>
      </c>
      <c r="BB550" s="2">
        <v>37.0</v>
      </c>
      <c r="BC550" s="2">
        <v>1.0</v>
      </c>
      <c r="BD550" s="2">
        <v>11.0</v>
      </c>
      <c r="BE550" s="2">
        <v>3.0</v>
      </c>
      <c r="BF550" s="2">
        <v>6.0</v>
      </c>
      <c r="BG550" s="2">
        <v>0.0</v>
      </c>
      <c r="BH550" s="2">
        <v>1.0</v>
      </c>
      <c r="BI550" s="2">
        <v>2.0</v>
      </c>
      <c r="BJ550" s="2">
        <v>3.0</v>
      </c>
      <c r="BK550" s="2">
        <v>2.0</v>
      </c>
      <c r="BL550" s="2">
        <v>21.0</v>
      </c>
      <c r="BM550" s="2">
        <v>9.0</v>
      </c>
      <c r="BN550" s="2">
        <v>0.0</v>
      </c>
      <c r="BO550" s="2">
        <v>0.0</v>
      </c>
      <c r="BP550" s="2">
        <v>0.0</v>
      </c>
      <c r="BQ550" s="2">
        <v>0.0</v>
      </c>
      <c r="BR550" s="2">
        <v>0.0</v>
      </c>
      <c r="BS550" s="2">
        <v>0.0</v>
      </c>
      <c r="BT550" s="2">
        <v>0.0</v>
      </c>
      <c r="BU550" s="2">
        <v>0.0</v>
      </c>
      <c r="BV550" s="2">
        <v>0.0</v>
      </c>
      <c r="BW550" s="2">
        <v>7.0</v>
      </c>
      <c r="BX550" s="2">
        <v>39.0</v>
      </c>
      <c r="BY550" s="2">
        <v>1.0</v>
      </c>
      <c r="BZ550" s="2">
        <v>1.0</v>
      </c>
      <c r="CA550" s="2">
        <v>0.0</v>
      </c>
      <c r="CB550" s="2">
        <v>0.0</v>
      </c>
      <c r="CC550" s="2">
        <v>1.0</v>
      </c>
      <c r="CD550" s="2">
        <v>1.0</v>
      </c>
      <c r="CE550" s="2">
        <v>0.0</v>
      </c>
      <c r="CF550" s="2">
        <v>0.0</v>
      </c>
      <c r="CG550" s="2">
        <v>4.0</v>
      </c>
      <c r="CH550" s="2">
        <v>119.0</v>
      </c>
      <c r="CI550" s="2">
        <v>2.0</v>
      </c>
      <c r="CJ550" s="2">
        <v>2.0</v>
      </c>
      <c r="CK550" s="2">
        <v>0.0</v>
      </c>
      <c r="CL550" s="2">
        <v>0.0</v>
      </c>
      <c r="CM550" s="2">
        <v>50.0</v>
      </c>
      <c r="CN550" s="2">
        <v>1.0</v>
      </c>
      <c r="CO550" s="2">
        <v>0.0</v>
      </c>
      <c r="CP550" s="2">
        <v>0.0</v>
      </c>
      <c r="CQ550" s="2">
        <v>0.0</v>
      </c>
      <c r="CR550" s="2">
        <v>1.0</v>
      </c>
      <c r="CS550" s="2">
        <v>1.0</v>
      </c>
      <c r="CT550" s="2">
        <v>0.0</v>
      </c>
      <c r="CU550" s="2">
        <v>0.0</v>
      </c>
      <c r="CV550" s="2">
        <v>0.0</v>
      </c>
      <c r="CW550" s="2">
        <v>0.0</v>
      </c>
      <c r="CX550" s="2">
        <v>0.0</v>
      </c>
      <c r="CY550" s="2">
        <v>0.0</v>
      </c>
      <c r="CZ550" s="2">
        <v>0.0</v>
      </c>
      <c r="DA550" s="2" t="s">
        <v>2298</v>
      </c>
      <c r="DD550" s="2">
        <v>97.0</v>
      </c>
      <c r="DE550" s="2">
        <v>0.0</v>
      </c>
      <c r="DF550" s="2">
        <v>0.0</v>
      </c>
      <c r="DG550" s="2">
        <v>3.0</v>
      </c>
      <c r="DH550" s="2">
        <v>3.0</v>
      </c>
      <c r="DI550" s="2">
        <v>0.0</v>
      </c>
      <c r="DJ550" s="2">
        <v>0.0</v>
      </c>
      <c r="DK550" s="2">
        <v>1.0</v>
      </c>
      <c r="DL550" s="2">
        <v>0.0</v>
      </c>
      <c r="DM550" s="2">
        <v>0.0</v>
      </c>
      <c r="DN550" s="2">
        <v>0.0</v>
      </c>
      <c r="DO550" s="2">
        <v>0.0</v>
      </c>
      <c r="DP550" s="2">
        <v>0.0</v>
      </c>
      <c r="DQ550" s="2">
        <v>3.0</v>
      </c>
      <c r="DR550" s="2">
        <v>0.0</v>
      </c>
      <c r="DS550" s="2">
        <v>47.0</v>
      </c>
      <c r="DT550" s="2">
        <v>130.0</v>
      </c>
      <c r="DU550" s="2">
        <v>1.0</v>
      </c>
      <c r="DV550" s="2">
        <v>2.0</v>
      </c>
      <c r="DW550" s="2">
        <v>0.0</v>
      </c>
      <c r="DX550" s="2">
        <v>0.0</v>
      </c>
      <c r="DY550" s="2">
        <v>1.0</v>
      </c>
      <c r="DZ550" s="2">
        <v>0.0</v>
      </c>
      <c r="EA550" s="2">
        <v>0.0</v>
      </c>
      <c r="EB550" s="2">
        <v>0.0</v>
      </c>
      <c r="EC550" s="2">
        <v>130.0</v>
      </c>
      <c r="EE550" s="2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2">
        <v>2025.0</v>
      </c>
      <c r="B551" s="2">
        <v>19.0</v>
      </c>
      <c r="C551" s="2" t="s">
        <v>189</v>
      </c>
      <c r="D551" s="2" t="s">
        <v>2297</v>
      </c>
      <c r="E551" s="2" t="s">
        <v>1235</v>
      </c>
      <c r="F551" s="2" t="s">
        <v>142</v>
      </c>
      <c r="G551" s="2">
        <v>21.0</v>
      </c>
      <c r="H551" s="2">
        <v>40.0</v>
      </c>
      <c r="I551" s="2">
        <v>264.0</v>
      </c>
      <c r="J551" s="2">
        <v>1.0</v>
      </c>
      <c r="K551" s="2">
        <v>1.0</v>
      </c>
      <c r="L551" s="2">
        <v>2.0</v>
      </c>
      <c r="M551" s="2">
        <v>-14.0</v>
      </c>
      <c r="N551" s="2">
        <v>0.0</v>
      </c>
      <c r="O551" s="2">
        <v>0.0</v>
      </c>
      <c r="P551" s="2">
        <v>365.0</v>
      </c>
      <c r="Q551" s="2">
        <v>125.0</v>
      </c>
      <c r="R551" s="2">
        <v>12.0</v>
      </c>
      <c r="S551" s="2">
        <v>-8.05091248168276</v>
      </c>
      <c r="T551" s="2">
        <v>-5.93851490600689</v>
      </c>
      <c r="U551" s="2">
        <v>0.0</v>
      </c>
      <c r="V551" s="2">
        <v>10.0</v>
      </c>
      <c r="W551" s="2">
        <v>5.0</v>
      </c>
      <c r="X551" s="2">
        <v>3.0</v>
      </c>
      <c r="Y551" s="2">
        <v>1.0</v>
      </c>
      <c r="Z551" s="2">
        <v>22.0</v>
      </c>
      <c r="AA551" s="2">
        <v>83.0</v>
      </c>
      <c r="AB551" s="2">
        <v>3.0</v>
      </c>
      <c r="AC551" s="2">
        <v>0.0</v>
      </c>
      <c r="AD551" s="2">
        <v>0.0</v>
      </c>
      <c r="AE551" s="2">
        <v>5.0</v>
      </c>
      <c r="AF551" s="2">
        <v>3.39571499047452</v>
      </c>
      <c r="AG551" s="2">
        <v>0.0</v>
      </c>
      <c r="AH551" s="2">
        <v>1.0</v>
      </c>
      <c r="AI551" s="2">
        <v>1.0</v>
      </c>
      <c r="AJ551" s="2">
        <v>0.0</v>
      </c>
      <c r="AK551" s="2">
        <v>0.0</v>
      </c>
      <c r="AL551" s="2">
        <v>21.0</v>
      </c>
      <c r="AM551" s="2">
        <v>37.0</v>
      </c>
      <c r="AN551" s="2">
        <v>264.0</v>
      </c>
      <c r="AO551" s="2">
        <v>1.0</v>
      </c>
      <c r="AP551" s="2">
        <v>0.0</v>
      </c>
      <c r="AQ551" s="2">
        <v>0.0</v>
      </c>
      <c r="AR551" s="2">
        <v>365.0</v>
      </c>
      <c r="AS551" s="2">
        <v>125.0</v>
      </c>
      <c r="AT551" s="2">
        <v>12.0</v>
      </c>
      <c r="AU551" s="2">
        <v>-3.74073088274701</v>
      </c>
      <c r="AV551" s="2">
        <v>0.0</v>
      </c>
      <c r="AW551" s="2">
        <v>10.0</v>
      </c>
      <c r="AX551" s="2">
        <v>5.0</v>
      </c>
      <c r="AY551" s="2">
        <v>3.0</v>
      </c>
      <c r="AZ551" s="2">
        <v>1.0</v>
      </c>
      <c r="BA551" s="2">
        <v>0.0</v>
      </c>
      <c r="BB551" s="2">
        <v>40.0</v>
      </c>
      <c r="BC551" s="2">
        <v>1.0</v>
      </c>
      <c r="BD551" s="2">
        <v>27.0</v>
      </c>
      <c r="BE551" s="2">
        <v>2.0</v>
      </c>
      <c r="BF551" s="2">
        <v>10.0</v>
      </c>
      <c r="BG551" s="2">
        <v>0.0</v>
      </c>
      <c r="BH551" s="2">
        <v>1.0</v>
      </c>
      <c r="BI551" s="2">
        <v>9.0</v>
      </c>
      <c r="BJ551" s="2">
        <v>6.0</v>
      </c>
      <c r="BK551" s="2">
        <v>1.0</v>
      </c>
      <c r="BL551" s="2">
        <v>0.0</v>
      </c>
      <c r="BM551" s="2">
        <v>8.0</v>
      </c>
      <c r="BN551" s="2">
        <v>0.0</v>
      </c>
      <c r="BO551" s="2">
        <v>1.0</v>
      </c>
      <c r="BP551" s="2">
        <v>0.0</v>
      </c>
      <c r="BQ551" s="2">
        <v>0.0</v>
      </c>
      <c r="BR551" s="2">
        <v>0.0</v>
      </c>
      <c r="BS551" s="2">
        <v>0.0</v>
      </c>
      <c r="BT551" s="2">
        <v>0.0</v>
      </c>
      <c r="BU551" s="2">
        <v>0.0</v>
      </c>
      <c r="BV551" s="2">
        <v>0.0</v>
      </c>
      <c r="BW551" s="2">
        <v>4.0</v>
      </c>
      <c r="BX551" s="2">
        <v>35.0</v>
      </c>
      <c r="BY551" s="2">
        <v>3.0</v>
      </c>
      <c r="BZ551" s="2">
        <v>0.0</v>
      </c>
      <c r="CA551" s="2">
        <v>1.0</v>
      </c>
      <c r="CB551" s="2">
        <v>0.0</v>
      </c>
      <c r="CC551" s="2">
        <v>1.0</v>
      </c>
      <c r="CD551" s="2">
        <v>1.0</v>
      </c>
      <c r="CE551" s="2">
        <v>1.0</v>
      </c>
      <c r="CF551" s="2">
        <v>0.0</v>
      </c>
      <c r="CG551" s="2">
        <v>5.0</v>
      </c>
      <c r="CH551" s="2">
        <v>107.0</v>
      </c>
      <c r="CI551" s="2">
        <v>1.0</v>
      </c>
      <c r="CJ551" s="2">
        <v>1.0</v>
      </c>
      <c r="CK551" s="2">
        <v>0.0</v>
      </c>
      <c r="CL551" s="2">
        <v>0.0</v>
      </c>
      <c r="CM551" s="2">
        <v>46.0</v>
      </c>
      <c r="CN551" s="2">
        <v>1.0</v>
      </c>
      <c r="CO551" s="2">
        <v>0.0</v>
      </c>
      <c r="CP551" s="2">
        <v>0.0</v>
      </c>
      <c r="CQ551" s="2">
        <v>0.0</v>
      </c>
      <c r="CR551" s="2">
        <v>1.0</v>
      </c>
      <c r="CS551" s="2">
        <v>0.0</v>
      </c>
      <c r="CT551" s="2">
        <v>0.0</v>
      </c>
      <c r="CU551" s="2">
        <v>0.0</v>
      </c>
      <c r="CV551" s="2">
        <v>0.0</v>
      </c>
      <c r="CW551" s="2">
        <v>0.0</v>
      </c>
      <c r="CX551" s="2">
        <v>0.0</v>
      </c>
      <c r="CY551" s="2">
        <v>0.0</v>
      </c>
      <c r="CZ551" s="2">
        <v>0.0</v>
      </c>
      <c r="DA551" s="2" t="s">
        <v>1960</v>
      </c>
      <c r="DD551" s="2">
        <v>46.0</v>
      </c>
      <c r="DE551" s="2">
        <v>0.0</v>
      </c>
      <c r="DF551" s="2">
        <v>0.0</v>
      </c>
      <c r="DG551" s="2">
        <v>4.0</v>
      </c>
      <c r="DH551" s="2">
        <v>4.0</v>
      </c>
      <c r="DI551" s="2">
        <v>0.0</v>
      </c>
      <c r="DJ551" s="2">
        <v>0.0</v>
      </c>
      <c r="DK551" s="2">
        <v>1.0</v>
      </c>
      <c r="DL551" s="2">
        <v>0.0</v>
      </c>
      <c r="DM551" s="2">
        <v>0.0</v>
      </c>
      <c r="DN551" s="2">
        <v>0.0</v>
      </c>
      <c r="DO551" s="2">
        <v>0.0</v>
      </c>
      <c r="DP551" s="2">
        <v>0.0</v>
      </c>
      <c r="DQ551" s="2">
        <v>3.0</v>
      </c>
      <c r="DR551" s="2">
        <v>0.0</v>
      </c>
      <c r="DS551" s="2">
        <v>58.0</v>
      </c>
      <c r="DT551" s="2">
        <v>163.0</v>
      </c>
      <c r="DU551" s="2">
        <v>3.0</v>
      </c>
      <c r="DV551" s="2">
        <v>0.0</v>
      </c>
      <c r="DW551" s="2">
        <v>1.0</v>
      </c>
      <c r="DX551" s="2">
        <v>0.0</v>
      </c>
      <c r="DY551" s="2">
        <v>1.0</v>
      </c>
      <c r="DZ551" s="2">
        <v>1.0</v>
      </c>
      <c r="EA551" s="2">
        <v>-2.0</v>
      </c>
      <c r="EB551" s="2">
        <v>0.0</v>
      </c>
      <c r="EC551" s="2">
        <v>165.0</v>
      </c>
      <c r="EE551" s="2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2">
        <v>2025.0</v>
      </c>
      <c r="B552" s="2">
        <v>19.0</v>
      </c>
      <c r="C552" s="2" t="s">
        <v>137</v>
      </c>
      <c r="D552" s="2" t="s">
        <v>2297</v>
      </c>
      <c r="E552" s="2" t="s">
        <v>1221</v>
      </c>
      <c r="F552" s="2" t="s">
        <v>205</v>
      </c>
      <c r="G552" s="2">
        <v>24.0</v>
      </c>
      <c r="H552" s="2">
        <v>48.0</v>
      </c>
      <c r="I552" s="2">
        <v>361.0</v>
      </c>
      <c r="J552" s="2">
        <v>2.0</v>
      </c>
      <c r="K552" s="2">
        <v>2.0</v>
      </c>
      <c r="L552" s="2">
        <v>1.0</v>
      </c>
      <c r="M552" s="2">
        <v>-9.0</v>
      </c>
      <c r="N552" s="2">
        <v>1.0</v>
      </c>
      <c r="O552" s="2">
        <v>0.0</v>
      </c>
      <c r="P552" s="2">
        <v>558.0</v>
      </c>
      <c r="Q552" s="2">
        <v>125.0</v>
      </c>
      <c r="R552" s="2">
        <v>18.0</v>
      </c>
      <c r="S552" s="2">
        <v>12.1129105531791</v>
      </c>
      <c r="T552" s="2">
        <v>-6.00633760509284</v>
      </c>
      <c r="U552" s="2">
        <v>1.0</v>
      </c>
      <c r="V552" s="2">
        <v>16.0</v>
      </c>
      <c r="W552" s="2">
        <v>12.0</v>
      </c>
      <c r="X552" s="2">
        <v>9.0</v>
      </c>
      <c r="Y552" s="2">
        <v>0.0</v>
      </c>
      <c r="Z552" s="2">
        <v>28.0</v>
      </c>
      <c r="AA552" s="2">
        <v>93.0</v>
      </c>
      <c r="AB552" s="2">
        <v>1.0</v>
      </c>
      <c r="AC552" s="2">
        <v>0.0</v>
      </c>
      <c r="AD552" s="2">
        <v>0.0</v>
      </c>
      <c r="AE552" s="2">
        <v>5.0</v>
      </c>
      <c r="AF552" s="2">
        <v>-3.91424596920842</v>
      </c>
      <c r="AG552" s="2">
        <v>0.0</v>
      </c>
      <c r="AH552" s="2">
        <v>1.0</v>
      </c>
      <c r="AI552" s="2">
        <v>0.0</v>
      </c>
      <c r="AJ552" s="2">
        <v>0.0</v>
      </c>
      <c r="AK552" s="2">
        <v>0.0</v>
      </c>
      <c r="AL552" s="2">
        <v>24.0</v>
      </c>
      <c r="AM552" s="2">
        <v>46.0</v>
      </c>
      <c r="AN552" s="2">
        <v>361.0</v>
      </c>
      <c r="AO552" s="2">
        <v>2.0</v>
      </c>
      <c r="AP552" s="2">
        <v>0.0</v>
      </c>
      <c r="AQ552" s="2">
        <v>0.0</v>
      </c>
      <c r="AR552" s="2">
        <v>558.0</v>
      </c>
      <c r="AS552" s="2">
        <v>125.0</v>
      </c>
      <c r="AT552" s="2">
        <v>18.0</v>
      </c>
      <c r="AU552" s="2">
        <v>16.7479468220205</v>
      </c>
      <c r="AV552" s="2">
        <v>1.0</v>
      </c>
      <c r="AW552" s="2">
        <v>16.0</v>
      </c>
      <c r="AX552" s="2">
        <v>12.0</v>
      </c>
      <c r="AY552" s="2">
        <v>9.0</v>
      </c>
      <c r="AZ552" s="2">
        <v>0.0</v>
      </c>
      <c r="BA552" s="2">
        <v>0.0</v>
      </c>
      <c r="BB552" s="2">
        <v>37.0</v>
      </c>
      <c r="BC552" s="2">
        <v>1.0</v>
      </c>
      <c r="BD552" s="2">
        <v>25.0</v>
      </c>
      <c r="BE552" s="2">
        <v>2.0</v>
      </c>
      <c r="BF552" s="2">
        <v>3.0</v>
      </c>
      <c r="BG552" s="2">
        <v>3.0</v>
      </c>
      <c r="BH552" s="2">
        <v>1.0</v>
      </c>
      <c r="BI552" s="2">
        <v>1.0</v>
      </c>
      <c r="BJ552" s="2">
        <v>8.0</v>
      </c>
      <c r="BK552" s="2">
        <v>0.0</v>
      </c>
      <c r="BL552" s="2">
        <v>0.0</v>
      </c>
      <c r="BM552" s="2">
        <v>7.0</v>
      </c>
      <c r="BN552" s="2">
        <v>0.0</v>
      </c>
      <c r="BO552" s="2">
        <v>0.0</v>
      </c>
      <c r="BP552" s="2">
        <v>0.0</v>
      </c>
      <c r="BQ552" s="2">
        <v>0.0</v>
      </c>
      <c r="BR552" s="2">
        <v>1.0</v>
      </c>
      <c r="BS552" s="2">
        <v>0.0</v>
      </c>
      <c r="BT552" s="2">
        <v>0.0</v>
      </c>
      <c r="BU552" s="2">
        <v>0.0</v>
      </c>
      <c r="BV552" s="2">
        <v>0.0</v>
      </c>
      <c r="BW552" s="2">
        <v>2.0</v>
      </c>
      <c r="BX552" s="2">
        <v>5.0</v>
      </c>
      <c r="BY552" s="2">
        <v>3.0</v>
      </c>
      <c r="BZ552" s="2">
        <v>1.0</v>
      </c>
      <c r="CA552" s="2">
        <v>0.0</v>
      </c>
      <c r="CB552" s="2">
        <v>0.0</v>
      </c>
      <c r="CC552" s="2">
        <v>1.0</v>
      </c>
      <c r="CD552" s="2">
        <v>0.0</v>
      </c>
      <c r="CE552" s="2">
        <v>3.0</v>
      </c>
      <c r="CF552" s="2">
        <v>64.0</v>
      </c>
      <c r="CG552" s="2">
        <v>4.0</v>
      </c>
      <c r="CH552" s="2">
        <v>99.0</v>
      </c>
      <c r="CI552" s="2">
        <v>3.0</v>
      </c>
      <c r="CJ552" s="2">
        <v>3.0</v>
      </c>
      <c r="CK552" s="2">
        <v>0.0</v>
      </c>
      <c r="CL552" s="2">
        <v>0.0</v>
      </c>
      <c r="CM552" s="2">
        <v>51.0</v>
      </c>
      <c r="CN552" s="2">
        <v>1.0</v>
      </c>
      <c r="CO552" s="2">
        <v>0.0</v>
      </c>
      <c r="CP552" s="2">
        <v>1.0</v>
      </c>
      <c r="CQ552" s="2">
        <v>1.0</v>
      </c>
      <c r="CR552" s="2">
        <v>0.0</v>
      </c>
      <c r="CS552" s="2">
        <v>1.0</v>
      </c>
      <c r="CT552" s="2">
        <v>0.0</v>
      </c>
      <c r="CU552" s="2">
        <v>0.0</v>
      </c>
      <c r="CV552" s="2">
        <v>0.0</v>
      </c>
      <c r="CW552" s="2">
        <v>0.0</v>
      </c>
      <c r="CX552" s="2">
        <v>0.0</v>
      </c>
      <c r="CY552" s="2">
        <v>0.0</v>
      </c>
      <c r="CZ552" s="2">
        <v>0.0</v>
      </c>
      <c r="DA552" s="2" t="s">
        <v>2299</v>
      </c>
      <c r="DD552" s="2">
        <v>112.0</v>
      </c>
      <c r="DE552" s="2">
        <v>0.0</v>
      </c>
      <c r="DF552" s="2">
        <v>0.0</v>
      </c>
      <c r="DG552" s="2">
        <v>2.0</v>
      </c>
      <c r="DH552" s="2">
        <v>2.0</v>
      </c>
      <c r="DI552" s="2">
        <v>0.0</v>
      </c>
      <c r="DJ552" s="2">
        <v>0.0</v>
      </c>
      <c r="DK552" s="2">
        <v>1.0</v>
      </c>
      <c r="DL552" s="2">
        <v>0.0</v>
      </c>
      <c r="DM552" s="2">
        <v>0.0</v>
      </c>
      <c r="DN552" s="2">
        <v>0.0</v>
      </c>
      <c r="DO552" s="2">
        <v>0.0</v>
      </c>
      <c r="DP552" s="2">
        <v>0.0</v>
      </c>
      <c r="DQ552" s="2">
        <v>0.0</v>
      </c>
      <c r="DR552" s="2">
        <v>0.0</v>
      </c>
      <c r="DT552" s="2">
        <v>0.0</v>
      </c>
      <c r="DU552" s="2">
        <v>0.0</v>
      </c>
      <c r="DV552" s="2">
        <v>0.0</v>
      </c>
      <c r="DW552" s="2">
        <v>0.0</v>
      </c>
      <c r="DX552" s="2">
        <v>0.0</v>
      </c>
      <c r="DY552" s="2">
        <v>0.0</v>
      </c>
      <c r="DZ552" s="2">
        <v>0.0</v>
      </c>
      <c r="EA552" s="2">
        <v>0.0</v>
      </c>
      <c r="EB552" s="2">
        <v>0.0</v>
      </c>
      <c r="EC552" s="2">
        <v>0.0</v>
      </c>
      <c r="EE552" s="2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2">
        <v>2025.0</v>
      </c>
      <c r="B553" s="2">
        <v>19.0</v>
      </c>
      <c r="C553" s="2" t="s">
        <v>205</v>
      </c>
      <c r="D553" s="2" t="s">
        <v>2297</v>
      </c>
      <c r="E553" s="2" t="s">
        <v>1221</v>
      </c>
      <c r="F553" s="2" t="s">
        <v>137</v>
      </c>
      <c r="G553" s="2">
        <v>24.0</v>
      </c>
      <c r="H553" s="2">
        <v>46.0</v>
      </c>
      <c r="I553" s="2">
        <v>323.0</v>
      </c>
      <c r="J553" s="2">
        <v>4.0</v>
      </c>
      <c r="K553" s="2">
        <v>0.0</v>
      </c>
      <c r="L553" s="2">
        <v>1.0</v>
      </c>
      <c r="M553" s="2">
        <v>-1.0</v>
      </c>
      <c r="N553" s="2">
        <v>0.0</v>
      </c>
      <c r="O553" s="2">
        <v>0.0</v>
      </c>
      <c r="P553" s="2">
        <v>469.0</v>
      </c>
      <c r="Q553" s="2">
        <v>162.0</v>
      </c>
      <c r="R553" s="2">
        <v>15.0</v>
      </c>
      <c r="S553" s="2">
        <v>17.9908084788799</v>
      </c>
      <c r="T553" s="2">
        <v>2.49483977493487</v>
      </c>
      <c r="U553" s="2">
        <v>0.0</v>
      </c>
      <c r="V553" s="2">
        <v>12.0</v>
      </c>
      <c r="W553" s="2">
        <v>8.0</v>
      </c>
      <c r="X553" s="2">
        <v>7.0</v>
      </c>
      <c r="Y553" s="2">
        <v>0.0</v>
      </c>
      <c r="Z553" s="2">
        <v>23.0</v>
      </c>
      <c r="AA553" s="2">
        <v>99.0</v>
      </c>
      <c r="AB553" s="2">
        <v>0.0</v>
      </c>
      <c r="AC553" s="2">
        <v>0.0</v>
      </c>
      <c r="AD553" s="2">
        <v>0.0</v>
      </c>
      <c r="AE553" s="2">
        <v>6.0</v>
      </c>
      <c r="AF553" s="2">
        <v>-2.74869438851601</v>
      </c>
      <c r="AG553" s="2">
        <v>0.0</v>
      </c>
      <c r="AH553" s="2">
        <v>4.0</v>
      </c>
      <c r="AI553" s="2">
        <v>3.0</v>
      </c>
      <c r="AJ553" s="2">
        <v>0.0</v>
      </c>
      <c r="AK553" s="2">
        <v>0.0</v>
      </c>
      <c r="AL553" s="2">
        <v>24.0</v>
      </c>
      <c r="AM553" s="2">
        <v>38.0</v>
      </c>
      <c r="AN553" s="2">
        <v>323.0</v>
      </c>
      <c r="AO553" s="2">
        <v>4.0</v>
      </c>
      <c r="AP553" s="2">
        <v>2.0</v>
      </c>
      <c r="AQ553" s="2">
        <v>0.0</v>
      </c>
      <c r="AR553" s="2">
        <v>469.0</v>
      </c>
      <c r="AS553" s="2">
        <v>162.0</v>
      </c>
      <c r="AT553" s="2">
        <v>15.0</v>
      </c>
      <c r="AU553" s="2">
        <v>27.0185547708979</v>
      </c>
      <c r="AV553" s="2">
        <v>0.0</v>
      </c>
      <c r="AW553" s="2">
        <v>12.0</v>
      </c>
      <c r="AX553" s="2">
        <v>8.0</v>
      </c>
      <c r="AY553" s="2">
        <v>7.0</v>
      </c>
      <c r="AZ553" s="2">
        <v>0.0</v>
      </c>
      <c r="BA553" s="2">
        <v>0.0</v>
      </c>
      <c r="BB553" s="2">
        <v>44.0</v>
      </c>
      <c r="BC553" s="2">
        <v>0.0</v>
      </c>
      <c r="BD553" s="2">
        <v>22.0</v>
      </c>
      <c r="BE553" s="2">
        <v>3.0</v>
      </c>
      <c r="BF553" s="2">
        <v>18.0</v>
      </c>
      <c r="BG553" s="2">
        <v>1.0</v>
      </c>
      <c r="BH553" s="2">
        <v>1.0</v>
      </c>
      <c r="BI553" s="2">
        <v>9.0</v>
      </c>
      <c r="BJ553" s="2">
        <v>9.0</v>
      </c>
      <c r="BK553" s="2">
        <v>2.0</v>
      </c>
      <c r="BL553" s="2">
        <v>8.0</v>
      </c>
      <c r="BM553" s="2">
        <v>9.0</v>
      </c>
      <c r="BN553" s="2">
        <v>0.0</v>
      </c>
      <c r="BO553" s="2">
        <v>0.0</v>
      </c>
      <c r="BP553" s="2">
        <v>0.0</v>
      </c>
      <c r="BQ553" s="2">
        <v>0.0</v>
      </c>
      <c r="BR553" s="2">
        <v>3.0</v>
      </c>
      <c r="BS553" s="2">
        <v>0.0</v>
      </c>
      <c r="BT553" s="2">
        <v>0.0</v>
      </c>
      <c r="BU553" s="2">
        <v>0.0</v>
      </c>
      <c r="BV553" s="2">
        <v>0.0</v>
      </c>
      <c r="BW553" s="2">
        <v>7.0</v>
      </c>
      <c r="BX553" s="2">
        <v>65.0</v>
      </c>
      <c r="BY553" s="2">
        <v>7.0</v>
      </c>
      <c r="BZ553" s="2">
        <v>3.0</v>
      </c>
      <c r="CA553" s="2">
        <v>1.0</v>
      </c>
      <c r="CB553" s="2">
        <v>1.0</v>
      </c>
      <c r="CC553" s="2">
        <v>4.0</v>
      </c>
      <c r="CD553" s="2">
        <v>0.0</v>
      </c>
      <c r="CE553" s="2">
        <v>0.0</v>
      </c>
      <c r="CF553" s="2">
        <v>0.0</v>
      </c>
      <c r="CG553" s="2">
        <v>5.0</v>
      </c>
      <c r="CH553" s="2">
        <v>130.0</v>
      </c>
      <c r="CI553" s="2">
        <v>0.0</v>
      </c>
      <c r="CJ553" s="2">
        <v>2.0</v>
      </c>
      <c r="CK553" s="2">
        <v>2.0</v>
      </c>
      <c r="CL553" s="2">
        <v>0.0</v>
      </c>
      <c r="CN553" s="2">
        <v>0.0</v>
      </c>
      <c r="CO553" s="2">
        <v>0.0</v>
      </c>
      <c r="CP553" s="2">
        <v>0.0</v>
      </c>
      <c r="CQ553" s="2">
        <v>0.0</v>
      </c>
      <c r="CR553" s="2">
        <v>0.0</v>
      </c>
      <c r="CS553" s="2">
        <v>0.0</v>
      </c>
      <c r="CT553" s="2">
        <v>0.0</v>
      </c>
      <c r="CU553" s="2">
        <v>0.0</v>
      </c>
      <c r="CV553" s="2">
        <v>0.0</v>
      </c>
      <c r="CW553" s="2">
        <v>0.0</v>
      </c>
      <c r="CX553" s="2">
        <v>1.0</v>
      </c>
      <c r="CY553" s="2">
        <v>1.0</v>
      </c>
      <c r="CZ553" s="2">
        <v>0.0</v>
      </c>
      <c r="DB553" s="2" t="s">
        <v>2300</v>
      </c>
      <c r="DD553" s="2">
        <v>0.0</v>
      </c>
      <c r="DE553" s="2">
        <v>99.0</v>
      </c>
      <c r="DF553" s="2">
        <v>0.0</v>
      </c>
      <c r="DG553" s="2">
        <v>3.0</v>
      </c>
      <c r="DH553" s="2">
        <v>4.0</v>
      </c>
      <c r="DI553" s="2">
        <v>1.0</v>
      </c>
      <c r="DJ553" s="2">
        <v>0.0</v>
      </c>
      <c r="DK553" s="2">
        <v>0.75</v>
      </c>
      <c r="DL553" s="2">
        <v>0.0</v>
      </c>
      <c r="DM553" s="2">
        <v>0.0</v>
      </c>
      <c r="DN553" s="2">
        <v>0.0</v>
      </c>
      <c r="DO553" s="2">
        <v>0.0</v>
      </c>
      <c r="DP553" s="2">
        <v>0.0</v>
      </c>
      <c r="DQ553" s="2">
        <v>4.0</v>
      </c>
      <c r="DR553" s="2">
        <v>0.0</v>
      </c>
      <c r="DS553" s="2">
        <v>58.0</v>
      </c>
      <c r="DT553" s="2">
        <v>195.0</v>
      </c>
      <c r="DU553" s="2">
        <v>1.0</v>
      </c>
      <c r="DV553" s="2">
        <v>0.0</v>
      </c>
      <c r="DW553" s="2">
        <v>1.0</v>
      </c>
      <c r="DX553" s="2">
        <v>0.0</v>
      </c>
      <c r="DY553" s="2">
        <v>0.0</v>
      </c>
      <c r="DZ553" s="2">
        <v>3.0</v>
      </c>
      <c r="EA553" s="2">
        <v>64.0</v>
      </c>
      <c r="EB553" s="2">
        <v>0.0</v>
      </c>
      <c r="EC553" s="2">
        <v>131.0</v>
      </c>
      <c r="EE553" s="2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2">
        <v>2025.0</v>
      </c>
      <c r="B554" s="2">
        <v>19.0</v>
      </c>
      <c r="C554" s="2" t="s">
        <v>140</v>
      </c>
      <c r="D554" s="2" t="s">
        <v>2297</v>
      </c>
      <c r="E554" s="2" t="s">
        <v>1232</v>
      </c>
      <c r="F554" s="2" t="s">
        <v>242</v>
      </c>
      <c r="G554" s="2">
        <v>21.0</v>
      </c>
      <c r="H554" s="2">
        <v>32.0</v>
      </c>
      <c r="I554" s="2">
        <v>250.0</v>
      </c>
      <c r="J554" s="2">
        <v>1.0</v>
      </c>
      <c r="K554" s="2">
        <v>1.0</v>
      </c>
      <c r="L554" s="2">
        <v>3.0</v>
      </c>
      <c r="M554" s="2">
        <v>-6.0</v>
      </c>
      <c r="N554" s="2">
        <v>2.0</v>
      </c>
      <c r="O554" s="2">
        <v>2.0</v>
      </c>
      <c r="P554" s="2">
        <v>289.0</v>
      </c>
      <c r="Q554" s="2">
        <v>90.0</v>
      </c>
      <c r="R554" s="2">
        <v>12.0</v>
      </c>
      <c r="S554" s="2">
        <v>0.43637702080414</v>
      </c>
      <c r="T554" s="2">
        <v>-0.272841472178698</v>
      </c>
      <c r="U554" s="2">
        <v>0.0</v>
      </c>
      <c r="V554" s="2">
        <v>7.0</v>
      </c>
      <c r="W554" s="2">
        <v>5.0</v>
      </c>
      <c r="X554" s="2">
        <v>3.0</v>
      </c>
      <c r="Y554" s="2">
        <v>1.0</v>
      </c>
      <c r="Z554" s="2">
        <v>31.0</v>
      </c>
      <c r="AA554" s="2">
        <v>164.0</v>
      </c>
      <c r="AB554" s="2">
        <v>1.0</v>
      </c>
      <c r="AC554" s="2">
        <v>1.0</v>
      </c>
      <c r="AD554" s="2">
        <v>0.0</v>
      </c>
      <c r="AE554" s="2">
        <v>8.0</v>
      </c>
      <c r="AF554" s="2">
        <v>5.39077021167032</v>
      </c>
      <c r="AG554" s="2">
        <v>0.0</v>
      </c>
      <c r="AH554" s="2">
        <v>3.0</v>
      </c>
      <c r="AI554" s="2">
        <v>3.0</v>
      </c>
      <c r="AJ554" s="2">
        <v>1.0</v>
      </c>
      <c r="AK554" s="2">
        <v>0.0</v>
      </c>
      <c r="AL554" s="2">
        <v>21.0</v>
      </c>
      <c r="AM554" s="2">
        <v>32.0</v>
      </c>
      <c r="AN554" s="2">
        <v>250.0</v>
      </c>
      <c r="AO554" s="2">
        <v>1.0</v>
      </c>
      <c r="AP554" s="2">
        <v>0.0</v>
      </c>
      <c r="AQ554" s="2">
        <v>0.0</v>
      </c>
      <c r="AR554" s="2">
        <v>289.0</v>
      </c>
      <c r="AS554" s="2">
        <v>90.0</v>
      </c>
      <c r="AT554" s="2">
        <v>12.0</v>
      </c>
      <c r="AU554" s="2">
        <v>11.6526466126274</v>
      </c>
      <c r="AV554" s="2">
        <v>0.0</v>
      </c>
      <c r="AW554" s="2">
        <v>7.0</v>
      </c>
      <c r="AX554" s="2">
        <v>5.0</v>
      </c>
      <c r="AY554" s="2">
        <v>3.0</v>
      </c>
      <c r="AZ554" s="2">
        <v>1.0</v>
      </c>
      <c r="BA554" s="2">
        <v>0.0</v>
      </c>
      <c r="BB554" s="2">
        <v>31.0</v>
      </c>
      <c r="BC554" s="2">
        <v>1.0</v>
      </c>
      <c r="BD554" s="2">
        <v>29.0</v>
      </c>
      <c r="BE554" s="2">
        <v>8.0</v>
      </c>
      <c r="BF554" s="2">
        <v>33.0</v>
      </c>
      <c r="BG554" s="2">
        <v>2.0</v>
      </c>
      <c r="BH554" s="2">
        <v>4.0</v>
      </c>
      <c r="BI554" s="2">
        <v>36.0</v>
      </c>
      <c r="BJ554" s="2">
        <v>12.0</v>
      </c>
      <c r="BK554" s="2">
        <v>1.0</v>
      </c>
      <c r="BL554" s="2">
        <v>50.0</v>
      </c>
      <c r="BM554" s="2">
        <v>4.0</v>
      </c>
      <c r="BN554" s="2">
        <v>1.0</v>
      </c>
      <c r="BO554" s="2">
        <v>0.0</v>
      </c>
      <c r="BP554" s="2">
        <v>0.0</v>
      </c>
      <c r="BQ554" s="2">
        <v>0.0</v>
      </c>
      <c r="BR554" s="2">
        <v>3.0</v>
      </c>
      <c r="BS554" s="2">
        <v>-5.0</v>
      </c>
      <c r="BT554" s="2">
        <v>1.0</v>
      </c>
      <c r="BU554" s="2">
        <v>33.0</v>
      </c>
      <c r="BV554" s="2">
        <v>1.0</v>
      </c>
      <c r="BW554" s="2">
        <v>6.0</v>
      </c>
      <c r="BX554" s="2">
        <v>44.0</v>
      </c>
      <c r="BY554" s="2">
        <v>4.0</v>
      </c>
      <c r="BZ554" s="2">
        <v>2.0</v>
      </c>
      <c r="CA554" s="2">
        <v>3.0</v>
      </c>
      <c r="CB554" s="2">
        <v>0.0</v>
      </c>
      <c r="CC554" s="2">
        <v>5.0</v>
      </c>
      <c r="CD554" s="2">
        <v>2.0</v>
      </c>
      <c r="CE554" s="2">
        <v>3.0</v>
      </c>
      <c r="CF554" s="2">
        <v>22.0</v>
      </c>
      <c r="CG554" s="2">
        <v>3.0</v>
      </c>
      <c r="CH554" s="2">
        <v>59.0</v>
      </c>
      <c r="CI554" s="2">
        <v>1.0</v>
      </c>
      <c r="CJ554" s="2">
        <v>1.0</v>
      </c>
      <c r="CK554" s="2">
        <v>0.0</v>
      </c>
      <c r="CL554" s="2">
        <v>0.0</v>
      </c>
      <c r="CM554" s="2">
        <v>51.0</v>
      </c>
      <c r="CN554" s="2">
        <v>1.0</v>
      </c>
      <c r="CO554" s="2">
        <v>0.0</v>
      </c>
      <c r="CP554" s="2">
        <v>0.0</v>
      </c>
      <c r="CQ554" s="2">
        <v>0.0</v>
      </c>
      <c r="CR554" s="2">
        <v>0.0</v>
      </c>
      <c r="CS554" s="2">
        <v>1.0</v>
      </c>
      <c r="CT554" s="2">
        <v>0.0</v>
      </c>
      <c r="CU554" s="2">
        <v>0.0</v>
      </c>
      <c r="CV554" s="2">
        <v>0.0</v>
      </c>
      <c r="CW554" s="2">
        <v>0.0</v>
      </c>
      <c r="CX554" s="2">
        <v>0.0</v>
      </c>
      <c r="CY554" s="2">
        <v>0.0</v>
      </c>
      <c r="CZ554" s="2">
        <v>0.0</v>
      </c>
      <c r="DA554" s="2" t="s">
        <v>2015</v>
      </c>
      <c r="DD554" s="2">
        <v>51.0</v>
      </c>
      <c r="DE554" s="2">
        <v>0.0</v>
      </c>
      <c r="DF554" s="2">
        <v>0.0</v>
      </c>
      <c r="DG554" s="2">
        <v>3.0</v>
      </c>
      <c r="DH554" s="2">
        <v>4.0</v>
      </c>
      <c r="DI554" s="2">
        <v>1.0</v>
      </c>
      <c r="DJ554" s="2">
        <v>0.0</v>
      </c>
      <c r="DK554" s="2">
        <v>0.75</v>
      </c>
      <c r="DL554" s="2">
        <v>0.0</v>
      </c>
      <c r="DM554" s="2">
        <v>0.0</v>
      </c>
      <c r="DN554" s="2">
        <v>0.0</v>
      </c>
      <c r="DO554" s="2">
        <v>0.0</v>
      </c>
      <c r="DP554" s="2">
        <v>0.0</v>
      </c>
      <c r="DQ554" s="2">
        <v>3.0</v>
      </c>
      <c r="DR554" s="2">
        <v>0.0</v>
      </c>
      <c r="DS554" s="2">
        <v>60.0</v>
      </c>
      <c r="DT554" s="2">
        <v>125.0</v>
      </c>
      <c r="DU554" s="2">
        <v>1.0</v>
      </c>
      <c r="DV554" s="2">
        <v>1.0</v>
      </c>
      <c r="DW554" s="2">
        <v>1.0</v>
      </c>
      <c r="DX554" s="2">
        <v>0.0</v>
      </c>
      <c r="DY554" s="2">
        <v>0.0</v>
      </c>
      <c r="DZ554" s="2">
        <v>1.0</v>
      </c>
      <c r="EA554" s="2">
        <v>14.0</v>
      </c>
      <c r="EB554" s="2">
        <v>0.0</v>
      </c>
      <c r="EC554" s="2">
        <v>111.0</v>
      </c>
      <c r="EE554" s="2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2">
        <v>2025.0</v>
      </c>
      <c r="B555" s="2">
        <v>19.0</v>
      </c>
      <c r="C555" s="2" t="s">
        <v>141</v>
      </c>
      <c r="D555" s="2" t="s">
        <v>2297</v>
      </c>
      <c r="E555" s="2" t="s">
        <v>1225</v>
      </c>
      <c r="F555" s="2" t="s">
        <v>136</v>
      </c>
      <c r="G555" s="2">
        <v>18.0</v>
      </c>
      <c r="H555" s="2">
        <v>30.0</v>
      </c>
      <c r="I555" s="2">
        <v>207.0</v>
      </c>
      <c r="J555" s="2">
        <v>3.0</v>
      </c>
      <c r="K555" s="2">
        <v>2.0</v>
      </c>
      <c r="L555" s="2">
        <v>1.0</v>
      </c>
      <c r="M555" s="2">
        <v>-2.0</v>
      </c>
      <c r="N555" s="2">
        <v>0.0</v>
      </c>
      <c r="O555" s="2">
        <v>0.0</v>
      </c>
      <c r="P555" s="2">
        <v>292.0</v>
      </c>
      <c r="Q555" s="2">
        <v>81.0</v>
      </c>
      <c r="R555" s="2">
        <v>11.0</v>
      </c>
      <c r="S555" s="2">
        <v>0.741278947924073</v>
      </c>
      <c r="T555" s="2">
        <v>-5.05366822083791</v>
      </c>
      <c r="U555" s="2">
        <v>0.0</v>
      </c>
      <c r="V555" s="2">
        <v>9.0</v>
      </c>
      <c r="W555" s="2">
        <v>3.0</v>
      </c>
      <c r="X555" s="2">
        <v>2.0</v>
      </c>
      <c r="Y555" s="2">
        <v>0.0</v>
      </c>
      <c r="Z555" s="2">
        <v>23.0</v>
      </c>
      <c r="AA555" s="2">
        <v>154.0</v>
      </c>
      <c r="AB555" s="2">
        <v>0.0</v>
      </c>
      <c r="AC555" s="2">
        <v>0.0</v>
      </c>
      <c r="AD555" s="2">
        <v>0.0</v>
      </c>
      <c r="AE555" s="2">
        <v>8.0</v>
      </c>
      <c r="AF555" s="2">
        <v>0.741589638812002</v>
      </c>
      <c r="AG555" s="2">
        <v>0.0</v>
      </c>
      <c r="AH555" s="2">
        <v>7.0</v>
      </c>
      <c r="AI555" s="2">
        <v>6.0</v>
      </c>
      <c r="AJ555" s="2">
        <v>2.0</v>
      </c>
      <c r="AK555" s="2">
        <v>0.0</v>
      </c>
      <c r="AL555" s="2">
        <v>18.0</v>
      </c>
      <c r="AM555" s="2">
        <v>30.0</v>
      </c>
      <c r="AN555" s="2">
        <v>207.0</v>
      </c>
      <c r="AO555" s="2">
        <v>3.0</v>
      </c>
      <c r="AP555" s="2">
        <v>0.0</v>
      </c>
      <c r="AQ555" s="2">
        <v>0.0</v>
      </c>
      <c r="AR555" s="2">
        <v>292.0</v>
      </c>
      <c r="AS555" s="2">
        <v>81.0</v>
      </c>
      <c r="AT555" s="2">
        <v>11.0</v>
      </c>
      <c r="AU555" s="2">
        <v>1.92968653207579</v>
      </c>
      <c r="AV555" s="2">
        <v>0.0</v>
      </c>
      <c r="AW555" s="2">
        <v>9.0</v>
      </c>
      <c r="AX555" s="2">
        <v>3.0</v>
      </c>
      <c r="AY555" s="2">
        <v>2.0</v>
      </c>
      <c r="AZ555" s="2">
        <v>0.0</v>
      </c>
      <c r="BA555" s="2">
        <v>0.0</v>
      </c>
      <c r="BB555" s="2">
        <v>45.0</v>
      </c>
      <c r="BC555" s="2">
        <v>0.0</v>
      </c>
      <c r="BD555" s="2">
        <v>20.0</v>
      </c>
      <c r="BE555" s="2">
        <v>1.0</v>
      </c>
      <c r="BF555" s="2">
        <v>12.0</v>
      </c>
      <c r="BG555" s="2">
        <v>1.0</v>
      </c>
      <c r="BH555" s="2">
        <v>1.0</v>
      </c>
      <c r="BI555" s="2">
        <v>12.0</v>
      </c>
      <c r="BJ555" s="2">
        <v>3.0</v>
      </c>
      <c r="BK555" s="2">
        <v>0.0</v>
      </c>
      <c r="BL555" s="2">
        <v>0.0</v>
      </c>
      <c r="BM555" s="2">
        <v>0.0</v>
      </c>
      <c r="BN555" s="2">
        <v>0.0</v>
      </c>
      <c r="BO555" s="2">
        <v>0.0</v>
      </c>
      <c r="BP555" s="2">
        <v>0.0</v>
      </c>
      <c r="BQ555" s="2">
        <v>0.0</v>
      </c>
      <c r="BR555" s="2">
        <v>0.0</v>
      </c>
      <c r="BS555" s="2">
        <v>0.0</v>
      </c>
      <c r="BT555" s="2">
        <v>1.0</v>
      </c>
      <c r="BU555" s="2">
        <v>0.0</v>
      </c>
      <c r="BV555" s="2">
        <v>0.0</v>
      </c>
      <c r="BW555" s="2">
        <v>2.0</v>
      </c>
      <c r="BX555" s="2">
        <v>10.0</v>
      </c>
      <c r="BY555" s="2">
        <v>6.0</v>
      </c>
      <c r="BZ555" s="2">
        <v>0.0</v>
      </c>
      <c r="CA555" s="2">
        <v>0.0</v>
      </c>
      <c r="CB555" s="2">
        <v>0.0</v>
      </c>
      <c r="CC555" s="2">
        <v>0.0</v>
      </c>
      <c r="CD555" s="2">
        <v>0.0</v>
      </c>
      <c r="CE555" s="2">
        <v>0.0</v>
      </c>
      <c r="CF555" s="2">
        <v>0.0</v>
      </c>
      <c r="CG555" s="2">
        <v>4.0</v>
      </c>
      <c r="CH555" s="2">
        <v>75.0</v>
      </c>
      <c r="CI555" s="2">
        <v>1.0</v>
      </c>
      <c r="CJ555" s="2">
        <v>2.0</v>
      </c>
      <c r="CK555" s="2">
        <v>1.0</v>
      </c>
      <c r="CL555" s="2">
        <v>0.0</v>
      </c>
      <c r="CM555" s="2">
        <v>43.0</v>
      </c>
      <c r="CN555" s="2">
        <v>0.5</v>
      </c>
      <c r="CO555" s="2">
        <v>0.0</v>
      </c>
      <c r="CP555" s="2">
        <v>0.0</v>
      </c>
      <c r="CQ555" s="2">
        <v>0.0</v>
      </c>
      <c r="CR555" s="2">
        <v>1.0</v>
      </c>
      <c r="CS555" s="2">
        <v>0.0</v>
      </c>
      <c r="CT555" s="2">
        <v>0.0</v>
      </c>
      <c r="CU555" s="2">
        <v>0.0</v>
      </c>
      <c r="CV555" s="2">
        <v>0.0</v>
      </c>
      <c r="CW555" s="2">
        <v>0.0</v>
      </c>
      <c r="CX555" s="2">
        <v>0.0</v>
      </c>
      <c r="CY555" s="2">
        <v>1.0</v>
      </c>
      <c r="CZ555" s="2">
        <v>0.0</v>
      </c>
      <c r="DA555" s="2" t="s">
        <v>2033</v>
      </c>
      <c r="DB555" s="2" t="s">
        <v>2018</v>
      </c>
      <c r="DD555" s="2">
        <v>43.0</v>
      </c>
      <c r="DE555" s="2">
        <v>54.0</v>
      </c>
      <c r="DF555" s="2">
        <v>0.0</v>
      </c>
      <c r="DG555" s="2">
        <v>3.0</v>
      </c>
      <c r="DH555" s="2">
        <v>3.0</v>
      </c>
      <c r="DI555" s="2">
        <v>0.0</v>
      </c>
      <c r="DJ555" s="2">
        <v>0.0</v>
      </c>
      <c r="DK555" s="2">
        <v>1.0</v>
      </c>
      <c r="DL555" s="2">
        <v>0.0</v>
      </c>
      <c r="DM555" s="2">
        <v>0.0</v>
      </c>
      <c r="DN555" s="2">
        <v>0.0</v>
      </c>
      <c r="DO555" s="2">
        <v>0.0</v>
      </c>
      <c r="DP555" s="2">
        <v>0.0</v>
      </c>
      <c r="DQ555" s="2">
        <v>2.0</v>
      </c>
      <c r="DR555" s="2">
        <v>0.0</v>
      </c>
      <c r="DS555" s="2">
        <v>58.0</v>
      </c>
      <c r="DT555" s="2">
        <v>100.0</v>
      </c>
      <c r="DU555" s="2">
        <v>1.0</v>
      </c>
      <c r="DV555" s="2">
        <v>1.0</v>
      </c>
      <c r="DW555" s="2">
        <v>1.0</v>
      </c>
      <c r="DX555" s="2">
        <v>0.0</v>
      </c>
      <c r="DY555" s="2">
        <v>0.0</v>
      </c>
      <c r="DZ555" s="2">
        <v>0.0</v>
      </c>
      <c r="EA555" s="2">
        <v>0.0</v>
      </c>
      <c r="EB555" s="2">
        <v>0.0</v>
      </c>
      <c r="EC555" s="2">
        <v>100.0</v>
      </c>
      <c r="EE555" s="2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2">
        <v>2025.0</v>
      </c>
      <c r="B556" s="2">
        <v>19.0</v>
      </c>
      <c r="C556" s="2" t="s">
        <v>142</v>
      </c>
      <c r="D556" s="2" t="s">
        <v>2297</v>
      </c>
      <c r="E556" s="2" t="s">
        <v>1235</v>
      </c>
      <c r="F556" s="2" t="s">
        <v>189</v>
      </c>
      <c r="G556" s="2">
        <v>24.0</v>
      </c>
      <c r="H556" s="2">
        <v>42.0</v>
      </c>
      <c r="I556" s="2">
        <v>304.0</v>
      </c>
      <c r="J556" s="2">
        <v>3.0</v>
      </c>
      <c r="K556" s="2">
        <v>1.0</v>
      </c>
      <c r="L556" s="2">
        <v>1.0</v>
      </c>
      <c r="M556" s="2">
        <v>-9.0</v>
      </c>
      <c r="N556" s="2">
        <v>0.0</v>
      </c>
      <c r="O556" s="2">
        <v>0.0</v>
      </c>
      <c r="P556" s="2">
        <v>498.0</v>
      </c>
      <c r="Q556" s="2">
        <v>111.0</v>
      </c>
      <c r="R556" s="2">
        <v>16.0</v>
      </c>
      <c r="S556" s="2">
        <v>4.99759134017176</v>
      </c>
      <c r="T556" s="2">
        <v>-4.30551050674348</v>
      </c>
      <c r="U556" s="2">
        <v>0.0</v>
      </c>
      <c r="V556" s="2">
        <v>15.0</v>
      </c>
      <c r="W556" s="2">
        <v>7.0</v>
      </c>
      <c r="X556" s="2">
        <v>2.0</v>
      </c>
      <c r="Y556" s="2">
        <v>0.0</v>
      </c>
      <c r="Z556" s="2">
        <v>29.0</v>
      </c>
      <c r="AA556" s="2">
        <v>116.0</v>
      </c>
      <c r="AB556" s="2">
        <v>1.0</v>
      </c>
      <c r="AC556" s="2">
        <v>0.0</v>
      </c>
      <c r="AD556" s="2">
        <v>0.0</v>
      </c>
      <c r="AE556" s="2">
        <v>4.0</v>
      </c>
      <c r="AF556" s="2">
        <v>1.10011258767918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24.0</v>
      </c>
      <c r="AM556" s="2">
        <v>42.0</v>
      </c>
      <c r="AN556" s="2">
        <v>304.0</v>
      </c>
      <c r="AO556" s="2">
        <v>3.0</v>
      </c>
      <c r="AP556" s="2">
        <v>0.0</v>
      </c>
      <c r="AQ556" s="2">
        <v>0.0</v>
      </c>
      <c r="AR556" s="2">
        <v>498.0</v>
      </c>
      <c r="AS556" s="2">
        <v>111.0</v>
      </c>
      <c r="AT556" s="2">
        <v>16.0</v>
      </c>
      <c r="AU556" s="2">
        <v>7.22341069411732</v>
      </c>
      <c r="AV556" s="2">
        <v>0.0</v>
      </c>
      <c r="AW556" s="2">
        <v>15.0</v>
      </c>
      <c r="AX556" s="2">
        <v>7.0</v>
      </c>
      <c r="AY556" s="2">
        <v>2.0</v>
      </c>
      <c r="AZ556" s="2">
        <v>0.0</v>
      </c>
      <c r="BA556" s="2">
        <v>0.0</v>
      </c>
      <c r="BB556" s="2">
        <v>34.0</v>
      </c>
      <c r="BC556" s="2">
        <v>1.0</v>
      </c>
      <c r="BD556" s="2">
        <v>23.0</v>
      </c>
      <c r="BE556" s="2">
        <v>3.0</v>
      </c>
      <c r="BF556" s="2">
        <v>16.0</v>
      </c>
      <c r="BG556" s="2">
        <v>0.0</v>
      </c>
      <c r="BH556" s="2">
        <v>2.0</v>
      </c>
      <c r="BI556" s="2">
        <v>14.0</v>
      </c>
      <c r="BJ556" s="2">
        <v>8.0</v>
      </c>
      <c r="BK556" s="2">
        <v>1.0</v>
      </c>
      <c r="BL556" s="2">
        <v>11.0</v>
      </c>
      <c r="BM556" s="2">
        <v>6.0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0.0</v>
      </c>
      <c r="BT556" s="2">
        <v>1.0</v>
      </c>
      <c r="BU556" s="2">
        <v>0.0</v>
      </c>
      <c r="BV556" s="2">
        <v>0.0</v>
      </c>
      <c r="BW556" s="2">
        <v>9.0</v>
      </c>
      <c r="BX556" s="2">
        <v>83.0</v>
      </c>
      <c r="BY556" s="2">
        <v>4.0</v>
      </c>
      <c r="BZ556" s="2">
        <v>0.0</v>
      </c>
      <c r="CA556" s="2">
        <v>0.0</v>
      </c>
      <c r="CB556" s="2">
        <v>0.0</v>
      </c>
      <c r="CC556" s="2">
        <v>0.0</v>
      </c>
      <c r="CD556" s="2">
        <v>0.0</v>
      </c>
      <c r="CE556" s="2">
        <v>1.0</v>
      </c>
      <c r="CF556" s="2">
        <v>-2.0</v>
      </c>
      <c r="CG556" s="2">
        <v>3.0</v>
      </c>
      <c r="CH556" s="2">
        <v>73.0</v>
      </c>
      <c r="CI556" s="2">
        <v>2.0</v>
      </c>
      <c r="CJ556" s="2">
        <v>2.0</v>
      </c>
      <c r="CK556" s="2">
        <v>0.0</v>
      </c>
      <c r="CL556" s="2">
        <v>0.0</v>
      </c>
      <c r="CM556" s="2">
        <v>46.0</v>
      </c>
      <c r="CN556" s="2">
        <v>1.0</v>
      </c>
      <c r="CO556" s="2">
        <v>0.0</v>
      </c>
      <c r="CP556" s="2">
        <v>0.0</v>
      </c>
      <c r="CQ556" s="2">
        <v>0.0</v>
      </c>
      <c r="CR556" s="2">
        <v>2.0</v>
      </c>
      <c r="CS556" s="2">
        <v>0.0</v>
      </c>
      <c r="CT556" s="2">
        <v>0.0</v>
      </c>
      <c r="CU556" s="2">
        <v>0.0</v>
      </c>
      <c r="CV556" s="2">
        <v>0.0</v>
      </c>
      <c r="CW556" s="2">
        <v>0.0</v>
      </c>
      <c r="CX556" s="2">
        <v>0.0</v>
      </c>
      <c r="CY556" s="2">
        <v>0.0</v>
      </c>
      <c r="CZ556" s="2">
        <v>0.0</v>
      </c>
      <c r="DA556" s="2" t="s">
        <v>2301</v>
      </c>
      <c r="DD556" s="2">
        <v>88.0</v>
      </c>
      <c r="DE556" s="2">
        <v>0.0</v>
      </c>
      <c r="DF556" s="2">
        <v>0.0</v>
      </c>
      <c r="DG556" s="2">
        <v>4.0</v>
      </c>
      <c r="DH556" s="2">
        <v>4.0</v>
      </c>
      <c r="DI556" s="2">
        <v>0.0</v>
      </c>
      <c r="DJ556" s="2">
        <v>0.0</v>
      </c>
      <c r="DK556" s="2">
        <v>1.0</v>
      </c>
      <c r="DL556" s="2">
        <v>0.0</v>
      </c>
      <c r="DM556" s="2">
        <v>0.0</v>
      </c>
      <c r="DN556" s="2">
        <v>0.0</v>
      </c>
      <c r="DO556" s="2">
        <v>0.0</v>
      </c>
      <c r="DP556" s="2">
        <v>0.0</v>
      </c>
      <c r="DQ556" s="2">
        <v>4.0</v>
      </c>
      <c r="DR556" s="2">
        <v>1.0</v>
      </c>
      <c r="DS556" s="2">
        <v>52.0</v>
      </c>
      <c r="DT556" s="2">
        <v>182.0</v>
      </c>
      <c r="DU556" s="2">
        <v>3.0</v>
      </c>
      <c r="DV556" s="2">
        <v>2.0</v>
      </c>
      <c r="DW556" s="2">
        <v>0.0</v>
      </c>
      <c r="DX556" s="2">
        <v>0.0</v>
      </c>
      <c r="DY556" s="2">
        <v>1.0</v>
      </c>
      <c r="DZ556" s="2">
        <v>1.0</v>
      </c>
      <c r="EA556" s="2">
        <v>0.0</v>
      </c>
      <c r="EB556" s="2">
        <v>0.0</v>
      </c>
      <c r="EC556" s="2">
        <v>182.0</v>
      </c>
      <c r="EE556" s="2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2">
        <v>2025.0</v>
      </c>
      <c r="B557" s="2">
        <v>19.0</v>
      </c>
      <c r="C557" s="2" t="s">
        <v>220</v>
      </c>
      <c r="D557" s="2" t="s">
        <v>2297</v>
      </c>
      <c r="E557" s="2" t="s">
        <v>1230</v>
      </c>
      <c r="F557" s="2" t="s">
        <v>145</v>
      </c>
      <c r="G557" s="2">
        <v>19.0</v>
      </c>
      <c r="H557" s="2">
        <v>31.0</v>
      </c>
      <c r="I557" s="2">
        <v>159.0</v>
      </c>
      <c r="J557" s="2">
        <v>0.0</v>
      </c>
      <c r="K557" s="2">
        <v>0.0</v>
      </c>
      <c r="L557" s="2">
        <v>6.0</v>
      </c>
      <c r="M557" s="2">
        <v>-39.0</v>
      </c>
      <c r="N557" s="2">
        <v>2.0</v>
      </c>
      <c r="O557" s="2">
        <v>1.0</v>
      </c>
      <c r="P557" s="2">
        <v>235.0</v>
      </c>
      <c r="Q557" s="2">
        <v>71.0</v>
      </c>
      <c r="R557" s="2">
        <v>8.0</v>
      </c>
      <c r="S557" s="2">
        <v>-13.280272337026</v>
      </c>
      <c r="T557" s="2">
        <v>-2.79867668946584</v>
      </c>
      <c r="U557" s="2">
        <v>0.0</v>
      </c>
      <c r="V557" s="2">
        <v>7.0</v>
      </c>
      <c r="W557" s="2">
        <v>1.0</v>
      </c>
      <c r="X557" s="2">
        <v>1.0</v>
      </c>
      <c r="Y557" s="2">
        <v>0.0</v>
      </c>
      <c r="Z557" s="2">
        <v>22.0</v>
      </c>
      <c r="AA557" s="2">
        <v>87.0</v>
      </c>
      <c r="AB557" s="2">
        <v>0.0</v>
      </c>
      <c r="AC557" s="2">
        <v>0.0</v>
      </c>
      <c r="AD557" s="2">
        <v>0.0</v>
      </c>
      <c r="AE557" s="2">
        <v>6.0</v>
      </c>
      <c r="AF557" s="2">
        <v>-1.72316337814963</v>
      </c>
      <c r="AG557" s="2">
        <v>0.0</v>
      </c>
      <c r="AH557" s="2">
        <v>3.0</v>
      </c>
      <c r="AI557" s="2">
        <v>1.0</v>
      </c>
      <c r="AJ557" s="2">
        <v>0.0</v>
      </c>
      <c r="AK557" s="2">
        <v>0.0</v>
      </c>
      <c r="AL557" s="2">
        <v>19.0</v>
      </c>
      <c r="AM557" s="2">
        <v>30.0</v>
      </c>
      <c r="AN557" s="2">
        <v>159.0</v>
      </c>
      <c r="AO557" s="2">
        <v>0.0</v>
      </c>
      <c r="AP557" s="2">
        <v>0.0</v>
      </c>
      <c r="AQ557" s="2">
        <v>0.0</v>
      </c>
      <c r="AR557" s="2">
        <v>235.0</v>
      </c>
      <c r="AS557" s="2">
        <v>71.0</v>
      </c>
      <c r="AT557" s="2">
        <v>8.0</v>
      </c>
      <c r="AU557" s="2">
        <v>-2.00125271064462</v>
      </c>
      <c r="AV557" s="2">
        <v>0.0</v>
      </c>
      <c r="AW557" s="2">
        <v>7.0</v>
      </c>
      <c r="AX557" s="2">
        <v>1.0</v>
      </c>
      <c r="AY557" s="2">
        <v>1.0</v>
      </c>
      <c r="AZ557" s="2">
        <v>0.0</v>
      </c>
      <c r="BA557" s="2">
        <v>0.0</v>
      </c>
      <c r="BB557" s="2">
        <v>38.0</v>
      </c>
      <c r="BC557" s="2">
        <v>0.0</v>
      </c>
      <c r="BD557" s="2">
        <v>24.0</v>
      </c>
      <c r="BE557" s="2">
        <v>7.0</v>
      </c>
      <c r="BF557" s="2">
        <v>36.0</v>
      </c>
      <c r="BG557" s="2">
        <v>2.0</v>
      </c>
      <c r="BH557" s="2">
        <v>5.0</v>
      </c>
      <c r="BI557" s="2">
        <v>33.0</v>
      </c>
      <c r="BJ557" s="2">
        <v>5.0</v>
      </c>
      <c r="BK557" s="2">
        <v>1.0</v>
      </c>
      <c r="BL557" s="2">
        <v>2.0</v>
      </c>
      <c r="BM557" s="2">
        <v>2.0</v>
      </c>
      <c r="BN557" s="2">
        <v>0.0</v>
      </c>
      <c r="BO557" s="2">
        <v>0.0</v>
      </c>
      <c r="BP557" s="2">
        <v>0.0</v>
      </c>
      <c r="BQ557" s="2">
        <v>0.0</v>
      </c>
      <c r="BR557" s="2">
        <v>1.0</v>
      </c>
      <c r="BS557" s="2">
        <v>13.0</v>
      </c>
      <c r="BT557" s="2">
        <v>1.0</v>
      </c>
      <c r="BU557" s="2">
        <v>0.0</v>
      </c>
      <c r="BV557" s="2">
        <v>0.0</v>
      </c>
      <c r="BW557" s="2">
        <v>4.0</v>
      </c>
      <c r="BX557" s="2">
        <v>20.0</v>
      </c>
      <c r="BY557" s="2">
        <v>4.0</v>
      </c>
      <c r="BZ557" s="2">
        <v>2.0</v>
      </c>
      <c r="CA557" s="2">
        <v>0.0</v>
      </c>
      <c r="CB557" s="2">
        <v>0.0</v>
      </c>
      <c r="CC557" s="2">
        <v>2.0</v>
      </c>
      <c r="CD557" s="2">
        <v>1.0</v>
      </c>
      <c r="CE557" s="2">
        <v>0.0</v>
      </c>
      <c r="CF557" s="2">
        <v>0.0</v>
      </c>
      <c r="CG557" s="2">
        <v>5.0</v>
      </c>
      <c r="CH557" s="2">
        <v>128.0</v>
      </c>
      <c r="CI557" s="2">
        <v>1.0</v>
      </c>
      <c r="CJ557" s="2">
        <v>1.0</v>
      </c>
      <c r="CK557" s="2">
        <v>0.0</v>
      </c>
      <c r="CL557" s="2">
        <v>0.0</v>
      </c>
      <c r="CM557" s="2">
        <v>21.0</v>
      </c>
      <c r="CN557" s="2">
        <v>1.0</v>
      </c>
      <c r="CO557" s="2">
        <v>0.0</v>
      </c>
      <c r="CP557" s="2">
        <v>1.0</v>
      </c>
      <c r="CQ557" s="2">
        <v>0.0</v>
      </c>
      <c r="CR557" s="2">
        <v>0.0</v>
      </c>
      <c r="CS557" s="2">
        <v>0.0</v>
      </c>
      <c r="CT557" s="2">
        <v>0.0</v>
      </c>
      <c r="CU557" s="2">
        <v>0.0</v>
      </c>
      <c r="CV557" s="2">
        <v>0.0</v>
      </c>
      <c r="CW557" s="2">
        <v>0.0</v>
      </c>
      <c r="CX557" s="2">
        <v>0.0</v>
      </c>
      <c r="CY557" s="2">
        <v>0.0</v>
      </c>
      <c r="CZ557" s="2">
        <v>0.0</v>
      </c>
      <c r="DA557" s="2" t="s">
        <v>2302</v>
      </c>
      <c r="DD557" s="2">
        <v>21.0</v>
      </c>
      <c r="DE557" s="2">
        <v>0.0</v>
      </c>
      <c r="DF557" s="2">
        <v>0.0</v>
      </c>
      <c r="DG557" s="2">
        <v>0.0</v>
      </c>
      <c r="DH557" s="2">
        <v>0.0</v>
      </c>
      <c r="DI557" s="2">
        <v>0.0</v>
      </c>
      <c r="DJ557" s="2">
        <v>0.0</v>
      </c>
      <c r="DL557" s="2">
        <v>0.0</v>
      </c>
      <c r="DM557" s="2">
        <v>0.0</v>
      </c>
      <c r="DN557" s="2">
        <v>0.0</v>
      </c>
      <c r="DO557" s="2">
        <v>0.0</v>
      </c>
      <c r="DP557" s="2">
        <v>0.0</v>
      </c>
      <c r="DQ557" s="2">
        <v>5.0</v>
      </c>
      <c r="DR557" s="2">
        <v>0.0</v>
      </c>
      <c r="DS557" s="2">
        <v>54.0</v>
      </c>
      <c r="DT557" s="2">
        <v>211.0</v>
      </c>
      <c r="DU557" s="2">
        <v>3.0</v>
      </c>
      <c r="DV557" s="2">
        <v>2.0</v>
      </c>
      <c r="DW557" s="2">
        <v>0.0</v>
      </c>
      <c r="DX557" s="2">
        <v>1.0</v>
      </c>
      <c r="DY557" s="2">
        <v>0.0</v>
      </c>
      <c r="DZ557" s="2">
        <v>2.0</v>
      </c>
      <c r="EA557" s="2">
        <v>2.0</v>
      </c>
      <c r="EB557" s="2">
        <v>0.0</v>
      </c>
      <c r="EC557" s="2">
        <v>189.0</v>
      </c>
      <c r="EE557" s="2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2">
        <v>2025.0</v>
      </c>
      <c r="B558" s="2">
        <v>19.0</v>
      </c>
      <c r="C558" s="2" t="s">
        <v>145</v>
      </c>
      <c r="D558" s="2" t="s">
        <v>2297</v>
      </c>
      <c r="E558" s="2" t="s">
        <v>1230</v>
      </c>
      <c r="F558" s="2" t="s">
        <v>220</v>
      </c>
      <c r="G558" s="2">
        <v>17.0</v>
      </c>
      <c r="H558" s="2">
        <v>30.0</v>
      </c>
      <c r="I558" s="2">
        <v>268.0</v>
      </c>
      <c r="J558" s="2">
        <v>1.0</v>
      </c>
      <c r="K558" s="2">
        <v>1.0</v>
      </c>
      <c r="L558" s="2">
        <v>5.0</v>
      </c>
      <c r="M558" s="2">
        <v>-33.0</v>
      </c>
      <c r="N558" s="2">
        <v>2.0</v>
      </c>
      <c r="O558" s="2">
        <v>1.0</v>
      </c>
      <c r="P558" s="2">
        <v>265.0</v>
      </c>
      <c r="Q558" s="2">
        <v>136.0</v>
      </c>
      <c r="R558" s="2">
        <v>12.0</v>
      </c>
      <c r="S558" s="2">
        <v>-1.82567212385406</v>
      </c>
      <c r="T558" s="2">
        <v>-5.26268162109234</v>
      </c>
      <c r="U558" s="2">
        <v>0.0</v>
      </c>
      <c r="V558" s="2">
        <v>9.0</v>
      </c>
      <c r="W558" s="2">
        <v>8.0</v>
      </c>
      <c r="X558" s="2">
        <v>4.0</v>
      </c>
      <c r="Y558" s="2">
        <v>2.0</v>
      </c>
      <c r="Z558" s="2">
        <v>29.0</v>
      </c>
      <c r="AA558" s="2">
        <v>146.0</v>
      </c>
      <c r="AB558" s="2">
        <v>0.0</v>
      </c>
      <c r="AC558" s="2">
        <v>0.0</v>
      </c>
      <c r="AD558" s="2">
        <v>0.0</v>
      </c>
      <c r="AE558" s="2">
        <v>7.0</v>
      </c>
      <c r="AF558" s="2">
        <v>-0.603850865038112</v>
      </c>
      <c r="AG558" s="2">
        <v>0.0</v>
      </c>
      <c r="AH558" s="2">
        <v>3.0</v>
      </c>
      <c r="AI558" s="2">
        <v>3.0</v>
      </c>
      <c r="AJ558" s="2">
        <v>1.0</v>
      </c>
      <c r="AK558" s="2">
        <v>0.0</v>
      </c>
      <c r="AL558" s="2">
        <v>17.0</v>
      </c>
      <c r="AM558" s="2">
        <v>27.0</v>
      </c>
      <c r="AN558" s="2">
        <v>268.0</v>
      </c>
      <c r="AO558" s="2">
        <v>1.0</v>
      </c>
      <c r="AP558" s="2">
        <v>0.0</v>
      </c>
      <c r="AQ558" s="2">
        <v>0.0</v>
      </c>
      <c r="AR558" s="2">
        <v>265.0</v>
      </c>
      <c r="AS558" s="2">
        <v>136.0</v>
      </c>
      <c r="AT558" s="2">
        <v>12.0</v>
      </c>
      <c r="AU558" s="2">
        <v>12.8697046251003</v>
      </c>
      <c r="AV558" s="2">
        <v>0.0</v>
      </c>
      <c r="AW558" s="2">
        <v>9.0</v>
      </c>
      <c r="AX558" s="2">
        <v>8.0</v>
      </c>
      <c r="AY558" s="2">
        <v>4.0</v>
      </c>
      <c r="AZ558" s="2">
        <v>2.0</v>
      </c>
      <c r="BA558" s="2">
        <v>0.0</v>
      </c>
      <c r="BB558" s="2">
        <v>36.0</v>
      </c>
      <c r="BC558" s="2">
        <v>0.0</v>
      </c>
      <c r="BD558" s="2">
        <v>34.0</v>
      </c>
      <c r="BE558" s="2">
        <v>6.0</v>
      </c>
      <c r="BF558" s="2">
        <v>40.0</v>
      </c>
      <c r="BG558" s="2">
        <v>2.0</v>
      </c>
      <c r="BH558" s="2">
        <v>6.0</v>
      </c>
      <c r="BI558" s="2">
        <v>39.0</v>
      </c>
      <c r="BJ558" s="2">
        <v>11.0</v>
      </c>
      <c r="BK558" s="2">
        <v>0.0</v>
      </c>
      <c r="BL558" s="2">
        <v>0.0</v>
      </c>
      <c r="BM558" s="2">
        <v>5.0</v>
      </c>
      <c r="BN558" s="2">
        <v>0.0</v>
      </c>
      <c r="BO558" s="2">
        <v>0.0</v>
      </c>
      <c r="BP558" s="2">
        <v>0.0</v>
      </c>
      <c r="BQ558" s="2">
        <v>0.0</v>
      </c>
      <c r="BR558" s="2">
        <v>1.0</v>
      </c>
      <c r="BS558" s="2">
        <v>0.0</v>
      </c>
      <c r="BT558" s="2">
        <v>1.0</v>
      </c>
      <c r="BU558" s="2">
        <v>0.0</v>
      </c>
      <c r="BV558" s="2">
        <v>0.0</v>
      </c>
      <c r="BW558" s="2">
        <v>2.0</v>
      </c>
      <c r="BX558" s="2">
        <v>35.0</v>
      </c>
      <c r="BY558" s="2">
        <v>5.0</v>
      </c>
      <c r="BZ558" s="2">
        <v>2.0</v>
      </c>
      <c r="CA558" s="2">
        <v>0.0</v>
      </c>
      <c r="CB558" s="2">
        <v>0.0</v>
      </c>
      <c r="CC558" s="2">
        <v>2.0</v>
      </c>
      <c r="CD558" s="2">
        <v>1.0</v>
      </c>
      <c r="CE558" s="2">
        <v>2.0</v>
      </c>
      <c r="CF558" s="2">
        <v>2.0</v>
      </c>
      <c r="CG558" s="2">
        <v>2.0</v>
      </c>
      <c r="CH558" s="2">
        <v>48.0</v>
      </c>
      <c r="CI558" s="2">
        <v>3.0</v>
      </c>
      <c r="CJ558" s="2">
        <v>3.0</v>
      </c>
      <c r="CK558" s="2">
        <v>0.0</v>
      </c>
      <c r="CL558" s="2">
        <v>0.0</v>
      </c>
      <c r="CM558" s="2">
        <v>39.0</v>
      </c>
      <c r="CN558" s="2">
        <v>1.0</v>
      </c>
      <c r="CO558" s="2">
        <v>0.0</v>
      </c>
      <c r="CP558" s="2">
        <v>1.0</v>
      </c>
      <c r="CQ558" s="2">
        <v>2.0</v>
      </c>
      <c r="CR558" s="2">
        <v>0.0</v>
      </c>
      <c r="CS558" s="2">
        <v>0.0</v>
      </c>
      <c r="CT558" s="2">
        <v>0.0</v>
      </c>
      <c r="CU558" s="2">
        <v>0.0</v>
      </c>
      <c r="CV558" s="2">
        <v>0.0</v>
      </c>
      <c r="CW558" s="2">
        <v>0.0</v>
      </c>
      <c r="CX558" s="2">
        <v>0.0</v>
      </c>
      <c r="CY558" s="2">
        <v>0.0</v>
      </c>
      <c r="CZ558" s="2">
        <v>0.0</v>
      </c>
      <c r="DA558" s="2" t="s">
        <v>2303</v>
      </c>
      <c r="DD558" s="2">
        <v>97.0</v>
      </c>
      <c r="DE558" s="2">
        <v>0.0</v>
      </c>
      <c r="DF558" s="2">
        <v>0.0</v>
      </c>
      <c r="DG558" s="2">
        <v>1.0</v>
      </c>
      <c r="DH558" s="2">
        <v>1.0</v>
      </c>
      <c r="DI558" s="2">
        <v>0.0</v>
      </c>
      <c r="DJ558" s="2">
        <v>0.0</v>
      </c>
      <c r="DK558" s="2">
        <v>1.0</v>
      </c>
      <c r="DL558" s="2">
        <v>0.0</v>
      </c>
      <c r="DM558" s="2">
        <v>0.0</v>
      </c>
      <c r="DN558" s="2">
        <v>0.0</v>
      </c>
      <c r="DO558" s="2">
        <v>0.0</v>
      </c>
      <c r="DP558" s="2">
        <v>0.0</v>
      </c>
      <c r="DQ558" s="2">
        <v>3.0</v>
      </c>
      <c r="DR558" s="2">
        <v>0.0</v>
      </c>
      <c r="DS558" s="2">
        <v>55.0</v>
      </c>
      <c r="DT558" s="2">
        <v>130.0</v>
      </c>
      <c r="DU558" s="2">
        <v>2.0</v>
      </c>
      <c r="DV558" s="2">
        <v>0.0</v>
      </c>
      <c r="DW558" s="2">
        <v>1.0</v>
      </c>
      <c r="DX558" s="2">
        <v>1.0</v>
      </c>
      <c r="DY558" s="2">
        <v>1.0</v>
      </c>
      <c r="DZ558" s="2">
        <v>0.0</v>
      </c>
      <c r="EA558" s="2">
        <v>0.0</v>
      </c>
      <c r="EB558" s="2">
        <v>0.0</v>
      </c>
      <c r="EC558" s="2">
        <v>110.0</v>
      </c>
      <c r="EE558" s="2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2">
        <v>2025.0</v>
      </c>
      <c r="B559" s="2">
        <v>19.0</v>
      </c>
      <c r="C559" s="2" t="s">
        <v>147</v>
      </c>
      <c r="D559" s="2" t="s">
        <v>2297</v>
      </c>
      <c r="E559" s="2" t="s">
        <v>1228</v>
      </c>
      <c r="F559" s="2" t="s">
        <v>246</v>
      </c>
      <c r="G559" s="2">
        <v>20.0</v>
      </c>
      <c r="H559" s="2">
        <v>35.0</v>
      </c>
      <c r="I559" s="2">
        <v>168.0</v>
      </c>
      <c r="J559" s="2">
        <v>1.0</v>
      </c>
      <c r="K559" s="2">
        <v>0.0</v>
      </c>
      <c r="L559" s="2">
        <v>1.0</v>
      </c>
      <c r="M559" s="2">
        <v>-1.0</v>
      </c>
      <c r="N559" s="2">
        <v>0.0</v>
      </c>
      <c r="O559" s="2">
        <v>0.0</v>
      </c>
      <c r="P559" s="2">
        <v>313.0</v>
      </c>
      <c r="Q559" s="2">
        <v>87.0</v>
      </c>
      <c r="R559" s="2">
        <v>7.0</v>
      </c>
      <c r="S559" s="2">
        <v>-3.24582384996296</v>
      </c>
      <c r="T559" s="2">
        <v>-7.93618796502843</v>
      </c>
      <c r="U559" s="2">
        <v>0.0</v>
      </c>
      <c r="V559" s="2">
        <v>7.0</v>
      </c>
      <c r="W559" s="2">
        <v>1.0</v>
      </c>
      <c r="X559" s="2">
        <v>1.0</v>
      </c>
      <c r="Y559" s="2">
        <v>0.0</v>
      </c>
      <c r="Z559" s="2">
        <v>36.0</v>
      </c>
      <c r="AA559" s="2">
        <v>140.0</v>
      </c>
      <c r="AB559" s="2">
        <v>1.0</v>
      </c>
      <c r="AC559" s="2">
        <v>0.0</v>
      </c>
      <c r="AD559" s="2">
        <v>0.0</v>
      </c>
      <c r="AE559" s="2">
        <v>11.0</v>
      </c>
      <c r="AF559" s="2">
        <v>0.292278858599004</v>
      </c>
      <c r="AG559" s="2">
        <v>0.0</v>
      </c>
      <c r="AH559" s="2">
        <v>1.0</v>
      </c>
      <c r="AI559" s="2">
        <v>1.0</v>
      </c>
      <c r="AJ559" s="2">
        <v>1.0</v>
      </c>
      <c r="AK559" s="2">
        <v>0.0</v>
      </c>
      <c r="AL559" s="2">
        <v>20.0</v>
      </c>
      <c r="AM559" s="2">
        <v>34.0</v>
      </c>
      <c r="AN559" s="2">
        <v>168.0</v>
      </c>
      <c r="AO559" s="2">
        <v>1.0</v>
      </c>
      <c r="AP559" s="2">
        <v>0.0</v>
      </c>
      <c r="AQ559" s="2">
        <v>0.0</v>
      </c>
      <c r="AR559" s="2">
        <v>313.0</v>
      </c>
      <c r="AS559" s="2">
        <v>87.0</v>
      </c>
      <c r="AT559" s="2">
        <v>7.0</v>
      </c>
      <c r="AU559" s="2">
        <v>-2.13006615991884</v>
      </c>
      <c r="AV559" s="2">
        <v>0.0</v>
      </c>
      <c r="AW559" s="2">
        <v>7.0</v>
      </c>
      <c r="AX559" s="2">
        <v>1.0</v>
      </c>
      <c r="AY559" s="2">
        <v>1.0</v>
      </c>
      <c r="AZ559" s="2">
        <v>0.0</v>
      </c>
      <c r="BA559" s="2">
        <v>0.0</v>
      </c>
      <c r="BB559" s="2">
        <v>34.0</v>
      </c>
      <c r="BC559" s="2">
        <v>1.0</v>
      </c>
      <c r="BD559" s="2">
        <v>21.0</v>
      </c>
      <c r="BE559" s="2">
        <v>3.0</v>
      </c>
      <c r="BF559" s="2">
        <v>7.0</v>
      </c>
      <c r="BG559" s="2">
        <v>1.0</v>
      </c>
      <c r="BH559" s="2">
        <v>1.0</v>
      </c>
      <c r="BI559" s="2">
        <v>5.0</v>
      </c>
      <c r="BJ559" s="2">
        <v>2.0</v>
      </c>
      <c r="BK559" s="2">
        <v>2.0</v>
      </c>
      <c r="BL559" s="2">
        <v>3.0</v>
      </c>
      <c r="BM559" s="2">
        <v>5.0</v>
      </c>
      <c r="BN559" s="2">
        <v>0.0</v>
      </c>
      <c r="BO559" s="2">
        <v>0.0</v>
      </c>
      <c r="BP559" s="2">
        <v>0.0</v>
      </c>
      <c r="BQ559" s="2">
        <v>0.0</v>
      </c>
      <c r="BR559" s="2">
        <v>0.0</v>
      </c>
      <c r="BS559" s="2">
        <v>0.0</v>
      </c>
      <c r="BT559" s="2">
        <v>0.0</v>
      </c>
      <c r="BU559" s="2">
        <v>0.0</v>
      </c>
      <c r="BV559" s="2">
        <v>0.0</v>
      </c>
      <c r="BW559" s="2">
        <v>7.0</v>
      </c>
      <c r="BX559" s="2">
        <v>48.0</v>
      </c>
      <c r="BY559" s="2">
        <v>5.0</v>
      </c>
      <c r="BZ559" s="2">
        <v>0.0</v>
      </c>
      <c r="CA559" s="2">
        <v>0.0</v>
      </c>
      <c r="CB559" s="2">
        <v>0.0</v>
      </c>
      <c r="CC559" s="2">
        <v>0.0</v>
      </c>
      <c r="CD559" s="2">
        <v>0.0</v>
      </c>
      <c r="CE559" s="2">
        <v>0.0</v>
      </c>
      <c r="CF559" s="2">
        <v>0.0</v>
      </c>
      <c r="CG559" s="2">
        <v>2.0</v>
      </c>
      <c r="CH559" s="2">
        <v>61.0</v>
      </c>
      <c r="CI559" s="2">
        <v>2.0</v>
      </c>
      <c r="CJ559" s="2">
        <v>2.0</v>
      </c>
      <c r="CK559" s="2">
        <v>0.0</v>
      </c>
      <c r="CL559" s="2">
        <v>0.0</v>
      </c>
      <c r="CM559" s="2">
        <v>41.0</v>
      </c>
      <c r="CN559" s="2">
        <v>1.0</v>
      </c>
      <c r="CO559" s="2">
        <v>0.0</v>
      </c>
      <c r="CP559" s="2">
        <v>0.0</v>
      </c>
      <c r="CQ559" s="2">
        <v>1.0</v>
      </c>
      <c r="CR559" s="2">
        <v>1.0</v>
      </c>
      <c r="CS559" s="2">
        <v>0.0</v>
      </c>
      <c r="CT559" s="2">
        <v>0.0</v>
      </c>
      <c r="CU559" s="2">
        <v>0.0</v>
      </c>
      <c r="CV559" s="2">
        <v>0.0</v>
      </c>
      <c r="CW559" s="2">
        <v>0.0</v>
      </c>
      <c r="CX559" s="2">
        <v>0.0</v>
      </c>
      <c r="CY559" s="2">
        <v>0.0</v>
      </c>
      <c r="CZ559" s="2">
        <v>0.0</v>
      </c>
      <c r="DA559" s="2" t="s">
        <v>2135</v>
      </c>
      <c r="DD559" s="2">
        <v>74.0</v>
      </c>
      <c r="DE559" s="2">
        <v>0.0</v>
      </c>
      <c r="DF559" s="2">
        <v>0.0</v>
      </c>
      <c r="DG559" s="2">
        <v>1.0</v>
      </c>
      <c r="DH559" s="2">
        <v>2.0</v>
      </c>
      <c r="DI559" s="2">
        <v>1.0</v>
      </c>
      <c r="DJ559" s="2">
        <v>0.0</v>
      </c>
      <c r="DK559" s="2">
        <v>0.5</v>
      </c>
      <c r="DL559" s="2">
        <v>0.0</v>
      </c>
      <c r="DM559" s="2">
        <v>0.0</v>
      </c>
      <c r="DN559" s="2">
        <v>0.0</v>
      </c>
      <c r="DO559" s="2">
        <v>0.0</v>
      </c>
      <c r="DP559" s="2">
        <v>0.0</v>
      </c>
      <c r="DQ559" s="2">
        <v>4.0</v>
      </c>
      <c r="DR559" s="2">
        <v>0.0</v>
      </c>
      <c r="DS559" s="2">
        <v>58.0</v>
      </c>
      <c r="DT559" s="2">
        <v>208.0</v>
      </c>
      <c r="DU559" s="2">
        <v>1.0</v>
      </c>
      <c r="DV559" s="2">
        <v>0.0</v>
      </c>
      <c r="DW559" s="2">
        <v>0.0</v>
      </c>
      <c r="DX559" s="2">
        <v>1.0</v>
      </c>
      <c r="DY559" s="2">
        <v>1.0</v>
      </c>
      <c r="DZ559" s="2">
        <v>2.0</v>
      </c>
      <c r="EA559" s="2">
        <v>12.0</v>
      </c>
      <c r="EB559" s="2">
        <v>0.0</v>
      </c>
      <c r="EC559" s="2">
        <v>176.0</v>
      </c>
      <c r="EE559" s="2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2">
        <v>2025.0</v>
      </c>
      <c r="B560" s="2">
        <v>19.0</v>
      </c>
      <c r="C560" s="2" t="s">
        <v>242</v>
      </c>
      <c r="D560" s="2" t="s">
        <v>2297</v>
      </c>
      <c r="E560" s="2" t="s">
        <v>1232</v>
      </c>
      <c r="F560" s="2" t="s">
        <v>140</v>
      </c>
      <c r="G560" s="2">
        <v>18.0</v>
      </c>
      <c r="H560" s="2">
        <v>34.0</v>
      </c>
      <c r="I560" s="2">
        <v>148.0</v>
      </c>
      <c r="J560" s="2">
        <v>0.0</v>
      </c>
      <c r="K560" s="2">
        <v>1.0</v>
      </c>
      <c r="L560" s="2">
        <v>4.0</v>
      </c>
      <c r="M560" s="2">
        <v>-36.0</v>
      </c>
      <c r="N560" s="2">
        <v>2.0</v>
      </c>
      <c r="O560" s="2">
        <v>1.0</v>
      </c>
      <c r="P560" s="2">
        <v>290.0</v>
      </c>
      <c r="Q560" s="2">
        <v>75.0</v>
      </c>
      <c r="R560" s="2">
        <v>7.0</v>
      </c>
      <c r="S560" s="2">
        <v>-25.350196331923</v>
      </c>
      <c r="T560" s="2">
        <v>-6.2141316552316</v>
      </c>
      <c r="U560" s="2">
        <v>0.0</v>
      </c>
      <c r="V560" s="2">
        <v>7.0</v>
      </c>
      <c r="W560" s="2">
        <v>4.0</v>
      </c>
      <c r="X560" s="2">
        <v>2.0</v>
      </c>
      <c r="Y560" s="2">
        <v>0.0</v>
      </c>
      <c r="Z560" s="2">
        <v>18.0</v>
      </c>
      <c r="AA560" s="2">
        <v>63.0</v>
      </c>
      <c r="AB560" s="2">
        <v>0.0</v>
      </c>
      <c r="AC560" s="2">
        <v>0.0</v>
      </c>
      <c r="AD560" s="2">
        <v>0.0</v>
      </c>
      <c r="AE560" s="2">
        <v>5.0</v>
      </c>
      <c r="AF560" s="2">
        <v>-5.11590623413213</v>
      </c>
      <c r="AG560" s="2">
        <v>0.0</v>
      </c>
      <c r="AH560" s="2">
        <v>3.0</v>
      </c>
      <c r="AI560" s="2">
        <v>2.0</v>
      </c>
      <c r="AJ560" s="2">
        <v>0.0</v>
      </c>
      <c r="AK560" s="2">
        <v>0.0</v>
      </c>
      <c r="AL560" s="2">
        <v>18.0</v>
      </c>
      <c r="AM560" s="2">
        <v>31.0</v>
      </c>
      <c r="AN560" s="2">
        <v>148.0</v>
      </c>
      <c r="AO560" s="2">
        <v>0.0</v>
      </c>
      <c r="AP560" s="2">
        <v>0.0</v>
      </c>
      <c r="AQ560" s="2">
        <v>0.0</v>
      </c>
      <c r="AR560" s="2">
        <v>290.0</v>
      </c>
      <c r="AS560" s="2">
        <v>75.0</v>
      </c>
      <c r="AT560" s="2">
        <v>7.0</v>
      </c>
      <c r="AU560" s="2">
        <v>-9.94092037150021</v>
      </c>
      <c r="AV560" s="2">
        <v>0.0</v>
      </c>
      <c r="AW560" s="2">
        <v>7.0</v>
      </c>
      <c r="AX560" s="2">
        <v>4.0</v>
      </c>
      <c r="AY560" s="2">
        <v>2.0</v>
      </c>
      <c r="AZ560" s="2">
        <v>0.0</v>
      </c>
      <c r="BA560" s="2">
        <v>0.0</v>
      </c>
      <c r="BB560" s="2">
        <v>35.0</v>
      </c>
      <c r="BC560" s="2">
        <v>0.0</v>
      </c>
      <c r="BD560" s="2">
        <v>44.0</v>
      </c>
      <c r="BE560" s="2">
        <v>3.0</v>
      </c>
      <c r="BF560" s="2">
        <v>7.0</v>
      </c>
      <c r="BG560" s="2">
        <v>2.0</v>
      </c>
      <c r="BH560" s="2">
        <v>3.0</v>
      </c>
      <c r="BI560" s="2">
        <v>6.0</v>
      </c>
      <c r="BJ560" s="2">
        <v>3.0</v>
      </c>
      <c r="BK560" s="2">
        <v>1.0</v>
      </c>
      <c r="BL560" s="2">
        <v>0.0</v>
      </c>
      <c r="BM560" s="2">
        <v>6.0</v>
      </c>
      <c r="BN560" s="2">
        <v>0.0</v>
      </c>
      <c r="BO560" s="2">
        <v>0.0</v>
      </c>
      <c r="BP560" s="2">
        <v>0.0</v>
      </c>
      <c r="BQ560" s="2">
        <v>0.0</v>
      </c>
      <c r="BR560" s="2">
        <v>1.0</v>
      </c>
      <c r="BS560" s="2">
        <v>0.0</v>
      </c>
      <c r="BT560" s="2">
        <v>2.0</v>
      </c>
      <c r="BU560" s="2">
        <v>0.0</v>
      </c>
      <c r="BV560" s="2">
        <v>0.0</v>
      </c>
      <c r="BW560" s="2">
        <v>3.0</v>
      </c>
      <c r="BX560" s="2">
        <v>24.0</v>
      </c>
      <c r="BY560" s="2">
        <v>2.0</v>
      </c>
      <c r="BZ560" s="2">
        <v>2.0</v>
      </c>
      <c r="CA560" s="2">
        <v>0.0</v>
      </c>
      <c r="CB560" s="2">
        <v>0.0</v>
      </c>
      <c r="CC560" s="2">
        <v>2.0</v>
      </c>
      <c r="CD560" s="2">
        <v>1.0</v>
      </c>
      <c r="CE560" s="2">
        <v>1.0</v>
      </c>
      <c r="CF560" s="2">
        <v>14.0</v>
      </c>
      <c r="CG560" s="2">
        <v>4.0</v>
      </c>
      <c r="CH560" s="2">
        <v>100.0</v>
      </c>
      <c r="CI560" s="2">
        <v>2.0</v>
      </c>
      <c r="CJ560" s="2">
        <v>2.0</v>
      </c>
      <c r="CK560" s="2">
        <v>0.0</v>
      </c>
      <c r="CL560" s="2">
        <v>0.0</v>
      </c>
      <c r="CM560" s="2">
        <v>35.0</v>
      </c>
      <c r="CN560" s="2">
        <v>1.0</v>
      </c>
      <c r="CO560" s="2">
        <v>0.0</v>
      </c>
      <c r="CP560" s="2">
        <v>0.0</v>
      </c>
      <c r="CQ560" s="2">
        <v>2.0</v>
      </c>
      <c r="CR560" s="2">
        <v>0.0</v>
      </c>
      <c r="CS560" s="2">
        <v>0.0</v>
      </c>
      <c r="CT560" s="2">
        <v>0.0</v>
      </c>
      <c r="CU560" s="2">
        <v>0.0</v>
      </c>
      <c r="CV560" s="2">
        <v>0.0</v>
      </c>
      <c r="CW560" s="2">
        <v>0.0</v>
      </c>
      <c r="CX560" s="2">
        <v>0.0</v>
      </c>
      <c r="CY560" s="2">
        <v>0.0</v>
      </c>
      <c r="CZ560" s="2">
        <v>0.0</v>
      </c>
      <c r="DA560" s="2" t="s">
        <v>2304</v>
      </c>
      <c r="DD560" s="2">
        <v>67.0</v>
      </c>
      <c r="DE560" s="2">
        <v>0.0</v>
      </c>
      <c r="DF560" s="2">
        <v>0.0</v>
      </c>
      <c r="DG560" s="2">
        <v>0.0</v>
      </c>
      <c r="DH560" s="2">
        <v>0.0</v>
      </c>
      <c r="DI560" s="2">
        <v>0.0</v>
      </c>
      <c r="DJ560" s="2">
        <v>0.0</v>
      </c>
      <c r="DL560" s="2">
        <v>0.0</v>
      </c>
      <c r="DM560" s="2">
        <v>0.0</v>
      </c>
      <c r="DN560" s="2">
        <v>0.0</v>
      </c>
      <c r="DO560" s="2">
        <v>0.0</v>
      </c>
      <c r="DP560" s="2">
        <v>0.0</v>
      </c>
      <c r="DQ560" s="2">
        <v>6.0</v>
      </c>
      <c r="DR560" s="2">
        <v>0.0</v>
      </c>
      <c r="DS560" s="2">
        <v>56.0</v>
      </c>
      <c r="DT560" s="2">
        <v>273.0</v>
      </c>
      <c r="DU560" s="2">
        <v>4.0</v>
      </c>
      <c r="DV560" s="2">
        <v>0.0</v>
      </c>
      <c r="DW560" s="2">
        <v>1.0</v>
      </c>
      <c r="DX560" s="2">
        <v>0.0</v>
      </c>
      <c r="DY560" s="2">
        <v>2.0</v>
      </c>
      <c r="DZ560" s="2">
        <v>3.0</v>
      </c>
      <c r="EA560" s="2">
        <v>22.0</v>
      </c>
      <c r="EB560" s="2">
        <v>0.0</v>
      </c>
      <c r="EC560" s="2">
        <v>251.0</v>
      </c>
      <c r="EE560" s="2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2">
        <v>2025.0</v>
      </c>
      <c r="B561" s="2">
        <v>19.0</v>
      </c>
      <c r="C561" s="2" t="s">
        <v>246</v>
      </c>
      <c r="D561" s="2" t="s">
        <v>2297</v>
      </c>
      <c r="E561" s="2" t="s">
        <v>1228</v>
      </c>
      <c r="F561" s="2" t="s">
        <v>147</v>
      </c>
      <c r="G561" s="2">
        <v>19.0</v>
      </c>
      <c r="H561" s="2">
        <v>32.0</v>
      </c>
      <c r="I561" s="2">
        <v>291.0</v>
      </c>
      <c r="J561" s="2">
        <v>3.0</v>
      </c>
      <c r="K561" s="2">
        <v>2.0</v>
      </c>
      <c r="L561" s="2">
        <v>1.0</v>
      </c>
      <c r="M561" s="2">
        <v>-5.0</v>
      </c>
      <c r="N561" s="2">
        <v>0.0</v>
      </c>
      <c r="O561" s="2">
        <v>0.0</v>
      </c>
      <c r="P561" s="2">
        <v>266.0</v>
      </c>
      <c r="Q561" s="2">
        <v>136.0</v>
      </c>
      <c r="R561" s="2">
        <v>13.0</v>
      </c>
      <c r="S561" s="2">
        <v>7.95071287732571</v>
      </c>
      <c r="T561" s="2">
        <v>-0.524425208568573</v>
      </c>
      <c r="U561" s="2">
        <v>0.0</v>
      </c>
      <c r="V561" s="2">
        <v>11.0</v>
      </c>
      <c r="W561" s="2">
        <v>5.0</v>
      </c>
      <c r="X561" s="2">
        <v>4.0</v>
      </c>
      <c r="Y561" s="2">
        <v>2.0</v>
      </c>
      <c r="Z561" s="2">
        <v>25.0</v>
      </c>
      <c r="AA561" s="2">
        <v>75.0</v>
      </c>
      <c r="AB561" s="2">
        <v>0.0</v>
      </c>
      <c r="AC561" s="2">
        <v>1.0</v>
      </c>
      <c r="AD561" s="2">
        <v>0.0</v>
      </c>
      <c r="AE561" s="2">
        <v>5.0</v>
      </c>
      <c r="AF561" s="2">
        <v>-2.2191920538184</v>
      </c>
      <c r="AG561" s="2">
        <v>0.0</v>
      </c>
      <c r="AH561" s="2">
        <v>1.0</v>
      </c>
      <c r="AI561" s="2">
        <v>0.0</v>
      </c>
      <c r="AJ561" s="2">
        <v>0.0</v>
      </c>
      <c r="AK561" s="2">
        <v>0.0</v>
      </c>
      <c r="AL561" s="2">
        <v>19.0</v>
      </c>
      <c r="AM561" s="2">
        <v>30.0</v>
      </c>
      <c r="AN561" s="2">
        <v>291.0</v>
      </c>
      <c r="AO561" s="2">
        <v>3.0</v>
      </c>
      <c r="AP561" s="2">
        <v>0.0</v>
      </c>
      <c r="AQ561" s="2">
        <v>0.0</v>
      </c>
      <c r="AR561" s="2">
        <v>266.0</v>
      </c>
      <c r="AS561" s="2">
        <v>136.0</v>
      </c>
      <c r="AT561" s="2">
        <v>13.0</v>
      </c>
      <c r="AU561" s="2">
        <v>9.08673208928667</v>
      </c>
      <c r="AV561" s="2">
        <v>0.0</v>
      </c>
      <c r="AW561" s="2">
        <v>11.0</v>
      </c>
      <c r="AX561" s="2">
        <v>5.0</v>
      </c>
      <c r="AY561" s="2">
        <v>4.0</v>
      </c>
      <c r="AZ561" s="2">
        <v>2.0</v>
      </c>
      <c r="BA561" s="2">
        <v>0.0</v>
      </c>
      <c r="BB561" s="2">
        <v>47.0</v>
      </c>
      <c r="BC561" s="2">
        <v>0.0</v>
      </c>
      <c r="BD561" s="2">
        <v>24.0</v>
      </c>
      <c r="BE561" s="2">
        <v>7.0</v>
      </c>
      <c r="BF561" s="2">
        <v>11.0</v>
      </c>
      <c r="BG561" s="2">
        <v>0.0</v>
      </c>
      <c r="BH561" s="2">
        <v>1.0</v>
      </c>
      <c r="BI561" s="2">
        <v>1.0</v>
      </c>
      <c r="BJ561" s="2">
        <v>1.0</v>
      </c>
      <c r="BK561" s="2">
        <v>0.0</v>
      </c>
      <c r="BL561" s="2">
        <v>0.0</v>
      </c>
      <c r="BM561" s="2">
        <v>3.0</v>
      </c>
      <c r="BN561" s="2">
        <v>0.0</v>
      </c>
      <c r="BO561" s="2">
        <v>1.0</v>
      </c>
      <c r="BP561" s="2">
        <v>0.0</v>
      </c>
      <c r="BQ561" s="2">
        <v>0.0</v>
      </c>
      <c r="BR561" s="2">
        <v>1.0</v>
      </c>
      <c r="BS561" s="2">
        <v>0.0</v>
      </c>
      <c r="BT561" s="2">
        <v>0.0</v>
      </c>
      <c r="BU561" s="2">
        <v>0.0</v>
      </c>
      <c r="BV561" s="2">
        <v>0.0</v>
      </c>
      <c r="BW561" s="2">
        <v>1.0</v>
      </c>
      <c r="BX561" s="2">
        <v>15.0</v>
      </c>
      <c r="BY561" s="2">
        <v>4.0</v>
      </c>
      <c r="BZ561" s="2">
        <v>1.0</v>
      </c>
      <c r="CA561" s="2">
        <v>1.0</v>
      </c>
      <c r="CB561" s="2">
        <v>1.0</v>
      </c>
      <c r="CC561" s="2">
        <v>2.0</v>
      </c>
      <c r="CD561" s="2">
        <v>0.0</v>
      </c>
      <c r="CE561" s="2">
        <v>2.0</v>
      </c>
      <c r="CF561" s="2">
        <v>12.0</v>
      </c>
      <c r="CG561" s="2">
        <v>5.0</v>
      </c>
      <c r="CH561" s="2">
        <v>106.0</v>
      </c>
      <c r="CI561" s="2">
        <v>1.0</v>
      </c>
      <c r="CJ561" s="2">
        <v>1.0</v>
      </c>
      <c r="CK561" s="2">
        <v>0.0</v>
      </c>
      <c r="CL561" s="2">
        <v>0.0</v>
      </c>
      <c r="CM561" s="2">
        <v>36.0</v>
      </c>
      <c r="CN561" s="2">
        <v>1.0</v>
      </c>
      <c r="CO561" s="2">
        <v>0.0</v>
      </c>
      <c r="CP561" s="2">
        <v>0.0</v>
      </c>
      <c r="CQ561" s="2">
        <v>1.0</v>
      </c>
      <c r="CR561" s="2">
        <v>0.0</v>
      </c>
      <c r="CS561" s="2">
        <v>0.0</v>
      </c>
      <c r="CT561" s="2">
        <v>0.0</v>
      </c>
      <c r="CU561" s="2">
        <v>0.0</v>
      </c>
      <c r="CV561" s="2">
        <v>0.0</v>
      </c>
      <c r="CW561" s="2">
        <v>0.0</v>
      </c>
      <c r="CX561" s="2">
        <v>0.0</v>
      </c>
      <c r="CY561" s="2">
        <v>0.0</v>
      </c>
      <c r="CZ561" s="2">
        <v>0.0</v>
      </c>
      <c r="DA561" s="2" t="s">
        <v>1970</v>
      </c>
      <c r="DD561" s="2">
        <v>36.0</v>
      </c>
      <c r="DE561" s="2">
        <v>0.0</v>
      </c>
      <c r="DF561" s="2">
        <v>0.0</v>
      </c>
      <c r="DG561" s="2">
        <v>2.0</v>
      </c>
      <c r="DH561" s="2">
        <v>3.0</v>
      </c>
      <c r="DI561" s="2">
        <v>1.0</v>
      </c>
      <c r="DJ561" s="2">
        <v>0.0</v>
      </c>
      <c r="DK561" s="2">
        <v>0.666666666666667</v>
      </c>
      <c r="DL561" s="2">
        <v>0.0</v>
      </c>
      <c r="DM561" s="2">
        <v>0.0</v>
      </c>
      <c r="DN561" s="2">
        <v>0.0</v>
      </c>
      <c r="DO561" s="2">
        <v>0.0</v>
      </c>
      <c r="DP561" s="2">
        <v>0.0</v>
      </c>
      <c r="DQ561" s="2">
        <v>3.0</v>
      </c>
      <c r="DR561" s="2">
        <v>0.0</v>
      </c>
      <c r="DS561" s="2">
        <v>43.0</v>
      </c>
      <c r="DT561" s="2">
        <v>103.0</v>
      </c>
      <c r="DU561" s="2">
        <v>1.0</v>
      </c>
      <c r="DV561" s="2">
        <v>1.0</v>
      </c>
      <c r="DW561" s="2">
        <v>2.0</v>
      </c>
      <c r="DX561" s="2">
        <v>0.0</v>
      </c>
      <c r="DY561" s="2">
        <v>0.0</v>
      </c>
      <c r="DZ561" s="2">
        <v>0.0</v>
      </c>
      <c r="EA561" s="2">
        <v>0.0</v>
      </c>
      <c r="EB561" s="2">
        <v>0.0</v>
      </c>
      <c r="EC561" s="2">
        <v>103.0</v>
      </c>
      <c r="EE561" s="2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2">
        <v>2025.0</v>
      </c>
      <c r="B562" s="2">
        <v>20.0</v>
      </c>
      <c r="C562" s="2" t="s">
        <v>136</v>
      </c>
      <c r="D562" s="2" t="s">
        <v>2297</v>
      </c>
      <c r="E562" s="2" t="s">
        <v>1237</v>
      </c>
      <c r="F562" s="2" t="s">
        <v>139</v>
      </c>
      <c r="G562" s="2">
        <v>25.0</v>
      </c>
      <c r="H562" s="2">
        <v>39.0</v>
      </c>
      <c r="I562" s="2">
        <v>283.0</v>
      </c>
      <c r="J562" s="2">
        <v>3.0</v>
      </c>
      <c r="K562" s="2">
        <v>2.0</v>
      </c>
      <c r="L562" s="2">
        <v>3.0</v>
      </c>
      <c r="M562" s="2">
        <v>-17.0</v>
      </c>
      <c r="N562" s="2">
        <v>1.0</v>
      </c>
      <c r="O562" s="2">
        <v>1.0</v>
      </c>
      <c r="P562" s="2">
        <v>360.0</v>
      </c>
      <c r="Q562" s="2">
        <v>188.0</v>
      </c>
      <c r="R562" s="2">
        <v>14.0</v>
      </c>
      <c r="S562" s="2">
        <v>4.95732551491451</v>
      </c>
      <c r="T562" s="2">
        <v>2.3161028440182</v>
      </c>
      <c r="U562" s="2">
        <v>0.0</v>
      </c>
      <c r="V562" s="2">
        <v>12.0</v>
      </c>
      <c r="W562" s="2">
        <v>4.0</v>
      </c>
      <c r="X562" s="2">
        <v>4.0</v>
      </c>
      <c r="Y562" s="2">
        <v>1.0</v>
      </c>
      <c r="Z562" s="2">
        <v>36.0</v>
      </c>
      <c r="AA562" s="2">
        <v>183.0</v>
      </c>
      <c r="AB562" s="2">
        <v>0.0</v>
      </c>
      <c r="AC562" s="2">
        <v>3.0</v>
      </c>
      <c r="AD562" s="2">
        <v>2.0</v>
      </c>
      <c r="AE562" s="2">
        <v>13.0</v>
      </c>
      <c r="AF562" s="2">
        <v>1.58445500752963</v>
      </c>
      <c r="AG562" s="2">
        <v>0.0</v>
      </c>
      <c r="AH562" s="2">
        <v>6.0</v>
      </c>
      <c r="AI562" s="2">
        <v>4.0</v>
      </c>
      <c r="AJ562" s="2">
        <v>2.0</v>
      </c>
      <c r="AK562" s="2">
        <v>0.0</v>
      </c>
      <c r="AL562" s="2">
        <v>25.0</v>
      </c>
      <c r="AM562" s="2">
        <v>39.0</v>
      </c>
      <c r="AN562" s="2">
        <v>283.0</v>
      </c>
      <c r="AO562" s="2">
        <v>3.0</v>
      </c>
      <c r="AP562" s="2">
        <v>0.0</v>
      </c>
      <c r="AQ562" s="2">
        <v>0.0</v>
      </c>
      <c r="AR562" s="2">
        <v>360.0</v>
      </c>
      <c r="AS562" s="2">
        <v>188.0</v>
      </c>
      <c r="AT562" s="2">
        <v>14.0</v>
      </c>
      <c r="AU562" s="2">
        <v>12.4184571707584</v>
      </c>
      <c r="AV562" s="2">
        <v>0.0</v>
      </c>
      <c r="AW562" s="2">
        <v>12.0</v>
      </c>
      <c r="AX562" s="2">
        <v>4.0</v>
      </c>
      <c r="AY562" s="2">
        <v>4.0</v>
      </c>
      <c r="AZ562" s="2">
        <v>1.0</v>
      </c>
      <c r="BA562" s="2">
        <v>0.0</v>
      </c>
      <c r="BB562" s="2">
        <v>37.0</v>
      </c>
      <c r="BC562" s="2">
        <v>0.0</v>
      </c>
      <c r="BD562" s="2">
        <v>26.0</v>
      </c>
      <c r="BE562" s="2">
        <v>5.0</v>
      </c>
      <c r="BF562" s="2">
        <v>8.0</v>
      </c>
      <c r="BG562" s="2">
        <v>0.0</v>
      </c>
      <c r="BH562" s="2">
        <v>0.0</v>
      </c>
      <c r="BI562" s="2">
        <v>0.0</v>
      </c>
      <c r="BJ562" s="2">
        <v>3.0</v>
      </c>
      <c r="BK562" s="2">
        <v>1.0</v>
      </c>
      <c r="BL562" s="2">
        <v>3.0</v>
      </c>
      <c r="BM562" s="2">
        <v>7.0</v>
      </c>
      <c r="BN562" s="2">
        <v>0.0</v>
      </c>
      <c r="BO562" s="2">
        <v>0.0</v>
      </c>
      <c r="BP562" s="2">
        <v>0.0</v>
      </c>
      <c r="BQ562" s="2">
        <v>0.0</v>
      </c>
      <c r="BR562" s="2">
        <v>2.0</v>
      </c>
      <c r="BS562" s="2">
        <v>0.0</v>
      </c>
      <c r="BT562" s="2">
        <v>0.0</v>
      </c>
      <c r="BU562" s="2">
        <v>0.0</v>
      </c>
      <c r="BV562" s="2">
        <v>0.0</v>
      </c>
      <c r="BW562" s="2">
        <v>5.0</v>
      </c>
      <c r="BX562" s="2">
        <v>68.0</v>
      </c>
      <c r="BY562" s="2">
        <v>8.0</v>
      </c>
      <c r="BZ562" s="2">
        <v>4.0</v>
      </c>
      <c r="CA562" s="2">
        <v>1.0</v>
      </c>
      <c r="CB562" s="2">
        <v>0.0</v>
      </c>
      <c r="CC562" s="2">
        <v>5.0</v>
      </c>
      <c r="CD562" s="2">
        <v>3.0</v>
      </c>
      <c r="CE562" s="2">
        <v>0.0</v>
      </c>
      <c r="CF562" s="2">
        <v>0.0</v>
      </c>
      <c r="CG562" s="2">
        <v>6.0</v>
      </c>
      <c r="CH562" s="2">
        <v>152.0</v>
      </c>
      <c r="CI562" s="2">
        <v>3.0</v>
      </c>
      <c r="CJ562" s="2">
        <v>3.0</v>
      </c>
      <c r="CK562" s="2">
        <v>0.0</v>
      </c>
      <c r="CL562" s="2">
        <v>0.0</v>
      </c>
      <c r="CM562" s="2">
        <v>50.0</v>
      </c>
      <c r="CN562" s="2">
        <v>1.0</v>
      </c>
      <c r="CO562" s="2">
        <v>0.0</v>
      </c>
      <c r="CP562" s="2">
        <v>0.0</v>
      </c>
      <c r="CQ562" s="2">
        <v>2.0</v>
      </c>
      <c r="CR562" s="2">
        <v>0.0</v>
      </c>
      <c r="CS562" s="2">
        <v>1.0</v>
      </c>
      <c r="CT562" s="2">
        <v>0.0</v>
      </c>
      <c r="CU562" s="2">
        <v>0.0</v>
      </c>
      <c r="CV562" s="2">
        <v>0.0</v>
      </c>
      <c r="CW562" s="2">
        <v>0.0</v>
      </c>
      <c r="CX562" s="2">
        <v>0.0</v>
      </c>
      <c r="CY562" s="2">
        <v>0.0</v>
      </c>
      <c r="CZ562" s="2">
        <v>0.0</v>
      </c>
      <c r="DA562" s="2" t="s">
        <v>2305</v>
      </c>
      <c r="DD562" s="2">
        <v>114.0</v>
      </c>
      <c r="DE562" s="2">
        <v>0.0</v>
      </c>
      <c r="DF562" s="2">
        <v>0.0</v>
      </c>
      <c r="DG562" s="2">
        <v>3.0</v>
      </c>
      <c r="DH562" s="2">
        <v>3.0</v>
      </c>
      <c r="DI562" s="2">
        <v>0.0</v>
      </c>
      <c r="DJ562" s="2">
        <v>0.0</v>
      </c>
      <c r="DK562" s="2">
        <v>1.0</v>
      </c>
      <c r="DL562" s="2">
        <v>0.0</v>
      </c>
      <c r="DM562" s="2">
        <v>0.0</v>
      </c>
      <c r="DN562" s="2">
        <v>0.0</v>
      </c>
      <c r="DO562" s="2">
        <v>0.0</v>
      </c>
      <c r="DP562" s="2">
        <v>0.0</v>
      </c>
      <c r="DQ562" s="2">
        <v>0.0</v>
      </c>
      <c r="DR562" s="2">
        <v>0.0</v>
      </c>
      <c r="DT562" s="2">
        <v>0.0</v>
      </c>
      <c r="DU562" s="2">
        <v>0.0</v>
      </c>
      <c r="DV562" s="2">
        <v>0.0</v>
      </c>
      <c r="DW562" s="2">
        <v>0.0</v>
      </c>
      <c r="DX562" s="2">
        <v>0.0</v>
      </c>
      <c r="DY562" s="2">
        <v>0.0</v>
      </c>
      <c r="DZ562" s="2">
        <v>0.0</v>
      </c>
      <c r="EA562" s="2">
        <v>0.0</v>
      </c>
      <c r="EB562" s="2">
        <v>0.0</v>
      </c>
      <c r="EC562" s="2">
        <v>0.0</v>
      </c>
      <c r="EE562" s="2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2">
        <v>2025.0</v>
      </c>
      <c r="B563" s="2">
        <v>20.0</v>
      </c>
      <c r="C563" s="2" t="s">
        <v>137</v>
      </c>
      <c r="D563" s="2" t="s">
        <v>2297</v>
      </c>
      <c r="E563" s="2" t="s">
        <v>1243</v>
      </c>
      <c r="F563" s="2" t="s">
        <v>142</v>
      </c>
      <c r="G563" s="2">
        <v>23.0</v>
      </c>
      <c r="H563" s="2">
        <v>42.0</v>
      </c>
      <c r="I563" s="2">
        <v>257.0</v>
      </c>
      <c r="J563" s="2">
        <v>2.0</v>
      </c>
      <c r="K563" s="2">
        <v>3.0</v>
      </c>
      <c r="L563" s="2">
        <v>0.0</v>
      </c>
      <c r="M563" s="2">
        <v>0.0</v>
      </c>
      <c r="N563" s="2">
        <v>0.0</v>
      </c>
      <c r="O563" s="2">
        <v>0.0</v>
      </c>
      <c r="P563" s="2">
        <v>384.0</v>
      </c>
      <c r="Q563" s="2">
        <v>134.0</v>
      </c>
      <c r="R563" s="2">
        <v>11.0</v>
      </c>
      <c r="S563" s="2">
        <v>1.64191282205892</v>
      </c>
      <c r="T563" s="2">
        <v>-8.02750466834931</v>
      </c>
      <c r="U563" s="2">
        <v>0.0</v>
      </c>
      <c r="V563" s="2">
        <v>10.0</v>
      </c>
      <c r="W563" s="2">
        <v>6.0</v>
      </c>
      <c r="X563" s="2">
        <v>3.0</v>
      </c>
      <c r="Y563" s="2">
        <v>0.0</v>
      </c>
      <c r="Z563" s="2">
        <v>39.0</v>
      </c>
      <c r="AA563" s="2">
        <v>160.0</v>
      </c>
      <c r="AB563" s="2">
        <v>0.0</v>
      </c>
      <c r="AC563" s="2">
        <v>0.0</v>
      </c>
      <c r="AD563" s="2">
        <v>0.0</v>
      </c>
      <c r="AE563" s="2">
        <v>11.0</v>
      </c>
      <c r="AF563" s="2">
        <v>-4.54011678360985</v>
      </c>
      <c r="AG563" s="2">
        <v>0.0</v>
      </c>
      <c r="AH563" s="2">
        <v>4.0</v>
      </c>
      <c r="AI563" s="2">
        <v>4.0</v>
      </c>
      <c r="AJ563" s="2">
        <v>1.0</v>
      </c>
      <c r="AK563" s="2">
        <v>0.0</v>
      </c>
      <c r="AL563" s="2">
        <v>23.0</v>
      </c>
      <c r="AM563" s="2">
        <v>42.0</v>
      </c>
      <c r="AN563" s="2">
        <v>257.0</v>
      </c>
      <c r="AO563" s="2">
        <v>2.0</v>
      </c>
      <c r="AP563" s="2">
        <v>0.0</v>
      </c>
      <c r="AQ563" s="2">
        <v>0.0</v>
      </c>
      <c r="AR563" s="2">
        <v>384.0</v>
      </c>
      <c r="AS563" s="2">
        <v>134.0</v>
      </c>
      <c r="AT563" s="2">
        <v>11.0</v>
      </c>
      <c r="AU563" s="2">
        <v>1.64191282205892</v>
      </c>
      <c r="AV563" s="2">
        <v>0.0</v>
      </c>
      <c r="AW563" s="2">
        <v>10.0</v>
      </c>
      <c r="AX563" s="2">
        <v>6.0</v>
      </c>
      <c r="AY563" s="2">
        <v>3.0</v>
      </c>
      <c r="AZ563" s="2">
        <v>0.0</v>
      </c>
      <c r="BA563" s="2">
        <v>0.0</v>
      </c>
      <c r="BB563" s="2">
        <v>42.0</v>
      </c>
      <c r="BC563" s="2">
        <v>0.0</v>
      </c>
      <c r="BD563" s="2">
        <v>32.0</v>
      </c>
      <c r="BE563" s="2">
        <v>6.0</v>
      </c>
      <c r="BF563" s="2">
        <v>33.0</v>
      </c>
      <c r="BG563" s="2">
        <v>2.0</v>
      </c>
      <c r="BH563" s="2">
        <v>4.0</v>
      </c>
      <c r="BI563" s="2">
        <v>29.0</v>
      </c>
      <c r="BJ563" s="2">
        <v>4.0</v>
      </c>
      <c r="BK563" s="2">
        <v>0.0</v>
      </c>
      <c r="BL563" s="2">
        <v>0.0</v>
      </c>
      <c r="BM563" s="2">
        <v>7.0</v>
      </c>
      <c r="BN563" s="2">
        <v>0.0</v>
      </c>
      <c r="BO563" s="2">
        <v>1.0</v>
      </c>
      <c r="BP563" s="2">
        <v>0.0</v>
      </c>
      <c r="BQ563" s="2">
        <v>0.0</v>
      </c>
      <c r="BR563" s="2">
        <v>1.0</v>
      </c>
      <c r="BS563" s="2">
        <v>0.0</v>
      </c>
      <c r="BT563" s="2">
        <v>0.0</v>
      </c>
      <c r="BU563" s="2">
        <v>0.0</v>
      </c>
      <c r="BV563" s="2">
        <v>0.0</v>
      </c>
      <c r="BW563" s="2">
        <v>3.0</v>
      </c>
      <c r="BX563" s="2">
        <v>24.0</v>
      </c>
      <c r="BY563" s="2">
        <v>3.0</v>
      </c>
      <c r="BZ563" s="2">
        <v>0.0</v>
      </c>
      <c r="CA563" s="2">
        <v>1.0</v>
      </c>
      <c r="CB563" s="2">
        <v>0.0</v>
      </c>
      <c r="CC563" s="2">
        <v>1.0</v>
      </c>
      <c r="CD563" s="2">
        <v>0.0</v>
      </c>
      <c r="CE563" s="2">
        <v>3.0</v>
      </c>
      <c r="CF563" s="2">
        <v>33.0</v>
      </c>
      <c r="CG563" s="2">
        <v>2.0</v>
      </c>
      <c r="CH563" s="2">
        <v>58.0</v>
      </c>
      <c r="CI563" s="2">
        <v>1.0</v>
      </c>
      <c r="CJ563" s="2">
        <v>1.0</v>
      </c>
      <c r="CK563" s="2">
        <v>0.0</v>
      </c>
      <c r="CL563" s="2">
        <v>0.0</v>
      </c>
      <c r="CM563" s="2">
        <v>48.0</v>
      </c>
      <c r="CN563" s="2">
        <v>1.0</v>
      </c>
      <c r="CO563" s="2">
        <v>0.0</v>
      </c>
      <c r="CP563" s="2">
        <v>0.0</v>
      </c>
      <c r="CQ563" s="2">
        <v>0.0</v>
      </c>
      <c r="CR563" s="2">
        <v>1.0</v>
      </c>
      <c r="CS563" s="2">
        <v>0.0</v>
      </c>
      <c r="CT563" s="2">
        <v>0.0</v>
      </c>
      <c r="CU563" s="2">
        <v>0.0</v>
      </c>
      <c r="CV563" s="2">
        <v>0.0</v>
      </c>
      <c r="CW563" s="2">
        <v>0.0</v>
      </c>
      <c r="CX563" s="2">
        <v>0.0</v>
      </c>
      <c r="CY563" s="2">
        <v>0.0</v>
      </c>
      <c r="CZ563" s="2">
        <v>0.0</v>
      </c>
      <c r="DA563" s="2" t="s">
        <v>1965</v>
      </c>
      <c r="DD563" s="2">
        <v>48.0</v>
      </c>
      <c r="DE563" s="2">
        <v>0.0</v>
      </c>
      <c r="DF563" s="2">
        <v>0.0</v>
      </c>
      <c r="DG563" s="2">
        <v>2.0</v>
      </c>
      <c r="DH563" s="2">
        <v>2.0</v>
      </c>
      <c r="DI563" s="2">
        <v>0.0</v>
      </c>
      <c r="DJ563" s="2">
        <v>0.0</v>
      </c>
      <c r="DK563" s="2">
        <v>1.0</v>
      </c>
      <c r="DL563" s="2">
        <v>0.0</v>
      </c>
      <c r="DM563" s="2">
        <v>0.0</v>
      </c>
      <c r="DN563" s="2">
        <v>0.0</v>
      </c>
      <c r="DO563" s="2">
        <v>0.0</v>
      </c>
      <c r="DP563" s="2">
        <v>0.0</v>
      </c>
      <c r="DQ563" s="2">
        <v>3.0</v>
      </c>
      <c r="DR563" s="2">
        <v>0.0</v>
      </c>
      <c r="DS563" s="2">
        <v>51.0</v>
      </c>
      <c r="DT563" s="2">
        <v>141.0</v>
      </c>
      <c r="DU563" s="2">
        <v>1.0</v>
      </c>
      <c r="DV563" s="2">
        <v>1.0</v>
      </c>
      <c r="DW563" s="2">
        <v>0.0</v>
      </c>
      <c r="DX563" s="2">
        <v>0.0</v>
      </c>
      <c r="DY563" s="2">
        <v>2.0</v>
      </c>
      <c r="DZ563" s="2">
        <v>0.0</v>
      </c>
      <c r="EA563" s="2">
        <v>0.0</v>
      </c>
      <c r="EB563" s="2">
        <v>0.0</v>
      </c>
      <c r="EC563" s="2">
        <v>141.0</v>
      </c>
      <c r="EE563" s="2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2">
        <v>2025.0</v>
      </c>
      <c r="B564" s="2">
        <v>20.0</v>
      </c>
      <c r="C564" s="2" t="s">
        <v>139</v>
      </c>
      <c r="D564" s="2" t="s">
        <v>2297</v>
      </c>
      <c r="E564" s="2" t="s">
        <v>1237</v>
      </c>
      <c r="F564" s="2" t="s">
        <v>136</v>
      </c>
      <c r="G564" s="2">
        <v>26.0</v>
      </c>
      <c r="H564" s="2">
        <v>46.0</v>
      </c>
      <c r="I564" s="2">
        <v>279.0</v>
      </c>
      <c r="J564" s="2">
        <v>3.0</v>
      </c>
      <c r="K564" s="2">
        <v>1.0</v>
      </c>
      <c r="L564" s="2">
        <v>0.0</v>
      </c>
      <c r="M564" s="2">
        <v>0.0</v>
      </c>
      <c r="N564" s="2">
        <v>0.0</v>
      </c>
      <c r="O564" s="2">
        <v>0.0</v>
      </c>
      <c r="P564" s="2">
        <v>305.0</v>
      </c>
      <c r="Q564" s="2">
        <v>116.0</v>
      </c>
      <c r="R564" s="2">
        <v>13.0</v>
      </c>
      <c r="S564" s="2">
        <v>3.46261875937819</v>
      </c>
      <c r="T564" s="2">
        <v>-4.67836814267295</v>
      </c>
      <c r="U564" s="2">
        <v>0.0</v>
      </c>
      <c r="V564" s="2">
        <v>12.0</v>
      </c>
      <c r="W564" s="2">
        <v>6.0</v>
      </c>
      <c r="X564" s="2">
        <v>5.0</v>
      </c>
      <c r="Y564" s="2">
        <v>0.0</v>
      </c>
      <c r="Z564" s="2">
        <v>22.0</v>
      </c>
      <c r="AA564" s="2">
        <v>70.0</v>
      </c>
      <c r="AB564" s="2">
        <v>0.0</v>
      </c>
      <c r="AC564" s="2">
        <v>0.0</v>
      </c>
      <c r="AD564" s="2">
        <v>0.0</v>
      </c>
      <c r="AE564" s="2">
        <v>6.0</v>
      </c>
      <c r="AF564" s="2">
        <v>-3.22327950378444</v>
      </c>
      <c r="AG564" s="2">
        <v>0.0</v>
      </c>
      <c r="AH564" s="2">
        <v>3.0</v>
      </c>
      <c r="AI564" s="2">
        <v>2.0</v>
      </c>
      <c r="AJ564" s="2">
        <v>0.0</v>
      </c>
      <c r="AK564" s="2">
        <v>0.0</v>
      </c>
      <c r="AL564" s="2">
        <v>26.0</v>
      </c>
      <c r="AM564" s="2">
        <v>42.0</v>
      </c>
      <c r="AN564" s="2">
        <v>279.0</v>
      </c>
      <c r="AO564" s="2">
        <v>3.0</v>
      </c>
      <c r="AP564" s="2">
        <v>0.0</v>
      </c>
      <c r="AQ564" s="2">
        <v>0.0</v>
      </c>
      <c r="AR564" s="2">
        <v>305.0</v>
      </c>
      <c r="AS564" s="2">
        <v>116.0</v>
      </c>
      <c r="AT564" s="2">
        <v>13.0</v>
      </c>
      <c r="AU564" s="2">
        <v>5.36786794963303</v>
      </c>
      <c r="AV564" s="2">
        <v>0.0</v>
      </c>
      <c r="AW564" s="2">
        <v>12.0</v>
      </c>
      <c r="AX564" s="2">
        <v>6.0</v>
      </c>
      <c r="AY564" s="2">
        <v>5.0</v>
      </c>
      <c r="AZ564" s="2">
        <v>0.0</v>
      </c>
      <c r="BA564" s="2">
        <v>0.0</v>
      </c>
      <c r="BB564" s="2">
        <v>53.0</v>
      </c>
      <c r="BC564" s="2">
        <v>1.0</v>
      </c>
      <c r="BD564" s="2">
        <v>27.0</v>
      </c>
      <c r="BE564" s="2">
        <v>4.0</v>
      </c>
      <c r="BF564" s="2">
        <v>18.0</v>
      </c>
      <c r="BG564" s="2">
        <v>4.0</v>
      </c>
      <c r="BH564" s="2">
        <v>3.0</v>
      </c>
      <c r="BI564" s="2">
        <v>17.0</v>
      </c>
      <c r="BJ564" s="2">
        <v>10.0</v>
      </c>
      <c r="BK564" s="2">
        <v>2.0</v>
      </c>
      <c r="BL564" s="2">
        <v>30.0</v>
      </c>
      <c r="BM564" s="2">
        <v>2.0</v>
      </c>
      <c r="BN564" s="2">
        <v>0.0</v>
      </c>
      <c r="BO564" s="2">
        <v>0.0</v>
      </c>
      <c r="BP564" s="2">
        <v>0.0</v>
      </c>
      <c r="BQ564" s="2">
        <v>0.0</v>
      </c>
      <c r="BR564" s="2">
        <v>1.0</v>
      </c>
      <c r="BS564" s="2">
        <v>0.0</v>
      </c>
      <c r="BT564" s="2">
        <v>3.0</v>
      </c>
      <c r="BU564" s="2">
        <v>3.0</v>
      </c>
      <c r="BV564" s="2">
        <v>0.0</v>
      </c>
      <c r="BW564" s="2">
        <v>3.0</v>
      </c>
      <c r="BX564" s="2">
        <v>20.0</v>
      </c>
      <c r="BY564" s="2">
        <v>6.0</v>
      </c>
      <c r="BZ564" s="2">
        <v>0.0</v>
      </c>
      <c r="CA564" s="2">
        <v>1.0</v>
      </c>
      <c r="CB564" s="2">
        <v>0.0</v>
      </c>
      <c r="CC564" s="2">
        <v>1.0</v>
      </c>
      <c r="CD564" s="2">
        <v>0.0</v>
      </c>
      <c r="CE564" s="2">
        <v>0.0</v>
      </c>
      <c r="CF564" s="2">
        <v>0.0</v>
      </c>
      <c r="CG564" s="2">
        <v>6.0</v>
      </c>
      <c r="CH564" s="2">
        <v>136.0</v>
      </c>
      <c r="CI564" s="2">
        <v>4.0</v>
      </c>
      <c r="CJ564" s="2">
        <v>4.0</v>
      </c>
      <c r="CK564" s="2">
        <v>0.0</v>
      </c>
      <c r="CL564" s="2">
        <v>0.0</v>
      </c>
      <c r="CM564" s="2">
        <v>50.0</v>
      </c>
      <c r="CN564" s="2">
        <v>1.0</v>
      </c>
      <c r="CO564" s="2">
        <v>0.0</v>
      </c>
      <c r="CP564" s="2">
        <v>2.0</v>
      </c>
      <c r="CQ564" s="2">
        <v>1.0</v>
      </c>
      <c r="CR564" s="2">
        <v>0.0</v>
      </c>
      <c r="CS564" s="2">
        <v>1.0</v>
      </c>
      <c r="CT564" s="2">
        <v>0.0</v>
      </c>
      <c r="CU564" s="2">
        <v>0.0</v>
      </c>
      <c r="CV564" s="2">
        <v>0.0</v>
      </c>
      <c r="CW564" s="2">
        <v>0.0</v>
      </c>
      <c r="CX564" s="2">
        <v>0.0</v>
      </c>
      <c r="CY564" s="2">
        <v>0.0</v>
      </c>
      <c r="CZ564" s="2">
        <v>0.0</v>
      </c>
      <c r="DA564" s="2" t="s">
        <v>2306</v>
      </c>
      <c r="DD564" s="2">
        <v>134.0</v>
      </c>
      <c r="DE564" s="2">
        <v>0.0</v>
      </c>
      <c r="DF564" s="2">
        <v>0.0</v>
      </c>
      <c r="DG564" s="2">
        <v>3.0</v>
      </c>
      <c r="DH564" s="2">
        <v>3.0</v>
      </c>
      <c r="DI564" s="2">
        <v>0.0</v>
      </c>
      <c r="DJ564" s="2">
        <v>0.0</v>
      </c>
      <c r="DK564" s="2">
        <v>1.0</v>
      </c>
      <c r="DL564" s="2">
        <v>1.0</v>
      </c>
      <c r="DM564" s="2">
        <v>1.0</v>
      </c>
      <c r="DN564" s="2">
        <v>0.0</v>
      </c>
      <c r="DO564" s="2">
        <v>0.0</v>
      </c>
      <c r="DP564" s="2">
        <v>23.0</v>
      </c>
      <c r="DQ564" s="2">
        <v>4.0</v>
      </c>
      <c r="DR564" s="2">
        <v>0.0</v>
      </c>
      <c r="DS564" s="2">
        <v>65.0</v>
      </c>
      <c r="DT564" s="2">
        <v>188.0</v>
      </c>
      <c r="DU564" s="2">
        <v>2.0</v>
      </c>
      <c r="DV564" s="2">
        <v>1.0</v>
      </c>
      <c r="DW564" s="2">
        <v>0.0</v>
      </c>
      <c r="DX564" s="2">
        <v>1.0</v>
      </c>
      <c r="DY564" s="2">
        <v>2.0</v>
      </c>
      <c r="DZ564" s="2">
        <v>0.0</v>
      </c>
      <c r="EA564" s="2">
        <v>0.0</v>
      </c>
      <c r="EB564" s="2">
        <v>0.0</v>
      </c>
      <c r="EC564" s="2">
        <v>168.0</v>
      </c>
      <c r="EE564" s="2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2">
        <v>2025.0</v>
      </c>
      <c r="B565" s="2">
        <v>20.0</v>
      </c>
      <c r="C565" s="2" t="s">
        <v>140</v>
      </c>
      <c r="D565" s="2" t="s">
        <v>2297</v>
      </c>
      <c r="E565" s="2" t="s">
        <v>1247</v>
      </c>
      <c r="F565" s="2" t="s">
        <v>145</v>
      </c>
      <c r="G565" s="2">
        <v>20.0</v>
      </c>
      <c r="H565" s="2">
        <v>47.0</v>
      </c>
      <c r="I565" s="2">
        <v>212.0</v>
      </c>
      <c r="J565" s="2">
        <v>1.0</v>
      </c>
      <c r="K565" s="2">
        <v>4.0</v>
      </c>
      <c r="L565" s="2">
        <v>3.0</v>
      </c>
      <c r="M565" s="2">
        <v>-19.0</v>
      </c>
      <c r="N565" s="2">
        <v>0.0</v>
      </c>
      <c r="O565" s="2">
        <v>0.0</v>
      </c>
      <c r="P565" s="2">
        <v>417.0</v>
      </c>
      <c r="Q565" s="2">
        <v>84.0</v>
      </c>
      <c r="R565" s="2">
        <v>9.0</v>
      </c>
      <c r="S565" s="2">
        <v>-23.5091897048967</v>
      </c>
      <c r="T565" s="2">
        <v>-20.1505070924759</v>
      </c>
      <c r="U565" s="2">
        <v>0.0</v>
      </c>
      <c r="V565" s="2">
        <v>8.0</v>
      </c>
      <c r="W565" s="2">
        <v>3.0</v>
      </c>
      <c r="X565" s="2">
        <v>2.0</v>
      </c>
      <c r="Y565" s="2">
        <v>1.0</v>
      </c>
      <c r="Z565" s="2">
        <v>22.0</v>
      </c>
      <c r="AA565" s="2">
        <v>48.0</v>
      </c>
      <c r="AB565" s="2">
        <v>0.0</v>
      </c>
      <c r="AC565" s="2">
        <v>1.0</v>
      </c>
      <c r="AD565" s="2">
        <v>1.0</v>
      </c>
      <c r="AE565" s="2">
        <v>4.0</v>
      </c>
      <c r="AF565" s="2">
        <v>-5.77547533338657</v>
      </c>
      <c r="AG565" s="2">
        <v>0.0</v>
      </c>
      <c r="AH565" s="2">
        <v>1.0</v>
      </c>
      <c r="AI565" s="2">
        <v>0.0</v>
      </c>
      <c r="AJ565" s="2">
        <v>0.0</v>
      </c>
      <c r="AK565" s="2">
        <v>0.0</v>
      </c>
      <c r="AL565" s="2">
        <v>20.0</v>
      </c>
      <c r="AM565" s="2">
        <v>45.0</v>
      </c>
      <c r="AN565" s="2">
        <v>212.0</v>
      </c>
      <c r="AO565" s="2">
        <v>1.0</v>
      </c>
      <c r="AP565" s="2">
        <v>0.0</v>
      </c>
      <c r="AQ565" s="2">
        <v>0.0</v>
      </c>
      <c r="AR565" s="2">
        <v>417.0</v>
      </c>
      <c r="AS565" s="2">
        <v>84.0</v>
      </c>
      <c r="AT565" s="2">
        <v>9.0</v>
      </c>
      <c r="AU565" s="2">
        <v>-17.4126287599772</v>
      </c>
      <c r="AV565" s="2">
        <v>0.0</v>
      </c>
      <c r="AW565" s="2">
        <v>8.0</v>
      </c>
      <c r="AX565" s="2">
        <v>3.0</v>
      </c>
      <c r="AY565" s="2">
        <v>2.0</v>
      </c>
      <c r="AZ565" s="2">
        <v>1.0</v>
      </c>
      <c r="BA565" s="2">
        <v>0.0</v>
      </c>
      <c r="BB565" s="2">
        <v>40.0</v>
      </c>
      <c r="BC565" s="2">
        <v>1.0</v>
      </c>
      <c r="BD565" s="2">
        <v>35.0</v>
      </c>
      <c r="BE565" s="2">
        <v>9.0</v>
      </c>
      <c r="BF565" s="2">
        <v>48.0</v>
      </c>
      <c r="BG565" s="2">
        <v>4.0</v>
      </c>
      <c r="BH565" s="2">
        <v>5.0</v>
      </c>
      <c r="BI565" s="2">
        <v>36.0</v>
      </c>
      <c r="BJ565" s="2">
        <v>2.0</v>
      </c>
      <c r="BK565" s="2">
        <v>1.0</v>
      </c>
      <c r="BL565" s="2">
        <v>0.0</v>
      </c>
      <c r="BM565" s="2">
        <v>6.0</v>
      </c>
      <c r="BN565" s="2">
        <v>0.0</v>
      </c>
      <c r="BO565" s="2">
        <v>0.0</v>
      </c>
      <c r="BP565" s="2">
        <v>0.0</v>
      </c>
      <c r="BQ565" s="2">
        <v>0.0</v>
      </c>
      <c r="BR565" s="2">
        <v>0.0</v>
      </c>
      <c r="BS565" s="2">
        <v>0.0</v>
      </c>
      <c r="BT565" s="2">
        <v>2.0</v>
      </c>
      <c r="BU565" s="2">
        <v>2.0</v>
      </c>
      <c r="BV565" s="2">
        <v>0.0</v>
      </c>
      <c r="BW565" s="2">
        <v>4.0</v>
      </c>
      <c r="BX565" s="2">
        <v>32.0</v>
      </c>
      <c r="BY565" s="2">
        <v>3.0</v>
      </c>
      <c r="BZ565" s="2">
        <v>1.0</v>
      </c>
      <c r="CA565" s="2">
        <v>0.0</v>
      </c>
      <c r="CB565" s="2">
        <v>0.0</v>
      </c>
      <c r="CC565" s="2">
        <v>1.0</v>
      </c>
      <c r="CD565" s="2">
        <v>1.0</v>
      </c>
      <c r="CE565" s="2">
        <v>3.0</v>
      </c>
      <c r="CF565" s="2">
        <v>29.0</v>
      </c>
      <c r="CG565" s="2">
        <v>4.0</v>
      </c>
      <c r="CH565" s="2">
        <v>88.0</v>
      </c>
      <c r="CI565" s="2">
        <v>3.0</v>
      </c>
      <c r="CJ565" s="2">
        <v>3.0</v>
      </c>
      <c r="CK565" s="2">
        <v>0.0</v>
      </c>
      <c r="CL565" s="2">
        <v>0.0</v>
      </c>
      <c r="CM565" s="2">
        <v>51.0</v>
      </c>
      <c r="CN565" s="2">
        <v>1.0</v>
      </c>
      <c r="CO565" s="2">
        <v>0.0</v>
      </c>
      <c r="CP565" s="2">
        <v>2.0</v>
      </c>
      <c r="CQ565" s="2">
        <v>0.0</v>
      </c>
      <c r="CR565" s="2">
        <v>0.0</v>
      </c>
      <c r="CS565" s="2">
        <v>1.0</v>
      </c>
      <c r="CT565" s="2">
        <v>0.0</v>
      </c>
      <c r="CU565" s="2">
        <v>0.0</v>
      </c>
      <c r="CV565" s="2">
        <v>0.0</v>
      </c>
      <c r="CW565" s="2">
        <v>0.0</v>
      </c>
      <c r="CX565" s="2">
        <v>0.0</v>
      </c>
      <c r="CY565" s="2">
        <v>0.0</v>
      </c>
      <c r="CZ565" s="2">
        <v>0.0</v>
      </c>
      <c r="DA565" s="2" t="s">
        <v>2307</v>
      </c>
      <c r="DD565" s="2">
        <v>101.0</v>
      </c>
      <c r="DE565" s="2">
        <v>0.0</v>
      </c>
      <c r="DF565" s="2">
        <v>0.0</v>
      </c>
      <c r="DG565" s="2">
        <v>1.0</v>
      </c>
      <c r="DH565" s="2">
        <v>1.0</v>
      </c>
      <c r="DI565" s="2">
        <v>0.0</v>
      </c>
      <c r="DJ565" s="2">
        <v>0.0</v>
      </c>
      <c r="DK565" s="2">
        <v>1.0</v>
      </c>
      <c r="DL565" s="2">
        <v>0.0</v>
      </c>
      <c r="DM565" s="2">
        <v>0.0</v>
      </c>
      <c r="DN565" s="2">
        <v>0.0</v>
      </c>
      <c r="DO565" s="2">
        <v>0.0</v>
      </c>
      <c r="DP565" s="2">
        <v>0.0</v>
      </c>
      <c r="DQ565" s="2">
        <v>5.0</v>
      </c>
      <c r="DR565" s="2">
        <v>0.0</v>
      </c>
      <c r="DS565" s="2">
        <v>72.0</v>
      </c>
      <c r="DT565" s="2">
        <v>294.0</v>
      </c>
      <c r="DU565" s="2">
        <v>1.0</v>
      </c>
      <c r="DV565" s="2">
        <v>0.0</v>
      </c>
      <c r="DW565" s="2">
        <v>1.0</v>
      </c>
      <c r="DX565" s="2">
        <v>0.0</v>
      </c>
      <c r="DY565" s="2">
        <v>0.0</v>
      </c>
      <c r="DZ565" s="2">
        <v>4.0</v>
      </c>
      <c r="EA565" s="2">
        <v>53.0</v>
      </c>
      <c r="EB565" s="2">
        <v>0.0</v>
      </c>
      <c r="EC565" s="2">
        <v>241.0</v>
      </c>
      <c r="EE565" s="2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2">
        <v>2025.0</v>
      </c>
      <c r="B566" s="2">
        <v>20.0</v>
      </c>
      <c r="C566" s="2" t="s">
        <v>142</v>
      </c>
      <c r="D566" s="2" t="s">
        <v>2297</v>
      </c>
      <c r="E566" s="2" t="s">
        <v>1243</v>
      </c>
      <c r="F566" s="2" t="s">
        <v>137</v>
      </c>
      <c r="G566" s="2">
        <v>20.0</v>
      </c>
      <c r="H566" s="2">
        <v>42.0</v>
      </c>
      <c r="I566" s="2">
        <v>258.0</v>
      </c>
      <c r="J566" s="2">
        <v>0.0</v>
      </c>
      <c r="K566" s="2">
        <v>0.0</v>
      </c>
      <c r="L566" s="2">
        <v>4.0</v>
      </c>
      <c r="M566" s="2">
        <v>-29.0</v>
      </c>
      <c r="N566" s="2">
        <v>2.0</v>
      </c>
      <c r="O566" s="2">
        <v>0.0</v>
      </c>
      <c r="P566" s="2">
        <v>420.0</v>
      </c>
      <c r="Q566" s="2">
        <v>133.0</v>
      </c>
      <c r="R566" s="2">
        <v>14.0</v>
      </c>
      <c r="S566" s="2">
        <v>1.49009179305309</v>
      </c>
      <c r="T566" s="2">
        <v>-11.0736945271492</v>
      </c>
      <c r="U566" s="2">
        <v>0.0</v>
      </c>
      <c r="V566" s="2">
        <v>12.0</v>
      </c>
      <c r="W566" s="2">
        <v>5.0</v>
      </c>
      <c r="X566" s="2">
        <v>3.0</v>
      </c>
      <c r="Y566" s="2">
        <v>0.0</v>
      </c>
      <c r="Z566" s="2">
        <v>31.0</v>
      </c>
      <c r="AA566" s="2">
        <v>111.0</v>
      </c>
      <c r="AB566" s="2">
        <v>2.0</v>
      </c>
      <c r="AC566" s="2">
        <v>0.0</v>
      </c>
      <c r="AD566" s="2">
        <v>0.0</v>
      </c>
      <c r="AE566" s="2">
        <v>6.0</v>
      </c>
      <c r="AF566" s="2">
        <v>1.41571760567604</v>
      </c>
      <c r="AG566" s="2">
        <v>0.0</v>
      </c>
      <c r="AH566" s="2">
        <v>2.0</v>
      </c>
      <c r="AI566" s="2">
        <v>0.0</v>
      </c>
      <c r="AJ566" s="2">
        <v>0.0</v>
      </c>
      <c r="AK566" s="2">
        <v>0.0</v>
      </c>
      <c r="AL566" s="2">
        <v>20.0</v>
      </c>
      <c r="AM566" s="2">
        <v>40.0</v>
      </c>
      <c r="AN566" s="2">
        <v>258.0</v>
      </c>
      <c r="AO566" s="2">
        <v>0.0</v>
      </c>
      <c r="AP566" s="2">
        <v>0.0</v>
      </c>
      <c r="AQ566" s="2">
        <v>0.0</v>
      </c>
      <c r="AR566" s="2">
        <v>420.0</v>
      </c>
      <c r="AS566" s="2">
        <v>133.0</v>
      </c>
      <c r="AT566" s="2">
        <v>14.0</v>
      </c>
      <c r="AU566" s="2">
        <v>7.07406185077068</v>
      </c>
      <c r="AV566" s="2">
        <v>0.0</v>
      </c>
      <c r="AW566" s="2">
        <v>12.0</v>
      </c>
      <c r="AX566" s="2">
        <v>5.0</v>
      </c>
      <c r="AY566" s="2">
        <v>3.0</v>
      </c>
      <c r="AZ566" s="2">
        <v>0.0</v>
      </c>
      <c r="BA566" s="2">
        <v>0.0</v>
      </c>
      <c r="BB566" s="2">
        <v>41.0</v>
      </c>
      <c r="BC566" s="2">
        <v>1.0</v>
      </c>
      <c r="BD566" s="2">
        <v>47.0</v>
      </c>
      <c r="BE566" s="2">
        <v>4.0</v>
      </c>
      <c r="BF566" s="2">
        <v>8.0</v>
      </c>
      <c r="BG566" s="2">
        <v>0.0</v>
      </c>
      <c r="BH566" s="2">
        <v>0.0</v>
      </c>
      <c r="BI566" s="2">
        <v>0.0</v>
      </c>
      <c r="BJ566" s="2">
        <v>4.0</v>
      </c>
      <c r="BK566" s="2">
        <v>3.0</v>
      </c>
      <c r="BL566" s="2">
        <v>14.0</v>
      </c>
      <c r="BM566" s="2">
        <v>9.0</v>
      </c>
      <c r="BN566" s="2">
        <v>0.0</v>
      </c>
      <c r="BO566" s="2">
        <v>0.0</v>
      </c>
      <c r="BP566" s="2">
        <v>0.0</v>
      </c>
      <c r="BQ566" s="2">
        <v>0.0</v>
      </c>
      <c r="BR566" s="2">
        <v>2.0</v>
      </c>
      <c r="BS566" s="2">
        <v>0.0</v>
      </c>
      <c r="BT566" s="2">
        <v>0.0</v>
      </c>
      <c r="BU566" s="2">
        <v>0.0</v>
      </c>
      <c r="BV566" s="2">
        <v>0.0</v>
      </c>
      <c r="BW566" s="2">
        <v>1.0</v>
      </c>
      <c r="BX566" s="2">
        <v>5.0</v>
      </c>
      <c r="BY566" s="2">
        <v>6.0</v>
      </c>
      <c r="BZ566" s="2">
        <v>2.0</v>
      </c>
      <c r="CA566" s="2">
        <v>0.0</v>
      </c>
      <c r="CB566" s="2">
        <v>0.0</v>
      </c>
      <c r="CC566" s="2">
        <v>2.0</v>
      </c>
      <c r="CD566" s="2">
        <v>0.0</v>
      </c>
      <c r="CE566" s="2">
        <v>0.0</v>
      </c>
      <c r="CF566" s="2">
        <v>0.0</v>
      </c>
      <c r="CG566" s="2">
        <v>4.0</v>
      </c>
      <c r="CH566" s="2">
        <v>88.0</v>
      </c>
      <c r="CI566" s="2">
        <v>2.0</v>
      </c>
      <c r="CJ566" s="2">
        <v>2.0</v>
      </c>
      <c r="CK566" s="2">
        <v>0.0</v>
      </c>
      <c r="CL566" s="2">
        <v>0.0</v>
      </c>
      <c r="CM566" s="2">
        <v>42.0</v>
      </c>
      <c r="CN566" s="2">
        <v>1.0</v>
      </c>
      <c r="CO566" s="2">
        <v>0.0</v>
      </c>
      <c r="CP566" s="2">
        <v>0.0</v>
      </c>
      <c r="CQ566" s="2">
        <v>1.0</v>
      </c>
      <c r="CR566" s="2">
        <v>1.0</v>
      </c>
      <c r="CS566" s="2">
        <v>0.0</v>
      </c>
      <c r="CT566" s="2">
        <v>0.0</v>
      </c>
      <c r="CU566" s="2">
        <v>0.0</v>
      </c>
      <c r="CV566" s="2">
        <v>0.0</v>
      </c>
      <c r="CW566" s="2">
        <v>0.0</v>
      </c>
      <c r="CX566" s="2">
        <v>0.0</v>
      </c>
      <c r="CY566" s="2">
        <v>0.0</v>
      </c>
      <c r="CZ566" s="2">
        <v>0.0</v>
      </c>
      <c r="DA566" s="2" t="s">
        <v>2308</v>
      </c>
      <c r="DD566" s="2">
        <v>74.0</v>
      </c>
      <c r="DE566" s="2">
        <v>0.0</v>
      </c>
      <c r="DF566" s="2">
        <v>0.0</v>
      </c>
      <c r="DG566" s="2">
        <v>2.0</v>
      </c>
      <c r="DH566" s="2">
        <v>2.0</v>
      </c>
      <c r="DI566" s="2">
        <v>0.0</v>
      </c>
      <c r="DJ566" s="2">
        <v>0.0</v>
      </c>
      <c r="DK566" s="2">
        <v>1.0</v>
      </c>
      <c r="DL566" s="2">
        <v>1.0</v>
      </c>
      <c r="DM566" s="2">
        <v>1.0</v>
      </c>
      <c r="DN566" s="2">
        <v>0.0</v>
      </c>
      <c r="DO566" s="2">
        <v>0.0</v>
      </c>
      <c r="DP566" s="2">
        <v>42.0</v>
      </c>
      <c r="DQ566" s="2">
        <v>8.0</v>
      </c>
      <c r="DR566" s="2">
        <v>0.0</v>
      </c>
      <c r="DS566" s="2">
        <v>61.0</v>
      </c>
      <c r="DT566" s="2">
        <v>380.0</v>
      </c>
      <c r="DU566" s="2">
        <v>3.0</v>
      </c>
      <c r="DV566" s="2">
        <v>1.0</v>
      </c>
      <c r="DW566" s="2">
        <v>1.0</v>
      </c>
      <c r="DX566" s="2">
        <v>1.0</v>
      </c>
      <c r="DY566" s="2">
        <v>2.0</v>
      </c>
      <c r="DZ566" s="2">
        <v>3.0</v>
      </c>
      <c r="EA566" s="2">
        <v>33.0</v>
      </c>
      <c r="EB566" s="2">
        <v>0.0</v>
      </c>
      <c r="EC566" s="2">
        <v>327.0</v>
      </c>
      <c r="EE566" s="2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2">
        <v>2025.0</v>
      </c>
      <c r="B567" s="2">
        <v>20.0</v>
      </c>
      <c r="C567" s="2" t="s">
        <v>145</v>
      </c>
      <c r="D567" s="2" t="s">
        <v>2297</v>
      </c>
      <c r="E567" s="2" t="s">
        <v>1247</v>
      </c>
      <c r="F567" s="2" t="s">
        <v>140</v>
      </c>
      <c r="G567" s="2">
        <v>16.0</v>
      </c>
      <c r="H567" s="2">
        <v>27.0</v>
      </c>
      <c r="I567" s="2">
        <v>179.0</v>
      </c>
      <c r="J567" s="2">
        <v>3.0</v>
      </c>
      <c r="K567" s="2">
        <v>1.0</v>
      </c>
      <c r="L567" s="2">
        <v>5.0</v>
      </c>
      <c r="M567" s="2">
        <v>-36.0</v>
      </c>
      <c r="N567" s="2">
        <v>3.0</v>
      </c>
      <c r="O567" s="2">
        <v>1.0</v>
      </c>
      <c r="P567" s="2">
        <v>267.0</v>
      </c>
      <c r="Q567" s="2">
        <v>106.0</v>
      </c>
      <c r="R567" s="2">
        <v>7.0</v>
      </c>
      <c r="S567" s="2">
        <v>-7.95896602456924</v>
      </c>
      <c r="T567" s="2">
        <v>-5.40897777447334</v>
      </c>
      <c r="U567" s="2">
        <v>0.0</v>
      </c>
      <c r="V567" s="2">
        <v>7.0</v>
      </c>
      <c r="W567" s="2">
        <v>4.0</v>
      </c>
      <c r="X567" s="2">
        <v>3.0</v>
      </c>
      <c r="Y567" s="2">
        <v>0.0</v>
      </c>
      <c r="Z567" s="2">
        <v>32.0</v>
      </c>
      <c r="AA567" s="2">
        <v>105.0</v>
      </c>
      <c r="AB567" s="2">
        <v>0.0</v>
      </c>
      <c r="AC567" s="2">
        <v>1.0</v>
      </c>
      <c r="AD567" s="2">
        <v>1.0</v>
      </c>
      <c r="AE567" s="2">
        <v>5.0</v>
      </c>
      <c r="AF567" s="2">
        <v>-10.7477227798081</v>
      </c>
      <c r="AG567" s="2">
        <v>0.0</v>
      </c>
      <c r="AH567" s="2">
        <v>1.0</v>
      </c>
      <c r="AI567" s="2">
        <v>1.0</v>
      </c>
      <c r="AJ567" s="2">
        <v>1.0</v>
      </c>
      <c r="AK567" s="2">
        <v>0.0</v>
      </c>
      <c r="AL567" s="2">
        <v>16.0</v>
      </c>
      <c r="AM567" s="2">
        <v>26.0</v>
      </c>
      <c r="AN567" s="2">
        <v>179.0</v>
      </c>
      <c r="AO567" s="2">
        <v>3.0</v>
      </c>
      <c r="AP567" s="2">
        <v>0.0</v>
      </c>
      <c r="AQ567" s="2">
        <v>0.0</v>
      </c>
      <c r="AR567" s="2">
        <v>267.0</v>
      </c>
      <c r="AS567" s="2">
        <v>106.0</v>
      </c>
      <c r="AT567" s="2">
        <v>7.0</v>
      </c>
      <c r="AU567" s="2">
        <v>3.32105336198583</v>
      </c>
      <c r="AV567" s="2">
        <v>0.0</v>
      </c>
      <c r="AW567" s="2">
        <v>7.0</v>
      </c>
      <c r="AX567" s="2">
        <v>4.0</v>
      </c>
      <c r="AY567" s="2">
        <v>3.0</v>
      </c>
      <c r="AZ567" s="2">
        <v>0.0</v>
      </c>
      <c r="BA567" s="2">
        <v>0.0</v>
      </c>
      <c r="BB567" s="2">
        <v>37.0</v>
      </c>
      <c r="BC567" s="2">
        <v>1.0</v>
      </c>
      <c r="BD567" s="2">
        <v>29.0</v>
      </c>
      <c r="BE567" s="2">
        <v>6.0</v>
      </c>
      <c r="BF567" s="2">
        <v>25.0</v>
      </c>
      <c r="BG567" s="2">
        <v>1.0</v>
      </c>
      <c r="BH567" s="2">
        <v>3.0</v>
      </c>
      <c r="BI567" s="2">
        <v>19.0</v>
      </c>
      <c r="BJ567" s="2">
        <v>9.0</v>
      </c>
      <c r="BK567" s="2">
        <v>4.0</v>
      </c>
      <c r="BL567" s="2">
        <v>26.0</v>
      </c>
      <c r="BM567" s="2">
        <v>14.0</v>
      </c>
      <c r="BN567" s="2">
        <v>1.0</v>
      </c>
      <c r="BO567" s="2">
        <v>0.0</v>
      </c>
      <c r="BP567" s="2">
        <v>0.0</v>
      </c>
      <c r="BQ567" s="2">
        <v>0.0</v>
      </c>
      <c r="BR567" s="2">
        <v>2.0</v>
      </c>
      <c r="BS567" s="2">
        <v>0.0</v>
      </c>
      <c r="BT567" s="2">
        <v>1.0</v>
      </c>
      <c r="BU567" s="2">
        <v>0.0</v>
      </c>
      <c r="BV567" s="2">
        <v>0.0</v>
      </c>
      <c r="BW567" s="2">
        <v>3.0</v>
      </c>
      <c r="BX567" s="2">
        <v>48.0</v>
      </c>
      <c r="BY567" s="2">
        <v>4.0</v>
      </c>
      <c r="BZ567" s="2">
        <v>4.0</v>
      </c>
      <c r="CA567" s="2">
        <v>0.0</v>
      </c>
      <c r="CB567" s="2">
        <v>0.0</v>
      </c>
      <c r="CC567" s="2">
        <v>4.0</v>
      </c>
      <c r="CD567" s="2">
        <v>2.0</v>
      </c>
      <c r="CE567" s="2">
        <v>4.0</v>
      </c>
      <c r="CF567" s="2">
        <v>53.0</v>
      </c>
      <c r="CG567" s="2">
        <v>4.0</v>
      </c>
      <c r="CH567" s="2">
        <v>89.0</v>
      </c>
      <c r="CI567" s="2">
        <v>0.0</v>
      </c>
      <c r="CJ567" s="2">
        <v>0.0</v>
      </c>
      <c r="CK567" s="2">
        <v>0.0</v>
      </c>
      <c r="CL567" s="2">
        <v>0.0</v>
      </c>
      <c r="CO567" s="2">
        <v>0.0</v>
      </c>
      <c r="CP567" s="2">
        <v>0.0</v>
      </c>
      <c r="CQ567" s="2">
        <v>0.0</v>
      </c>
      <c r="CR567" s="2">
        <v>0.0</v>
      </c>
      <c r="CS567" s="2">
        <v>0.0</v>
      </c>
      <c r="CT567" s="2">
        <v>0.0</v>
      </c>
      <c r="CU567" s="2">
        <v>0.0</v>
      </c>
      <c r="CV567" s="2">
        <v>0.0</v>
      </c>
      <c r="CW567" s="2">
        <v>0.0</v>
      </c>
      <c r="CX567" s="2">
        <v>0.0</v>
      </c>
      <c r="CY567" s="2">
        <v>0.0</v>
      </c>
      <c r="CZ567" s="2">
        <v>0.0</v>
      </c>
      <c r="DD567" s="2">
        <v>0.0</v>
      </c>
      <c r="DE567" s="2">
        <v>0.0</v>
      </c>
      <c r="DF567" s="2">
        <v>0.0</v>
      </c>
      <c r="DG567" s="2">
        <v>4.0</v>
      </c>
      <c r="DH567" s="2">
        <v>4.0</v>
      </c>
      <c r="DI567" s="2">
        <v>0.0</v>
      </c>
      <c r="DJ567" s="2">
        <v>0.0</v>
      </c>
      <c r="DK567" s="2">
        <v>1.0</v>
      </c>
      <c r="DL567" s="2">
        <v>0.0</v>
      </c>
      <c r="DM567" s="2">
        <v>0.0</v>
      </c>
      <c r="DN567" s="2">
        <v>0.0</v>
      </c>
      <c r="DO567" s="2">
        <v>0.0</v>
      </c>
      <c r="DP567" s="2">
        <v>0.0</v>
      </c>
      <c r="DQ567" s="2">
        <v>8.0</v>
      </c>
      <c r="DR567" s="2">
        <v>0.0</v>
      </c>
      <c r="DS567" s="2">
        <v>55.0</v>
      </c>
      <c r="DT567" s="2">
        <v>333.0</v>
      </c>
      <c r="DU567" s="2">
        <v>3.0</v>
      </c>
      <c r="DV567" s="2">
        <v>0.0</v>
      </c>
      <c r="DW567" s="2">
        <v>0.0</v>
      </c>
      <c r="DX567" s="2">
        <v>0.0</v>
      </c>
      <c r="DY567" s="2">
        <v>5.0</v>
      </c>
      <c r="DZ567" s="2">
        <v>3.0</v>
      </c>
      <c r="EA567" s="2">
        <v>29.0</v>
      </c>
      <c r="EB567" s="2">
        <v>0.0</v>
      </c>
      <c r="EC567" s="2">
        <v>304.0</v>
      </c>
      <c r="EE567" s="2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2">
        <v>2025.0</v>
      </c>
      <c r="B568" s="2">
        <v>20.0</v>
      </c>
      <c r="C568" s="2" t="s">
        <v>149</v>
      </c>
      <c r="D568" s="2" t="s">
        <v>2297</v>
      </c>
      <c r="E568" s="2" t="s">
        <v>1241</v>
      </c>
      <c r="F568" s="2" t="s">
        <v>246</v>
      </c>
      <c r="G568" s="2">
        <v>12.0</v>
      </c>
      <c r="H568" s="2">
        <v>17.0</v>
      </c>
      <c r="I568" s="2">
        <v>124.0</v>
      </c>
      <c r="J568" s="2">
        <v>1.0</v>
      </c>
      <c r="K568" s="2">
        <v>0.0</v>
      </c>
      <c r="L568" s="2">
        <v>2.0</v>
      </c>
      <c r="M568" s="2">
        <v>-18.0</v>
      </c>
      <c r="N568" s="2">
        <v>0.0</v>
      </c>
      <c r="O568" s="2">
        <v>0.0</v>
      </c>
      <c r="P568" s="2">
        <v>154.0</v>
      </c>
      <c r="Q568" s="2">
        <v>54.0</v>
      </c>
      <c r="R568" s="2">
        <v>7.0</v>
      </c>
      <c r="S568" s="2">
        <v>5.2646704586701</v>
      </c>
      <c r="T568" s="2">
        <v>11.5253744646907</v>
      </c>
      <c r="U568" s="2">
        <v>0.0</v>
      </c>
      <c r="V568" s="2">
        <v>6.0</v>
      </c>
      <c r="W568" s="2">
        <v>2.0</v>
      </c>
      <c r="X568" s="2">
        <v>1.0</v>
      </c>
      <c r="Y568" s="2">
        <v>0.0</v>
      </c>
      <c r="Z568" s="2">
        <v>33.0</v>
      </c>
      <c r="AA568" s="2">
        <v>175.0</v>
      </c>
      <c r="AB568" s="2">
        <v>3.0</v>
      </c>
      <c r="AC568" s="2">
        <v>0.0</v>
      </c>
      <c r="AD568" s="2">
        <v>0.0</v>
      </c>
      <c r="AE568" s="2">
        <v>10.0</v>
      </c>
      <c r="AF568" s="2">
        <v>5.76833651088402</v>
      </c>
      <c r="AG568" s="2">
        <v>0.0</v>
      </c>
      <c r="AH568" s="2">
        <v>5.0</v>
      </c>
      <c r="AI568" s="2">
        <v>5.0</v>
      </c>
      <c r="AJ568" s="2">
        <v>1.0</v>
      </c>
      <c r="AK568" s="2">
        <v>0.0</v>
      </c>
      <c r="AL568" s="2">
        <v>12.0</v>
      </c>
      <c r="AM568" s="2">
        <v>16.0</v>
      </c>
      <c r="AN568" s="2">
        <v>124.0</v>
      </c>
      <c r="AO568" s="2">
        <v>1.0</v>
      </c>
      <c r="AP568" s="2">
        <v>0.0</v>
      </c>
      <c r="AQ568" s="2">
        <v>0.0</v>
      </c>
      <c r="AR568" s="2">
        <v>154.0</v>
      </c>
      <c r="AS568" s="2">
        <v>54.0</v>
      </c>
      <c r="AT568" s="2">
        <v>7.0</v>
      </c>
      <c r="AU568" s="2">
        <v>8.72463817101796</v>
      </c>
      <c r="AV568" s="2">
        <v>0.0</v>
      </c>
      <c r="AW568" s="2">
        <v>6.0</v>
      </c>
      <c r="AX568" s="2">
        <v>2.0</v>
      </c>
      <c r="AY568" s="2">
        <v>1.0</v>
      </c>
      <c r="AZ568" s="2">
        <v>0.0</v>
      </c>
      <c r="BA568" s="2">
        <v>1.0</v>
      </c>
      <c r="BB568" s="2">
        <v>38.0</v>
      </c>
      <c r="BC568" s="2">
        <v>0.0</v>
      </c>
      <c r="BD568" s="2">
        <v>28.0</v>
      </c>
      <c r="BE568" s="2">
        <v>4.0</v>
      </c>
      <c r="BF568" s="2">
        <v>21.0</v>
      </c>
      <c r="BG568" s="2">
        <v>3.0</v>
      </c>
      <c r="BH568" s="2">
        <v>2.0</v>
      </c>
      <c r="BI568" s="2">
        <v>16.0</v>
      </c>
      <c r="BJ568" s="2">
        <v>5.0</v>
      </c>
      <c r="BK568" s="2">
        <v>1.0</v>
      </c>
      <c r="BL568" s="2">
        <v>0.0</v>
      </c>
      <c r="BM568" s="2">
        <v>7.0</v>
      </c>
      <c r="BN568" s="2">
        <v>0.0</v>
      </c>
      <c r="BO568" s="2">
        <v>0.0</v>
      </c>
      <c r="BP568" s="2">
        <v>0.0</v>
      </c>
      <c r="BQ568" s="2">
        <v>0.0</v>
      </c>
      <c r="BR568" s="2">
        <v>0.0</v>
      </c>
      <c r="BS568" s="2">
        <v>0.0</v>
      </c>
      <c r="BT568" s="2">
        <v>2.0</v>
      </c>
      <c r="BU568" s="2">
        <v>1.0</v>
      </c>
      <c r="BV568" s="2">
        <v>0.0</v>
      </c>
      <c r="BW568" s="2">
        <v>2.0</v>
      </c>
      <c r="BX568" s="2">
        <v>5.0</v>
      </c>
      <c r="BY568" s="2">
        <v>5.0</v>
      </c>
      <c r="BZ568" s="2">
        <v>0.0</v>
      </c>
      <c r="CA568" s="2">
        <v>0.0</v>
      </c>
      <c r="CB568" s="2">
        <v>0.0</v>
      </c>
      <c r="CC568" s="2">
        <v>0.0</v>
      </c>
      <c r="CD568" s="2">
        <v>0.0</v>
      </c>
      <c r="CE568" s="2">
        <v>0.0</v>
      </c>
      <c r="CF568" s="2">
        <v>0.0</v>
      </c>
      <c r="CG568" s="2">
        <v>2.0</v>
      </c>
      <c r="CH568" s="2">
        <v>126.0</v>
      </c>
      <c r="CI568" s="2">
        <v>2.0</v>
      </c>
      <c r="CJ568" s="2">
        <v>2.0</v>
      </c>
      <c r="CK568" s="2">
        <v>0.0</v>
      </c>
      <c r="CL568" s="2">
        <v>0.0</v>
      </c>
      <c r="CM568" s="2">
        <v>31.0</v>
      </c>
      <c r="CN568" s="2">
        <v>1.0</v>
      </c>
      <c r="CO568" s="2">
        <v>0.0</v>
      </c>
      <c r="CP568" s="2">
        <v>1.0</v>
      </c>
      <c r="CQ568" s="2">
        <v>1.0</v>
      </c>
      <c r="CR568" s="2">
        <v>0.0</v>
      </c>
      <c r="CS568" s="2">
        <v>0.0</v>
      </c>
      <c r="CT568" s="2">
        <v>0.0</v>
      </c>
      <c r="CU568" s="2">
        <v>0.0</v>
      </c>
      <c r="CV568" s="2">
        <v>0.0</v>
      </c>
      <c r="CW568" s="2">
        <v>0.0</v>
      </c>
      <c r="CX568" s="2">
        <v>0.0</v>
      </c>
      <c r="CY568" s="2">
        <v>0.0</v>
      </c>
      <c r="CZ568" s="2">
        <v>0.0</v>
      </c>
      <c r="DA568" s="2" t="s">
        <v>2309</v>
      </c>
      <c r="DD568" s="2">
        <v>55.0</v>
      </c>
      <c r="DE568" s="2">
        <v>0.0</v>
      </c>
      <c r="DF568" s="2">
        <v>0.0</v>
      </c>
      <c r="DG568" s="2">
        <v>5.0</v>
      </c>
      <c r="DH568" s="2">
        <v>5.0</v>
      </c>
      <c r="DI568" s="2">
        <v>0.0</v>
      </c>
      <c r="DJ568" s="2">
        <v>0.0</v>
      </c>
      <c r="DK568" s="2">
        <v>1.0</v>
      </c>
      <c r="DL568" s="2">
        <v>0.0</v>
      </c>
      <c r="DM568" s="2">
        <v>0.0</v>
      </c>
      <c r="DN568" s="2">
        <v>0.0</v>
      </c>
      <c r="DO568" s="2">
        <v>0.0</v>
      </c>
      <c r="DP568" s="2">
        <v>0.0</v>
      </c>
      <c r="DQ568" s="2">
        <v>3.0</v>
      </c>
      <c r="DR568" s="2">
        <v>0.0</v>
      </c>
      <c r="DS568" s="2">
        <v>54.0</v>
      </c>
      <c r="DT568" s="2">
        <v>149.0</v>
      </c>
      <c r="DU568" s="2">
        <v>2.0</v>
      </c>
      <c r="DV568" s="2">
        <v>0.0</v>
      </c>
      <c r="DW568" s="2">
        <v>1.0</v>
      </c>
      <c r="DX568" s="2">
        <v>0.0</v>
      </c>
      <c r="DY568" s="2">
        <v>0.0</v>
      </c>
      <c r="DZ568" s="2">
        <v>2.0</v>
      </c>
      <c r="EA568" s="2">
        <v>4.0</v>
      </c>
      <c r="EB568" s="2">
        <v>0.0</v>
      </c>
      <c r="EC568" s="2">
        <v>145.0</v>
      </c>
      <c r="EE568" s="2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2">
        <v>2025.0</v>
      </c>
      <c r="B569" s="2">
        <v>20.0</v>
      </c>
      <c r="C569" s="2" t="s">
        <v>246</v>
      </c>
      <c r="D569" s="2" t="s">
        <v>2297</v>
      </c>
      <c r="E569" s="2" t="s">
        <v>1241</v>
      </c>
      <c r="F569" s="2" t="s">
        <v>149</v>
      </c>
      <c r="G569" s="2">
        <v>17.0</v>
      </c>
      <c r="H569" s="2">
        <v>31.0</v>
      </c>
      <c r="I569" s="2">
        <v>144.0</v>
      </c>
      <c r="J569" s="2">
        <v>0.0</v>
      </c>
      <c r="K569" s="2">
        <v>1.0</v>
      </c>
      <c r="L569" s="2">
        <v>2.0</v>
      </c>
      <c r="M569" s="2">
        <v>-16.0</v>
      </c>
      <c r="N569" s="2">
        <v>1.0</v>
      </c>
      <c r="O569" s="2">
        <v>1.0</v>
      </c>
      <c r="P569" s="2">
        <v>248.0</v>
      </c>
      <c r="Q569" s="2">
        <v>89.0</v>
      </c>
      <c r="R569" s="2">
        <v>10.0</v>
      </c>
      <c r="S569" s="2">
        <v>-14.1598303811791</v>
      </c>
      <c r="T569" s="2">
        <v>-5.21716111236148</v>
      </c>
      <c r="U569" s="2">
        <v>0.0</v>
      </c>
      <c r="V569" s="2">
        <v>7.0</v>
      </c>
      <c r="W569" s="2">
        <v>2.0</v>
      </c>
      <c r="X569" s="2">
        <v>0.0</v>
      </c>
      <c r="Y569" s="2">
        <v>0.0</v>
      </c>
      <c r="Z569" s="2">
        <v>27.0</v>
      </c>
      <c r="AA569" s="2">
        <v>108.0</v>
      </c>
      <c r="AB569" s="2">
        <v>0.0</v>
      </c>
      <c r="AC569" s="2">
        <v>1.0</v>
      </c>
      <c r="AD569" s="2">
        <v>0.0</v>
      </c>
      <c r="AE569" s="2">
        <v>5.0</v>
      </c>
      <c r="AF569" s="2">
        <v>-7.63840003075893</v>
      </c>
      <c r="AG569" s="2">
        <v>0.0</v>
      </c>
      <c r="AH569" s="2">
        <v>1.0</v>
      </c>
      <c r="AI569" s="2">
        <v>1.0</v>
      </c>
      <c r="AJ569" s="2">
        <v>0.0</v>
      </c>
      <c r="AK569" s="2">
        <v>0.0</v>
      </c>
      <c r="AL569" s="2">
        <v>17.0</v>
      </c>
      <c r="AM569" s="2">
        <v>27.0</v>
      </c>
      <c r="AN569" s="2">
        <v>144.0</v>
      </c>
      <c r="AO569" s="2">
        <v>0.0</v>
      </c>
      <c r="AP569" s="2">
        <v>1.0</v>
      </c>
      <c r="AQ569" s="2">
        <v>1.0</v>
      </c>
      <c r="AR569" s="2">
        <v>248.0</v>
      </c>
      <c r="AS569" s="2">
        <v>89.0</v>
      </c>
      <c r="AT569" s="2">
        <v>10.0</v>
      </c>
      <c r="AU569" s="2">
        <v>-8.93187593315292</v>
      </c>
      <c r="AV569" s="2">
        <v>0.0</v>
      </c>
      <c r="AW569" s="2">
        <v>7.0</v>
      </c>
      <c r="AX569" s="2">
        <v>2.0</v>
      </c>
      <c r="AY569" s="2">
        <v>0.0</v>
      </c>
      <c r="AZ569" s="2">
        <v>0.0</v>
      </c>
      <c r="BA569" s="2">
        <v>0.0</v>
      </c>
      <c r="BB569" s="2">
        <v>30.0</v>
      </c>
      <c r="BC569" s="2">
        <v>3.0</v>
      </c>
      <c r="BD569" s="2">
        <v>27.0</v>
      </c>
      <c r="BE569" s="2">
        <v>6.0</v>
      </c>
      <c r="BF569" s="2">
        <v>27.0</v>
      </c>
      <c r="BG569" s="2">
        <v>0.0</v>
      </c>
      <c r="BH569" s="2">
        <v>2.0</v>
      </c>
      <c r="BI569" s="2">
        <v>18.0</v>
      </c>
      <c r="BJ569" s="2">
        <v>3.0</v>
      </c>
      <c r="BK569" s="2">
        <v>0.0</v>
      </c>
      <c r="BL569" s="2">
        <v>0.0</v>
      </c>
      <c r="BM569" s="2">
        <v>0.0</v>
      </c>
      <c r="BN569" s="2">
        <v>0.0</v>
      </c>
      <c r="BO569" s="2">
        <v>0.0</v>
      </c>
      <c r="BP569" s="2">
        <v>0.0</v>
      </c>
      <c r="BQ569" s="2">
        <v>0.0</v>
      </c>
      <c r="BR569" s="2">
        <v>0.0</v>
      </c>
      <c r="BS569" s="2">
        <v>0.0</v>
      </c>
      <c r="BT569" s="2">
        <v>0.0</v>
      </c>
      <c r="BU569" s="2">
        <v>0.0</v>
      </c>
      <c r="BV569" s="2">
        <v>0.0</v>
      </c>
      <c r="BW569" s="2">
        <v>3.0</v>
      </c>
      <c r="BX569" s="2">
        <v>36.0</v>
      </c>
      <c r="BY569" s="2">
        <v>3.0</v>
      </c>
      <c r="BZ569" s="2">
        <v>3.0</v>
      </c>
      <c r="CA569" s="2">
        <v>0.0</v>
      </c>
      <c r="CB569" s="2">
        <v>1.0</v>
      </c>
      <c r="CC569" s="2">
        <v>3.0</v>
      </c>
      <c r="CD569" s="2">
        <v>2.0</v>
      </c>
      <c r="CE569" s="2">
        <v>2.0</v>
      </c>
      <c r="CF569" s="2">
        <v>4.0</v>
      </c>
      <c r="CG569" s="2">
        <v>5.0</v>
      </c>
      <c r="CH569" s="2">
        <v>114.0</v>
      </c>
      <c r="CI569" s="2">
        <v>2.0</v>
      </c>
      <c r="CJ569" s="2">
        <v>2.0</v>
      </c>
      <c r="CK569" s="2">
        <v>0.0</v>
      </c>
      <c r="CL569" s="2">
        <v>0.0</v>
      </c>
      <c r="CM569" s="2">
        <v>56.0</v>
      </c>
      <c r="CN569" s="2">
        <v>1.0</v>
      </c>
      <c r="CO569" s="2">
        <v>0.0</v>
      </c>
      <c r="CP569" s="2">
        <v>0.0</v>
      </c>
      <c r="CQ569" s="2">
        <v>0.0</v>
      </c>
      <c r="CR569" s="2">
        <v>1.0</v>
      </c>
      <c r="CS569" s="2">
        <v>1.0</v>
      </c>
      <c r="CT569" s="2">
        <v>0.0</v>
      </c>
      <c r="CU569" s="2">
        <v>0.0</v>
      </c>
      <c r="CV569" s="2">
        <v>0.0</v>
      </c>
      <c r="CW569" s="2">
        <v>0.0</v>
      </c>
      <c r="CX569" s="2">
        <v>0.0</v>
      </c>
      <c r="CY569" s="2">
        <v>0.0</v>
      </c>
      <c r="CZ569" s="2">
        <v>0.0</v>
      </c>
      <c r="DA569" s="2" t="s">
        <v>2310</v>
      </c>
      <c r="DD569" s="2">
        <v>96.0</v>
      </c>
      <c r="DE569" s="2">
        <v>0.0</v>
      </c>
      <c r="DF569" s="2">
        <v>0.0</v>
      </c>
      <c r="DG569" s="2">
        <v>0.0</v>
      </c>
      <c r="DH569" s="2">
        <v>0.0</v>
      </c>
      <c r="DI569" s="2">
        <v>0.0</v>
      </c>
      <c r="DJ569" s="2">
        <v>0.0</v>
      </c>
      <c r="DL569" s="2">
        <v>0.0</v>
      </c>
      <c r="DM569" s="2">
        <v>0.0</v>
      </c>
      <c r="DN569" s="2">
        <v>0.0</v>
      </c>
      <c r="DO569" s="2">
        <v>0.0</v>
      </c>
      <c r="DP569" s="2">
        <v>0.0</v>
      </c>
      <c r="DQ569" s="2">
        <v>1.0</v>
      </c>
      <c r="DR569" s="2">
        <v>0.0</v>
      </c>
      <c r="DS569" s="2">
        <v>51.0</v>
      </c>
      <c r="DT569" s="2">
        <v>51.0</v>
      </c>
      <c r="DU569" s="2">
        <v>1.0</v>
      </c>
      <c r="DV569" s="2">
        <v>0.0</v>
      </c>
      <c r="DW569" s="2">
        <v>0.0</v>
      </c>
      <c r="DX569" s="2">
        <v>0.0</v>
      </c>
      <c r="DY569" s="2">
        <v>1.0</v>
      </c>
      <c r="DZ569" s="2">
        <v>0.0</v>
      </c>
      <c r="EA569" s="2">
        <v>0.0</v>
      </c>
      <c r="EB569" s="2">
        <v>0.0</v>
      </c>
      <c r="EC569" s="2">
        <v>51.0</v>
      </c>
      <c r="EE569" s="2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2">
        <v>2025.0</v>
      </c>
      <c r="B570" s="2">
        <v>21.0</v>
      </c>
      <c r="C570" s="2" t="s">
        <v>139</v>
      </c>
      <c r="D570" s="2" t="s">
        <v>2297</v>
      </c>
      <c r="E570" s="2" t="s">
        <v>1249</v>
      </c>
      <c r="F570" s="2" t="s">
        <v>145</v>
      </c>
      <c r="G570" s="2">
        <v>17.0</v>
      </c>
      <c r="H570" s="2">
        <v>31.0</v>
      </c>
      <c r="I570" s="2">
        <v>133.0</v>
      </c>
      <c r="J570" s="2">
        <v>1.0</v>
      </c>
      <c r="K570" s="2">
        <v>1.0</v>
      </c>
      <c r="L570" s="2">
        <v>3.0</v>
      </c>
      <c r="M570" s="2">
        <v>-31.0</v>
      </c>
      <c r="N570" s="2">
        <v>1.0</v>
      </c>
      <c r="O570" s="2">
        <v>1.0</v>
      </c>
      <c r="P570" s="2">
        <v>182.0</v>
      </c>
      <c r="Q570" s="2">
        <v>72.0</v>
      </c>
      <c r="R570" s="2">
        <v>8.0</v>
      </c>
      <c r="S570" s="2">
        <v>-15.5339691230452</v>
      </c>
      <c r="T570" s="2">
        <v>-5.82333251282021</v>
      </c>
      <c r="U570" s="2">
        <v>0.0</v>
      </c>
      <c r="V570" s="2">
        <v>4.0</v>
      </c>
      <c r="W570" s="2">
        <v>1.0</v>
      </c>
      <c r="X570" s="2">
        <v>1.0</v>
      </c>
      <c r="Y570" s="2">
        <v>1.0</v>
      </c>
      <c r="Z570" s="2">
        <v>24.0</v>
      </c>
      <c r="AA570" s="2">
        <v>79.0</v>
      </c>
      <c r="AB570" s="2">
        <v>0.0</v>
      </c>
      <c r="AC570" s="2">
        <v>0.0</v>
      </c>
      <c r="AD570" s="2">
        <v>0.0</v>
      </c>
      <c r="AE570" s="2">
        <v>3.0</v>
      </c>
      <c r="AF570" s="2">
        <v>-2.60688656625797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17.0</v>
      </c>
      <c r="AM570" s="2">
        <v>27.0</v>
      </c>
      <c r="AN570" s="2">
        <v>133.0</v>
      </c>
      <c r="AO570" s="2">
        <v>1.0</v>
      </c>
      <c r="AP570" s="2">
        <v>0.0</v>
      </c>
      <c r="AQ570" s="2">
        <v>0.0</v>
      </c>
      <c r="AR570" s="2">
        <v>182.0</v>
      </c>
      <c r="AS570" s="2">
        <v>72.0</v>
      </c>
      <c r="AT570" s="2">
        <v>8.0</v>
      </c>
      <c r="AU570" s="2">
        <v>-6.02757245098474</v>
      </c>
      <c r="AV570" s="2">
        <v>0.0</v>
      </c>
      <c r="AW570" s="2">
        <v>4.0</v>
      </c>
      <c r="AX570" s="2">
        <v>1.0</v>
      </c>
      <c r="AY570" s="2">
        <v>1.0</v>
      </c>
      <c r="AZ570" s="2">
        <v>1.0</v>
      </c>
      <c r="BA570" s="2">
        <v>0.0</v>
      </c>
      <c r="BB570" s="2">
        <v>29.0</v>
      </c>
      <c r="BC570" s="2">
        <v>3.0</v>
      </c>
      <c r="BD570" s="2">
        <v>45.0</v>
      </c>
      <c r="BE570" s="2">
        <v>8.0</v>
      </c>
      <c r="BF570" s="2">
        <v>25.0</v>
      </c>
      <c r="BG570" s="2">
        <v>0.0</v>
      </c>
      <c r="BH570" s="2">
        <v>5.0</v>
      </c>
      <c r="BI570" s="2">
        <v>21.0</v>
      </c>
      <c r="BJ570" s="2">
        <v>7.0</v>
      </c>
      <c r="BK570" s="2">
        <v>0.0</v>
      </c>
      <c r="BL570" s="2">
        <v>0.0</v>
      </c>
      <c r="BM570" s="2">
        <v>3.0</v>
      </c>
      <c r="BN570" s="2">
        <v>0.0</v>
      </c>
      <c r="BO570" s="2">
        <v>0.0</v>
      </c>
      <c r="BP570" s="2">
        <v>0.0</v>
      </c>
      <c r="BQ570" s="2">
        <v>0.0</v>
      </c>
      <c r="BR570" s="2">
        <v>0.0</v>
      </c>
      <c r="BS570" s="2">
        <v>0.0</v>
      </c>
      <c r="BT570" s="2">
        <v>0.0</v>
      </c>
      <c r="BU570" s="2">
        <v>0.0</v>
      </c>
      <c r="BV570" s="2">
        <v>0.0</v>
      </c>
      <c r="BW570" s="2">
        <v>2.0</v>
      </c>
      <c r="BX570" s="2">
        <v>5.0</v>
      </c>
      <c r="BY570" s="2">
        <v>6.0</v>
      </c>
      <c r="BZ570" s="2">
        <v>1.0</v>
      </c>
      <c r="CA570" s="2">
        <v>0.0</v>
      </c>
      <c r="CB570" s="2">
        <v>0.0</v>
      </c>
      <c r="CC570" s="2">
        <v>1.0</v>
      </c>
      <c r="CD570" s="2">
        <v>1.0</v>
      </c>
      <c r="CE570" s="2">
        <v>3.0</v>
      </c>
      <c r="CF570" s="2">
        <v>8.0</v>
      </c>
      <c r="CG570" s="2">
        <v>1.0</v>
      </c>
      <c r="CH570" s="2">
        <v>20.0</v>
      </c>
      <c r="CI570" s="2">
        <v>0.0</v>
      </c>
      <c r="CJ570" s="2">
        <v>2.0</v>
      </c>
      <c r="CK570" s="2">
        <v>1.0</v>
      </c>
      <c r="CL570" s="2">
        <v>1.0</v>
      </c>
      <c r="CN570" s="2">
        <v>0.0</v>
      </c>
      <c r="CO570" s="2">
        <v>0.0</v>
      </c>
      <c r="CP570" s="2">
        <v>0.0</v>
      </c>
      <c r="CQ570" s="2">
        <v>0.0</v>
      </c>
      <c r="CR570" s="2">
        <v>0.0</v>
      </c>
      <c r="CS570" s="2">
        <v>0.0</v>
      </c>
      <c r="CT570" s="2">
        <v>0.0</v>
      </c>
      <c r="CU570" s="2">
        <v>0.0</v>
      </c>
      <c r="CV570" s="2">
        <v>0.0</v>
      </c>
      <c r="CW570" s="2">
        <v>0.0</v>
      </c>
      <c r="CX570" s="2">
        <v>0.0</v>
      </c>
      <c r="CY570" s="2">
        <v>1.0</v>
      </c>
      <c r="CZ570" s="2">
        <v>0.0</v>
      </c>
      <c r="DB570" s="2" t="s">
        <v>2018</v>
      </c>
      <c r="DC570" s="2" t="s">
        <v>1969</v>
      </c>
      <c r="DD570" s="2">
        <v>0.0</v>
      </c>
      <c r="DE570" s="2">
        <v>54.0</v>
      </c>
      <c r="DF570" s="2">
        <v>45.0</v>
      </c>
      <c r="DG570" s="2">
        <v>1.0</v>
      </c>
      <c r="DH570" s="2">
        <v>1.0</v>
      </c>
      <c r="DI570" s="2">
        <v>0.0</v>
      </c>
      <c r="DJ570" s="2">
        <v>0.0</v>
      </c>
      <c r="DK570" s="2">
        <v>1.0</v>
      </c>
      <c r="DL570" s="2">
        <v>0.0</v>
      </c>
      <c r="DM570" s="2">
        <v>0.0</v>
      </c>
      <c r="DN570" s="2">
        <v>0.0</v>
      </c>
      <c r="DO570" s="2">
        <v>0.0</v>
      </c>
      <c r="DP570" s="2">
        <v>0.0</v>
      </c>
      <c r="DQ570" s="2">
        <v>6.0</v>
      </c>
      <c r="DR570" s="2">
        <v>0.0</v>
      </c>
      <c r="DS570" s="2">
        <v>60.0</v>
      </c>
      <c r="DT570" s="2">
        <v>309.0</v>
      </c>
      <c r="DU570" s="2">
        <v>3.0</v>
      </c>
      <c r="DV570" s="2">
        <v>2.0</v>
      </c>
      <c r="DW570" s="2">
        <v>0.0</v>
      </c>
      <c r="DX570" s="2">
        <v>2.0</v>
      </c>
      <c r="DY570" s="2">
        <v>1.0</v>
      </c>
      <c r="DZ570" s="2">
        <v>1.0</v>
      </c>
      <c r="EA570" s="2">
        <v>2.0</v>
      </c>
      <c r="EB570" s="2">
        <v>0.0</v>
      </c>
      <c r="EC570" s="2">
        <v>267.0</v>
      </c>
      <c r="EE570" s="2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2">
        <v>2025.0</v>
      </c>
      <c r="B571" s="2">
        <v>21.0</v>
      </c>
      <c r="C571" s="2" t="s">
        <v>142</v>
      </c>
      <c r="D571" s="2" t="s">
        <v>2297</v>
      </c>
      <c r="E571" s="2" t="s">
        <v>1255</v>
      </c>
      <c r="F571" s="2" t="s">
        <v>149</v>
      </c>
      <c r="G571" s="2">
        <v>22.0</v>
      </c>
      <c r="H571" s="2">
        <v>35.0</v>
      </c>
      <c r="I571" s="2">
        <v>374.0</v>
      </c>
      <c r="J571" s="2">
        <v>3.0</v>
      </c>
      <c r="K571" s="2">
        <v>0.0</v>
      </c>
      <c r="L571" s="2">
        <v>1.0</v>
      </c>
      <c r="M571" s="2">
        <v>-9.0</v>
      </c>
      <c r="N571" s="2">
        <v>1.0</v>
      </c>
      <c r="O571" s="2">
        <v>0.0</v>
      </c>
      <c r="P571" s="2">
        <v>430.0</v>
      </c>
      <c r="Q571" s="2">
        <v>124.0</v>
      </c>
      <c r="R571" s="2">
        <v>17.0</v>
      </c>
      <c r="S571" s="2">
        <v>16.1683821649396</v>
      </c>
      <c r="T571" s="2">
        <v>6.22424807618646</v>
      </c>
      <c r="U571" s="2">
        <v>0.0</v>
      </c>
      <c r="V571" s="2">
        <v>13.0</v>
      </c>
      <c r="W571" s="2">
        <v>10.0</v>
      </c>
      <c r="X571" s="2">
        <v>9.0</v>
      </c>
      <c r="Y571" s="2">
        <v>2.0</v>
      </c>
      <c r="Z571" s="2">
        <v>22.0</v>
      </c>
      <c r="AA571" s="2">
        <v>114.0</v>
      </c>
      <c r="AB571" s="2">
        <v>0.0</v>
      </c>
      <c r="AC571" s="2">
        <v>0.0</v>
      </c>
      <c r="AD571" s="2">
        <v>0.0</v>
      </c>
      <c r="AE571" s="2">
        <v>7.0</v>
      </c>
      <c r="AF571" s="2">
        <v>1.98825635731919</v>
      </c>
      <c r="AG571" s="2">
        <v>0.0</v>
      </c>
      <c r="AH571" s="2">
        <v>4.0</v>
      </c>
      <c r="AI571" s="2">
        <v>2.0</v>
      </c>
      <c r="AJ571" s="2">
        <v>0.0</v>
      </c>
      <c r="AK571" s="2">
        <v>0.0</v>
      </c>
      <c r="AL571" s="2">
        <v>22.0</v>
      </c>
      <c r="AM571" s="2">
        <v>34.0</v>
      </c>
      <c r="AN571" s="2">
        <v>374.0</v>
      </c>
      <c r="AO571" s="2">
        <v>3.0</v>
      </c>
      <c r="AP571" s="2">
        <v>1.0</v>
      </c>
      <c r="AQ571" s="2">
        <v>0.0</v>
      </c>
      <c r="AR571" s="2">
        <v>430.0</v>
      </c>
      <c r="AS571" s="2">
        <v>124.0</v>
      </c>
      <c r="AT571" s="2">
        <v>17.0</v>
      </c>
      <c r="AU571" s="2">
        <v>18.2256840336926</v>
      </c>
      <c r="AV571" s="2">
        <v>0.0</v>
      </c>
      <c r="AW571" s="2">
        <v>13.0</v>
      </c>
      <c r="AX571" s="2">
        <v>10.0</v>
      </c>
      <c r="AY571" s="2">
        <v>9.0</v>
      </c>
      <c r="AZ571" s="2">
        <v>2.0</v>
      </c>
      <c r="BA571" s="2">
        <v>0.0</v>
      </c>
      <c r="BB571" s="2">
        <v>35.0</v>
      </c>
      <c r="BC571" s="2">
        <v>3.0</v>
      </c>
      <c r="BD571" s="2">
        <v>27.0</v>
      </c>
      <c r="BE571" s="2">
        <v>8.0</v>
      </c>
      <c r="BF571" s="2">
        <v>39.0</v>
      </c>
      <c r="BG571" s="2">
        <v>1.0</v>
      </c>
      <c r="BH571" s="2">
        <v>3.0</v>
      </c>
      <c r="BI571" s="2">
        <v>25.0</v>
      </c>
      <c r="BJ571" s="2">
        <v>7.0</v>
      </c>
      <c r="BK571" s="2">
        <v>0.0</v>
      </c>
      <c r="BL571" s="2">
        <v>0.0</v>
      </c>
      <c r="BM571" s="2">
        <v>5.0</v>
      </c>
      <c r="BN571" s="2">
        <v>0.0</v>
      </c>
      <c r="BO571" s="2">
        <v>2.0</v>
      </c>
      <c r="BP571" s="2">
        <v>0.0</v>
      </c>
      <c r="BQ571" s="2">
        <v>0.0</v>
      </c>
      <c r="BR571" s="2">
        <v>2.0</v>
      </c>
      <c r="BS571" s="2">
        <v>0.0</v>
      </c>
      <c r="BT571" s="2">
        <v>0.0</v>
      </c>
      <c r="BU571" s="2">
        <v>0.0</v>
      </c>
      <c r="BV571" s="2">
        <v>0.0</v>
      </c>
      <c r="BW571" s="2">
        <v>4.0</v>
      </c>
      <c r="BX571" s="2">
        <v>30.0</v>
      </c>
      <c r="BY571" s="2">
        <v>6.0</v>
      </c>
      <c r="BZ571" s="2">
        <v>2.0</v>
      </c>
      <c r="CA571" s="2">
        <v>2.0</v>
      </c>
      <c r="CB571" s="2">
        <v>1.0</v>
      </c>
      <c r="CC571" s="2">
        <v>4.0</v>
      </c>
      <c r="CD571" s="2">
        <v>1.0</v>
      </c>
      <c r="CE571" s="2">
        <v>2.0</v>
      </c>
      <c r="CF571" s="2">
        <v>0.0</v>
      </c>
      <c r="CG571" s="2">
        <v>6.0</v>
      </c>
      <c r="CH571" s="2">
        <v>145.0</v>
      </c>
      <c r="CI571" s="2">
        <v>2.0</v>
      </c>
      <c r="CJ571" s="2">
        <v>2.0</v>
      </c>
      <c r="CK571" s="2">
        <v>0.0</v>
      </c>
      <c r="CL571" s="2">
        <v>0.0</v>
      </c>
      <c r="CM571" s="2">
        <v>50.0</v>
      </c>
      <c r="CN571" s="2">
        <v>1.0</v>
      </c>
      <c r="CO571" s="2">
        <v>0.0</v>
      </c>
      <c r="CP571" s="2">
        <v>0.0</v>
      </c>
      <c r="CQ571" s="2">
        <v>0.0</v>
      </c>
      <c r="CR571" s="2">
        <v>1.0</v>
      </c>
      <c r="CS571" s="2">
        <v>1.0</v>
      </c>
      <c r="CT571" s="2">
        <v>0.0</v>
      </c>
      <c r="CU571" s="2">
        <v>0.0</v>
      </c>
      <c r="CV571" s="2">
        <v>0.0</v>
      </c>
      <c r="CW571" s="2">
        <v>0.0</v>
      </c>
      <c r="CX571" s="2">
        <v>0.0</v>
      </c>
      <c r="CY571" s="2">
        <v>0.0</v>
      </c>
      <c r="CZ571" s="2">
        <v>0.0</v>
      </c>
      <c r="DA571" s="2" t="s">
        <v>2311</v>
      </c>
      <c r="DD571" s="2">
        <v>94.0</v>
      </c>
      <c r="DE571" s="2">
        <v>0.0</v>
      </c>
      <c r="DF571" s="2">
        <v>0.0</v>
      </c>
      <c r="DG571" s="2">
        <v>3.0</v>
      </c>
      <c r="DH571" s="2">
        <v>3.0</v>
      </c>
      <c r="DI571" s="2">
        <v>0.0</v>
      </c>
      <c r="DJ571" s="2">
        <v>0.0</v>
      </c>
      <c r="DK571" s="2">
        <v>1.0</v>
      </c>
      <c r="DL571" s="2">
        <v>0.0</v>
      </c>
      <c r="DM571" s="2">
        <v>0.0</v>
      </c>
      <c r="DN571" s="2">
        <v>0.0</v>
      </c>
      <c r="DO571" s="2">
        <v>0.0</v>
      </c>
      <c r="DP571" s="2">
        <v>0.0</v>
      </c>
      <c r="DQ571" s="2">
        <v>2.0</v>
      </c>
      <c r="DR571" s="2">
        <v>0.0</v>
      </c>
      <c r="DS571" s="2">
        <v>43.0</v>
      </c>
      <c r="DT571" s="2">
        <v>84.0</v>
      </c>
      <c r="DU571" s="2">
        <v>1.0</v>
      </c>
      <c r="DV571" s="2">
        <v>0.0</v>
      </c>
      <c r="DW571" s="2">
        <v>0.0</v>
      </c>
      <c r="DX571" s="2">
        <v>0.0</v>
      </c>
      <c r="DY571" s="2">
        <v>2.0</v>
      </c>
      <c r="DZ571" s="2">
        <v>0.0</v>
      </c>
      <c r="EA571" s="2">
        <v>0.0</v>
      </c>
      <c r="EB571" s="2">
        <v>0.0</v>
      </c>
      <c r="EC571" s="2">
        <v>84.0</v>
      </c>
      <c r="EE571" s="2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2">
        <v>2025.0</v>
      </c>
      <c r="B572" s="2">
        <v>21.0</v>
      </c>
      <c r="C572" s="2" t="s">
        <v>145</v>
      </c>
      <c r="D572" s="2" t="s">
        <v>2297</v>
      </c>
      <c r="E572" s="2" t="s">
        <v>1249</v>
      </c>
      <c r="F572" s="2" t="s">
        <v>139</v>
      </c>
      <c r="G572" s="2">
        <v>10.0</v>
      </c>
      <c r="H572" s="2">
        <v>21.0</v>
      </c>
      <c r="I572" s="2">
        <v>86.0</v>
      </c>
      <c r="J572" s="2">
        <v>0.0</v>
      </c>
      <c r="K572" s="2">
        <v>0.0</v>
      </c>
      <c r="L572" s="2">
        <v>5.0</v>
      </c>
      <c r="M572" s="2">
        <v>-21.0</v>
      </c>
      <c r="N572" s="2">
        <v>0.0</v>
      </c>
      <c r="O572" s="2">
        <v>0.0</v>
      </c>
      <c r="P572" s="2">
        <v>252.0</v>
      </c>
      <c r="Q572" s="2">
        <v>37.0</v>
      </c>
      <c r="R572" s="2">
        <v>2.0</v>
      </c>
      <c r="S572" s="2">
        <v>-10.9089021706878</v>
      </c>
      <c r="T572" s="2">
        <v>-12.9738875478506</v>
      </c>
      <c r="U572" s="2">
        <v>0.0</v>
      </c>
      <c r="V572" s="2">
        <v>2.0</v>
      </c>
      <c r="W572" s="2">
        <v>2.0</v>
      </c>
      <c r="X572" s="2">
        <v>2.0</v>
      </c>
      <c r="Y572" s="2">
        <v>0.0</v>
      </c>
      <c r="Z572" s="2">
        <v>38.0</v>
      </c>
      <c r="AA572" s="2">
        <v>141.0</v>
      </c>
      <c r="AB572" s="2">
        <v>1.0</v>
      </c>
      <c r="AC572" s="2">
        <v>0.0</v>
      </c>
      <c r="AD572" s="2">
        <v>0.0</v>
      </c>
      <c r="AE572" s="2">
        <v>10.0</v>
      </c>
      <c r="AF572" s="2">
        <v>1.08995425711354</v>
      </c>
      <c r="AG572" s="2">
        <v>0.0</v>
      </c>
      <c r="AH572" s="2">
        <v>5.0</v>
      </c>
      <c r="AI572" s="2">
        <v>4.0</v>
      </c>
      <c r="AJ572" s="2">
        <v>1.0</v>
      </c>
      <c r="AK572" s="2">
        <v>0.0</v>
      </c>
      <c r="AL572" s="2">
        <v>10.0</v>
      </c>
      <c r="AM572" s="2">
        <v>20.0</v>
      </c>
      <c r="AN572" s="2">
        <v>86.0</v>
      </c>
      <c r="AO572" s="2">
        <v>0.0</v>
      </c>
      <c r="AP572" s="2">
        <v>0.0</v>
      </c>
      <c r="AQ572" s="2">
        <v>0.0</v>
      </c>
      <c r="AR572" s="2">
        <v>252.0</v>
      </c>
      <c r="AS572" s="2">
        <v>37.0</v>
      </c>
      <c r="AT572" s="2">
        <v>2.0</v>
      </c>
      <c r="AU572" s="2">
        <v>-2.25367343431572</v>
      </c>
      <c r="AV572" s="2">
        <v>0.0</v>
      </c>
      <c r="AW572" s="2">
        <v>2.0</v>
      </c>
      <c r="AX572" s="2">
        <v>2.0</v>
      </c>
      <c r="AY572" s="2">
        <v>2.0</v>
      </c>
      <c r="AZ572" s="2">
        <v>0.0</v>
      </c>
      <c r="BA572" s="2">
        <v>0.0</v>
      </c>
      <c r="BB572" s="2">
        <v>35.0</v>
      </c>
      <c r="BC572" s="2">
        <v>0.0</v>
      </c>
      <c r="BD572" s="2">
        <v>24.0</v>
      </c>
      <c r="BE572" s="2">
        <v>4.0</v>
      </c>
      <c r="BF572" s="2">
        <v>34.0</v>
      </c>
      <c r="BG572" s="2">
        <v>1.0</v>
      </c>
      <c r="BH572" s="2">
        <v>3.0</v>
      </c>
      <c r="BI572" s="2">
        <v>31.0</v>
      </c>
      <c r="BJ572" s="2">
        <v>7.0</v>
      </c>
      <c r="BK572" s="2">
        <v>1.0</v>
      </c>
      <c r="BL572" s="2">
        <v>0.0</v>
      </c>
      <c r="BM572" s="2">
        <v>3.0</v>
      </c>
      <c r="BN572" s="2">
        <v>0.0</v>
      </c>
      <c r="BO572" s="2">
        <v>0.0</v>
      </c>
      <c r="BP572" s="2">
        <v>0.0</v>
      </c>
      <c r="BQ572" s="2">
        <v>0.0</v>
      </c>
      <c r="BR572" s="2">
        <v>0.0</v>
      </c>
      <c r="BS572" s="2">
        <v>0.0</v>
      </c>
      <c r="BT572" s="2">
        <v>1.0</v>
      </c>
      <c r="BU572" s="2">
        <v>0.0</v>
      </c>
      <c r="BV572" s="2">
        <v>0.0</v>
      </c>
      <c r="BW572" s="2">
        <v>1.0</v>
      </c>
      <c r="BX572" s="2">
        <v>5.0</v>
      </c>
      <c r="BY572" s="2">
        <v>4.0</v>
      </c>
      <c r="BZ572" s="2">
        <v>0.0</v>
      </c>
      <c r="CA572" s="2">
        <v>0.0</v>
      </c>
      <c r="CB572" s="2">
        <v>0.0</v>
      </c>
      <c r="CC572" s="2">
        <v>0.0</v>
      </c>
      <c r="CD572" s="2">
        <v>0.0</v>
      </c>
      <c r="CE572" s="2">
        <v>1.0</v>
      </c>
      <c r="CF572" s="2">
        <v>2.0</v>
      </c>
      <c r="CG572" s="2">
        <v>2.0</v>
      </c>
      <c r="CH572" s="2">
        <v>59.0</v>
      </c>
      <c r="CI572" s="2">
        <v>1.0</v>
      </c>
      <c r="CJ572" s="2">
        <v>3.0</v>
      </c>
      <c r="CK572" s="2">
        <v>2.0</v>
      </c>
      <c r="CL572" s="2">
        <v>0.0</v>
      </c>
      <c r="CM572" s="2">
        <v>23.0</v>
      </c>
      <c r="CN572" s="2">
        <v>0.333333333333333</v>
      </c>
      <c r="CO572" s="2">
        <v>0.0</v>
      </c>
      <c r="CP572" s="2">
        <v>1.0</v>
      </c>
      <c r="CQ572" s="2">
        <v>0.0</v>
      </c>
      <c r="CR572" s="2">
        <v>0.0</v>
      </c>
      <c r="CS572" s="2">
        <v>0.0</v>
      </c>
      <c r="CT572" s="2">
        <v>0.0</v>
      </c>
      <c r="CU572" s="2">
        <v>0.0</v>
      </c>
      <c r="CV572" s="2">
        <v>0.0</v>
      </c>
      <c r="CW572" s="2">
        <v>0.0</v>
      </c>
      <c r="CX572" s="2">
        <v>1.0</v>
      </c>
      <c r="CY572" s="2">
        <v>0.0</v>
      </c>
      <c r="CZ572" s="2">
        <v>1.0</v>
      </c>
      <c r="DA572" s="2" t="s">
        <v>2152</v>
      </c>
      <c r="DB572" s="2" t="s">
        <v>2312</v>
      </c>
      <c r="DD572" s="2">
        <v>23.0</v>
      </c>
      <c r="DE572" s="2">
        <v>109.0</v>
      </c>
      <c r="DF572" s="2">
        <v>0.0</v>
      </c>
      <c r="DG572" s="2">
        <v>1.0</v>
      </c>
      <c r="DH572" s="2">
        <v>1.0</v>
      </c>
      <c r="DI572" s="2">
        <v>0.0</v>
      </c>
      <c r="DJ572" s="2">
        <v>0.0</v>
      </c>
      <c r="DK572" s="2">
        <v>1.0</v>
      </c>
      <c r="DL572" s="2">
        <v>0.0</v>
      </c>
      <c r="DM572" s="2">
        <v>0.0</v>
      </c>
      <c r="DN572" s="2">
        <v>0.0</v>
      </c>
      <c r="DO572" s="2">
        <v>0.0</v>
      </c>
      <c r="DP572" s="2">
        <v>0.0</v>
      </c>
      <c r="DQ572" s="2">
        <v>8.0</v>
      </c>
      <c r="DR572" s="2">
        <v>0.0</v>
      </c>
      <c r="DS572" s="2">
        <v>45.0</v>
      </c>
      <c r="DT572" s="2">
        <v>303.0</v>
      </c>
      <c r="DU572" s="2">
        <v>1.0</v>
      </c>
      <c r="DV572" s="2">
        <v>3.0</v>
      </c>
      <c r="DW572" s="2">
        <v>1.0</v>
      </c>
      <c r="DX572" s="2">
        <v>0.0</v>
      </c>
      <c r="DY572" s="2">
        <v>1.0</v>
      </c>
      <c r="DZ572" s="2">
        <v>3.0</v>
      </c>
      <c r="EA572" s="2">
        <v>8.0</v>
      </c>
      <c r="EB572" s="2">
        <v>0.0</v>
      </c>
      <c r="EC572" s="2">
        <v>295.0</v>
      </c>
      <c r="EE572" s="2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2">
        <v>2025.0</v>
      </c>
      <c r="B573" s="2">
        <v>21.0</v>
      </c>
      <c r="C573" s="2" t="s">
        <v>149</v>
      </c>
      <c r="D573" s="2" t="s">
        <v>2297</v>
      </c>
      <c r="E573" s="2" t="s">
        <v>1255</v>
      </c>
      <c r="F573" s="2" t="s">
        <v>142</v>
      </c>
      <c r="G573" s="2">
        <v>25.0</v>
      </c>
      <c r="H573" s="2">
        <v>36.0</v>
      </c>
      <c r="I573" s="2">
        <v>346.0</v>
      </c>
      <c r="J573" s="2">
        <v>3.0</v>
      </c>
      <c r="K573" s="2">
        <v>0.0</v>
      </c>
      <c r="L573" s="2">
        <v>3.0</v>
      </c>
      <c r="M573" s="2">
        <v>-25.0</v>
      </c>
      <c r="N573" s="2">
        <v>0.0</v>
      </c>
      <c r="O573" s="2">
        <v>0.0</v>
      </c>
      <c r="P573" s="2">
        <v>296.0</v>
      </c>
      <c r="Q573" s="2">
        <v>146.0</v>
      </c>
      <c r="R573" s="2">
        <v>19.0</v>
      </c>
      <c r="S573" s="2">
        <v>18.021385534645</v>
      </c>
      <c r="T573" s="2">
        <v>8.66047231590047</v>
      </c>
      <c r="U573" s="2">
        <v>0.0</v>
      </c>
      <c r="V573" s="2">
        <v>17.0</v>
      </c>
      <c r="W573" s="2">
        <v>5.0</v>
      </c>
      <c r="X573" s="2">
        <v>2.0</v>
      </c>
      <c r="Y573" s="2">
        <v>2.0</v>
      </c>
      <c r="Z573" s="2">
        <v>26.0</v>
      </c>
      <c r="AA573" s="2">
        <v>75.0</v>
      </c>
      <c r="AB573" s="2">
        <v>1.0</v>
      </c>
      <c r="AC573" s="2">
        <v>1.0</v>
      </c>
      <c r="AD573" s="2">
        <v>0.0</v>
      </c>
      <c r="AE573" s="2">
        <v>4.0</v>
      </c>
      <c r="AF573" s="2">
        <v>-5.14410261530429</v>
      </c>
      <c r="AG573" s="2">
        <v>0.0</v>
      </c>
      <c r="AH573" s="2">
        <v>2.0</v>
      </c>
      <c r="AI573" s="2">
        <v>1.0</v>
      </c>
      <c r="AJ573" s="2">
        <v>0.0</v>
      </c>
      <c r="AK573" s="2">
        <v>0.0</v>
      </c>
      <c r="AL573" s="2">
        <v>25.0</v>
      </c>
      <c r="AM573" s="2">
        <v>34.0</v>
      </c>
      <c r="AN573" s="2">
        <v>346.0</v>
      </c>
      <c r="AO573" s="2">
        <v>3.0</v>
      </c>
      <c r="AP573" s="2">
        <v>1.0</v>
      </c>
      <c r="AQ573" s="2">
        <v>0.0</v>
      </c>
      <c r="AR573" s="2">
        <v>296.0</v>
      </c>
      <c r="AS573" s="2">
        <v>146.0</v>
      </c>
      <c r="AT573" s="2">
        <v>19.0</v>
      </c>
      <c r="AU573" s="2">
        <v>23.7448891259049</v>
      </c>
      <c r="AV573" s="2">
        <v>0.0</v>
      </c>
      <c r="AW573" s="2">
        <v>17.0</v>
      </c>
      <c r="AX573" s="2">
        <v>5.0</v>
      </c>
      <c r="AY573" s="2">
        <v>2.0</v>
      </c>
      <c r="AZ573" s="2">
        <v>2.0</v>
      </c>
      <c r="BA573" s="2">
        <v>0.0</v>
      </c>
      <c r="BB573" s="2">
        <v>36.0</v>
      </c>
      <c r="BC573" s="2">
        <v>0.0</v>
      </c>
      <c r="BD573" s="2">
        <v>24.0</v>
      </c>
      <c r="BE573" s="2">
        <v>1.0</v>
      </c>
      <c r="BF573" s="2">
        <v>9.0</v>
      </c>
      <c r="BG573" s="2">
        <v>2.0</v>
      </c>
      <c r="BH573" s="2">
        <v>1.0</v>
      </c>
      <c r="BI573" s="2">
        <v>9.0</v>
      </c>
      <c r="BJ573" s="2">
        <v>3.0</v>
      </c>
      <c r="BK573" s="2">
        <v>0.0</v>
      </c>
      <c r="BL573" s="2">
        <v>0.0</v>
      </c>
      <c r="BM573" s="2">
        <v>7.0</v>
      </c>
      <c r="BN573" s="2">
        <v>0.0</v>
      </c>
      <c r="BO573" s="2">
        <v>0.0</v>
      </c>
      <c r="BP573" s="2">
        <v>0.0</v>
      </c>
      <c r="BQ573" s="2">
        <v>0.0</v>
      </c>
      <c r="BR573" s="2">
        <v>1.0</v>
      </c>
      <c r="BS573" s="2">
        <v>-9.0</v>
      </c>
      <c r="BT573" s="2">
        <v>1.0</v>
      </c>
      <c r="BU573" s="2">
        <v>0.0</v>
      </c>
      <c r="BV573" s="2">
        <v>0.0</v>
      </c>
      <c r="BW573" s="2">
        <v>6.0</v>
      </c>
      <c r="BX573" s="2">
        <v>50.0</v>
      </c>
      <c r="BY573" s="2">
        <v>6.0</v>
      </c>
      <c r="BZ573" s="2">
        <v>1.0</v>
      </c>
      <c r="CA573" s="2">
        <v>1.0</v>
      </c>
      <c r="CB573" s="2">
        <v>1.0</v>
      </c>
      <c r="CC573" s="2">
        <v>2.0</v>
      </c>
      <c r="CD573" s="2">
        <v>0.0</v>
      </c>
      <c r="CE573" s="2">
        <v>0.0</v>
      </c>
      <c r="CF573" s="2">
        <v>0.0</v>
      </c>
      <c r="CG573" s="2">
        <v>1.0</v>
      </c>
      <c r="CH573" s="2">
        <v>21.0</v>
      </c>
      <c r="CI573" s="2">
        <v>1.0</v>
      </c>
      <c r="CJ573" s="2">
        <v>1.0</v>
      </c>
      <c r="CK573" s="2">
        <v>0.0</v>
      </c>
      <c r="CL573" s="2">
        <v>0.0</v>
      </c>
      <c r="CM573" s="2">
        <v>27.0</v>
      </c>
      <c r="CN573" s="2">
        <v>1.0</v>
      </c>
      <c r="CO573" s="2">
        <v>0.0</v>
      </c>
      <c r="CP573" s="2">
        <v>1.0</v>
      </c>
      <c r="CQ573" s="2">
        <v>0.0</v>
      </c>
      <c r="CR573" s="2">
        <v>0.0</v>
      </c>
      <c r="CS573" s="2">
        <v>0.0</v>
      </c>
      <c r="CT573" s="2">
        <v>0.0</v>
      </c>
      <c r="CU573" s="2">
        <v>0.0</v>
      </c>
      <c r="CV573" s="2">
        <v>0.0</v>
      </c>
      <c r="CW573" s="2">
        <v>0.0</v>
      </c>
      <c r="CX573" s="2">
        <v>0.0</v>
      </c>
      <c r="CY573" s="2">
        <v>0.0</v>
      </c>
      <c r="CZ573" s="2">
        <v>0.0</v>
      </c>
      <c r="DA573" s="2" t="s">
        <v>1992</v>
      </c>
      <c r="DD573" s="2">
        <v>27.0</v>
      </c>
      <c r="DE573" s="2">
        <v>0.0</v>
      </c>
      <c r="DF573" s="2">
        <v>0.0</v>
      </c>
      <c r="DG573" s="2">
        <v>4.0</v>
      </c>
      <c r="DH573" s="2">
        <v>4.0</v>
      </c>
      <c r="DI573" s="2">
        <v>0.0</v>
      </c>
      <c r="DJ573" s="2">
        <v>0.0</v>
      </c>
      <c r="DK573" s="2">
        <v>1.0</v>
      </c>
      <c r="DL573" s="2">
        <v>0.0</v>
      </c>
      <c r="DM573" s="2">
        <v>0.0</v>
      </c>
      <c r="DN573" s="2">
        <v>0.0</v>
      </c>
      <c r="DO573" s="2">
        <v>0.0</v>
      </c>
      <c r="DP573" s="2">
        <v>0.0</v>
      </c>
      <c r="DQ573" s="2">
        <v>5.0</v>
      </c>
      <c r="DR573" s="2">
        <v>0.0</v>
      </c>
      <c r="DS573" s="2">
        <v>56.0</v>
      </c>
      <c r="DT573" s="2">
        <v>226.0</v>
      </c>
      <c r="DU573" s="2">
        <v>5.0</v>
      </c>
      <c r="DV573" s="2">
        <v>0.0</v>
      </c>
      <c r="DW573" s="2">
        <v>0.0</v>
      </c>
      <c r="DX573" s="2">
        <v>0.0</v>
      </c>
      <c r="DY573" s="2">
        <v>3.0</v>
      </c>
      <c r="DZ573" s="2">
        <v>2.0</v>
      </c>
      <c r="EA573" s="2">
        <v>0.0</v>
      </c>
      <c r="EB573" s="2">
        <v>0.0</v>
      </c>
      <c r="EC573" s="2">
        <v>226.0</v>
      </c>
      <c r="EE573" s="2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2">
        <v>2025.0</v>
      </c>
      <c r="B574" s="2">
        <v>22.0</v>
      </c>
      <c r="C574" s="2" t="s">
        <v>145</v>
      </c>
      <c r="D574" s="2" t="s">
        <v>2297</v>
      </c>
      <c r="E574" s="2" t="s">
        <v>1257</v>
      </c>
      <c r="F574" s="2" t="s">
        <v>149</v>
      </c>
      <c r="G574" s="2">
        <v>27.0</v>
      </c>
      <c r="H574" s="2">
        <v>43.0</v>
      </c>
      <c r="I574" s="2">
        <v>295.0</v>
      </c>
      <c r="J574" s="2">
        <v>2.0</v>
      </c>
      <c r="K574" s="2">
        <v>2.0</v>
      </c>
      <c r="L574" s="2">
        <v>6.0</v>
      </c>
      <c r="M574" s="2">
        <v>-43.0</v>
      </c>
      <c r="N574" s="2">
        <v>1.0</v>
      </c>
      <c r="O574" s="2">
        <v>1.0</v>
      </c>
      <c r="P574" s="2">
        <v>460.0</v>
      </c>
      <c r="Q574" s="2">
        <v>129.0</v>
      </c>
      <c r="R574" s="2">
        <v>14.0</v>
      </c>
      <c r="S574" s="2">
        <v>-21.4790186045137</v>
      </c>
      <c r="T574" s="2">
        <v>1.96704788178932</v>
      </c>
      <c r="U574" s="2">
        <v>0.0</v>
      </c>
      <c r="V574" s="2">
        <v>10.0</v>
      </c>
      <c r="W574" s="2">
        <v>6.0</v>
      </c>
      <c r="X574" s="2">
        <v>5.0</v>
      </c>
      <c r="Y574" s="2">
        <v>0.0</v>
      </c>
      <c r="Z574" s="2">
        <v>18.0</v>
      </c>
      <c r="AA574" s="2">
        <v>79.0</v>
      </c>
      <c r="AB574" s="2">
        <v>0.0</v>
      </c>
      <c r="AC574" s="2">
        <v>0.0</v>
      </c>
      <c r="AD574" s="2">
        <v>0.0</v>
      </c>
      <c r="AE574" s="2">
        <v>2.0</v>
      </c>
      <c r="AF574" s="2">
        <v>0.753927057841793</v>
      </c>
      <c r="AG574" s="2">
        <v>0.0</v>
      </c>
      <c r="AH574" s="2">
        <v>2.0</v>
      </c>
      <c r="AI574" s="2">
        <v>1.0</v>
      </c>
      <c r="AJ574" s="2">
        <v>0.0</v>
      </c>
      <c r="AK574" s="2">
        <v>0.0</v>
      </c>
      <c r="AL574" s="2">
        <v>27.0</v>
      </c>
      <c r="AM574" s="2">
        <v>41.0</v>
      </c>
      <c r="AN574" s="2">
        <v>295.0</v>
      </c>
      <c r="AO574" s="2">
        <v>2.0</v>
      </c>
      <c r="AP574" s="2">
        <v>0.0</v>
      </c>
      <c r="AQ574" s="2">
        <v>0.0</v>
      </c>
      <c r="AR574" s="2">
        <v>460.0</v>
      </c>
      <c r="AS574" s="2">
        <v>129.0</v>
      </c>
      <c r="AT574" s="2">
        <v>14.0</v>
      </c>
      <c r="AU574" s="2">
        <v>-7.96778733901726</v>
      </c>
      <c r="AV574" s="2">
        <v>0.0</v>
      </c>
      <c r="AW574" s="2">
        <v>10.0</v>
      </c>
      <c r="AX574" s="2">
        <v>6.0</v>
      </c>
      <c r="AY574" s="2">
        <v>5.0</v>
      </c>
      <c r="AZ574" s="2">
        <v>0.0</v>
      </c>
      <c r="BA574" s="2">
        <v>0.0</v>
      </c>
      <c r="BB574" s="2">
        <v>45.0</v>
      </c>
      <c r="BC574" s="2">
        <v>1.0</v>
      </c>
      <c r="BD574" s="2">
        <v>19.0</v>
      </c>
      <c r="BE574" s="2">
        <v>7.0</v>
      </c>
      <c r="BF574" s="2">
        <v>26.0</v>
      </c>
      <c r="BG574" s="2">
        <v>0.0</v>
      </c>
      <c r="BH574" s="2">
        <v>1.0</v>
      </c>
      <c r="BI574" s="2">
        <v>8.0</v>
      </c>
      <c r="BJ574" s="2">
        <v>6.0</v>
      </c>
      <c r="BK574" s="2">
        <v>0.0</v>
      </c>
      <c r="BL574" s="2">
        <v>0.0</v>
      </c>
      <c r="BM574" s="2">
        <v>7.0</v>
      </c>
      <c r="BN574" s="2">
        <v>0.0</v>
      </c>
      <c r="BO574" s="2">
        <v>0.0</v>
      </c>
      <c r="BP574" s="2">
        <v>0.0</v>
      </c>
      <c r="BQ574" s="2">
        <v>0.0</v>
      </c>
      <c r="BR574" s="2">
        <v>0.0</v>
      </c>
      <c r="BS574" s="2">
        <v>0.0</v>
      </c>
      <c r="BT574" s="2">
        <v>0.0</v>
      </c>
      <c r="BU574" s="2">
        <v>0.0</v>
      </c>
      <c r="BV574" s="2">
        <v>0.0</v>
      </c>
      <c r="BW574" s="2">
        <v>3.0</v>
      </c>
      <c r="BX574" s="2">
        <v>25.0</v>
      </c>
      <c r="BY574" s="2">
        <v>4.0</v>
      </c>
      <c r="BZ574" s="2">
        <v>1.0</v>
      </c>
      <c r="CA574" s="2">
        <v>0.0</v>
      </c>
      <c r="CB574" s="2">
        <v>0.0</v>
      </c>
      <c r="CC574" s="2">
        <v>1.0</v>
      </c>
      <c r="CD574" s="2">
        <v>1.0</v>
      </c>
      <c r="CE574" s="2">
        <v>2.0</v>
      </c>
      <c r="CF574" s="2">
        <v>4.0</v>
      </c>
      <c r="CG574" s="2">
        <v>5.0</v>
      </c>
      <c r="CH574" s="2">
        <v>141.0</v>
      </c>
      <c r="CI574" s="2">
        <v>0.0</v>
      </c>
      <c r="CJ574" s="2">
        <v>0.0</v>
      </c>
      <c r="CK574" s="2">
        <v>0.0</v>
      </c>
      <c r="CL574" s="2">
        <v>0.0</v>
      </c>
      <c r="CO574" s="2">
        <v>0.0</v>
      </c>
      <c r="CP574" s="2">
        <v>0.0</v>
      </c>
      <c r="CQ574" s="2">
        <v>0.0</v>
      </c>
      <c r="CR574" s="2">
        <v>0.0</v>
      </c>
      <c r="CS574" s="2">
        <v>0.0</v>
      </c>
      <c r="CT574" s="2">
        <v>0.0</v>
      </c>
      <c r="CU574" s="2">
        <v>0.0</v>
      </c>
      <c r="CV574" s="2">
        <v>0.0</v>
      </c>
      <c r="CW574" s="2">
        <v>0.0</v>
      </c>
      <c r="CX574" s="2">
        <v>0.0</v>
      </c>
      <c r="CY574" s="2">
        <v>0.0</v>
      </c>
      <c r="CZ574" s="2">
        <v>0.0</v>
      </c>
      <c r="DD574" s="2">
        <v>0.0</v>
      </c>
      <c r="DE574" s="2">
        <v>0.0</v>
      </c>
      <c r="DF574" s="2">
        <v>0.0</v>
      </c>
      <c r="DG574" s="2">
        <v>1.0</v>
      </c>
      <c r="DH574" s="2">
        <v>1.0</v>
      </c>
      <c r="DI574" s="2">
        <v>0.0</v>
      </c>
      <c r="DJ574" s="2">
        <v>0.0</v>
      </c>
      <c r="DK574" s="2">
        <v>1.0</v>
      </c>
      <c r="DL574" s="2">
        <v>0.0</v>
      </c>
      <c r="DM574" s="2">
        <v>0.0</v>
      </c>
      <c r="DN574" s="2">
        <v>0.0</v>
      </c>
      <c r="DO574" s="2">
        <v>0.0</v>
      </c>
      <c r="DP574" s="2">
        <v>0.0</v>
      </c>
      <c r="DQ574" s="2">
        <v>8.0</v>
      </c>
      <c r="DR574" s="2">
        <v>0.0</v>
      </c>
      <c r="DS574" s="2">
        <v>55.0</v>
      </c>
      <c r="DT574" s="2">
        <v>356.0</v>
      </c>
      <c r="DU574" s="2">
        <v>4.0</v>
      </c>
      <c r="DV574" s="2">
        <v>0.0</v>
      </c>
      <c r="DW574" s="2">
        <v>0.0</v>
      </c>
      <c r="DX574" s="2">
        <v>0.0</v>
      </c>
      <c r="DY574" s="2">
        <v>6.0</v>
      </c>
      <c r="DZ574" s="2">
        <v>2.0</v>
      </c>
      <c r="EA574" s="2">
        <v>16.0</v>
      </c>
      <c r="EB574" s="2">
        <v>0.0</v>
      </c>
      <c r="EC574" s="2">
        <v>340.0</v>
      </c>
      <c r="EE574" s="2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2">
        <v>2025.0</v>
      </c>
      <c r="B575" s="2">
        <v>22.0</v>
      </c>
      <c r="C575" s="2" t="s">
        <v>149</v>
      </c>
      <c r="D575" s="2" t="s">
        <v>2297</v>
      </c>
      <c r="E575" s="2" t="s">
        <v>1257</v>
      </c>
      <c r="F575" s="2" t="s">
        <v>145</v>
      </c>
      <c r="G575" s="2">
        <v>19.0</v>
      </c>
      <c r="H575" s="2">
        <v>38.0</v>
      </c>
      <c r="I575" s="2">
        <v>202.0</v>
      </c>
      <c r="J575" s="2">
        <v>1.0</v>
      </c>
      <c r="K575" s="2">
        <v>0.0</v>
      </c>
      <c r="L575" s="2">
        <v>1.0</v>
      </c>
      <c r="M575" s="2">
        <v>-8.0</v>
      </c>
      <c r="N575" s="2">
        <v>0.0</v>
      </c>
      <c r="O575" s="2">
        <v>0.0</v>
      </c>
      <c r="P575" s="2">
        <v>362.0</v>
      </c>
      <c r="Q575" s="2">
        <v>87.0</v>
      </c>
      <c r="R575" s="2">
        <v>11.0</v>
      </c>
      <c r="S575" s="2">
        <v>0.420156970568252</v>
      </c>
      <c r="T575" s="2">
        <v>-8.28198426299625</v>
      </c>
      <c r="U575" s="2">
        <v>0.0</v>
      </c>
      <c r="V575" s="2">
        <v>9.0</v>
      </c>
      <c r="W575" s="2">
        <v>5.0</v>
      </c>
      <c r="X575" s="2">
        <v>2.0</v>
      </c>
      <c r="Y575" s="2">
        <v>0.0</v>
      </c>
      <c r="Z575" s="2">
        <v>32.0</v>
      </c>
      <c r="AA575" s="2">
        <v>141.0</v>
      </c>
      <c r="AB575" s="2">
        <v>0.0</v>
      </c>
      <c r="AC575" s="2">
        <v>0.0</v>
      </c>
      <c r="AD575" s="2">
        <v>0.0</v>
      </c>
      <c r="AE575" s="2">
        <v>9.0</v>
      </c>
      <c r="AF575" s="2">
        <v>-3.94291347293754</v>
      </c>
      <c r="AG575" s="2">
        <v>0.0</v>
      </c>
      <c r="AH575" s="2">
        <v>6.0</v>
      </c>
      <c r="AI575" s="2">
        <v>3.0</v>
      </c>
      <c r="AJ575" s="2">
        <v>2.0</v>
      </c>
      <c r="AK575" s="2">
        <v>0.0</v>
      </c>
      <c r="AL575" s="2">
        <v>19.0</v>
      </c>
      <c r="AM575" s="2">
        <v>36.0</v>
      </c>
      <c r="AN575" s="2">
        <v>202.0</v>
      </c>
      <c r="AO575" s="2">
        <v>1.0</v>
      </c>
      <c r="AP575" s="2">
        <v>0.0</v>
      </c>
      <c r="AQ575" s="2">
        <v>0.0</v>
      </c>
      <c r="AR575" s="2">
        <v>362.0</v>
      </c>
      <c r="AS575" s="2">
        <v>87.0</v>
      </c>
      <c r="AT575" s="2">
        <v>11.0</v>
      </c>
      <c r="AU575" s="2">
        <v>3.15947055334157</v>
      </c>
      <c r="AV575" s="2">
        <v>0.0</v>
      </c>
      <c r="AW575" s="2">
        <v>9.0</v>
      </c>
      <c r="AX575" s="2">
        <v>5.0</v>
      </c>
      <c r="AY575" s="2">
        <v>2.0</v>
      </c>
      <c r="AZ575" s="2">
        <v>0.0</v>
      </c>
      <c r="BA575" s="2">
        <v>0.0</v>
      </c>
      <c r="BB575" s="2">
        <v>47.0</v>
      </c>
      <c r="BC575" s="2">
        <v>0.0</v>
      </c>
      <c r="BD575" s="2">
        <v>16.0</v>
      </c>
      <c r="BE575" s="2">
        <v>8.0</v>
      </c>
      <c r="BF575" s="2">
        <v>48.0</v>
      </c>
      <c r="BG575" s="2">
        <v>1.0</v>
      </c>
      <c r="BH575" s="2">
        <v>6.0</v>
      </c>
      <c r="BI575" s="2">
        <v>43.0</v>
      </c>
      <c r="BJ575" s="2">
        <v>11.0</v>
      </c>
      <c r="BK575" s="2">
        <v>2.0</v>
      </c>
      <c r="BL575" s="2">
        <v>80.0</v>
      </c>
      <c r="BM575" s="2">
        <v>6.0</v>
      </c>
      <c r="BN575" s="2">
        <v>1.0</v>
      </c>
      <c r="BO575" s="2">
        <v>0.0</v>
      </c>
      <c r="BP575" s="2">
        <v>0.0</v>
      </c>
      <c r="BQ575" s="2">
        <v>0.0</v>
      </c>
      <c r="BR575" s="2">
        <v>0.0</v>
      </c>
      <c r="BS575" s="2">
        <v>0.0</v>
      </c>
      <c r="BT575" s="2">
        <v>1.0</v>
      </c>
      <c r="BU575" s="2">
        <v>0.0</v>
      </c>
      <c r="BV575" s="2">
        <v>0.0</v>
      </c>
      <c r="BW575" s="2">
        <v>4.0</v>
      </c>
      <c r="BX575" s="2">
        <v>25.0</v>
      </c>
      <c r="BY575" s="2">
        <v>6.0</v>
      </c>
      <c r="BZ575" s="2">
        <v>0.0</v>
      </c>
      <c r="CA575" s="2">
        <v>0.0</v>
      </c>
      <c r="CB575" s="2">
        <v>0.0</v>
      </c>
      <c r="CC575" s="2">
        <v>0.0</v>
      </c>
      <c r="CD575" s="2">
        <v>0.0</v>
      </c>
      <c r="CE575" s="2">
        <v>2.0</v>
      </c>
      <c r="CF575" s="2">
        <v>16.0</v>
      </c>
      <c r="CG575" s="2">
        <v>1.0</v>
      </c>
      <c r="CH575" s="2">
        <v>20.0</v>
      </c>
      <c r="CI575" s="2">
        <v>5.0</v>
      </c>
      <c r="CJ575" s="2">
        <v>5.0</v>
      </c>
      <c r="CK575" s="2">
        <v>0.0</v>
      </c>
      <c r="CL575" s="2">
        <v>0.0</v>
      </c>
      <c r="CM575" s="2">
        <v>41.0</v>
      </c>
      <c r="CN575" s="2">
        <v>1.0</v>
      </c>
      <c r="CO575" s="2">
        <v>0.0</v>
      </c>
      <c r="CP575" s="2">
        <v>1.0</v>
      </c>
      <c r="CQ575" s="2">
        <v>2.0</v>
      </c>
      <c r="CR575" s="2">
        <v>2.0</v>
      </c>
      <c r="CS575" s="2">
        <v>0.0</v>
      </c>
      <c r="CT575" s="2">
        <v>0.0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 t="s">
        <v>2313</v>
      </c>
      <c r="DD575" s="2">
        <v>180.0</v>
      </c>
      <c r="DE575" s="2">
        <v>0.0</v>
      </c>
      <c r="DF575" s="2">
        <v>0.0</v>
      </c>
      <c r="DG575" s="2">
        <v>2.0</v>
      </c>
      <c r="DH575" s="2">
        <v>2.0</v>
      </c>
      <c r="DI575" s="2">
        <v>0.0</v>
      </c>
      <c r="DJ575" s="2">
        <v>0.0</v>
      </c>
      <c r="DK575" s="2">
        <v>1.0</v>
      </c>
      <c r="DL575" s="2">
        <v>0.0</v>
      </c>
      <c r="DM575" s="2">
        <v>0.0</v>
      </c>
      <c r="DN575" s="2">
        <v>0.0</v>
      </c>
      <c r="DO575" s="2">
        <v>0.0</v>
      </c>
      <c r="DP575" s="2">
        <v>0.0</v>
      </c>
      <c r="DQ575" s="2">
        <v>7.0</v>
      </c>
      <c r="DR575" s="2">
        <v>0.0</v>
      </c>
      <c r="DS575" s="2">
        <v>55.0</v>
      </c>
      <c r="DT575" s="2">
        <v>335.0</v>
      </c>
      <c r="DU575" s="2">
        <v>3.0</v>
      </c>
      <c r="DV575" s="2">
        <v>1.0</v>
      </c>
      <c r="DW575" s="2">
        <v>3.0</v>
      </c>
      <c r="DX575" s="2">
        <v>0.0</v>
      </c>
      <c r="DY575" s="2">
        <v>1.0</v>
      </c>
      <c r="DZ575" s="2">
        <v>2.0</v>
      </c>
      <c r="EA575" s="2">
        <v>4.0</v>
      </c>
      <c r="EB575" s="2">
        <v>0.0</v>
      </c>
      <c r="EC575" s="2">
        <v>331.0</v>
      </c>
      <c r="EE575" s="2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2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2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2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2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2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2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2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2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2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2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2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2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2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2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2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2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2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2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2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2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2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2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2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2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2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2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2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2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2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2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2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2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2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2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2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2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2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2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2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2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2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2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2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2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2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2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2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2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2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2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  <col customWidth="1" min="7" max="26" width="8.71"/>
  </cols>
  <sheetData>
    <row r="1" ht="17.25" customHeight="1">
      <c r="A1" s="7" t="s">
        <v>2314</v>
      </c>
      <c r="C1" s="2"/>
      <c r="D1" s="2"/>
      <c r="F1" s="2"/>
    </row>
    <row r="2" ht="23.25" customHeight="1">
      <c r="A2" s="21" t="s">
        <v>2315</v>
      </c>
      <c r="B2" s="21" t="s">
        <v>2316</v>
      </c>
      <c r="C2" s="21" t="s">
        <v>2317</v>
      </c>
      <c r="D2" s="21" t="s">
        <v>2318</v>
      </c>
      <c r="E2" s="21" t="s">
        <v>2316</v>
      </c>
      <c r="F2" s="21" t="s">
        <v>2317</v>
      </c>
    </row>
    <row r="3" ht="15.0" customHeight="1">
      <c r="A3" s="6" t="s">
        <v>343</v>
      </c>
      <c r="B3" s="2">
        <f>MATCH($C3,'IMPORT SCHEDULE'!$A$5:$AT$5,0)</f>
        <v>2</v>
      </c>
      <c r="C3" s="20" t="s">
        <v>343</v>
      </c>
      <c r="D3" s="6" t="s">
        <v>343</v>
      </c>
      <c r="E3" s="2">
        <f>MATCH($F3,'IMPORT STATS'!$A$5:$EC$5,0)</f>
        <v>1</v>
      </c>
      <c r="F3" s="20" t="s">
        <v>343</v>
      </c>
    </row>
    <row r="4" ht="15.0" customHeight="1">
      <c r="A4" s="6" t="s">
        <v>345</v>
      </c>
      <c r="B4" s="2">
        <f>MATCH($C4,'IMPORT SCHEDULE'!$A$5:$AT$5,0)</f>
        <v>4</v>
      </c>
      <c r="C4" s="20" t="s">
        <v>345</v>
      </c>
      <c r="D4" s="6" t="s">
        <v>345</v>
      </c>
      <c r="E4" s="2">
        <f>MATCH($F4,'IMPORT STATS'!$A$5:$EC$5,0)</f>
        <v>2</v>
      </c>
      <c r="F4" s="20" t="s">
        <v>345</v>
      </c>
    </row>
    <row r="5" ht="15.0" customHeight="1">
      <c r="A5" s="6" t="s">
        <v>344</v>
      </c>
      <c r="B5" s="2">
        <f>MATCH($C5,'IMPORT SCHEDULE'!$A$5:$AT$5,0)</f>
        <v>3</v>
      </c>
      <c r="C5" s="20" t="s">
        <v>344</v>
      </c>
      <c r="D5" s="6" t="s">
        <v>1828</v>
      </c>
      <c r="E5" s="2">
        <f>MATCH($F5,'IMPORT STATS'!$A$5:$EC$5,0)</f>
        <v>3</v>
      </c>
      <c r="F5" s="20" t="s">
        <v>1828</v>
      </c>
    </row>
    <row r="6" ht="15.0" customHeight="1">
      <c r="A6" s="6" t="s">
        <v>342</v>
      </c>
      <c r="B6" s="2">
        <f>MATCH($C6,'IMPORT SCHEDULE'!$A$5:$AT$5,0)</f>
        <v>1</v>
      </c>
      <c r="C6" s="20" t="s">
        <v>342</v>
      </c>
      <c r="D6" s="6" t="s">
        <v>1829</v>
      </c>
      <c r="E6" s="2">
        <f>MATCH($F6,'IMPORT STATS'!$A$5:$EC$5,0)</f>
        <v>4</v>
      </c>
      <c r="F6" s="20" t="s">
        <v>1829</v>
      </c>
    </row>
    <row r="7" ht="15.0" customHeight="1">
      <c r="A7" s="6" t="s">
        <v>346</v>
      </c>
      <c r="B7" s="2">
        <f>MATCH($C7,'IMPORT SCHEDULE'!$A$5:$AT$5,0)</f>
        <v>5</v>
      </c>
      <c r="C7" s="20" t="s">
        <v>346</v>
      </c>
      <c r="D7" s="6" t="s">
        <v>342</v>
      </c>
      <c r="E7" s="2">
        <f>MATCH($F7,'IMPORT STATS'!$A$5:$EC$5,0)</f>
        <v>5</v>
      </c>
      <c r="F7" s="20" t="s">
        <v>342</v>
      </c>
    </row>
    <row r="8" ht="15.0" customHeight="1">
      <c r="A8" s="6" t="s">
        <v>347</v>
      </c>
      <c r="B8" s="2">
        <f>MATCH($C8,'IMPORT SCHEDULE'!$A$5:$AT$5,0)</f>
        <v>6</v>
      </c>
      <c r="C8" s="20" t="s">
        <v>347</v>
      </c>
      <c r="D8" s="6" t="s">
        <v>1830</v>
      </c>
      <c r="E8" s="2">
        <f>MATCH($F8,'IMPORT STATS'!$A$5:$EC$5,0)</f>
        <v>6</v>
      </c>
      <c r="F8" s="20" t="s">
        <v>1830</v>
      </c>
    </row>
    <row r="9" ht="15.0" customHeight="1">
      <c r="A9" s="6" t="s">
        <v>348</v>
      </c>
      <c r="B9" s="2">
        <f>MATCH($C9,'IMPORT SCHEDULE'!$A$5:$AT$5,0)</f>
        <v>7</v>
      </c>
      <c r="C9" s="20" t="s">
        <v>348</v>
      </c>
      <c r="D9" s="6" t="s">
        <v>1832</v>
      </c>
      <c r="E9" s="2">
        <f>MATCH($F9,'IMPORT STATS'!$A$5:$EC$5,0)</f>
        <v>8</v>
      </c>
      <c r="F9" s="20" t="s">
        <v>1832</v>
      </c>
    </row>
    <row r="10" ht="15.0" customHeight="1">
      <c r="A10" s="6" t="s">
        <v>349</v>
      </c>
      <c r="B10" s="2">
        <f>MATCH($C10,'IMPORT SCHEDULE'!$A$5:$AT$5,0)</f>
        <v>8</v>
      </c>
      <c r="C10" s="20" t="s">
        <v>349</v>
      </c>
      <c r="D10" s="6" t="s">
        <v>1836</v>
      </c>
      <c r="E10" s="2">
        <f>MATCH($F10,'IMPORT STATS'!$A$5:$EC$5,0)</f>
        <v>12</v>
      </c>
      <c r="F10" s="20" t="s">
        <v>1836</v>
      </c>
    </row>
    <row r="11" ht="15.0" customHeight="1">
      <c r="A11" s="6" t="s">
        <v>350</v>
      </c>
      <c r="B11" s="2">
        <f>MATCH($C11,'IMPORT SCHEDULE'!$A$5:$AT$5,0)</f>
        <v>9</v>
      </c>
      <c r="C11" s="20" t="s">
        <v>350</v>
      </c>
      <c r="D11" s="6" t="s">
        <v>1850</v>
      </c>
      <c r="E11" s="2">
        <f>MATCH($F11,'IMPORT STATS'!$A$5:$EC$5,0)</f>
        <v>26</v>
      </c>
      <c r="F11" s="20" t="s">
        <v>1850</v>
      </c>
    </row>
    <row r="12" ht="15.0" customHeight="1">
      <c r="A12" s="6" t="s">
        <v>351</v>
      </c>
      <c r="B12" s="2">
        <f>MATCH($C12,'IMPORT SCHEDULE'!$A$5:$AT$5,0)</f>
        <v>10</v>
      </c>
      <c r="C12" s="20" t="s">
        <v>351</v>
      </c>
      <c r="D12" s="6" t="s">
        <v>1843</v>
      </c>
      <c r="E12" s="2">
        <f>MATCH($F12,'IMPORT STATS'!$A$5:$EC$5,0)</f>
        <v>19</v>
      </c>
      <c r="F12" s="20" t="s">
        <v>1843</v>
      </c>
    </row>
    <row r="13" ht="15.0" customHeight="1">
      <c r="A13" s="6" t="s">
        <v>352</v>
      </c>
      <c r="B13" s="2">
        <f>MATCH($C13,'IMPORT SCHEDULE'!$A$5:$AT$5,0)</f>
        <v>11</v>
      </c>
      <c r="C13" s="20" t="s">
        <v>352</v>
      </c>
      <c r="D13" s="6" t="s">
        <v>1856</v>
      </c>
      <c r="E13" s="2">
        <f>MATCH($F13,'IMPORT STATS'!$A$5:$EC$5,0)</f>
        <v>32</v>
      </c>
      <c r="F13" s="20" t="s">
        <v>1856</v>
      </c>
    </row>
    <row r="14" ht="15.0" customHeight="1">
      <c r="A14" s="6" t="s">
        <v>353</v>
      </c>
      <c r="B14" s="2">
        <f>MATCH($C14,'IMPORT SCHEDULE'!$A$5:$AT$5,0)</f>
        <v>12</v>
      </c>
      <c r="C14" s="20" t="s">
        <v>353</v>
      </c>
      <c r="D14" s="6" t="s">
        <v>1890</v>
      </c>
      <c r="E14" s="2">
        <f>MATCH($F14,'IMPORT STATS'!$A$5:$EC$5,0)</f>
        <v>66</v>
      </c>
      <c r="F14" s="20" t="s">
        <v>1890</v>
      </c>
    </row>
    <row r="15" ht="15.0" customHeight="1">
      <c r="A15" s="6" t="s">
        <v>364</v>
      </c>
      <c r="B15" s="2">
        <f>MATCH($C15,'IMPORT SCHEDULE'!$A$5:$AT$5,0)</f>
        <v>23</v>
      </c>
      <c r="C15" s="20" t="s">
        <v>364</v>
      </c>
      <c r="D15" s="6" t="s">
        <v>1877</v>
      </c>
      <c r="E15" s="2">
        <f>MATCH($F15,'IMPORT STATS'!$A$5:$EC$5,0)</f>
        <v>53</v>
      </c>
      <c r="F15" s="20" t="s">
        <v>1877</v>
      </c>
    </row>
    <row r="16" ht="15.0" customHeight="1">
      <c r="A16" s="6" t="s">
        <v>365</v>
      </c>
      <c r="B16" s="2">
        <f>MATCH($C16,'IMPORT SCHEDULE'!$A$5:$AT$5,0)</f>
        <v>24</v>
      </c>
      <c r="C16" s="20" t="s">
        <v>365</v>
      </c>
      <c r="D16" s="6" t="s">
        <v>1898</v>
      </c>
      <c r="E16" s="2">
        <f>MATCH($F16,'IMPORT STATS'!$A$5:$EC$5,0)</f>
        <v>74</v>
      </c>
      <c r="F16" s="11" t="s">
        <v>1898</v>
      </c>
    </row>
    <row r="17" ht="15.0" customHeight="1">
      <c r="A17" s="6" t="s">
        <v>375</v>
      </c>
      <c r="B17" s="2">
        <f>MATCH($C17,'IMPORT SCHEDULE'!$A$5:$AT$5,0)</f>
        <v>34</v>
      </c>
      <c r="C17" s="20" t="s">
        <v>375</v>
      </c>
      <c r="D17" s="2"/>
      <c r="F17" s="2"/>
    </row>
    <row r="18" ht="15.0" customHeight="1">
      <c r="A18" s="6" t="s">
        <v>377</v>
      </c>
      <c r="B18" s="2">
        <f>MATCH($C18,'IMPORT SCHEDULE'!$A$5:$AT$5,0)</f>
        <v>36</v>
      </c>
      <c r="C18" s="20" t="s">
        <v>377</v>
      </c>
      <c r="D18" s="2"/>
      <c r="F18" s="2"/>
    </row>
    <row r="19" ht="15.0" customHeight="1">
      <c r="A19" s="6" t="s">
        <v>378</v>
      </c>
      <c r="B19" s="2">
        <f>MATCH($C19,'IMPORT SCHEDULE'!$A$5:$AT$5,0)</f>
        <v>37</v>
      </c>
      <c r="C19" s="20" t="s">
        <v>378</v>
      </c>
      <c r="D19" s="2"/>
      <c r="F19" s="2"/>
    </row>
    <row r="20" ht="15.0" customHeight="1">
      <c r="A20" s="6" t="s">
        <v>368</v>
      </c>
      <c r="B20" s="2">
        <f>MATCH($C20,'IMPORT SCHEDULE'!$A$5:$AT$5,0)</f>
        <v>27</v>
      </c>
      <c r="C20" s="20" t="s">
        <v>368</v>
      </c>
      <c r="D20" s="2"/>
      <c r="F20" s="2"/>
    </row>
    <row r="21" ht="15.0" customHeight="1">
      <c r="A21" s="6" t="s">
        <v>371</v>
      </c>
      <c r="B21" s="2">
        <f>MATCH($C21,'IMPORT SCHEDULE'!$A$5:$AT$5,0)</f>
        <v>30</v>
      </c>
      <c r="C21" s="20" t="s">
        <v>371</v>
      </c>
      <c r="D21" s="2"/>
      <c r="F21" s="2"/>
    </row>
    <row r="22" ht="15.0" customHeight="1">
      <c r="A22" s="6" t="s">
        <v>381</v>
      </c>
      <c r="B22" s="2">
        <f>MATCH($C22,'IMPORT SCHEDULE'!$A$5:$AT$5,0)</f>
        <v>40</v>
      </c>
      <c r="C22" s="20" t="s">
        <v>381</v>
      </c>
      <c r="D22" s="2"/>
      <c r="F22" s="2"/>
    </row>
    <row r="23" ht="15.0" customHeight="1">
      <c r="A23" s="6" t="s">
        <v>382</v>
      </c>
      <c r="B23" s="2">
        <f>MATCH($C23,'IMPORT SCHEDULE'!$A$5:$AT$5,0)</f>
        <v>41</v>
      </c>
      <c r="C23" s="20" t="s">
        <v>382</v>
      </c>
      <c r="D23" s="2"/>
      <c r="F23" s="2"/>
    </row>
    <row r="24" ht="15.0" customHeight="1">
      <c r="A24" s="6" t="s">
        <v>354</v>
      </c>
      <c r="B24" s="2">
        <f>MATCH($C24,'IMPORT SCHEDULE'!$A$5:$AT$5,0)</f>
        <v>13</v>
      </c>
      <c r="C24" s="20" t="s">
        <v>354</v>
      </c>
      <c r="D24" s="2"/>
      <c r="F24" s="2"/>
    </row>
    <row r="25" ht="15.0" customHeight="1">
      <c r="A25" s="6" t="s">
        <v>355</v>
      </c>
      <c r="B25" s="2">
        <f>MATCH($C25,'IMPORT SCHEDULE'!$A$5:$AT$5,0)</f>
        <v>14</v>
      </c>
      <c r="C25" s="20" t="s">
        <v>355</v>
      </c>
      <c r="D25" s="2"/>
      <c r="F25" s="2"/>
    </row>
    <row r="26" ht="15.0" customHeight="1">
      <c r="A26" s="6" t="s">
        <v>356</v>
      </c>
      <c r="B26" s="2">
        <f>MATCH($C26,'IMPORT SCHEDULE'!$A$5:$AT$5,0)</f>
        <v>15</v>
      </c>
      <c r="C26" s="20" t="s">
        <v>356</v>
      </c>
      <c r="D26" s="2"/>
      <c r="F26" s="2"/>
    </row>
    <row r="27" ht="15.0" customHeight="1">
      <c r="A27" s="6" t="s">
        <v>374</v>
      </c>
      <c r="B27" s="2">
        <f>MATCH($C27,'IMPORT SCHEDULE'!$A$5:$AT$5,0)</f>
        <v>33</v>
      </c>
      <c r="C27" s="20" t="s">
        <v>374</v>
      </c>
      <c r="D27" s="2"/>
      <c r="F27" s="2"/>
    </row>
    <row r="28" ht="15.75" customHeight="1">
      <c r="A28" s="2"/>
      <c r="C28" s="2"/>
      <c r="D28" s="2"/>
      <c r="F28" s="2"/>
    </row>
    <row r="29" ht="15.75" customHeight="1">
      <c r="A29" s="2"/>
      <c r="C29" s="2"/>
      <c r="D29" s="2"/>
      <c r="F29" s="2"/>
    </row>
    <row r="30" ht="15.75" customHeight="1">
      <c r="A30" s="2"/>
      <c r="C30" s="2"/>
      <c r="D30" s="2"/>
      <c r="F30" s="2"/>
    </row>
    <row r="31" ht="15.75" customHeight="1">
      <c r="A31" s="2"/>
      <c r="C31" s="2"/>
      <c r="D31" s="2"/>
      <c r="F31" s="2"/>
    </row>
    <row r="32" ht="15.75" customHeight="1">
      <c r="A32" s="2"/>
      <c r="C32" s="2"/>
      <c r="D32" s="2"/>
      <c r="F32" s="2"/>
    </row>
    <row r="33" ht="15.75" customHeight="1">
      <c r="A33" s="2"/>
      <c r="C33" s="2"/>
      <c r="D33" s="2"/>
      <c r="F33" s="2"/>
    </row>
    <row r="34" ht="15.75" customHeight="1">
      <c r="A34" s="2"/>
      <c r="C34" s="2"/>
      <c r="D34" s="2"/>
      <c r="F34" s="2"/>
    </row>
    <row r="35" ht="15.75" customHeight="1">
      <c r="A35" s="2"/>
      <c r="C35" s="2"/>
      <c r="D35" s="2"/>
      <c r="F35" s="2"/>
    </row>
    <row r="36" ht="15.75" customHeight="1">
      <c r="A36" s="2"/>
      <c r="C36" s="2"/>
      <c r="D36" s="2"/>
      <c r="F36" s="2"/>
    </row>
    <row r="37" ht="15.75" customHeight="1">
      <c r="A37" s="2"/>
      <c r="C37" s="2"/>
      <c r="D37" s="2"/>
      <c r="F37" s="2"/>
    </row>
    <row r="38" ht="15.75" customHeight="1">
      <c r="A38" s="2"/>
      <c r="C38" s="2"/>
      <c r="D38" s="2"/>
      <c r="F38" s="2"/>
    </row>
    <row r="39" ht="15.75" customHeight="1">
      <c r="A39" s="2"/>
      <c r="C39" s="2"/>
      <c r="D39" s="2"/>
      <c r="F39" s="2"/>
    </row>
    <row r="40" ht="15.75" customHeight="1">
      <c r="A40" s="2"/>
      <c r="C40" s="2"/>
      <c r="D40" s="2"/>
      <c r="F40" s="2"/>
    </row>
    <row r="41" ht="15.75" customHeight="1">
      <c r="A41" s="2"/>
      <c r="C41" s="2"/>
      <c r="D41" s="2"/>
      <c r="F41" s="2"/>
    </row>
    <row r="42" ht="15.75" customHeight="1">
      <c r="A42" s="2"/>
      <c r="C42" s="2"/>
      <c r="D42" s="2"/>
      <c r="F42" s="2"/>
    </row>
    <row r="43" ht="15.75" customHeight="1">
      <c r="A43" s="2"/>
      <c r="C43" s="2"/>
      <c r="D43" s="2"/>
      <c r="F43" s="2"/>
    </row>
    <row r="44" ht="15.75" customHeight="1">
      <c r="A44" s="2"/>
      <c r="C44" s="2"/>
      <c r="D44" s="2"/>
      <c r="F44" s="2"/>
    </row>
    <row r="45" ht="15.75" customHeight="1">
      <c r="A45" s="2"/>
      <c r="C45" s="2"/>
      <c r="D45" s="2"/>
      <c r="F45" s="2"/>
    </row>
    <row r="46" ht="15.75" customHeight="1">
      <c r="A46" s="2"/>
      <c r="C46" s="2"/>
      <c r="D46" s="2"/>
      <c r="F46" s="2"/>
    </row>
    <row r="47" ht="15.75" customHeight="1">
      <c r="A47" s="2"/>
      <c r="C47" s="2"/>
      <c r="D47" s="2"/>
      <c r="F47" s="2"/>
    </row>
    <row r="48" ht="15.75" customHeight="1">
      <c r="A48" s="2"/>
      <c r="C48" s="2"/>
      <c r="D48" s="2"/>
      <c r="F48" s="2"/>
    </row>
    <row r="49" ht="15.75" customHeight="1">
      <c r="A49" s="2"/>
      <c r="C49" s="2"/>
      <c r="D49" s="2"/>
      <c r="F49" s="2"/>
    </row>
    <row r="50" ht="15.75" customHeight="1">
      <c r="A50" s="2"/>
      <c r="C50" s="2"/>
      <c r="D50" s="2"/>
      <c r="F50" s="2"/>
    </row>
    <row r="51" ht="15.75" customHeight="1">
      <c r="A51" s="2"/>
      <c r="C51" s="2"/>
      <c r="D51" s="2"/>
      <c r="F51" s="2"/>
    </row>
    <row r="52" ht="15.75" customHeight="1">
      <c r="A52" s="2"/>
      <c r="C52" s="2"/>
      <c r="D52" s="2"/>
      <c r="F52" s="2"/>
    </row>
    <row r="53" ht="15.75" customHeight="1">
      <c r="A53" s="2"/>
      <c r="C53" s="2"/>
      <c r="D53" s="2"/>
      <c r="F53" s="2"/>
    </row>
    <row r="54" ht="15.75" customHeight="1">
      <c r="A54" s="2"/>
      <c r="C54" s="2"/>
      <c r="D54" s="2"/>
      <c r="F54" s="2"/>
    </row>
    <row r="55" ht="15.75" customHeight="1">
      <c r="A55" s="2"/>
      <c r="C55" s="2"/>
      <c r="D55" s="2"/>
      <c r="F55" s="2"/>
    </row>
    <row r="56" ht="15.75" customHeight="1">
      <c r="A56" s="2"/>
      <c r="C56" s="2"/>
      <c r="D56" s="2"/>
      <c r="F56" s="2"/>
    </row>
    <row r="57" ht="15.75" customHeight="1">
      <c r="A57" s="2"/>
      <c r="C57" s="2"/>
      <c r="D57" s="2"/>
      <c r="F57" s="2"/>
    </row>
    <row r="58" ht="15.75" customHeight="1">
      <c r="A58" s="2"/>
      <c r="C58" s="2"/>
      <c r="D58" s="2"/>
      <c r="F58" s="2"/>
    </row>
    <row r="59" ht="15.75" customHeight="1">
      <c r="A59" s="2"/>
      <c r="C59" s="2"/>
      <c r="D59" s="2"/>
      <c r="F59" s="2"/>
    </row>
    <row r="60" ht="15.75" customHeight="1">
      <c r="A60" s="2"/>
      <c r="C60" s="2"/>
      <c r="D60" s="2"/>
      <c r="F60" s="2"/>
    </row>
    <row r="61" ht="15.75" customHeight="1">
      <c r="A61" s="2"/>
      <c r="C61" s="2"/>
      <c r="D61" s="2"/>
      <c r="F61" s="2"/>
    </row>
    <row r="62" ht="15.75" customHeight="1">
      <c r="A62" s="2"/>
      <c r="C62" s="2"/>
      <c r="D62" s="2"/>
      <c r="F62" s="2"/>
    </row>
    <row r="63" ht="15.75" customHeight="1">
      <c r="A63" s="2"/>
      <c r="C63" s="2"/>
      <c r="D63" s="2"/>
      <c r="F63" s="2"/>
    </row>
    <row r="64" ht="15.75" customHeight="1">
      <c r="A64" s="2"/>
      <c r="C64" s="2"/>
      <c r="D64" s="2"/>
      <c r="F64" s="2"/>
    </row>
    <row r="65" ht="15.75" customHeight="1">
      <c r="A65" s="2"/>
      <c r="C65" s="2"/>
      <c r="D65" s="2"/>
      <c r="F65" s="2"/>
    </row>
    <row r="66" ht="15.75" customHeight="1">
      <c r="A66" s="2"/>
      <c r="C66" s="2"/>
      <c r="D66" s="2"/>
      <c r="F66" s="2"/>
    </row>
    <row r="67" ht="15.75" customHeight="1">
      <c r="A67" s="2"/>
      <c r="C67" s="2"/>
      <c r="D67" s="2"/>
      <c r="F67" s="2"/>
    </row>
    <row r="68" ht="15.75" customHeight="1">
      <c r="A68" s="2"/>
      <c r="C68" s="2"/>
      <c r="D68" s="2"/>
      <c r="F68" s="2"/>
    </row>
    <row r="69" ht="15.75" customHeight="1">
      <c r="A69" s="2"/>
      <c r="C69" s="2"/>
      <c r="D69" s="2"/>
      <c r="F69" s="2"/>
    </row>
    <row r="70" ht="15.75" customHeight="1">
      <c r="A70" s="2"/>
      <c r="C70" s="2"/>
      <c r="D70" s="2"/>
      <c r="F70" s="2"/>
    </row>
    <row r="71" ht="15.75" customHeight="1">
      <c r="A71" s="2"/>
      <c r="C71" s="2"/>
      <c r="D71" s="2"/>
      <c r="F71" s="2"/>
    </row>
    <row r="72" ht="15.75" customHeight="1">
      <c r="A72" s="2"/>
      <c r="C72" s="2"/>
      <c r="D72" s="2"/>
      <c r="F72" s="2"/>
    </row>
    <row r="73" ht="15.75" customHeight="1">
      <c r="A73" s="2"/>
      <c r="C73" s="2"/>
      <c r="D73" s="2"/>
      <c r="F73" s="2"/>
    </row>
    <row r="74" ht="15.75" customHeight="1">
      <c r="A74" s="2"/>
      <c r="C74" s="2"/>
      <c r="D74" s="2"/>
      <c r="F74" s="2"/>
    </row>
    <row r="75" ht="15.75" customHeight="1">
      <c r="A75" s="2"/>
      <c r="C75" s="2"/>
      <c r="D75" s="2"/>
      <c r="F75" s="2"/>
    </row>
    <row r="76" ht="15.75" customHeight="1">
      <c r="A76" s="2"/>
      <c r="C76" s="2"/>
      <c r="D76" s="2"/>
      <c r="F76" s="2"/>
    </row>
    <row r="77" ht="15.75" customHeight="1">
      <c r="A77" s="2"/>
      <c r="C77" s="2"/>
      <c r="D77" s="2"/>
      <c r="F77" s="2"/>
    </row>
    <row r="78" ht="15.75" customHeight="1">
      <c r="A78" s="2"/>
      <c r="C78" s="2"/>
      <c r="D78" s="2"/>
      <c r="F78" s="2"/>
    </row>
    <row r="79" ht="15.75" customHeight="1">
      <c r="A79" s="2"/>
      <c r="C79" s="2"/>
      <c r="D79" s="2"/>
      <c r="F79" s="2"/>
    </row>
    <row r="80" ht="15.75" customHeight="1">
      <c r="A80" s="2"/>
      <c r="C80" s="2"/>
      <c r="D80" s="2"/>
      <c r="F80" s="2"/>
    </row>
    <row r="81" ht="15.75" customHeight="1">
      <c r="A81" s="2"/>
      <c r="C81" s="2"/>
      <c r="D81" s="2"/>
      <c r="F81" s="2"/>
    </row>
    <row r="82" ht="15.75" customHeight="1">
      <c r="A82" s="2"/>
      <c r="C82" s="2"/>
      <c r="D82" s="2"/>
      <c r="F82" s="2"/>
    </row>
    <row r="83" ht="15.75" customHeight="1">
      <c r="A83" s="2"/>
      <c r="C83" s="2"/>
      <c r="D83" s="2"/>
      <c r="F83" s="2"/>
    </row>
    <row r="84" ht="15.75" customHeight="1">
      <c r="A84" s="2"/>
      <c r="C84" s="2"/>
      <c r="D84" s="2"/>
      <c r="F84" s="2"/>
    </row>
    <row r="85" ht="15.75" customHeight="1">
      <c r="A85" s="2"/>
      <c r="C85" s="2"/>
      <c r="D85" s="2"/>
      <c r="F85" s="2"/>
    </row>
    <row r="86" ht="15.75" customHeight="1">
      <c r="A86" s="2"/>
      <c r="C86" s="2"/>
      <c r="D86" s="2"/>
      <c r="F86" s="2"/>
    </row>
    <row r="87" ht="15.75" customHeight="1">
      <c r="A87" s="2"/>
      <c r="C87" s="2"/>
      <c r="D87" s="2"/>
      <c r="F87" s="2"/>
    </row>
    <row r="88" ht="15.75" customHeight="1">
      <c r="A88" s="2"/>
      <c r="C88" s="2"/>
      <c r="D88" s="2"/>
      <c r="F88" s="2"/>
    </row>
    <row r="89" ht="15.75" customHeight="1">
      <c r="A89" s="2"/>
      <c r="C89" s="2"/>
      <c r="D89" s="2"/>
      <c r="F89" s="2"/>
    </row>
    <row r="90" ht="15.75" customHeight="1">
      <c r="A90" s="2"/>
      <c r="C90" s="2"/>
      <c r="D90" s="2"/>
      <c r="F90" s="2"/>
    </row>
    <row r="91" ht="15.75" customHeight="1">
      <c r="A91" s="2"/>
      <c r="C91" s="2"/>
      <c r="D91" s="2"/>
      <c r="F91" s="2"/>
    </row>
    <row r="92" ht="15.75" customHeight="1">
      <c r="A92" s="2"/>
      <c r="C92" s="2"/>
      <c r="D92" s="2"/>
      <c r="F92" s="2"/>
    </row>
    <row r="93" ht="15.75" customHeight="1">
      <c r="A93" s="2"/>
      <c r="C93" s="2"/>
      <c r="D93" s="2"/>
      <c r="F93" s="2"/>
    </row>
    <row r="94" ht="15.75" customHeight="1">
      <c r="A94" s="2"/>
      <c r="C94" s="2"/>
      <c r="D94" s="2"/>
      <c r="F94" s="2"/>
    </row>
    <row r="95" ht="15.75" customHeight="1">
      <c r="A95" s="2"/>
      <c r="C95" s="2"/>
      <c r="D95" s="2"/>
      <c r="F95" s="2"/>
    </row>
    <row r="96" ht="15.75" customHeight="1">
      <c r="A96" s="2"/>
      <c r="C96" s="2"/>
      <c r="D96" s="2"/>
      <c r="F96" s="2"/>
    </row>
    <row r="97" ht="15.75" customHeight="1">
      <c r="A97" s="2"/>
      <c r="C97" s="2"/>
      <c r="D97" s="2"/>
      <c r="F97" s="2"/>
    </row>
    <row r="98" ht="15.75" customHeight="1">
      <c r="A98" s="2"/>
      <c r="C98" s="2"/>
      <c r="D98" s="2"/>
      <c r="F98" s="2"/>
    </row>
    <row r="99" ht="15.75" customHeight="1">
      <c r="A99" s="2"/>
      <c r="C99" s="2"/>
      <c r="D99" s="2"/>
      <c r="F99" s="2"/>
    </row>
    <row r="100" ht="15.75" customHeight="1">
      <c r="A100" s="2"/>
      <c r="C100" s="2"/>
      <c r="D100" s="2"/>
      <c r="F100" s="2"/>
    </row>
    <row r="101" ht="15.75" customHeight="1">
      <c r="A101" s="2"/>
      <c r="C101" s="2"/>
      <c r="D101" s="2"/>
      <c r="F101" s="2"/>
    </row>
    <row r="102" ht="15.75" customHeight="1">
      <c r="A102" s="2"/>
      <c r="C102" s="2"/>
      <c r="D102" s="2"/>
      <c r="F102" s="2"/>
    </row>
    <row r="103" ht="15.75" customHeight="1">
      <c r="A103" s="2"/>
      <c r="C103" s="2"/>
      <c r="D103" s="2"/>
      <c r="F103" s="2"/>
    </row>
    <row r="104" ht="15.75" customHeight="1">
      <c r="A104" s="2"/>
      <c r="C104" s="2"/>
      <c r="D104" s="2"/>
      <c r="F104" s="2"/>
    </row>
    <row r="105" ht="15.75" customHeight="1">
      <c r="A105" s="2"/>
      <c r="C105" s="2"/>
      <c r="D105" s="2"/>
      <c r="F105" s="2"/>
    </row>
    <row r="106" ht="15.75" customHeight="1">
      <c r="A106" s="2"/>
      <c r="C106" s="2"/>
      <c r="D106" s="2"/>
      <c r="F106" s="2"/>
    </row>
    <row r="107" ht="15.75" customHeight="1">
      <c r="A107" s="2"/>
      <c r="C107" s="2"/>
      <c r="D107" s="2"/>
      <c r="F107" s="2"/>
    </row>
    <row r="108" ht="15.75" customHeight="1">
      <c r="A108" s="2"/>
      <c r="C108" s="2"/>
      <c r="D108" s="2"/>
      <c r="F108" s="2"/>
    </row>
    <row r="109" ht="15.75" customHeight="1">
      <c r="A109" s="2"/>
      <c r="C109" s="2"/>
      <c r="D109" s="2"/>
      <c r="F109" s="2"/>
    </row>
    <row r="110" ht="15.75" customHeight="1">
      <c r="A110" s="2"/>
      <c r="C110" s="2"/>
      <c r="D110" s="2"/>
      <c r="F110" s="2"/>
    </row>
    <row r="111" ht="15.75" customHeight="1">
      <c r="A111" s="2"/>
      <c r="C111" s="2"/>
      <c r="D111" s="2"/>
      <c r="F111" s="2"/>
    </row>
    <row r="112" ht="15.75" customHeight="1">
      <c r="A112" s="2"/>
      <c r="C112" s="2"/>
      <c r="D112" s="2"/>
      <c r="F112" s="2"/>
    </row>
    <row r="113" ht="15.75" customHeight="1">
      <c r="A113" s="2"/>
      <c r="C113" s="2"/>
      <c r="D113" s="2"/>
      <c r="F113" s="2"/>
    </row>
    <row r="114" ht="15.75" customHeight="1">
      <c r="A114" s="2"/>
      <c r="C114" s="2"/>
      <c r="D114" s="2"/>
      <c r="F114" s="2"/>
    </row>
    <row r="115" ht="15.75" customHeight="1">
      <c r="A115" s="2"/>
      <c r="C115" s="2"/>
      <c r="D115" s="2"/>
      <c r="F115" s="2"/>
    </row>
    <row r="116" ht="15.75" customHeight="1">
      <c r="A116" s="2"/>
      <c r="C116" s="2"/>
      <c r="D116" s="2"/>
      <c r="F116" s="2"/>
    </row>
    <row r="117" ht="15.75" customHeight="1">
      <c r="A117" s="2"/>
      <c r="C117" s="2"/>
      <c r="D117" s="2"/>
      <c r="F117" s="2"/>
    </row>
    <row r="118" ht="15.75" customHeight="1">
      <c r="A118" s="2"/>
      <c r="C118" s="2"/>
      <c r="D118" s="2"/>
      <c r="F118" s="2"/>
    </row>
    <row r="119" ht="15.75" customHeight="1">
      <c r="A119" s="2"/>
      <c r="C119" s="2"/>
      <c r="D119" s="2"/>
      <c r="F119" s="2"/>
    </row>
    <row r="120" ht="15.75" customHeight="1">
      <c r="A120" s="2"/>
      <c r="C120" s="2"/>
      <c r="D120" s="2"/>
      <c r="F120" s="2"/>
    </row>
    <row r="121" ht="15.75" customHeight="1">
      <c r="A121" s="2"/>
      <c r="C121" s="2"/>
      <c r="D121" s="2"/>
      <c r="F121" s="2"/>
    </row>
    <row r="122" ht="15.75" customHeight="1">
      <c r="A122" s="2"/>
      <c r="C122" s="2"/>
      <c r="D122" s="2"/>
      <c r="F122" s="2"/>
    </row>
    <row r="123" ht="15.75" customHeight="1">
      <c r="A123" s="2"/>
      <c r="C123" s="2"/>
      <c r="D123" s="2"/>
      <c r="F123" s="2"/>
    </row>
    <row r="124" ht="15.75" customHeight="1">
      <c r="A124" s="2"/>
      <c r="C124" s="2"/>
      <c r="D124" s="2"/>
      <c r="F124" s="2"/>
    </row>
    <row r="125" ht="15.75" customHeight="1">
      <c r="A125" s="2"/>
      <c r="C125" s="2"/>
      <c r="D125" s="2"/>
      <c r="F125" s="2"/>
    </row>
    <row r="126" ht="15.75" customHeight="1">
      <c r="A126" s="2"/>
      <c r="C126" s="2"/>
      <c r="D126" s="2"/>
      <c r="F126" s="2"/>
    </row>
    <row r="127" ht="15.75" customHeight="1">
      <c r="A127" s="2"/>
      <c r="C127" s="2"/>
      <c r="D127" s="2"/>
      <c r="F127" s="2"/>
    </row>
    <row r="128" ht="15.75" customHeight="1">
      <c r="A128" s="2"/>
      <c r="C128" s="2"/>
      <c r="D128" s="2"/>
      <c r="F128" s="2"/>
    </row>
    <row r="129" ht="15.75" customHeight="1">
      <c r="A129" s="2"/>
      <c r="C129" s="2"/>
      <c r="D129" s="2"/>
      <c r="F129" s="2"/>
    </row>
    <row r="130" ht="15.75" customHeight="1">
      <c r="A130" s="2"/>
      <c r="C130" s="2"/>
      <c r="D130" s="2"/>
      <c r="F130" s="2"/>
    </row>
    <row r="131" ht="15.75" customHeight="1">
      <c r="A131" s="2"/>
      <c r="C131" s="2"/>
      <c r="D131" s="2"/>
      <c r="F131" s="2"/>
    </row>
    <row r="132" ht="15.75" customHeight="1">
      <c r="A132" s="2"/>
      <c r="C132" s="2"/>
      <c r="D132" s="2"/>
      <c r="F132" s="2"/>
    </row>
    <row r="133" ht="15.75" customHeight="1">
      <c r="A133" s="2"/>
      <c r="C133" s="2"/>
      <c r="D133" s="2"/>
      <c r="F133" s="2"/>
    </row>
    <row r="134" ht="15.75" customHeight="1">
      <c r="A134" s="2"/>
      <c r="C134" s="2"/>
      <c r="D134" s="2"/>
      <c r="F134" s="2"/>
    </row>
    <row r="135" ht="15.75" customHeight="1">
      <c r="A135" s="2"/>
      <c r="C135" s="2"/>
      <c r="D135" s="2"/>
      <c r="F135" s="2"/>
    </row>
    <row r="136" ht="15.75" customHeight="1">
      <c r="A136" s="2"/>
      <c r="C136" s="2"/>
      <c r="D136" s="2"/>
      <c r="F136" s="2"/>
    </row>
    <row r="137" ht="15.75" customHeight="1">
      <c r="A137" s="2"/>
      <c r="C137" s="2"/>
      <c r="D137" s="2"/>
      <c r="F137" s="2"/>
    </row>
    <row r="138" ht="15.75" customHeight="1">
      <c r="A138" s="2"/>
      <c r="C138" s="2"/>
      <c r="D138" s="2"/>
      <c r="F138" s="2"/>
    </row>
    <row r="139" ht="15.75" customHeight="1">
      <c r="A139" s="2"/>
      <c r="C139" s="2"/>
      <c r="D139" s="2"/>
      <c r="F139" s="2"/>
    </row>
    <row r="140" ht="15.75" customHeight="1">
      <c r="A140" s="2"/>
      <c r="C140" s="2"/>
      <c r="D140" s="2"/>
      <c r="F140" s="2"/>
    </row>
    <row r="141" ht="15.75" customHeight="1">
      <c r="A141" s="2"/>
      <c r="C141" s="2"/>
      <c r="D141" s="2"/>
      <c r="F141" s="2"/>
    </row>
    <row r="142" ht="15.75" customHeight="1">
      <c r="A142" s="2"/>
      <c r="C142" s="2"/>
      <c r="D142" s="2"/>
      <c r="F142" s="2"/>
    </row>
    <row r="143" ht="15.75" customHeight="1">
      <c r="A143" s="2"/>
      <c r="C143" s="2"/>
      <c r="D143" s="2"/>
      <c r="F143" s="2"/>
    </row>
    <row r="144" ht="15.75" customHeight="1">
      <c r="A144" s="2"/>
      <c r="C144" s="2"/>
      <c r="D144" s="2"/>
      <c r="F144" s="2"/>
    </row>
    <row r="145" ht="15.75" customHeight="1">
      <c r="A145" s="2"/>
      <c r="C145" s="2"/>
      <c r="D145" s="2"/>
      <c r="F145" s="2"/>
    </row>
    <row r="146" ht="15.75" customHeight="1">
      <c r="A146" s="2"/>
      <c r="C146" s="2"/>
      <c r="D146" s="2"/>
      <c r="F146" s="2"/>
    </row>
    <row r="147" ht="15.75" customHeight="1">
      <c r="A147" s="2"/>
      <c r="C147" s="2"/>
      <c r="D147" s="2"/>
      <c r="F147" s="2"/>
    </row>
    <row r="148" ht="15.75" customHeight="1">
      <c r="A148" s="2"/>
      <c r="C148" s="2"/>
      <c r="D148" s="2"/>
      <c r="F148" s="2"/>
    </row>
    <row r="149" ht="15.75" customHeight="1">
      <c r="A149" s="2"/>
      <c r="C149" s="2"/>
      <c r="D149" s="2"/>
      <c r="F149" s="2"/>
    </row>
    <row r="150" ht="15.75" customHeight="1">
      <c r="A150" s="2"/>
      <c r="C150" s="2"/>
      <c r="D150" s="2"/>
      <c r="F150" s="2"/>
    </row>
    <row r="151" ht="15.75" customHeight="1">
      <c r="A151" s="2"/>
      <c r="C151" s="2"/>
      <c r="D151" s="2"/>
      <c r="F151" s="2"/>
    </row>
    <row r="152" ht="15.75" customHeight="1">
      <c r="A152" s="2"/>
      <c r="C152" s="2"/>
      <c r="D152" s="2"/>
      <c r="F152" s="2"/>
    </row>
    <row r="153" ht="15.75" customHeight="1">
      <c r="A153" s="2"/>
      <c r="C153" s="2"/>
      <c r="D153" s="2"/>
      <c r="F153" s="2"/>
    </row>
    <row r="154" ht="15.75" customHeight="1">
      <c r="A154" s="2"/>
      <c r="C154" s="2"/>
      <c r="D154" s="2"/>
      <c r="F154" s="2"/>
    </row>
    <row r="155" ht="15.75" customHeight="1">
      <c r="A155" s="2"/>
      <c r="C155" s="2"/>
      <c r="D155" s="2"/>
      <c r="F155" s="2"/>
    </row>
    <row r="156" ht="15.75" customHeight="1">
      <c r="A156" s="2"/>
      <c r="C156" s="2"/>
      <c r="D156" s="2"/>
      <c r="F156" s="2"/>
    </row>
    <row r="157" ht="15.75" customHeight="1">
      <c r="A157" s="2"/>
      <c r="C157" s="2"/>
      <c r="D157" s="2"/>
      <c r="F157" s="2"/>
    </row>
    <row r="158" ht="15.75" customHeight="1">
      <c r="A158" s="2"/>
      <c r="C158" s="2"/>
      <c r="D158" s="2"/>
      <c r="F158" s="2"/>
    </row>
    <row r="159" ht="15.75" customHeight="1">
      <c r="A159" s="2"/>
      <c r="C159" s="2"/>
      <c r="D159" s="2"/>
      <c r="F159" s="2"/>
    </row>
    <row r="160" ht="15.75" customHeight="1">
      <c r="A160" s="2"/>
      <c r="C160" s="2"/>
      <c r="D160" s="2"/>
      <c r="F160" s="2"/>
    </row>
    <row r="161" ht="15.75" customHeight="1">
      <c r="A161" s="2"/>
      <c r="C161" s="2"/>
      <c r="D161" s="2"/>
      <c r="F161" s="2"/>
    </row>
    <row r="162" ht="15.75" customHeight="1">
      <c r="A162" s="2"/>
      <c r="C162" s="2"/>
      <c r="D162" s="2"/>
      <c r="F162" s="2"/>
    </row>
    <row r="163" ht="15.75" customHeight="1">
      <c r="A163" s="2"/>
      <c r="C163" s="2"/>
      <c r="D163" s="2"/>
      <c r="F163" s="2"/>
    </row>
    <row r="164" ht="15.75" customHeight="1">
      <c r="A164" s="2"/>
      <c r="C164" s="2"/>
      <c r="D164" s="2"/>
      <c r="F164" s="2"/>
    </row>
    <row r="165" ht="15.75" customHeight="1">
      <c r="A165" s="2"/>
      <c r="C165" s="2"/>
      <c r="D165" s="2"/>
      <c r="F165" s="2"/>
    </row>
    <row r="166" ht="15.75" customHeight="1">
      <c r="A166" s="2"/>
      <c r="C166" s="2"/>
      <c r="D166" s="2"/>
      <c r="F166" s="2"/>
    </row>
    <row r="167" ht="15.75" customHeight="1">
      <c r="A167" s="2"/>
      <c r="C167" s="2"/>
      <c r="D167" s="2"/>
      <c r="F167" s="2"/>
    </row>
    <row r="168" ht="15.75" customHeight="1">
      <c r="A168" s="2"/>
      <c r="C168" s="2"/>
      <c r="D168" s="2"/>
      <c r="F168" s="2"/>
    </row>
    <row r="169" ht="15.75" customHeight="1">
      <c r="A169" s="2"/>
      <c r="C169" s="2"/>
      <c r="D169" s="2"/>
      <c r="F169" s="2"/>
    </row>
    <row r="170" ht="15.75" customHeight="1">
      <c r="A170" s="2"/>
      <c r="C170" s="2"/>
      <c r="D170" s="2"/>
      <c r="F170" s="2"/>
    </row>
    <row r="171" ht="15.75" customHeight="1">
      <c r="A171" s="2"/>
      <c r="C171" s="2"/>
      <c r="D171" s="2"/>
      <c r="F171" s="2"/>
    </row>
    <row r="172" ht="15.75" customHeight="1">
      <c r="A172" s="2"/>
      <c r="C172" s="2"/>
      <c r="D172" s="2"/>
      <c r="F172" s="2"/>
    </row>
    <row r="173" ht="15.75" customHeight="1">
      <c r="A173" s="2"/>
      <c r="C173" s="2"/>
      <c r="D173" s="2"/>
      <c r="F173" s="2"/>
    </row>
    <row r="174" ht="15.75" customHeight="1">
      <c r="A174" s="2"/>
      <c r="C174" s="2"/>
      <c r="D174" s="2"/>
      <c r="F174" s="2"/>
    </row>
    <row r="175" ht="15.75" customHeight="1">
      <c r="A175" s="2"/>
      <c r="C175" s="2"/>
      <c r="D175" s="2"/>
      <c r="F175" s="2"/>
    </row>
    <row r="176" ht="15.75" customHeight="1">
      <c r="A176" s="2"/>
      <c r="C176" s="2"/>
      <c r="D176" s="2"/>
      <c r="F176" s="2"/>
    </row>
    <row r="177" ht="15.75" customHeight="1">
      <c r="A177" s="2"/>
      <c r="C177" s="2"/>
      <c r="D177" s="2"/>
      <c r="F177" s="2"/>
    </row>
    <row r="178" ht="15.75" customHeight="1">
      <c r="A178" s="2"/>
      <c r="C178" s="2"/>
      <c r="D178" s="2"/>
      <c r="F178" s="2"/>
    </row>
    <row r="179" ht="15.75" customHeight="1">
      <c r="A179" s="2"/>
      <c r="C179" s="2"/>
      <c r="D179" s="2"/>
      <c r="F179" s="2"/>
    </row>
    <row r="180" ht="15.75" customHeight="1">
      <c r="A180" s="2"/>
      <c r="C180" s="2"/>
      <c r="D180" s="2"/>
      <c r="F180" s="2"/>
    </row>
    <row r="181" ht="15.75" customHeight="1">
      <c r="A181" s="2"/>
      <c r="C181" s="2"/>
      <c r="D181" s="2"/>
      <c r="F181" s="2"/>
    </row>
    <row r="182" ht="15.75" customHeight="1">
      <c r="A182" s="2"/>
      <c r="C182" s="2"/>
      <c r="D182" s="2"/>
      <c r="F182" s="2"/>
    </row>
    <row r="183" ht="15.75" customHeight="1">
      <c r="A183" s="2"/>
      <c r="C183" s="2"/>
      <c r="D183" s="2"/>
      <c r="F183" s="2"/>
    </row>
    <row r="184" ht="15.75" customHeight="1">
      <c r="A184" s="2"/>
      <c r="C184" s="2"/>
      <c r="D184" s="2"/>
      <c r="F184" s="2"/>
    </row>
    <row r="185" ht="15.75" customHeight="1">
      <c r="A185" s="2"/>
      <c r="C185" s="2"/>
      <c r="D185" s="2"/>
      <c r="F185" s="2"/>
    </row>
    <row r="186" ht="15.75" customHeight="1">
      <c r="A186" s="2"/>
      <c r="C186" s="2"/>
      <c r="D186" s="2"/>
      <c r="F186" s="2"/>
    </row>
    <row r="187" ht="15.75" customHeight="1">
      <c r="A187" s="2"/>
      <c r="C187" s="2"/>
      <c r="D187" s="2"/>
      <c r="F187" s="2"/>
    </row>
    <row r="188" ht="15.75" customHeight="1">
      <c r="A188" s="2"/>
      <c r="C188" s="2"/>
      <c r="D188" s="2"/>
      <c r="F188" s="2"/>
    </row>
    <row r="189" ht="15.75" customHeight="1">
      <c r="A189" s="2"/>
      <c r="C189" s="2"/>
      <c r="D189" s="2"/>
      <c r="F189" s="2"/>
    </row>
    <row r="190" ht="15.75" customHeight="1">
      <c r="A190" s="2"/>
      <c r="C190" s="2"/>
      <c r="D190" s="2"/>
      <c r="F190" s="2"/>
    </row>
    <row r="191" ht="15.75" customHeight="1">
      <c r="A191" s="2"/>
      <c r="C191" s="2"/>
      <c r="D191" s="2"/>
      <c r="F191" s="2"/>
    </row>
    <row r="192" ht="15.75" customHeight="1">
      <c r="A192" s="2"/>
      <c r="C192" s="2"/>
      <c r="D192" s="2"/>
      <c r="F192" s="2"/>
    </row>
    <row r="193" ht="15.75" customHeight="1">
      <c r="A193" s="2"/>
      <c r="C193" s="2"/>
      <c r="D193" s="2"/>
      <c r="F193" s="2"/>
    </row>
    <row r="194" ht="15.75" customHeight="1">
      <c r="A194" s="2"/>
      <c r="C194" s="2"/>
      <c r="D194" s="2"/>
      <c r="F194" s="2"/>
    </row>
    <row r="195" ht="15.75" customHeight="1">
      <c r="A195" s="2"/>
      <c r="C195" s="2"/>
      <c r="D195" s="2"/>
      <c r="F195" s="2"/>
    </row>
    <row r="196" ht="15.75" customHeight="1">
      <c r="A196" s="2"/>
      <c r="C196" s="2"/>
      <c r="D196" s="2"/>
      <c r="F196" s="2"/>
    </row>
    <row r="197" ht="15.75" customHeight="1">
      <c r="A197" s="2"/>
      <c r="C197" s="2"/>
      <c r="D197" s="2"/>
      <c r="F197" s="2"/>
    </row>
    <row r="198" ht="15.75" customHeight="1">
      <c r="A198" s="2"/>
      <c r="C198" s="2"/>
      <c r="D198" s="2"/>
      <c r="F198" s="2"/>
    </row>
    <row r="199" ht="15.75" customHeight="1">
      <c r="A199" s="2"/>
      <c r="C199" s="2"/>
      <c r="D199" s="2"/>
      <c r="F199" s="2"/>
    </row>
    <row r="200" ht="15.75" customHeight="1">
      <c r="A200" s="2"/>
      <c r="C200" s="2"/>
      <c r="D200" s="2"/>
      <c r="F200" s="2"/>
    </row>
    <row r="201" ht="15.75" customHeight="1">
      <c r="A201" s="2"/>
      <c r="C201" s="2"/>
      <c r="D201" s="2"/>
      <c r="F201" s="2"/>
    </row>
    <row r="202" ht="15.75" customHeight="1">
      <c r="A202" s="2"/>
      <c r="C202" s="2"/>
      <c r="D202" s="2"/>
      <c r="F202" s="2"/>
    </row>
    <row r="203" ht="15.75" customHeight="1">
      <c r="A203" s="2"/>
      <c r="C203" s="2"/>
      <c r="D203" s="2"/>
      <c r="F203" s="2"/>
    </row>
    <row r="204" ht="15.75" customHeight="1">
      <c r="A204" s="2"/>
      <c r="C204" s="2"/>
      <c r="D204" s="2"/>
      <c r="F204" s="2"/>
    </row>
    <row r="205" ht="15.75" customHeight="1">
      <c r="A205" s="2"/>
      <c r="C205" s="2"/>
      <c r="D205" s="2"/>
      <c r="F205" s="2"/>
    </row>
    <row r="206" ht="15.75" customHeight="1">
      <c r="A206" s="2"/>
      <c r="C206" s="2"/>
      <c r="D206" s="2"/>
      <c r="F206" s="2"/>
    </row>
    <row r="207" ht="15.75" customHeight="1">
      <c r="A207" s="2"/>
      <c r="C207" s="2"/>
      <c r="D207" s="2"/>
      <c r="F207" s="2"/>
    </row>
    <row r="208" ht="15.75" customHeight="1">
      <c r="A208" s="2"/>
      <c r="C208" s="2"/>
      <c r="D208" s="2"/>
      <c r="F208" s="2"/>
    </row>
    <row r="209" ht="15.75" customHeight="1">
      <c r="A209" s="2"/>
      <c r="C209" s="2"/>
      <c r="D209" s="2"/>
      <c r="F209" s="2"/>
    </row>
    <row r="210" ht="15.75" customHeight="1">
      <c r="A210" s="2"/>
      <c r="C210" s="2"/>
      <c r="D210" s="2"/>
      <c r="F210" s="2"/>
    </row>
    <row r="211" ht="15.75" customHeight="1">
      <c r="A211" s="2"/>
      <c r="C211" s="2"/>
      <c r="D211" s="2"/>
      <c r="F211" s="2"/>
    </row>
    <row r="212" ht="15.75" customHeight="1">
      <c r="A212" s="2"/>
      <c r="C212" s="2"/>
      <c r="D212" s="2"/>
      <c r="F212" s="2"/>
    </row>
    <row r="213" ht="15.75" customHeight="1">
      <c r="A213" s="2"/>
      <c r="C213" s="2"/>
      <c r="D213" s="2"/>
      <c r="F213" s="2"/>
    </row>
    <row r="214" ht="15.75" customHeight="1">
      <c r="A214" s="2"/>
      <c r="C214" s="2"/>
      <c r="D214" s="2"/>
      <c r="F214" s="2"/>
    </row>
    <row r="215" ht="15.75" customHeight="1">
      <c r="A215" s="2"/>
      <c r="C215" s="2"/>
      <c r="D215" s="2"/>
      <c r="F215" s="2"/>
    </row>
    <row r="216" ht="15.75" customHeight="1">
      <c r="A216" s="2"/>
      <c r="C216" s="2"/>
      <c r="D216" s="2"/>
      <c r="F216" s="2"/>
    </row>
    <row r="217" ht="15.75" customHeight="1">
      <c r="A217" s="2"/>
      <c r="C217" s="2"/>
      <c r="D217" s="2"/>
      <c r="F217" s="2"/>
    </row>
    <row r="218" ht="15.75" customHeight="1">
      <c r="A218" s="2"/>
      <c r="C218" s="2"/>
      <c r="D218" s="2"/>
      <c r="F218" s="2"/>
    </row>
    <row r="219" ht="15.75" customHeight="1">
      <c r="A219" s="2"/>
      <c r="C219" s="2"/>
      <c r="D219" s="2"/>
      <c r="F219" s="2"/>
    </row>
    <row r="220" ht="15.75" customHeight="1">
      <c r="A220" s="2"/>
      <c r="C220" s="2"/>
      <c r="D220" s="2"/>
      <c r="F220" s="2"/>
    </row>
    <row r="221" ht="15.75" customHeight="1">
      <c r="A221" s="2"/>
      <c r="C221" s="2"/>
      <c r="D221" s="2"/>
      <c r="F221" s="2"/>
    </row>
    <row r="222" ht="15.75" customHeight="1">
      <c r="A222" s="2"/>
      <c r="C222" s="2"/>
      <c r="D222" s="2"/>
      <c r="F222" s="2"/>
    </row>
    <row r="223" ht="15.75" customHeight="1">
      <c r="A223" s="2"/>
      <c r="C223" s="2"/>
      <c r="D223" s="2"/>
      <c r="F223" s="2"/>
    </row>
    <row r="224" ht="15.75" customHeight="1">
      <c r="A224" s="2"/>
      <c r="C224" s="2"/>
      <c r="D224" s="2"/>
      <c r="F224" s="2"/>
    </row>
    <row r="225" ht="15.75" customHeight="1">
      <c r="A225" s="2"/>
      <c r="C225" s="2"/>
      <c r="D225" s="2"/>
      <c r="F225" s="2"/>
    </row>
    <row r="226" ht="15.75" customHeight="1">
      <c r="A226" s="2"/>
      <c r="C226" s="2"/>
      <c r="D226" s="2"/>
      <c r="F226" s="2"/>
    </row>
    <row r="227" ht="15.75" customHeight="1">
      <c r="A227" s="2"/>
      <c r="C227" s="2"/>
      <c r="D227" s="2"/>
      <c r="F227" s="2"/>
    </row>
    <row r="228" ht="15.75" customHeight="1">
      <c r="A228" s="2"/>
      <c r="C228" s="2"/>
      <c r="D228" s="2"/>
      <c r="F228" s="2"/>
    </row>
    <row r="229" ht="15.75" customHeight="1">
      <c r="A229" s="2"/>
      <c r="C229" s="2"/>
      <c r="D229" s="2"/>
      <c r="F229" s="2"/>
    </row>
    <row r="230" ht="15.75" customHeight="1">
      <c r="A230" s="2"/>
      <c r="C230" s="2"/>
      <c r="D230" s="2"/>
      <c r="F230" s="2"/>
    </row>
    <row r="231" ht="15.75" customHeight="1">
      <c r="A231" s="2"/>
      <c r="C231" s="2"/>
      <c r="D231" s="2"/>
      <c r="F231" s="2"/>
    </row>
    <row r="232" ht="15.75" customHeight="1">
      <c r="A232" s="2"/>
      <c r="C232" s="2"/>
      <c r="D232" s="2"/>
      <c r="F232" s="2"/>
    </row>
    <row r="233" ht="15.75" customHeight="1">
      <c r="A233" s="2"/>
      <c r="C233" s="2"/>
      <c r="D233" s="2"/>
      <c r="F233" s="2"/>
    </row>
    <row r="234" ht="15.75" customHeight="1">
      <c r="A234" s="2"/>
      <c r="C234" s="2"/>
      <c r="D234" s="2"/>
      <c r="F234" s="2"/>
    </row>
    <row r="235" ht="15.75" customHeight="1">
      <c r="A235" s="2"/>
      <c r="C235" s="2"/>
      <c r="D235" s="2"/>
      <c r="F235" s="2"/>
    </row>
    <row r="236" ht="15.75" customHeight="1">
      <c r="A236" s="2"/>
      <c r="C236" s="2"/>
      <c r="D236" s="2"/>
      <c r="F236" s="2"/>
    </row>
    <row r="237" ht="15.75" customHeight="1">
      <c r="A237" s="2"/>
      <c r="C237" s="2"/>
      <c r="D237" s="2"/>
      <c r="F237" s="2"/>
    </row>
    <row r="238" ht="15.75" customHeight="1">
      <c r="A238" s="2"/>
      <c r="C238" s="2"/>
      <c r="D238" s="2"/>
      <c r="F238" s="2"/>
    </row>
    <row r="239" ht="15.75" customHeight="1">
      <c r="A239" s="2"/>
      <c r="C239" s="2"/>
      <c r="D239" s="2"/>
      <c r="F239" s="2"/>
    </row>
    <row r="240" ht="15.75" customHeight="1">
      <c r="A240" s="2"/>
      <c r="C240" s="2"/>
      <c r="D240" s="2"/>
      <c r="F240" s="2"/>
    </row>
    <row r="241" ht="15.75" customHeight="1">
      <c r="A241" s="2"/>
      <c r="C241" s="2"/>
      <c r="D241" s="2"/>
      <c r="F241" s="2"/>
    </row>
    <row r="242" ht="15.75" customHeight="1">
      <c r="A242" s="2"/>
      <c r="C242" s="2"/>
      <c r="D242" s="2"/>
      <c r="F242" s="2"/>
    </row>
    <row r="243" ht="15.75" customHeight="1">
      <c r="A243" s="2"/>
      <c r="C243" s="2"/>
      <c r="D243" s="2"/>
      <c r="F243" s="2"/>
    </row>
    <row r="244" ht="15.75" customHeight="1">
      <c r="A244" s="2"/>
      <c r="C244" s="2"/>
      <c r="D244" s="2"/>
      <c r="F244" s="2"/>
    </row>
    <row r="245" ht="15.75" customHeight="1">
      <c r="A245" s="2"/>
      <c r="C245" s="2"/>
      <c r="D245" s="2"/>
      <c r="F245" s="2"/>
    </row>
    <row r="246" ht="15.75" customHeight="1">
      <c r="A246" s="2"/>
      <c r="C246" s="2"/>
      <c r="D246" s="2"/>
      <c r="F246" s="2"/>
    </row>
    <row r="247" ht="15.75" customHeight="1">
      <c r="A247" s="2"/>
      <c r="C247" s="2"/>
      <c r="D247" s="2"/>
      <c r="F247" s="2"/>
    </row>
    <row r="248" ht="15.75" customHeight="1">
      <c r="A248" s="2"/>
      <c r="C248" s="2"/>
      <c r="D248" s="2"/>
      <c r="F248" s="2"/>
    </row>
    <row r="249" ht="15.75" customHeight="1">
      <c r="A249" s="2"/>
      <c r="C249" s="2"/>
      <c r="D249" s="2"/>
      <c r="F249" s="2"/>
    </row>
    <row r="250" ht="15.75" customHeight="1">
      <c r="A250" s="2"/>
      <c r="C250" s="2"/>
      <c r="D250" s="2"/>
      <c r="F250" s="2"/>
    </row>
    <row r="251" ht="15.75" customHeight="1">
      <c r="A251" s="2"/>
      <c r="C251" s="2"/>
      <c r="D251" s="2"/>
      <c r="F251" s="2"/>
    </row>
    <row r="252" ht="15.75" customHeight="1">
      <c r="A252" s="2"/>
      <c r="C252" s="2"/>
      <c r="D252" s="2"/>
      <c r="F252" s="2"/>
    </row>
    <row r="253" ht="15.75" customHeight="1">
      <c r="A253" s="2"/>
      <c r="C253" s="2"/>
      <c r="D253" s="2"/>
      <c r="F253" s="2"/>
    </row>
    <row r="254" ht="15.75" customHeight="1">
      <c r="A254" s="2"/>
      <c r="C254" s="2"/>
      <c r="D254" s="2"/>
      <c r="F254" s="2"/>
    </row>
    <row r="255" ht="15.75" customHeight="1">
      <c r="A255" s="2"/>
      <c r="C255" s="2"/>
      <c r="D255" s="2"/>
      <c r="F255" s="2"/>
    </row>
    <row r="256" ht="15.75" customHeight="1">
      <c r="A256" s="2"/>
      <c r="C256" s="2"/>
      <c r="D256" s="2"/>
      <c r="F256" s="2"/>
    </row>
    <row r="257" ht="15.75" customHeight="1">
      <c r="A257" s="2"/>
      <c r="C257" s="2"/>
      <c r="D257" s="2"/>
      <c r="F257" s="2"/>
    </row>
    <row r="258" ht="15.75" customHeight="1">
      <c r="A258" s="2"/>
      <c r="C258" s="2"/>
      <c r="D258" s="2"/>
      <c r="F258" s="2"/>
    </row>
    <row r="259" ht="15.75" customHeight="1">
      <c r="A259" s="2"/>
      <c r="C259" s="2"/>
      <c r="D259" s="2"/>
      <c r="F259" s="2"/>
    </row>
    <row r="260" ht="15.75" customHeight="1">
      <c r="A260" s="2"/>
      <c r="C260" s="2"/>
      <c r="D260" s="2"/>
      <c r="F260" s="2"/>
    </row>
    <row r="261" ht="15.75" customHeight="1">
      <c r="A261" s="2"/>
      <c r="C261" s="2"/>
      <c r="D261" s="2"/>
      <c r="F261" s="2"/>
    </row>
    <row r="262" ht="15.75" customHeight="1">
      <c r="A262" s="2"/>
      <c r="C262" s="2"/>
      <c r="D262" s="2"/>
      <c r="F262" s="2"/>
    </row>
    <row r="263" ht="15.75" customHeight="1">
      <c r="A263" s="2"/>
      <c r="C263" s="2"/>
      <c r="D263" s="2"/>
      <c r="F263" s="2"/>
    </row>
    <row r="264" ht="15.75" customHeight="1">
      <c r="A264" s="2"/>
      <c r="C264" s="2"/>
      <c r="D264" s="2"/>
      <c r="F264" s="2"/>
    </row>
    <row r="265" ht="15.75" customHeight="1">
      <c r="A265" s="2"/>
      <c r="C265" s="2"/>
      <c r="D265" s="2"/>
      <c r="F265" s="2"/>
    </row>
    <row r="266" ht="15.75" customHeight="1">
      <c r="A266" s="2"/>
      <c r="C266" s="2"/>
      <c r="D266" s="2"/>
      <c r="F266" s="2"/>
    </row>
    <row r="267" ht="15.75" customHeight="1">
      <c r="A267" s="2"/>
      <c r="C267" s="2"/>
      <c r="D267" s="2"/>
      <c r="F267" s="2"/>
    </row>
    <row r="268" ht="15.75" customHeight="1">
      <c r="A268" s="2"/>
      <c r="C268" s="2"/>
      <c r="D268" s="2"/>
      <c r="F268" s="2"/>
    </row>
    <row r="269" ht="15.75" customHeight="1">
      <c r="A269" s="2"/>
      <c r="C269" s="2"/>
      <c r="D269" s="2"/>
      <c r="F269" s="2"/>
    </row>
    <row r="270" ht="15.75" customHeight="1">
      <c r="A270" s="2"/>
      <c r="C270" s="2"/>
      <c r="D270" s="2"/>
      <c r="F270" s="2"/>
    </row>
    <row r="271" ht="15.75" customHeight="1">
      <c r="A271" s="2"/>
      <c r="C271" s="2"/>
      <c r="D271" s="2"/>
      <c r="F271" s="2"/>
    </row>
    <row r="272" ht="15.75" customHeight="1">
      <c r="A272" s="2"/>
      <c r="C272" s="2"/>
      <c r="D272" s="2"/>
      <c r="F272" s="2"/>
    </row>
    <row r="273" ht="15.75" customHeight="1">
      <c r="A273" s="2"/>
      <c r="C273" s="2"/>
      <c r="D273" s="2"/>
      <c r="F273" s="2"/>
    </row>
    <row r="274" ht="15.75" customHeight="1">
      <c r="A274" s="2"/>
      <c r="C274" s="2"/>
      <c r="D274" s="2"/>
      <c r="F274" s="2"/>
    </row>
    <row r="275" ht="15.75" customHeight="1">
      <c r="A275" s="2"/>
      <c r="C275" s="2"/>
      <c r="D275" s="2"/>
      <c r="F275" s="2"/>
    </row>
    <row r="276" ht="15.75" customHeight="1">
      <c r="A276" s="2"/>
      <c r="C276" s="2"/>
      <c r="D276" s="2"/>
      <c r="F276" s="2"/>
    </row>
    <row r="277" ht="15.75" customHeight="1">
      <c r="A277" s="2"/>
      <c r="C277" s="2"/>
      <c r="D277" s="2"/>
      <c r="F277" s="2"/>
    </row>
    <row r="278" ht="15.75" customHeight="1">
      <c r="A278" s="2"/>
      <c r="C278" s="2"/>
      <c r="D278" s="2"/>
      <c r="F278" s="2"/>
    </row>
    <row r="279" ht="15.75" customHeight="1">
      <c r="A279" s="2"/>
      <c r="C279" s="2"/>
      <c r="D279" s="2"/>
      <c r="F279" s="2"/>
    </row>
    <row r="280" ht="15.75" customHeight="1">
      <c r="A280" s="2"/>
      <c r="C280" s="2"/>
      <c r="D280" s="2"/>
      <c r="F280" s="2"/>
    </row>
    <row r="281" ht="15.75" customHeight="1">
      <c r="A281" s="2"/>
      <c r="C281" s="2"/>
      <c r="D281" s="2"/>
      <c r="F281" s="2"/>
    </row>
    <row r="282" ht="15.75" customHeight="1">
      <c r="A282" s="2"/>
      <c r="C282" s="2"/>
      <c r="D282" s="2"/>
      <c r="F282" s="2"/>
    </row>
    <row r="283" ht="15.75" customHeight="1">
      <c r="A283" s="2"/>
      <c r="C283" s="2"/>
      <c r="D283" s="2"/>
      <c r="F283" s="2"/>
    </row>
    <row r="284" ht="15.75" customHeight="1">
      <c r="A284" s="2"/>
      <c r="C284" s="2"/>
      <c r="D284" s="2"/>
      <c r="F284" s="2"/>
    </row>
    <row r="285" ht="15.75" customHeight="1">
      <c r="A285" s="2"/>
      <c r="C285" s="2"/>
      <c r="D285" s="2"/>
      <c r="F285" s="2"/>
    </row>
    <row r="286" ht="15.75" customHeight="1">
      <c r="A286" s="2"/>
      <c r="C286" s="2"/>
      <c r="D286" s="2"/>
      <c r="F286" s="2"/>
    </row>
    <row r="287" ht="15.75" customHeight="1">
      <c r="A287" s="2"/>
      <c r="C287" s="2"/>
      <c r="D287" s="2"/>
      <c r="F287" s="2"/>
    </row>
    <row r="288" ht="15.75" customHeight="1">
      <c r="A288" s="2"/>
      <c r="C288" s="2"/>
      <c r="D288" s="2"/>
      <c r="F288" s="2"/>
    </row>
    <row r="289" ht="15.75" customHeight="1">
      <c r="A289" s="2"/>
      <c r="C289" s="2"/>
      <c r="D289" s="2"/>
      <c r="F289" s="2"/>
    </row>
    <row r="290" ht="15.75" customHeight="1">
      <c r="A290" s="2"/>
      <c r="C290" s="2"/>
      <c r="D290" s="2"/>
      <c r="F290" s="2"/>
    </row>
    <row r="291" ht="15.75" customHeight="1">
      <c r="A291" s="2"/>
      <c r="C291" s="2"/>
      <c r="D291" s="2"/>
      <c r="F291" s="2"/>
    </row>
    <row r="292" ht="15.75" customHeight="1">
      <c r="A292" s="2"/>
      <c r="C292" s="2"/>
      <c r="D292" s="2"/>
      <c r="F292" s="2"/>
    </row>
    <row r="293" ht="15.75" customHeight="1">
      <c r="A293" s="2"/>
      <c r="C293" s="2"/>
      <c r="D293" s="2"/>
      <c r="F293" s="2"/>
    </row>
    <row r="294" ht="15.75" customHeight="1">
      <c r="A294" s="2"/>
      <c r="C294" s="2"/>
      <c r="D294" s="2"/>
      <c r="F294" s="2"/>
    </row>
    <row r="295" ht="15.75" customHeight="1">
      <c r="A295" s="2"/>
      <c r="C295" s="2"/>
      <c r="D295" s="2"/>
      <c r="F295" s="2"/>
    </row>
    <row r="296" ht="15.75" customHeight="1">
      <c r="A296" s="2"/>
      <c r="C296" s="2"/>
      <c r="D296" s="2"/>
      <c r="F296" s="2"/>
    </row>
    <row r="297" ht="15.75" customHeight="1">
      <c r="A297" s="2"/>
      <c r="C297" s="2"/>
      <c r="D297" s="2"/>
      <c r="F297" s="2"/>
    </row>
    <row r="298" ht="15.75" customHeight="1">
      <c r="A298" s="2"/>
      <c r="C298" s="2"/>
      <c r="D298" s="2"/>
      <c r="F298" s="2"/>
    </row>
    <row r="299" ht="15.75" customHeight="1">
      <c r="A299" s="2"/>
      <c r="C299" s="2"/>
      <c r="D299" s="2"/>
      <c r="F299" s="2"/>
    </row>
    <row r="300" ht="15.75" customHeight="1">
      <c r="A300" s="2"/>
      <c r="C300" s="2"/>
      <c r="D300" s="2"/>
      <c r="F300" s="2"/>
    </row>
    <row r="301" ht="15.75" customHeight="1">
      <c r="A301" s="2"/>
      <c r="C301" s="2"/>
      <c r="D301" s="2"/>
      <c r="F301" s="2"/>
    </row>
    <row r="302" ht="15.75" customHeight="1">
      <c r="A302" s="2"/>
      <c r="C302" s="2"/>
      <c r="D302" s="2"/>
      <c r="F302" s="2"/>
    </row>
    <row r="303" ht="15.75" customHeight="1">
      <c r="A303" s="2"/>
      <c r="C303" s="2"/>
      <c r="D303" s="2"/>
      <c r="F303" s="2"/>
    </row>
    <row r="304" ht="15.75" customHeight="1">
      <c r="A304" s="2"/>
      <c r="C304" s="2"/>
      <c r="D304" s="2"/>
      <c r="F304" s="2"/>
    </row>
    <row r="305" ht="15.75" customHeight="1">
      <c r="A305" s="2"/>
      <c r="C305" s="2"/>
      <c r="D305" s="2"/>
      <c r="F305" s="2"/>
    </row>
    <row r="306" ht="15.75" customHeight="1">
      <c r="A306" s="2"/>
      <c r="C306" s="2"/>
      <c r="D306" s="2"/>
      <c r="F306" s="2"/>
    </row>
    <row r="307" ht="15.75" customHeight="1">
      <c r="A307" s="2"/>
      <c r="C307" s="2"/>
      <c r="D307" s="2"/>
      <c r="F307" s="2"/>
    </row>
    <row r="308" ht="15.75" customHeight="1">
      <c r="A308" s="2"/>
      <c r="C308" s="2"/>
      <c r="D308" s="2"/>
      <c r="F308" s="2"/>
    </row>
    <row r="309" ht="15.75" customHeight="1">
      <c r="A309" s="2"/>
      <c r="C309" s="2"/>
      <c r="D309" s="2"/>
      <c r="F309" s="2"/>
    </row>
    <row r="310" ht="15.75" customHeight="1">
      <c r="A310" s="2"/>
      <c r="C310" s="2"/>
      <c r="D310" s="2"/>
      <c r="F310" s="2"/>
    </row>
    <row r="311" ht="15.75" customHeight="1">
      <c r="A311" s="2"/>
      <c r="C311" s="2"/>
      <c r="D311" s="2"/>
      <c r="F311" s="2"/>
    </row>
    <row r="312" ht="15.75" customHeight="1">
      <c r="A312" s="2"/>
      <c r="C312" s="2"/>
      <c r="D312" s="2"/>
      <c r="F312" s="2"/>
    </row>
    <row r="313" ht="15.75" customHeight="1">
      <c r="A313" s="2"/>
      <c r="C313" s="2"/>
      <c r="D313" s="2"/>
      <c r="F313" s="2"/>
    </row>
    <row r="314" ht="15.75" customHeight="1">
      <c r="A314" s="2"/>
      <c r="C314" s="2"/>
      <c r="D314" s="2"/>
      <c r="F314" s="2"/>
    </row>
    <row r="315" ht="15.75" customHeight="1">
      <c r="A315" s="2"/>
      <c r="C315" s="2"/>
      <c r="D315" s="2"/>
      <c r="F315" s="2"/>
    </row>
    <row r="316" ht="15.75" customHeight="1">
      <c r="A316" s="2"/>
      <c r="C316" s="2"/>
      <c r="D316" s="2"/>
      <c r="F316" s="2"/>
    </row>
    <row r="317" ht="15.75" customHeight="1">
      <c r="A317" s="2"/>
      <c r="C317" s="2"/>
      <c r="D317" s="2"/>
      <c r="F317" s="2"/>
    </row>
    <row r="318" ht="15.75" customHeight="1">
      <c r="A318" s="2"/>
      <c r="C318" s="2"/>
      <c r="D318" s="2"/>
      <c r="F318" s="2"/>
    </row>
    <row r="319" ht="15.75" customHeight="1">
      <c r="A319" s="2"/>
      <c r="C319" s="2"/>
      <c r="D319" s="2"/>
      <c r="F319" s="2"/>
    </row>
    <row r="320" ht="15.75" customHeight="1">
      <c r="A320" s="2"/>
      <c r="C320" s="2"/>
      <c r="D320" s="2"/>
      <c r="F320" s="2"/>
    </row>
    <row r="321" ht="15.75" customHeight="1">
      <c r="A321" s="2"/>
      <c r="C321" s="2"/>
      <c r="D321" s="2"/>
      <c r="F321" s="2"/>
    </row>
    <row r="322" ht="15.75" customHeight="1">
      <c r="A322" s="2"/>
      <c r="C322" s="2"/>
      <c r="D322" s="2"/>
      <c r="F322" s="2"/>
    </row>
    <row r="323" ht="15.75" customHeight="1">
      <c r="A323" s="2"/>
      <c r="C323" s="2"/>
      <c r="D323" s="2"/>
      <c r="F323" s="2"/>
    </row>
    <row r="324" ht="15.75" customHeight="1">
      <c r="A324" s="2"/>
      <c r="C324" s="2"/>
      <c r="D324" s="2"/>
      <c r="F324" s="2"/>
    </row>
    <row r="325" ht="15.75" customHeight="1">
      <c r="A325" s="2"/>
      <c r="C325" s="2"/>
      <c r="D325" s="2"/>
      <c r="F325" s="2"/>
    </row>
    <row r="326" ht="15.75" customHeight="1">
      <c r="A326" s="2"/>
      <c r="C326" s="2"/>
      <c r="D326" s="2"/>
      <c r="F326" s="2"/>
    </row>
    <row r="327" ht="15.75" customHeight="1">
      <c r="A327" s="2"/>
      <c r="C327" s="2"/>
      <c r="D327" s="2"/>
      <c r="F327" s="2"/>
    </row>
    <row r="328" ht="15.75" customHeight="1">
      <c r="A328" s="2"/>
      <c r="C328" s="2"/>
      <c r="D328" s="2"/>
      <c r="F328" s="2"/>
    </row>
    <row r="329" ht="15.75" customHeight="1">
      <c r="A329" s="2"/>
      <c r="C329" s="2"/>
      <c r="D329" s="2"/>
      <c r="F329" s="2"/>
    </row>
    <row r="330" ht="15.75" customHeight="1">
      <c r="A330" s="2"/>
      <c r="C330" s="2"/>
      <c r="D330" s="2"/>
      <c r="F330" s="2"/>
    </row>
    <row r="331" ht="15.75" customHeight="1">
      <c r="A331" s="2"/>
      <c r="C331" s="2"/>
      <c r="D331" s="2"/>
      <c r="F331" s="2"/>
    </row>
    <row r="332" ht="15.75" customHeight="1">
      <c r="A332" s="2"/>
      <c r="C332" s="2"/>
      <c r="D332" s="2"/>
      <c r="F332" s="2"/>
    </row>
    <row r="333" ht="15.75" customHeight="1">
      <c r="A333" s="2"/>
      <c r="C333" s="2"/>
      <c r="D333" s="2"/>
      <c r="F333" s="2"/>
    </row>
    <row r="334" ht="15.75" customHeight="1">
      <c r="A334" s="2"/>
      <c r="C334" s="2"/>
      <c r="D334" s="2"/>
      <c r="F334" s="2"/>
    </row>
    <row r="335" ht="15.75" customHeight="1">
      <c r="A335" s="2"/>
      <c r="C335" s="2"/>
      <c r="D335" s="2"/>
      <c r="F335" s="2"/>
    </row>
    <row r="336" ht="15.75" customHeight="1">
      <c r="A336" s="2"/>
      <c r="C336" s="2"/>
      <c r="D336" s="2"/>
      <c r="F336" s="2"/>
    </row>
    <row r="337" ht="15.75" customHeight="1">
      <c r="A337" s="2"/>
      <c r="C337" s="2"/>
      <c r="D337" s="2"/>
      <c r="F337" s="2"/>
    </row>
    <row r="338" ht="15.75" customHeight="1">
      <c r="A338" s="2"/>
      <c r="C338" s="2"/>
      <c r="D338" s="2"/>
      <c r="F338" s="2"/>
    </row>
    <row r="339" ht="15.75" customHeight="1">
      <c r="A339" s="2"/>
      <c r="C339" s="2"/>
      <c r="D339" s="2"/>
      <c r="F339" s="2"/>
    </row>
    <row r="340" ht="15.75" customHeight="1">
      <c r="A340" s="2"/>
      <c r="C340" s="2"/>
      <c r="D340" s="2"/>
      <c r="F340" s="2"/>
    </row>
    <row r="341" ht="15.75" customHeight="1">
      <c r="A341" s="2"/>
      <c r="C341" s="2"/>
      <c r="D341" s="2"/>
      <c r="F341" s="2"/>
    </row>
    <row r="342" ht="15.75" customHeight="1">
      <c r="A342" s="2"/>
      <c r="C342" s="2"/>
      <c r="D342" s="2"/>
      <c r="F342" s="2"/>
    </row>
    <row r="343" ht="15.75" customHeight="1">
      <c r="A343" s="2"/>
      <c r="C343" s="2"/>
      <c r="D343" s="2"/>
      <c r="F343" s="2"/>
    </row>
    <row r="344" ht="15.75" customHeight="1">
      <c r="A344" s="2"/>
      <c r="C344" s="2"/>
      <c r="D344" s="2"/>
      <c r="F344" s="2"/>
    </row>
    <row r="345" ht="15.75" customHeight="1">
      <c r="A345" s="2"/>
      <c r="C345" s="2"/>
      <c r="D345" s="2"/>
      <c r="F345" s="2"/>
    </row>
    <row r="346" ht="15.75" customHeight="1">
      <c r="A346" s="2"/>
      <c r="C346" s="2"/>
      <c r="D346" s="2"/>
      <c r="F346" s="2"/>
    </row>
    <row r="347" ht="15.75" customHeight="1">
      <c r="A347" s="2"/>
      <c r="C347" s="2"/>
      <c r="D347" s="2"/>
      <c r="F347" s="2"/>
    </row>
    <row r="348" ht="15.75" customHeight="1">
      <c r="A348" s="2"/>
      <c r="C348" s="2"/>
      <c r="D348" s="2"/>
      <c r="F348" s="2"/>
    </row>
    <row r="349" ht="15.75" customHeight="1">
      <c r="A349" s="2"/>
      <c r="C349" s="2"/>
      <c r="D349" s="2"/>
      <c r="F349" s="2"/>
    </row>
    <row r="350" ht="15.75" customHeight="1">
      <c r="A350" s="2"/>
      <c r="C350" s="2"/>
      <c r="D350" s="2"/>
      <c r="F350" s="2"/>
    </row>
    <row r="351" ht="15.75" customHeight="1">
      <c r="A351" s="2"/>
      <c r="C351" s="2"/>
      <c r="D351" s="2"/>
      <c r="F351" s="2"/>
    </row>
    <row r="352" ht="15.75" customHeight="1">
      <c r="A352" s="2"/>
      <c r="C352" s="2"/>
      <c r="D352" s="2"/>
      <c r="F352" s="2"/>
    </row>
    <row r="353" ht="15.75" customHeight="1">
      <c r="A353" s="2"/>
      <c r="C353" s="2"/>
      <c r="D353" s="2"/>
      <c r="F353" s="2"/>
    </row>
    <row r="354" ht="15.75" customHeight="1">
      <c r="A354" s="2"/>
      <c r="C354" s="2"/>
      <c r="D354" s="2"/>
      <c r="F354" s="2"/>
    </row>
    <row r="355" ht="15.75" customHeight="1">
      <c r="A355" s="2"/>
      <c r="C355" s="2"/>
      <c r="D355" s="2"/>
      <c r="F355" s="2"/>
    </row>
    <row r="356" ht="15.75" customHeight="1">
      <c r="A356" s="2"/>
      <c r="C356" s="2"/>
      <c r="D356" s="2"/>
      <c r="F356" s="2"/>
    </row>
    <row r="357" ht="15.75" customHeight="1">
      <c r="A357" s="2"/>
      <c r="C357" s="2"/>
      <c r="D357" s="2"/>
      <c r="F357" s="2"/>
    </row>
    <row r="358" ht="15.75" customHeight="1">
      <c r="A358" s="2"/>
      <c r="C358" s="2"/>
      <c r="D358" s="2"/>
      <c r="F358" s="2"/>
    </row>
    <row r="359" ht="15.75" customHeight="1">
      <c r="A359" s="2"/>
      <c r="C359" s="2"/>
      <c r="D359" s="2"/>
      <c r="F359" s="2"/>
    </row>
    <row r="360" ht="15.75" customHeight="1">
      <c r="A360" s="2"/>
      <c r="C360" s="2"/>
      <c r="D360" s="2"/>
      <c r="F360" s="2"/>
    </row>
    <row r="361" ht="15.75" customHeight="1">
      <c r="A361" s="2"/>
      <c r="C361" s="2"/>
      <c r="D361" s="2"/>
      <c r="F361" s="2"/>
    </row>
    <row r="362" ht="15.75" customHeight="1">
      <c r="A362" s="2"/>
      <c r="C362" s="2"/>
      <c r="D362" s="2"/>
      <c r="F362" s="2"/>
    </row>
    <row r="363" ht="15.75" customHeight="1">
      <c r="A363" s="2"/>
      <c r="C363" s="2"/>
      <c r="D363" s="2"/>
      <c r="F363" s="2"/>
    </row>
    <row r="364" ht="15.75" customHeight="1">
      <c r="A364" s="2"/>
      <c r="C364" s="2"/>
      <c r="D364" s="2"/>
      <c r="F364" s="2"/>
    </row>
    <row r="365" ht="15.75" customHeight="1">
      <c r="A365" s="2"/>
      <c r="C365" s="2"/>
      <c r="D365" s="2"/>
      <c r="F365" s="2"/>
    </row>
    <row r="366" ht="15.75" customHeight="1">
      <c r="A366" s="2"/>
      <c r="C366" s="2"/>
      <c r="D366" s="2"/>
      <c r="F366" s="2"/>
    </row>
    <row r="367" ht="15.75" customHeight="1">
      <c r="A367" s="2"/>
      <c r="C367" s="2"/>
      <c r="D367" s="2"/>
      <c r="F367" s="2"/>
    </row>
    <row r="368" ht="15.75" customHeight="1">
      <c r="A368" s="2"/>
      <c r="C368" s="2"/>
      <c r="D368" s="2"/>
      <c r="F368" s="2"/>
    </row>
    <row r="369" ht="15.75" customHeight="1">
      <c r="A369" s="2"/>
      <c r="C369" s="2"/>
      <c r="D369" s="2"/>
      <c r="F369" s="2"/>
    </row>
    <row r="370" ht="15.75" customHeight="1">
      <c r="A370" s="2"/>
      <c r="C370" s="2"/>
      <c r="D370" s="2"/>
      <c r="F370" s="2"/>
    </row>
    <row r="371" ht="15.75" customHeight="1">
      <c r="A371" s="2"/>
      <c r="C371" s="2"/>
      <c r="D371" s="2"/>
      <c r="F371" s="2"/>
    </row>
    <row r="372" ht="15.75" customHeight="1">
      <c r="A372" s="2"/>
      <c r="C372" s="2"/>
      <c r="D372" s="2"/>
      <c r="F372" s="2"/>
    </row>
    <row r="373" ht="15.75" customHeight="1">
      <c r="A373" s="2"/>
      <c r="C373" s="2"/>
      <c r="D373" s="2"/>
      <c r="F373" s="2"/>
    </row>
    <row r="374" ht="15.75" customHeight="1">
      <c r="A374" s="2"/>
      <c r="C374" s="2"/>
      <c r="D374" s="2"/>
      <c r="F374" s="2"/>
    </row>
    <row r="375" ht="15.75" customHeight="1">
      <c r="A375" s="2"/>
      <c r="C375" s="2"/>
      <c r="D375" s="2"/>
      <c r="F375" s="2"/>
    </row>
    <row r="376" ht="15.75" customHeight="1">
      <c r="A376" s="2"/>
      <c r="C376" s="2"/>
      <c r="D376" s="2"/>
      <c r="F376" s="2"/>
    </row>
    <row r="377" ht="15.75" customHeight="1">
      <c r="A377" s="2"/>
      <c r="C377" s="2"/>
      <c r="D377" s="2"/>
      <c r="F377" s="2"/>
    </row>
    <row r="378" ht="15.75" customHeight="1">
      <c r="A378" s="2"/>
      <c r="C378" s="2"/>
      <c r="D378" s="2"/>
      <c r="F378" s="2"/>
    </row>
    <row r="379" ht="15.75" customHeight="1">
      <c r="A379" s="2"/>
      <c r="C379" s="2"/>
      <c r="D379" s="2"/>
      <c r="F379" s="2"/>
    </row>
    <row r="380" ht="15.75" customHeight="1">
      <c r="A380" s="2"/>
      <c r="C380" s="2"/>
      <c r="D380" s="2"/>
      <c r="F380" s="2"/>
    </row>
    <row r="381" ht="15.75" customHeight="1">
      <c r="A381" s="2"/>
      <c r="C381" s="2"/>
      <c r="D381" s="2"/>
      <c r="F381" s="2"/>
    </row>
    <row r="382" ht="15.75" customHeight="1">
      <c r="A382" s="2"/>
      <c r="C382" s="2"/>
      <c r="D382" s="2"/>
      <c r="F382" s="2"/>
    </row>
    <row r="383" ht="15.75" customHeight="1">
      <c r="A383" s="2"/>
      <c r="C383" s="2"/>
      <c r="D383" s="2"/>
      <c r="F383" s="2"/>
    </row>
    <row r="384" ht="15.75" customHeight="1">
      <c r="A384" s="2"/>
      <c r="C384" s="2"/>
      <c r="D384" s="2"/>
      <c r="F384" s="2"/>
    </row>
    <row r="385" ht="15.75" customHeight="1">
      <c r="A385" s="2"/>
      <c r="C385" s="2"/>
      <c r="D385" s="2"/>
      <c r="F385" s="2"/>
    </row>
    <row r="386" ht="15.75" customHeight="1">
      <c r="A386" s="2"/>
      <c r="C386" s="2"/>
      <c r="D386" s="2"/>
      <c r="F386" s="2"/>
    </row>
    <row r="387" ht="15.75" customHeight="1">
      <c r="A387" s="2"/>
      <c r="C387" s="2"/>
      <c r="D387" s="2"/>
      <c r="F387" s="2"/>
    </row>
    <row r="388" ht="15.75" customHeight="1">
      <c r="A388" s="2"/>
      <c r="C388" s="2"/>
      <c r="D388" s="2"/>
      <c r="F388" s="2"/>
    </row>
    <row r="389" ht="15.75" customHeight="1">
      <c r="A389" s="2"/>
      <c r="C389" s="2"/>
      <c r="D389" s="2"/>
      <c r="F389" s="2"/>
    </row>
    <row r="390" ht="15.75" customHeight="1">
      <c r="A390" s="2"/>
      <c r="C390" s="2"/>
      <c r="D390" s="2"/>
      <c r="F390" s="2"/>
    </row>
    <row r="391" ht="15.75" customHeight="1">
      <c r="A391" s="2"/>
      <c r="C391" s="2"/>
      <c r="D391" s="2"/>
      <c r="F391" s="2"/>
    </row>
    <row r="392" ht="15.75" customHeight="1">
      <c r="A392" s="2"/>
      <c r="C392" s="2"/>
      <c r="D392" s="2"/>
      <c r="F392" s="2"/>
    </row>
    <row r="393" ht="15.75" customHeight="1">
      <c r="A393" s="2"/>
      <c r="C393" s="2"/>
      <c r="D393" s="2"/>
      <c r="F393" s="2"/>
    </row>
    <row r="394" ht="15.75" customHeight="1">
      <c r="A394" s="2"/>
      <c r="C394" s="2"/>
      <c r="D394" s="2"/>
      <c r="F394" s="2"/>
    </row>
    <row r="395" ht="15.75" customHeight="1">
      <c r="A395" s="2"/>
      <c r="C395" s="2"/>
      <c r="D395" s="2"/>
      <c r="F395" s="2"/>
    </row>
    <row r="396" ht="15.75" customHeight="1">
      <c r="A396" s="2"/>
      <c r="C396" s="2"/>
      <c r="D396" s="2"/>
      <c r="F396" s="2"/>
    </row>
    <row r="397" ht="15.75" customHeight="1">
      <c r="A397" s="2"/>
      <c r="C397" s="2"/>
      <c r="D397" s="2"/>
      <c r="F397" s="2"/>
    </row>
    <row r="398" ht="15.75" customHeight="1">
      <c r="A398" s="2"/>
      <c r="C398" s="2"/>
      <c r="D398" s="2"/>
      <c r="F398" s="2"/>
    </row>
    <row r="399" ht="15.75" customHeight="1">
      <c r="A399" s="2"/>
      <c r="C399" s="2"/>
      <c r="D399" s="2"/>
      <c r="F399" s="2"/>
    </row>
    <row r="400" ht="15.75" customHeight="1">
      <c r="A400" s="2"/>
      <c r="C400" s="2"/>
      <c r="D400" s="2"/>
      <c r="F400" s="2"/>
    </row>
    <row r="401" ht="15.75" customHeight="1">
      <c r="A401" s="2"/>
      <c r="C401" s="2"/>
      <c r="D401" s="2"/>
      <c r="F401" s="2"/>
    </row>
    <row r="402" ht="15.75" customHeight="1">
      <c r="A402" s="2"/>
      <c r="C402" s="2"/>
      <c r="D402" s="2"/>
      <c r="F402" s="2"/>
    </row>
    <row r="403" ht="15.75" customHeight="1">
      <c r="A403" s="2"/>
      <c r="C403" s="2"/>
      <c r="D403" s="2"/>
      <c r="F403" s="2"/>
    </row>
    <row r="404" ht="15.75" customHeight="1">
      <c r="A404" s="2"/>
      <c r="C404" s="2"/>
      <c r="D404" s="2"/>
      <c r="F404" s="2"/>
    </row>
    <row r="405" ht="15.75" customHeight="1">
      <c r="A405" s="2"/>
      <c r="C405" s="2"/>
      <c r="D405" s="2"/>
      <c r="F405" s="2"/>
    </row>
    <row r="406" ht="15.75" customHeight="1">
      <c r="A406" s="2"/>
      <c r="C406" s="2"/>
      <c r="D406" s="2"/>
      <c r="F406" s="2"/>
    </row>
    <row r="407" ht="15.75" customHeight="1">
      <c r="A407" s="2"/>
      <c r="C407" s="2"/>
      <c r="D407" s="2"/>
      <c r="F407" s="2"/>
    </row>
    <row r="408" ht="15.75" customHeight="1">
      <c r="A408" s="2"/>
      <c r="C408" s="2"/>
      <c r="D408" s="2"/>
      <c r="F408" s="2"/>
    </row>
    <row r="409" ht="15.75" customHeight="1">
      <c r="A409" s="2"/>
      <c r="C409" s="2"/>
      <c r="D409" s="2"/>
      <c r="F409" s="2"/>
    </row>
    <row r="410" ht="15.75" customHeight="1">
      <c r="A410" s="2"/>
      <c r="C410" s="2"/>
      <c r="D410" s="2"/>
      <c r="F410" s="2"/>
    </row>
    <row r="411" ht="15.75" customHeight="1">
      <c r="A411" s="2"/>
      <c r="C411" s="2"/>
      <c r="D411" s="2"/>
      <c r="F411" s="2"/>
    </row>
    <row r="412" ht="15.75" customHeight="1">
      <c r="A412" s="2"/>
      <c r="C412" s="2"/>
      <c r="D412" s="2"/>
      <c r="F412" s="2"/>
    </row>
    <row r="413" ht="15.75" customHeight="1">
      <c r="A413" s="2"/>
      <c r="C413" s="2"/>
      <c r="D413" s="2"/>
      <c r="F413" s="2"/>
    </row>
    <row r="414" ht="15.75" customHeight="1">
      <c r="A414" s="2"/>
      <c r="C414" s="2"/>
      <c r="D414" s="2"/>
      <c r="F414" s="2"/>
    </row>
    <row r="415" ht="15.75" customHeight="1">
      <c r="A415" s="2"/>
      <c r="C415" s="2"/>
      <c r="D415" s="2"/>
      <c r="F415" s="2"/>
    </row>
    <row r="416" ht="15.75" customHeight="1">
      <c r="A416" s="2"/>
      <c r="C416" s="2"/>
      <c r="D416" s="2"/>
      <c r="F416" s="2"/>
    </row>
    <row r="417" ht="15.75" customHeight="1">
      <c r="A417" s="2"/>
      <c r="C417" s="2"/>
      <c r="D417" s="2"/>
      <c r="F417" s="2"/>
    </row>
    <row r="418" ht="15.75" customHeight="1">
      <c r="A418" s="2"/>
      <c r="C418" s="2"/>
      <c r="D418" s="2"/>
      <c r="F418" s="2"/>
    </row>
    <row r="419" ht="15.75" customHeight="1">
      <c r="A419" s="2"/>
      <c r="C419" s="2"/>
      <c r="D419" s="2"/>
      <c r="F419" s="2"/>
    </row>
    <row r="420" ht="15.75" customHeight="1">
      <c r="A420" s="2"/>
      <c r="C420" s="2"/>
      <c r="D420" s="2"/>
      <c r="F420" s="2"/>
    </row>
    <row r="421" ht="15.75" customHeight="1">
      <c r="A421" s="2"/>
      <c r="C421" s="2"/>
      <c r="D421" s="2"/>
      <c r="F421" s="2"/>
    </row>
    <row r="422" ht="15.75" customHeight="1">
      <c r="A422" s="2"/>
      <c r="C422" s="2"/>
      <c r="D422" s="2"/>
      <c r="F422" s="2"/>
    </row>
    <row r="423" ht="15.75" customHeight="1">
      <c r="A423" s="2"/>
      <c r="C423" s="2"/>
      <c r="D423" s="2"/>
      <c r="F423" s="2"/>
    </row>
    <row r="424" ht="15.75" customHeight="1">
      <c r="A424" s="2"/>
      <c r="C424" s="2"/>
      <c r="D424" s="2"/>
      <c r="F424" s="2"/>
    </row>
    <row r="425" ht="15.75" customHeight="1">
      <c r="A425" s="2"/>
      <c r="C425" s="2"/>
      <c r="D425" s="2"/>
      <c r="F425" s="2"/>
    </row>
    <row r="426" ht="15.75" customHeight="1">
      <c r="A426" s="2"/>
      <c r="C426" s="2"/>
      <c r="D426" s="2"/>
      <c r="F426" s="2"/>
    </row>
    <row r="427" ht="15.75" customHeight="1">
      <c r="A427" s="2"/>
      <c r="C427" s="2"/>
      <c r="D427" s="2"/>
      <c r="F427" s="2"/>
    </row>
    <row r="428" ht="15.75" customHeight="1">
      <c r="A428" s="2"/>
      <c r="C428" s="2"/>
      <c r="D428" s="2"/>
      <c r="F428" s="2"/>
    </row>
    <row r="429" ht="15.75" customHeight="1">
      <c r="A429" s="2"/>
      <c r="C429" s="2"/>
      <c r="D429" s="2"/>
      <c r="F429" s="2"/>
    </row>
    <row r="430" ht="15.75" customHeight="1">
      <c r="A430" s="2"/>
      <c r="C430" s="2"/>
      <c r="D430" s="2"/>
      <c r="F430" s="2"/>
    </row>
    <row r="431" ht="15.75" customHeight="1">
      <c r="A431" s="2"/>
      <c r="C431" s="2"/>
      <c r="D431" s="2"/>
      <c r="F431" s="2"/>
    </row>
    <row r="432" ht="15.75" customHeight="1">
      <c r="A432" s="2"/>
      <c r="C432" s="2"/>
      <c r="D432" s="2"/>
      <c r="F432" s="2"/>
    </row>
    <row r="433" ht="15.75" customHeight="1">
      <c r="A433" s="2"/>
      <c r="C433" s="2"/>
      <c r="D433" s="2"/>
      <c r="F433" s="2"/>
    </row>
    <row r="434" ht="15.75" customHeight="1">
      <c r="A434" s="2"/>
      <c r="C434" s="2"/>
      <c r="D434" s="2"/>
      <c r="F434" s="2"/>
    </row>
    <row r="435" ht="15.75" customHeight="1">
      <c r="A435" s="2"/>
      <c r="C435" s="2"/>
      <c r="D435" s="2"/>
      <c r="F435" s="2"/>
    </row>
    <row r="436" ht="15.75" customHeight="1">
      <c r="A436" s="2"/>
      <c r="C436" s="2"/>
      <c r="D436" s="2"/>
      <c r="F436" s="2"/>
    </row>
    <row r="437" ht="15.75" customHeight="1">
      <c r="A437" s="2"/>
      <c r="C437" s="2"/>
      <c r="D437" s="2"/>
      <c r="F437" s="2"/>
    </row>
    <row r="438" ht="15.75" customHeight="1">
      <c r="A438" s="2"/>
      <c r="C438" s="2"/>
      <c r="D438" s="2"/>
      <c r="F438" s="2"/>
    </row>
    <row r="439" ht="15.75" customHeight="1">
      <c r="A439" s="2"/>
      <c r="C439" s="2"/>
      <c r="D439" s="2"/>
      <c r="F439" s="2"/>
    </row>
    <row r="440" ht="15.75" customHeight="1">
      <c r="A440" s="2"/>
      <c r="C440" s="2"/>
      <c r="D440" s="2"/>
      <c r="F440" s="2"/>
    </row>
    <row r="441" ht="15.75" customHeight="1">
      <c r="A441" s="2"/>
      <c r="C441" s="2"/>
      <c r="D441" s="2"/>
      <c r="F441" s="2"/>
    </row>
    <row r="442" ht="15.75" customHeight="1">
      <c r="A442" s="2"/>
      <c r="C442" s="2"/>
      <c r="D442" s="2"/>
      <c r="F442" s="2"/>
    </row>
    <row r="443" ht="15.75" customHeight="1">
      <c r="A443" s="2"/>
      <c r="C443" s="2"/>
      <c r="D443" s="2"/>
      <c r="F443" s="2"/>
    </row>
    <row r="444" ht="15.75" customHeight="1">
      <c r="A444" s="2"/>
      <c r="C444" s="2"/>
      <c r="D444" s="2"/>
      <c r="F444" s="2"/>
    </row>
    <row r="445" ht="15.75" customHeight="1">
      <c r="A445" s="2"/>
      <c r="C445" s="2"/>
      <c r="D445" s="2"/>
      <c r="F445" s="2"/>
    </row>
    <row r="446" ht="15.75" customHeight="1">
      <c r="A446" s="2"/>
      <c r="C446" s="2"/>
      <c r="D446" s="2"/>
      <c r="F446" s="2"/>
    </row>
    <row r="447" ht="15.75" customHeight="1">
      <c r="A447" s="2"/>
      <c r="C447" s="2"/>
      <c r="D447" s="2"/>
      <c r="F447" s="2"/>
    </row>
    <row r="448" ht="15.75" customHeight="1">
      <c r="A448" s="2"/>
      <c r="C448" s="2"/>
      <c r="D448" s="2"/>
      <c r="F448" s="2"/>
    </row>
    <row r="449" ht="15.75" customHeight="1">
      <c r="A449" s="2"/>
      <c r="C449" s="2"/>
      <c r="D449" s="2"/>
      <c r="F449" s="2"/>
    </row>
    <row r="450" ht="15.75" customHeight="1">
      <c r="A450" s="2"/>
      <c r="C450" s="2"/>
      <c r="D450" s="2"/>
      <c r="F450" s="2"/>
    </row>
    <row r="451" ht="15.75" customHeight="1">
      <c r="A451" s="2"/>
      <c r="C451" s="2"/>
      <c r="D451" s="2"/>
      <c r="F451" s="2"/>
    </row>
    <row r="452" ht="15.75" customHeight="1">
      <c r="A452" s="2"/>
      <c r="C452" s="2"/>
      <c r="D452" s="2"/>
      <c r="F452" s="2"/>
    </row>
    <row r="453" ht="15.75" customHeight="1">
      <c r="A453" s="2"/>
      <c r="C453" s="2"/>
      <c r="D453" s="2"/>
      <c r="F453" s="2"/>
    </row>
    <row r="454" ht="15.75" customHeight="1">
      <c r="A454" s="2"/>
      <c r="C454" s="2"/>
      <c r="D454" s="2"/>
      <c r="F454" s="2"/>
    </row>
    <row r="455" ht="15.75" customHeight="1">
      <c r="A455" s="2"/>
      <c r="C455" s="2"/>
      <c r="D455" s="2"/>
      <c r="F455" s="2"/>
    </row>
    <row r="456" ht="15.75" customHeight="1">
      <c r="A456" s="2"/>
      <c r="C456" s="2"/>
      <c r="D456" s="2"/>
      <c r="F456" s="2"/>
    </row>
    <row r="457" ht="15.75" customHeight="1">
      <c r="A457" s="2"/>
      <c r="C457" s="2"/>
      <c r="D457" s="2"/>
      <c r="F457" s="2"/>
    </row>
    <row r="458" ht="15.75" customHeight="1">
      <c r="A458" s="2"/>
      <c r="C458" s="2"/>
      <c r="D458" s="2"/>
      <c r="F458" s="2"/>
    </row>
    <row r="459" ht="15.75" customHeight="1">
      <c r="A459" s="2"/>
      <c r="C459" s="2"/>
      <c r="D459" s="2"/>
      <c r="F459" s="2"/>
    </row>
    <row r="460" ht="15.75" customHeight="1">
      <c r="A460" s="2"/>
      <c r="C460" s="2"/>
      <c r="D460" s="2"/>
      <c r="F460" s="2"/>
    </row>
    <row r="461" ht="15.75" customHeight="1">
      <c r="A461" s="2"/>
      <c r="C461" s="2"/>
      <c r="D461" s="2"/>
      <c r="F461" s="2"/>
    </row>
    <row r="462" ht="15.75" customHeight="1">
      <c r="A462" s="2"/>
      <c r="C462" s="2"/>
      <c r="D462" s="2"/>
      <c r="F462" s="2"/>
    </row>
    <row r="463" ht="15.75" customHeight="1">
      <c r="A463" s="2"/>
      <c r="C463" s="2"/>
      <c r="D463" s="2"/>
      <c r="F463" s="2"/>
    </row>
    <row r="464" ht="15.75" customHeight="1">
      <c r="A464" s="2"/>
      <c r="C464" s="2"/>
      <c r="D464" s="2"/>
      <c r="F464" s="2"/>
    </row>
    <row r="465" ht="15.75" customHeight="1">
      <c r="A465" s="2"/>
      <c r="C465" s="2"/>
      <c r="D465" s="2"/>
      <c r="F465" s="2"/>
    </row>
    <row r="466" ht="15.75" customHeight="1">
      <c r="A466" s="2"/>
      <c r="C466" s="2"/>
      <c r="D466" s="2"/>
      <c r="F466" s="2"/>
    </row>
    <row r="467" ht="15.75" customHeight="1">
      <c r="A467" s="2"/>
      <c r="C467" s="2"/>
      <c r="D467" s="2"/>
      <c r="F467" s="2"/>
    </row>
    <row r="468" ht="15.75" customHeight="1">
      <c r="A468" s="2"/>
      <c r="C468" s="2"/>
      <c r="D468" s="2"/>
      <c r="F468" s="2"/>
    </row>
    <row r="469" ht="15.75" customHeight="1">
      <c r="A469" s="2"/>
      <c r="C469" s="2"/>
      <c r="D469" s="2"/>
      <c r="F469" s="2"/>
    </row>
    <row r="470" ht="15.75" customHeight="1">
      <c r="A470" s="2"/>
      <c r="C470" s="2"/>
      <c r="D470" s="2"/>
      <c r="F470" s="2"/>
    </row>
    <row r="471" ht="15.75" customHeight="1">
      <c r="A471" s="2"/>
      <c r="C471" s="2"/>
      <c r="D471" s="2"/>
      <c r="F471" s="2"/>
    </row>
    <row r="472" ht="15.75" customHeight="1">
      <c r="A472" s="2"/>
      <c r="C472" s="2"/>
      <c r="D472" s="2"/>
      <c r="F472" s="2"/>
    </row>
    <row r="473" ht="15.75" customHeight="1">
      <c r="A473" s="2"/>
      <c r="C473" s="2"/>
      <c r="D473" s="2"/>
      <c r="F473" s="2"/>
    </row>
    <row r="474" ht="15.75" customHeight="1">
      <c r="A474" s="2"/>
      <c r="C474" s="2"/>
      <c r="D474" s="2"/>
      <c r="F474" s="2"/>
    </row>
    <row r="475" ht="15.75" customHeight="1">
      <c r="A475" s="2"/>
      <c r="C475" s="2"/>
      <c r="D475" s="2"/>
      <c r="F475" s="2"/>
    </row>
    <row r="476" ht="15.75" customHeight="1">
      <c r="A476" s="2"/>
      <c r="C476" s="2"/>
      <c r="D476" s="2"/>
      <c r="F476" s="2"/>
    </row>
    <row r="477" ht="15.75" customHeight="1">
      <c r="A477" s="2"/>
      <c r="C477" s="2"/>
      <c r="D477" s="2"/>
      <c r="F477" s="2"/>
    </row>
    <row r="478" ht="15.75" customHeight="1">
      <c r="A478" s="2"/>
      <c r="C478" s="2"/>
      <c r="D478" s="2"/>
      <c r="F478" s="2"/>
    </row>
    <row r="479" ht="15.75" customHeight="1">
      <c r="A479" s="2"/>
      <c r="C479" s="2"/>
      <c r="D479" s="2"/>
      <c r="F479" s="2"/>
    </row>
    <row r="480" ht="15.75" customHeight="1">
      <c r="A480" s="2"/>
      <c r="C480" s="2"/>
      <c r="D480" s="2"/>
      <c r="F480" s="2"/>
    </row>
    <row r="481" ht="15.75" customHeight="1">
      <c r="A481" s="2"/>
      <c r="C481" s="2"/>
      <c r="D481" s="2"/>
      <c r="F481" s="2"/>
    </row>
    <row r="482" ht="15.75" customHeight="1">
      <c r="A482" s="2"/>
      <c r="C482" s="2"/>
      <c r="D482" s="2"/>
      <c r="F482" s="2"/>
    </row>
    <row r="483" ht="15.75" customHeight="1">
      <c r="A483" s="2"/>
      <c r="C483" s="2"/>
      <c r="D483" s="2"/>
      <c r="F483" s="2"/>
    </row>
    <row r="484" ht="15.75" customHeight="1">
      <c r="A484" s="2"/>
      <c r="C484" s="2"/>
      <c r="D484" s="2"/>
      <c r="F484" s="2"/>
    </row>
    <row r="485" ht="15.75" customHeight="1">
      <c r="A485" s="2"/>
      <c r="C485" s="2"/>
      <c r="D485" s="2"/>
      <c r="F485" s="2"/>
    </row>
    <row r="486" ht="15.75" customHeight="1">
      <c r="A486" s="2"/>
      <c r="C486" s="2"/>
      <c r="D486" s="2"/>
      <c r="F486" s="2"/>
    </row>
    <row r="487" ht="15.75" customHeight="1">
      <c r="A487" s="2"/>
      <c r="C487" s="2"/>
      <c r="D487" s="2"/>
      <c r="F487" s="2"/>
    </row>
    <row r="488" ht="15.75" customHeight="1">
      <c r="A488" s="2"/>
      <c r="C488" s="2"/>
      <c r="D488" s="2"/>
      <c r="F488" s="2"/>
    </row>
    <row r="489" ht="15.75" customHeight="1">
      <c r="A489" s="2"/>
      <c r="C489" s="2"/>
      <c r="D489" s="2"/>
      <c r="F489" s="2"/>
    </row>
    <row r="490" ht="15.75" customHeight="1">
      <c r="A490" s="2"/>
      <c r="C490" s="2"/>
      <c r="D490" s="2"/>
      <c r="F490" s="2"/>
    </row>
    <row r="491" ht="15.75" customHeight="1">
      <c r="A491" s="2"/>
      <c r="C491" s="2"/>
      <c r="D491" s="2"/>
      <c r="F491" s="2"/>
    </row>
    <row r="492" ht="15.75" customHeight="1">
      <c r="A492" s="2"/>
      <c r="C492" s="2"/>
      <c r="D492" s="2"/>
      <c r="F492" s="2"/>
    </row>
    <row r="493" ht="15.75" customHeight="1">
      <c r="A493" s="2"/>
      <c r="C493" s="2"/>
      <c r="D493" s="2"/>
      <c r="F493" s="2"/>
    </row>
    <row r="494" ht="15.75" customHeight="1">
      <c r="A494" s="2"/>
      <c r="C494" s="2"/>
      <c r="D494" s="2"/>
      <c r="F494" s="2"/>
    </row>
    <row r="495" ht="15.75" customHeight="1">
      <c r="A495" s="2"/>
      <c r="C495" s="2"/>
      <c r="D495" s="2"/>
      <c r="F495" s="2"/>
    </row>
    <row r="496" ht="15.75" customHeight="1">
      <c r="A496" s="2"/>
      <c r="C496" s="2"/>
      <c r="D496" s="2"/>
      <c r="F496" s="2"/>
    </row>
    <row r="497" ht="15.75" customHeight="1">
      <c r="A497" s="2"/>
      <c r="C497" s="2"/>
      <c r="D497" s="2"/>
      <c r="F497" s="2"/>
    </row>
    <row r="498" ht="15.75" customHeight="1">
      <c r="A498" s="2"/>
      <c r="C498" s="2"/>
      <c r="D498" s="2"/>
      <c r="F498" s="2"/>
    </row>
    <row r="499" ht="15.75" customHeight="1">
      <c r="A499" s="2"/>
      <c r="C499" s="2"/>
      <c r="D499" s="2"/>
      <c r="F499" s="2"/>
    </row>
    <row r="500" ht="15.75" customHeight="1">
      <c r="A500" s="2"/>
      <c r="C500" s="2"/>
      <c r="D500" s="2"/>
      <c r="F500" s="2"/>
    </row>
    <row r="501" ht="15.75" customHeight="1">
      <c r="A501" s="2"/>
      <c r="C501" s="2"/>
      <c r="D501" s="2"/>
      <c r="F501" s="2"/>
    </row>
    <row r="502" ht="15.75" customHeight="1">
      <c r="A502" s="2"/>
      <c r="C502" s="2"/>
      <c r="D502" s="2"/>
      <c r="F502" s="2"/>
    </row>
    <row r="503" ht="15.75" customHeight="1">
      <c r="A503" s="2"/>
      <c r="C503" s="2"/>
      <c r="D503" s="2"/>
      <c r="F503" s="2"/>
    </row>
    <row r="504" ht="15.75" customHeight="1">
      <c r="A504" s="2"/>
      <c r="C504" s="2"/>
      <c r="D504" s="2"/>
      <c r="F504" s="2"/>
    </row>
    <row r="505" ht="15.75" customHeight="1">
      <c r="A505" s="2"/>
      <c r="C505" s="2"/>
      <c r="D505" s="2"/>
      <c r="F505" s="2"/>
    </row>
    <row r="506" ht="15.75" customHeight="1">
      <c r="A506" s="2"/>
      <c r="C506" s="2"/>
      <c r="D506" s="2"/>
      <c r="F506" s="2"/>
    </row>
    <row r="507" ht="15.75" customHeight="1">
      <c r="A507" s="2"/>
      <c r="C507" s="2"/>
      <c r="D507" s="2"/>
      <c r="F507" s="2"/>
    </row>
    <row r="508" ht="15.75" customHeight="1">
      <c r="A508" s="2"/>
      <c r="C508" s="2"/>
      <c r="D508" s="2"/>
      <c r="F508" s="2"/>
    </row>
    <row r="509" ht="15.75" customHeight="1">
      <c r="A509" s="2"/>
      <c r="C509" s="2"/>
      <c r="D509" s="2"/>
      <c r="F509" s="2"/>
    </row>
    <row r="510" ht="15.75" customHeight="1">
      <c r="A510" s="2"/>
      <c r="C510" s="2"/>
      <c r="D510" s="2"/>
      <c r="F510" s="2"/>
    </row>
    <row r="511" ht="15.75" customHeight="1">
      <c r="A511" s="2"/>
      <c r="C511" s="2"/>
      <c r="D511" s="2"/>
      <c r="F511" s="2"/>
    </row>
    <row r="512" ht="15.75" customHeight="1">
      <c r="A512" s="2"/>
      <c r="C512" s="2"/>
      <c r="D512" s="2"/>
      <c r="F512" s="2"/>
    </row>
    <row r="513" ht="15.75" customHeight="1">
      <c r="A513" s="2"/>
      <c r="C513" s="2"/>
      <c r="D513" s="2"/>
      <c r="F513" s="2"/>
    </row>
    <row r="514" ht="15.75" customHeight="1">
      <c r="A514" s="2"/>
      <c r="C514" s="2"/>
      <c r="D514" s="2"/>
      <c r="F514" s="2"/>
    </row>
    <row r="515" ht="15.75" customHeight="1">
      <c r="A515" s="2"/>
      <c r="C515" s="2"/>
      <c r="D515" s="2"/>
      <c r="F515" s="2"/>
    </row>
    <row r="516" ht="15.75" customHeight="1">
      <c r="A516" s="2"/>
      <c r="C516" s="2"/>
      <c r="D516" s="2"/>
      <c r="F516" s="2"/>
    </row>
    <row r="517" ht="15.75" customHeight="1">
      <c r="A517" s="2"/>
      <c r="C517" s="2"/>
      <c r="D517" s="2"/>
      <c r="F517" s="2"/>
    </row>
    <row r="518" ht="15.75" customHeight="1">
      <c r="A518" s="2"/>
      <c r="C518" s="2"/>
      <c r="D518" s="2"/>
      <c r="F518" s="2"/>
    </row>
    <row r="519" ht="15.75" customHeight="1">
      <c r="A519" s="2"/>
      <c r="C519" s="2"/>
      <c r="D519" s="2"/>
      <c r="F519" s="2"/>
    </row>
    <row r="520" ht="15.75" customHeight="1">
      <c r="A520" s="2"/>
      <c r="C520" s="2"/>
      <c r="D520" s="2"/>
      <c r="F520" s="2"/>
    </row>
    <row r="521" ht="15.75" customHeight="1">
      <c r="A521" s="2"/>
      <c r="C521" s="2"/>
      <c r="D521" s="2"/>
      <c r="F521" s="2"/>
    </row>
    <row r="522" ht="15.75" customHeight="1">
      <c r="A522" s="2"/>
      <c r="C522" s="2"/>
      <c r="D522" s="2"/>
      <c r="F522" s="2"/>
    </row>
    <row r="523" ht="15.75" customHeight="1">
      <c r="A523" s="2"/>
      <c r="C523" s="2"/>
      <c r="D523" s="2"/>
      <c r="F523" s="2"/>
    </row>
    <row r="524" ht="15.75" customHeight="1">
      <c r="A524" s="2"/>
      <c r="C524" s="2"/>
      <c r="D524" s="2"/>
      <c r="F524" s="2"/>
    </row>
    <row r="525" ht="15.75" customHeight="1">
      <c r="A525" s="2"/>
      <c r="C525" s="2"/>
      <c r="D525" s="2"/>
      <c r="F525" s="2"/>
    </row>
    <row r="526" ht="15.75" customHeight="1">
      <c r="A526" s="2"/>
      <c r="C526" s="2"/>
      <c r="D526" s="2"/>
      <c r="F526" s="2"/>
    </row>
    <row r="527" ht="15.75" customHeight="1">
      <c r="A527" s="2"/>
      <c r="C527" s="2"/>
      <c r="D527" s="2"/>
      <c r="F527" s="2"/>
    </row>
    <row r="528" ht="15.75" customHeight="1">
      <c r="A528" s="2"/>
      <c r="C528" s="2"/>
      <c r="D528" s="2"/>
      <c r="F528" s="2"/>
    </row>
    <row r="529" ht="15.75" customHeight="1">
      <c r="A529" s="2"/>
      <c r="C529" s="2"/>
      <c r="D529" s="2"/>
      <c r="F529" s="2"/>
    </row>
    <row r="530" ht="15.75" customHeight="1">
      <c r="A530" s="2"/>
      <c r="C530" s="2"/>
      <c r="D530" s="2"/>
      <c r="F530" s="2"/>
    </row>
    <row r="531" ht="15.75" customHeight="1">
      <c r="A531" s="2"/>
      <c r="C531" s="2"/>
      <c r="D531" s="2"/>
      <c r="F531" s="2"/>
    </row>
    <row r="532" ht="15.75" customHeight="1">
      <c r="A532" s="2"/>
      <c r="C532" s="2"/>
      <c r="D532" s="2"/>
      <c r="F532" s="2"/>
    </row>
    <row r="533" ht="15.75" customHeight="1">
      <c r="A533" s="2"/>
      <c r="C533" s="2"/>
      <c r="D533" s="2"/>
      <c r="F533" s="2"/>
    </row>
    <row r="534" ht="15.75" customHeight="1">
      <c r="A534" s="2"/>
      <c r="C534" s="2"/>
      <c r="D534" s="2"/>
      <c r="F534" s="2"/>
    </row>
    <row r="535" ht="15.75" customHeight="1">
      <c r="A535" s="2"/>
      <c r="C535" s="2"/>
      <c r="D535" s="2"/>
      <c r="F535" s="2"/>
    </row>
    <row r="536" ht="15.75" customHeight="1">
      <c r="A536" s="2"/>
      <c r="C536" s="2"/>
      <c r="D536" s="2"/>
      <c r="F536" s="2"/>
    </row>
    <row r="537" ht="15.75" customHeight="1">
      <c r="A537" s="2"/>
      <c r="C537" s="2"/>
      <c r="D537" s="2"/>
      <c r="F537" s="2"/>
    </row>
    <row r="538" ht="15.75" customHeight="1">
      <c r="A538" s="2"/>
      <c r="C538" s="2"/>
      <c r="D538" s="2"/>
      <c r="F538" s="2"/>
    </row>
    <row r="539" ht="15.75" customHeight="1">
      <c r="A539" s="2"/>
      <c r="C539" s="2"/>
      <c r="D539" s="2"/>
      <c r="F539" s="2"/>
    </row>
    <row r="540" ht="15.75" customHeight="1">
      <c r="A540" s="2"/>
      <c r="C540" s="2"/>
      <c r="D540" s="2"/>
      <c r="F540" s="2"/>
    </row>
    <row r="541" ht="15.75" customHeight="1">
      <c r="A541" s="2"/>
      <c r="C541" s="2"/>
      <c r="D541" s="2"/>
      <c r="F541" s="2"/>
    </row>
    <row r="542" ht="15.75" customHeight="1">
      <c r="A542" s="2"/>
      <c r="C542" s="2"/>
      <c r="D542" s="2"/>
      <c r="F542" s="2"/>
    </row>
    <row r="543" ht="15.75" customHeight="1">
      <c r="A543" s="2"/>
      <c r="C543" s="2"/>
      <c r="D543" s="2"/>
      <c r="F543" s="2"/>
    </row>
    <row r="544" ht="15.75" customHeight="1">
      <c r="A544" s="2"/>
      <c r="C544" s="2"/>
      <c r="D544" s="2"/>
      <c r="F544" s="2"/>
    </row>
    <row r="545" ht="15.75" customHeight="1">
      <c r="A545" s="2"/>
      <c r="C545" s="2"/>
      <c r="D545" s="2"/>
      <c r="F545" s="2"/>
    </row>
    <row r="546" ht="15.75" customHeight="1">
      <c r="A546" s="2"/>
      <c r="C546" s="2"/>
      <c r="D546" s="2"/>
      <c r="F546" s="2"/>
    </row>
    <row r="547" ht="15.75" customHeight="1">
      <c r="A547" s="2"/>
      <c r="C547" s="2"/>
      <c r="D547" s="2"/>
      <c r="F547" s="2"/>
    </row>
    <row r="548" ht="15.75" customHeight="1">
      <c r="A548" s="2"/>
      <c r="C548" s="2"/>
      <c r="D548" s="2"/>
      <c r="F548" s="2"/>
    </row>
    <row r="549" ht="15.75" customHeight="1">
      <c r="A549" s="2"/>
      <c r="C549" s="2"/>
      <c r="D549" s="2"/>
      <c r="F549" s="2"/>
    </row>
    <row r="550" ht="15.75" customHeight="1">
      <c r="A550" s="2"/>
      <c r="C550" s="2"/>
      <c r="D550" s="2"/>
      <c r="F550" s="2"/>
    </row>
    <row r="551" ht="15.75" customHeight="1">
      <c r="A551" s="2"/>
      <c r="C551" s="2"/>
      <c r="D551" s="2"/>
      <c r="F551" s="2"/>
    </row>
    <row r="552" ht="15.75" customHeight="1">
      <c r="A552" s="2"/>
      <c r="C552" s="2"/>
      <c r="D552" s="2"/>
      <c r="F552" s="2"/>
    </row>
    <row r="553" ht="15.75" customHeight="1">
      <c r="A553" s="2"/>
      <c r="C553" s="2"/>
      <c r="D553" s="2"/>
      <c r="F553" s="2"/>
    </row>
    <row r="554" ht="15.75" customHeight="1">
      <c r="A554" s="2"/>
      <c r="C554" s="2"/>
      <c r="D554" s="2"/>
      <c r="F554" s="2"/>
    </row>
    <row r="555" ht="15.75" customHeight="1">
      <c r="A555" s="2"/>
      <c r="C555" s="2"/>
      <c r="D555" s="2"/>
      <c r="F555" s="2"/>
    </row>
    <row r="556" ht="15.75" customHeight="1">
      <c r="A556" s="2"/>
      <c r="C556" s="2"/>
      <c r="D556" s="2"/>
      <c r="F556" s="2"/>
    </row>
    <row r="557" ht="15.75" customHeight="1">
      <c r="A557" s="2"/>
      <c r="C557" s="2"/>
      <c r="D557" s="2"/>
      <c r="F557" s="2"/>
    </row>
    <row r="558" ht="15.75" customHeight="1">
      <c r="A558" s="2"/>
      <c r="C558" s="2"/>
      <c r="D558" s="2"/>
      <c r="F558" s="2"/>
    </row>
    <row r="559" ht="15.75" customHeight="1">
      <c r="A559" s="2"/>
      <c r="C559" s="2"/>
      <c r="D559" s="2"/>
      <c r="F559" s="2"/>
    </row>
    <row r="560" ht="15.75" customHeight="1">
      <c r="A560" s="2"/>
      <c r="C560" s="2"/>
      <c r="D560" s="2"/>
      <c r="F560" s="2"/>
    </row>
    <row r="561" ht="15.75" customHeight="1">
      <c r="A561" s="2"/>
      <c r="C561" s="2"/>
      <c r="D561" s="2"/>
      <c r="F561" s="2"/>
    </row>
    <row r="562" ht="15.75" customHeight="1">
      <c r="A562" s="2"/>
      <c r="C562" s="2"/>
      <c r="D562" s="2"/>
      <c r="F562" s="2"/>
    </row>
    <row r="563" ht="15.75" customHeight="1">
      <c r="A563" s="2"/>
      <c r="C563" s="2"/>
      <c r="D563" s="2"/>
      <c r="F563" s="2"/>
    </row>
    <row r="564" ht="15.75" customHeight="1">
      <c r="A564" s="2"/>
      <c r="C564" s="2"/>
      <c r="D564" s="2"/>
      <c r="F564" s="2"/>
    </row>
    <row r="565" ht="15.75" customHeight="1">
      <c r="A565" s="2"/>
      <c r="C565" s="2"/>
      <c r="D565" s="2"/>
      <c r="F565" s="2"/>
    </row>
    <row r="566" ht="15.75" customHeight="1">
      <c r="A566" s="2"/>
      <c r="C566" s="2"/>
      <c r="D566" s="2"/>
      <c r="F566" s="2"/>
    </row>
    <row r="567" ht="15.75" customHeight="1">
      <c r="A567" s="2"/>
      <c r="C567" s="2"/>
      <c r="D567" s="2"/>
      <c r="F567" s="2"/>
    </row>
    <row r="568" ht="15.75" customHeight="1">
      <c r="A568" s="2"/>
      <c r="C568" s="2"/>
      <c r="D568" s="2"/>
      <c r="F568" s="2"/>
    </row>
    <row r="569" ht="15.75" customHeight="1">
      <c r="A569" s="2"/>
      <c r="C569" s="2"/>
      <c r="D569" s="2"/>
      <c r="F569" s="2"/>
    </row>
    <row r="570" ht="15.75" customHeight="1">
      <c r="A570" s="2"/>
      <c r="C570" s="2"/>
      <c r="D570" s="2"/>
      <c r="F570" s="2"/>
    </row>
    <row r="571" ht="15.75" customHeight="1">
      <c r="A571" s="2"/>
      <c r="C571" s="2"/>
      <c r="D571" s="2"/>
      <c r="F571" s="2"/>
    </row>
    <row r="572" ht="15.75" customHeight="1">
      <c r="A572" s="2"/>
      <c r="C572" s="2"/>
      <c r="D572" s="2"/>
      <c r="F572" s="2"/>
    </row>
    <row r="573" ht="15.75" customHeight="1">
      <c r="A573" s="2"/>
      <c r="C573" s="2"/>
      <c r="D573" s="2"/>
      <c r="F573" s="2"/>
    </row>
    <row r="574" ht="15.75" customHeight="1">
      <c r="A574" s="2"/>
      <c r="C574" s="2"/>
      <c r="D574" s="2"/>
      <c r="F574" s="2"/>
    </row>
    <row r="575" ht="15.75" customHeight="1">
      <c r="A575" s="2"/>
      <c r="C575" s="2"/>
      <c r="D575" s="2"/>
      <c r="F575" s="2"/>
    </row>
    <row r="576" ht="15.75" customHeight="1">
      <c r="A576" s="2"/>
      <c r="C576" s="2"/>
      <c r="D576" s="2"/>
      <c r="F576" s="2"/>
    </row>
    <row r="577" ht="15.75" customHeight="1">
      <c r="A577" s="2"/>
      <c r="C577" s="2"/>
      <c r="D577" s="2"/>
      <c r="F577" s="2"/>
    </row>
    <row r="578" ht="15.75" customHeight="1">
      <c r="A578" s="2"/>
      <c r="C578" s="2"/>
      <c r="D578" s="2"/>
      <c r="F578" s="2"/>
    </row>
    <row r="579" ht="15.75" customHeight="1">
      <c r="A579" s="2"/>
      <c r="C579" s="2"/>
      <c r="D579" s="2"/>
      <c r="F579" s="2"/>
    </row>
    <row r="580" ht="15.75" customHeight="1">
      <c r="A580" s="2"/>
      <c r="C580" s="2"/>
      <c r="D580" s="2"/>
      <c r="F580" s="2"/>
    </row>
    <row r="581" ht="15.75" customHeight="1">
      <c r="A581" s="2"/>
      <c r="C581" s="2"/>
      <c r="D581" s="2"/>
      <c r="F581" s="2"/>
    </row>
    <row r="582" ht="15.75" customHeight="1">
      <c r="A582" s="2"/>
      <c r="C582" s="2"/>
      <c r="D582" s="2"/>
      <c r="F582" s="2"/>
    </row>
    <row r="583" ht="15.75" customHeight="1">
      <c r="A583" s="2"/>
      <c r="C583" s="2"/>
      <c r="D583" s="2"/>
      <c r="F583" s="2"/>
    </row>
    <row r="584" ht="15.75" customHeight="1">
      <c r="A584" s="2"/>
      <c r="C584" s="2"/>
      <c r="D584" s="2"/>
      <c r="F584" s="2"/>
    </row>
    <row r="585" ht="15.75" customHeight="1">
      <c r="A585" s="2"/>
      <c r="C585" s="2"/>
      <c r="D585" s="2"/>
      <c r="F585" s="2"/>
    </row>
    <row r="586" ht="15.75" customHeight="1">
      <c r="A586" s="2"/>
      <c r="C586" s="2"/>
      <c r="D586" s="2"/>
      <c r="F586" s="2"/>
    </row>
    <row r="587" ht="15.75" customHeight="1">
      <c r="A587" s="2"/>
      <c r="C587" s="2"/>
      <c r="D587" s="2"/>
      <c r="F587" s="2"/>
    </row>
    <row r="588" ht="15.75" customHeight="1">
      <c r="A588" s="2"/>
      <c r="C588" s="2"/>
      <c r="D588" s="2"/>
      <c r="F588" s="2"/>
    </row>
    <row r="589" ht="15.75" customHeight="1">
      <c r="A589" s="2"/>
      <c r="C589" s="2"/>
      <c r="D589" s="2"/>
      <c r="F589" s="2"/>
    </row>
    <row r="590" ht="15.75" customHeight="1">
      <c r="A590" s="2"/>
      <c r="C590" s="2"/>
      <c r="D590" s="2"/>
      <c r="F590" s="2"/>
    </row>
    <row r="591" ht="15.75" customHeight="1">
      <c r="A591" s="2"/>
      <c r="C591" s="2"/>
      <c r="D591" s="2"/>
      <c r="F591" s="2"/>
    </row>
    <row r="592" ht="15.75" customHeight="1">
      <c r="A592" s="2"/>
      <c r="C592" s="2"/>
      <c r="D592" s="2"/>
      <c r="F592" s="2"/>
    </row>
    <row r="593" ht="15.75" customHeight="1">
      <c r="A593" s="2"/>
      <c r="C593" s="2"/>
      <c r="D593" s="2"/>
      <c r="F593" s="2"/>
    </row>
    <row r="594" ht="15.75" customHeight="1">
      <c r="A594" s="2"/>
      <c r="C594" s="2"/>
      <c r="D594" s="2"/>
      <c r="F594" s="2"/>
    </row>
    <row r="595" ht="15.75" customHeight="1">
      <c r="A595" s="2"/>
      <c r="C595" s="2"/>
      <c r="D595" s="2"/>
      <c r="F595" s="2"/>
    </row>
    <row r="596" ht="15.75" customHeight="1">
      <c r="A596" s="2"/>
      <c r="C596" s="2"/>
      <c r="D596" s="2"/>
      <c r="F596" s="2"/>
    </row>
    <row r="597" ht="15.75" customHeight="1">
      <c r="A597" s="2"/>
      <c r="C597" s="2"/>
      <c r="D597" s="2"/>
      <c r="F597" s="2"/>
    </row>
    <row r="598" ht="15.75" customHeight="1">
      <c r="A598" s="2"/>
      <c r="C598" s="2"/>
      <c r="D598" s="2"/>
      <c r="F598" s="2"/>
    </row>
    <row r="599" ht="15.75" customHeight="1">
      <c r="A599" s="2"/>
      <c r="C599" s="2"/>
      <c r="D599" s="2"/>
      <c r="F599" s="2"/>
    </row>
    <row r="600" ht="15.75" customHeight="1">
      <c r="A600" s="2"/>
      <c r="C600" s="2"/>
      <c r="D600" s="2"/>
      <c r="F600" s="2"/>
    </row>
    <row r="601" ht="15.75" customHeight="1">
      <c r="A601" s="2"/>
      <c r="C601" s="2"/>
      <c r="D601" s="2"/>
      <c r="F601" s="2"/>
    </row>
    <row r="602" ht="15.75" customHeight="1">
      <c r="A602" s="2"/>
      <c r="C602" s="2"/>
      <c r="D602" s="2"/>
      <c r="F602" s="2"/>
    </row>
    <row r="603" ht="15.75" customHeight="1">
      <c r="A603" s="2"/>
      <c r="C603" s="2"/>
      <c r="D603" s="2"/>
      <c r="F603" s="2"/>
    </row>
    <row r="604" ht="15.75" customHeight="1">
      <c r="A604" s="2"/>
      <c r="C604" s="2"/>
      <c r="D604" s="2"/>
      <c r="F604" s="2"/>
    </row>
    <row r="605" ht="15.75" customHeight="1">
      <c r="A605" s="2"/>
      <c r="C605" s="2"/>
      <c r="D605" s="2"/>
      <c r="F605" s="2"/>
    </row>
    <row r="606" ht="15.75" customHeight="1">
      <c r="A606" s="2"/>
      <c r="C606" s="2"/>
      <c r="D606" s="2"/>
      <c r="F606" s="2"/>
    </row>
    <row r="607" ht="15.75" customHeight="1">
      <c r="A607" s="2"/>
      <c r="C607" s="2"/>
      <c r="D607" s="2"/>
      <c r="F607" s="2"/>
    </row>
    <row r="608" ht="15.75" customHeight="1">
      <c r="A608" s="2"/>
      <c r="C608" s="2"/>
      <c r="D608" s="2"/>
      <c r="F608" s="2"/>
    </row>
    <row r="609" ht="15.75" customHeight="1">
      <c r="A609" s="2"/>
      <c r="C609" s="2"/>
      <c r="D609" s="2"/>
      <c r="F609" s="2"/>
    </row>
    <row r="610" ht="15.75" customHeight="1">
      <c r="A610" s="2"/>
      <c r="C610" s="2"/>
      <c r="D610" s="2"/>
      <c r="F610" s="2"/>
    </row>
    <row r="611" ht="15.75" customHeight="1">
      <c r="A611" s="2"/>
      <c r="C611" s="2"/>
      <c r="D611" s="2"/>
      <c r="F611" s="2"/>
    </row>
    <row r="612" ht="15.75" customHeight="1">
      <c r="A612" s="2"/>
      <c r="C612" s="2"/>
      <c r="D612" s="2"/>
      <c r="F612" s="2"/>
    </row>
    <row r="613" ht="15.75" customHeight="1">
      <c r="A613" s="2"/>
      <c r="C613" s="2"/>
      <c r="D613" s="2"/>
      <c r="F613" s="2"/>
    </row>
    <row r="614" ht="15.75" customHeight="1">
      <c r="A614" s="2"/>
      <c r="C614" s="2"/>
      <c r="D614" s="2"/>
      <c r="F614" s="2"/>
    </row>
    <row r="615" ht="15.75" customHeight="1">
      <c r="A615" s="2"/>
      <c r="C615" s="2"/>
      <c r="D615" s="2"/>
      <c r="F615" s="2"/>
    </row>
    <row r="616" ht="15.75" customHeight="1">
      <c r="A616" s="2"/>
      <c r="C616" s="2"/>
      <c r="D616" s="2"/>
      <c r="F616" s="2"/>
    </row>
    <row r="617" ht="15.75" customHeight="1">
      <c r="A617" s="2"/>
      <c r="C617" s="2"/>
      <c r="D617" s="2"/>
      <c r="F617" s="2"/>
    </row>
    <row r="618" ht="15.75" customHeight="1">
      <c r="A618" s="2"/>
      <c r="C618" s="2"/>
      <c r="D618" s="2"/>
      <c r="F618" s="2"/>
    </row>
    <row r="619" ht="15.75" customHeight="1">
      <c r="A619" s="2"/>
      <c r="C619" s="2"/>
      <c r="D619" s="2"/>
      <c r="F619" s="2"/>
    </row>
    <row r="620" ht="15.75" customHeight="1">
      <c r="A620" s="2"/>
      <c r="C620" s="2"/>
      <c r="D620" s="2"/>
      <c r="F620" s="2"/>
    </row>
    <row r="621" ht="15.75" customHeight="1">
      <c r="A621" s="2"/>
      <c r="C621" s="2"/>
      <c r="D621" s="2"/>
      <c r="F621" s="2"/>
    </row>
    <row r="622" ht="15.75" customHeight="1">
      <c r="A622" s="2"/>
      <c r="C622" s="2"/>
      <c r="D622" s="2"/>
      <c r="F622" s="2"/>
    </row>
    <row r="623" ht="15.75" customHeight="1">
      <c r="A623" s="2"/>
      <c r="C623" s="2"/>
      <c r="D623" s="2"/>
      <c r="F623" s="2"/>
    </row>
    <row r="624" ht="15.75" customHeight="1">
      <c r="A624" s="2"/>
      <c r="C624" s="2"/>
      <c r="D624" s="2"/>
      <c r="F624" s="2"/>
    </row>
    <row r="625" ht="15.75" customHeight="1">
      <c r="A625" s="2"/>
      <c r="C625" s="2"/>
      <c r="D625" s="2"/>
      <c r="F625" s="2"/>
    </row>
    <row r="626" ht="15.75" customHeight="1">
      <c r="A626" s="2"/>
      <c r="C626" s="2"/>
      <c r="D626" s="2"/>
      <c r="F626" s="2"/>
    </row>
    <row r="627" ht="15.75" customHeight="1">
      <c r="A627" s="2"/>
      <c r="C627" s="2"/>
      <c r="D627" s="2"/>
      <c r="F627" s="2"/>
    </row>
    <row r="628" ht="15.75" customHeight="1">
      <c r="A628" s="2"/>
      <c r="C628" s="2"/>
      <c r="D628" s="2"/>
      <c r="F628" s="2"/>
    </row>
    <row r="629" ht="15.75" customHeight="1">
      <c r="A629" s="2"/>
      <c r="C629" s="2"/>
      <c r="D629" s="2"/>
      <c r="F629" s="2"/>
    </row>
    <row r="630" ht="15.75" customHeight="1">
      <c r="A630" s="2"/>
      <c r="C630" s="2"/>
      <c r="D630" s="2"/>
      <c r="F630" s="2"/>
    </row>
    <row r="631" ht="15.75" customHeight="1">
      <c r="A631" s="2"/>
      <c r="C631" s="2"/>
      <c r="D631" s="2"/>
      <c r="F631" s="2"/>
    </row>
    <row r="632" ht="15.75" customHeight="1">
      <c r="A632" s="2"/>
      <c r="C632" s="2"/>
      <c r="D632" s="2"/>
      <c r="F632" s="2"/>
    </row>
    <row r="633" ht="15.75" customHeight="1">
      <c r="A633" s="2"/>
      <c r="C633" s="2"/>
      <c r="D633" s="2"/>
      <c r="F633" s="2"/>
    </row>
    <row r="634" ht="15.75" customHeight="1">
      <c r="A634" s="2"/>
      <c r="C634" s="2"/>
      <c r="D634" s="2"/>
      <c r="F634" s="2"/>
    </row>
    <row r="635" ht="15.75" customHeight="1">
      <c r="A635" s="2"/>
      <c r="C635" s="2"/>
      <c r="D635" s="2"/>
      <c r="F635" s="2"/>
    </row>
    <row r="636" ht="15.75" customHeight="1">
      <c r="A636" s="2"/>
      <c r="C636" s="2"/>
      <c r="D636" s="2"/>
      <c r="F636" s="2"/>
    </row>
    <row r="637" ht="15.75" customHeight="1">
      <c r="A637" s="2"/>
      <c r="C637" s="2"/>
      <c r="D637" s="2"/>
      <c r="F637" s="2"/>
    </row>
    <row r="638" ht="15.75" customHeight="1">
      <c r="A638" s="2"/>
      <c r="C638" s="2"/>
      <c r="D638" s="2"/>
      <c r="F638" s="2"/>
    </row>
    <row r="639" ht="15.75" customHeight="1">
      <c r="A639" s="2"/>
      <c r="C639" s="2"/>
      <c r="D639" s="2"/>
      <c r="F639" s="2"/>
    </row>
    <row r="640" ht="15.75" customHeight="1">
      <c r="A640" s="2"/>
      <c r="C640" s="2"/>
      <c r="D640" s="2"/>
      <c r="F640" s="2"/>
    </row>
    <row r="641" ht="15.75" customHeight="1">
      <c r="A641" s="2"/>
      <c r="C641" s="2"/>
      <c r="D641" s="2"/>
      <c r="F641" s="2"/>
    </row>
    <row r="642" ht="15.75" customHeight="1">
      <c r="A642" s="2"/>
      <c r="C642" s="2"/>
      <c r="D642" s="2"/>
      <c r="F642" s="2"/>
    </row>
    <row r="643" ht="15.75" customHeight="1">
      <c r="A643" s="2"/>
      <c r="C643" s="2"/>
      <c r="D643" s="2"/>
      <c r="F643" s="2"/>
    </row>
    <row r="644" ht="15.75" customHeight="1">
      <c r="A644" s="2"/>
      <c r="C644" s="2"/>
      <c r="D644" s="2"/>
      <c r="F644" s="2"/>
    </row>
    <row r="645" ht="15.75" customHeight="1">
      <c r="A645" s="2"/>
      <c r="C645" s="2"/>
      <c r="D645" s="2"/>
      <c r="F645" s="2"/>
    </row>
    <row r="646" ht="15.75" customHeight="1">
      <c r="A646" s="2"/>
      <c r="C646" s="2"/>
      <c r="D646" s="2"/>
      <c r="F646" s="2"/>
    </row>
    <row r="647" ht="15.75" customHeight="1">
      <c r="A647" s="2"/>
      <c r="C647" s="2"/>
      <c r="D647" s="2"/>
      <c r="F647" s="2"/>
    </row>
    <row r="648" ht="15.75" customHeight="1">
      <c r="A648" s="2"/>
      <c r="C648" s="2"/>
      <c r="D648" s="2"/>
      <c r="F648" s="2"/>
    </row>
    <row r="649" ht="15.75" customHeight="1">
      <c r="A649" s="2"/>
      <c r="C649" s="2"/>
      <c r="D649" s="2"/>
      <c r="F649" s="2"/>
    </row>
    <row r="650" ht="15.75" customHeight="1">
      <c r="A650" s="2"/>
      <c r="C650" s="2"/>
      <c r="D650" s="2"/>
      <c r="F650" s="2"/>
    </row>
    <row r="651" ht="15.75" customHeight="1">
      <c r="A651" s="2"/>
      <c r="C651" s="2"/>
      <c r="D651" s="2"/>
      <c r="F651" s="2"/>
    </row>
    <row r="652" ht="15.75" customHeight="1">
      <c r="A652" s="2"/>
      <c r="C652" s="2"/>
      <c r="D652" s="2"/>
      <c r="F652" s="2"/>
    </row>
    <row r="653" ht="15.75" customHeight="1">
      <c r="A653" s="2"/>
      <c r="C653" s="2"/>
      <c r="D653" s="2"/>
      <c r="F653" s="2"/>
    </row>
    <row r="654" ht="15.75" customHeight="1">
      <c r="A654" s="2"/>
      <c r="C654" s="2"/>
      <c r="D654" s="2"/>
      <c r="F654" s="2"/>
    </row>
    <row r="655" ht="15.75" customHeight="1">
      <c r="A655" s="2"/>
      <c r="C655" s="2"/>
      <c r="D655" s="2"/>
      <c r="F655" s="2"/>
    </row>
    <row r="656" ht="15.75" customHeight="1">
      <c r="A656" s="2"/>
      <c r="C656" s="2"/>
      <c r="D656" s="2"/>
      <c r="F656" s="2"/>
    </row>
    <row r="657" ht="15.75" customHeight="1">
      <c r="A657" s="2"/>
      <c r="C657" s="2"/>
      <c r="D657" s="2"/>
      <c r="F657" s="2"/>
    </row>
    <row r="658" ht="15.75" customHeight="1">
      <c r="A658" s="2"/>
      <c r="C658" s="2"/>
      <c r="D658" s="2"/>
      <c r="F658" s="2"/>
    </row>
    <row r="659" ht="15.75" customHeight="1">
      <c r="A659" s="2"/>
      <c r="C659" s="2"/>
      <c r="D659" s="2"/>
      <c r="F659" s="2"/>
    </row>
    <row r="660" ht="15.75" customHeight="1">
      <c r="A660" s="2"/>
      <c r="C660" s="2"/>
      <c r="D660" s="2"/>
      <c r="F660" s="2"/>
    </row>
    <row r="661" ht="15.75" customHeight="1">
      <c r="A661" s="2"/>
      <c r="C661" s="2"/>
      <c r="D661" s="2"/>
      <c r="F661" s="2"/>
    </row>
    <row r="662" ht="15.75" customHeight="1">
      <c r="A662" s="2"/>
      <c r="C662" s="2"/>
      <c r="D662" s="2"/>
      <c r="F662" s="2"/>
    </row>
    <row r="663" ht="15.75" customHeight="1">
      <c r="A663" s="2"/>
      <c r="C663" s="2"/>
      <c r="D663" s="2"/>
      <c r="F663" s="2"/>
    </row>
    <row r="664" ht="15.75" customHeight="1">
      <c r="A664" s="2"/>
      <c r="C664" s="2"/>
      <c r="D664" s="2"/>
      <c r="F664" s="2"/>
    </row>
    <row r="665" ht="15.75" customHeight="1">
      <c r="A665" s="2"/>
      <c r="C665" s="2"/>
      <c r="D665" s="2"/>
      <c r="F665" s="2"/>
    </row>
    <row r="666" ht="15.75" customHeight="1">
      <c r="A666" s="2"/>
      <c r="C666" s="2"/>
      <c r="D666" s="2"/>
      <c r="F666" s="2"/>
    </row>
    <row r="667" ht="15.75" customHeight="1">
      <c r="A667" s="2"/>
      <c r="C667" s="2"/>
      <c r="D667" s="2"/>
      <c r="F667" s="2"/>
    </row>
    <row r="668" ht="15.75" customHeight="1">
      <c r="A668" s="2"/>
      <c r="C668" s="2"/>
      <c r="D668" s="2"/>
      <c r="F668" s="2"/>
    </row>
    <row r="669" ht="15.75" customHeight="1">
      <c r="A669" s="2"/>
      <c r="C669" s="2"/>
      <c r="D669" s="2"/>
      <c r="F669" s="2"/>
    </row>
    <row r="670" ht="15.75" customHeight="1">
      <c r="A670" s="2"/>
      <c r="C670" s="2"/>
      <c r="D670" s="2"/>
      <c r="F670" s="2"/>
    </row>
    <row r="671" ht="15.75" customHeight="1">
      <c r="A671" s="2"/>
      <c r="C671" s="2"/>
      <c r="D671" s="2"/>
      <c r="F671" s="2"/>
    </row>
    <row r="672" ht="15.75" customHeight="1">
      <c r="A672" s="2"/>
      <c r="C672" s="2"/>
      <c r="D672" s="2"/>
      <c r="F672" s="2"/>
    </row>
    <row r="673" ht="15.75" customHeight="1">
      <c r="A673" s="2"/>
      <c r="C673" s="2"/>
      <c r="D673" s="2"/>
      <c r="F673" s="2"/>
    </row>
    <row r="674" ht="15.75" customHeight="1">
      <c r="A674" s="2"/>
      <c r="C674" s="2"/>
      <c r="D674" s="2"/>
      <c r="F674" s="2"/>
    </row>
    <row r="675" ht="15.75" customHeight="1">
      <c r="A675" s="2"/>
      <c r="C675" s="2"/>
      <c r="D675" s="2"/>
      <c r="F675" s="2"/>
    </row>
    <row r="676" ht="15.75" customHeight="1">
      <c r="A676" s="2"/>
      <c r="C676" s="2"/>
      <c r="D676" s="2"/>
      <c r="F676" s="2"/>
    </row>
    <row r="677" ht="15.75" customHeight="1">
      <c r="A677" s="2"/>
      <c r="C677" s="2"/>
      <c r="D677" s="2"/>
      <c r="F677" s="2"/>
    </row>
    <row r="678" ht="15.75" customHeight="1">
      <c r="A678" s="2"/>
      <c r="C678" s="2"/>
      <c r="D678" s="2"/>
      <c r="F678" s="2"/>
    </row>
    <row r="679" ht="15.75" customHeight="1">
      <c r="A679" s="2"/>
      <c r="C679" s="2"/>
      <c r="D679" s="2"/>
      <c r="F679" s="2"/>
    </row>
    <row r="680" ht="15.75" customHeight="1">
      <c r="A680" s="2"/>
      <c r="C680" s="2"/>
      <c r="D680" s="2"/>
      <c r="F680" s="2"/>
    </row>
    <row r="681" ht="15.75" customHeight="1">
      <c r="A681" s="2"/>
      <c r="C681" s="2"/>
      <c r="D681" s="2"/>
      <c r="F681" s="2"/>
    </row>
    <row r="682" ht="15.75" customHeight="1">
      <c r="A682" s="2"/>
      <c r="C682" s="2"/>
      <c r="D682" s="2"/>
      <c r="F682" s="2"/>
    </row>
    <row r="683" ht="15.75" customHeight="1">
      <c r="A683" s="2"/>
      <c r="C683" s="2"/>
      <c r="D683" s="2"/>
      <c r="F683" s="2"/>
    </row>
    <row r="684" ht="15.75" customHeight="1">
      <c r="A684" s="2"/>
      <c r="C684" s="2"/>
      <c r="D684" s="2"/>
      <c r="F684" s="2"/>
    </row>
    <row r="685" ht="15.75" customHeight="1">
      <c r="A685" s="2"/>
      <c r="C685" s="2"/>
      <c r="D685" s="2"/>
      <c r="F685" s="2"/>
    </row>
    <row r="686" ht="15.75" customHeight="1">
      <c r="A686" s="2"/>
      <c r="C686" s="2"/>
      <c r="D686" s="2"/>
      <c r="F686" s="2"/>
    </row>
    <row r="687" ht="15.75" customHeight="1">
      <c r="A687" s="2"/>
      <c r="C687" s="2"/>
      <c r="D687" s="2"/>
      <c r="F687" s="2"/>
    </row>
    <row r="688" ht="15.75" customHeight="1">
      <c r="A688" s="2"/>
      <c r="C688" s="2"/>
      <c r="D688" s="2"/>
      <c r="F688" s="2"/>
    </row>
    <row r="689" ht="15.75" customHeight="1">
      <c r="A689" s="2"/>
      <c r="C689" s="2"/>
      <c r="D689" s="2"/>
      <c r="F689" s="2"/>
    </row>
    <row r="690" ht="15.75" customHeight="1">
      <c r="A690" s="2"/>
      <c r="C690" s="2"/>
      <c r="D690" s="2"/>
      <c r="F690" s="2"/>
    </row>
    <row r="691" ht="15.75" customHeight="1">
      <c r="A691" s="2"/>
      <c r="C691" s="2"/>
      <c r="D691" s="2"/>
      <c r="F691" s="2"/>
    </row>
    <row r="692" ht="15.75" customHeight="1">
      <c r="A692" s="2"/>
      <c r="C692" s="2"/>
      <c r="D692" s="2"/>
      <c r="F692" s="2"/>
    </row>
    <row r="693" ht="15.75" customHeight="1">
      <c r="A693" s="2"/>
      <c r="C693" s="2"/>
      <c r="D693" s="2"/>
      <c r="F693" s="2"/>
    </row>
    <row r="694" ht="15.75" customHeight="1">
      <c r="A694" s="2"/>
      <c r="C694" s="2"/>
      <c r="D694" s="2"/>
      <c r="F694" s="2"/>
    </row>
    <row r="695" ht="15.75" customHeight="1">
      <c r="A695" s="2"/>
      <c r="C695" s="2"/>
      <c r="D695" s="2"/>
      <c r="F695" s="2"/>
    </row>
    <row r="696" ht="15.75" customHeight="1">
      <c r="A696" s="2"/>
      <c r="C696" s="2"/>
      <c r="D696" s="2"/>
      <c r="F696" s="2"/>
    </row>
    <row r="697" ht="15.75" customHeight="1">
      <c r="A697" s="2"/>
      <c r="C697" s="2"/>
      <c r="D697" s="2"/>
      <c r="F697" s="2"/>
    </row>
    <row r="698" ht="15.75" customHeight="1">
      <c r="A698" s="2"/>
      <c r="C698" s="2"/>
      <c r="D698" s="2"/>
      <c r="F698" s="2"/>
    </row>
    <row r="699" ht="15.75" customHeight="1">
      <c r="A699" s="2"/>
      <c r="C699" s="2"/>
      <c r="D699" s="2"/>
      <c r="F699" s="2"/>
    </row>
    <row r="700" ht="15.75" customHeight="1">
      <c r="A700" s="2"/>
      <c r="C700" s="2"/>
      <c r="D700" s="2"/>
      <c r="F700" s="2"/>
    </row>
    <row r="701" ht="15.75" customHeight="1">
      <c r="A701" s="2"/>
      <c r="C701" s="2"/>
      <c r="D701" s="2"/>
      <c r="F701" s="2"/>
    </row>
    <row r="702" ht="15.75" customHeight="1">
      <c r="A702" s="2"/>
      <c r="C702" s="2"/>
      <c r="D702" s="2"/>
      <c r="F702" s="2"/>
    </row>
    <row r="703" ht="15.75" customHeight="1">
      <c r="A703" s="2"/>
      <c r="C703" s="2"/>
      <c r="D703" s="2"/>
      <c r="F703" s="2"/>
    </row>
    <row r="704" ht="15.75" customHeight="1">
      <c r="A704" s="2"/>
      <c r="C704" s="2"/>
      <c r="D704" s="2"/>
      <c r="F704" s="2"/>
    </row>
    <row r="705" ht="15.75" customHeight="1">
      <c r="A705" s="2"/>
      <c r="C705" s="2"/>
      <c r="D705" s="2"/>
      <c r="F705" s="2"/>
    </row>
    <row r="706" ht="15.75" customHeight="1">
      <c r="A706" s="2"/>
      <c r="C706" s="2"/>
      <c r="D706" s="2"/>
      <c r="F706" s="2"/>
    </row>
    <row r="707" ht="15.75" customHeight="1">
      <c r="A707" s="2"/>
      <c r="C707" s="2"/>
      <c r="D707" s="2"/>
      <c r="F707" s="2"/>
    </row>
    <row r="708" ht="15.75" customHeight="1">
      <c r="A708" s="2"/>
      <c r="C708" s="2"/>
      <c r="D708" s="2"/>
      <c r="F708" s="2"/>
    </row>
    <row r="709" ht="15.75" customHeight="1">
      <c r="A709" s="2"/>
      <c r="C709" s="2"/>
      <c r="D709" s="2"/>
      <c r="F709" s="2"/>
    </row>
    <row r="710" ht="15.75" customHeight="1">
      <c r="A710" s="2"/>
      <c r="C710" s="2"/>
      <c r="D710" s="2"/>
      <c r="F710" s="2"/>
    </row>
    <row r="711" ht="15.75" customHeight="1">
      <c r="A711" s="2"/>
      <c r="C711" s="2"/>
      <c r="D711" s="2"/>
      <c r="F711" s="2"/>
    </row>
    <row r="712" ht="15.75" customHeight="1">
      <c r="A712" s="2"/>
      <c r="C712" s="2"/>
      <c r="D712" s="2"/>
      <c r="F712" s="2"/>
    </row>
    <row r="713" ht="15.75" customHeight="1">
      <c r="A713" s="2"/>
      <c r="C713" s="2"/>
      <c r="D713" s="2"/>
      <c r="F713" s="2"/>
    </row>
    <row r="714" ht="15.75" customHeight="1">
      <c r="A714" s="2"/>
      <c r="C714" s="2"/>
      <c r="D714" s="2"/>
      <c r="F714" s="2"/>
    </row>
    <row r="715" ht="15.75" customHeight="1">
      <c r="A715" s="2"/>
      <c r="C715" s="2"/>
      <c r="D715" s="2"/>
      <c r="F715" s="2"/>
    </row>
    <row r="716" ht="15.75" customHeight="1">
      <c r="A716" s="2"/>
      <c r="C716" s="2"/>
      <c r="D716" s="2"/>
      <c r="F716" s="2"/>
    </row>
    <row r="717" ht="15.75" customHeight="1">
      <c r="A717" s="2"/>
      <c r="C717" s="2"/>
      <c r="D717" s="2"/>
      <c r="F717" s="2"/>
    </row>
    <row r="718" ht="15.75" customHeight="1">
      <c r="A718" s="2"/>
      <c r="C718" s="2"/>
      <c r="D718" s="2"/>
      <c r="F718" s="2"/>
    </row>
    <row r="719" ht="15.75" customHeight="1">
      <c r="A719" s="2"/>
      <c r="C719" s="2"/>
      <c r="D719" s="2"/>
      <c r="F719" s="2"/>
    </row>
    <row r="720" ht="15.75" customHeight="1">
      <c r="A720" s="2"/>
      <c r="C720" s="2"/>
      <c r="D720" s="2"/>
      <c r="F720" s="2"/>
    </row>
    <row r="721" ht="15.75" customHeight="1">
      <c r="A721" s="2"/>
      <c r="C721" s="2"/>
      <c r="D721" s="2"/>
      <c r="F721" s="2"/>
    </row>
    <row r="722" ht="15.75" customHeight="1">
      <c r="A722" s="2"/>
      <c r="C722" s="2"/>
      <c r="D722" s="2"/>
      <c r="F722" s="2"/>
    </row>
    <row r="723" ht="15.75" customHeight="1">
      <c r="A723" s="2"/>
      <c r="C723" s="2"/>
      <c r="D723" s="2"/>
      <c r="F723" s="2"/>
    </row>
    <row r="724" ht="15.75" customHeight="1">
      <c r="A724" s="2"/>
      <c r="C724" s="2"/>
      <c r="D724" s="2"/>
      <c r="F724" s="2"/>
    </row>
    <row r="725" ht="15.75" customHeight="1">
      <c r="A725" s="2"/>
      <c r="C725" s="2"/>
      <c r="D725" s="2"/>
      <c r="F725" s="2"/>
    </row>
    <row r="726" ht="15.75" customHeight="1">
      <c r="A726" s="2"/>
      <c r="C726" s="2"/>
      <c r="D726" s="2"/>
      <c r="F726" s="2"/>
    </row>
    <row r="727" ht="15.75" customHeight="1">
      <c r="A727" s="2"/>
      <c r="C727" s="2"/>
      <c r="D727" s="2"/>
      <c r="F727" s="2"/>
    </row>
    <row r="728" ht="15.75" customHeight="1">
      <c r="A728" s="2"/>
      <c r="C728" s="2"/>
      <c r="D728" s="2"/>
      <c r="F728" s="2"/>
    </row>
    <row r="729" ht="15.75" customHeight="1">
      <c r="A729" s="2"/>
      <c r="C729" s="2"/>
      <c r="D729" s="2"/>
      <c r="F729" s="2"/>
    </row>
    <row r="730" ht="15.75" customHeight="1">
      <c r="A730" s="2"/>
      <c r="C730" s="2"/>
      <c r="D730" s="2"/>
      <c r="F730" s="2"/>
    </row>
    <row r="731" ht="15.75" customHeight="1">
      <c r="A731" s="2"/>
      <c r="C731" s="2"/>
      <c r="D731" s="2"/>
      <c r="F731" s="2"/>
    </row>
    <row r="732" ht="15.75" customHeight="1">
      <c r="A732" s="2"/>
      <c r="C732" s="2"/>
      <c r="D732" s="2"/>
      <c r="F732" s="2"/>
    </row>
    <row r="733" ht="15.75" customHeight="1">
      <c r="A733" s="2"/>
      <c r="C733" s="2"/>
      <c r="D733" s="2"/>
      <c r="F733" s="2"/>
    </row>
    <row r="734" ht="15.75" customHeight="1">
      <c r="A734" s="2"/>
      <c r="C734" s="2"/>
      <c r="D734" s="2"/>
      <c r="F734" s="2"/>
    </row>
    <row r="735" ht="15.75" customHeight="1">
      <c r="A735" s="2"/>
      <c r="C735" s="2"/>
      <c r="D735" s="2"/>
      <c r="F735" s="2"/>
    </row>
    <row r="736" ht="15.75" customHeight="1">
      <c r="A736" s="2"/>
      <c r="C736" s="2"/>
      <c r="D736" s="2"/>
      <c r="F736" s="2"/>
    </row>
    <row r="737" ht="15.75" customHeight="1">
      <c r="A737" s="2"/>
      <c r="C737" s="2"/>
      <c r="D737" s="2"/>
      <c r="F737" s="2"/>
    </row>
    <row r="738" ht="15.75" customHeight="1">
      <c r="A738" s="2"/>
      <c r="C738" s="2"/>
      <c r="D738" s="2"/>
      <c r="F738" s="2"/>
    </row>
    <row r="739" ht="15.75" customHeight="1">
      <c r="A739" s="2"/>
      <c r="C739" s="2"/>
      <c r="D739" s="2"/>
      <c r="F739" s="2"/>
    </row>
    <row r="740" ht="15.75" customHeight="1">
      <c r="A740" s="2"/>
      <c r="C740" s="2"/>
      <c r="D740" s="2"/>
      <c r="F740" s="2"/>
    </row>
    <row r="741" ht="15.75" customHeight="1">
      <c r="A741" s="2"/>
      <c r="C741" s="2"/>
      <c r="D741" s="2"/>
      <c r="F741" s="2"/>
    </row>
    <row r="742" ht="15.75" customHeight="1">
      <c r="A742" s="2"/>
      <c r="C742" s="2"/>
      <c r="D742" s="2"/>
      <c r="F742" s="2"/>
    </row>
    <row r="743" ht="15.75" customHeight="1">
      <c r="A743" s="2"/>
      <c r="C743" s="2"/>
      <c r="D743" s="2"/>
      <c r="F743" s="2"/>
    </row>
    <row r="744" ht="15.75" customHeight="1">
      <c r="A744" s="2"/>
      <c r="C744" s="2"/>
      <c r="D744" s="2"/>
      <c r="F744" s="2"/>
    </row>
    <row r="745" ht="15.75" customHeight="1">
      <c r="A745" s="2"/>
      <c r="C745" s="2"/>
      <c r="D745" s="2"/>
      <c r="F745" s="2"/>
    </row>
    <row r="746" ht="15.75" customHeight="1">
      <c r="A746" s="2"/>
      <c r="C746" s="2"/>
      <c r="D746" s="2"/>
      <c r="F746" s="2"/>
    </row>
    <row r="747" ht="15.75" customHeight="1">
      <c r="A747" s="2"/>
      <c r="C747" s="2"/>
      <c r="D747" s="2"/>
      <c r="F747" s="2"/>
    </row>
    <row r="748" ht="15.75" customHeight="1">
      <c r="A748" s="2"/>
      <c r="C748" s="2"/>
      <c r="D748" s="2"/>
      <c r="F748" s="2"/>
    </row>
    <row r="749" ht="15.75" customHeight="1">
      <c r="A749" s="2"/>
      <c r="C749" s="2"/>
      <c r="D749" s="2"/>
      <c r="F749" s="2"/>
    </row>
    <row r="750" ht="15.75" customHeight="1">
      <c r="A750" s="2"/>
      <c r="C750" s="2"/>
      <c r="D750" s="2"/>
      <c r="F750" s="2"/>
    </row>
    <row r="751" ht="15.75" customHeight="1">
      <c r="A751" s="2"/>
      <c r="C751" s="2"/>
      <c r="D751" s="2"/>
      <c r="F751" s="2"/>
    </row>
    <row r="752" ht="15.75" customHeight="1">
      <c r="A752" s="2"/>
      <c r="C752" s="2"/>
      <c r="D752" s="2"/>
      <c r="F752" s="2"/>
    </row>
    <row r="753" ht="15.75" customHeight="1">
      <c r="A753" s="2"/>
      <c r="C753" s="2"/>
      <c r="D753" s="2"/>
      <c r="F753" s="2"/>
    </row>
    <row r="754" ht="15.75" customHeight="1">
      <c r="A754" s="2"/>
      <c r="C754" s="2"/>
      <c r="D754" s="2"/>
      <c r="F754" s="2"/>
    </row>
    <row r="755" ht="15.75" customHeight="1">
      <c r="A755" s="2"/>
      <c r="C755" s="2"/>
      <c r="D755" s="2"/>
      <c r="F755" s="2"/>
    </row>
    <row r="756" ht="15.75" customHeight="1">
      <c r="A756" s="2"/>
      <c r="C756" s="2"/>
      <c r="D756" s="2"/>
      <c r="F756" s="2"/>
    </row>
    <row r="757" ht="15.75" customHeight="1">
      <c r="A757" s="2"/>
      <c r="C757" s="2"/>
      <c r="D757" s="2"/>
      <c r="F757" s="2"/>
    </row>
    <row r="758" ht="15.75" customHeight="1">
      <c r="A758" s="2"/>
      <c r="C758" s="2"/>
      <c r="D758" s="2"/>
      <c r="F758" s="2"/>
    </row>
    <row r="759" ht="15.75" customHeight="1">
      <c r="A759" s="2"/>
      <c r="C759" s="2"/>
      <c r="D759" s="2"/>
      <c r="F759" s="2"/>
    </row>
    <row r="760" ht="15.75" customHeight="1">
      <c r="A760" s="2"/>
      <c r="C760" s="2"/>
      <c r="D760" s="2"/>
      <c r="F760" s="2"/>
    </row>
    <row r="761" ht="15.75" customHeight="1">
      <c r="A761" s="2"/>
      <c r="C761" s="2"/>
      <c r="D761" s="2"/>
      <c r="F761" s="2"/>
    </row>
    <row r="762" ht="15.75" customHeight="1">
      <c r="A762" s="2"/>
      <c r="C762" s="2"/>
      <c r="D762" s="2"/>
      <c r="F762" s="2"/>
    </row>
    <row r="763" ht="15.75" customHeight="1">
      <c r="A763" s="2"/>
      <c r="C763" s="2"/>
      <c r="D763" s="2"/>
      <c r="F763" s="2"/>
    </row>
    <row r="764" ht="15.75" customHeight="1">
      <c r="A764" s="2"/>
      <c r="C764" s="2"/>
      <c r="D764" s="2"/>
      <c r="F764" s="2"/>
    </row>
    <row r="765" ht="15.75" customHeight="1">
      <c r="A765" s="2"/>
      <c r="C765" s="2"/>
      <c r="D765" s="2"/>
      <c r="F765" s="2"/>
    </row>
    <row r="766" ht="15.75" customHeight="1">
      <c r="A766" s="2"/>
      <c r="C766" s="2"/>
      <c r="D766" s="2"/>
      <c r="F766" s="2"/>
    </row>
    <row r="767" ht="15.75" customHeight="1">
      <c r="A767" s="2"/>
      <c r="C767" s="2"/>
      <c r="D767" s="2"/>
      <c r="F767" s="2"/>
    </row>
    <row r="768" ht="15.75" customHeight="1">
      <c r="A768" s="2"/>
      <c r="C768" s="2"/>
      <c r="D768" s="2"/>
      <c r="F768" s="2"/>
    </row>
    <row r="769" ht="15.75" customHeight="1">
      <c r="A769" s="2"/>
      <c r="C769" s="2"/>
      <c r="D769" s="2"/>
      <c r="F769" s="2"/>
    </row>
    <row r="770" ht="15.75" customHeight="1">
      <c r="A770" s="2"/>
      <c r="C770" s="2"/>
      <c r="D770" s="2"/>
      <c r="F770" s="2"/>
    </row>
    <row r="771" ht="15.75" customHeight="1">
      <c r="A771" s="2"/>
      <c r="C771" s="2"/>
      <c r="D771" s="2"/>
      <c r="F771" s="2"/>
    </row>
    <row r="772" ht="15.75" customHeight="1">
      <c r="A772" s="2"/>
      <c r="C772" s="2"/>
      <c r="D772" s="2"/>
      <c r="F772" s="2"/>
    </row>
    <row r="773" ht="15.75" customHeight="1">
      <c r="A773" s="2"/>
      <c r="C773" s="2"/>
      <c r="D773" s="2"/>
      <c r="F773" s="2"/>
    </row>
    <row r="774" ht="15.75" customHeight="1">
      <c r="A774" s="2"/>
      <c r="C774" s="2"/>
      <c r="D774" s="2"/>
      <c r="F774" s="2"/>
    </row>
    <row r="775" ht="15.75" customHeight="1">
      <c r="A775" s="2"/>
      <c r="C775" s="2"/>
      <c r="D775" s="2"/>
      <c r="F775" s="2"/>
    </row>
    <row r="776" ht="15.75" customHeight="1">
      <c r="A776" s="2"/>
      <c r="C776" s="2"/>
      <c r="D776" s="2"/>
      <c r="F776" s="2"/>
    </row>
    <row r="777" ht="15.75" customHeight="1">
      <c r="A777" s="2"/>
      <c r="C777" s="2"/>
      <c r="D777" s="2"/>
      <c r="F777" s="2"/>
    </row>
    <row r="778" ht="15.75" customHeight="1">
      <c r="A778" s="2"/>
      <c r="C778" s="2"/>
      <c r="D778" s="2"/>
      <c r="F778" s="2"/>
    </row>
    <row r="779" ht="15.75" customHeight="1">
      <c r="A779" s="2"/>
      <c r="C779" s="2"/>
      <c r="D779" s="2"/>
      <c r="F779" s="2"/>
    </row>
    <row r="780" ht="15.75" customHeight="1">
      <c r="A780" s="2"/>
      <c r="C780" s="2"/>
      <c r="D780" s="2"/>
      <c r="F780" s="2"/>
    </row>
    <row r="781" ht="15.75" customHeight="1">
      <c r="A781" s="2"/>
      <c r="C781" s="2"/>
      <c r="D781" s="2"/>
      <c r="F781" s="2"/>
    </row>
    <row r="782" ht="15.75" customHeight="1">
      <c r="A782" s="2"/>
      <c r="C782" s="2"/>
      <c r="D782" s="2"/>
      <c r="F782" s="2"/>
    </row>
    <row r="783" ht="15.75" customHeight="1">
      <c r="A783" s="2"/>
      <c r="C783" s="2"/>
      <c r="D783" s="2"/>
      <c r="F783" s="2"/>
    </row>
    <row r="784" ht="15.75" customHeight="1">
      <c r="A784" s="2"/>
      <c r="C784" s="2"/>
      <c r="D784" s="2"/>
      <c r="F784" s="2"/>
    </row>
    <row r="785" ht="15.75" customHeight="1">
      <c r="A785" s="2"/>
      <c r="C785" s="2"/>
      <c r="D785" s="2"/>
      <c r="F785" s="2"/>
    </row>
    <row r="786" ht="15.75" customHeight="1">
      <c r="A786" s="2"/>
      <c r="C786" s="2"/>
      <c r="D786" s="2"/>
      <c r="F786" s="2"/>
    </row>
    <row r="787" ht="15.75" customHeight="1">
      <c r="A787" s="2"/>
      <c r="C787" s="2"/>
      <c r="D787" s="2"/>
      <c r="F787" s="2"/>
    </row>
    <row r="788" ht="15.75" customHeight="1">
      <c r="A788" s="2"/>
      <c r="C788" s="2"/>
      <c r="D788" s="2"/>
      <c r="F788" s="2"/>
    </row>
    <row r="789" ht="15.75" customHeight="1">
      <c r="A789" s="2"/>
      <c r="C789" s="2"/>
      <c r="D789" s="2"/>
      <c r="F789" s="2"/>
    </row>
    <row r="790" ht="15.75" customHeight="1">
      <c r="A790" s="2"/>
      <c r="C790" s="2"/>
      <c r="D790" s="2"/>
      <c r="F790" s="2"/>
    </row>
    <row r="791" ht="15.75" customHeight="1">
      <c r="A791" s="2"/>
      <c r="C791" s="2"/>
      <c r="D791" s="2"/>
      <c r="F791" s="2"/>
    </row>
    <row r="792" ht="15.75" customHeight="1">
      <c r="A792" s="2"/>
      <c r="C792" s="2"/>
      <c r="D792" s="2"/>
      <c r="F792" s="2"/>
    </row>
    <row r="793" ht="15.75" customHeight="1">
      <c r="A793" s="2"/>
      <c r="C793" s="2"/>
      <c r="D793" s="2"/>
      <c r="F793" s="2"/>
    </row>
    <row r="794" ht="15.75" customHeight="1">
      <c r="A794" s="2"/>
      <c r="C794" s="2"/>
      <c r="D794" s="2"/>
      <c r="F794" s="2"/>
    </row>
    <row r="795" ht="15.75" customHeight="1">
      <c r="A795" s="2"/>
      <c r="C795" s="2"/>
      <c r="D795" s="2"/>
      <c r="F795" s="2"/>
    </row>
    <row r="796" ht="15.75" customHeight="1">
      <c r="A796" s="2"/>
      <c r="C796" s="2"/>
      <c r="D796" s="2"/>
      <c r="F796" s="2"/>
    </row>
    <row r="797" ht="15.75" customHeight="1">
      <c r="A797" s="2"/>
      <c r="C797" s="2"/>
      <c r="D797" s="2"/>
      <c r="F797" s="2"/>
    </row>
    <row r="798" ht="15.75" customHeight="1">
      <c r="A798" s="2"/>
      <c r="C798" s="2"/>
      <c r="D798" s="2"/>
      <c r="F798" s="2"/>
    </row>
    <row r="799" ht="15.75" customHeight="1">
      <c r="A799" s="2"/>
      <c r="C799" s="2"/>
      <c r="D799" s="2"/>
      <c r="F799" s="2"/>
    </row>
    <row r="800" ht="15.75" customHeight="1">
      <c r="A800" s="2"/>
      <c r="C800" s="2"/>
      <c r="D800" s="2"/>
      <c r="F800" s="2"/>
    </row>
    <row r="801" ht="15.75" customHeight="1">
      <c r="A801" s="2"/>
      <c r="C801" s="2"/>
      <c r="D801" s="2"/>
      <c r="F801" s="2"/>
    </row>
    <row r="802" ht="15.75" customHeight="1">
      <c r="A802" s="2"/>
      <c r="C802" s="2"/>
      <c r="D802" s="2"/>
      <c r="F802" s="2"/>
    </row>
    <row r="803" ht="15.75" customHeight="1">
      <c r="A803" s="2"/>
      <c r="C803" s="2"/>
      <c r="D803" s="2"/>
      <c r="F803" s="2"/>
    </row>
    <row r="804" ht="15.75" customHeight="1">
      <c r="A804" s="2"/>
      <c r="C804" s="2"/>
      <c r="D804" s="2"/>
      <c r="F804" s="2"/>
    </row>
    <row r="805" ht="15.75" customHeight="1">
      <c r="A805" s="2"/>
      <c r="C805" s="2"/>
      <c r="D805" s="2"/>
      <c r="F805" s="2"/>
    </row>
    <row r="806" ht="15.75" customHeight="1">
      <c r="A806" s="2"/>
      <c r="C806" s="2"/>
      <c r="D806" s="2"/>
      <c r="F806" s="2"/>
    </row>
    <row r="807" ht="15.75" customHeight="1">
      <c r="A807" s="2"/>
      <c r="C807" s="2"/>
      <c r="D807" s="2"/>
      <c r="F807" s="2"/>
    </row>
    <row r="808" ht="15.75" customHeight="1">
      <c r="A808" s="2"/>
      <c r="C808" s="2"/>
      <c r="D808" s="2"/>
      <c r="F808" s="2"/>
    </row>
    <row r="809" ht="15.75" customHeight="1">
      <c r="A809" s="2"/>
      <c r="C809" s="2"/>
      <c r="D809" s="2"/>
      <c r="F809" s="2"/>
    </row>
    <row r="810" ht="15.75" customHeight="1">
      <c r="A810" s="2"/>
      <c r="C810" s="2"/>
      <c r="D810" s="2"/>
      <c r="F810" s="2"/>
    </row>
    <row r="811" ht="15.75" customHeight="1">
      <c r="A811" s="2"/>
      <c r="C811" s="2"/>
      <c r="D811" s="2"/>
      <c r="F811" s="2"/>
    </row>
    <row r="812" ht="15.75" customHeight="1">
      <c r="A812" s="2"/>
      <c r="C812" s="2"/>
      <c r="D812" s="2"/>
      <c r="F812" s="2"/>
    </row>
    <row r="813" ht="15.75" customHeight="1">
      <c r="A813" s="2"/>
      <c r="C813" s="2"/>
      <c r="D813" s="2"/>
      <c r="F813" s="2"/>
    </row>
    <row r="814" ht="15.75" customHeight="1">
      <c r="A814" s="2"/>
      <c r="C814" s="2"/>
      <c r="D814" s="2"/>
      <c r="F814" s="2"/>
    </row>
    <row r="815" ht="15.75" customHeight="1">
      <c r="A815" s="2"/>
      <c r="C815" s="2"/>
      <c r="D815" s="2"/>
      <c r="F815" s="2"/>
    </row>
    <row r="816" ht="15.75" customHeight="1">
      <c r="A816" s="2"/>
      <c r="C816" s="2"/>
      <c r="D816" s="2"/>
      <c r="F816" s="2"/>
    </row>
    <row r="817" ht="15.75" customHeight="1">
      <c r="A817" s="2"/>
      <c r="C817" s="2"/>
      <c r="D817" s="2"/>
      <c r="F817" s="2"/>
    </row>
    <row r="818" ht="15.75" customHeight="1">
      <c r="A818" s="2"/>
      <c r="C818" s="2"/>
      <c r="D818" s="2"/>
      <c r="F818" s="2"/>
    </row>
    <row r="819" ht="15.75" customHeight="1">
      <c r="A819" s="2"/>
      <c r="C819" s="2"/>
      <c r="D819" s="2"/>
      <c r="F819" s="2"/>
    </row>
    <row r="820" ht="15.75" customHeight="1">
      <c r="A820" s="2"/>
      <c r="C820" s="2"/>
      <c r="D820" s="2"/>
      <c r="F820" s="2"/>
    </row>
    <row r="821" ht="15.75" customHeight="1">
      <c r="A821" s="2"/>
      <c r="C821" s="2"/>
      <c r="D821" s="2"/>
      <c r="F821" s="2"/>
    </row>
    <row r="822" ht="15.75" customHeight="1">
      <c r="A822" s="2"/>
      <c r="C822" s="2"/>
      <c r="D822" s="2"/>
      <c r="F822" s="2"/>
    </row>
    <row r="823" ht="15.75" customHeight="1">
      <c r="A823" s="2"/>
      <c r="C823" s="2"/>
      <c r="D823" s="2"/>
      <c r="F823" s="2"/>
    </row>
    <row r="824" ht="15.75" customHeight="1">
      <c r="A824" s="2"/>
      <c r="C824" s="2"/>
      <c r="D824" s="2"/>
      <c r="F824" s="2"/>
    </row>
    <row r="825" ht="15.75" customHeight="1">
      <c r="A825" s="2"/>
      <c r="C825" s="2"/>
      <c r="D825" s="2"/>
      <c r="F825" s="2"/>
    </row>
    <row r="826" ht="15.75" customHeight="1">
      <c r="A826" s="2"/>
      <c r="C826" s="2"/>
      <c r="D826" s="2"/>
      <c r="F826" s="2"/>
    </row>
    <row r="827" ht="15.75" customHeight="1">
      <c r="A827" s="2"/>
      <c r="C827" s="2"/>
      <c r="D827" s="2"/>
      <c r="F827" s="2"/>
    </row>
    <row r="828" ht="15.75" customHeight="1">
      <c r="A828" s="2"/>
      <c r="C828" s="2"/>
      <c r="D828" s="2"/>
      <c r="F828" s="2"/>
    </row>
    <row r="829" ht="15.75" customHeight="1">
      <c r="A829" s="2"/>
      <c r="C829" s="2"/>
      <c r="D829" s="2"/>
      <c r="F829" s="2"/>
    </row>
    <row r="830" ht="15.75" customHeight="1">
      <c r="A830" s="2"/>
      <c r="C830" s="2"/>
      <c r="D830" s="2"/>
      <c r="F830" s="2"/>
    </row>
    <row r="831" ht="15.75" customHeight="1">
      <c r="A831" s="2"/>
      <c r="C831" s="2"/>
      <c r="D831" s="2"/>
      <c r="F831" s="2"/>
    </row>
    <row r="832" ht="15.75" customHeight="1">
      <c r="A832" s="2"/>
      <c r="C832" s="2"/>
      <c r="D832" s="2"/>
      <c r="F832" s="2"/>
    </row>
    <row r="833" ht="15.75" customHeight="1">
      <c r="A833" s="2"/>
      <c r="C833" s="2"/>
      <c r="D833" s="2"/>
      <c r="F833" s="2"/>
    </row>
    <row r="834" ht="15.75" customHeight="1">
      <c r="A834" s="2"/>
      <c r="C834" s="2"/>
      <c r="D834" s="2"/>
      <c r="F834" s="2"/>
    </row>
    <row r="835" ht="15.75" customHeight="1">
      <c r="A835" s="2"/>
      <c r="C835" s="2"/>
      <c r="D835" s="2"/>
      <c r="F835" s="2"/>
    </row>
    <row r="836" ht="15.75" customHeight="1">
      <c r="A836" s="2"/>
      <c r="C836" s="2"/>
      <c r="D836" s="2"/>
      <c r="F836" s="2"/>
    </row>
    <row r="837" ht="15.75" customHeight="1">
      <c r="A837" s="2"/>
      <c r="C837" s="2"/>
      <c r="D837" s="2"/>
      <c r="F837" s="2"/>
    </row>
    <row r="838" ht="15.75" customHeight="1">
      <c r="A838" s="2"/>
      <c r="C838" s="2"/>
      <c r="D838" s="2"/>
      <c r="F838" s="2"/>
    </row>
    <row r="839" ht="15.75" customHeight="1">
      <c r="A839" s="2"/>
      <c r="C839" s="2"/>
      <c r="D839" s="2"/>
      <c r="F839" s="2"/>
    </row>
    <row r="840" ht="15.75" customHeight="1">
      <c r="A840" s="2"/>
      <c r="C840" s="2"/>
      <c r="D840" s="2"/>
      <c r="F840" s="2"/>
    </row>
    <row r="841" ht="15.75" customHeight="1">
      <c r="A841" s="2"/>
      <c r="C841" s="2"/>
      <c r="D841" s="2"/>
      <c r="F841" s="2"/>
    </row>
    <row r="842" ht="15.75" customHeight="1">
      <c r="A842" s="2"/>
      <c r="C842" s="2"/>
      <c r="D842" s="2"/>
      <c r="F842" s="2"/>
    </row>
    <row r="843" ht="15.75" customHeight="1">
      <c r="A843" s="2"/>
      <c r="C843" s="2"/>
      <c r="D843" s="2"/>
      <c r="F843" s="2"/>
    </row>
    <row r="844" ht="15.75" customHeight="1">
      <c r="A844" s="2"/>
      <c r="C844" s="2"/>
      <c r="D844" s="2"/>
      <c r="F844" s="2"/>
    </row>
    <row r="845" ht="15.75" customHeight="1">
      <c r="A845" s="2"/>
      <c r="C845" s="2"/>
      <c r="D845" s="2"/>
      <c r="F845" s="2"/>
    </row>
    <row r="846" ht="15.75" customHeight="1">
      <c r="A846" s="2"/>
      <c r="C846" s="2"/>
      <c r="D846" s="2"/>
      <c r="F846" s="2"/>
    </row>
    <row r="847" ht="15.75" customHeight="1">
      <c r="A847" s="2"/>
      <c r="C847" s="2"/>
      <c r="D847" s="2"/>
      <c r="F847" s="2"/>
    </row>
    <row r="848" ht="15.75" customHeight="1">
      <c r="A848" s="2"/>
      <c r="C848" s="2"/>
      <c r="D848" s="2"/>
      <c r="F848" s="2"/>
    </row>
    <row r="849" ht="15.75" customHeight="1">
      <c r="A849" s="2"/>
      <c r="C849" s="2"/>
      <c r="D849" s="2"/>
      <c r="F849" s="2"/>
    </row>
    <row r="850" ht="15.75" customHeight="1">
      <c r="A850" s="2"/>
      <c r="C850" s="2"/>
      <c r="D850" s="2"/>
      <c r="F850" s="2"/>
    </row>
    <row r="851" ht="15.75" customHeight="1">
      <c r="A851" s="2"/>
      <c r="C851" s="2"/>
      <c r="D851" s="2"/>
      <c r="F851" s="2"/>
    </row>
    <row r="852" ht="15.75" customHeight="1">
      <c r="A852" s="2"/>
      <c r="C852" s="2"/>
      <c r="D852" s="2"/>
      <c r="F852" s="2"/>
    </row>
    <row r="853" ht="15.75" customHeight="1">
      <c r="A853" s="2"/>
      <c r="C853" s="2"/>
      <c r="D853" s="2"/>
      <c r="F853" s="2"/>
    </row>
    <row r="854" ht="15.75" customHeight="1">
      <c r="A854" s="2"/>
      <c r="C854" s="2"/>
      <c r="D854" s="2"/>
      <c r="F854" s="2"/>
    </row>
    <row r="855" ht="15.75" customHeight="1">
      <c r="A855" s="2"/>
      <c r="C855" s="2"/>
      <c r="D855" s="2"/>
      <c r="F855" s="2"/>
    </row>
    <row r="856" ht="15.75" customHeight="1">
      <c r="A856" s="2"/>
      <c r="C856" s="2"/>
      <c r="D856" s="2"/>
      <c r="F856" s="2"/>
    </row>
    <row r="857" ht="15.75" customHeight="1">
      <c r="A857" s="2"/>
      <c r="C857" s="2"/>
      <c r="D857" s="2"/>
      <c r="F857" s="2"/>
    </row>
    <row r="858" ht="15.75" customHeight="1">
      <c r="A858" s="2"/>
      <c r="C858" s="2"/>
      <c r="D858" s="2"/>
      <c r="F858" s="2"/>
    </row>
    <row r="859" ht="15.75" customHeight="1">
      <c r="A859" s="2"/>
      <c r="C859" s="2"/>
      <c r="D859" s="2"/>
      <c r="F859" s="2"/>
    </row>
    <row r="860" ht="15.75" customHeight="1">
      <c r="A860" s="2"/>
      <c r="C860" s="2"/>
      <c r="D860" s="2"/>
      <c r="F860" s="2"/>
    </row>
    <row r="861" ht="15.75" customHeight="1">
      <c r="A861" s="2"/>
      <c r="C861" s="2"/>
      <c r="D861" s="2"/>
      <c r="F861" s="2"/>
    </row>
    <row r="862" ht="15.75" customHeight="1">
      <c r="A862" s="2"/>
      <c r="C862" s="2"/>
      <c r="D862" s="2"/>
      <c r="F862" s="2"/>
    </row>
    <row r="863" ht="15.75" customHeight="1">
      <c r="A863" s="2"/>
      <c r="C863" s="2"/>
      <c r="D863" s="2"/>
      <c r="F863" s="2"/>
    </row>
    <row r="864" ht="15.75" customHeight="1">
      <c r="A864" s="2"/>
      <c r="C864" s="2"/>
      <c r="D864" s="2"/>
      <c r="F864" s="2"/>
    </row>
    <row r="865" ht="15.75" customHeight="1">
      <c r="A865" s="2"/>
      <c r="C865" s="2"/>
      <c r="D865" s="2"/>
      <c r="F865" s="2"/>
    </row>
    <row r="866" ht="15.75" customHeight="1">
      <c r="A866" s="2"/>
      <c r="C866" s="2"/>
      <c r="D866" s="2"/>
      <c r="F866" s="2"/>
    </row>
    <row r="867" ht="15.75" customHeight="1">
      <c r="A867" s="2"/>
      <c r="C867" s="2"/>
      <c r="D867" s="2"/>
      <c r="F867" s="2"/>
    </row>
    <row r="868" ht="15.75" customHeight="1">
      <c r="A868" s="2"/>
      <c r="C868" s="2"/>
      <c r="D868" s="2"/>
      <c r="F868" s="2"/>
    </row>
    <row r="869" ht="15.75" customHeight="1">
      <c r="A869" s="2"/>
      <c r="C869" s="2"/>
      <c r="D869" s="2"/>
      <c r="F869" s="2"/>
    </row>
    <row r="870" ht="15.75" customHeight="1">
      <c r="A870" s="2"/>
      <c r="C870" s="2"/>
      <c r="D870" s="2"/>
      <c r="F870" s="2"/>
    </row>
    <row r="871" ht="15.75" customHeight="1">
      <c r="A871" s="2"/>
      <c r="C871" s="2"/>
      <c r="D871" s="2"/>
      <c r="F871" s="2"/>
    </row>
    <row r="872" ht="15.75" customHeight="1">
      <c r="A872" s="2"/>
      <c r="C872" s="2"/>
      <c r="D872" s="2"/>
      <c r="F872" s="2"/>
    </row>
    <row r="873" ht="15.75" customHeight="1">
      <c r="A873" s="2"/>
      <c r="C873" s="2"/>
      <c r="D873" s="2"/>
      <c r="F873" s="2"/>
    </row>
    <row r="874" ht="15.75" customHeight="1">
      <c r="A874" s="2"/>
      <c r="C874" s="2"/>
      <c r="D874" s="2"/>
      <c r="F874" s="2"/>
    </row>
    <row r="875" ht="15.75" customHeight="1">
      <c r="A875" s="2"/>
      <c r="C875" s="2"/>
      <c r="D875" s="2"/>
      <c r="F875" s="2"/>
    </row>
    <row r="876" ht="15.75" customHeight="1">
      <c r="A876" s="2"/>
      <c r="C876" s="2"/>
      <c r="D876" s="2"/>
      <c r="F876" s="2"/>
    </row>
    <row r="877" ht="15.75" customHeight="1">
      <c r="A877" s="2"/>
      <c r="C877" s="2"/>
      <c r="D877" s="2"/>
      <c r="F877" s="2"/>
    </row>
    <row r="878" ht="15.75" customHeight="1">
      <c r="A878" s="2"/>
      <c r="C878" s="2"/>
      <c r="D878" s="2"/>
      <c r="F878" s="2"/>
    </row>
    <row r="879" ht="15.75" customHeight="1">
      <c r="A879" s="2"/>
      <c r="C879" s="2"/>
      <c r="D879" s="2"/>
      <c r="F879" s="2"/>
    </row>
    <row r="880" ht="15.75" customHeight="1">
      <c r="A880" s="2"/>
      <c r="C880" s="2"/>
      <c r="D880" s="2"/>
      <c r="F880" s="2"/>
    </row>
    <row r="881" ht="15.75" customHeight="1">
      <c r="A881" s="2"/>
      <c r="C881" s="2"/>
      <c r="D881" s="2"/>
      <c r="F881" s="2"/>
    </row>
    <row r="882" ht="15.75" customHeight="1">
      <c r="A882" s="2"/>
      <c r="C882" s="2"/>
      <c r="D882" s="2"/>
      <c r="F882" s="2"/>
    </row>
    <row r="883" ht="15.75" customHeight="1">
      <c r="A883" s="2"/>
      <c r="C883" s="2"/>
      <c r="D883" s="2"/>
      <c r="F883" s="2"/>
    </row>
    <row r="884" ht="15.75" customHeight="1">
      <c r="A884" s="2"/>
      <c r="C884" s="2"/>
      <c r="D884" s="2"/>
      <c r="F884" s="2"/>
    </row>
    <row r="885" ht="15.75" customHeight="1">
      <c r="A885" s="2"/>
      <c r="C885" s="2"/>
      <c r="D885" s="2"/>
      <c r="F885" s="2"/>
    </row>
    <row r="886" ht="15.75" customHeight="1">
      <c r="A886" s="2"/>
      <c r="C886" s="2"/>
      <c r="D886" s="2"/>
      <c r="F886" s="2"/>
    </row>
    <row r="887" ht="15.75" customHeight="1">
      <c r="A887" s="2"/>
      <c r="C887" s="2"/>
      <c r="D887" s="2"/>
      <c r="F887" s="2"/>
    </row>
    <row r="888" ht="15.75" customHeight="1">
      <c r="A888" s="2"/>
      <c r="C888" s="2"/>
      <c r="D888" s="2"/>
      <c r="F888" s="2"/>
    </row>
    <row r="889" ht="15.75" customHeight="1">
      <c r="A889" s="2"/>
      <c r="C889" s="2"/>
      <c r="D889" s="2"/>
      <c r="F889" s="2"/>
    </row>
    <row r="890" ht="15.75" customHeight="1">
      <c r="A890" s="2"/>
      <c r="C890" s="2"/>
      <c r="D890" s="2"/>
      <c r="F890" s="2"/>
    </row>
    <row r="891" ht="15.75" customHeight="1">
      <c r="A891" s="2"/>
      <c r="C891" s="2"/>
      <c r="D891" s="2"/>
      <c r="F891" s="2"/>
    </row>
    <row r="892" ht="15.75" customHeight="1">
      <c r="A892" s="2"/>
      <c r="C892" s="2"/>
      <c r="D892" s="2"/>
      <c r="F892" s="2"/>
    </row>
    <row r="893" ht="15.75" customHeight="1">
      <c r="A893" s="2"/>
      <c r="C893" s="2"/>
      <c r="D893" s="2"/>
      <c r="F893" s="2"/>
    </row>
    <row r="894" ht="15.75" customHeight="1">
      <c r="A894" s="2"/>
      <c r="C894" s="2"/>
      <c r="D894" s="2"/>
      <c r="F894" s="2"/>
    </row>
    <row r="895" ht="15.75" customHeight="1">
      <c r="A895" s="2"/>
      <c r="C895" s="2"/>
      <c r="D895" s="2"/>
      <c r="F895" s="2"/>
    </row>
    <row r="896" ht="15.75" customHeight="1">
      <c r="A896" s="2"/>
      <c r="C896" s="2"/>
      <c r="D896" s="2"/>
      <c r="F896" s="2"/>
    </row>
    <row r="897" ht="15.75" customHeight="1">
      <c r="A897" s="2"/>
      <c r="C897" s="2"/>
      <c r="D897" s="2"/>
      <c r="F897" s="2"/>
    </row>
    <row r="898" ht="15.75" customHeight="1">
      <c r="A898" s="2"/>
      <c r="C898" s="2"/>
      <c r="D898" s="2"/>
      <c r="F898" s="2"/>
    </row>
    <row r="899" ht="15.75" customHeight="1">
      <c r="A899" s="2"/>
      <c r="C899" s="2"/>
      <c r="D899" s="2"/>
      <c r="F899" s="2"/>
    </row>
    <row r="900" ht="15.75" customHeight="1">
      <c r="A900" s="2"/>
      <c r="C900" s="2"/>
      <c r="D900" s="2"/>
      <c r="F900" s="2"/>
    </row>
    <row r="901" ht="15.75" customHeight="1">
      <c r="A901" s="2"/>
      <c r="C901" s="2"/>
      <c r="D901" s="2"/>
      <c r="F901" s="2"/>
    </row>
    <row r="902" ht="15.75" customHeight="1">
      <c r="A902" s="2"/>
      <c r="C902" s="2"/>
      <c r="D902" s="2"/>
      <c r="F902" s="2"/>
    </row>
    <row r="903" ht="15.75" customHeight="1">
      <c r="A903" s="2"/>
      <c r="C903" s="2"/>
      <c r="D903" s="2"/>
      <c r="F903" s="2"/>
    </row>
    <row r="904" ht="15.75" customHeight="1">
      <c r="A904" s="2"/>
      <c r="C904" s="2"/>
      <c r="D904" s="2"/>
      <c r="F904" s="2"/>
    </row>
    <row r="905" ht="15.75" customHeight="1">
      <c r="A905" s="2"/>
      <c r="C905" s="2"/>
      <c r="D905" s="2"/>
      <c r="F905" s="2"/>
    </row>
    <row r="906" ht="15.75" customHeight="1">
      <c r="A906" s="2"/>
      <c r="C906" s="2"/>
      <c r="D906" s="2"/>
      <c r="F906" s="2"/>
    </row>
    <row r="907" ht="15.75" customHeight="1">
      <c r="A907" s="2"/>
      <c r="C907" s="2"/>
      <c r="D907" s="2"/>
      <c r="F907" s="2"/>
    </row>
    <row r="908" ht="15.75" customHeight="1">
      <c r="A908" s="2"/>
      <c r="C908" s="2"/>
      <c r="D908" s="2"/>
      <c r="F908" s="2"/>
    </row>
    <row r="909" ht="15.75" customHeight="1">
      <c r="A909" s="2"/>
      <c r="C909" s="2"/>
      <c r="D909" s="2"/>
      <c r="F909" s="2"/>
    </row>
    <row r="910" ht="15.75" customHeight="1">
      <c r="A910" s="2"/>
      <c r="C910" s="2"/>
      <c r="D910" s="2"/>
      <c r="F910" s="2"/>
    </row>
    <row r="911" ht="15.75" customHeight="1">
      <c r="A911" s="2"/>
      <c r="C911" s="2"/>
      <c r="D911" s="2"/>
      <c r="F911" s="2"/>
    </row>
    <row r="912" ht="15.75" customHeight="1">
      <c r="A912" s="2"/>
      <c r="C912" s="2"/>
      <c r="D912" s="2"/>
      <c r="F912" s="2"/>
    </row>
    <row r="913" ht="15.75" customHeight="1">
      <c r="A913" s="2"/>
      <c r="C913" s="2"/>
      <c r="D913" s="2"/>
      <c r="F913" s="2"/>
    </row>
    <row r="914" ht="15.75" customHeight="1">
      <c r="A914" s="2"/>
      <c r="C914" s="2"/>
      <c r="D914" s="2"/>
      <c r="F914" s="2"/>
    </row>
    <row r="915" ht="15.75" customHeight="1">
      <c r="A915" s="2"/>
      <c r="C915" s="2"/>
      <c r="D915" s="2"/>
      <c r="F915" s="2"/>
    </row>
    <row r="916" ht="15.75" customHeight="1">
      <c r="A916" s="2"/>
      <c r="C916" s="2"/>
      <c r="D916" s="2"/>
      <c r="F916" s="2"/>
    </row>
    <row r="917" ht="15.75" customHeight="1">
      <c r="A917" s="2"/>
      <c r="C917" s="2"/>
      <c r="D917" s="2"/>
      <c r="F917" s="2"/>
    </row>
    <row r="918" ht="15.75" customHeight="1">
      <c r="A918" s="2"/>
      <c r="C918" s="2"/>
      <c r="D918" s="2"/>
      <c r="F918" s="2"/>
    </row>
    <row r="919" ht="15.75" customHeight="1">
      <c r="A919" s="2"/>
      <c r="C919" s="2"/>
      <c r="D919" s="2"/>
      <c r="F919" s="2"/>
    </row>
    <row r="920" ht="15.75" customHeight="1">
      <c r="A920" s="2"/>
      <c r="C920" s="2"/>
      <c r="D920" s="2"/>
      <c r="F920" s="2"/>
    </row>
    <row r="921" ht="15.75" customHeight="1">
      <c r="A921" s="2"/>
      <c r="C921" s="2"/>
      <c r="D921" s="2"/>
      <c r="F921" s="2"/>
    </row>
    <row r="922" ht="15.75" customHeight="1">
      <c r="A922" s="2"/>
      <c r="C922" s="2"/>
      <c r="D922" s="2"/>
      <c r="F922" s="2"/>
    </row>
    <row r="923" ht="15.75" customHeight="1">
      <c r="A923" s="2"/>
      <c r="C923" s="2"/>
      <c r="D923" s="2"/>
      <c r="F923" s="2"/>
    </row>
    <row r="924" ht="15.75" customHeight="1">
      <c r="A924" s="2"/>
      <c r="C924" s="2"/>
      <c r="D924" s="2"/>
      <c r="F924" s="2"/>
    </row>
    <row r="925" ht="15.75" customHeight="1">
      <c r="A925" s="2"/>
      <c r="C925" s="2"/>
      <c r="D925" s="2"/>
      <c r="F925" s="2"/>
    </row>
    <row r="926" ht="15.75" customHeight="1">
      <c r="A926" s="2"/>
      <c r="C926" s="2"/>
      <c r="D926" s="2"/>
      <c r="F926" s="2"/>
    </row>
    <row r="927" ht="15.75" customHeight="1">
      <c r="A927" s="2"/>
      <c r="C927" s="2"/>
      <c r="D927" s="2"/>
      <c r="F927" s="2"/>
    </row>
    <row r="928" ht="15.75" customHeight="1">
      <c r="A928" s="2"/>
      <c r="C928" s="2"/>
      <c r="D928" s="2"/>
      <c r="F928" s="2"/>
    </row>
    <row r="929" ht="15.75" customHeight="1">
      <c r="A929" s="2"/>
      <c r="C929" s="2"/>
      <c r="D929" s="2"/>
      <c r="F929" s="2"/>
    </row>
    <row r="930" ht="15.75" customHeight="1">
      <c r="A930" s="2"/>
      <c r="C930" s="2"/>
      <c r="D930" s="2"/>
      <c r="F930" s="2"/>
    </row>
    <row r="931" ht="15.75" customHeight="1">
      <c r="A931" s="2"/>
      <c r="C931" s="2"/>
      <c r="D931" s="2"/>
      <c r="F931" s="2"/>
    </row>
    <row r="932" ht="15.75" customHeight="1">
      <c r="A932" s="2"/>
      <c r="C932" s="2"/>
      <c r="D932" s="2"/>
      <c r="F932" s="2"/>
    </row>
    <row r="933" ht="15.75" customHeight="1">
      <c r="A933" s="2"/>
      <c r="C933" s="2"/>
      <c r="D933" s="2"/>
      <c r="F933" s="2"/>
    </row>
    <row r="934" ht="15.75" customHeight="1">
      <c r="A934" s="2"/>
      <c r="C934" s="2"/>
      <c r="D934" s="2"/>
      <c r="F934" s="2"/>
    </row>
    <row r="935" ht="15.75" customHeight="1">
      <c r="A935" s="2"/>
      <c r="C935" s="2"/>
      <c r="D935" s="2"/>
      <c r="F935" s="2"/>
    </row>
    <row r="936" ht="15.75" customHeight="1">
      <c r="A936" s="2"/>
      <c r="C936" s="2"/>
      <c r="D936" s="2"/>
      <c r="F936" s="2"/>
    </row>
    <row r="937" ht="15.75" customHeight="1">
      <c r="A937" s="2"/>
      <c r="C937" s="2"/>
      <c r="D937" s="2"/>
      <c r="F937" s="2"/>
    </row>
    <row r="938" ht="15.75" customHeight="1">
      <c r="A938" s="2"/>
      <c r="C938" s="2"/>
      <c r="D938" s="2"/>
      <c r="F938" s="2"/>
    </row>
    <row r="939" ht="15.75" customHeight="1">
      <c r="A939" s="2"/>
      <c r="C939" s="2"/>
      <c r="D939" s="2"/>
      <c r="F939" s="2"/>
    </row>
    <row r="940" ht="15.75" customHeight="1">
      <c r="A940" s="2"/>
      <c r="C940" s="2"/>
      <c r="D940" s="2"/>
      <c r="F940" s="2"/>
    </row>
    <row r="941" ht="15.75" customHeight="1">
      <c r="A941" s="2"/>
      <c r="C941" s="2"/>
      <c r="D941" s="2"/>
      <c r="F941" s="2"/>
    </row>
    <row r="942" ht="15.75" customHeight="1">
      <c r="A942" s="2"/>
      <c r="C942" s="2"/>
      <c r="D942" s="2"/>
      <c r="F942" s="2"/>
    </row>
    <row r="943" ht="15.75" customHeight="1">
      <c r="A943" s="2"/>
      <c r="C943" s="2"/>
      <c r="D943" s="2"/>
      <c r="F943" s="2"/>
    </row>
    <row r="944" ht="15.75" customHeight="1">
      <c r="A944" s="2"/>
      <c r="C944" s="2"/>
      <c r="D944" s="2"/>
      <c r="F944" s="2"/>
    </row>
    <row r="945" ht="15.75" customHeight="1">
      <c r="A945" s="2"/>
      <c r="C945" s="2"/>
      <c r="D945" s="2"/>
      <c r="F945" s="2"/>
    </row>
    <row r="946" ht="15.75" customHeight="1">
      <c r="A946" s="2"/>
      <c r="C946" s="2"/>
      <c r="D946" s="2"/>
      <c r="F946" s="2"/>
    </row>
    <row r="947" ht="15.75" customHeight="1">
      <c r="A947" s="2"/>
      <c r="C947" s="2"/>
      <c r="D947" s="2"/>
      <c r="F947" s="2"/>
    </row>
    <row r="948" ht="15.75" customHeight="1">
      <c r="A948" s="2"/>
      <c r="C948" s="2"/>
      <c r="D948" s="2"/>
      <c r="F948" s="2"/>
    </row>
    <row r="949" ht="15.75" customHeight="1">
      <c r="A949" s="2"/>
      <c r="C949" s="2"/>
      <c r="D949" s="2"/>
      <c r="F949" s="2"/>
    </row>
    <row r="950" ht="15.75" customHeight="1">
      <c r="A950" s="2"/>
      <c r="C950" s="2"/>
      <c r="D950" s="2"/>
      <c r="F950" s="2"/>
    </row>
    <row r="951" ht="15.75" customHeight="1">
      <c r="A951" s="2"/>
      <c r="C951" s="2"/>
      <c r="D951" s="2"/>
      <c r="F951" s="2"/>
    </row>
    <row r="952" ht="15.75" customHeight="1">
      <c r="A952" s="2"/>
      <c r="C952" s="2"/>
      <c r="D952" s="2"/>
      <c r="F952" s="2"/>
    </row>
    <row r="953" ht="15.75" customHeight="1">
      <c r="A953" s="2"/>
      <c r="C953" s="2"/>
      <c r="D953" s="2"/>
      <c r="F953" s="2"/>
    </row>
    <row r="954" ht="15.75" customHeight="1">
      <c r="A954" s="2"/>
      <c r="C954" s="2"/>
      <c r="D954" s="2"/>
      <c r="F954" s="2"/>
    </row>
    <row r="955" ht="15.75" customHeight="1">
      <c r="A955" s="2"/>
      <c r="C955" s="2"/>
      <c r="D955" s="2"/>
      <c r="F955" s="2"/>
    </row>
    <row r="956" ht="15.75" customHeight="1">
      <c r="A956" s="2"/>
      <c r="C956" s="2"/>
      <c r="D956" s="2"/>
      <c r="F956" s="2"/>
    </row>
    <row r="957" ht="15.75" customHeight="1">
      <c r="A957" s="2"/>
      <c r="C957" s="2"/>
      <c r="D957" s="2"/>
      <c r="F957" s="2"/>
    </row>
    <row r="958" ht="15.75" customHeight="1">
      <c r="A958" s="2"/>
      <c r="C958" s="2"/>
      <c r="D958" s="2"/>
      <c r="F958" s="2"/>
    </row>
    <row r="959" ht="15.75" customHeight="1">
      <c r="A959" s="2"/>
      <c r="C959" s="2"/>
      <c r="D959" s="2"/>
      <c r="F959" s="2"/>
    </row>
    <row r="960" ht="15.75" customHeight="1">
      <c r="A960" s="2"/>
      <c r="C960" s="2"/>
      <c r="D960" s="2"/>
      <c r="F960" s="2"/>
    </row>
    <row r="961" ht="15.75" customHeight="1">
      <c r="A961" s="2"/>
      <c r="C961" s="2"/>
      <c r="D961" s="2"/>
      <c r="F961" s="2"/>
    </row>
    <row r="962" ht="15.75" customHeight="1">
      <c r="A962" s="2"/>
      <c r="C962" s="2"/>
      <c r="D962" s="2"/>
      <c r="F962" s="2"/>
    </row>
    <row r="963" ht="15.75" customHeight="1">
      <c r="A963" s="2"/>
      <c r="C963" s="2"/>
      <c r="D963" s="2"/>
      <c r="F963" s="2"/>
    </row>
    <row r="964" ht="15.75" customHeight="1">
      <c r="A964" s="2"/>
      <c r="C964" s="2"/>
      <c r="D964" s="2"/>
      <c r="F964" s="2"/>
    </row>
    <row r="965" ht="15.75" customHeight="1">
      <c r="A965" s="2"/>
      <c r="C965" s="2"/>
      <c r="D965" s="2"/>
      <c r="F965" s="2"/>
    </row>
    <row r="966" ht="15.75" customHeight="1">
      <c r="A966" s="2"/>
      <c r="C966" s="2"/>
      <c r="D966" s="2"/>
      <c r="F966" s="2"/>
    </row>
    <row r="967" ht="15.75" customHeight="1">
      <c r="A967" s="2"/>
      <c r="C967" s="2"/>
      <c r="D967" s="2"/>
      <c r="F967" s="2"/>
    </row>
    <row r="968" ht="15.75" customHeight="1">
      <c r="A968" s="2"/>
      <c r="C968" s="2"/>
      <c r="D968" s="2"/>
      <c r="F968" s="2"/>
    </row>
    <row r="969" ht="15.75" customHeight="1">
      <c r="A969" s="2"/>
      <c r="C969" s="2"/>
      <c r="D969" s="2"/>
      <c r="F969" s="2"/>
    </row>
    <row r="970" ht="15.75" customHeight="1">
      <c r="A970" s="2"/>
      <c r="C970" s="2"/>
      <c r="D970" s="2"/>
      <c r="F970" s="2"/>
    </row>
    <row r="971" ht="15.75" customHeight="1">
      <c r="A971" s="2"/>
      <c r="C971" s="2"/>
      <c r="D971" s="2"/>
      <c r="F971" s="2"/>
    </row>
    <row r="972" ht="15.75" customHeight="1">
      <c r="A972" s="2"/>
      <c r="C972" s="2"/>
      <c r="D972" s="2"/>
      <c r="F972" s="2"/>
    </row>
    <row r="973" ht="15.75" customHeight="1">
      <c r="A973" s="2"/>
      <c r="C973" s="2"/>
      <c r="D973" s="2"/>
      <c r="F973" s="2"/>
    </row>
    <row r="974" ht="15.75" customHeight="1">
      <c r="A974" s="2"/>
      <c r="C974" s="2"/>
      <c r="D974" s="2"/>
      <c r="F974" s="2"/>
    </row>
    <row r="975" ht="15.75" customHeight="1">
      <c r="A975" s="2"/>
      <c r="C975" s="2"/>
      <c r="D975" s="2"/>
      <c r="F975" s="2"/>
    </row>
    <row r="976" ht="15.75" customHeight="1">
      <c r="A976" s="2"/>
      <c r="C976" s="2"/>
      <c r="D976" s="2"/>
      <c r="F976" s="2"/>
    </row>
    <row r="977" ht="15.75" customHeight="1">
      <c r="A977" s="2"/>
      <c r="C977" s="2"/>
      <c r="D977" s="2"/>
      <c r="F977" s="2"/>
    </row>
    <row r="978" ht="15.75" customHeight="1">
      <c r="A978" s="2"/>
      <c r="C978" s="2"/>
      <c r="D978" s="2"/>
      <c r="F978" s="2"/>
    </row>
    <row r="979" ht="15.75" customHeight="1">
      <c r="A979" s="2"/>
      <c r="C979" s="2"/>
      <c r="D979" s="2"/>
      <c r="F979" s="2"/>
    </row>
    <row r="980" ht="15.75" customHeight="1">
      <c r="A980" s="2"/>
      <c r="C980" s="2"/>
      <c r="D980" s="2"/>
      <c r="F980" s="2"/>
    </row>
    <row r="981" ht="15.75" customHeight="1">
      <c r="A981" s="2"/>
      <c r="C981" s="2"/>
      <c r="D981" s="2"/>
      <c r="F981" s="2"/>
    </row>
    <row r="982" ht="15.75" customHeight="1">
      <c r="A982" s="2"/>
      <c r="C982" s="2"/>
      <c r="D982" s="2"/>
      <c r="F982" s="2"/>
    </row>
    <row r="983" ht="15.75" customHeight="1">
      <c r="A983" s="2"/>
      <c r="C983" s="2"/>
      <c r="D983" s="2"/>
      <c r="F983" s="2"/>
    </row>
    <row r="984" ht="15.75" customHeight="1">
      <c r="A984" s="2"/>
      <c r="C984" s="2"/>
      <c r="D984" s="2"/>
      <c r="F984" s="2"/>
    </row>
    <row r="985" ht="15.75" customHeight="1">
      <c r="A985" s="2"/>
      <c r="C985" s="2"/>
      <c r="D985" s="2"/>
      <c r="F985" s="2"/>
    </row>
    <row r="986" ht="15.75" customHeight="1">
      <c r="A986" s="2"/>
      <c r="C986" s="2"/>
      <c r="D986" s="2"/>
      <c r="F986" s="2"/>
    </row>
    <row r="987" ht="15.75" customHeight="1">
      <c r="A987" s="2"/>
      <c r="C987" s="2"/>
      <c r="D987" s="2"/>
      <c r="F987" s="2"/>
    </row>
    <row r="988" ht="15.75" customHeight="1">
      <c r="A988" s="2"/>
      <c r="C988" s="2"/>
      <c r="D988" s="2"/>
      <c r="F988" s="2"/>
    </row>
    <row r="989" ht="15.75" customHeight="1">
      <c r="A989" s="2"/>
      <c r="C989" s="2"/>
      <c r="D989" s="2"/>
      <c r="F989" s="2"/>
    </row>
    <row r="990" ht="15.75" customHeight="1">
      <c r="A990" s="2"/>
      <c r="C990" s="2"/>
      <c r="D990" s="2"/>
      <c r="F990" s="2"/>
    </row>
    <row r="991" ht="15.75" customHeight="1">
      <c r="A991" s="2"/>
      <c r="C991" s="2"/>
      <c r="D991" s="2"/>
      <c r="F991" s="2"/>
    </row>
    <row r="992" ht="15.75" customHeight="1">
      <c r="A992" s="2"/>
      <c r="C992" s="2"/>
      <c r="D992" s="2"/>
      <c r="F992" s="2"/>
    </row>
    <row r="993" ht="15.75" customHeight="1">
      <c r="A993" s="2"/>
      <c r="C993" s="2"/>
      <c r="D993" s="2"/>
      <c r="F993" s="2"/>
    </row>
    <row r="994" ht="15.75" customHeight="1">
      <c r="A994" s="2"/>
      <c r="C994" s="2"/>
      <c r="D994" s="2"/>
      <c r="F994" s="2"/>
    </row>
    <row r="995" ht="15.75" customHeight="1">
      <c r="A995" s="2"/>
      <c r="C995" s="2"/>
      <c r="D995" s="2"/>
      <c r="F995" s="2"/>
    </row>
    <row r="996" ht="15.75" customHeight="1">
      <c r="A996" s="2"/>
      <c r="C996" s="2"/>
      <c r="D996" s="2"/>
      <c r="F996" s="2"/>
    </row>
    <row r="997" ht="15.75" customHeight="1">
      <c r="A997" s="2"/>
      <c r="C997" s="2"/>
      <c r="D997" s="2"/>
      <c r="F997" s="2"/>
    </row>
    <row r="998" ht="15.75" customHeight="1">
      <c r="A998" s="2"/>
      <c r="C998" s="2"/>
      <c r="D998" s="2"/>
      <c r="F998" s="2"/>
    </row>
    <row r="999" ht="15.75" customHeight="1">
      <c r="A999" s="2"/>
      <c r="C999" s="2"/>
      <c r="D999" s="2"/>
      <c r="F999" s="2"/>
    </row>
    <row r="1000" ht="15.75" customHeight="1">
      <c r="A1000" s="2"/>
      <c r="C1000" s="2"/>
      <c r="D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27" t="s">
        <v>2319</v>
      </c>
    </row>
    <row r="2" ht="21.75" customHeight="1">
      <c r="A2" s="5" t="s">
        <v>2320</v>
      </c>
      <c r="B2" s="5" t="s">
        <v>2321</v>
      </c>
      <c r="C2" s="5" t="s">
        <v>2322</v>
      </c>
      <c r="D2" s="5" t="s">
        <v>74</v>
      </c>
      <c r="E2" s="5" t="s">
        <v>2323</v>
      </c>
      <c r="F2" s="5" t="s">
        <v>2324</v>
      </c>
      <c r="G2" s="5" t="s">
        <v>119</v>
      </c>
      <c r="H2" s="5" t="s">
        <v>2325</v>
      </c>
      <c r="I2" s="5" t="s">
        <v>154</v>
      </c>
      <c r="J2" s="5" t="s">
        <v>2326</v>
      </c>
      <c r="K2" s="5" t="s">
        <v>2327</v>
      </c>
      <c r="L2" s="5" t="s">
        <v>2328</v>
      </c>
      <c r="M2" s="5" t="s">
        <v>2329</v>
      </c>
      <c r="N2" s="5" t="s">
        <v>2330</v>
      </c>
      <c r="O2" s="5" t="s">
        <v>2331</v>
      </c>
      <c r="P2" s="5" t="s">
        <v>2332</v>
      </c>
      <c r="Q2" s="5" t="s">
        <v>2333</v>
      </c>
      <c r="R2" s="5" t="s">
        <v>2334</v>
      </c>
      <c r="S2" s="5" t="s">
        <v>2335</v>
      </c>
      <c r="T2" s="5" t="s">
        <v>2336</v>
      </c>
      <c r="U2" s="5" t="s">
        <v>2337</v>
      </c>
      <c r="V2" s="5" t="s">
        <v>2338</v>
      </c>
      <c r="W2" s="5" t="s">
        <v>2339</v>
      </c>
      <c r="X2" s="5" t="s">
        <v>2340</v>
      </c>
      <c r="Y2" s="5" t="s">
        <v>2341</v>
      </c>
      <c r="Z2" s="5" t="s">
        <v>2342</v>
      </c>
      <c r="AA2" s="5" t="s">
        <v>2343</v>
      </c>
      <c r="AB2" s="5" t="s">
        <v>2344</v>
      </c>
      <c r="AC2" s="5" t="s">
        <v>2345</v>
      </c>
      <c r="AD2" s="5" t="s">
        <v>2346</v>
      </c>
      <c r="AE2" s="5" t="s">
        <v>2347</v>
      </c>
      <c r="AF2" s="5" t="s">
        <v>2348</v>
      </c>
      <c r="AG2" s="5" t="s">
        <v>2349</v>
      </c>
      <c r="AH2" s="5" t="s">
        <v>2350</v>
      </c>
      <c r="AI2" s="5" t="s">
        <v>2351</v>
      </c>
      <c r="AJ2" s="5" t="s">
        <v>2352</v>
      </c>
      <c r="AK2" s="5" t="s">
        <v>2353</v>
      </c>
      <c r="AL2" s="5" t="s">
        <v>2354</v>
      </c>
      <c r="AM2" s="5" t="s">
        <v>2355</v>
      </c>
      <c r="AN2" s="5" t="s">
        <v>2356</v>
      </c>
      <c r="AO2" s="5" t="s">
        <v>2357</v>
      </c>
      <c r="AP2" s="5" t="s">
        <v>2358</v>
      </c>
      <c r="AQ2" s="5" t="s">
        <v>2359</v>
      </c>
      <c r="AR2" s="5" t="s">
        <v>2360</v>
      </c>
      <c r="AS2" s="5" t="s">
        <v>2361</v>
      </c>
      <c r="AT2" s="5" t="s">
        <v>2362</v>
      </c>
      <c r="AU2" s="5" t="s">
        <v>2363</v>
      </c>
      <c r="AV2" s="5" t="s">
        <v>2364</v>
      </c>
    </row>
    <row r="3" ht="15.0" customHeight="1">
      <c r="A3" s="2">
        <v>1.0</v>
      </c>
      <c r="B3" s="2" t="s">
        <v>2365</v>
      </c>
      <c r="C3" s="2">
        <f>IFERROR(MATCH($A3,SchedSeq,0),"")</f>
        <v>286</v>
      </c>
      <c r="D3" s="2" t="str">
        <f t="array" ref="D3">IF($C3="","",INDEX(SchedZone,$C3,MAP!$B$6))</f>
        <v>2026_01_NE_SEA</v>
      </c>
      <c r="E3" s="2">
        <f t="array" ref="E3">IF($C3="","",INDEX(SchedZone,$C3,MAP!$B$3))</f>
        <v>2026</v>
      </c>
      <c r="F3" s="2" t="str">
        <f t="array" ref="F3">IF($C3="","",INDEX(SchedZone,$C3,MAP!$B$5))</f>
        <v>REG</v>
      </c>
      <c r="G3" s="2">
        <f t="array" ref="G3">IF($C3="","",INDEX(SchedZone,$C3,MAP!$B$4))</f>
        <v>1</v>
      </c>
      <c r="H3" s="2" t="str">
        <f t="array" ref="H3">IF($C3="","",INDEX(SchedZone,$C3,MAP!$B$12))</f>
        <v>SEA</v>
      </c>
      <c r="I3" s="2" t="str">
        <f t="array" ref="I3">IF($H3="","",IF(COUNTIF(Teams,$H3)&gt;0,$H3,IFERROR(INDEX(LISTS!$D$2:$D$12,MATCH($H3,LISTS!$C$2:$C$12,0)),"⚠ "&amp;$H3)))</f>
        <v>SEA</v>
      </c>
      <c r="J3" s="2" t="str">
        <f t="array" ref="J3">IF($C3="","",INDEX(SchedZone,$C3,MAP!$B$10))</f>
        <v>NE</v>
      </c>
      <c r="K3" s="2" t="str">
        <f t="array" ref="K3">IF($J3="","",IF(COUNTIF(Teams,$J3)&gt;0,$J3,IFERROR(INDEX(LISTS!$D$2:$D$12,MATCH($J3,LISTS!$C$2:$C$12,0)),"⚠ "&amp;$J3)))</f>
        <v>NE</v>
      </c>
      <c r="L3" s="2" t="str">
        <f t="array" ref="L3">IF($C3="","",IF(INDEX(SchedZone,$C3,MAP!$B$14)="Neutral","N",IF($B3="HOME","H","A")))</f>
        <v>H</v>
      </c>
      <c r="M3" s="2" t="str">
        <f t="array" ref="M3">IF($C3="","",IF(INDEX(SchedZone,$C3,MAP!$B$13)="","",INDEX(SchedZone,$C3,MAP!$B$13)))</f>
        <v/>
      </c>
      <c r="N3" s="2" t="str">
        <f t="array" ref="N3">IF($C3="","",IF(INDEX(SchedZone,$C3,MAP!$B$11)="","",INDEX(SchedZone,$C3,MAP!$B$11)))</f>
        <v/>
      </c>
      <c r="O3" s="2">
        <f t="array" ref="O3">IF($C3="","",INDEX(SchedZone,$C3,MAP!$B$16))</f>
        <v>7</v>
      </c>
      <c r="P3" s="2" t="str">
        <f>IF($C3="","",IFERROR(MATCH($E3&amp;"|"&amp;$G3&amp;"|"&amp;$I3,StatsKey,0),""))</f>
        <v/>
      </c>
      <c r="Q3" s="2">
        <f t="array" ref="Q3">IF($P3="",0,INDEX(StatsZone,$P3,MAP!$E$9)+INDEX(StatsZone,$P3,MAP!$E$10)+INDEX(StatsZone,$P3,MAP!$E$11))</f>
        <v>0</v>
      </c>
      <c r="R3" s="2">
        <f t="array" ref="R3">IF($P3="",0,INDEX(StatsZone,$P3,MAP!$E$12))</f>
        <v>0</v>
      </c>
      <c r="S3" s="2">
        <f t="array" ref="S3">IF($P3="",0,INDEX(StatsZone,$P3,MAP!$E$13))</f>
        <v>0</v>
      </c>
      <c r="T3" s="2">
        <f t="shared" ref="T3:T722" si="1">IF($P3="",0,$R3+$S3)</f>
        <v>0</v>
      </c>
      <c r="U3" s="2">
        <f t="array" ref="U3">IF($P3="",0,INDEX(StatsZone,$P3,MAP!$E$14)+INDEX(StatsZone,$P3,MAP!$E$15)+INDEX(StatsZone,$P3,MAP!$E$16))</f>
        <v>0</v>
      </c>
      <c r="V3" s="2">
        <f t="shared" ref="V3:V722" si="2">IF(OR($P3="",$M3=""),0,$M3-7*$U3)</f>
        <v>0</v>
      </c>
      <c r="W3" s="2">
        <f t="shared" ref="W3:W722" si="3">IF($C3="",0,INDEX($T$3:$T$722,(ROW()+IF(MOD(ROW()-3,2)=0,1,-1))-3+1))</f>
        <v>0</v>
      </c>
      <c r="X3" s="2">
        <f t="shared" ref="X3:X722" si="4">IF($C3="",0,INDEX($Q$3:$Q$722,(ROW()+IF(MOD(ROW()-3,2)=0,1,-1))-3+1))</f>
        <v>0</v>
      </c>
      <c r="Y3" s="2">
        <f t="shared" ref="Y3:Y722" si="5">IF($C3="",0,INDEX($U$3:$U$722,(ROW()+IF(MOD(ROW()-3,2)=0,1,-1))-3+1))</f>
        <v>0</v>
      </c>
      <c r="Z3" s="2">
        <f t="shared" ref="Z3:Z722" si="6">IF(OR($C3="",$N3=""),0,$N3-7*$Y3)</f>
        <v>0</v>
      </c>
      <c r="AA3" s="2">
        <f t="shared" ref="AA3:AA722" si="7">IF($L3="",0,IF($L3="N",0,IF($L3="H",1,-1)))</f>
        <v>1</v>
      </c>
      <c r="AB3" s="2">
        <f>IF(OR($M3="",$N3=""),0,MEDIAN(-MarginCap,MarginCap,($M3-$N3)-$AA3*HFA_Base))</f>
        <v>0</v>
      </c>
      <c r="AC3" s="2">
        <f t="array" ref="AC3">IF(OR($P3="",INDEX($P$3:$P$722,(ROW()+IF(MOD(ROW()-3,2)=0,1,-1))-3+1)=""),0,MEDIAN(-MarginCap,MarginCap,($T3-$W3)-$AA3*HFA_Base))</f>
        <v>0</v>
      </c>
      <c r="AD3" s="2">
        <f t="shared" ref="AD3:AD722" si="8">IF(OR($P3="",INDEX($P$3:$P$722,(ROW()+IF(MOD(ROW()-3,2)=0,1,-1))-3+1)=""),0,1)</f>
        <v>0</v>
      </c>
      <c r="AE3" s="2">
        <f>IF(OR($M3="",$N3=""),0,IF(AND(WEpa&gt;0,$AD3=1),(1-WEpa)*$AB3+WEpa*$AC3,$AB3))</f>
        <v>0</v>
      </c>
      <c r="AF3" s="2">
        <f>IF(AND($C3&lt;&gt;"",$E3=CurrentSeason,$F3="REG",ISNUMBER($G3),$G3&lt;CurrentWeek,AND($M3&lt;&gt;"",$N3&lt;&gt;"")),1,0)</f>
        <v>0</v>
      </c>
      <c r="AG3" s="2">
        <f>IF($AF3=0,0,IF($G3&gt;=CurrentWeek-RecencyWin,RecencyMult,1))</f>
        <v>0</v>
      </c>
      <c r="AH3" s="2">
        <f>IF(AND($C3&lt;&gt;"",$E3=CurrentSeason,$F3="REG",ISNUMBER($G3),$G3&lt;CurrentWeek-1,AND($M3&lt;&gt;"",$N3&lt;&gt;"")),1,0)</f>
        <v>0</v>
      </c>
      <c r="AI3" s="2">
        <f>IF($AH3=0,0,IF($G3&gt;=CurrentWeek-1-RecencyWin,RecencyMult,1))</f>
        <v>0</v>
      </c>
      <c r="AJ3" s="2">
        <f>IF($AF3=0,0,IF($G3&gt;=CurrentWeek-RecencyWin,TotRecency,1))</f>
        <v>0</v>
      </c>
      <c r="AK3" s="2">
        <f t="shared" ref="AK3:AK722" si="9">IF(OR($AF3=0,$P3="",$Q3=0),0,$V3/$Q3)</f>
        <v>0</v>
      </c>
      <c r="AL3" s="2">
        <f t="shared" ref="AL3:AL722" si="10">IF(OR($AF3=0,$P3="",$X3=0),0,$Z3/$X3)</f>
        <v>0</v>
      </c>
      <c r="AM3" s="2" t="str">
        <f t="array" ref="AM3">IF($K3="",0,IFERROR(INDEX(CALC!$F$2:$F$33,MATCH($K3,CALC!$A$2:$A$33,0)),0))</f>
        <v/>
      </c>
      <c r="AN3" s="2" t="str">
        <f t="array" ref="AN3">IF($K3="",0,IFERROR(INDEX(CALC!$I$2:$I$33,MATCH($K3,CALC!$A$2:$A$33,0)),0))</f>
        <v/>
      </c>
      <c r="AO3" s="2" t="str">
        <f t="array" ref="AO3">IF($K3="",0,IFERROR(INDEX(CALC!$L$2:$L$33,MATCH($K3,CALC!$A$2:$A$33,0)),0))</f>
        <v/>
      </c>
      <c r="AP3" s="2" t="str">
        <f t="array" ref="AP3">IF($K3="",0,IFERROR(INDEX(CALC!$T$2:$T$33,MATCH($K3,CALC!$A$2:$A$33,0)),0))</f>
        <v/>
      </c>
      <c r="AQ3" s="2" t="str">
        <f t="array" ref="AQ3">IF($K3="",0,IFERROR(INDEX(CALC!$W$2:$W$33,MATCH($K3,CALC!$A$2:$A$33,0)),0))</f>
        <v/>
      </c>
      <c r="AR3" s="2" t="str">
        <f t="array" ref="AR3">IF($K3="",0,IFERROR(INDEX(CALC!$Z$2:$Z$33,MATCH($K3,CALC!$A$2:$A$33,0)),0))</f>
        <v/>
      </c>
      <c r="AS3" s="2" t="str">
        <f t="array" ref="AS3">IF($K3="",0,IFERROR(INDEX(CALC!$AJ$2:$AJ$33,MATCH($K3,CALC!$A$2:$A$33,0)),0))</f>
        <v/>
      </c>
      <c r="AT3" s="2" t="str">
        <f t="array" ref="AT3">IF($K3="",0,IFERROR(INDEX(CALC!$AI$2:$AI$33,MATCH($K3,CALC!$A$2:$A$33,0)),0))</f>
        <v/>
      </c>
      <c r="AU3" s="2">
        <f t="shared" ref="AU3:AU722" si="11">IF($C3="",0,IF(AND($M3&lt;&gt;"",$N3&lt;&gt;""),1,0))</f>
        <v>0</v>
      </c>
      <c r="AV3" s="2">
        <f t="shared" ref="AV3:AV722" si="12">IF(LEFT($I3,1)="⚠",1,IF(LEFT($K3,1)="⚠",1,0))</f>
        <v>0</v>
      </c>
    </row>
    <row r="4" ht="15.0" customHeight="1">
      <c r="A4" s="2">
        <v>1.0</v>
      </c>
      <c r="B4" s="2" t="s">
        <v>2366</v>
      </c>
      <c r="C4" s="2">
        <f>IFERROR(MATCH($A4,SchedSeq,0),"")</f>
        <v>286</v>
      </c>
      <c r="D4" s="2" t="str">
        <f t="array" ref="D4">IF($C4="","",INDEX(SchedZone,$C4,MAP!$B$6))</f>
        <v>2026_01_NE_SEA</v>
      </c>
      <c r="E4" s="2">
        <f t="array" ref="E4">IF($C4="","",INDEX(SchedZone,$C4,MAP!$B$3))</f>
        <v>2026</v>
      </c>
      <c r="F4" s="2" t="str">
        <f t="array" ref="F4">IF($C4="","",INDEX(SchedZone,$C4,MAP!$B$5))</f>
        <v>REG</v>
      </c>
      <c r="G4" s="2">
        <f t="array" ref="G4">IF($C4="","",INDEX(SchedZone,$C4,MAP!$B$4))</f>
        <v>1</v>
      </c>
      <c r="H4" s="2" t="str">
        <f t="array" ref="H4">IF($C4="","",INDEX(SchedZone,$C4,MAP!$B$10))</f>
        <v>NE</v>
      </c>
      <c r="I4" s="2" t="str">
        <f t="array" ref="I4">IF($H4="","",IF(COUNTIF(Teams,$H4)&gt;0,$H4,IFERROR(INDEX(LISTS!$D$2:$D$12,MATCH($H4,LISTS!$C$2:$C$12,0)),"⚠ "&amp;$H4)))</f>
        <v>NE</v>
      </c>
      <c r="J4" s="2" t="str">
        <f t="array" ref="J4">IF($C4="","",INDEX(SchedZone,$C4,MAP!$B$12))</f>
        <v>SEA</v>
      </c>
      <c r="K4" s="2" t="str">
        <f t="array" ref="K4">IF($J4="","",IF(COUNTIF(Teams,$J4)&gt;0,$J4,IFERROR(INDEX(LISTS!$D$2:$D$12,MATCH($J4,LISTS!$C$2:$C$12,0)),"⚠ "&amp;$J4)))</f>
        <v>SEA</v>
      </c>
      <c r="L4" s="2" t="str">
        <f t="array" ref="L4">IF($C4="","",IF(INDEX(SchedZone,$C4,MAP!$B$14)="Neutral","N",IF($B4="HOME","H","A")))</f>
        <v>A</v>
      </c>
      <c r="M4" s="2" t="str">
        <f t="array" ref="M4">IF($C4="","",IF(INDEX(SchedZone,$C4,MAP!$B$11)="","",INDEX(SchedZone,$C4,MAP!$B$11)))</f>
        <v/>
      </c>
      <c r="N4" s="2" t="str">
        <f t="array" ref="N4">IF($C4="","",IF(INDEX(SchedZone,$C4,MAP!$B$13)="","",INDEX(SchedZone,$C4,MAP!$B$13)))</f>
        <v/>
      </c>
      <c r="O4" s="2">
        <f t="array" ref="O4">IF($C4="","",INDEX(SchedZone,$C4,MAP!$B$15))</f>
        <v>7</v>
      </c>
      <c r="P4" s="2" t="str">
        <f>IF($C4="","",IFERROR(MATCH($E4&amp;"|"&amp;$G4&amp;"|"&amp;$I4,StatsKey,0),""))</f>
        <v/>
      </c>
      <c r="Q4" s="2">
        <f t="array" ref="Q4">IF($P4="",0,INDEX(StatsZone,$P4,MAP!$E$9)+INDEX(StatsZone,$P4,MAP!$E$10)+INDEX(StatsZone,$P4,MAP!$E$11))</f>
        <v>0</v>
      </c>
      <c r="R4" s="2">
        <f t="array" ref="R4">IF($P4="",0,INDEX(StatsZone,$P4,MAP!$E$12))</f>
        <v>0</v>
      </c>
      <c r="S4" s="2">
        <f t="array" ref="S4">IF($P4="",0,INDEX(StatsZone,$P4,MAP!$E$13))</f>
        <v>0</v>
      </c>
      <c r="T4" s="2">
        <f t="shared" si="1"/>
        <v>0</v>
      </c>
      <c r="U4" s="2">
        <f t="array" ref="U4">IF($P4="",0,INDEX(StatsZone,$P4,MAP!$E$14)+INDEX(StatsZone,$P4,MAP!$E$15)+INDEX(StatsZone,$P4,MAP!$E$16))</f>
        <v>0</v>
      </c>
      <c r="V4" s="2">
        <f t="shared" si="2"/>
        <v>0</v>
      </c>
      <c r="W4" s="2">
        <f t="shared" si="3"/>
        <v>0</v>
      </c>
      <c r="X4" s="2">
        <f t="shared" si="4"/>
        <v>0</v>
      </c>
      <c r="Y4" s="2">
        <f t="shared" si="5"/>
        <v>0</v>
      </c>
      <c r="Z4" s="2">
        <f t="shared" si="6"/>
        <v>0</v>
      </c>
      <c r="AA4" s="2">
        <f t="shared" si="7"/>
        <v>-1</v>
      </c>
      <c r="AB4" s="2">
        <f>IF(OR($M4="",$N4=""),0,MEDIAN(-MarginCap,MarginCap,($M4-$N4)-$AA4*HFA_Base))</f>
        <v>0</v>
      </c>
      <c r="AC4" s="2">
        <f t="array" ref="AC4">IF(OR($P4="",INDEX($P$3:$P$722,(ROW()+IF(MOD(ROW()-3,2)=0,1,-1))-3+1)=""),0,MEDIAN(-MarginCap,MarginCap,($T4-$W4)-$AA4*HFA_Base))</f>
        <v>0</v>
      </c>
      <c r="AD4" s="2">
        <f t="shared" si="8"/>
        <v>0</v>
      </c>
      <c r="AE4" s="2">
        <f>IF(OR($M4="",$N4=""),0,IF(AND(WEpa&gt;0,$AD4=1),(1-WEpa)*$AB4+WEpa*$AC4,$AB4))</f>
        <v>0</v>
      </c>
      <c r="AF4" s="2">
        <f>IF(AND($C4&lt;&gt;"",$E4=CurrentSeason,$F4="REG",ISNUMBER($G4),$G4&lt;CurrentWeek,AND($M4&lt;&gt;"",$N4&lt;&gt;"")),1,0)</f>
        <v>0</v>
      </c>
      <c r="AG4" s="2">
        <f>IF($AF4=0,0,IF($G4&gt;=CurrentWeek-RecencyWin,RecencyMult,1))</f>
        <v>0</v>
      </c>
      <c r="AH4" s="2">
        <f>IF(AND($C4&lt;&gt;"",$E4=CurrentSeason,$F4="REG",ISNUMBER($G4),$G4&lt;CurrentWeek-1,AND($M4&lt;&gt;"",$N4&lt;&gt;"")),1,0)</f>
        <v>0</v>
      </c>
      <c r="AI4" s="2">
        <f>IF($AH4=0,0,IF($G4&gt;=CurrentWeek-1-RecencyWin,RecencyMult,1))</f>
        <v>0</v>
      </c>
      <c r="AJ4" s="2">
        <f>IF($AF4=0,0,IF($G4&gt;=CurrentWeek-RecencyWin,TotRecency,1))</f>
        <v>0</v>
      </c>
      <c r="AK4" s="2">
        <f t="shared" si="9"/>
        <v>0</v>
      </c>
      <c r="AL4" s="2">
        <f t="shared" si="10"/>
        <v>0</v>
      </c>
      <c r="AM4" s="2" t="str">
        <f t="array" ref="AM4">IF($K4="",0,IFERROR(INDEX(CALC!$F$2:$F$33,MATCH($K4,CALC!$A$2:$A$33,0)),0))</f>
        <v/>
      </c>
      <c r="AN4" s="2" t="str">
        <f t="array" ref="AN4">IF($K4="",0,IFERROR(INDEX(CALC!$I$2:$I$33,MATCH($K4,CALC!$A$2:$A$33,0)),0))</f>
        <v/>
      </c>
      <c r="AO4" s="2" t="str">
        <f t="array" ref="AO4">IF($K4="",0,IFERROR(INDEX(CALC!$L$2:$L$33,MATCH($K4,CALC!$A$2:$A$33,0)),0))</f>
        <v/>
      </c>
      <c r="AP4" s="2" t="str">
        <f t="array" ref="AP4">IF($K4="",0,IFERROR(INDEX(CALC!$T$2:$T$33,MATCH($K4,CALC!$A$2:$A$33,0)),0))</f>
        <v/>
      </c>
      <c r="AQ4" s="2" t="str">
        <f t="array" ref="AQ4">IF($K4="",0,IFERROR(INDEX(CALC!$W$2:$W$33,MATCH($K4,CALC!$A$2:$A$33,0)),0))</f>
        <v/>
      </c>
      <c r="AR4" s="2" t="str">
        <f t="array" ref="AR4">IF($K4="",0,IFERROR(INDEX(CALC!$Z$2:$Z$33,MATCH($K4,CALC!$A$2:$A$33,0)),0))</f>
        <v/>
      </c>
      <c r="AS4" s="2" t="str">
        <f t="array" ref="AS4">IF($K4="",0,IFERROR(INDEX(CALC!$AJ$2:$AJ$33,MATCH($K4,CALC!$A$2:$A$33,0)),0))</f>
        <v/>
      </c>
      <c r="AT4" s="2" t="str">
        <f t="array" ref="AT4">IF($K4="",0,IFERROR(INDEX(CALC!$AI$2:$AI$33,MATCH($K4,CALC!$A$2:$A$33,0)),0))</f>
        <v/>
      </c>
      <c r="AU4" s="2">
        <f t="shared" si="11"/>
        <v>0</v>
      </c>
      <c r="AV4" s="2">
        <f t="shared" si="12"/>
        <v>0</v>
      </c>
    </row>
    <row r="5" ht="15.0" customHeight="1">
      <c r="A5" s="2">
        <v>2.0</v>
      </c>
      <c r="B5" s="2" t="s">
        <v>2365</v>
      </c>
      <c r="C5" s="2">
        <f>IFERROR(MATCH($A5,SchedSeq,0),"")</f>
        <v>287</v>
      </c>
      <c r="D5" s="2" t="str">
        <f t="array" ref="D5">IF($C5="","",INDEX(SchedZone,$C5,MAP!$B$6))</f>
        <v>2026_01_SF_LA</v>
      </c>
      <c r="E5" s="2">
        <f t="array" ref="E5">IF($C5="","",INDEX(SchedZone,$C5,MAP!$B$3))</f>
        <v>2026</v>
      </c>
      <c r="F5" s="2" t="str">
        <f t="array" ref="F5">IF($C5="","",INDEX(SchedZone,$C5,MAP!$B$5))</f>
        <v>REG</v>
      </c>
      <c r="G5" s="2">
        <f t="array" ref="G5">IF($C5="","",INDEX(SchedZone,$C5,MAP!$B$4))</f>
        <v>1</v>
      </c>
      <c r="H5" s="2" t="str">
        <f t="array" ref="H5">IF($C5="","",INDEX(SchedZone,$C5,MAP!$B$12))</f>
        <v>LA</v>
      </c>
      <c r="I5" s="2" t="str">
        <f t="array" ref="I5">IF($H5="","",IF(COUNTIF(Teams,$H5)&gt;0,$H5,IFERROR(INDEX(LISTS!$D$2:$D$12,MATCH($H5,LISTS!$C$2:$C$12,0)),"⚠ "&amp;$H5)))</f>
        <v>LA</v>
      </c>
      <c r="J5" s="2" t="str">
        <f t="array" ref="J5">IF($C5="","",INDEX(SchedZone,$C5,MAP!$B$10))</f>
        <v>SF</v>
      </c>
      <c r="K5" s="2" t="str">
        <f t="array" ref="K5">IF($J5="","",IF(COUNTIF(Teams,$J5)&gt;0,$J5,IFERROR(INDEX(LISTS!$D$2:$D$12,MATCH($J5,LISTS!$C$2:$C$12,0)),"⚠ "&amp;$J5)))</f>
        <v>SF</v>
      </c>
      <c r="L5" s="2" t="str">
        <f t="array" ref="L5">IF($C5="","",IF(INDEX(SchedZone,$C5,MAP!$B$14)="Neutral","N",IF($B5="HOME","H","A")))</f>
        <v>N</v>
      </c>
      <c r="M5" s="2" t="str">
        <f t="array" ref="M5">IF($C5="","",IF(INDEX(SchedZone,$C5,MAP!$B$13)="","",INDEX(SchedZone,$C5,MAP!$B$13)))</f>
        <v/>
      </c>
      <c r="N5" s="2" t="str">
        <f t="array" ref="N5">IF($C5="","",IF(INDEX(SchedZone,$C5,MAP!$B$11)="","",INDEX(SchedZone,$C5,MAP!$B$11)))</f>
        <v/>
      </c>
      <c r="O5" s="2">
        <f t="array" ref="O5">IF($C5="","",INDEX(SchedZone,$C5,MAP!$B$16))</f>
        <v>7</v>
      </c>
      <c r="P5" s="2" t="str">
        <f>IF($C5="","",IFERROR(MATCH($E5&amp;"|"&amp;$G5&amp;"|"&amp;$I5,StatsKey,0),""))</f>
        <v/>
      </c>
      <c r="Q5" s="2">
        <f t="array" ref="Q5">IF($P5="",0,INDEX(StatsZone,$P5,MAP!$E$9)+INDEX(StatsZone,$P5,MAP!$E$10)+INDEX(StatsZone,$P5,MAP!$E$11))</f>
        <v>0</v>
      </c>
      <c r="R5" s="2">
        <f t="array" ref="R5">IF($P5="",0,INDEX(StatsZone,$P5,MAP!$E$12))</f>
        <v>0</v>
      </c>
      <c r="S5" s="2">
        <f t="array" ref="S5">IF($P5="",0,INDEX(StatsZone,$P5,MAP!$E$13))</f>
        <v>0</v>
      </c>
      <c r="T5" s="2">
        <f t="shared" si="1"/>
        <v>0</v>
      </c>
      <c r="U5" s="2">
        <f t="array" ref="U5">IF($P5="",0,INDEX(StatsZone,$P5,MAP!$E$14)+INDEX(StatsZone,$P5,MAP!$E$15)+INDEX(StatsZone,$P5,MAP!$E$16))</f>
        <v>0</v>
      </c>
      <c r="V5" s="2">
        <f t="shared" si="2"/>
        <v>0</v>
      </c>
      <c r="W5" s="2">
        <f t="shared" si="3"/>
        <v>0</v>
      </c>
      <c r="X5" s="2">
        <f t="shared" si="4"/>
        <v>0</v>
      </c>
      <c r="Y5" s="2">
        <f t="shared" si="5"/>
        <v>0</v>
      </c>
      <c r="Z5" s="2">
        <f t="shared" si="6"/>
        <v>0</v>
      </c>
      <c r="AA5" s="2">
        <f t="shared" si="7"/>
        <v>0</v>
      </c>
      <c r="AB5" s="2">
        <f>IF(OR($M5="",$N5=""),0,MEDIAN(-MarginCap,MarginCap,($M5-$N5)-$AA5*HFA_Base))</f>
        <v>0</v>
      </c>
      <c r="AC5" s="2">
        <f t="array" ref="AC5">IF(OR($P5="",INDEX($P$3:$P$722,(ROW()+IF(MOD(ROW()-3,2)=0,1,-1))-3+1)=""),0,MEDIAN(-MarginCap,MarginCap,($T5-$W5)-$AA5*HFA_Base))</f>
        <v>0</v>
      </c>
      <c r="AD5" s="2">
        <f t="shared" si="8"/>
        <v>0</v>
      </c>
      <c r="AE5" s="2">
        <f>IF(OR($M5="",$N5=""),0,IF(AND(WEpa&gt;0,$AD5=1),(1-WEpa)*$AB5+WEpa*$AC5,$AB5))</f>
        <v>0</v>
      </c>
      <c r="AF5" s="2">
        <f>IF(AND($C5&lt;&gt;"",$E5=CurrentSeason,$F5="REG",ISNUMBER($G5),$G5&lt;CurrentWeek,AND($M5&lt;&gt;"",$N5&lt;&gt;"")),1,0)</f>
        <v>0</v>
      </c>
      <c r="AG5" s="2">
        <f>IF($AF5=0,0,IF($G5&gt;=CurrentWeek-RecencyWin,RecencyMult,1))</f>
        <v>0</v>
      </c>
      <c r="AH5" s="2">
        <f>IF(AND($C5&lt;&gt;"",$E5=CurrentSeason,$F5="REG",ISNUMBER($G5),$G5&lt;CurrentWeek-1,AND($M5&lt;&gt;"",$N5&lt;&gt;"")),1,0)</f>
        <v>0</v>
      </c>
      <c r="AI5" s="2">
        <f>IF($AH5=0,0,IF($G5&gt;=CurrentWeek-1-RecencyWin,RecencyMult,1))</f>
        <v>0</v>
      </c>
      <c r="AJ5" s="2">
        <f>IF($AF5=0,0,IF($G5&gt;=CurrentWeek-RecencyWin,TotRecency,1))</f>
        <v>0</v>
      </c>
      <c r="AK5" s="2">
        <f t="shared" si="9"/>
        <v>0</v>
      </c>
      <c r="AL5" s="2">
        <f t="shared" si="10"/>
        <v>0</v>
      </c>
      <c r="AM5" s="2" t="str">
        <f t="array" ref="AM5">IF($K5="",0,IFERROR(INDEX(CALC!$F$2:$F$33,MATCH($K5,CALC!$A$2:$A$33,0)),0))</f>
        <v/>
      </c>
      <c r="AN5" s="2" t="str">
        <f t="array" ref="AN5">IF($K5="",0,IFERROR(INDEX(CALC!$I$2:$I$33,MATCH($K5,CALC!$A$2:$A$33,0)),0))</f>
        <v/>
      </c>
      <c r="AO5" s="2" t="str">
        <f t="array" ref="AO5">IF($K5="",0,IFERROR(INDEX(CALC!$L$2:$L$33,MATCH($K5,CALC!$A$2:$A$33,0)),0))</f>
        <v/>
      </c>
      <c r="AP5" s="2" t="str">
        <f t="array" ref="AP5">IF($K5="",0,IFERROR(INDEX(CALC!$T$2:$T$33,MATCH($K5,CALC!$A$2:$A$33,0)),0))</f>
        <v/>
      </c>
      <c r="AQ5" s="2" t="str">
        <f t="array" ref="AQ5">IF($K5="",0,IFERROR(INDEX(CALC!$W$2:$W$33,MATCH($K5,CALC!$A$2:$A$33,0)),0))</f>
        <v/>
      </c>
      <c r="AR5" s="2" t="str">
        <f t="array" ref="AR5">IF($K5="",0,IFERROR(INDEX(CALC!$Z$2:$Z$33,MATCH($K5,CALC!$A$2:$A$33,0)),0))</f>
        <v/>
      </c>
      <c r="AS5" s="2" t="str">
        <f t="array" ref="AS5">IF($K5="",0,IFERROR(INDEX(CALC!$AJ$2:$AJ$33,MATCH($K5,CALC!$A$2:$A$33,0)),0))</f>
        <v/>
      </c>
      <c r="AT5" s="2" t="str">
        <f t="array" ref="AT5">IF($K5="",0,IFERROR(INDEX(CALC!$AI$2:$AI$33,MATCH($K5,CALC!$A$2:$A$33,0)),0))</f>
        <v/>
      </c>
      <c r="AU5" s="2">
        <f t="shared" si="11"/>
        <v>0</v>
      </c>
      <c r="AV5" s="2">
        <f t="shared" si="12"/>
        <v>0</v>
      </c>
    </row>
    <row r="6" ht="15.0" customHeight="1">
      <c r="A6" s="2">
        <v>2.0</v>
      </c>
      <c r="B6" s="2" t="s">
        <v>2366</v>
      </c>
      <c r="C6" s="2">
        <f>IFERROR(MATCH($A6,SchedSeq,0),"")</f>
        <v>287</v>
      </c>
      <c r="D6" s="2" t="str">
        <f t="array" ref="D6">IF($C6="","",INDEX(SchedZone,$C6,MAP!$B$6))</f>
        <v>2026_01_SF_LA</v>
      </c>
      <c r="E6" s="2">
        <f t="array" ref="E6">IF($C6="","",INDEX(SchedZone,$C6,MAP!$B$3))</f>
        <v>2026</v>
      </c>
      <c r="F6" s="2" t="str">
        <f t="array" ref="F6">IF($C6="","",INDEX(SchedZone,$C6,MAP!$B$5))</f>
        <v>REG</v>
      </c>
      <c r="G6" s="2">
        <f t="array" ref="G6">IF($C6="","",INDEX(SchedZone,$C6,MAP!$B$4))</f>
        <v>1</v>
      </c>
      <c r="H6" s="2" t="str">
        <f t="array" ref="H6">IF($C6="","",INDEX(SchedZone,$C6,MAP!$B$10))</f>
        <v>SF</v>
      </c>
      <c r="I6" s="2" t="str">
        <f t="array" ref="I6">IF($H6="","",IF(COUNTIF(Teams,$H6)&gt;0,$H6,IFERROR(INDEX(LISTS!$D$2:$D$12,MATCH($H6,LISTS!$C$2:$C$12,0)),"⚠ "&amp;$H6)))</f>
        <v>SF</v>
      </c>
      <c r="J6" s="2" t="str">
        <f t="array" ref="J6">IF($C6="","",INDEX(SchedZone,$C6,MAP!$B$12))</f>
        <v>LA</v>
      </c>
      <c r="K6" s="2" t="str">
        <f t="array" ref="K6">IF($J6="","",IF(COUNTIF(Teams,$J6)&gt;0,$J6,IFERROR(INDEX(LISTS!$D$2:$D$12,MATCH($J6,LISTS!$C$2:$C$12,0)),"⚠ "&amp;$J6)))</f>
        <v>LA</v>
      </c>
      <c r="L6" s="2" t="str">
        <f t="array" ref="L6">IF($C6="","",IF(INDEX(SchedZone,$C6,MAP!$B$14)="Neutral","N",IF($B6="HOME","H","A")))</f>
        <v>N</v>
      </c>
      <c r="M6" s="2" t="str">
        <f t="array" ref="M6">IF($C6="","",IF(INDEX(SchedZone,$C6,MAP!$B$11)="","",INDEX(SchedZone,$C6,MAP!$B$11)))</f>
        <v/>
      </c>
      <c r="N6" s="2" t="str">
        <f t="array" ref="N6">IF($C6="","",IF(INDEX(SchedZone,$C6,MAP!$B$13)="","",INDEX(SchedZone,$C6,MAP!$B$13)))</f>
        <v/>
      </c>
      <c r="O6" s="2">
        <f t="array" ref="O6">IF($C6="","",INDEX(SchedZone,$C6,MAP!$B$15))</f>
        <v>7</v>
      </c>
      <c r="P6" s="2" t="str">
        <f>IF($C6="","",IFERROR(MATCH($E6&amp;"|"&amp;$G6&amp;"|"&amp;$I6,StatsKey,0),""))</f>
        <v/>
      </c>
      <c r="Q6" s="2">
        <f t="array" ref="Q6">IF($P6="",0,INDEX(StatsZone,$P6,MAP!$E$9)+INDEX(StatsZone,$P6,MAP!$E$10)+INDEX(StatsZone,$P6,MAP!$E$11))</f>
        <v>0</v>
      </c>
      <c r="R6" s="2">
        <f t="array" ref="R6">IF($P6="",0,INDEX(StatsZone,$P6,MAP!$E$12))</f>
        <v>0</v>
      </c>
      <c r="S6" s="2">
        <f t="array" ref="S6">IF($P6="",0,INDEX(StatsZone,$P6,MAP!$E$13))</f>
        <v>0</v>
      </c>
      <c r="T6" s="2">
        <f t="shared" si="1"/>
        <v>0</v>
      </c>
      <c r="U6" s="2">
        <f t="array" ref="U6">IF($P6="",0,INDEX(StatsZone,$P6,MAP!$E$14)+INDEX(StatsZone,$P6,MAP!$E$15)+INDEX(StatsZone,$P6,MAP!$E$16))</f>
        <v>0</v>
      </c>
      <c r="V6" s="2">
        <f t="shared" si="2"/>
        <v>0</v>
      </c>
      <c r="W6" s="2">
        <f t="shared" si="3"/>
        <v>0</v>
      </c>
      <c r="X6" s="2">
        <f t="shared" si="4"/>
        <v>0</v>
      </c>
      <c r="Y6" s="2">
        <f t="shared" si="5"/>
        <v>0</v>
      </c>
      <c r="Z6" s="2">
        <f t="shared" si="6"/>
        <v>0</v>
      </c>
      <c r="AA6" s="2">
        <f t="shared" si="7"/>
        <v>0</v>
      </c>
      <c r="AB6" s="2">
        <f>IF(OR($M6="",$N6=""),0,MEDIAN(-MarginCap,MarginCap,($M6-$N6)-$AA6*HFA_Base))</f>
        <v>0</v>
      </c>
      <c r="AC6" s="2">
        <f t="array" ref="AC6">IF(OR($P6="",INDEX($P$3:$P$722,(ROW()+IF(MOD(ROW()-3,2)=0,1,-1))-3+1)=""),0,MEDIAN(-MarginCap,MarginCap,($T6-$W6)-$AA6*HFA_Base))</f>
        <v>0</v>
      </c>
      <c r="AD6" s="2">
        <f t="shared" si="8"/>
        <v>0</v>
      </c>
      <c r="AE6" s="2">
        <f>IF(OR($M6="",$N6=""),0,IF(AND(WEpa&gt;0,$AD6=1),(1-WEpa)*$AB6+WEpa*$AC6,$AB6))</f>
        <v>0</v>
      </c>
      <c r="AF6" s="2">
        <f>IF(AND($C6&lt;&gt;"",$E6=CurrentSeason,$F6="REG",ISNUMBER($G6),$G6&lt;CurrentWeek,AND($M6&lt;&gt;"",$N6&lt;&gt;"")),1,0)</f>
        <v>0</v>
      </c>
      <c r="AG6" s="2">
        <f>IF($AF6=0,0,IF($G6&gt;=CurrentWeek-RecencyWin,RecencyMult,1))</f>
        <v>0</v>
      </c>
      <c r="AH6" s="2">
        <f>IF(AND($C6&lt;&gt;"",$E6=CurrentSeason,$F6="REG",ISNUMBER($G6),$G6&lt;CurrentWeek-1,AND($M6&lt;&gt;"",$N6&lt;&gt;"")),1,0)</f>
        <v>0</v>
      </c>
      <c r="AI6" s="2">
        <f>IF($AH6=0,0,IF($G6&gt;=CurrentWeek-1-RecencyWin,RecencyMult,1))</f>
        <v>0</v>
      </c>
      <c r="AJ6" s="2">
        <f>IF($AF6=0,0,IF($G6&gt;=CurrentWeek-RecencyWin,TotRecency,1))</f>
        <v>0</v>
      </c>
      <c r="AK6" s="2">
        <f t="shared" si="9"/>
        <v>0</v>
      </c>
      <c r="AL6" s="2">
        <f t="shared" si="10"/>
        <v>0</v>
      </c>
      <c r="AM6" s="2" t="str">
        <f t="array" ref="AM6">IF($K6="",0,IFERROR(INDEX(CALC!$F$2:$F$33,MATCH($K6,CALC!$A$2:$A$33,0)),0))</f>
        <v/>
      </c>
      <c r="AN6" s="2" t="str">
        <f t="array" ref="AN6">IF($K6="",0,IFERROR(INDEX(CALC!$I$2:$I$33,MATCH($K6,CALC!$A$2:$A$33,0)),0))</f>
        <v/>
      </c>
      <c r="AO6" s="2" t="str">
        <f t="array" ref="AO6">IF($K6="",0,IFERROR(INDEX(CALC!$L$2:$L$33,MATCH($K6,CALC!$A$2:$A$33,0)),0))</f>
        <v/>
      </c>
      <c r="AP6" s="2" t="str">
        <f t="array" ref="AP6">IF($K6="",0,IFERROR(INDEX(CALC!$T$2:$T$33,MATCH($K6,CALC!$A$2:$A$33,0)),0))</f>
        <v/>
      </c>
      <c r="AQ6" s="2" t="str">
        <f t="array" ref="AQ6">IF($K6="",0,IFERROR(INDEX(CALC!$W$2:$W$33,MATCH($K6,CALC!$A$2:$A$33,0)),0))</f>
        <v/>
      </c>
      <c r="AR6" s="2" t="str">
        <f t="array" ref="AR6">IF($K6="",0,IFERROR(INDEX(CALC!$Z$2:$Z$33,MATCH($K6,CALC!$A$2:$A$33,0)),0))</f>
        <v/>
      </c>
      <c r="AS6" s="2" t="str">
        <f t="array" ref="AS6">IF($K6="",0,IFERROR(INDEX(CALC!$AJ$2:$AJ$33,MATCH($K6,CALC!$A$2:$A$33,0)),0))</f>
        <v/>
      </c>
      <c r="AT6" s="2" t="str">
        <f t="array" ref="AT6">IF($K6="",0,IFERROR(INDEX(CALC!$AI$2:$AI$33,MATCH($K6,CALC!$A$2:$A$33,0)),0))</f>
        <v/>
      </c>
      <c r="AU6" s="2">
        <f t="shared" si="11"/>
        <v>0</v>
      </c>
      <c r="AV6" s="2">
        <f t="shared" si="12"/>
        <v>0</v>
      </c>
    </row>
    <row r="7" ht="15.0" customHeight="1">
      <c r="A7" s="2">
        <v>3.0</v>
      </c>
      <c r="B7" s="2" t="s">
        <v>2365</v>
      </c>
      <c r="C7" s="2">
        <f>IFERROR(MATCH($A7,SchedSeq,0),"")</f>
        <v>288</v>
      </c>
      <c r="D7" s="2" t="str">
        <f t="array" ref="D7">IF($C7="","",INDEX(SchedZone,$C7,MAP!$B$6))</f>
        <v>2026_01_CHI_CAR</v>
      </c>
      <c r="E7" s="2">
        <f t="array" ref="E7">IF($C7="","",INDEX(SchedZone,$C7,MAP!$B$3))</f>
        <v>2026</v>
      </c>
      <c r="F7" s="2" t="str">
        <f t="array" ref="F7">IF($C7="","",INDEX(SchedZone,$C7,MAP!$B$5))</f>
        <v>REG</v>
      </c>
      <c r="G7" s="2">
        <f t="array" ref="G7">IF($C7="","",INDEX(SchedZone,$C7,MAP!$B$4))</f>
        <v>1</v>
      </c>
      <c r="H7" s="2" t="str">
        <f t="array" ref="H7">IF($C7="","",INDEX(SchedZone,$C7,MAP!$B$12))</f>
        <v>CAR</v>
      </c>
      <c r="I7" s="2" t="str">
        <f t="array" ref="I7">IF($H7="","",IF(COUNTIF(Teams,$H7)&gt;0,$H7,IFERROR(INDEX(LISTS!$D$2:$D$12,MATCH($H7,LISTS!$C$2:$C$12,0)),"⚠ "&amp;$H7)))</f>
        <v>CAR</v>
      </c>
      <c r="J7" s="2" t="str">
        <f t="array" ref="J7">IF($C7="","",INDEX(SchedZone,$C7,MAP!$B$10))</f>
        <v>CHI</v>
      </c>
      <c r="K7" s="2" t="str">
        <f t="array" ref="K7">IF($J7="","",IF(COUNTIF(Teams,$J7)&gt;0,$J7,IFERROR(INDEX(LISTS!$D$2:$D$12,MATCH($J7,LISTS!$C$2:$C$12,0)),"⚠ "&amp;$J7)))</f>
        <v>CHI</v>
      </c>
      <c r="L7" s="2" t="str">
        <f t="array" ref="L7">IF($C7="","",IF(INDEX(SchedZone,$C7,MAP!$B$14)="Neutral","N",IF($B7="HOME","H","A")))</f>
        <v>H</v>
      </c>
      <c r="M7" s="2" t="str">
        <f t="array" ref="M7">IF($C7="","",IF(INDEX(SchedZone,$C7,MAP!$B$13)="","",INDEX(SchedZone,$C7,MAP!$B$13)))</f>
        <v/>
      </c>
      <c r="N7" s="2" t="str">
        <f t="array" ref="N7">IF($C7="","",IF(INDEX(SchedZone,$C7,MAP!$B$11)="","",INDEX(SchedZone,$C7,MAP!$B$11)))</f>
        <v/>
      </c>
      <c r="O7" s="2">
        <f t="array" ref="O7">IF($C7="","",INDEX(SchedZone,$C7,MAP!$B$16))</f>
        <v>7</v>
      </c>
      <c r="P7" s="2" t="str">
        <f>IF($C7="","",IFERROR(MATCH($E7&amp;"|"&amp;$G7&amp;"|"&amp;$I7,StatsKey,0),""))</f>
        <v/>
      </c>
      <c r="Q7" s="2">
        <f t="array" ref="Q7">IF($P7="",0,INDEX(StatsZone,$P7,MAP!$E$9)+INDEX(StatsZone,$P7,MAP!$E$10)+INDEX(StatsZone,$P7,MAP!$E$11))</f>
        <v>0</v>
      </c>
      <c r="R7" s="2">
        <f t="array" ref="R7">IF($P7="",0,INDEX(StatsZone,$P7,MAP!$E$12))</f>
        <v>0</v>
      </c>
      <c r="S7" s="2">
        <f t="array" ref="S7">IF($P7="",0,INDEX(StatsZone,$P7,MAP!$E$13))</f>
        <v>0</v>
      </c>
      <c r="T7" s="2">
        <f t="shared" si="1"/>
        <v>0</v>
      </c>
      <c r="U7" s="2">
        <f t="array" ref="U7">IF($P7="",0,INDEX(StatsZone,$P7,MAP!$E$14)+INDEX(StatsZone,$P7,MAP!$E$15)+INDEX(StatsZone,$P7,MAP!$E$16))</f>
        <v>0</v>
      </c>
      <c r="V7" s="2">
        <f t="shared" si="2"/>
        <v>0</v>
      </c>
      <c r="W7" s="2">
        <f t="shared" si="3"/>
        <v>0</v>
      </c>
      <c r="X7" s="2">
        <f t="shared" si="4"/>
        <v>0</v>
      </c>
      <c r="Y7" s="2">
        <f t="shared" si="5"/>
        <v>0</v>
      </c>
      <c r="Z7" s="2">
        <f t="shared" si="6"/>
        <v>0</v>
      </c>
      <c r="AA7" s="2">
        <f t="shared" si="7"/>
        <v>1</v>
      </c>
      <c r="AB7" s="2">
        <f>IF(OR($M7="",$N7=""),0,MEDIAN(-MarginCap,MarginCap,($M7-$N7)-$AA7*HFA_Base))</f>
        <v>0</v>
      </c>
      <c r="AC7" s="2">
        <f t="array" ref="AC7">IF(OR($P7="",INDEX($P$3:$P$722,(ROW()+IF(MOD(ROW()-3,2)=0,1,-1))-3+1)=""),0,MEDIAN(-MarginCap,MarginCap,($T7-$W7)-$AA7*HFA_Base))</f>
        <v>0</v>
      </c>
      <c r="AD7" s="2">
        <f t="shared" si="8"/>
        <v>0</v>
      </c>
      <c r="AE7" s="2">
        <f>IF(OR($M7="",$N7=""),0,IF(AND(WEpa&gt;0,$AD7=1),(1-WEpa)*$AB7+WEpa*$AC7,$AB7))</f>
        <v>0</v>
      </c>
      <c r="AF7" s="2">
        <f>IF(AND($C7&lt;&gt;"",$E7=CurrentSeason,$F7="REG",ISNUMBER($G7),$G7&lt;CurrentWeek,AND($M7&lt;&gt;"",$N7&lt;&gt;"")),1,0)</f>
        <v>0</v>
      </c>
      <c r="AG7" s="2">
        <f>IF($AF7=0,0,IF($G7&gt;=CurrentWeek-RecencyWin,RecencyMult,1))</f>
        <v>0</v>
      </c>
      <c r="AH7" s="2">
        <f>IF(AND($C7&lt;&gt;"",$E7=CurrentSeason,$F7="REG",ISNUMBER($G7),$G7&lt;CurrentWeek-1,AND($M7&lt;&gt;"",$N7&lt;&gt;"")),1,0)</f>
        <v>0</v>
      </c>
      <c r="AI7" s="2">
        <f>IF($AH7=0,0,IF($G7&gt;=CurrentWeek-1-RecencyWin,RecencyMult,1))</f>
        <v>0</v>
      </c>
      <c r="AJ7" s="2">
        <f>IF($AF7=0,0,IF($G7&gt;=CurrentWeek-RecencyWin,TotRecency,1))</f>
        <v>0</v>
      </c>
      <c r="AK7" s="2">
        <f t="shared" si="9"/>
        <v>0</v>
      </c>
      <c r="AL7" s="2">
        <f t="shared" si="10"/>
        <v>0</v>
      </c>
      <c r="AM7" s="2" t="str">
        <f t="array" ref="AM7">IF($K7="",0,IFERROR(INDEX(CALC!$F$2:$F$33,MATCH($K7,CALC!$A$2:$A$33,0)),0))</f>
        <v/>
      </c>
      <c r="AN7" s="2" t="str">
        <f t="array" ref="AN7">IF($K7="",0,IFERROR(INDEX(CALC!$I$2:$I$33,MATCH($K7,CALC!$A$2:$A$33,0)),0))</f>
        <v/>
      </c>
      <c r="AO7" s="2" t="str">
        <f t="array" ref="AO7">IF($K7="",0,IFERROR(INDEX(CALC!$L$2:$L$33,MATCH($K7,CALC!$A$2:$A$33,0)),0))</f>
        <v/>
      </c>
      <c r="AP7" s="2" t="str">
        <f t="array" ref="AP7">IF($K7="",0,IFERROR(INDEX(CALC!$T$2:$T$33,MATCH($K7,CALC!$A$2:$A$33,0)),0))</f>
        <v/>
      </c>
      <c r="AQ7" s="2" t="str">
        <f t="array" ref="AQ7">IF($K7="",0,IFERROR(INDEX(CALC!$W$2:$W$33,MATCH($K7,CALC!$A$2:$A$33,0)),0))</f>
        <v/>
      </c>
      <c r="AR7" s="2" t="str">
        <f t="array" ref="AR7">IF($K7="",0,IFERROR(INDEX(CALC!$Z$2:$Z$33,MATCH($K7,CALC!$A$2:$A$33,0)),0))</f>
        <v/>
      </c>
      <c r="AS7" s="2" t="str">
        <f t="array" ref="AS7">IF($K7="",0,IFERROR(INDEX(CALC!$AJ$2:$AJ$33,MATCH($K7,CALC!$A$2:$A$33,0)),0))</f>
        <v/>
      </c>
      <c r="AT7" s="2" t="str">
        <f t="array" ref="AT7">IF($K7="",0,IFERROR(INDEX(CALC!$AI$2:$AI$33,MATCH($K7,CALC!$A$2:$A$33,0)),0))</f>
        <v/>
      </c>
      <c r="AU7" s="2">
        <f t="shared" si="11"/>
        <v>0</v>
      </c>
      <c r="AV7" s="2">
        <f t="shared" si="12"/>
        <v>0</v>
      </c>
    </row>
    <row r="8" ht="15.0" customHeight="1">
      <c r="A8" s="2">
        <v>3.0</v>
      </c>
      <c r="B8" s="2" t="s">
        <v>2366</v>
      </c>
      <c r="C8" s="2">
        <f>IFERROR(MATCH($A8,SchedSeq,0),"")</f>
        <v>288</v>
      </c>
      <c r="D8" s="2" t="str">
        <f t="array" ref="D8">IF($C8="","",INDEX(SchedZone,$C8,MAP!$B$6))</f>
        <v>2026_01_CHI_CAR</v>
      </c>
      <c r="E8" s="2">
        <f t="array" ref="E8">IF($C8="","",INDEX(SchedZone,$C8,MAP!$B$3))</f>
        <v>2026</v>
      </c>
      <c r="F8" s="2" t="str">
        <f t="array" ref="F8">IF($C8="","",INDEX(SchedZone,$C8,MAP!$B$5))</f>
        <v>REG</v>
      </c>
      <c r="G8" s="2">
        <f t="array" ref="G8">IF($C8="","",INDEX(SchedZone,$C8,MAP!$B$4))</f>
        <v>1</v>
      </c>
      <c r="H8" s="2" t="str">
        <f t="array" ref="H8">IF($C8="","",INDEX(SchedZone,$C8,MAP!$B$10))</f>
        <v>CHI</v>
      </c>
      <c r="I8" s="2" t="str">
        <f t="array" ref="I8">IF($H8="","",IF(COUNTIF(Teams,$H8)&gt;0,$H8,IFERROR(INDEX(LISTS!$D$2:$D$12,MATCH($H8,LISTS!$C$2:$C$12,0)),"⚠ "&amp;$H8)))</f>
        <v>CHI</v>
      </c>
      <c r="J8" s="2" t="str">
        <f t="array" ref="J8">IF($C8="","",INDEX(SchedZone,$C8,MAP!$B$12))</f>
        <v>CAR</v>
      </c>
      <c r="K8" s="2" t="str">
        <f t="array" ref="K8">IF($J8="","",IF(COUNTIF(Teams,$J8)&gt;0,$J8,IFERROR(INDEX(LISTS!$D$2:$D$12,MATCH($J8,LISTS!$C$2:$C$12,0)),"⚠ "&amp;$J8)))</f>
        <v>CAR</v>
      </c>
      <c r="L8" s="2" t="str">
        <f t="array" ref="L8">IF($C8="","",IF(INDEX(SchedZone,$C8,MAP!$B$14)="Neutral","N",IF($B8="HOME","H","A")))</f>
        <v>A</v>
      </c>
      <c r="M8" s="2" t="str">
        <f t="array" ref="M8">IF($C8="","",IF(INDEX(SchedZone,$C8,MAP!$B$11)="","",INDEX(SchedZone,$C8,MAP!$B$11)))</f>
        <v/>
      </c>
      <c r="N8" s="2" t="str">
        <f t="array" ref="N8">IF($C8="","",IF(INDEX(SchedZone,$C8,MAP!$B$13)="","",INDEX(SchedZone,$C8,MAP!$B$13)))</f>
        <v/>
      </c>
      <c r="O8" s="2">
        <f t="array" ref="O8">IF($C8="","",INDEX(SchedZone,$C8,MAP!$B$15))</f>
        <v>7</v>
      </c>
      <c r="P8" s="2" t="str">
        <f>IF($C8="","",IFERROR(MATCH($E8&amp;"|"&amp;$G8&amp;"|"&amp;$I8,StatsKey,0),""))</f>
        <v/>
      </c>
      <c r="Q8" s="2">
        <f t="array" ref="Q8">IF($P8="",0,INDEX(StatsZone,$P8,MAP!$E$9)+INDEX(StatsZone,$P8,MAP!$E$10)+INDEX(StatsZone,$P8,MAP!$E$11))</f>
        <v>0</v>
      </c>
      <c r="R8" s="2">
        <f t="array" ref="R8">IF($P8="",0,INDEX(StatsZone,$P8,MAP!$E$12))</f>
        <v>0</v>
      </c>
      <c r="S8" s="2">
        <f t="array" ref="S8">IF($P8="",0,INDEX(StatsZone,$P8,MAP!$E$13))</f>
        <v>0</v>
      </c>
      <c r="T8" s="2">
        <f t="shared" si="1"/>
        <v>0</v>
      </c>
      <c r="U8" s="2">
        <f t="array" ref="U8">IF($P8="",0,INDEX(StatsZone,$P8,MAP!$E$14)+INDEX(StatsZone,$P8,MAP!$E$15)+INDEX(StatsZone,$P8,MAP!$E$16))</f>
        <v>0</v>
      </c>
      <c r="V8" s="2">
        <f t="shared" si="2"/>
        <v>0</v>
      </c>
      <c r="W8" s="2">
        <f t="shared" si="3"/>
        <v>0</v>
      </c>
      <c r="X8" s="2">
        <f t="shared" si="4"/>
        <v>0</v>
      </c>
      <c r="Y8" s="2">
        <f t="shared" si="5"/>
        <v>0</v>
      </c>
      <c r="Z8" s="2">
        <f t="shared" si="6"/>
        <v>0</v>
      </c>
      <c r="AA8" s="2">
        <f t="shared" si="7"/>
        <v>-1</v>
      </c>
      <c r="AB8" s="2">
        <f>IF(OR($M8="",$N8=""),0,MEDIAN(-MarginCap,MarginCap,($M8-$N8)-$AA8*HFA_Base))</f>
        <v>0</v>
      </c>
      <c r="AC8" s="2">
        <f t="array" ref="AC8">IF(OR($P8="",INDEX($P$3:$P$722,(ROW()+IF(MOD(ROW()-3,2)=0,1,-1))-3+1)=""),0,MEDIAN(-MarginCap,MarginCap,($T8-$W8)-$AA8*HFA_Base))</f>
        <v>0</v>
      </c>
      <c r="AD8" s="2">
        <f t="shared" si="8"/>
        <v>0</v>
      </c>
      <c r="AE8" s="2">
        <f>IF(OR($M8="",$N8=""),0,IF(AND(WEpa&gt;0,$AD8=1),(1-WEpa)*$AB8+WEpa*$AC8,$AB8))</f>
        <v>0</v>
      </c>
      <c r="AF8" s="2">
        <f>IF(AND($C8&lt;&gt;"",$E8=CurrentSeason,$F8="REG",ISNUMBER($G8),$G8&lt;CurrentWeek,AND($M8&lt;&gt;"",$N8&lt;&gt;"")),1,0)</f>
        <v>0</v>
      </c>
      <c r="AG8" s="2">
        <f>IF($AF8=0,0,IF($G8&gt;=CurrentWeek-RecencyWin,RecencyMult,1))</f>
        <v>0</v>
      </c>
      <c r="AH8" s="2">
        <f>IF(AND($C8&lt;&gt;"",$E8=CurrentSeason,$F8="REG",ISNUMBER($G8),$G8&lt;CurrentWeek-1,AND($M8&lt;&gt;"",$N8&lt;&gt;"")),1,0)</f>
        <v>0</v>
      </c>
      <c r="AI8" s="2">
        <f>IF($AH8=0,0,IF($G8&gt;=CurrentWeek-1-RecencyWin,RecencyMult,1))</f>
        <v>0</v>
      </c>
      <c r="AJ8" s="2">
        <f>IF($AF8=0,0,IF($G8&gt;=CurrentWeek-RecencyWin,TotRecency,1))</f>
        <v>0</v>
      </c>
      <c r="AK8" s="2">
        <f t="shared" si="9"/>
        <v>0</v>
      </c>
      <c r="AL8" s="2">
        <f t="shared" si="10"/>
        <v>0</v>
      </c>
      <c r="AM8" s="2" t="str">
        <f t="array" ref="AM8">IF($K8="",0,IFERROR(INDEX(CALC!$F$2:$F$33,MATCH($K8,CALC!$A$2:$A$33,0)),0))</f>
        <v/>
      </c>
      <c r="AN8" s="2" t="str">
        <f t="array" ref="AN8">IF($K8="",0,IFERROR(INDEX(CALC!$I$2:$I$33,MATCH($K8,CALC!$A$2:$A$33,0)),0))</f>
        <v/>
      </c>
      <c r="AO8" s="2" t="str">
        <f t="array" ref="AO8">IF($K8="",0,IFERROR(INDEX(CALC!$L$2:$L$33,MATCH($K8,CALC!$A$2:$A$33,0)),0))</f>
        <v/>
      </c>
      <c r="AP8" s="2" t="str">
        <f t="array" ref="AP8">IF($K8="",0,IFERROR(INDEX(CALC!$T$2:$T$33,MATCH($K8,CALC!$A$2:$A$33,0)),0))</f>
        <v/>
      </c>
      <c r="AQ8" s="2" t="str">
        <f t="array" ref="AQ8">IF($K8="",0,IFERROR(INDEX(CALC!$W$2:$W$33,MATCH($K8,CALC!$A$2:$A$33,0)),0))</f>
        <v/>
      </c>
      <c r="AR8" s="2" t="str">
        <f t="array" ref="AR8">IF($K8="",0,IFERROR(INDEX(CALC!$Z$2:$Z$33,MATCH($K8,CALC!$A$2:$A$33,0)),0))</f>
        <v/>
      </c>
      <c r="AS8" s="2" t="str">
        <f t="array" ref="AS8">IF($K8="",0,IFERROR(INDEX(CALC!$AJ$2:$AJ$33,MATCH($K8,CALC!$A$2:$A$33,0)),0))</f>
        <v/>
      </c>
      <c r="AT8" s="2" t="str">
        <f t="array" ref="AT8">IF($K8="",0,IFERROR(INDEX(CALC!$AI$2:$AI$33,MATCH($K8,CALC!$A$2:$A$33,0)),0))</f>
        <v/>
      </c>
      <c r="AU8" s="2">
        <f t="shared" si="11"/>
        <v>0</v>
      </c>
      <c r="AV8" s="2">
        <f t="shared" si="12"/>
        <v>0</v>
      </c>
    </row>
    <row r="9" ht="15.0" customHeight="1">
      <c r="A9" s="2">
        <v>4.0</v>
      </c>
      <c r="B9" s="2" t="s">
        <v>2365</v>
      </c>
      <c r="C9" s="2">
        <f>IFERROR(MATCH($A9,SchedSeq,0),"")</f>
        <v>289</v>
      </c>
      <c r="D9" s="2" t="str">
        <f t="array" ref="D9">IF($C9="","",INDEX(SchedZone,$C9,MAP!$B$6))</f>
        <v>2026_01_TB_CIN</v>
      </c>
      <c r="E9" s="2">
        <f t="array" ref="E9">IF($C9="","",INDEX(SchedZone,$C9,MAP!$B$3))</f>
        <v>2026</v>
      </c>
      <c r="F9" s="2" t="str">
        <f t="array" ref="F9">IF($C9="","",INDEX(SchedZone,$C9,MAP!$B$5))</f>
        <v>REG</v>
      </c>
      <c r="G9" s="2">
        <f t="array" ref="G9">IF($C9="","",INDEX(SchedZone,$C9,MAP!$B$4))</f>
        <v>1</v>
      </c>
      <c r="H9" s="2" t="str">
        <f t="array" ref="H9">IF($C9="","",INDEX(SchedZone,$C9,MAP!$B$12))</f>
        <v>CIN</v>
      </c>
      <c r="I9" s="2" t="str">
        <f t="array" ref="I9">IF($H9="","",IF(COUNTIF(Teams,$H9)&gt;0,$H9,IFERROR(INDEX(LISTS!$D$2:$D$12,MATCH($H9,LISTS!$C$2:$C$12,0)),"⚠ "&amp;$H9)))</f>
        <v>CIN</v>
      </c>
      <c r="J9" s="2" t="str">
        <f t="array" ref="J9">IF($C9="","",INDEX(SchedZone,$C9,MAP!$B$10))</f>
        <v>TB</v>
      </c>
      <c r="K9" s="2" t="str">
        <f t="array" ref="K9">IF($J9="","",IF(COUNTIF(Teams,$J9)&gt;0,$J9,IFERROR(INDEX(LISTS!$D$2:$D$12,MATCH($J9,LISTS!$C$2:$C$12,0)),"⚠ "&amp;$J9)))</f>
        <v>TB</v>
      </c>
      <c r="L9" s="2" t="str">
        <f t="array" ref="L9">IF($C9="","",IF(INDEX(SchedZone,$C9,MAP!$B$14)="Neutral","N",IF($B9="HOME","H","A")))</f>
        <v>H</v>
      </c>
      <c r="M9" s="2" t="str">
        <f t="array" ref="M9">IF($C9="","",IF(INDEX(SchedZone,$C9,MAP!$B$13)="","",INDEX(SchedZone,$C9,MAP!$B$13)))</f>
        <v/>
      </c>
      <c r="N9" s="2" t="str">
        <f t="array" ref="N9">IF($C9="","",IF(INDEX(SchedZone,$C9,MAP!$B$11)="","",INDEX(SchedZone,$C9,MAP!$B$11)))</f>
        <v/>
      </c>
      <c r="O9" s="2">
        <f t="array" ref="O9">IF($C9="","",INDEX(SchedZone,$C9,MAP!$B$16))</f>
        <v>7</v>
      </c>
      <c r="P9" s="2" t="str">
        <f>IF($C9="","",IFERROR(MATCH($E9&amp;"|"&amp;$G9&amp;"|"&amp;$I9,StatsKey,0),""))</f>
        <v/>
      </c>
      <c r="Q9" s="2">
        <f t="array" ref="Q9">IF($P9="",0,INDEX(StatsZone,$P9,MAP!$E$9)+INDEX(StatsZone,$P9,MAP!$E$10)+INDEX(StatsZone,$P9,MAP!$E$11))</f>
        <v>0</v>
      </c>
      <c r="R9" s="2">
        <f t="array" ref="R9">IF($P9="",0,INDEX(StatsZone,$P9,MAP!$E$12))</f>
        <v>0</v>
      </c>
      <c r="S9" s="2">
        <f t="array" ref="S9">IF($P9="",0,INDEX(StatsZone,$P9,MAP!$E$13))</f>
        <v>0</v>
      </c>
      <c r="T9" s="2">
        <f t="shared" si="1"/>
        <v>0</v>
      </c>
      <c r="U9" s="2">
        <f t="array" ref="U9">IF($P9="",0,INDEX(StatsZone,$P9,MAP!$E$14)+INDEX(StatsZone,$P9,MAP!$E$15)+INDEX(StatsZone,$P9,MAP!$E$16))</f>
        <v>0</v>
      </c>
      <c r="V9" s="2">
        <f t="shared" si="2"/>
        <v>0</v>
      </c>
      <c r="W9" s="2">
        <f t="shared" si="3"/>
        <v>0</v>
      </c>
      <c r="X9" s="2">
        <f t="shared" si="4"/>
        <v>0</v>
      </c>
      <c r="Y9" s="2">
        <f t="shared" si="5"/>
        <v>0</v>
      </c>
      <c r="Z9" s="2">
        <f t="shared" si="6"/>
        <v>0</v>
      </c>
      <c r="AA9" s="2">
        <f t="shared" si="7"/>
        <v>1</v>
      </c>
      <c r="AB9" s="2">
        <f>IF(OR($M9="",$N9=""),0,MEDIAN(-MarginCap,MarginCap,($M9-$N9)-$AA9*HFA_Base))</f>
        <v>0</v>
      </c>
      <c r="AC9" s="2">
        <f t="array" ref="AC9">IF(OR($P9="",INDEX($P$3:$P$722,(ROW()+IF(MOD(ROW()-3,2)=0,1,-1))-3+1)=""),0,MEDIAN(-MarginCap,MarginCap,($T9-$W9)-$AA9*HFA_Base))</f>
        <v>0</v>
      </c>
      <c r="AD9" s="2">
        <f t="shared" si="8"/>
        <v>0</v>
      </c>
      <c r="AE9" s="2">
        <f>IF(OR($M9="",$N9=""),0,IF(AND(WEpa&gt;0,$AD9=1),(1-WEpa)*$AB9+WEpa*$AC9,$AB9))</f>
        <v>0</v>
      </c>
      <c r="AF9" s="2">
        <f>IF(AND($C9&lt;&gt;"",$E9=CurrentSeason,$F9="REG",ISNUMBER($G9),$G9&lt;CurrentWeek,AND($M9&lt;&gt;"",$N9&lt;&gt;"")),1,0)</f>
        <v>0</v>
      </c>
      <c r="AG9" s="2">
        <f>IF($AF9=0,0,IF($G9&gt;=CurrentWeek-RecencyWin,RecencyMult,1))</f>
        <v>0</v>
      </c>
      <c r="AH9" s="2">
        <f>IF(AND($C9&lt;&gt;"",$E9=CurrentSeason,$F9="REG",ISNUMBER($G9),$G9&lt;CurrentWeek-1,AND($M9&lt;&gt;"",$N9&lt;&gt;"")),1,0)</f>
        <v>0</v>
      </c>
      <c r="AI9" s="2">
        <f>IF($AH9=0,0,IF($G9&gt;=CurrentWeek-1-RecencyWin,RecencyMult,1))</f>
        <v>0</v>
      </c>
      <c r="AJ9" s="2">
        <f>IF($AF9=0,0,IF($G9&gt;=CurrentWeek-RecencyWin,TotRecency,1))</f>
        <v>0</v>
      </c>
      <c r="AK9" s="2">
        <f t="shared" si="9"/>
        <v>0</v>
      </c>
      <c r="AL9" s="2">
        <f t="shared" si="10"/>
        <v>0</v>
      </c>
      <c r="AM9" s="2" t="str">
        <f t="array" ref="AM9">IF($K9="",0,IFERROR(INDEX(CALC!$F$2:$F$33,MATCH($K9,CALC!$A$2:$A$33,0)),0))</f>
        <v/>
      </c>
      <c r="AN9" s="2" t="str">
        <f t="array" ref="AN9">IF($K9="",0,IFERROR(INDEX(CALC!$I$2:$I$33,MATCH($K9,CALC!$A$2:$A$33,0)),0))</f>
        <v/>
      </c>
      <c r="AO9" s="2" t="str">
        <f t="array" ref="AO9">IF($K9="",0,IFERROR(INDEX(CALC!$L$2:$L$33,MATCH($K9,CALC!$A$2:$A$33,0)),0))</f>
        <v/>
      </c>
      <c r="AP9" s="2" t="str">
        <f t="array" ref="AP9">IF($K9="",0,IFERROR(INDEX(CALC!$T$2:$T$33,MATCH($K9,CALC!$A$2:$A$33,0)),0))</f>
        <v/>
      </c>
      <c r="AQ9" s="2" t="str">
        <f t="array" ref="AQ9">IF($K9="",0,IFERROR(INDEX(CALC!$W$2:$W$33,MATCH($K9,CALC!$A$2:$A$33,0)),0))</f>
        <v/>
      </c>
      <c r="AR9" s="2" t="str">
        <f t="array" ref="AR9">IF($K9="",0,IFERROR(INDEX(CALC!$Z$2:$Z$33,MATCH($K9,CALC!$A$2:$A$33,0)),0))</f>
        <v/>
      </c>
      <c r="AS9" s="2" t="str">
        <f t="array" ref="AS9">IF($K9="",0,IFERROR(INDEX(CALC!$AJ$2:$AJ$33,MATCH($K9,CALC!$A$2:$A$33,0)),0))</f>
        <v/>
      </c>
      <c r="AT9" s="2" t="str">
        <f t="array" ref="AT9">IF($K9="",0,IFERROR(INDEX(CALC!$AI$2:$AI$33,MATCH($K9,CALC!$A$2:$A$33,0)),0))</f>
        <v/>
      </c>
      <c r="AU9" s="2">
        <f t="shared" si="11"/>
        <v>0</v>
      </c>
      <c r="AV9" s="2">
        <f t="shared" si="12"/>
        <v>0</v>
      </c>
    </row>
    <row r="10" ht="15.0" customHeight="1">
      <c r="A10" s="2">
        <v>4.0</v>
      </c>
      <c r="B10" s="2" t="s">
        <v>2366</v>
      </c>
      <c r="C10" s="2">
        <f>IFERROR(MATCH($A10,SchedSeq,0),"")</f>
        <v>289</v>
      </c>
      <c r="D10" s="2" t="str">
        <f t="array" ref="D10">IF($C10="","",INDEX(SchedZone,$C10,MAP!$B$6))</f>
        <v>2026_01_TB_CIN</v>
      </c>
      <c r="E10" s="2">
        <f t="array" ref="E10">IF($C10="","",INDEX(SchedZone,$C10,MAP!$B$3))</f>
        <v>2026</v>
      </c>
      <c r="F10" s="2" t="str">
        <f t="array" ref="F10">IF($C10="","",INDEX(SchedZone,$C10,MAP!$B$5))</f>
        <v>REG</v>
      </c>
      <c r="G10" s="2">
        <f t="array" ref="G10">IF($C10="","",INDEX(SchedZone,$C10,MAP!$B$4))</f>
        <v>1</v>
      </c>
      <c r="H10" s="2" t="str">
        <f t="array" ref="H10">IF($C10="","",INDEX(SchedZone,$C10,MAP!$B$10))</f>
        <v>TB</v>
      </c>
      <c r="I10" s="2" t="str">
        <f t="array" ref="I10">IF($H10="","",IF(COUNTIF(Teams,$H10)&gt;0,$H10,IFERROR(INDEX(LISTS!$D$2:$D$12,MATCH($H10,LISTS!$C$2:$C$12,0)),"⚠ "&amp;$H10)))</f>
        <v>TB</v>
      </c>
      <c r="J10" s="2" t="str">
        <f t="array" ref="J10">IF($C10="","",INDEX(SchedZone,$C10,MAP!$B$12))</f>
        <v>CIN</v>
      </c>
      <c r="K10" s="2" t="str">
        <f t="array" ref="K10">IF($J10="","",IF(COUNTIF(Teams,$J10)&gt;0,$J10,IFERROR(INDEX(LISTS!$D$2:$D$12,MATCH($J10,LISTS!$C$2:$C$12,0)),"⚠ "&amp;$J10)))</f>
        <v>CIN</v>
      </c>
      <c r="L10" s="2" t="str">
        <f t="array" ref="L10">IF($C10="","",IF(INDEX(SchedZone,$C10,MAP!$B$14)="Neutral","N",IF($B10="HOME","H","A")))</f>
        <v>A</v>
      </c>
      <c r="M10" s="2" t="str">
        <f t="array" ref="M10">IF($C10="","",IF(INDEX(SchedZone,$C10,MAP!$B$11)="","",INDEX(SchedZone,$C10,MAP!$B$11)))</f>
        <v/>
      </c>
      <c r="N10" s="2" t="str">
        <f t="array" ref="N10">IF($C10="","",IF(INDEX(SchedZone,$C10,MAP!$B$13)="","",INDEX(SchedZone,$C10,MAP!$B$13)))</f>
        <v/>
      </c>
      <c r="O10" s="2">
        <f t="array" ref="O10">IF($C10="","",INDEX(SchedZone,$C10,MAP!$B$15))</f>
        <v>7</v>
      </c>
      <c r="P10" s="2" t="str">
        <f>IF($C10="","",IFERROR(MATCH($E10&amp;"|"&amp;$G10&amp;"|"&amp;$I10,StatsKey,0),""))</f>
        <v/>
      </c>
      <c r="Q10" s="2">
        <f t="array" ref="Q10">IF($P10="",0,INDEX(StatsZone,$P10,MAP!$E$9)+INDEX(StatsZone,$P10,MAP!$E$10)+INDEX(StatsZone,$P10,MAP!$E$11))</f>
        <v>0</v>
      </c>
      <c r="R10" s="2">
        <f t="array" ref="R10">IF($P10="",0,INDEX(StatsZone,$P10,MAP!$E$12))</f>
        <v>0</v>
      </c>
      <c r="S10" s="2">
        <f t="array" ref="S10">IF($P10="",0,INDEX(StatsZone,$P10,MAP!$E$13))</f>
        <v>0</v>
      </c>
      <c r="T10" s="2">
        <f t="shared" si="1"/>
        <v>0</v>
      </c>
      <c r="U10" s="2">
        <f t="array" ref="U10">IF($P10="",0,INDEX(StatsZone,$P10,MAP!$E$14)+INDEX(StatsZone,$P10,MAP!$E$15)+INDEX(StatsZone,$P10,MAP!$E$16))</f>
        <v>0</v>
      </c>
      <c r="V10" s="2">
        <f t="shared" si="2"/>
        <v>0</v>
      </c>
      <c r="W10" s="2">
        <f t="shared" si="3"/>
        <v>0</v>
      </c>
      <c r="X10" s="2">
        <f t="shared" si="4"/>
        <v>0</v>
      </c>
      <c r="Y10" s="2">
        <f t="shared" si="5"/>
        <v>0</v>
      </c>
      <c r="Z10" s="2">
        <f t="shared" si="6"/>
        <v>0</v>
      </c>
      <c r="AA10" s="2">
        <f t="shared" si="7"/>
        <v>-1</v>
      </c>
      <c r="AB10" s="2">
        <f>IF(OR($M10="",$N10=""),0,MEDIAN(-MarginCap,MarginCap,($M10-$N10)-$AA10*HFA_Base))</f>
        <v>0</v>
      </c>
      <c r="AC10" s="2">
        <f t="array" ref="AC10">IF(OR($P10="",INDEX($P$3:$P$722,(ROW()+IF(MOD(ROW()-3,2)=0,1,-1))-3+1)=""),0,MEDIAN(-MarginCap,MarginCap,($T10-$W10)-$AA10*HFA_Base))</f>
        <v>0</v>
      </c>
      <c r="AD10" s="2">
        <f t="shared" si="8"/>
        <v>0</v>
      </c>
      <c r="AE10" s="2">
        <f>IF(OR($M10="",$N10=""),0,IF(AND(WEpa&gt;0,$AD10=1),(1-WEpa)*$AB10+WEpa*$AC10,$AB10))</f>
        <v>0</v>
      </c>
      <c r="AF10" s="2">
        <f>IF(AND($C10&lt;&gt;"",$E10=CurrentSeason,$F10="REG",ISNUMBER($G10),$G10&lt;CurrentWeek,AND($M10&lt;&gt;"",$N10&lt;&gt;"")),1,0)</f>
        <v>0</v>
      </c>
      <c r="AG10" s="2">
        <f>IF($AF10=0,0,IF($G10&gt;=CurrentWeek-RecencyWin,RecencyMult,1))</f>
        <v>0</v>
      </c>
      <c r="AH10" s="2">
        <f>IF(AND($C10&lt;&gt;"",$E10=CurrentSeason,$F10="REG",ISNUMBER($G10),$G10&lt;CurrentWeek-1,AND($M10&lt;&gt;"",$N10&lt;&gt;"")),1,0)</f>
        <v>0</v>
      </c>
      <c r="AI10" s="2">
        <f>IF($AH10=0,0,IF($G10&gt;=CurrentWeek-1-RecencyWin,RecencyMult,1))</f>
        <v>0</v>
      </c>
      <c r="AJ10" s="2">
        <f>IF($AF10=0,0,IF($G10&gt;=CurrentWeek-RecencyWin,TotRecency,1))</f>
        <v>0</v>
      </c>
      <c r="AK10" s="2">
        <f t="shared" si="9"/>
        <v>0</v>
      </c>
      <c r="AL10" s="2">
        <f t="shared" si="10"/>
        <v>0</v>
      </c>
      <c r="AM10" s="2" t="str">
        <f t="array" ref="AM10">IF($K10="",0,IFERROR(INDEX(CALC!$F$2:$F$33,MATCH($K10,CALC!$A$2:$A$33,0)),0))</f>
        <v/>
      </c>
      <c r="AN10" s="2" t="str">
        <f t="array" ref="AN10">IF($K10="",0,IFERROR(INDEX(CALC!$I$2:$I$33,MATCH($K10,CALC!$A$2:$A$33,0)),0))</f>
        <v/>
      </c>
      <c r="AO10" s="2" t="str">
        <f t="array" ref="AO10">IF($K10="",0,IFERROR(INDEX(CALC!$L$2:$L$33,MATCH($K10,CALC!$A$2:$A$33,0)),0))</f>
        <v/>
      </c>
      <c r="AP10" s="2" t="str">
        <f t="array" ref="AP10">IF($K10="",0,IFERROR(INDEX(CALC!$T$2:$T$33,MATCH($K10,CALC!$A$2:$A$33,0)),0))</f>
        <v/>
      </c>
      <c r="AQ10" s="2" t="str">
        <f t="array" ref="AQ10">IF($K10="",0,IFERROR(INDEX(CALC!$W$2:$W$33,MATCH($K10,CALC!$A$2:$A$33,0)),0))</f>
        <v/>
      </c>
      <c r="AR10" s="2" t="str">
        <f t="array" ref="AR10">IF($K10="",0,IFERROR(INDEX(CALC!$Z$2:$Z$33,MATCH($K10,CALC!$A$2:$A$33,0)),0))</f>
        <v/>
      </c>
      <c r="AS10" s="2" t="str">
        <f t="array" ref="AS10">IF($K10="",0,IFERROR(INDEX(CALC!$AJ$2:$AJ$33,MATCH($K10,CALC!$A$2:$A$33,0)),0))</f>
        <v/>
      </c>
      <c r="AT10" s="2" t="str">
        <f t="array" ref="AT10">IF($K10="",0,IFERROR(INDEX(CALC!$AI$2:$AI$33,MATCH($K10,CALC!$A$2:$A$33,0)),0))</f>
        <v/>
      </c>
      <c r="AU10" s="2">
        <f t="shared" si="11"/>
        <v>0</v>
      </c>
      <c r="AV10" s="2">
        <f t="shared" si="12"/>
        <v>0</v>
      </c>
    </row>
    <row r="11" ht="15.0" customHeight="1">
      <c r="A11" s="2">
        <v>5.0</v>
      </c>
      <c r="B11" s="2" t="s">
        <v>2365</v>
      </c>
      <c r="C11" s="2">
        <f>IFERROR(MATCH($A11,SchedSeq,0),"")</f>
        <v>290</v>
      </c>
      <c r="D11" s="2" t="str">
        <f t="array" ref="D11">IF($C11="","",INDEX(SchedZone,$C11,MAP!$B$6))</f>
        <v>2026_01_NO_DET</v>
      </c>
      <c r="E11" s="2">
        <f t="array" ref="E11">IF($C11="","",INDEX(SchedZone,$C11,MAP!$B$3))</f>
        <v>2026</v>
      </c>
      <c r="F11" s="2" t="str">
        <f t="array" ref="F11">IF($C11="","",INDEX(SchedZone,$C11,MAP!$B$5))</f>
        <v>REG</v>
      </c>
      <c r="G11" s="2">
        <f t="array" ref="G11">IF($C11="","",INDEX(SchedZone,$C11,MAP!$B$4))</f>
        <v>1</v>
      </c>
      <c r="H11" s="2" t="str">
        <f t="array" ref="H11">IF($C11="","",INDEX(SchedZone,$C11,MAP!$B$12))</f>
        <v>DET</v>
      </c>
      <c r="I11" s="2" t="str">
        <f t="array" ref="I11">IF($H11="","",IF(COUNTIF(Teams,$H11)&gt;0,$H11,IFERROR(INDEX(LISTS!$D$2:$D$12,MATCH($H11,LISTS!$C$2:$C$12,0)),"⚠ "&amp;$H11)))</f>
        <v>DET</v>
      </c>
      <c r="J11" s="2" t="str">
        <f t="array" ref="J11">IF($C11="","",INDEX(SchedZone,$C11,MAP!$B$10))</f>
        <v>NO</v>
      </c>
      <c r="K11" s="2" t="str">
        <f t="array" ref="K11">IF($J11="","",IF(COUNTIF(Teams,$J11)&gt;0,$J11,IFERROR(INDEX(LISTS!$D$2:$D$12,MATCH($J11,LISTS!$C$2:$C$12,0)),"⚠ "&amp;$J11)))</f>
        <v>NO</v>
      </c>
      <c r="L11" s="2" t="str">
        <f t="array" ref="L11">IF($C11="","",IF(INDEX(SchedZone,$C11,MAP!$B$14)="Neutral","N",IF($B11="HOME","H","A")))</f>
        <v>H</v>
      </c>
      <c r="M11" s="2" t="str">
        <f t="array" ref="M11">IF($C11="","",IF(INDEX(SchedZone,$C11,MAP!$B$13)="","",INDEX(SchedZone,$C11,MAP!$B$13)))</f>
        <v/>
      </c>
      <c r="N11" s="2" t="str">
        <f t="array" ref="N11">IF($C11="","",IF(INDEX(SchedZone,$C11,MAP!$B$11)="","",INDEX(SchedZone,$C11,MAP!$B$11)))</f>
        <v/>
      </c>
      <c r="O11" s="2">
        <f t="array" ref="O11">IF($C11="","",INDEX(SchedZone,$C11,MAP!$B$16))</f>
        <v>7</v>
      </c>
      <c r="P11" s="2" t="str">
        <f>IF($C11="","",IFERROR(MATCH($E11&amp;"|"&amp;$G11&amp;"|"&amp;$I11,StatsKey,0),""))</f>
        <v/>
      </c>
      <c r="Q11" s="2">
        <f t="array" ref="Q11">IF($P11="",0,INDEX(StatsZone,$P11,MAP!$E$9)+INDEX(StatsZone,$P11,MAP!$E$10)+INDEX(StatsZone,$P11,MAP!$E$11))</f>
        <v>0</v>
      </c>
      <c r="R11" s="2">
        <f t="array" ref="R11">IF($P11="",0,INDEX(StatsZone,$P11,MAP!$E$12))</f>
        <v>0</v>
      </c>
      <c r="S11" s="2">
        <f t="array" ref="S11">IF($P11="",0,INDEX(StatsZone,$P11,MAP!$E$13))</f>
        <v>0</v>
      </c>
      <c r="T11" s="2">
        <f t="shared" si="1"/>
        <v>0</v>
      </c>
      <c r="U11" s="2">
        <f t="array" ref="U11">IF($P11="",0,INDEX(StatsZone,$P11,MAP!$E$14)+INDEX(StatsZone,$P11,MAP!$E$15)+INDEX(StatsZone,$P11,MAP!$E$16))</f>
        <v>0</v>
      </c>
      <c r="V11" s="2">
        <f t="shared" si="2"/>
        <v>0</v>
      </c>
      <c r="W11" s="2">
        <f t="shared" si="3"/>
        <v>0</v>
      </c>
      <c r="X11" s="2">
        <f t="shared" si="4"/>
        <v>0</v>
      </c>
      <c r="Y11" s="2">
        <f t="shared" si="5"/>
        <v>0</v>
      </c>
      <c r="Z11" s="2">
        <f t="shared" si="6"/>
        <v>0</v>
      </c>
      <c r="AA11" s="2">
        <f t="shared" si="7"/>
        <v>1</v>
      </c>
      <c r="AB11" s="2">
        <f>IF(OR($M11="",$N11=""),0,MEDIAN(-MarginCap,MarginCap,($M11-$N11)-$AA11*HFA_Base))</f>
        <v>0</v>
      </c>
      <c r="AC11" s="2">
        <f t="array" ref="AC11">IF(OR($P11="",INDEX($P$3:$P$722,(ROW()+IF(MOD(ROW()-3,2)=0,1,-1))-3+1)=""),0,MEDIAN(-MarginCap,MarginCap,($T11-$W11)-$AA11*HFA_Base))</f>
        <v>0</v>
      </c>
      <c r="AD11" s="2">
        <f t="shared" si="8"/>
        <v>0</v>
      </c>
      <c r="AE11" s="2">
        <f>IF(OR($M11="",$N11=""),0,IF(AND(WEpa&gt;0,$AD11=1),(1-WEpa)*$AB11+WEpa*$AC11,$AB11))</f>
        <v>0</v>
      </c>
      <c r="AF11" s="2">
        <f>IF(AND($C11&lt;&gt;"",$E11=CurrentSeason,$F11="REG",ISNUMBER($G11),$G11&lt;CurrentWeek,AND($M11&lt;&gt;"",$N11&lt;&gt;"")),1,0)</f>
        <v>0</v>
      </c>
      <c r="AG11" s="2">
        <f>IF($AF11=0,0,IF($G11&gt;=CurrentWeek-RecencyWin,RecencyMult,1))</f>
        <v>0</v>
      </c>
      <c r="AH11" s="2">
        <f>IF(AND($C11&lt;&gt;"",$E11=CurrentSeason,$F11="REG",ISNUMBER($G11),$G11&lt;CurrentWeek-1,AND($M11&lt;&gt;"",$N11&lt;&gt;"")),1,0)</f>
        <v>0</v>
      </c>
      <c r="AI11" s="2">
        <f>IF($AH11=0,0,IF($G11&gt;=CurrentWeek-1-RecencyWin,RecencyMult,1))</f>
        <v>0</v>
      </c>
      <c r="AJ11" s="2">
        <f>IF($AF11=0,0,IF($G11&gt;=CurrentWeek-RecencyWin,TotRecency,1))</f>
        <v>0</v>
      </c>
      <c r="AK11" s="2">
        <f t="shared" si="9"/>
        <v>0</v>
      </c>
      <c r="AL11" s="2">
        <f t="shared" si="10"/>
        <v>0</v>
      </c>
      <c r="AM11" s="2" t="str">
        <f t="array" ref="AM11">IF($K11="",0,IFERROR(INDEX(CALC!$F$2:$F$33,MATCH($K11,CALC!$A$2:$A$33,0)),0))</f>
        <v/>
      </c>
      <c r="AN11" s="2" t="str">
        <f t="array" ref="AN11">IF($K11="",0,IFERROR(INDEX(CALC!$I$2:$I$33,MATCH($K11,CALC!$A$2:$A$33,0)),0))</f>
        <v/>
      </c>
      <c r="AO11" s="2" t="str">
        <f t="array" ref="AO11">IF($K11="",0,IFERROR(INDEX(CALC!$L$2:$L$33,MATCH($K11,CALC!$A$2:$A$33,0)),0))</f>
        <v/>
      </c>
      <c r="AP11" s="2" t="str">
        <f t="array" ref="AP11">IF($K11="",0,IFERROR(INDEX(CALC!$T$2:$T$33,MATCH($K11,CALC!$A$2:$A$33,0)),0))</f>
        <v/>
      </c>
      <c r="AQ11" s="2" t="str">
        <f t="array" ref="AQ11">IF($K11="",0,IFERROR(INDEX(CALC!$W$2:$W$33,MATCH($K11,CALC!$A$2:$A$33,0)),0))</f>
        <v/>
      </c>
      <c r="AR11" s="2" t="str">
        <f t="array" ref="AR11">IF($K11="",0,IFERROR(INDEX(CALC!$Z$2:$Z$33,MATCH($K11,CALC!$A$2:$A$33,0)),0))</f>
        <v/>
      </c>
      <c r="AS11" s="2" t="str">
        <f t="array" ref="AS11">IF($K11="",0,IFERROR(INDEX(CALC!$AJ$2:$AJ$33,MATCH($K11,CALC!$A$2:$A$33,0)),0))</f>
        <v/>
      </c>
      <c r="AT11" s="2" t="str">
        <f t="array" ref="AT11">IF($K11="",0,IFERROR(INDEX(CALC!$AI$2:$AI$33,MATCH($K11,CALC!$A$2:$A$33,0)),0))</f>
        <v/>
      </c>
      <c r="AU11" s="2">
        <f t="shared" si="11"/>
        <v>0</v>
      </c>
      <c r="AV11" s="2">
        <f t="shared" si="12"/>
        <v>0</v>
      </c>
    </row>
    <row r="12" ht="15.0" customHeight="1">
      <c r="A12" s="2">
        <v>5.0</v>
      </c>
      <c r="B12" s="2" t="s">
        <v>2366</v>
      </c>
      <c r="C12" s="2">
        <f>IFERROR(MATCH($A12,SchedSeq,0),"")</f>
        <v>290</v>
      </c>
      <c r="D12" s="2" t="str">
        <f t="array" ref="D12">IF($C12="","",INDEX(SchedZone,$C12,MAP!$B$6))</f>
        <v>2026_01_NO_DET</v>
      </c>
      <c r="E12" s="2">
        <f t="array" ref="E12">IF($C12="","",INDEX(SchedZone,$C12,MAP!$B$3))</f>
        <v>2026</v>
      </c>
      <c r="F12" s="2" t="str">
        <f t="array" ref="F12">IF($C12="","",INDEX(SchedZone,$C12,MAP!$B$5))</f>
        <v>REG</v>
      </c>
      <c r="G12" s="2">
        <f t="array" ref="G12">IF($C12="","",INDEX(SchedZone,$C12,MAP!$B$4))</f>
        <v>1</v>
      </c>
      <c r="H12" s="2" t="str">
        <f t="array" ref="H12">IF($C12="","",INDEX(SchedZone,$C12,MAP!$B$10))</f>
        <v>NO</v>
      </c>
      <c r="I12" s="2" t="str">
        <f t="array" ref="I12">IF($H12="","",IF(COUNTIF(Teams,$H12)&gt;0,$H12,IFERROR(INDEX(LISTS!$D$2:$D$12,MATCH($H12,LISTS!$C$2:$C$12,0)),"⚠ "&amp;$H12)))</f>
        <v>NO</v>
      </c>
      <c r="J12" s="2" t="str">
        <f t="array" ref="J12">IF($C12="","",INDEX(SchedZone,$C12,MAP!$B$12))</f>
        <v>DET</v>
      </c>
      <c r="K12" s="2" t="str">
        <f t="array" ref="K12">IF($J12="","",IF(COUNTIF(Teams,$J12)&gt;0,$J12,IFERROR(INDEX(LISTS!$D$2:$D$12,MATCH($J12,LISTS!$C$2:$C$12,0)),"⚠ "&amp;$J12)))</f>
        <v>DET</v>
      </c>
      <c r="L12" s="2" t="str">
        <f t="array" ref="L12">IF($C12="","",IF(INDEX(SchedZone,$C12,MAP!$B$14)="Neutral","N",IF($B12="HOME","H","A")))</f>
        <v>A</v>
      </c>
      <c r="M12" s="2" t="str">
        <f t="array" ref="M12">IF($C12="","",IF(INDEX(SchedZone,$C12,MAP!$B$11)="","",INDEX(SchedZone,$C12,MAP!$B$11)))</f>
        <v/>
      </c>
      <c r="N12" s="2" t="str">
        <f t="array" ref="N12">IF($C12="","",IF(INDEX(SchedZone,$C12,MAP!$B$13)="","",INDEX(SchedZone,$C12,MAP!$B$13)))</f>
        <v/>
      </c>
      <c r="O12" s="2">
        <f t="array" ref="O12">IF($C12="","",INDEX(SchedZone,$C12,MAP!$B$15))</f>
        <v>7</v>
      </c>
      <c r="P12" s="2" t="str">
        <f>IF($C12="","",IFERROR(MATCH($E12&amp;"|"&amp;$G12&amp;"|"&amp;$I12,StatsKey,0),""))</f>
        <v/>
      </c>
      <c r="Q12" s="2">
        <f t="array" ref="Q12">IF($P12="",0,INDEX(StatsZone,$P12,MAP!$E$9)+INDEX(StatsZone,$P12,MAP!$E$10)+INDEX(StatsZone,$P12,MAP!$E$11))</f>
        <v>0</v>
      </c>
      <c r="R12" s="2">
        <f t="array" ref="R12">IF($P12="",0,INDEX(StatsZone,$P12,MAP!$E$12))</f>
        <v>0</v>
      </c>
      <c r="S12" s="2">
        <f t="array" ref="S12">IF($P12="",0,INDEX(StatsZone,$P12,MAP!$E$13))</f>
        <v>0</v>
      </c>
      <c r="T12" s="2">
        <f t="shared" si="1"/>
        <v>0</v>
      </c>
      <c r="U12" s="2">
        <f t="array" ref="U12">IF($P12="",0,INDEX(StatsZone,$P12,MAP!$E$14)+INDEX(StatsZone,$P12,MAP!$E$15)+INDEX(StatsZone,$P12,MAP!$E$16))</f>
        <v>0</v>
      </c>
      <c r="V12" s="2">
        <f t="shared" si="2"/>
        <v>0</v>
      </c>
      <c r="W12" s="2">
        <f t="shared" si="3"/>
        <v>0</v>
      </c>
      <c r="X12" s="2">
        <f t="shared" si="4"/>
        <v>0</v>
      </c>
      <c r="Y12" s="2">
        <f t="shared" si="5"/>
        <v>0</v>
      </c>
      <c r="Z12" s="2">
        <f t="shared" si="6"/>
        <v>0</v>
      </c>
      <c r="AA12" s="2">
        <f t="shared" si="7"/>
        <v>-1</v>
      </c>
      <c r="AB12" s="2">
        <f>IF(OR($M12="",$N12=""),0,MEDIAN(-MarginCap,MarginCap,($M12-$N12)-$AA12*HFA_Base))</f>
        <v>0</v>
      </c>
      <c r="AC12" s="2">
        <f t="array" ref="AC12">IF(OR($P12="",INDEX($P$3:$P$722,(ROW()+IF(MOD(ROW()-3,2)=0,1,-1))-3+1)=""),0,MEDIAN(-MarginCap,MarginCap,($T12-$W12)-$AA12*HFA_Base))</f>
        <v>0</v>
      </c>
      <c r="AD12" s="2">
        <f t="shared" si="8"/>
        <v>0</v>
      </c>
      <c r="AE12" s="2">
        <f>IF(OR($M12="",$N12=""),0,IF(AND(WEpa&gt;0,$AD12=1),(1-WEpa)*$AB12+WEpa*$AC12,$AB12))</f>
        <v>0</v>
      </c>
      <c r="AF12" s="2">
        <f>IF(AND($C12&lt;&gt;"",$E12=CurrentSeason,$F12="REG",ISNUMBER($G12),$G12&lt;CurrentWeek,AND($M12&lt;&gt;"",$N12&lt;&gt;"")),1,0)</f>
        <v>0</v>
      </c>
      <c r="AG12" s="2">
        <f>IF($AF12=0,0,IF($G12&gt;=CurrentWeek-RecencyWin,RecencyMult,1))</f>
        <v>0</v>
      </c>
      <c r="AH12" s="2">
        <f>IF(AND($C12&lt;&gt;"",$E12=CurrentSeason,$F12="REG",ISNUMBER($G12),$G12&lt;CurrentWeek-1,AND($M12&lt;&gt;"",$N12&lt;&gt;"")),1,0)</f>
        <v>0</v>
      </c>
      <c r="AI12" s="2">
        <f>IF($AH12=0,0,IF($G12&gt;=CurrentWeek-1-RecencyWin,RecencyMult,1))</f>
        <v>0</v>
      </c>
      <c r="AJ12" s="2">
        <f>IF($AF12=0,0,IF($G12&gt;=CurrentWeek-RecencyWin,TotRecency,1))</f>
        <v>0</v>
      </c>
      <c r="AK12" s="2">
        <f t="shared" si="9"/>
        <v>0</v>
      </c>
      <c r="AL12" s="2">
        <f t="shared" si="10"/>
        <v>0</v>
      </c>
      <c r="AM12" s="2" t="str">
        <f t="array" ref="AM12">IF($K12="",0,IFERROR(INDEX(CALC!$F$2:$F$33,MATCH($K12,CALC!$A$2:$A$33,0)),0))</f>
        <v/>
      </c>
      <c r="AN12" s="2" t="str">
        <f t="array" ref="AN12">IF($K12="",0,IFERROR(INDEX(CALC!$I$2:$I$33,MATCH($K12,CALC!$A$2:$A$33,0)),0))</f>
        <v/>
      </c>
      <c r="AO12" s="2" t="str">
        <f t="array" ref="AO12">IF($K12="",0,IFERROR(INDEX(CALC!$L$2:$L$33,MATCH($K12,CALC!$A$2:$A$33,0)),0))</f>
        <v/>
      </c>
      <c r="AP12" s="2" t="str">
        <f t="array" ref="AP12">IF($K12="",0,IFERROR(INDEX(CALC!$T$2:$T$33,MATCH($K12,CALC!$A$2:$A$33,0)),0))</f>
        <v/>
      </c>
      <c r="AQ12" s="2" t="str">
        <f t="array" ref="AQ12">IF($K12="",0,IFERROR(INDEX(CALC!$W$2:$W$33,MATCH($K12,CALC!$A$2:$A$33,0)),0))</f>
        <v/>
      </c>
      <c r="AR12" s="2" t="str">
        <f t="array" ref="AR12">IF($K12="",0,IFERROR(INDEX(CALC!$Z$2:$Z$33,MATCH($K12,CALC!$A$2:$A$33,0)),0))</f>
        <v/>
      </c>
      <c r="AS12" s="2" t="str">
        <f t="array" ref="AS12">IF($K12="",0,IFERROR(INDEX(CALC!$AJ$2:$AJ$33,MATCH($K12,CALC!$A$2:$A$33,0)),0))</f>
        <v/>
      </c>
      <c r="AT12" s="2" t="str">
        <f t="array" ref="AT12">IF($K12="",0,IFERROR(INDEX(CALC!$AI$2:$AI$33,MATCH($K12,CALC!$A$2:$A$33,0)),0))</f>
        <v/>
      </c>
      <c r="AU12" s="2">
        <f t="shared" si="11"/>
        <v>0</v>
      </c>
      <c r="AV12" s="2">
        <f t="shared" si="12"/>
        <v>0</v>
      </c>
    </row>
    <row r="13" ht="15.0" customHeight="1">
      <c r="A13" s="2">
        <v>6.0</v>
      </c>
      <c r="B13" s="2" t="s">
        <v>2365</v>
      </c>
      <c r="C13" s="2">
        <f>IFERROR(MATCH($A13,SchedSeq,0),"")</f>
        <v>291</v>
      </c>
      <c r="D13" s="2" t="str">
        <f t="array" ref="D13">IF($C13="","",INDEX(SchedZone,$C13,MAP!$B$6))</f>
        <v>2026_01_BUF_HOU</v>
      </c>
      <c r="E13" s="2">
        <f t="array" ref="E13">IF($C13="","",INDEX(SchedZone,$C13,MAP!$B$3))</f>
        <v>2026</v>
      </c>
      <c r="F13" s="2" t="str">
        <f t="array" ref="F13">IF($C13="","",INDEX(SchedZone,$C13,MAP!$B$5))</f>
        <v>REG</v>
      </c>
      <c r="G13" s="2">
        <f t="array" ref="G13">IF($C13="","",INDEX(SchedZone,$C13,MAP!$B$4))</f>
        <v>1</v>
      </c>
      <c r="H13" s="2" t="str">
        <f t="array" ref="H13">IF($C13="","",INDEX(SchedZone,$C13,MAP!$B$12))</f>
        <v>HOU</v>
      </c>
      <c r="I13" s="2" t="str">
        <f t="array" ref="I13">IF($H13="","",IF(COUNTIF(Teams,$H13)&gt;0,$H13,IFERROR(INDEX(LISTS!$D$2:$D$12,MATCH($H13,LISTS!$C$2:$C$12,0)),"⚠ "&amp;$H13)))</f>
        <v>HOU</v>
      </c>
      <c r="J13" s="2" t="str">
        <f t="array" ref="J13">IF($C13="","",INDEX(SchedZone,$C13,MAP!$B$10))</f>
        <v>BUF</v>
      </c>
      <c r="K13" s="2" t="str">
        <f t="array" ref="K13">IF($J13="","",IF(COUNTIF(Teams,$J13)&gt;0,$J13,IFERROR(INDEX(LISTS!$D$2:$D$12,MATCH($J13,LISTS!$C$2:$C$12,0)),"⚠ "&amp;$J13)))</f>
        <v>BUF</v>
      </c>
      <c r="L13" s="2" t="str">
        <f t="array" ref="L13">IF($C13="","",IF(INDEX(SchedZone,$C13,MAP!$B$14)="Neutral","N",IF($B13="HOME","H","A")))</f>
        <v>H</v>
      </c>
      <c r="M13" s="2" t="str">
        <f t="array" ref="M13">IF($C13="","",IF(INDEX(SchedZone,$C13,MAP!$B$13)="","",INDEX(SchedZone,$C13,MAP!$B$13)))</f>
        <v/>
      </c>
      <c r="N13" s="2" t="str">
        <f t="array" ref="N13">IF($C13="","",IF(INDEX(SchedZone,$C13,MAP!$B$11)="","",INDEX(SchedZone,$C13,MAP!$B$11)))</f>
        <v/>
      </c>
      <c r="O13" s="2">
        <f t="array" ref="O13">IF($C13="","",INDEX(SchedZone,$C13,MAP!$B$16))</f>
        <v>7</v>
      </c>
      <c r="P13" s="2" t="str">
        <f>IF($C13="","",IFERROR(MATCH($E13&amp;"|"&amp;$G13&amp;"|"&amp;$I13,StatsKey,0),""))</f>
        <v/>
      </c>
      <c r="Q13" s="2">
        <f t="array" ref="Q13">IF($P13="",0,INDEX(StatsZone,$P13,MAP!$E$9)+INDEX(StatsZone,$P13,MAP!$E$10)+INDEX(StatsZone,$P13,MAP!$E$11))</f>
        <v>0</v>
      </c>
      <c r="R13" s="2">
        <f t="array" ref="R13">IF($P13="",0,INDEX(StatsZone,$P13,MAP!$E$12))</f>
        <v>0</v>
      </c>
      <c r="S13" s="2">
        <f t="array" ref="S13">IF($P13="",0,INDEX(StatsZone,$P13,MAP!$E$13))</f>
        <v>0</v>
      </c>
      <c r="T13" s="2">
        <f t="shared" si="1"/>
        <v>0</v>
      </c>
      <c r="U13" s="2">
        <f t="array" ref="U13">IF($P13="",0,INDEX(StatsZone,$P13,MAP!$E$14)+INDEX(StatsZone,$P13,MAP!$E$15)+INDEX(StatsZone,$P13,MAP!$E$16))</f>
        <v>0</v>
      </c>
      <c r="V13" s="2">
        <f t="shared" si="2"/>
        <v>0</v>
      </c>
      <c r="W13" s="2">
        <f t="shared" si="3"/>
        <v>0</v>
      </c>
      <c r="X13" s="2">
        <f t="shared" si="4"/>
        <v>0</v>
      </c>
      <c r="Y13" s="2">
        <f t="shared" si="5"/>
        <v>0</v>
      </c>
      <c r="Z13" s="2">
        <f t="shared" si="6"/>
        <v>0</v>
      </c>
      <c r="AA13" s="2">
        <f t="shared" si="7"/>
        <v>1</v>
      </c>
      <c r="AB13" s="2">
        <f>IF(OR($M13="",$N13=""),0,MEDIAN(-MarginCap,MarginCap,($M13-$N13)-$AA13*HFA_Base))</f>
        <v>0</v>
      </c>
      <c r="AC13" s="2">
        <f t="array" ref="AC13">IF(OR($P13="",INDEX($P$3:$P$722,(ROW()+IF(MOD(ROW()-3,2)=0,1,-1))-3+1)=""),0,MEDIAN(-MarginCap,MarginCap,($T13-$W13)-$AA13*HFA_Base))</f>
        <v>0</v>
      </c>
      <c r="AD13" s="2">
        <f t="shared" si="8"/>
        <v>0</v>
      </c>
      <c r="AE13" s="2">
        <f>IF(OR($M13="",$N13=""),0,IF(AND(WEpa&gt;0,$AD13=1),(1-WEpa)*$AB13+WEpa*$AC13,$AB13))</f>
        <v>0</v>
      </c>
      <c r="AF13" s="2">
        <f>IF(AND($C13&lt;&gt;"",$E13=CurrentSeason,$F13="REG",ISNUMBER($G13),$G13&lt;CurrentWeek,AND($M13&lt;&gt;"",$N13&lt;&gt;"")),1,0)</f>
        <v>0</v>
      </c>
      <c r="AG13" s="2">
        <f>IF($AF13=0,0,IF($G13&gt;=CurrentWeek-RecencyWin,RecencyMult,1))</f>
        <v>0</v>
      </c>
      <c r="AH13" s="2">
        <f>IF(AND($C13&lt;&gt;"",$E13=CurrentSeason,$F13="REG",ISNUMBER($G13),$G13&lt;CurrentWeek-1,AND($M13&lt;&gt;"",$N13&lt;&gt;"")),1,0)</f>
        <v>0</v>
      </c>
      <c r="AI13" s="2">
        <f>IF($AH13=0,0,IF($G13&gt;=CurrentWeek-1-RecencyWin,RecencyMult,1))</f>
        <v>0</v>
      </c>
      <c r="AJ13" s="2">
        <f>IF($AF13=0,0,IF($G13&gt;=CurrentWeek-RecencyWin,TotRecency,1))</f>
        <v>0</v>
      </c>
      <c r="AK13" s="2">
        <f t="shared" si="9"/>
        <v>0</v>
      </c>
      <c r="AL13" s="2">
        <f t="shared" si="10"/>
        <v>0</v>
      </c>
      <c r="AM13" s="2" t="str">
        <f t="array" ref="AM13">IF($K13="",0,IFERROR(INDEX(CALC!$F$2:$F$33,MATCH($K13,CALC!$A$2:$A$33,0)),0))</f>
        <v/>
      </c>
      <c r="AN13" s="2" t="str">
        <f t="array" ref="AN13">IF($K13="",0,IFERROR(INDEX(CALC!$I$2:$I$33,MATCH($K13,CALC!$A$2:$A$33,0)),0))</f>
        <v/>
      </c>
      <c r="AO13" s="2" t="str">
        <f t="array" ref="AO13">IF($K13="",0,IFERROR(INDEX(CALC!$L$2:$L$33,MATCH($K13,CALC!$A$2:$A$33,0)),0))</f>
        <v/>
      </c>
      <c r="AP13" s="2" t="str">
        <f t="array" ref="AP13">IF($K13="",0,IFERROR(INDEX(CALC!$T$2:$T$33,MATCH($K13,CALC!$A$2:$A$33,0)),0))</f>
        <v/>
      </c>
      <c r="AQ13" s="2" t="str">
        <f t="array" ref="AQ13">IF($K13="",0,IFERROR(INDEX(CALC!$W$2:$W$33,MATCH($K13,CALC!$A$2:$A$33,0)),0))</f>
        <v/>
      </c>
      <c r="AR13" s="2" t="str">
        <f t="array" ref="AR13">IF($K13="",0,IFERROR(INDEX(CALC!$Z$2:$Z$33,MATCH($K13,CALC!$A$2:$A$33,0)),0))</f>
        <v/>
      </c>
      <c r="AS13" s="2" t="str">
        <f t="array" ref="AS13">IF($K13="",0,IFERROR(INDEX(CALC!$AJ$2:$AJ$33,MATCH($K13,CALC!$A$2:$A$33,0)),0))</f>
        <v/>
      </c>
      <c r="AT13" s="2" t="str">
        <f t="array" ref="AT13">IF($K13="",0,IFERROR(INDEX(CALC!$AI$2:$AI$33,MATCH($K13,CALC!$A$2:$A$33,0)),0))</f>
        <v/>
      </c>
      <c r="AU13" s="2">
        <f t="shared" si="11"/>
        <v>0</v>
      </c>
      <c r="AV13" s="2">
        <f t="shared" si="12"/>
        <v>0</v>
      </c>
    </row>
    <row r="14" ht="15.0" customHeight="1">
      <c r="A14" s="2">
        <v>6.0</v>
      </c>
      <c r="B14" s="2" t="s">
        <v>2366</v>
      </c>
      <c r="C14" s="2">
        <f>IFERROR(MATCH($A14,SchedSeq,0),"")</f>
        <v>291</v>
      </c>
      <c r="D14" s="2" t="str">
        <f t="array" ref="D14">IF($C14="","",INDEX(SchedZone,$C14,MAP!$B$6))</f>
        <v>2026_01_BUF_HOU</v>
      </c>
      <c r="E14" s="2">
        <f t="array" ref="E14">IF($C14="","",INDEX(SchedZone,$C14,MAP!$B$3))</f>
        <v>2026</v>
      </c>
      <c r="F14" s="2" t="str">
        <f t="array" ref="F14">IF($C14="","",INDEX(SchedZone,$C14,MAP!$B$5))</f>
        <v>REG</v>
      </c>
      <c r="G14" s="2">
        <f t="array" ref="G14">IF($C14="","",INDEX(SchedZone,$C14,MAP!$B$4))</f>
        <v>1</v>
      </c>
      <c r="H14" s="2" t="str">
        <f t="array" ref="H14">IF($C14="","",INDEX(SchedZone,$C14,MAP!$B$10))</f>
        <v>BUF</v>
      </c>
      <c r="I14" s="2" t="str">
        <f t="array" ref="I14">IF($H14="","",IF(COUNTIF(Teams,$H14)&gt;0,$H14,IFERROR(INDEX(LISTS!$D$2:$D$12,MATCH($H14,LISTS!$C$2:$C$12,0)),"⚠ "&amp;$H14)))</f>
        <v>BUF</v>
      </c>
      <c r="J14" s="2" t="str">
        <f t="array" ref="J14">IF($C14="","",INDEX(SchedZone,$C14,MAP!$B$12))</f>
        <v>HOU</v>
      </c>
      <c r="K14" s="2" t="str">
        <f t="array" ref="K14">IF($J14="","",IF(COUNTIF(Teams,$J14)&gt;0,$J14,IFERROR(INDEX(LISTS!$D$2:$D$12,MATCH($J14,LISTS!$C$2:$C$12,0)),"⚠ "&amp;$J14)))</f>
        <v>HOU</v>
      </c>
      <c r="L14" s="2" t="str">
        <f t="array" ref="L14">IF($C14="","",IF(INDEX(SchedZone,$C14,MAP!$B$14)="Neutral","N",IF($B14="HOME","H","A")))</f>
        <v>A</v>
      </c>
      <c r="M14" s="2" t="str">
        <f t="array" ref="M14">IF($C14="","",IF(INDEX(SchedZone,$C14,MAP!$B$11)="","",INDEX(SchedZone,$C14,MAP!$B$11)))</f>
        <v/>
      </c>
      <c r="N14" s="2" t="str">
        <f t="array" ref="N14">IF($C14="","",IF(INDEX(SchedZone,$C14,MAP!$B$13)="","",INDEX(SchedZone,$C14,MAP!$B$13)))</f>
        <v/>
      </c>
      <c r="O14" s="2">
        <f t="array" ref="O14">IF($C14="","",INDEX(SchedZone,$C14,MAP!$B$15))</f>
        <v>7</v>
      </c>
      <c r="P14" s="2" t="str">
        <f>IF($C14="","",IFERROR(MATCH($E14&amp;"|"&amp;$G14&amp;"|"&amp;$I14,StatsKey,0),""))</f>
        <v/>
      </c>
      <c r="Q14" s="2">
        <f t="array" ref="Q14">IF($P14="",0,INDEX(StatsZone,$P14,MAP!$E$9)+INDEX(StatsZone,$P14,MAP!$E$10)+INDEX(StatsZone,$P14,MAP!$E$11))</f>
        <v>0</v>
      </c>
      <c r="R14" s="2">
        <f t="array" ref="R14">IF($P14="",0,INDEX(StatsZone,$P14,MAP!$E$12))</f>
        <v>0</v>
      </c>
      <c r="S14" s="2">
        <f t="array" ref="S14">IF($P14="",0,INDEX(StatsZone,$P14,MAP!$E$13))</f>
        <v>0</v>
      </c>
      <c r="T14" s="2">
        <f t="shared" si="1"/>
        <v>0</v>
      </c>
      <c r="U14" s="2">
        <f t="array" ref="U14">IF($P14="",0,INDEX(StatsZone,$P14,MAP!$E$14)+INDEX(StatsZone,$P14,MAP!$E$15)+INDEX(StatsZone,$P14,MAP!$E$16))</f>
        <v>0</v>
      </c>
      <c r="V14" s="2">
        <f t="shared" si="2"/>
        <v>0</v>
      </c>
      <c r="W14" s="2">
        <f t="shared" si="3"/>
        <v>0</v>
      </c>
      <c r="X14" s="2">
        <f t="shared" si="4"/>
        <v>0</v>
      </c>
      <c r="Y14" s="2">
        <f t="shared" si="5"/>
        <v>0</v>
      </c>
      <c r="Z14" s="2">
        <f t="shared" si="6"/>
        <v>0</v>
      </c>
      <c r="AA14" s="2">
        <f t="shared" si="7"/>
        <v>-1</v>
      </c>
      <c r="AB14" s="2">
        <f>IF(OR($M14="",$N14=""),0,MEDIAN(-MarginCap,MarginCap,($M14-$N14)-$AA14*HFA_Base))</f>
        <v>0</v>
      </c>
      <c r="AC14" s="2">
        <f t="array" ref="AC14">IF(OR($P14="",INDEX($P$3:$P$722,(ROW()+IF(MOD(ROW()-3,2)=0,1,-1))-3+1)=""),0,MEDIAN(-MarginCap,MarginCap,($T14-$W14)-$AA14*HFA_Base))</f>
        <v>0</v>
      </c>
      <c r="AD14" s="2">
        <f t="shared" si="8"/>
        <v>0</v>
      </c>
      <c r="AE14" s="2">
        <f>IF(OR($M14="",$N14=""),0,IF(AND(WEpa&gt;0,$AD14=1),(1-WEpa)*$AB14+WEpa*$AC14,$AB14))</f>
        <v>0</v>
      </c>
      <c r="AF14" s="2">
        <f>IF(AND($C14&lt;&gt;"",$E14=CurrentSeason,$F14="REG",ISNUMBER($G14),$G14&lt;CurrentWeek,AND($M14&lt;&gt;"",$N14&lt;&gt;"")),1,0)</f>
        <v>0</v>
      </c>
      <c r="AG14" s="2">
        <f>IF($AF14=0,0,IF($G14&gt;=CurrentWeek-RecencyWin,RecencyMult,1))</f>
        <v>0</v>
      </c>
      <c r="AH14" s="2">
        <f>IF(AND($C14&lt;&gt;"",$E14=CurrentSeason,$F14="REG",ISNUMBER($G14),$G14&lt;CurrentWeek-1,AND($M14&lt;&gt;"",$N14&lt;&gt;"")),1,0)</f>
        <v>0</v>
      </c>
      <c r="AI14" s="2">
        <f>IF($AH14=0,0,IF($G14&gt;=CurrentWeek-1-RecencyWin,RecencyMult,1))</f>
        <v>0</v>
      </c>
      <c r="AJ14" s="2">
        <f>IF($AF14=0,0,IF($G14&gt;=CurrentWeek-RecencyWin,TotRecency,1))</f>
        <v>0</v>
      </c>
      <c r="AK14" s="2">
        <f t="shared" si="9"/>
        <v>0</v>
      </c>
      <c r="AL14" s="2">
        <f t="shared" si="10"/>
        <v>0</v>
      </c>
      <c r="AM14" s="2" t="str">
        <f t="array" ref="AM14">IF($K14="",0,IFERROR(INDEX(CALC!$F$2:$F$33,MATCH($K14,CALC!$A$2:$A$33,0)),0))</f>
        <v/>
      </c>
      <c r="AN14" s="2" t="str">
        <f t="array" ref="AN14">IF($K14="",0,IFERROR(INDEX(CALC!$I$2:$I$33,MATCH($K14,CALC!$A$2:$A$33,0)),0))</f>
        <v/>
      </c>
      <c r="AO14" s="2" t="str">
        <f t="array" ref="AO14">IF($K14="",0,IFERROR(INDEX(CALC!$L$2:$L$33,MATCH($K14,CALC!$A$2:$A$33,0)),0))</f>
        <v/>
      </c>
      <c r="AP14" s="2" t="str">
        <f t="array" ref="AP14">IF($K14="",0,IFERROR(INDEX(CALC!$T$2:$T$33,MATCH($K14,CALC!$A$2:$A$33,0)),0))</f>
        <v/>
      </c>
      <c r="AQ14" s="2" t="str">
        <f t="array" ref="AQ14">IF($K14="",0,IFERROR(INDEX(CALC!$W$2:$W$33,MATCH($K14,CALC!$A$2:$A$33,0)),0))</f>
        <v/>
      </c>
      <c r="AR14" s="2" t="str">
        <f t="array" ref="AR14">IF($K14="",0,IFERROR(INDEX(CALC!$Z$2:$Z$33,MATCH($K14,CALC!$A$2:$A$33,0)),0))</f>
        <v/>
      </c>
      <c r="AS14" s="2" t="str">
        <f t="array" ref="AS14">IF($K14="",0,IFERROR(INDEX(CALC!$AJ$2:$AJ$33,MATCH($K14,CALC!$A$2:$A$33,0)),0))</f>
        <v/>
      </c>
      <c r="AT14" s="2" t="str">
        <f t="array" ref="AT14">IF($K14="",0,IFERROR(INDEX(CALC!$AI$2:$AI$33,MATCH($K14,CALC!$A$2:$A$33,0)),0))</f>
        <v/>
      </c>
      <c r="AU14" s="2">
        <f t="shared" si="11"/>
        <v>0</v>
      </c>
      <c r="AV14" s="2">
        <f t="shared" si="12"/>
        <v>0</v>
      </c>
    </row>
    <row r="15" ht="15.0" customHeight="1">
      <c r="A15" s="2">
        <v>7.0</v>
      </c>
      <c r="B15" s="2" t="s">
        <v>2365</v>
      </c>
      <c r="C15" s="2">
        <f>IFERROR(MATCH($A15,SchedSeq,0),"")</f>
        <v>292</v>
      </c>
      <c r="D15" s="2" t="str">
        <f t="array" ref="D15">IF($C15="","",INDEX(SchedZone,$C15,MAP!$B$6))</f>
        <v>2026_01_BAL_IND</v>
      </c>
      <c r="E15" s="2">
        <f t="array" ref="E15">IF($C15="","",INDEX(SchedZone,$C15,MAP!$B$3))</f>
        <v>2026</v>
      </c>
      <c r="F15" s="2" t="str">
        <f t="array" ref="F15">IF($C15="","",INDEX(SchedZone,$C15,MAP!$B$5))</f>
        <v>REG</v>
      </c>
      <c r="G15" s="2">
        <f t="array" ref="G15">IF($C15="","",INDEX(SchedZone,$C15,MAP!$B$4))</f>
        <v>1</v>
      </c>
      <c r="H15" s="2" t="str">
        <f t="array" ref="H15">IF($C15="","",INDEX(SchedZone,$C15,MAP!$B$12))</f>
        <v>IND</v>
      </c>
      <c r="I15" s="2" t="str">
        <f t="array" ref="I15">IF($H15="","",IF(COUNTIF(Teams,$H15)&gt;0,$H15,IFERROR(INDEX(LISTS!$D$2:$D$12,MATCH($H15,LISTS!$C$2:$C$12,0)),"⚠ "&amp;$H15)))</f>
        <v>IND</v>
      </c>
      <c r="J15" s="2" t="str">
        <f t="array" ref="J15">IF($C15="","",INDEX(SchedZone,$C15,MAP!$B$10))</f>
        <v>BAL</v>
      </c>
      <c r="K15" s="2" t="str">
        <f t="array" ref="K15">IF($J15="","",IF(COUNTIF(Teams,$J15)&gt;0,$J15,IFERROR(INDEX(LISTS!$D$2:$D$12,MATCH($J15,LISTS!$C$2:$C$12,0)),"⚠ "&amp;$J15)))</f>
        <v>BAL</v>
      </c>
      <c r="L15" s="2" t="str">
        <f t="array" ref="L15">IF($C15="","",IF(INDEX(SchedZone,$C15,MAP!$B$14)="Neutral","N",IF($B15="HOME","H","A")))</f>
        <v>H</v>
      </c>
      <c r="M15" s="2" t="str">
        <f t="array" ref="M15">IF($C15="","",IF(INDEX(SchedZone,$C15,MAP!$B$13)="","",INDEX(SchedZone,$C15,MAP!$B$13)))</f>
        <v/>
      </c>
      <c r="N15" s="2" t="str">
        <f t="array" ref="N15">IF($C15="","",IF(INDEX(SchedZone,$C15,MAP!$B$11)="","",INDEX(SchedZone,$C15,MAP!$B$11)))</f>
        <v/>
      </c>
      <c r="O15" s="2">
        <f t="array" ref="O15">IF($C15="","",INDEX(SchedZone,$C15,MAP!$B$16))</f>
        <v>7</v>
      </c>
      <c r="P15" s="2" t="str">
        <f>IF($C15="","",IFERROR(MATCH($E15&amp;"|"&amp;$G15&amp;"|"&amp;$I15,StatsKey,0),""))</f>
        <v/>
      </c>
      <c r="Q15" s="2">
        <f t="array" ref="Q15">IF($P15="",0,INDEX(StatsZone,$P15,MAP!$E$9)+INDEX(StatsZone,$P15,MAP!$E$10)+INDEX(StatsZone,$P15,MAP!$E$11))</f>
        <v>0</v>
      </c>
      <c r="R15" s="2">
        <f t="array" ref="R15">IF($P15="",0,INDEX(StatsZone,$P15,MAP!$E$12))</f>
        <v>0</v>
      </c>
      <c r="S15" s="2">
        <f t="array" ref="S15">IF($P15="",0,INDEX(StatsZone,$P15,MAP!$E$13))</f>
        <v>0</v>
      </c>
      <c r="T15" s="2">
        <f t="shared" si="1"/>
        <v>0</v>
      </c>
      <c r="U15" s="2">
        <f t="array" ref="U15">IF($P15="",0,INDEX(StatsZone,$P15,MAP!$E$14)+INDEX(StatsZone,$P15,MAP!$E$15)+INDEX(StatsZone,$P15,MAP!$E$16))</f>
        <v>0</v>
      </c>
      <c r="V15" s="2">
        <f t="shared" si="2"/>
        <v>0</v>
      </c>
      <c r="W15" s="2">
        <f t="shared" si="3"/>
        <v>0</v>
      </c>
      <c r="X15" s="2">
        <f t="shared" si="4"/>
        <v>0</v>
      </c>
      <c r="Y15" s="2">
        <f t="shared" si="5"/>
        <v>0</v>
      </c>
      <c r="Z15" s="2">
        <f t="shared" si="6"/>
        <v>0</v>
      </c>
      <c r="AA15" s="2">
        <f t="shared" si="7"/>
        <v>1</v>
      </c>
      <c r="AB15" s="2">
        <f>IF(OR($M15="",$N15=""),0,MEDIAN(-MarginCap,MarginCap,($M15-$N15)-$AA15*HFA_Base))</f>
        <v>0</v>
      </c>
      <c r="AC15" s="2">
        <f t="array" ref="AC15">IF(OR($P15="",INDEX($P$3:$P$722,(ROW()+IF(MOD(ROW()-3,2)=0,1,-1))-3+1)=""),0,MEDIAN(-MarginCap,MarginCap,($T15-$W15)-$AA15*HFA_Base))</f>
        <v>0</v>
      </c>
      <c r="AD15" s="2">
        <f t="shared" si="8"/>
        <v>0</v>
      </c>
      <c r="AE15" s="2">
        <f>IF(OR($M15="",$N15=""),0,IF(AND(WEpa&gt;0,$AD15=1),(1-WEpa)*$AB15+WEpa*$AC15,$AB15))</f>
        <v>0</v>
      </c>
      <c r="AF15" s="2">
        <f>IF(AND($C15&lt;&gt;"",$E15=CurrentSeason,$F15="REG",ISNUMBER($G15),$G15&lt;CurrentWeek,AND($M15&lt;&gt;"",$N15&lt;&gt;"")),1,0)</f>
        <v>0</v>
      </c>
      <c r="AG15" s="2">
        <f>IF($AF15=0,0,IF($G15&gt;=CurrentWeek-RecencyWin,RecencyMult,1))</f>
        <v>0</v>
      </c>
      <c r="AH15" s="2">
        <f>IF(AND($C15&lt;&gt;"",$E15=CurrentSeason,$F15="REG",ISNUMBER($G15),$G15&lt;CurrentWeek-1,AND($M15&lt;&gt;"",$N15&lt;&gt;"")),1,0)</f>
        <v>0</v>
      </c>
      <c r="AI15" s="2">
        <f>IF($AH15=0,0,IF($G15&gt;=CurrentWeek-1-RecencyWin,RecencyMult,1))</f>
        <v>0</v>
      </c>
      <c r="AJ15" s="2">
        <f>IF($AF15=0,0,IF($G15&gt;=CurrentWeek-RecencyWin,TotRecency,1))</f>
        <v>0</v>
      </c>
      <c r="AK15" s="2">
        <f t="shared" si="9"/>
        <v>0</v>
      </c>
      <c r="AL15" s="2">
        <f t="shared" si="10"/>
        <v>0</v>
      </c>
      <c r="AM15" s="2" t="str">
        <f t="array" ref="AM15">IF($K15="",0,IFERROR(INDEX(CALC!$F$2:$F$33,MATCH($K15,CALC!$A$2:$A$33,0)),0))</f>
        <v/>
      </c>
      <c r="AN15" s="2" t="str">
        <f t="array" ref="AN15">IF($K15="",0,IFERROR(INDEX(CALC!$I$2:$I$33,MATCH($K15,CALC!$A$2:$A$33,0)),0))</f>
        <v/>
      </c>
      <c r="AO15" s="2" t="str">
        <f t="array" ref="AO15">IF($K15="",0,IFERROR(INDEX(CALC!$L$2:$L$33,MATCH($K15,CALC!$A$2:$A$33,0)),0))</f>
        <v/>
      </c>
      <c r="AP15" s="2" t="str">
        <f t="array" ref="AP15">IF($K15="",0,IFERROR(INDEX(CALC!$T$2:$T$33,MATCH($K15,CALC!$A$2:$A$33,0)),0))</f>
        <v/>
      </c>
      <c r="AQ15" s="2" t="str">
        <f t="array" ref="AQ15">IF($K15="",0,IFERROR(INDEX(CALC!$W$2:$W$33,MATCH($K15,CALC!$A$2:$A$33,0)),0))</f>
        <v/>
      </c>
      <c r="AR15" s="2" t="str">
        <f t="array" ref="AR15">IF($K15="",0,IFERROR(INDEX(CALC!$Z$2:$Z$33,MATCH($K15,CALC!$A$2:$A$33,0)),0))</f>
        <v/>
      </c>
      <c r="AS15" s="2" t="str">
        <f t="array" ref="AS15">IF($K15="",0,IFERROR(INDEX(CALC!$AJ$2:$AJ$33,MATCH($K15,CALC!$A$2:$A$33,0)),0))</f>
        <v/>
      </c>
      <c r="AT15" s="2" t="str">
        <f t="array" ref="AT15">IF($K15="",0,IFERROR(INDEX(CALC!$AI$2:$AI$33,MATCH($K15,CALC!$A$2:$A$33,0)),0))</f>
        <v/>
      </c>
      <c r="AU15" s="2">
        <f t="shared" si="11"/>
        <v>0</v>
      </c>
      <c r="AV15" s="2">
        <f t="shared" si="12"/>
        <v>0</v>
      </c>
    </row>
    <row r="16" ht="15.0" customHeight="1">
      <c r="A16" s="2">
        <v>7.0</v>
      </c>
      <c r="B16" s="2" t="s">
        <v>2366</v>
      </c>
      <c r="C16" s="2">
        <f>IFERROR(MATCH($A16,SchedSeq,0),"")</f>
        <v>292</v>
      </c>
      <c r="D16" s="2" t="str">
        <f t="array" ref="D16">IF($C16="","",INDEX(SchedZone,$C16,MAP!$B$6))</f>
        <v>2026_01_BAL_IND</v>
      </c>
      <c r="E16" s="2">
        <f t="array" ref="E16">IF($C16="","",INDEX(SchedZone,$C16,MAP!$B$3))</f>
        <v>2026</v>
      </c>
      <c r="F16" s="2" t="str">
        <f t="array" ref="F16">IF($C16="","",INDEX(SchedZone,$C16,MAP!$B$5))</f>
        <v>REG</v>
      </c>
      <c r="G16" s="2">
        <f t="array" ref="G16">IF($C16="","",INDEX(SchedZone,$C16,MAP!$B$4))</f>
        <v>1</v>
      </c>
      <c r="H16" s="2" t="str">
        <f t="array" ref="H16">IF($C16="","",INDEX(SchedZone,$C16,MAP!$B$10))</f>
        <v>BAL</v>
      </c>
      <c r="I16" s="2" t="str">
        <f t="array" ref="I16">IF($H16="","",IF(COUNTIF(Teams,$H16)&gt;0,$H16,IFERROR(INDEX(LISTS!$D$2:$D$12,MATCH($H16,LISTS!$C$2:$C$12,0)),"⚠ "&amp;$H16)))</f>
        <v>BAL</v>
      </c>
      <c r="J16" s="2" t="str">
        <f t="array" ref="J16">IF($C16="","",INDEX(SchedZone,$C16,MAP!$B$12))</f>
        <v>IND</v>
      </c>
      <c r="K16" s="2" t="str">
        <f t="array" ref="K16">IF($J16="","",IF(COUNTIF(Teams,$J16)&gt;0,$J16,IFERROR(INDEX(LISTS!$D$2:$D$12,MATCH($J16,LISTS!$C$2:$C$12,0)),"⚠ "&amp;$J16)))</f>
        <v>IND</v>
      </c>
      <c r="L16" s="2" t="str">
        <f t="array" ref="L16">IF($C16="","",IF(INDEX(SchedZone,$C16,MAP!$B$14)="Neutral","N",IF($B16="HOME","H","A")))</f>
        <v>A</v>
      </c>
      <c r="M16" s="2" t="str">
        <f t="array" ref="M16">IF($C16="","",IF(INDEX(SchedZone,$C16,MAP!$B$11)="","",INDEX(SchedZone,$C16,MAP!$B$11)))</f>
        <v/>
      </c>
      <c r="N16" s="2" t="str">
        <f t="array" ref="N16">IF($C16="","",IF(INDEX(SchedZone,$C16,MAP!$B$13)="","",INDEX(SchedZone,$C16,MAP!$B$13)))</f>
        <v/>
      </c>
      <c r="O16" s="2">
        <f t="array" ref="O16">IF($C16="","",INDEX(SchedZone,$C16,MAP!$B$15))</f>
        <v>7</v>
      </c>
      <c r="P16" s="2" t="str">
        <f>IF($C16="","",IFERROR(MATCH($E16&amp;"|"&amp;$G16&amp;"|"&amp;$I16,StatsKey,0),""))</f>
        <v/>
      </c>
      <c r="Q16" s="2">
        <f t="array" ref="Q16">IF($P16="",0,INDEX(StatsZone,$P16,MAP!$E$9)+INDEX(StatsZone,$P16,MAP!$E$10)+INDEX(StatsZone,$P16,MAP!$E$11))</f>
        <v>0</v>
      </c>
      <c r="R16" s="2">
        <f t="array" ref="R16">IF($P16="",0,INDEX(StatsZone,$P16,MAP!$E$12))</f>
        <v>0</v>
      </c>
      <c r="S16" s="2">
        <f t="array" ref="S16">IF($P16="",0,INDEX(StatsZone,$P16,MAP!$E$13))</f>
        <v>0</v>
      </c>
      <c r="T16" s="2">
        <f t="shared" si="1"/>
        <v>0</v>
      </c>
      <c r="U16" s="2">
        <f t="array" ref="U16">IF($P16="",0,INDEX(StatsZone,$P16,MAP!$E$14)+INDEX(StatsZone,$P16,MAP!$E$15)+INDEX(StatsZone,$P16,MAP!$E$16))</f>
        <v>0</v>
      </c>
      <c r="V16" s="2">
        <f t="shared" si="2"/>
        <v>0</v>
      </c>
      <c r="W16" s="2">
        <f t="shared" si="3"/>
        <v>0</v>
      </c>
      <c r="X16" s="2">
        <f t="shared" si="4"/>
        <v>0</v>
      </c>
      <c r="Y16" s="2">
        <f t="shared" si="5"/>
        <v>0</v>
      </c>
      <c r="Z16" s="2">
        <f t="shared" si="6"/>
        <v>0</v>
      </c>
      <c r="AA16" s="2">
        <f t="shared" si="7"/>
        <v>-1</v>
      </c>
      <c r="AB16" s="2">
        <f>IF(OR($M16="",$N16=""),0,MEDIAN(-MarginCap,MarginCap,($M16-$N16)-$AA16*HFA_Base))</f>
        <v>0</v>
      </c>
      <c r="AC16" s="2">
        <f t="array" ref="AC16">IF(OR($P16="",INDEX($P$3:$P$722,(ROW()+IF(MOD(ROW()-3,2)=0,1,-1))-3+1)=""),0,MEDIAN(-MarginCap,MarginCap,($T16-$W16)-$AA16*HFA_Base))</f>
        <v>0</v>
      </c>
      <c r="AD16" s="2">
        <f t="shared" si="8"/>
        <v>0</v>
      </c>
      <c r="AE16" s="2">
        <f>IF(OR($M16="",$N16=""),0,IF(AND(WEpa&gt;0,$AD16=1),(1-WEpa)*$AB16+WEpa*$AC16,$AB16))</f>
        <v>0</v>
      </c>
      <c r="AF16" s="2">
        <f>IF(AND($C16&lt;&gt;"",$E16=CurrentSeason,$F16="REG",ISNUMBER($G16),$G16&lt;CurrentWeek,AND($M16&lt;&gt;"",$N16&lt;&gt;"")),1,0)</f>
        <v>0</v>
      </c>
      <c r="AG16" s="2">
        <f>IF($AF16=0,0,IF($G16&gt;=CurrentWeek-RecencyWin,RecencyMult,1))</f>
        <v>0</v>
      </c>
      <c r="AH16" s="2">
        <f>IF(AND($C16&lt;&gt;"",$E16=CurrentSeason,$F16="REG",ISNUMBER($G16),$G16&lt;CurrentWeek-1,AND($M16&lt;&gt;"",$N16&lt;&gt;"")),1,0)</f>
        <v>0</v>
      </c>
      <c r="AI16" s="2">
        <f>IF($AH16=0,0,IF($G16&gt;=CurrentWeek-1-RecencyWin,RecencyMult,1))</f>
        <v>0</v>
      </c>
      <c r="AJ16" s="2">
        <f>IF($AF16=0,0,IF($G16&gt;=CurrentWeek-RecencyWin,TotRecency,1))</f>
        <v>0</v>
      </c>
      <c r="AK16" s="2">
        <f t="shared" si="9"/>
        <v>0</v>
      </c>
      <c r="AL16" s="2">
        <f t="shared" si="10"/>
        <v>0</v>
      </c>
      <c r="AM16" s="2" t="str">
        <f t="array" ref="AM16">IF($K16="",0,IFERROR(INDEX(CALC!$F$2:$F$33,MATCH($K16,CALC!$A$2:$A$33,0)),0))</f>
        <v/>
      </c>
      <c r="AN16" s="2" t="str">
        <f t="array" ref="AN16">IF($K16="",0,IFERROR(INDEX(CALC!$I$2:$I$33,MATCH($K16,CALC!$A$2:$A$33,0)),0))</f>
        <v/>
      </c>
      <c r="AO16" s="2" t="str">
        <f t="array" ref="AO16">IF($K16="",0,IFERROR(INDEX(CALC!$L$2:$L$33,MATCH($K16,CALC!$A$2:$A$33,0)),0))</f>
        <v/>
      </c>
      <c r="AP16" s="2" t="str">
        <f t="array" ref="AP16">IF($K16="",0,IFERROR(INDEX(CALC!$T$2:$T$33,MATCH($K16,CALC!$A$2:$A$33,0)),0))</f>
        <v/>
      </c>
      <c r="AQ16" s="2" t="str">
        <f t="array" ref="AQ16">IF($K16="",0,IFERROR(INDEX(CALC!$W$2:$W$33,MATCH($K16,CALC!$A$2:$A$33,0)),0))</f>
        <v/>
      </c>
      <c r="AR16" s="2" t="str">
        <f t="array" ref="AR16">IF($K16="",0,IFERROR(INDEX(CALC!$Z$2:$Z$33,MATCH($K16,CALC!$A$2:$A$33,0)),0))</f>
        <v/>
      </c>
      <c r="AS16" s="2" t="str">
        <f t="array" ref="AS16">IF($K16="",0,IFERROR(INDEX(CALC!$AJ$2:$AJ$33,MATCH($K16,CALC!$A$2:$A$33,0)),0))</f>
        <v/>
      </c>
      <c r="AT16" s="2" t="str">
        <f t="array" ref="AT16">IF($K16="",0,IFERROR(INDEX(CALC!$AI$2:$AI$33,MATCH($K16,CALC!$A$2:$A$33,0)),0))</f>
        <v/>
      </c>
      <c r="AU16" s="2">
        <f t="shared" si="11"/>
        <v>0</v>
      </c>
      <c r="AV16" s="2">
        <f t="shared" si="12"/>
        <v>0</v>
      </c>
    </row>
    <row r="17" ht="15.0" customHeight="1">
      <c r="A17" s="2">
        <v>8.0</v>
      </c>
      <c r="B17" s="2" t="s">
        <v>2365</v>
      </c>
      <c r="C17" s="2">
        <f>IFERROR(MATCH($A17,SchedSeq,0),"")</f>
        <v>293</v>
      </c>
      <c r="D17" s="2" t="str">
        <f t="array" ref="D17">IF($C17="","",INDEX(SchedZone,$C17,MAP!$B$6))</f>
        <v>2026_01_CLE_JAX</v>
      </c>
      <c r="E17" s="2">
        <f t="array" ref="E17">IF($C17="","",INDEX(SchedZone,$C17,MAP!$B$3))</f>
        <v>2026</v>
      </c>
      <c r="F17" s="2" t="str">
        <f t="array" ref="F17">IF($C17="","",INDEX(SchedZone,$C17,MAP!$B$5))</f>
        <v>REG</v>
      </c>
      <c r="G17" s="2">
        <f t="array" ref="G17">IF($C17="","",INDEX(SchedZone,$C17,MAP!$B$4))</f>
        <v>1</v>
      </c>
      <c r="H17" s="2" t="str">
        <f t="array" ref="H17">IF($C17="","",INDEX(SchedZone,$C17,MAP!$B$12))</f>
        <v>JAX</v>
      </c>
      <c r="I17" s="2" t="str">
        <f t="array" ref="I17">IF($H17="","",IF(COUNTIF(Teams,$H17)&gt;0,$H17,IFERROR(INDEX(LISTS!$D$2:$D$12,MATCH($H17,LISTS!$C$2:$C$12,0)),"⚠ "&amp;$H17)))</f>
        <v>JAX</v>
      </c>
      <c r="J17" s="2" t="str">
        <f t="array" ref="J17">IF($C17="","",INDEX(SchedZone,$C17,MAP!$B$10))</f>
        <v>CLE</v>
      </c>
      <c r="K17" s="2" t="str">
        <f t="array" ref="K17">IF($J17="","",IF(COUNTIF(Teams,$J17)&gt;0,$J17,IFERROR(INDEX(LISTS!$D$2:$D$12,MATCH($J17,LISTS!$C$2:$C$12,0)),"⚠ "&amp;$J17)))</f>
        <v>CLE</v>
      </c>
      <c r="L17" s="2" t="str">
        <f t="array" ref="L17">IF($C17="","",IF(INDEX(SchedZone,$C17,MAP!$B$14)="Neutral","N",IF($B17="HOME","H","A")))</f>
        <v>H</v>
      </c>
      <c r="M17" s="2" t="str">
        <f t="array" ref="M17">IF($C17="","",IF(INDEX(SchedZone,$C17,MAP!$B$13)="","",INDEX(SchedZone,$C17,MAP!$B$13)))</f>
        <v/>
      </c>
      <c r="N17" s="2" t="str">
        <f t="array" ref="N17">IF($C17="","",IF(INDEX(SchedZone,$C17,MAP!$B$11)="","",INDEX(SchedZone,$C17,MAP!$B$11)))</f>
        <v/>
      </c>
      <c r="O17" s="2">
        <f t="array" ref="O17">IF($C17="","",INDEX(SchedZone,$C17,MAP!$B$16))</f>
        <v>7</v>
      </c>
      <c r="P17" s="2" t="str">
        <f>IF($C17="","",IFERROR(MATCH($E17&amp;"|"&amp;$G17&amp;"|"&amp;$I17,StatsKey,0),""))</f>
        <v/>
      </c>
      <c r="Q17" s="2">
        <f t="array" ref="Q17">IF($P17="",0,INDEX(StatsZone,$P17,MAP!$E$9)+INDEX(StatsZone,$P17,MAP!$E$10)+INDEX(StatsZone,$P17,MAP!$E$11))</f>
        <v>0</v>
      </c>
      <c r="R17" s="2">
        <f t="array" ref="R17">IF($P17="",0,INDEX(StatsZone,$P17,MAP!$E$12))</f>
        <v>0</v>
      </c>
      <c r="S17" s="2">
        <f t="array" ref="S17">IF($P17="",0,INDEX(StatsZone,$P17,MAP!$E$13))</f>
        <v>0</v>
      </c>
      <c r="T17" s="2">
        <f t="shared" si="1"/>
        <v>0</v>
      </c>
      <c r="U17" s="2">
        <f t="array" ref="U17">IF($P17="",0,INDEX(StatsZone,$P17,MAP!$E$14)+INDEX(StatsZone,$P17,MAP!$E$15)+INDEX(StatsZone,$P17,MAP!$E$16))</f>
        <v>0</v>
      </c>
      <c r="V17" s="2">
        <f t="shared" si="2"/>
        <v>0</v>
      </c>
      <c r="W17" s="2">
        <f t="shared" si="3"/>
        <v>0</v>
      </c>
      <c r="X17" s="2">
        <f t="shared" si="4"/>
        <v>0</v>
      </c>
      <c r="Y17" s="2">
        <f t="shared" si="5"/>
        <v>0</v>
      </c>
      <c r="Z17" s="2">
        <f t="shared" si="6"/>
        <v>0</v>
      </c>
      <c r="AA17" s="2">
        <f t="shared" si="7"/>
        <v>1</v>
      </c>
      <c r="AB17" s="2">
        <f>IF(OR($M17="",$N17=""),0,MEDIAN(-MarginCap,MarginCap,($M17-$N17)-$AA17*HFA_Base))</f>
        <v>0</v>
      </c>
      <c r="AC17" s="2">
        <f t="array" ref="AC17">IF(OR($P17="",INDEX($P$3:$P$722,(ROW()+IF(MOD(ROW()-3,2)=0,1,-1))-3+1)=""),0,MEDIAN(-MarginCap,MarginCap,($T17-$W17)-$AA17*HFA_Base))</f>
        <v>0</v>
      </c>
      <c r="AD17" s="2">
        <f t="shared" si="8"/>
        <v>0</v>
      </c>
      <c r="AE17" s="2">
        <f>IF(OR($M17="",$N17=""),0,IF(AND(WEpa&gt;0,$AD17=1),(1-WEpa)*$AB17+WEpa*$AC17,$AB17))</f>
        <v>0</v>
      </c>
      <c r="AF17" s="2">
        <f>IF(AND($C17&lt;&gt;"",$E17=CurrentSeason,$F17="REG",ISNUMBER($G17),$G17&lt;CurrentWeek,AND($M17&lt;&gt;"",$N17&lt;&gt;"")),1,0)</f>
        <v>0</v>
      </c>
      <c r="AG17" s="2">
        <f>IF($AF17=0,0,IF($G17&gt;=CurrentWeek-RecencyWin,RecencyMult,1))</f>
        <v>0</v>
      </c>
      <c r="AH17" s="2">
        <f>IF(AND($C17&lt;&gt;"",$E17=CurrentSeason,$F17="REG",ISNUMBER($G17),$G17&lt;CurrentWeek-1,AND($M17&lt;&gt;"",$N17&lt;&gt;"")),1,0)</f>
        <v>0</v>
      </c>
      <c r="AI17" s="2">
        <f>IF($AH17=0,0,IF($G17&gt;=CurrentWeek-1-RecencyWin,RecencyMult,1))</f>
        <v>0</v>
      </c>
      <c r="AJ17" s="2">
        <f>IF($AF17=0,0,IF($G17&gt;=CurrentWeek-RecencyWin,TotRecency,1))</f>
        <v>0</v>
      </c>
      <c r="AK17" s="2">
        <f t="shared" si="9"/>
        <v>0</v>
      </c>
      <c r="AL17" s="2">
        <f t="shared" si="10"/>
        <v>0</v>
      </c>
      <c r="AM17" s="2" t="str">
        <f t="array" ref="AM17">IF($K17="",0,IFERROR(INDEX(CALC!$F$2:$F$33,MATCH($K17,CALC!$A$2:$A$33,0)),0))</f>
        <v/>
      </c>
      <c r="AN17" s="2" t="str">
        <f t="array" ref="AN17">IF($K17="",0,IFERROR(INDEX(CALC!$I$2:$I$33,MATCH($K17,CALC!$A$2:$A$33,0)),0))</f>
        <v/>
      </c>
      <c r="AO17" s="2" t="str">
        <f t="array" ref="AO17">IF($K17="",0,IFERROR(INDEX(CALC!$L$2:$L$33,MATCH($K17,CALC!$A$2:$A$33,0)),0))</f>
        <v/>
      </c>
      <c r="AP17" s="2" t="str">
        <f t="array" ref="AP17">IF($K17="",0,IFERROR(INDEX(CALC!$T$2:$T$33,MATCH($K17,CALC!$A$2:$A$33,0)),0))</f>
        <v/>
      </c>
      <c r="AQ17" s="2" t="str">
        <f t="array" ref="AQ17">IF($K17="",0,IFERROR(INDEX(CALC!$W$2:$W$33,MATCH($K17,CALC!$A$2:$A$33,0)),0))</f>
        <v/>
      </c>
      <c r="AR17" s="2" t="str">
        <f t="array" ref="AR17">IF($K17="",0,IFERROR(INDEX(CALC!$Z$2:$Z$33,MATCH($K17,CALC!$A$2:$A$33,0)),0))</f>
        <v/>
      </c>
      <c r="AS17" s="2" t="str">
        <f t="array" ref="AS17">IF($K17="",0,IFERROR(INDEX(CALC!$AJ$2:$AJ$33,MATCH($K17,CALC!$A$2:$A$33,0)),0))</f>
        <v/>
      </c>
      <c r="AT17" s="2" t="str">
        <f t="array" ref="AT17">IF($K17="",0,IFERROR(INDEX(CALC!$AI$2:$AI$33,MATCH($K17,CALC!$A$2:$A$33,0)),0))</f>
        <v/>
      </c>
      <c r="AU17" s="2">
        <f t="shared" si="11"/>
        <v>0</v>
      </c>
      <c r="AV17" s="2">
        <f t="shared" si="12"/>
        <v>0</v>
      </c>
    </row>
    <row r="18" ht="15.0" customHeight="1">
      <c r="A18" s="2">
        <v>8.0</v>
      </c>
      <c r="B18" s="2" t="s">
        <v>2366</v>
      </c>
      <c r="C18" s="2">
        <f>IFERROR(MATCH($A18,SchedSeq,0),"")</f>
        <v>293</v>
      </c>
      <c r="D18" s="2" t="str">
        <f t="array" ref="D18">IF($C18="","",INDEX(SchedZone,$C18,MAP!$B$6))</f>
        <v>2026_01_CLE_JAX</v>
      </c>
      <c r="E18" s="2">
        <f t="array" ref="E18">IF($C18="","",INDEX(SchedZone,$C18,MAP!$B$3))</f>
        <v>2026</v>
      </c>
      <c r="F18" s="2" t="str">
        <f t="array" ref="F18">IF($C18="","",INDEX(SchedZone,$C18,MAP!$B$5))</f>
        <v>REG</v>
      </c>
      <c r="G18" s="2">
        <f t="array" ref="G18">IF($C18="","",INDEX(SchedZone,$C18,MAP!$B$4))</f>
        <v>1</v>
      </c>
      <c r="H18" s="2" t="str">
        <f t="array" ref="H18">IF($C18="","",INDEX(SchedZone,$C18,MAP!$B$10))</f>
        <v>CLE</v>
      </c>
      <c r="I18" s="2" t="str">
        <f t="array" ref="I18">IF($H18="","",IF(COUNTIF(Teams,$H18)&gt;0,$H18,IFERROR(INDEX(LISTS!$D$2:$D$12,MATCH($H18,LISTS!$C$2:$C$12,0)),"⚠ "&amp;$H18)))</f>
        <v>CLE</v>
      </c>
      <c r="J18" s="2" t="str">
        <f t="array" ref="J18">IF($C18="","",INDEX(SchedZone,$C18,MAP!$B$12))</f>
        <v>JAX</v>
      </c>
      <c r="K18" s="2" t="str">
        <f t="array" ref="K18">IF($J18="","",IF(COUNTIF(Teams,$J18)&gt;0,$J18,IFERROR(INDEX(LISTS!$D$2:$D$12,MATCH($J18,LISTS!$C$2:$C$12,0)),"⚠ "&amp;$J18)))</f>
        <v>JAX</v>
      </c>
      <c r="L18" s="2" t="str">
        <f t="array" ref="L18">IF($C18="","",IF(INDEX(SchedZone,$C18,MAP!$B$14)="Neutral","N",IF($B18="HOME","H","A")))</f>
        <v>A</v>
      </c>
      <c r="M18" s="2" t="str">
        <f t="array" ref="M18">IF($C18="","",IF(INDEX(SchedZone,$C18,MAP!$B$11)="","",INDEX(SchedZone,$C18,MAP!$B$11)))</f>
        <v/>
      </c>
      <c r="N18" s="2" t="str">
        <f t="array" ref="N18">IF($C18="","",IF(INDEX(SchedZone,$C18,MAP!$B$13)="","",INDEX(SchedZone,$C18,MAP!$B$13)))</f>
        <v/>
      </c>
      <c r="O18" s="2">
        <f t="array" ref="O18">IF($C18="","",INDEX(SchedZone,$C18,MAP!$B$15))</f>
        <v>7</v>
      </c>
      <c r="P18" s="2" t="str">
        <f>IF($C18="","",IFERROR(MATCH($E18&amp;"|"&amp;$G18&amp;"|"&amp;$I18,StatsKey,0),""))</f>
        <v/>
      </c>
      <c r="Q18" s="2">
        <f t="array" ref="Q18">IF($P18="",0,INDEX(StatsZone,$P18,MAP!$E$9)+INDEX(StatsZone,$P18,MAP!$E$10)+INDEX(StatsZone,$P18,MAP!$E$11))</f>
        <v>0</v>
      </c>
      <c r="R18" s="2">
        <f t="array" ref="R18">IF($P18="",0,INDEX(StatsZone,$P18,MAP!$E$12))</f>
        <v>0</v>
      </c>
      <c r="S18" s="2">
        <f t="array" ref="S18">IF($P18="",0,INDEX(StatsZone,$P18,MAP!$E$13))</f>
        <v>0</v>
      </c>
      <c r="T18" s="2">
        <f t="shared" si="1"/>
        <v>0</v>
      </c>
      <c r="U18" s="2">
        <f t="array" ref="U18">IF($P18="",0,INDEX(StatsZone,$P18,MAP!$E$14)+INDEX(StatsZone,$P18,MAP!$E$15)+INDEX(StatsZone,$P18,MAP!$E$16))</f>
        <v>0</v>
      </c>
      <c r="V18" s="2">
        <f t="shared" si="2"/>
        <v>0</v>
      </c>
      <c r="W18" s="2">
        <f t="shared" si="3"/>
        <v>0</v>
      </c>
      <c r="X18" s="2">
        <f t="shared" si="4"/>
        <v>0</v>
      </c>
      <c r="Y18" s="2">
        <f t="shared" si="5"/>
        <v>0</v>
      </c>
      <c r="Z18" s="2">
        <f t="shared" si="6"/>
        <v>0</v>
      </c>
      <c r="AA18" s="2">
        <f t="shared" si="7"/>
        <v>-1</v>
      </c>
      <c r="AB18" s="2">
        <f>IF(OR($M18="",$N18=""),0,MEDIAN(-MarginCap,MarginCap,($M18-$N18)-$AA18*HFA_Base))</f>
        <v>0</v>
      </c>
      <c r="AC18" s="2">
        <f t="array" ref="AC18">IF(OR($P18="",INDEX($P$3:$P$722,(ROW()+IF(MOD(ROW()-3,2)=0,1,-1))-3+1)=""),0,MEDIAN(-MarginCap,MarginCap,($T18-$W18)-$AA18*HFA_Base))</f>
        <v>0</v>
      </c>
      <c r="AD18" s="2">
        <f t="shared" si="8"/>
        <v>0</v>
      </c>
      <c r="AE18" s="2">
        <f>IF(OR($M18="",$N18=""),0,IF(AND(WEpa&gt;0,$AD18=1),(1-WEpa)*$AB18+WEpa*$AC18,$AB18))</f>
        <v>0</v>
      </c>
      <c r="AF18" s="2">
        <f>IF(AND($C18&lt;&gt;"",$E18=CurrentSeason,$F18="REG",ISNUMBER($G18),$G18&lt;CurrentWeek,AND($M18&lt;&gt;"",$N18&lt;&gt;"")),1,0)</f>
        <v>0</v>
      </c>
      <c r="AG18" s="2">
        <f>IF($AF18=0,0,IF($G18&gt;=CurrentWeek-RecencyWin,RecencyMult,1))</f>
        <v>0</v>
      </c>
      <c r="AH18" s="2">
        <f>IF(AND($C18&lt;&gt;"",$E18=CurrentSeason,$F18="REG",ISNUMBER($G18),$G18&lt;CurrentWeek-1,AND($M18&lt;&gt;"",$N18&lt;&gt;"")),1,0)</f>
        <v>0</v>
      </c>
      <c r="AI18" s="2">
        <f>IF($AH18=0,0,IF($G18&gt;=CurrentWeek-1-RecencyWin,RecencyMult,1))</f>
        <v>0</v>
      </c>
      <c r="AJ18" s="2">
        <f>IF($AF18=0,0,IF($G18&gt;=CurrentWeek-RecencyWin,TotRecency,1))</f>
        <v>0</v>
      </c>
      <c r="AK18" s="2">
        <f t="shared" si="9"/>
        <v>0</v>
      </c>
      <c r="AL18" s="2">
        <f t="shared" si="10"/>
        <v>0</v>
      </c>
      <c r="AM18" s="2" t="str">
        <f t="array" ref="AM18">IF($K18="",0,IFERROR(INDEX(CALC!$F$2:$F$33,MATCH($K18,CALC!$A$2:$A$33,0)),0))</f>
        <v/>
      </c>
      <c r="AN18" s="2" t="str">
        <f t="array" ref="AN18">IF($K18="",0,IFERROR(INDEX(CALC!$I$2:$I$33,MATCH($K18,CALC!$A$2:$A$33,0)),0))</f>
        <v/>
      </c>
      <c r="AO18" s="2" t="str">
        <f t="array" ref="AO18">IF($K18="",0,IFERROR(INDEX(CALC!$L$2:$L$33,MATCH($K18,CALC!$A$2:$A$33,0)),0))</f>
        <v/>
      </c>
      <c r="AP18" s="2" t="str">
        <f t="array" ref="AP18">IF($K18="",0,IFERROR(INDEX(CALC!$T$2:$T$33,MATCH($K18,CALC!$A$2:$A$33,0)),0))</f>
        <v/>
      </c>
      <c r="AQ18" s="2" t="str">
        <f t="array" ref="AQ18">IF($K18="",0,IFERROR(INDEX(CALC!$W$2:$W$33,MATCH($K18,CALC!$A$2:$A$33,0)),0))</f>
        <v/>
      </c>
      <c r="AR18" s="2" t="str">
        <f t="array" ref="AR18">IF($K18="",0,IFERROR(INDEX(CALC!$Z$2:$Z$33,MATCH($K18,CALC!$A$2:$A$33,0)),0))</f>
        <v/>
      </c>
      <c r="AS18" s="2" t="str">
        <f t="array" ref="AS18">IF($K18="",0,IFERROR(INDEX(CALC!$AJ$2:$AJ$33,MATCH($K18,CALC!$A$2:$A$33,0)),0))</f>
        <v/>
      </c>
      <c r="AT18" s="2" t="str">
        <f t="array" ref="AT18">IF($K18="",0,IFERROR(INDEX(CALC!$AI$2:$AI$33,MATCH($K18,CALC!$A$2:$A$33,0)),0))</f>
        <v/>
      </c>
      <c r="AU18" s="2">
        <f t="shared" si="11"/>
        <v>0</v>
      </c>
      <c r="AV18" s="2">
        <f t="shared" si="12"/>
        <v>0</v>
      </c>
    </row>
    <row r="19" ht="15.0" customHeight="1">
      <c r="A19" s="2">
        <v>9.0</v>
      </c>
      <c r="B19" s="2" t="s">
        <v>2365</v>
      </c>
      <c r="C19" s="2">
        <f>IFERROR(MATCH($A19,SchedSeq,0),"")</f>
        <v>294</v>
      </c>
      <c r="D19" s="2" t="str">
        <f t="array" ref="D19">IF($C19="","",INDEX(SchedZone,$C19,MAP!$B$6))</f>
        <v>2026_01_ATL_PIT</v>
      </c>
      <c r="E19" s="2">
        <f t="array" ref="E19">IF($C19="","",INDEX(SchedZone,$C19,MAP!$B$3))</f>
        <v>2026</v>
      </c>
      <c r="F19" s="2" t="str">
        <f t="array" ref="F19">IF($C19="","",INDEX(SchedZone,$C19,MAP!$B$5))</f>
        <v>REG</v>
      </c>
      <c r="G19" s="2">
        <f t="array" ref="G19">IF($C19="","",INDEX(SchedZone,$C19,MAP!$B$4))</f>
        <v>1</v>
      </c>
      <c r="H19" s="2" t="str">
        <f t="array" ref="H19">IF($C19="","",INDEX(SchedZone,$C19,MAP!$B$12))</f>
        <v>PIT</v>
      </c>
      <c r="I19" s="2" t="str">
        <f t="array" ref="I19">IF($H19="","",IF(COUNTIF(Teams,$H19)&gt;0,$H19,IFERROR(INDEX(LISTS!$D$2:$D$12,MATCH($H19,LISTS!$C$2:$C$12,0)),"⚠ "&amp;$H19)))</f>
        <v>PIT</v>
      </c>
      <c r="J19" s="2" t="str">
        <f t="array" ref="J19">IF($C19="","",INDEX(SchedZone,$C19,MAP!$B$10))</f>
        <v>ATL</v>
      </c>
      <c r="K19" s="2" t="str">
        <f t="array" ref="K19">IF($J19="","",IF(COUNTIF(Teams,$J19)&gt;0,$J19,IFERROR(INDEX(LISTS!$D$2:$D$12,MATCH($J19,LISTS!$C$2:$C$12,0)),"⚠ "&amp;$J19)))</f>
        <v>ATL</v>
      </c>
      <c r="L19" s="2" t="str">
        <f t="array" ref="L19">IF($C19="","",IF(INDEX(SchedZone,$C19,MAP!$B$14)="Neutral","N",IF($B19="HOME","H","A")))</f>
        <v>H</v>
      </c>
      <c r="M19" s="2" t="str">
        <f t="array" ref="M19">IF($C19="","",IF(INDEX(SchedZone,$C19,MAP!$B$13)="","",INDEX(SchedZone,$C19,MAP!$B$13)))</f>
        <v/>
      </c>
      <c r="N19" s="2" t="str">
        <f t="array" ref="N19">IF($C19="","",IF(INDEX(SchedZone,$C19,MAP!$B$11)="","",INDEX(SchedZone,$C19,MAP!$B$11)))</f>
        <v/>
      </c>
      <c r="O19" s="2">
        <f t="array" ref="O19">IF($C19="","",INDEX(SchedZone,$C19,MAP!$B$16))</f>
        <v>7</v>
      </c>
      <c r="P19" s="2" t="str">
        <f>IF($C19="","",IFERROR(MATCH($E19&amp;"|"&amp;$G19&amp;"|"&amp;$I19,StatsKey,0),""))</f>
        <v/>
      </c>
      <c r="Q19" s="2">
        <f t="array" ref="Q19">IF($P19="",0,INDEX(StatsZone,$P19,MAP!$E$9)+INDEX(StatsZone,$P19,MAP!$E$10)+INDEX(StatsZone,$P19,MAP!$E$11))</f>
        <v>0</v>
      </c>
      <c r="R19" s="2">
        <f t="array" ref="R19">IF($P19="",0,INDEX(StatsZone,$P19,MAP!$E$12))</f>
        <v>0</v>
      </c>
      <c r="S19" s="2">
        <f t="array" ref="S19">IF($P19="",0,INDEX(StatsZone,$P19,MAP!$E$13))</f>
        <v>0</v>
      </c>
      <c r="T19" s="2">
        <f t="shared" si="1"/>
        <v>0</v>
      </c>
      <c r="U19" s="2">
        <f t="array" ref="U19">IF($P19="",0,INDEX(StatsZone,$P19,MAP!$E$14)+INDEX(StatsZone,$P19,MAP!$E$15)+INDEX(StatsZone,$P19,MAP!$E$16))</f>
        <v>0</v>
      </c>
      <c r="V19" s="2">
        <f t="shared" si="2"/>
        <v>0</v>
      </c>
      <c r="W19" s="2">
        <f t="shared" si="3"/>
        <v>0</v>
      </c>
      <c r="X19" s="2">
        <f t="shared" si="4"/>
        <v>0</v>
      </c>
      <c r="Y19" s="2">
        <f t="shared" si="5"/>
        <v>0</v>
      </c>
      <c r="Z19" s="2">
        <f t="shared" si="6"/>
        <v>0</v>
      </c>
      <c r="AA19" s="2">
        <f t="shared" si="7"/>
        <v>1</v>
      </c>
      <c r="AB19" s="2">
        <f>IF(OR($M19="",$N19=""),0,MEDIAN(-MarginCap,MarginCap,($M19-$N19)-$AA19*HFA_Base))</f>
        <v>0</v>
      </c>
      <c r="AC19" s="2">
        <f t="array" ref="AC19">IF(OR($P19="",INDEX($P$3:$P$722,(ROW()+IF(MOD(ROW()-3,2)=0,1,-1))-3+1)=""),0,MEDIAN(-MarginCap,MarginCap,($T19-$W19)-$AA19*HFA_Base))</f>
        <v>0</v>
      </c>
      <c r="AD19" s="2">
        <f t="shared" si="8"/>
        <v>0</v>
      </c>
      <c r="AE19" s="2">
        <f>IF(OR($M19="",$N19=""),0,IF(AND(WEpa&gt;0,$AD19=1),(1-WEpa)*$AB19+WEpa*$AC19,$AB19))</f>
        <v>0</v>
      </c>
      <c r="AF19" s="2">
        <f>IF(AND($C19&lt;&gt;"",$E19=CurrentSeason,$F19="REG",ISNUMBER($G19),$G19&lt;CurrentWeek,AND($M19&lt;&gt;"",$N19&lt;&gt;"")),1,0)</f>
        <v>0</v>
      </c>
      <c r="AG19" s="2">
        <f>IF($AF19=0,0,IF($G19&gt;=CurrentWeek-RecencyWin,RecencyMult,1))</f>
        <v>0</v>
      </c>
      <c r="AH19" s="2">
        <f>IF(AND($C19&lt;&gt;"",$E19=CurrentSeason,$F19="REG",ISNUMBER($G19),$G19&lt;CurrentWeek-1,AND($M19&lt;&gt;"",$N19&lt;&gt;"")),1,0)</f>
        <v>0</v>
      </c>
      <c r="AI19" s="2">
        <f>IF($AH19=0,0,IF($G19&gt;=CurrentWeek-1-RecencyWin,RecencyMult,1))</f>
        <v>0</v>
      </c>
      <c r="AJ19" s="2">
        <f>IF($AF19=0,0,IF($G19&gt;=CurrentWeek-RecencyWin,TotRecency,1))</f>
        <v>0</v>
      </c>
      <c r="AK19" s="2">
        <f t="shared" si="9"/>
        <v>0</v>
      </c>
      <c r="AL19" s="2">
        <f t="shared" si="10"/>
        <v>0</v>
      </c>
      <c r="AM19" s="2" t="str">
        <f t="array" ref="AM19">IF($K19="",0,IFERROR(INDEX(CALC!$F$2:$F$33,MATCH($K19,CALC!$A$2:$A$33,0)),0))</f>
        <v/>
      </c>
      <c r="AN19" s="2" t="str">
        <f t="array" ref="AN19">IF($K19="",0,IFERROR(INDEX(CALC!$I$2:$I$33,MATCH($K19,CALC!$A$2:$A$33,0)),0))</f>
        <v/>
      </c>
      <c r="AO19" s="2" t="str">
        <f t="array" ref="AO19">IF($K19="",0,IFERROR(INDEX(CALC!$L$2:$L$33,MATCH($K19,CALC!$A$2:$A$33,0)),0))</f>
        <v/>
      </c>
      <c r="AP19" s="2" t="str">
        <f t="array" ref="AP19">IF($K19="",0,IFERROR(INDEX(CALC!$T$2:$T$33,MATCH($K19,CALC!$A$2:$A$33,0)),0))</f>
        <v/>
      </c>
      <c r="AQ19" s="2" t="str">
        <f t="array" ref="AQ19">IF($K19="",0,IFERROR(INDEX(CALC!$W$2:$W$33,MATCH($K19,CALC!$A$2:$A$33,0)),0))</f>
        <v/>
      </c>
      <c r="AR19" s="2" t="str">
        <f t="array" ref="AR19">IF($K19="",0,IFERROR(INDEX(CALC!$Z$2:$Z$33,MATCH($K19,CALC!$A$2:$A$33,0)),0))</f>
        <v/>
      </c>
      <c r="AS19" s="2" t="str">
        <f t="array" ref="AS19">IF($K19="",0,IFERROR(INDEX(CALC!$AJ$2:$AJ$33,MATCH($K19,CALC!$A$2:$A$33,0)),0))</f>
        <v/>
      </c>
      <c r="AT19" s="2" t="str">
        <f t="array" ref="AT19">IF($K19="",0,IFERROR(INDEX(CALC!$AI$2:$AI$33,MATCH($K19,CALC!$A$2:$A$33,0)),0))</f>
        <v/>
      </c>
      <c r="AU19" s="2">
        <f t="shared" si="11"/>
        <v>0</v>
      </c>
      <c r="AV19" s="2">
        <f t="shared" si="12"/>
        <v>0</v>
      </c>
    </row>
    <row r="20" ht="15.0" customHeight="1">
      <c r="A20" s="2">
        <v>9.0</v>
      </c>
      <c r="B20" s="2" t="s">
        <v>2366</v>
      </c>
      <c r="C20" s="2">
        <f>IFERROR(MATCH($A20,SchedSeq,0),"")</f>
        <v>294</v>
      </c>
      <c r="D20" s="2" t="str">
        <f t="array" ref="D20">IF($C20="","",INDEX(SchedZone,$C20,MAP!$B$6))</f>
        <v>2026_01_ATL_PIT</v>
      </c>
      <c r="E20" s="2">
        <f t="array" ref="E20">IF($C20="","",INDEX(SchedZone,$C20,MAP!$B$3))</f>
        <v>2026</v>
      </c>
      <c r="F20" s="2" t="str">
        <f t="array" ref="F20">IF($C20="","",INDEX(SchedZone,$C20,MAP!$B$5))</f>
        <v>REG</v>
      </c>
      <c r="G20" s="2">
        <f t="array" ref="G20">IF($C20="","",INDEX(SchedZone,$C20,MAP!$B$4))</f>
        <v>1</v>
      </c>
      <c r="H20" s="2" t="str">
        <f t="array" ref="H20">IF($C20="","",INDEX(SchedZone,$C20,MAP!$B$10))</f>
        <v>ATL</v>
      </c>
      <c r="I20" s="2" t="str">
        <f t="array" ref="I20">IF($H20="","",IF(COUNTIF(Teams,$H20)&gt;0,$H20,IFERROR(INDEX(LISTS!$D$2:$D$12,MATCH($H20,LISTS!$C$2:$C$12,0)),"⚠ "&amp;$H20)))</f>
        <v>ATL</v>
      </c>
      <c r="J20" s="2" t="str">
        <f t="array" ref="J20">IF($C20="","",INDEX(SchedZone,$C20,MAP!$B$12))</f>
        <v>PIT</v>
      </c>
      <c r="K20" s="2" t="str">
        <f t="array" ref="K20">IF($J20="","",IF(COUNTIF(Teams,$J20)&gt;0,$J20,IFERROR(INDEX(LISTS!$D$2:$D$12,MATCH($J20,LISTS!$C$2:$C$12,0)),"⚠ "&amp;$J20)))</f>
        <v>PIT</v>
      </c>
      <c r="L20" s="2" t="str">
        <f t="array" ref="L20">IF($C20="","",IF(INDEX(SchedZone,$C20,MAP!$B$14)="Neutral","N",IF($B20="HOME","H","A")))</f>
        <v>A</v>
      </c>
      <c r="M20" s="2" t="str">
        <f t="array" ref="M20">IF($C20="","",IF(INDEX(SchedZone,$C20,MAP!$B$11)="","",INDEX(SchedZone,$C20,MAP!$B$11)))</f>
        <v/>
      </c>
      <c r="N20" s="2" t="str">
        <f t="array" ref="N20">IF($C20="","",IF(INDEX(SchedZone,$C20,MAP!$B$13)="","",INDEX(SchedZone,$C20,MAP!$B$13)))</f>
        <v/>
      </c>
      <c r="O20" s="2">
        <f t="array" ref="O20">IF($C20="","",INDEX(SchedZone,$C20,MAP!$B$15))</f>
        <v>7</v>
      </c>
      <c r="P20" s="2" t="str">
        <f>IF($C20="","",IFERROR(MATCH($E20&amp;"|"&amp;$G20&amp;"|"&amp;$I20,StatsKey,0),""))</f>
        <v/>
      </c>
      <c r="Q20" s="2">
        <f t="array" ref="Q20">IF($P20="",0,INDEX(StatsZone,$P20,MAP!$E$9)+INDEX(StatsZone,$P20,MAP!$E$10)+INDEX(StatsZone,$P20,MAP!$E$11))</f>
        <v>0</v>
      </c>
      <c r="R20" s="2">
        <f t="array" ref="R20">IF($P20="",0,INDEX(StatsZone,$P20,MAP!$E$12))</f>
        <v>0</v>
      </c>
      <c r="S20" s="2">
        <f t="array" ref="S20">IF($P20="",0,INDEX(StatsZone,$P20,MAP!$E$13))</f>
        <v>0</v>
      </c>
      <c r="T20" s="2">
        <f t="shared" si="1"/>
        <v>0</v>
      </c>
      <c r="U20" s="2">
        <f t="array" ref="U20">IF($P20="",0,INDEX(StatsZone,$P20,MAP!$E$14)+INDEX(StatsZone,$P20,MAP!$E$15)+INDEX(StatsZone,$P20,MAP!$E$16))</f>
        <v>0</v>
      </c>
      <c r="V20" s="2">
        <f t="shared" si="2"/>
        <v>0</v>
      </c>
      <c r="W20" s="2">
        <f t="shared" si="3"/>
        <v>0</v>
      </c>
      <c r="X20" s="2">
        <f t="shared" si="4"/>
        <v>0</v>
      </c>
      <c r="Y20" s="2">
        <f t="shared" si="5"/>
        <v>0</v>
      </c>
      <c r="Z20" s="2">
        <f t="shared" si="6"/>
        <v>0</v>
      </c>
      <c r="AA20" s="2">
        <f t="shared" si="7"/>
        <v>-1</v>
      </c>
      <c r="AB20" s="2">
        <f>IF(OR($M20="",$N20=""),0,MEDIAN(-MarginCap,MarginCap,($M20-$N20)-$AA20*HFA_Base))</f>
        <v>0</v>
      </c>
      <c r="AC20" s="2">
        <f t="array" ref="AC20">IF(OR($P20="",INDEX($P$3:$P$722,(ROW()+IF(MOD(ROW()-3,2)=0,1,-1))-3+1)=""),0,MEDIAN(-MarginCap,MarginCap,($T20-$W20)-$AA20*HFA_Base))</f>
        <v>0</v>
      </c>
      <c r="AD20" s="2">
        <f t="shared" si="8"/>
        <v>0</v>
      </c>
      <c r="AE20" s="2">
        <f>IF(OR($M20="",$N20=""),0,IF(AND(WEpa&gt;0,$AD20=1),(1-WEpa)*$AB20+WEpa*$AC20,$AB20))</f>
        <v>0</v>
      </c>
      <c r="AF20" s="2">
        <f>IF(AND($C20&lt;&gt;"",$E20=CurrentSeason,$F20="REG",ISNUMBER($G20),$G20&lt;CurrentWeek,AND($M20&lt;&gt;"",$N20&lt;&gt;"")),1,0)</f>
        <v>0</v>
      </c>
      <c r="AG20" s="2">
        <f>IF($AF20=0,0,IF($G20&gt;=CurrentWeek-RecencyWin,RecencyMult,1))</f>
        <v>0</v>
      </c>
      <c r="AH20" s="2">
        <f>IF(AND($C20&lt;&gt;"",$E20=CurrentSeason,$F20="REG",ISNUMBER($G20),$G20&lt;CurrentWeek-1,AND($M20&lt;&gt;"",$N20&lt;&gt;"")),1,0)</f>
        <v>0</v>
      </c>
      <c r="AI20" s="2">
        <f>IF($AH20=0,0,IF($G20&gt;=CurrentWeek-1-RecencyWin,RecencyMult,1))</f>
        <v>0</v>
      </c>
      <c r="AJ20" s="2">
        <f>IF($AF20=0,0,IF($G20&gt;=CurrentWeek-RecencyWin,TotRecency,1))</f>
        <v>0</v>
      </c>
      <c r="AK20" s="2">
        <f t="shared" si="9"/>
        <v>0</v>
      </c>
      <c r="AL20" s="2">
        <f t="shared" si="10"/>
        <v>0</v>
      </c>
      <c r="AM20" s="2" t="str">
        <f t="array" ref="AM20">IF($K20="",0,IFERROR(INDEX(CALC!$F$2:$F$33,MATCH($K20,CALC!$A$2:$A$33,0)),0))</f>
        <v/>
      </c>
      <c r="AN20" s="2" t="str">
        <f t="array" ref="AN20">IF($K20="",0,IFERROR(INDEX(CALC!$I$2:$I$33,MATCH($K20,CALC!$A$2:$A$33,0)),0))</f>
        <v/>
      </c>
      <c r="AO20" s="2" t="str">
        <f t="array" ref="AO20">IF($K20="",0,IFERROR(INDEX(CALC!$L$2:$L$33,MATCH($K20,CALC!$A$2:$A$33,0)),0))</f>
        <v/>
      </c>
      <c r="AP20" s="2" t="str">
        <f t="array" ref="AP20">IF($K20="",0,IFERROR(INDEX(CALC!$T$2:$T$33,MATCH($K20,CALC!$A$2:$A$33,0)),0))</f>
        <v/>
      </c>
      <c r="AQ20" s="2" t="str">
        <f t="array" ref="AQ20">IF($K20="",0,IFERROR(INDEX(CALC!$W$2:$W$33,MATCH($K20,CALC!$A$2:$A$33,0)),0))</f>
        <v/>
      </c>
      <c r="AR20" s="2" t="str">
        <f t="array" ref="AR20">IF($K20="",0,IFERROR(INDEX(CALC!$Z$2:$Z$33,MATCH($K20,CALC!$A$2:$A$33,0)),0))</f>
        <v/>
      </c>
      <c r="AS20" s="2" t="str">
        <f t="array" ref="AS20">IF($K20="",0,IFERROR(INDEX(CALC!$AJ$2:$AJ$33,MATCH($K20,CALC!$A$2:$A$33,0)),0))</f>
        <v/>
      </c>
      <c r="AT20" s="2" t="str">
        <f t="array" ref="AT20">IF($K20="",0,IFERROR(INDEX(CALC!$AI$2:$AI$33,MATCH($K20,CALC!$A$2:$A$33,0)),0))</f>
        <v/>
      </c>
      <c r="AU20" s="2">
        <f t="shared" si="11"/>
        <v>0</v>
      </c>
      <c r="AV20" s="2">
        <f t="shared" si="12"/>
        <v>0</v>
      </c>
    </row>
    <row r="21" ht="15.0" customHeight="1">
      <c r="A21" s="2">
        <v>10.0</v>
      </c>
      <c r="B21" s="2" t="s">
        <v>2365</v>
      </c>
      <c r="C21" s="2">
        <f>IFERROR(MATCH($A21,SchedSeq,0),"")</f>
        <v>295</v>
      </c>
      <c r="D21" s="2" t="str">
        <f t="array" ref="D21">IF($C21="","",INDEX(SchedZone,$C21,MAP!$B$6))</f>
        <v>2026_01_NYJ_TEN</v>
      </c>
      <c r="E21" s="2">
        <f t="array" ref="E21">IF($C21="","",INDEX(SchedZone,$C21,MAP!$B$3))</f>
        <v>2026</v>
      </c>
      <c r="F21" s="2" t="str">
        <f t="array" ref="F21">IF($C21="","",INDEX(SchedZone,$C21,MAP!$B$5))</f>
        <v>REG</v>
      </c>
      <c r="G21" s="2">
        <f t="array" ref="G21">IF($C21="","",INDEX(SchedZone,$C21,MAP!$B$4))</f>
        <v>1</v>
      </c>
      <c r="H21" s="2" t="str">
        <f t="array" ref="H21">IF($C21="","",INDEX(SchedZone,$C21,MAP!$B$12))</f>
        <v>TEN</v>
      </c>
      <c r="I21" s="2" t="str">
        <f t="array" ref="I21">IF($H21="","",IF(COUNTIF(Teams,$H21)&gt;0,$H21,IFERROR(INDEX(LISTS!$D$2:$D$12,MATCH($H21,LISTS!$C$2:$C$12,0)),"⚠ "&amp;$H21)))</f>
        <v>TEN</v>
      </c>
      <c r="J21" s="2" t="str">
        <f t="array" ref="J21">IF($C21="","",INDEX(SchedZone,$C21,MAP!$B$10))</f>
        <v>NYJ</v>
      </c>
      <c r="K21" s="2" t="str">
        <f t="array" ref="K21">IF($J21="","",IF(COUNTIF(Teams,$J21)&gt;0,$J21,IFERROR(INDEX(LISTS!$D$2:$D$12,MATCH($J21,LISTS!$C$2:$C$12,0)),"⚠ "&amp;$J21)))</f>
        <v>NYJ</v>
      </c>
      <c r="L21" s="2" t="str">
        <f t="array" ref="L21">IF($C21="","",IF(INDEX(SchedZone,$C21,MAP!$B$14)="Neutral","N",IF($B21="HOME","H","A")))</f>
        <v>H</v>
      </c>
      <c r="M21" s="2" t="str">
        <f t="array" ref="M21">IF($C21="","",IF(INDEX(SchedZone,$C21,MAP!$B$13)="","",INDEX(SchedZone,$C21,MAP!$B$13)))</f>
        <v/>
      </c>
      <c r="N21" s="2" t="str">
        <f t="array" ref="N21">IF($C21="","",IF(INDEX(SchedZone,$C21,MAP!$B$11)="","",INDEX(SchedZone,$C21,MAP!$B$11)))</f>
        <v/>
      </c>
      <c r="O21" s="2">
        <f t="array" ref="O21">IF($C21="","",INDEX(SchedZone,$C21,MAP!$B$16))</f>
        <v>7</v>
      </c>
      <c r="P21" s="2" t="str">
        <f>IF($C21="","",IFERROR(MATCH($E21&amp;"|"&amp;$G21&amp;"|"&amp;$I21,StatsKey,0),""))</f>
        <v/>
      </c>
      <c r="Q21" s="2">
        <f t="array" ref="Q21">IF($P21="",0,INDEX(StatsZone,$P21,MAP!$E$9)+INDEX(StatsZone,$P21,MAP!$E$10)+INDEX(StatsZone,$P21,MAP!$E$11))</f>
        <v>0</v>
      </c>
      <c r="R21" s="2">
        <f t="array" ref="R21">IF($P21="",0,INDEX(StatsZone,$P21,MAP!$E$12))</f>
        <v>0</v>
      </c>
      <c r="S21" s="2">
        <f t="array" ref="S21">IF($P21="",0,INDEX(StatsZone,$P21,MAP!$E$13))</f>
        <v>0</v>
      </c>
      <c r="T21" s="2">
        <f t="shared" si="1"/>
        <v>0</v>
      </c>
      <c r="U21" s="2">
        <f t="array" ref="U21">IF($P21="",0,INDEX(StatsZone,$P21,MAP!$E$14)+INDEX(StatsZone,$P21,MAP!$E$15)+INDEX(StatsZone,$P21,MAP!$E$16))</f>
        <v>0</v>
      </c>
      <c r="V21" s="2">
        <f t="shared" si="2"/>
        <v>0</v>
      </c>
      <c r="W21" s="2">
        <f t="shared" si="3"/>
        <v>0</v>
      </c>
      <c r="X21" s="2">
        <f t="shared" si="4"/>
        <v>0</v>
      </c>
      <c r="Y21" s="2">
        <f t="shared" si="5"/>
        <v>0</v>
      </c>
      <c r="Z21" s="2">
        <f t="shared" si="6"/>
        <v>0</v>
      </c>
      <c r="AA21" s="2">
        <f t="shared" si="7"/>
        <v>1</v>
      </c>
      <c r="AB21" s="2">
        <f>IF(OR($M21="",$N21=""),0,MEDIAN(-MarginCap,MarginCap,($M21-$N21)-$AA21*HFA_Base))</f>
        <v>0</v>
      </c>
      <c r="AC21" s="2">
        <f t="array" ref="AC21">IF(OR($P21="",INDEX($P$3:$P$722,(ROW()+IF(MOD(ROW()-3,2)=0,1,-1))-3+1)=""),0,MEDIAN(-MarginCap,MarginCap,($T21-$W21)-$AA21*HFA_Base))</f>
        <v>0</v>
      </c>
      <c r="AD21" s="2">
        <f t="shared" si="8"/>
        <v>0</v>
      </c>
      <c r="AE21" s="2">
        <f>IF(OR($M21="",$N21=""),0,IF(AND(WEpa&gt;0,$AD21=1),(1-WEpa)*$AB21+WEpa*$AC21,$AB21))</f>
        <v>0</v>
      </c>
      <c r="AF21" s="2">
        <f>IF(AND($C21&lt;&gt;"",$E21=CurrentSeason,$F21="REG",ISNUMBER($G21),$G21&lt;CurrentWeek,AND($M21&lt;&gt;"",$N21&lt;&gt;"")),1,0)</f>
        <v>0</v>
      </c>
      <c r="AG21" s="2">
        <f>IF($AF21=0,0,IF($G21&gt;=CurrentWeek-RecencyWin,RecencyMult,1))</f>
        <v>0</v>
      </c>
      <c r="AH21" s="2">
        <f>IF(AND($C21&lt;&gt;"",$E21=CurrentSeason,$F21="REG",ISNUMBER($G21),$G21&lt;CurrentWeek-1,AND($M21&lt;&gt;"",$N21&lt;&gt;"")),1,0)</f>
        <v>0</v>
      </c>
      <c r="AI21" s="2">
        <f>IF($AH21=0,0,IF($G21&gt;=CurrentWeek-1-RecencyWin,RecencyMult,1))</f>
        <v>0</v>
      </c>
      <c r="AJ21" s="2">
        <f>IF($AF21=0,0,IF($G21&gt;=CurrentWeek-RecencyWin,TotRecency,1))</f>
        <v>0</v>
      </c>
      <c r="AK21" s="2">
        <f t="shared" si="9"/>
        <v>0</v>
      </c>
      <c r="AL21" s="2">
        <f t="shared" si="10"/>
        <v>0</v>
      </c>
      <c r="AM21" s="2" t="str">
        <f t="array" ref="AM21">IF($K21="",0,IFERROR(INDEX(CALC!$F$2:$F$33,MATCH($K21,CALC!$A$2:$A$33,0)),0))</f>
        <v/>
      </c>
      <c r="AN21" s="2" t="str">
        <f t="array" ref="AN21">IF($K21="",0,IFERROR(INDEX(CALC!$I$2:$I$33,MATCH($K21,CALC!$A$2:$A$33,0)),0))</f>
        <v/>
      </c>
      <c r="AO21" s="2" t="str">
        <f t="array" ref="AO21">IF($K21="",0,IFERROR(INDEX(CALC!$L$2:$L$33,MATCH($K21,CALC!$A$2:$A$33,0)),0))</f>
        <v/>
      </c>
      <c r="AP21" s="2" t="str">
        <f t="array" ref="AP21">IF($K21="",0,IFERROR(INDEX(CALC!$T$2:$T$33,MATCH($K21,CALC!$A$2:$A$33,0)),0))</f>
        <v/>
      </c>
      <c r="AQ21" s="2" t="str">
        <f t="array" ref="AQ21">IF($K21="",0,IFERROR(INDEX(CALC!$W$2:$W$33,MATCH($K21,CALC!$A$2:$A$33,0)),0))</f>
        <v/>
      </c>
      <c r="AR21" s="2" t="str">
        <f t="array" ref="AR21">IF($K21="",0,IFERROR(INDEX(CALC!$Z$2:$Z$33,MATCH($K21,CALC!$A$2:$A$33,0)),0))</f>
        <v/>
      </c>
      <c r="AS21" s="2" t="str">
        <f t="array" ref="AS21">IF($K21="",0,IFERROR(INDEX(CALC!$AJ$2:$AJ$33,MATCH($K21,CALC!$A$2:$A$33,0)),0))</f>
        <v/>
      </c>
      <c r="AT21" s="2" t="str">
        <f t="array" ref="AT21">IF($K21="",0,IFERROR(INDEX(CALC!$AI$2:$AI$33,MATCH($K21,CALC!$A$2:$A$33,0)),0))</f>
        <v/>
      </c>
      <c r="AU21" s="2">
        <f t="shared" si="11"/>
        <v>0</v>
      </c>
      <c r="AV21" s="2">
        <f t="shared" si="12"/>
        <v>0</v>
      </c>
    </row>
    <row r="22" ht="15.0" customHeight="1">
      <c r="A22" s="2">
        <v>10.0</v>
      </c>
      <c r="B22" s="2" t="s">
        <v>2366</v>
      </c>
      <c r="C22" s="2">
        <f>IFERROR(MATCH($A22,SchedSeq,0),"")</f>
        <v>295</v>
      </c>
      <c r="D22" s="2" t="str">
        <f t="array" ref="D22">IF($C22="","",INDEX(SchedZone,$C22,MAP!$B$6))</f>
        <v>2026_01_NYJ_TEN</v>
      </c>
      <c r="E22" s="2">
        <f t="array" ref="E22">IF($C22="","",INDEX(SchedZone,$C22,MAP!$B$3))</f>
        <v>2026</v>
      </c>
      <c r="F22" s="2" t="str">
        <f t="array" ref="F22">IF($C22="","",INDEX(SchedZone,$C22,MAP!$B$5))</f>
        <v>REG</v>
      </c>
      <c r="G22" s="2">
        <f t="array" ref="G22">IF($C22="","",INDEX(SchedZone,$C22,MAP!$B$4))</f>
        <v>1</v>
      </c>
      <c r="H22" s="2" t="str">
        <f t="array" ref="H22">IF($C22="","",INDEX(SchedZone,$C22,MAP!$B$10))</f>
        <v>NYJ</v>
      </c>
      <c r="I22" s="2" t="str">
        <f t="array" ref="I22">IF($H22="","",IF(COUNTIF(Teams,$H22)&gt;0,$H22,IFERROR(INDEX(LISTS!$D$2:$D$12,MATCH($H22,LISTS!$C$2:$C$12,0)),"⚠ "&amp;$H22)))</f>
        <v>NYJ</v>
      </c>
      <c r="J22" s="2" t="str">
        <f t="array" ref="J22">IF($C22="","",INDEX(SchedZone,$C22,MAP!$B$12))</f>
        <v>TEN</v>
      </c>
      <c r="K22" s="2" t="str">
        <f t="array" ref="K22">IF($J22="","",IF(COUNTIF(Teams,$J22)&gt;0,$J22,IFERROR(INDEX(LISTS!$D$2:$D$12,MATCH($J22,LISTS!$C$2:$C$12,0)),"⚠ "&amp;$J22)))</f>
        <v>TEN</v>
      </c>
      <c r="L22" s="2" t="str">
        <f t="array" ref="L22">IF($C22="","",IF(INDEX(SchedZone,$C22,MAP!$B$14)="Neutral","N",IF($B22="HOME","H","A")))</f>
        <v>A</v>
      </c>
      <c r="M22" s="2" t="str">
        <f t="array" ref="M22">IF($C22="","",IF(INDEX(SchedZone,$C22,MAP!$B$11)="","",INDEX(SchedZone,$C22,MAP!$B$11)))</f>
        <v/>
      </c>
      <c r="N22" s="2" t="str">
        <f t="array" ref="N22">IF($C22="","",IF(INDEX(SchedZone,$C22,MAP!$B$13)="","",INDEX(SchedZone,$C22,MAP!$B$13)))</f>
        <v/>
      </c>
      <c r="O22" s="2">
        <f t="array" ref="O22">IF($C22="","",INDEX(SchedZone,$C22,MAP!$B$15))</f>
        <v>7</v>
      </c>
      <c r="P22" s="2" t="str">
        <f>IF($C22="","",IFERROR(MATCH($E22&amp;"|"&amp;$G22&amp;"|"&amp;$I22,StatsKey,0),""))</f>
        <v/>
      </c>
      <c r="Q22" s="2">
        <f t="array" ref="Q22">IF($P22="",0,INDEX(StatsZone,$P22,MAP!$E$9)+INDEX(StatsZone,$P22,MAP!$E$10)+INDEX(StatsZone,$P22,MAP!$E$11))</f>
        <v>0</v>
      </c>
      <c r="R22" s="2">
        <f t="array" ref="R22">IF($P22="",0,INDEX(StatsZone,$P22,MAP!$E$12))</f>
        <v>0</v>
      </c>
      <c r="S22" s="2">
        <f t="array" ref="S22">IF($P22="",0,INDEX(StatsZone,$P22,MAP!$E$13))</f>
        <v>0</v>
      </c>
      <c r="T22" s="2">
        <f t="shared" si="1"/>
        <v>0</v>
      </c>
      <c r="U22" s="2">
        <f t="array" ref="U22">IF($P22="",0,INDEX(StatsZone,$P22,MAP!$E$14)+INDEX(StatsZone,$P22,MAP!$E$15)+INDEX(StatsZone,$P22,MAP!$E$16))</f>
        <v>0</v>
      </c>
      <c r="V22" s="2">
        <f t="shared" si="2"/>
        <v>0</v>
      </c>
      <c r="W22" s="2">
        <f t="shared" si="3"/>
        <v>0</v>
      </c>
      <c r="X22" s="2">
        <f t="shared" si="4"/>
        <v>0</v>
      </c>
      <c r="Y22" s="2">
        <f t="shared" si="5"/>
        <v>0</v>
      </c>
      <c r="Z22" s="2">
        <f t="shared" si="6"/>
        <v>0</v>
      </c>
      <c r="AA22" s="2">
        <f t="shared" si="7"/>
        <v>-1</v>
      </c>
      <c r="AB22" s="2">
        <f>IF(OR($M22="",$N22=""),0,MEDIAN(-MarginCap,MarginCap,($M22-$N22)-$AA22*HFA_Base))</f>
        <v>0</v>
      </c>
      <c r="AC22" s="2">
        <f t="array" ref="AC22">IF(OR($P22="",INDEX($P$3:$P$722,(ROW()+IF(MOD(ROW()-3,2)=0,1,-1))-3+1)=""),0,MEDIAN(-MarginCap,MarginCap,($T22-$W22)-$AA22*HFA_Base))</f>
        <v>0</v>
      </c>
      <c r="AD22" s="2">
        <f t="shared" si="8"/>
        <v>0</v>
      </c>
      <c r="AE22" s="2">
        <f>IF(OR($M22="",$N22=""),0,IF(AND(WEpa&gt;0,$AD22=1),(1-WEpa)*$AB22+WEpa*$AC22,$AB22))</f>
        <v>0</v>
      </c>
      <c r="AF22" s="2">
        <f>IF(AND($C22&lt;&gt;"",$E22=CurrentSeason,$F22="REG",ISNUMBER($G22),$G22&lt;CurrentWeek,AND($M22&lt;&gt;"",$N22&lt;&gt;"")),1,0)</f>
        <v>0</v>
      </c>
      <c r="AG22" s="2">
        <f>IF($AF22=0,0,IF($G22&gt;=CurrentWeek-RecencyWin,RecencyMult,1))</f>
        <v>0</v>
      </c>
      <c r="AH22" s="2">
        <f>IF(AND($C22&lt;&gt;"",$E22=CurrentSeason,$F22="REG",ISNUMBER($G22),$G22&lt;CurrentWeek-1,AND($M22&lt;&gt;"",$N22&lt;&gt;"")),1,0)</f>
        <v>0</v>
      </c>
      <c r="AI22" s="2">
        <f>IF($AH22=0,0,IF($G22&gt;=CurrentWeek-1-RecencyWin,RecencyMult,1))</f>
        <v>0</v>
      </c>
      <c r="AJ22" s="2">
        <f>IF($AF22=0,0,IF($G22&gt;=CurrentWeek-RecencyWin,TotRecency,1))</f>
        <v>0</v>
      </c>
      <c r="AK22" s="2">
        <f t="shared" si="9"/>
        <v>0</v>
      </c>
      <c r="AL22" s="2">
        <f t="shared" si="10"/>
        <v>0</v>
      </c>
      <c r="AM22" s="2" t="str">
        <f t="array" ref="AM22">IF($K22="",0,IFERROR(INDEX(CALC!$F$2:$F$33,MATCH($K22,CALC!$A$2:$A$33,0)),0))</f>
        <v/>
      </c>
      <c r="AN22" s="2" t="str">
        <f t="array" ref="AN22">IF($K22="",0,IFERROR(INDEX(CALC!$I$2:$I$33,MATCH($K22,CALC!$A$2:$A$33,0)),0))</f>
        <v/>
      </c>
      <c r="AO22" s="2" t="str">
        <f t="array" ref="AO22">IF($K22="",0,IFERROR(INDEX(CALC!$L$2:$L$33,MATCH($K22,CALC!$A$2:$A$33,0)),0))</f>
        <v/>
      </c>
      <c r="AP22" s="2" t="str">
        <f t="array" ref="AP22">IF($K22="",0,IFERROR(INDEX(CALC!$T$2:$T$33,MATCH($K22,CALC!$A$2:$A$33,0)),0))</f>
        <v/>
      </c>
      <c r="AQ22" s="2" t="str">
        <f t="array" ref="AQ22">IF($K22="",0,IFERROR(INDEX(CALC!$W$2:$W$33,MATCH($K22,CALC!$A$2:$A$33,0)),0))</f>
        <v/>
      </c>
      <c r="AR22" s="2" t="str">
        <f t="array" ref="AR22">IF($K22="",0,IFERROR(INDEX(CALC!$Z$2:$Z$33,MATCH($K22,CALC!$A$2:$A$33,0)),0))</f>
        <v/>
      </c>
      <c r="AS22" s="2" t="str">
        <f t="array" ref="AS22">IF($K22="",0,IFERROR(INDEX(CALC!$AJ$2:$AJ$33,MATCH($K22,CALC!$A$2:$A$33,0)),0))</f>
        <v/>
      </c>
      <c r="AT22" s="2" t="str">
        <f t="array" ref="AT22">IF($K22="",0,IFERROR(INDEX(CALC!$AI$2:$AI$33,MATCH($K22,CALC!$A$2:$A$33,0)),0))</f>
        <v/>
      </c>
      <c r="AU22" s="2">
        <f t="shared" si="11"/>
        <v>0</v>
      </c>
      <c r="AV22" s="2">
        <f t="shared" si="12"/>
        <v>0</v>
      </c>
    </row>
    <row r="23" ht="15.0" customHeight="1">
      <c r="A23" s="2">
        <v>11.0</v>
      </c>
      <c r="B23" s="2" t="s">
        <v>2365</v>
      </c>
      <c r="C23" s="2">
        <f>IFERROR(MATCH($A23,SchedSeq,0),"")</f>
        <v>296</v>
      </c>
      <c r="D23" s="2" t="str">
        <f t="array" ref="D23">IF($C23="","",INDEX(SchedZone,$C23,MAP!$B$6))</f>
        <v>2026_01_ARI_LAC</v>
      </c>
      <c r="E23" s="2">
        <f t="array" ref="E23">IF($C23="","",INDEX(SchedZone,$C23,MAP!$B$3))</f>
        <v>2026</v>
      </c>
      <c r="F23" s="2" t="str">
        <f t="array" ref="F23">IF($C23="","",INDEX(SchedZone,$C23,MAP!$B$5))</f>
        <v>REG</v>
      </c>
      <c r="G23" s="2">
        <f t="array" ref="G23">IF($C23="","",INDEX(SchedZone,$C23,MAP!$B$4))</f>
        <v>1</v>
      </c>
      <c r="H23" s="2" t="str">
        <f t="array" ref="H23">IF($C23="","",INDEX(SchedZone,$C23,MAP!$B$12))</f>
        <v>LAC</v>
      </c>
      <c r="I23" s="2" t="str">
        <f t="array" ref="I23">IF($H23="","",IF(COUNTIF(Teams,$H23)&gt;0,$H23,IFERROR(INDEX(LISTS!$D$2:$D$12,MATCH($H23,LISTS!$C$2:$C$12,0)),"⚠ "&amp;$H23)))</f>
        <v>LAC</v>
      </c>
      <c r="J23" s="2" t="str">
        <f t="array" ref="J23">IF($C23="","",INDEX(SchedZone,$C23,MAP!$B$10))</f>
        <v>ARI</v>
      </c>
      <c r="K23" s="2" t="str">
        <f t="array" ref="K23">IF($J23="","",IF(COUNTIF(Teams,$J23)&gt;0,$J23,IFERROR(INDEX(LISTS!$D$2:$D$12,MATCH($J23,LISTS!$C$2:$C$12,0)),"⚠ "&amp;$J23)))</f>
        <v>ARI</v>
      </c>
      <c r="L23" s="2" t="str">
        <f t="array" ref="L23">IF($C23="","",IF(INDEX(SchedZone,$C23,MAP!$B$14)="Neutral","N",IF($B23="HOME","H","A")))</f>
        <v>H</v>
      </c>
      <c r="M23" s="2" t="str">
        <f t="array" ref="M23">IF($C23="","",IF(INDEX(SchedZone,$C23,MAP!$B$13)="","",INDEX(SchedZone,$C23,MAP!$B$13)))</f>
        <v/>
      </c>
      <c r="N23" s="2" t="str">
        <f t="array" ref="N23">IF($C23="","",IF(INDEX(SchedZone,$C23,MAP!$B$11)="","",INDEX(SchedZone,$C23,MAP!$B$11)))</f>
        <v/>
      </c>
      <c r="O23" s="2">
        <f t="array" ref="O23">IF($C23="","",INDEX(SchedZone,$C23,MAP!$B$16))</f>
        <v>7</v>
      </c>
      <c r="P23" s="2" t="str">
        <f>IF($C23="","",IFERROR(MATCH($E23&amp;"|"&amp;$G23&amp;"|"&amp;$I23,StatsKey,0),""))</f>
        <v/>
      </c>
      <c r="Q23" s="2">
        <f t="array" ref="Q23">IF($P23="",0,INDEX(StatsZone,$P23,MAP!$E$9)+INDEX(StatsZone,$P23,MAP!$E$10)+INDEX(StatsZone,$P23,MAP!$E$11))</f>
        <v>0</v>
      </c>
      <c r="R23" s="2">
        <f t="array" ref="R23">IF($P23="",0,INDEX(StatsZone,$P23,MAP!$E$12))</f>
        <v>0</v>
      </c>
      <c r="S23" s="2">
        <f t="array" ref="S23">IF($P23="",0,INDEX(StatsZone,$P23,MAP!$E$13))</f>
        <v>0</v>
      </c>
      <c r="T23" s="2">
        <f t="shared" si="1"/>
        <v>0</v>
      </c>
      <c r="U23" s="2">
        <f t="array" ref="U23">IF($P23="",0,INDEX(StatsZone,$P23,MAP!$E$14)+INDEX(StatsZone,$P23,MAP!$E$15)+INDEX(StatsZone,$P23,MAP!$E$16))</f>
        <v>0</v>
      </c>
      <c r="V23" s="2">
        <f t="shared" si="2"/>
        <v>0</v>
      </c>
      <c r="W23" s="2">
        <f t="shared" si="3"/>
        <v>0</v>
      </c>
      <c r="X23" s="2">
        <f t="shared" si="4"/>
        <v>0</v>
      </c>
      <c r="Y23" s="2">
        <f t="shared" si="5"/>
        <v>0</v>
      </c>
      <c r="Z23" s="2">
        <f t="shared" si="6"/>
        <v>0</v>
      </c>
      <c r="AA23" s="2">
        <f t="shared" si="7"/>
        <v>1</v>
      </c>
      <c r="AB23" s="2">
        <f>IF(OR($M23="",$N23=""),0,MEDIAN(-MarginCap,MarginCap,($M23-$N23)-$AA23*HFA_Base))</f>
        <v>0</v>
      </c>
      <c r="AC23" s="2">
        <f t="array" ref="AC23">IF(OR($P23="",INDEX($P$3:$P$722,(ROW()+IF(MOD(ROW()-3,2)=0,1,-1))-3+1)=""),0,MEDIAN(-MarginCap,MarginCap,($T23-$W23)-$AA23*HFA_Base))</f>
        <v>0</v>
      </c>
      <c r="AD23" s="2">
        <f t="shared" si="8"/>
        <v>0</v>
      </c>
      <c r="AE23" s="2">
        <f>IF(OR($M23="",$N23=""),0,IF(AND(WEpa&gt;0,$AD23=1),(1-WEpa)*$AB23+WEpa*$AC23,$AB23))</f>
        <v>0</v>
      </c>
      <c r="AF23" s="2">
        <f>IF(AND($C23&lt;&gt;"",$E23=CurrentSeason,$F23="REG",ISNUMBER($G23),$G23&lt;CurrentWeek,AND($M23&lt;&gt;"",$N23&lt;&gt;"")),1,0)</f>
        <v>0</v>
      </c>
      <c r="AG23" s="2">
        <f>IF($AF23=0,0,IF($G23&gt;=CurrentWeek-RecencyWin,RecencyMult,1))</f>
        <v>0</v>
      </c>
      <c r="AH23" s="2">
        <f>IF(AND($C23&lt;&gt;"",$E23=CurrentSeason,$F23="REG",ISNUMBER($G23),$G23&lt;CurrentWeek-1,AND($M23&lt;&gt;"",$N23&lt;&gt;"")),1,0)</f>
        <v>0</v>
      </c>
      <c r="AI23" s="2">
        <f>IF($AH23=0,0,IF($G23&gt;=CurrentWeek-1-RecencyWin,RecencyMult,1))</f>
        <v>0</v>
      </c>
      <c r="AJ23" s="2">
        <f>IF($AF23=0,0,IF($G23&gt;=CurrentWeek-RecencyWin,TotRecency,1))</f>
        <v>0</v>
      </c>
      <c r="AK23" s="2">
        <f t="shared" si="9"/>
        <v>0</v>
      </c>
      <c r="AL23" s="2">
        <f t="shared" si="10"/>
        <v>0</v>
      </c>
      <c r="AM23" s="2" t="str">
        <f t="array" ref="AM23">IF($K23="",0,IFERROR(INDEX(CALC!$F$2:$F$33,MATCH($K23,CALC!$A$2:$A$33,0)),0))</f>
        <v/>
      </c>
      <c r="AN23" s="2" t="str">
        <f t="array" ref="AN23">IF($K23="",0,IFERROR(INDEX(CALC!$I$2:$I$33,MATCH($K23,CALC!$A$2:$A$33,0)),0))</f>
        <v/>
      </c>
      <c r="AO23" s="2" t="str">
        <f t="array" ref="AO23">IF($K23="",0,IFERROR(INDEX(CALC!$L$2:$L$33,MATCH($K23,CALC!$A$2:$A$33,0)),0))</f>
        <v/>
      </c>
      <c r="AP23" s="2" t="str">
        <f t="array" ref="AP23">IF($K23="",0,IFERROR(INDEX(CALC!$T$2:$T$33,MATCH($K23,CALC!$A$2:$A$33,0)),0))</f>
        <v/>
      </c>
      <c r="AQ23" s="2" t="str">
        <f t="array" ref="AQ23">IF($K23="",0,IFERROR(INDEX(CALC!$W$2:$W$33,MATCH($K23,CALC!$A$2:$A$33,0)),0))</f>
        <v/>
      </c>
      <c r="AR23" s="2" t="str">
        <f t="array" ref="AR23">IF($K23="",0,IFERROR(INDEX(CALC!$Z$2:$Z$33,MATCH($K23,CALC!$A$2:$A$33,0)),0))</f>
        <v/>
      </c>
      <c r="AS23" s="2" t="str">
        <f t="array" ref="AS23">IF($K23="",0,IFERROR(INDEX(CALC!$AJ$2:$AJ$33,MATCH($K23,CALC!$A$2:$A$33,0)),0))</f>
        <v/>
      </c>
      <c r="AT23" s="2" t="str">
        <f t="array" ref="AT23">IF($K23="",0,IFERROR(INDEX(CALC!$AI$2:$AI$33,MATCH($K23,CALC!$A$2:$A$33,0)),0))</f>
        <v/>
      </c>
      <c r="AU23" s="2">
        <f t="shared" si="11"/>
        <v>0</v>
      </c>
      <c r="AV23" s="2">
        <f t="shared" si="12"/>
        <v>0</v>
      </c>
    </row>
    <row r="24" ht="15.0" customHeight="1">
      <c r="A24" s="2">
        <v>11.0</v>
      </c>
      <c r="B24" s="2" t="s">
        <v>2366</v>
      </c>
      <c r="C24" s="2">
        <f>IFERROR(MATCH($A24,SchedSeq,0),"")</f>
        <v>296</v>
      </c>
      <c r="D24" s="2" t="str">
        <f t="array" ref="D24">IF($C24="","",INDEX(SchedZone,$C24,MAP!$B$6))</f>
        <v>2026_01_ARI_LAC</v>
      </c>
      <c r="E24" s="2">
        <f t="array" ref="E24">IF($C24="","",INDEX(SchedZone,$C24,MAP!$B$3))</f>
        <v>2026</v>
      </c>
      <c r="F24" s="2" t="str">
        <f t="array" ref="F24">IF($C24="","",INDEX(SchedZone,$C24,MAP!$B$5))</f>
        <v>REG</v>
      </c>
      <c r="G24" s="2">
        <f t="array" ref="G24">IF($C24="","",INDEX(SchedZone,$C24,MAP!$B$4))</f>
        <v>1</v>
      </c>
      <c r="H24" s="2" t="str">
        <f t="array" ref="H24">IF($C24="","",INDEX(SchedZone,$C24,MAP!$B$10))</f>
        <v>ARI</v>
      </c>
      <c r="I24" s="2" t="str">
        <f t="array" ref="I24">IF($H24="","",IF(COUNTIF(Teams,$H24)&gt;0,$H24,IFERROR(INDEX(LISTS!$D$2:$D$12,MATCH($H24,LISTS!$C$2:$C$12,0)),"⚠ "&amp;$H24)))</f>
        <v>ARI</v>
      </c>
      <c r="J24" s="2" t="str">
        <f t="array" ref="J24">IF($C24="","",INDEX(SchedZone,$C24,MAP!$B$12))</f>
        <v>LAC</v>
      </c>
      <c r="K24" s="2" t="str">
        <f t="array" ref="K24">IF($J24="","",IF(COUNTIF(Teams,$J24)&gt;0,$J24,IFERROR(INDEX(LISTS!$D$2:$D$12,MATCH($J24,LISTS!$C$2:$C$12,0)),"⚠ "&amp;$J24)))</f>
        <v>LAC</v>
      </c>
      <c r="L24" s="2" t="str">
        <f t="array" ref="L24">IF($C24="","",IF(INDEX(SchedZone,$C24,MAP!$B$14)="Neutral","N",IF($B24="HOME","H","A")))</f>
        <v>A</v>
      </c>
      <c r="M24" s="2" t="str">
        <f t="array" ref="M24">IF($C24="","",IF(INDEX(SchedZone,$C24,MAP!$B$11)="","",INDEX(SchedZone,$C24,MAP!$B$11)))</f>
        <v/>
      </c>
      <c r="N24" s="2" t="str">
        <f t="array" ref="N24">IF($C24="","",IF(INDEX(SchedZone,$C24,MAP!$B$13)="","",INDEX(SchedZone,$C24,MAP!$B$13)))</f>
        <v/>
      </c>
      <c r="O24" s="2">
        <f t="array" ref="O24">IF($C24="","",INDEX(SchedZone,$C24,MAP!$B$15))</f>
        <v>7</v>
      </c>
      <c r="P24" s="2" t="str">
        <f>IF($C24="","",IFERROR(MATCH($E24&amp;"|"&amp;$G24&amp;"|"&amp;$I24,StatsKey,0),""))</f>
        <v/>
      </c>
      <c r="Q24" s="2">
        <f t="array" ref="Q24">IF($P24="",0,INDEX(StatsZone,$P24,MAP!$E$9)+INDEX(StatsZone,$P24,MAP!$E$10)+INDEX(StatsZone,$P24,MAP!$E$11))</f>
        <v>0</v>
      </c>
      <c r="R24" s="2">
        <f t="array" ref="R24">IF($P24="",0,INDEX(StatsZone,$P24,MAP!$E$12))</f>
        <v>0</v>
      </c>
      <c r="S24" s="2">
        <f t="array" ref="S24">IF($P24="",0,INDEX(StatsZone,$P24,MAP!$E$13))</f>
        <v>0</v>
      </c>
      <c r="T24" s="2">
        <f t="shared" si="1"/>
        <v>0</v>
      </c>
      <c r="U24" s="2">
        <f t="array" ref="U24">IF($P24="",0,INDEX(StatsZone,$P24,MAP!$E$14)+INDEX(StatsZone,$P24,MAP!$E$15)+INDEX(StatsZone,$P24,MAP!$E$16))</f>
        <v>0</v>
      </c>
      <c r="V24" s="2">
        <f t="shared" si="2"/>
        <v>0</v>
      </c>
      <c r="W24" s="2">
        <f t="shared" si="3"/>
        <v>0</v>
      </c>
      <c r="X24" s="2">
        <f t="shared" si="4"/>
        <v>0</v>
      </c>
      <c r="Y24" s="2">
        <f t="shared" si="5"/>
        <v>0</v>
      </c>
      <c r="Z24" s="2">
        <f t="shared" si="6"/>
        <v>0</v>
      </c>
      <c r="AA24" s="2">
        <f t="shared" si="7"/>
        <v>-1</v>
      </c>
      <c r="AB24" s="2">
        <f>IF(OR($M24="",$N24=""),0,MEDIAN(-MarginCap,MarginCap,($M24-$N24)-$AA24*HFA_Base))</f>
        <v>0</v>
      </c>
      <c r="AC24" s="2">
        <f t="array" ref="AC24">IF(OR($P24="",INDEX($P$3:$P$722,(ROW()+IF(MOD(ROW()-3,2)=0,1,-1))-3+1)=""),0,MEDIAN(-MarginCap,MarginCap,($T24-$W24)-$AA24*HFA_Base))</f>
        <v>0</v>
      </c>
      <c r="AD24" s="2">
        <f t="shared" si="8"/>
        <v>0</v>
      </c>
      <c r="AE24" s="2">
        <f>IF(OR($M24="",$N24=""),0,IF(AND(WEpa&gt;0,$AD24=1),(1-WEpa)*$AB24+WEpa*$AC24,$AB24))</f>
        <v>0</v>
      </c>
      <c r="AF24" s="2">
        <f>IF(AND($C24&lt;&gt;"",$E24=CurrentSeason,$F24="REG",ISNUMBER($G24),$G24&lt;CurrentWeek,AND($M24&lt;&gt;"",$N24&lt;&gt;"")),1,0)</f>
        <v>0</v>
      </c>
      <c r="AG24" s="2">
        <f>IF($AF24=0,0,IF($G24&gt;=CurrentWeek-RecencyWin,RecencyMult,1))</f>
        <v>0</v>
      </c>
      <c r="AH24" s="2">
        <f>IF(AND($C24&lt;&gt;"",$E24=CurrentSeason,$F24="REG",ISNUMBER($G24),$G24&lt;CurrentWeek-1,AND($M24&lt;&gt;"",$N24&lt;&gt;"")),1,0)</f>
        <v>0</v>
      </c>
      <c r="AI24" s="2">
        <f>IF($AH24=0,0,IF($G24&gt;=CurrentWeek-1-RecencyWin,RecencyMult,1))</f>
        <v>0</v>
      </c>
      <c r="AJ24" s="2">
        <f>IF($AF24=0,0,IF($G24&gt;=CurrentWeek-RecencyWin,TotRecency,1))</f>
        <v>0</v>
      </c>
      <c r="AK24" s="2">
        <f t="shared" si="9"/>
        <v>0</v>
      </c>
      <c r="AL24" s="2">
        <f t="shared" si="10"/>
        <v>0</v>
      </c>
      <c r="AM24" s="2" t="str">
        <f t="array" ref="AM24">IF($K24="",0,IFERROR(INDEX(CALC!$F$2:$F$33,MATCH($K24,CALC!$A$2:$A$33,0)),0))</f>
        <v/>
      </c>
      <c r="AN24" s="2" t="str">
        <f t="array" ref="AN24">IF($K24="",0,IFERROR(INDEX(CALC!$I$2:$I$33,MATCH($K24,CALC!$A$2:$A$33,0)),0))</f>
        <v/>
      </c>
      <c r="AO24" s="2" t="str">
        <f t="array" ref="AO24">IF($K24="",0,IFERROR(INDEX(CALC!$L$2:$L$33,MATCH($K24,CALC!$A$2:$A$33,0)),0))</f>
        <v/>
      </c>
      <c r="AP24" s="2" t="str">
        <f t="array" ref="AP24">IF($K24="",0,IFERROR(INDEX(CALC!$T$2:$T$33,MATCH($K24,CALC!$A$2:$A$33,0)),0))</f>
        <v/>
      </c>
      <c r="AQ24" s="2" t="str">
        <f t="array" ref="AQ24">IF($K24="",0,IFERROR(INDEX(CALC!$W$2:$W$33,MATCH($K24,CALC!$A$2:$A$33,0)),0))</f>
        <v/>
      </c>
      <c r="AR24" s="2" t="str">
        <f t="array" ref="AR24">IF($K24="",0,IFERROR(INDEX(CALC!$Z$2:$Z$33,MATCH($K24,CALC!$A$2:$A$33,0)),0))</f>
        <v/>
      </c>
      <c r="AS24" s="2" t="str">
        <f t="array" ref="AS24">IF($K24="",0,IFERROR(INDEX(CALC!$AJ$2:$AJ$33,MATCH($K24,CALC!$A$2:$A$33,0)),0))</f>
        <v/>
      </c>
      <c r="AT24" s="2" t="str">
        <f t="array" ref="AT24">IF($K24="",0,IFERROR(INDEX(CALC!$AI$2:$AI$33,MATCH($K24,CALC!$A$2:$A$33,0)),0))</f>
        <v/>
      </c>
      <c r="AU24" s="2">
        <f t="shared" si="11"/>
        <v>0</v>
      </c>
      <c r="AV24" s="2">
        <f t="shared" si="12"/>
        <v>0</v>
      </c>
    </row>
    <row r="25" ht="15.0" customHeight="1">
      <c r="A25" s="2">
        <v>12.0</v>
      </c>
      <c r="B25" s="2" t="s">
        <v>2365</v>
      </c>
      <c r="C25" s="2">
        <f>IFERROR(MATCH($A25,SchedSeq,0),"")</f>
        <v>297</v>
      </c>
      <c r="D25" s="2" t="str">
        <f t="array" ref="D25">IF($C25="","",INDEX(SchedZone,$C25,MAP!$B$6))</f>
        <v>2026_01_MIA_LV</v>
      </c>
      <c r="E25" s="2">
        <f t="array" ref="E25">IF($C25="","",INDEX(SchedZone,$C25,MAP!$B$3))</f>
        <v>2026</v>
      </c>
      <c r="F25" s="2" t="str">
        <f t="array" ref="F25">IF($C25="","",INDEX(SchedZone,$C25,MAP!$B$5))</f>
        <v>REG</v>
      </c>
      <c r="G25" s="2">
        <f t="array" ref="G25">IF($C25="","",INDEX(SchedZone,$C25,MAP!$B$4))</f>
        <v>1</v>
      </c>
      <c r="H25" s="2" t="str">
        <f t="array" ref="H25">IF($C25="","",INDEX(SchedZone,$C25,MAP!$B$12))</f>
        <v>LV</v>
      </c>
      <c r="I25" s="2" t="str">
        <f t="array" ref="I25">IF($H25="","",IF(COUNTIF(Teams,$H25)&gt;0,$H25,IFERROR(INDEX(LISTS!$D$2:$D$12,MATCH($H25,LISTS!$C$2:$C$12,0)),"⚠ "&amp;$H25)))</f>
        <v>LV</v>
      </c>
      <c r="J25" s="2" t="str">
        <f t="array" ref="J25">IF($C25="","",INDEX(SchedZone,$C25,MAP!$B$10))</f>
        <v>MIA</v>
      </c>
      <c r="K25" s="2" t="str">
        <f t="array" ref="K25">IF($J25="","",IF(COUNTIF(Teams,$J25)&gt;0,$J25,IFERROR(INDEX(LISTS!$D$2:$D$12,MATCH($J25,LISTS!$C$2:$C$12,0)),"⚠ "&amp;$J25)))</f>
        <v>MIA</v>
      </c>
      <c r="L25" s="2" t="str">
        <f t="array" ref="L25">IF($C25="","",IF(INDEX(SchedZone,$C25,MAP!$B$14)="Neutral","N",IF($B25="HOME","H","A")))</f>
        <v>H</v>
      </c>
      <c r="M25" s="2" t="str">
        <f t="array" ref="M25">IF($C25="","",IF(INDEX(SchedZone,$C25,MAP!$B$13)="","",INDEX(SchedZone,$C25,MAP!$B$13)))</f>
        <v/>
      </c>
      <c r="N25" s="2" t="str">
        <f t="array" ref="N25">IF($C25="","",IF(INDEX(SchedZone,$C25,MAP!$B$11)="","",INDEX(SchedZone,$C25,MAP!$B$11)))</f>
        <v/>
      </c>
      <c r="O25" s="2">
        <f t="array" ref="O25">IF($C25="","",INDEX(SchedZone,$C25,MAP!$B$16))</f>
        <v>7</v>
      </c>
      <c r="P25" s="2" t="str">
        <f>IF($C25="","",IFERROR(MATCH($E25&amp;"|"&amp;$G25&amp;"|"&amp;$I25,StatsKey,0),""))</f>
        <v/>
      </c>
      <c r="Q25" s="2">
        <f t="array" ref="Q25">IF($P25="",0,INDEX(StatsZone,$P25,MAP!$E$9)+INDEX(StatsZone,$P25,MAP!$E$10)+INDEX(StatsZone,$P25,MAP!$E$11))</f>
        <v>0</v>
      </c>
      <c r="R25" s="2">
        <f t="array" ref="R25">IF($P25="",0,INDEX(StatsZone,$P25,MAP!$E$12))</f>
        <v>0</v>
      </c>
      <c r="S25" s="2">
        <f t="array" ref="S25">IF($P25="",0,INDEX(StatsZone,$P25,MAP!$E$13))</f>
        <v>0</v>
      </c>
      <c r="T25" s="2">
        <f t="shared" si="1"/>
        <v>0</v>
      </c>
      <c r="U25" s="2">
        <f t="array" ref="U25">IF($P25="",0,INDEX(StatsZone,$P25,MAP!$E$14)+INDEX(StatsZone,$P25,MAP!$E$15)+INDEX(StatsZone,$P25,MAP!$E$16))</f>
        <v>0</v>
      </c>
      <c r="V25" s="2">
        <f t="shared" si="2"/>
        <v>0</v>
      </c>
      <c r="W25" s="2">
        <f t="shared" si="3"/>
        <v>0</v>
      </c>
      <c r="X25" s="2">
        <f t="shared" si="4"/>
        <v>0</v>
      </c>
      <c r="Y25" s="2">
        <f t="shared" si="5"/>
        <v>0</v>
      </c>
      <c r="Z25" s="2">
        <f t="shared" si="6"/>
        <v>0</v>
      </c>
      <c r="AA25" s="2">
        <f t="shared" si="7"/>
        <v>1</v>
      </c>
      <c r="AB25" s="2">
        <f>IF(OR($M25="",$N25=""),0,MEDIAN(-MarginCap,MarginCap,($M25-$N25)-$AA25*HFA_Base))</f>
        <v>0</v>
      </c>
      <c r="AC25" s="2">
        <f t="array" ref="AC25">IF(OR($P25="",INDEX($P$3:$P$722,(ROW()+IF(MOD(ROW()-3,2)=0,1,-1))-3+1)=""),0,MEDIAN(-MarginCap,MarginCap,($T25-$W25)-$AA25*HFA_Base))</f>
        <v>0</v>
      </c>
      <c r="AD25" s="2">
        <f t="shared" si="8"/>
        <v>0</v>
      </c>
      <c r="AE25" s="2">
        <f>IF(OR($M25="",$N25=""),0,IF(AND(WEpa&gt;0,$AD25=1),(1-WEpa)*$AB25+WEpa*$AC25,$AB25))</f>
        <v>0</v>
      </c>
      <c r="AF25" s="2">
        <f>IF(AND($C25&lt;&gt;"",$E25=CurrentSeason,$F25="REG",ISNUMBER($G25),$G25&lt;CurrentWeek,AND($M25&lt;&gt;"",$N25&lt;&gt;"")),1,0)</f>
        <v>0</v>
      </c>
      <c r="AG25" s="2">
        <f>IF($AF25=0,0,IF($G25&gt;=CurrentWeek-RecencyWin,RecencyMult,1))</f>
        <v>0</v>
      </c>
      <c r="AH25" s="2">
        <f>IF(AND($C25&lt;&gt;"",$E25=CurrentSeason,$F25="REG",ISNUMBER($G25),$G25&lt;CurrentWeek-1,AND($M25&lt;&gt;"",$N25&lt;&gt;"")),1,0)</f>
        <v>0</v>
      </c>
      <c r="AI25" s="2">
        <f>IF($AH25=0,0,IF($G25&gt;=CurrentWeek-1-RecencyWin,RecencyMult,1))</f>
        <v>0</v>
      </c>
      <c r="AJ25" s="2">
        <f>IF($AF25=0,0,IF($G25&gt;=CurrentWeek-RecencyWin,TotRecency,1))</f>
        <v>0</v>
      </c>
      <c r="AK25" s="2">
        <f t="shared" si="9"/>
        <v>0</v>
      </c>
      <c r="AL25" s="2">
        <f t="shared" si="10"/>
        <v>0</v>
      </c>
      <c r="AM25" s="2" t="str">
        <f t="array" ref="AM25">IF($K25="",0,IFERROR(INDEX(CALC!$F$2:$F$33,MATCH($K25,CALC!$A$2:$A$33,0)),0))</f>
        <v/>
      </c>
      <c r="AN25" s="2" t="str">
        <f t="array" ref="AN25">IF($K25="",0,IFERROR(INDEX(CALC!$I$2:$I$33,MATCH($K25,CALC!$A$2:$A$33,0)),0))</f>
        <v/>
      </c>
      <c r="AO25" s="2" t="str">
        <f t="array" ref="AO25">IF($K25="",0,IFERROR(INDEX(CALC!$L$2:$L$33,MATCH($K25,CALC!$A$2:$A$33,0)),0))</f>
        <v/>
      </c>
      <c r="AP25" s="2" t="str">
        <f t="array" ref="AP25">IF($K25="",0,IFERROR(INDEX(CALC!$T$2:$T$33,MATCH($K25,CALC!$A$2:$A$33,0)),0))</f>
        <v/>
      </c>
      <c r="AQ25" s="2" t="str">
        <f t="array" ref="AQ25">IF($K25="",0,IFERROR(INDEX(CALC!$W$2:$W$33,MATCH($K25,CALC!$A$2:$A$33,0)),0))</f>
        <v/>
      </c>
      <c r="AR25" s="2" t="str">
        <f t="array" ref="AR25">IF($K25="",0,IFERROR(INDEX(CALC!$Z$2:$Z$33,MATCH($K25,CALC!$A$2:$A$33,0)),0))</f>
        <v/>
      </c>
      <c r="AS25" s="2" t="str">
        <f t="array" ref="AS25">IF($K25="",0,IFERROR(INDEX(CALC!$AJ$2:$AJ$33,MATCH($K25,CALC!$A$2:$A$33,0)),0))</f>
        <v/>
      </c>
      <c r="AT25" s="2" t="str">
        <f t="array" ref="AT25">IF($K25="",0,IFERROR(INDEX(CALC!$AI$2:$AI$33,MATCH($K25,CALC!$A$2:$A$33,0)),0))</f>
        <v/>
      </c>
      <c r="AU25" s="2">
        <f t="shared" si="11"/>
        <v>0</v>
      </c>
      <c r="AV25" s="2">
        <f t="shared" si="12"/>
        <v>0</v>
      </c>
    </row>
    <row r="26" ht="15.0" customHeight="1">
      <c r="A26" s="2">
        <v>12.0</v>
      </c>
      <c r="B26" s="2" t="s">
        <v>2366</v>
      </c>
      <c r="C26" s="2">
        <f>IFERROR(MATCH($A26,SchedSeq,0),"")</f>
        <v>297</v>
      </c>
      <c r="D26" s="2" t="str">
        <f t="array" ref="D26">IF($C26="","",INDEX(SchedZone,$C26,MAP!$B$6))</f>
        <v>2026_01_MIA_LV</v>
      </c>
      <c r="E26" s="2">
        <f t="array" ref="E26">IF($C26="","",INDEX(SchedZone,$C26,MAP!$B$3))</f>
        <v>2026</v>
      </c>
      <c r="F26" s="2" t="str">
        <f t="array" ref="F26">IF($C26="","",INDEX(SchedZone,$C26,MAP!$B$5))</f>
        <v>REG</v>
      </c>
      <c r="G26" s="2">
        <f t="array" ref="G26">IF($C26="","",INDEX(SchedZone,$C26,MAP!$B$4))</f>
        <v>1</v>
      </c>
      <c r="H26" s="2" t="str">
        <f t="array" ref="H26">IF($C26="","",INDEX(SchedZone,$C26,MAP!$B$10))</f>
        <v>MIA</v>
      </c>
      <c r="I26" s="2" t="str">
        <f t="array" ref="I26">IF($H26="","",IF(COUNTIF(Teams,$H26)&gt;0,$H26,IFERROR(INDEX(LISTS!$D$2:$D$12,MATCH($H26,LISTS!$C$2:$C$12,0)),"⚠ "&amp;$H26)))</f>
        <v>MIA</v>
      </c>
      <c r="J26" s="2" t="str">
        <f t="array" ref="J26">IF($C26="","",INDEX(SchedZone,$C26,MAP!$B$12))</f>
        <v>LV</v>
      </c>
      <c r="K26" s="2" t="str">
        <f t="array" ref="K26">IF($J26="","",IF(COUNTIF(Teams,$J26)&gt;0,$J26,IFERROR(INDEX(LISTS!$D$2:$D$12,MATCH($J26,LISTS!$C$2:$C$12,0)),"⚠ "&amp;$J26)))</f>
        <v>LV</v>
      </c>
      <c r="L26" s="2" t="str">
        <f t="array" ref="L26">IF($C26="","",IF(INDEX(SchedZone,$C26,MAP!$B$14)="Neutral","N",IF($B26="HOME","H","A")))</f>
        <v>A</v>
      </c>
      <c r="M26" s="2" t="str">
        <f t="array" ref="M26">IF($C26="","",IF(INDEX(SchedZone,$C26,MAP!$B$11)="","",INDEX(SchedZone,$C26,MAP!$B$11)))</f>
        <v/>
      </c>
      <c r="N26" s="2" t="str">
        <f t="array" ref="N26">IF($C26="","",IF(INDEX(SchedZone,$C26,MAP!$B$13)="","",INDEX(SchedZone,$C26,MAP!$B$13)))</f>
        <v/>
      </c>
      <c r="O26" s="2">
        <f t="array" ref="O26">IF($C26="","",INDEX(SchedZone,$C26,MAP!$B$15))</f>
        <v>7</v>
      </c>
      <c r="P26" s="2" t="str">
        <f>IF($C26="","",IFERROR(MATCH($E26&amp;"|"&amp;$G26&amp;"|"&amp;$I26,StatsKey,0),""))</f>
        <v/>
      </c>
      <c r="Q26" s="2">
        <f t="array" ref="Q26">IF($P26="",0,INDEX(StatsZone,$P26,MAP!$E$9)+INDEX(StatsZone,$P26,MAP!$E$10)+INDEX(StatsZone,$P26,MAP!$E$11))</f>
        <v>0</v>
      </c>
      <c r="R26" s="2">
        <f t="array" ref="R26">IF($P26="",0,INDEX(StatsZone,$P26,MAP!$E$12))</f>
        <v>0</v>
      </c>
      <c r="S26" s="2">
        <f t="array" ref="S26">IF($P26="",0,INDEX(StatsZone,$P26,MAP!$E$13))</f>
        <v>0</v>
      </c>
      <c r="T26" s="2">
        <f t="shared" si="1"/>
        <v>0</v>
      </c>
      <c r="U26" s="2">
        <f t="array" ref="U26">IF($P26="",0,INDEX(StatsZone,$P26,MAP!$E$14)+INDEX(StatsZone,$P26,MAP!$E$15)+INDEX(StatsZone,$P26,MAP!$E$16))</f>
        <v>0</v>
      </c>
      <c r="V26" s="2">
        <f t="shared" si="2"/>
        <v>0</v>
      </c>
      <c r="W26" s="2">
        <f t="shared" si="3"/>
        <v>0</v>
      </c>
      <c r="X26" s="2">
        <f t="shared" si="4"/>
        <v>0</v>
      </c>
      <c r="Y26" s="2">
        <f t="shared" si="5"/>
        <v>0</v>
      </c>
      <c r="Z26" s="2">
        <f t="shared" si="6"/>
        <v>0</v>
      </c>
      <c r="AA26" s="2">
        <f t="shared" si="7"/>
        <v>-1</v>
      </c>
      <c r="AB26" s="2">
        <f>IF(OR($M26="",$N26=""),0,MEDIAN(-MarginCap,MarginCap,($M26-$N26)-$AA26*HFA_Base))</f>
        <v>0</v>
      </c>
      <c r="AC26" s="2">
        <f t="array" ref="AC26">IF(OR($P26="",INDEX($P$3:$P$722,(ROW()+IF(MOD(ROW()-3,2)=0,1,-1))-3+1)=""),0,MEDIAN(-MarginCap,MarginCap,($T26-$W26)-$AA26*HFA_Base))</f>
        <v>0</v>
      </c>
      <c r="AD26" s="2">
        <f t="shared" si="8"/>
        <v>0</v>
      </c>
      <c r="AE26" s="2">
        <f>IF(OR($M26="",$N26=""),0,IF(AND(WEpa&gt;0,$AD26=1),(1-WEpa)*$AB26+WEpa*$AC26,$AB26))</f>
        <v>0</v>
      </c>
      <c r="AF26" s="2">
        <f>IF(AND($C26&lt;&gt;"",$E26=CurrentSeason,$F26="REG",ISNUMBER($G26),$G26&lt;CurrentWeek,AND($M26&lt;&gt;"",$N26&lt;&gt;"")),1,0)</f>
        <v>0</v>
      </c>
      <c r="AG26" s="2">
        <f>IF($AF26=0,0,IF($G26&gt;=CurrentWeek-RecencyWin,RecencyMult,1))</f>
        <v>0</v>
      </c>
      <c r="AH26" s="2">
        <f>IF(AND($C26&lt;&gt;"",$E26=CurrentSeason,$F26="REG",ISNUMBER($G26),$G26&lt;CurrentWeek-1,AND($M26&lt;&gt;"",$N26&lt;&gt;"")),1,0)</f>
        <v>0</v>
      </c>
      <c r="AI26" s="2">
        <f>IF($AH26=0,0,IF($G26&gt;=CurrentWeek-1-RecencyWin,RecencyMult,1))</f>
        <v>0</v>
      </c>
      <c r="AJ26" s="2">
        <f>IF($AF26=0,0,IF($G26&gt;=CurrentWeek-RecencyWin,TotRecency,1))</f>
        <v>0</v>
      </c>
      <c r="AK26" s="2">
        <f t="shared" si="9"/>
        <v>0</v>
      </c>
      <c r="AL26" s="2">
        <f t="shared" si="10"/>
        <v>0</v>
      </c>
      <c r="AM26" s="2" t="str">
        <f t="array" ref="AM26">IF($K26="",0,IFERROR(INDEX(CALC!$F$2:$F$33,MATCH($K26,CALC!$A$2:$A$33,0)),0))</f>
        <v/>
      </c>
      <c r="AN26" s="2" t="str">
        <f t="array" ref="AN26">IF($K26="",0,IFERROR(INDEX(CALC!$I$2:$I$33,MATCH($K26,CALC!$A$2:$A$33,0)),0))</f>
        <v/>
      </c>
      <c r="AO26" s="2" t="str">
        <f t="array" ref="AO26">IF($K26="",0,IFERROR(INDEX(CALC!$L$2:$L$33,MATCH($K26,CALC!$A$2:$A$33,0)),0))</f>
        <v/>
      </c>
      <c r="AP26" s="2" t="str">
        <f t="array" ref="AP26">IF($K26="",0,IFERROR(INDEX(CALC!$T$2:$T$33,MATCH($K26,CALC!$A$2:$A$33,0)),0))</f>
        <v/>
      </c>
      <c r="AQ26" s="2" t="str">
        <f t="array" ref="AQ26">IF($K26="",0,IFERROR(INDEX(CALC!$W$2:$W$33,MATCH($K26,CALC!$A$2:$A$33,0)),0))</f>
        <v/>
      </c>
      <c r="AR26" s="2" t="str">
        <f t="array" ref="AR26">IF($K26="",0,IFERROR(INDEX(CALC!$Z$2:$Z$33,MATCH($K26,CALC!$A$2:$A$33,0)),0))</f>
        <v/>
      </c>
      <c r="AS26" s="2" t="str">
        <f t="array" ref="AS26">IF($K26="",0,IFERROR(INDEX(CALC!$AJ$2:$AJ$33,MATCH($K26,CALC!$A$2:$A$33,0)),0))</f>
        <v/>
      </c>
      <c r="AT26" s="2" t="str">
        <f t="array" ref="AT26">IF($K26="",0,IFERROR(INDEX(CALC!$AI$2:$AI$33,MATCH($K26,CALC!$A$2:$A$33,0)),0))</f>
        <v/>
      </c>
      <c r="AU26" s="2">
        <f t="shared" si="11"/>
        <v>0</v>
      </c>
      <c r="AV26" s="2">
        <f t="shared" si="12"/>
        <v>0</v>
      </c>
    </row>
    <row r="27" ht="15.0" customHeight="1">
      <c r="A27" s="2">
        <v>13.0</v>
      </c>
      <c r="B27" s="2" t="s">
        <v>2365</v>
      </c>
      <c r="C27" s="2">
        <f>IFERROR(MATCH($A27,SchedSeq,0),"")</f>
        <v>298</v>
      </c>
      <c r="D27" s="2" t="str">
        <f t="array" ref="D27">IF($C27="","",INDEX(SchedZone,$C27,MAP!$B$6))</f>
        <v>2026_01_GB_MIN</v>
      </c>
      <c r="E27" s="2">
        <f t="array" ref="E27">IF($C27="","",INDEX(SchedZone,$C27,MAP!$B$3))</f>
        <v>2026</v>
      </c>
      <c r="F27" s="2" t="str">
        <f t="array" ref="F27">IF($C27="","",INDEX(SchedZone,$C27,MAP!$B$5))</f>
        <v>REG</v>
      </c>
      <c r="G27" s="2">
        <f t="array" ref="G27">IF($C27="","",INDEX(SchedZone,$C27,MAP!$B$4))</f>
        <v>1</v>
      </c>
      <c r="H27" s="2" t="str">
        <f t="array" ref="H27">IF($C27="","",INDEX(SchedZone,$C27,MAP!$B$12))</f>
        <v>MIN</v>
      </c>
      <c r="I27" s="2" t="str">
        <f t="array" ref="I27">IF($H27="","",IF(COUNTIF(Teams,$H27)&gt;0,$H27,IFERROR(INDEX(LISTS!$D$2:$D$12,MATCH($H27,LISTS!$C$2:$C$12,0)),"⚠ "&amp;$H27)))</f>
        <v>MIN</v>
      </c>
      <c r="J27" s="2" t="str">
        <f t="array" ref="J27">IF($C27="","",INDEX(SchedZone,$C27,MAP!$B$10))</f>
        <v>GB</v>
      </c>
      <c r="K27" s="2" t="str">
        <f t="array" ref="K27">IF($J27="","",IF(COUNTIF(Teams,$J27)&gt;0,$J27,IFERROR(INDEX(LISTS!$D$2:$D$12,MATCH($J27,LISTS!$C$2:$C$12,0)),"⚠ "&amp;$J27)))</f>
        <v>GB</v>
      </c>
      <c r="L27" s="2" t="str">
        <f t="array" ref="L27">IF($C27="","",IF(INDEX(SchedZone,$C27,MAP!$B$14)="Neutral","N",IF($B27="HOME","H","A")))</f>
        <v>H</v>
      </c>
      <c r="M27" s="2" t="str">
        <f t="array" ref="M27">IF($C27="","",IF(INDEX(SchedZone,$C27,MAP!$B$13)="","",INDEX(SchedZone,$C27,MAP!$B$13)))</f>
        <v/>
      </c>
      <c r="N27" s="2" t="str">
        <f t="array" ref="N27">IF($C27="","",IF(INDEX(SchedZone,$C27,MAP!$B$11)="","",INDEX(SchedZone,$C27,MAP!$B$11)))</f>
        <v/>
      </c>
      <c r="O27" s="2">
        <f t="array" ref="O27">IF($C27="","",INDEX(SchedZone,$C27,MAP!$B$16))</f>
        <v>7</v>
      </c>
      <c r="P27" s="2" t="str">
        <f>IF($C27="","",IFERROR(MATCH($E27&amp;"|"&amp;$G27&amp;"|"&amp;$I27,StatsKey,0),""))</f>
        <v/>
      </c>
      <c r="Q27" s="2">
        <f t="array" ref="Q27">IF($P27="",0,INDEX(StatsZone,$P27,MAP!$E$9)+INDEX(StatsZone,$P27,MAP!$E$10)+INDEX(StatsZone,$P27,MAP!$E$11))</f>
        <v>0</v>
      </c>
      <c r="R27" s="2">
        <f t="array" ref="R27">IF($P27="",0,INDEX(StatsZone,$P27,MAP!$E$12))</f>
        <v>0</v>
      </c>
      <c r="S27" s="2">
        <f t="array" ref="S27">IF($P27="",0,INDEX(StatsZone,$P27,MAP!$E$13))</f>
        <v>0</v>
      </c>
      <c r="T27" s="2">
        <f t="shared" si="1"/>
        <v>0</v>
      </c>
      <c r="U27" s="2">
        <f t="array" ref="U27">IF($P27="",0,INDEX(StatsZone,$P27,MAP!$E$14)+INDEX(StatsZone,$P27,MAP!$E$15)+INDEX(StatsZone,$P27,MAP!$E$16))</f>
        <v>0</v>
      </c>
      <c r="V27" s="2">
        <f t="shared" si="2"/>
        <v>0</v>
      </c>
      <c r="W27" s="2">
        <f t="shared" si="3"/>
        <v>0</v>
      </c>
      <c r="X27" s="2">
        <f t="shared" si="4"/>
        <v>0</v>
      </c>
      <c r="Y27" s="2">
        <f t="shared" si="5"/>
        <v>0</v>
      </c>
      <c r="Z27" s="2">
        <f t="shared" si="6"/>
        <v>0</v>
      </c>
      <c r="AA27" s="2">
        <f t="shared" si="7"/>
        <v>1</v>
      </c>
      <c r="AB27" s="2">
        <f>IF(OR($M27="",$N27=""),0,MEDIAN(-MarginCap,MarginCap,($M27-$N27)-$AA27*HFA_Base))</f>
        <v>0</v>
      </c>
      <c r="AC27" s="2">
        <f t="array" ref="AC27">IF(OR($P27="",INDEX($P$3:$P$722,(ROW()+IF(MOD(ROW()-3,2)=0,1,-1))-3+1)=""),0,MEDIAN(-MarginCap,MarginCap,($T27-$W27)-$AA27*HFA_Base))</f>
        <v>0</v>
      </c>
      <c r="AD27" s="2">
        <f t="shared" si="8"/>
        <v>0</v>
      </c>
      <c r="AE27" s="2">
        <f>IF(OR($M27="",$N27=""),0,IF(AND(WEpa&gt;0,$AD27=1),(1-WEpa)*$AB27+WEpa*$AC27,$AB27))</f>
        <v>0</v>
      </c>
      <c r="AF27" s="2">
        <f>IF(AND($C27&lt;&gt;"",$E27=CurrentSeason,$F27="REG",ISNUMBER($G27),$G27&lt;CurrentWeek,AND($M27&lt;&gt;"",$N27&lt;&gt;"")),1,0)</f>
        <v>0</v>
      </c>
      <c r="AG27" s="2">
        <f>IF($AF27=0,0,IF($G27&gt;=CurrentWeek-RecencyWin,RecencyMult,1))</f>
        <v>0</v>
      </c>
      <c r="AH27" s="2">
        <f>IF(AND($C27&lt;&gt;"",$E27=CurrentSeason,$F27="REG",ISNUMBER($G27),$G27&lt;CurrentWeek-1,AND($M27&lt;&gt;"",$N27&lt;&gt;"")),1,0)</f>
        <v>0</v>
      </c>
      <c r="AI27" s="2">
        <f>IF($AH27=0,0,IF($G27&gt;=CurrentWeek-1-RecencyWin,RecencyMult,1))</f>
        <v>0</v>
      </c>
      <c r="AJ27" s="2">
        <f>IF($AF27=0,0,IF($G27&gt;=CurrentWeek-RecencyWin,TotRecency,1))</f>
        <v>0</v>
      </c>
      <c r="AK27" s="2">
        <f t="shared" si="9"/>
        <v>0</v>
      </c>
      <c r="AL27" s="2">
        <f t="shared" si="10"/>
        <v>0</v>
      </c>
      <c r="AM27" s="2" t="str">
        <f t="array" ref="AM27">IF($K27="",0,IFERROR(INDEX(CALC!$F$2:$F$33,MATCH($K27,CALC!$A$2:$A$33,0)),0))</f>
        <v/>
      </c>
      <c r="AN27" s="2" t="str">
        <f t="array" ref="AN27">IF($K27="",0,IFERROR(INDEX(CALC!$I$2:$I$33,MATCH($K27,CALC!$A$2:$A$33,0)),0))</f>
        <v/>
      </c>
      <c r="AO27" s="2" t="str">
        <f t="array" ref="AO27">IF($K27="",0,IFERROR(INDEX(CALC!$L$2:$L$33,MATCH($K27,CALC!$A$2:$A$33,0)),0))</f>
        <v/>
      </c>
      <c r="AP27" s="2" t="str">
        <f t="array" ref="AP27">IF($K27="",0,IFERROR(INDEX(CALC!$T$2:$T$33,MATCH($K27,CALC!$A$2:$A$33,0)),0))</f>
        <v/>
      </c>
      <c r="AQ27" s="2" t="str">
        <f t="array" ref="AQ27">IF($K27="",0,IFERROR(INDEX(CALC!$W$2:$W$33,MATCH($K27,CALC!$A$2:$A$33,0)),0))</f>
        <v/>
      </c>
      <c r="AR27" s="2" t="str">
        <f t="array" ref="AR27">IF($K27="",0,IFERROR(INDEX(CALC!$Z$2:$Z$33,MATCH($K27,CALC!$A$2:$A$33,0)),0))</f>
        <v/>
      </c>
      <c r="AS27" s="2" t="str">
        <f t="array" ref="AS27">IF($K27="",0,IFERROR(INDEX(CALC!$AJ$2:$AJ$33,MATCH($K27,CALC!$A$2:$A$33,0)),0))</f>
        <v/>
      </c>
      <c r="AT27" s="2" t="str">
        <f t="array" ref="AT27">IF($K27="",0,IFERROR(INDEX(CALC!$AI$2:$AI$33,MATCH($K27,CALC!$A$2:$A$33,0)),0))</f>
        <v/>
      </c>
      <c r="AU27" s="2">
        <f t="shared" si="11"/>
        <v>0</v>
      </c>
      <c r="AV27" s="2">
        <f t="shared" si="12"/>
        <v>0</v>
      </c>
    </row>
    <row r="28" ht="15.0" customHeight="1">
      <c r="A28" s="2">
        <v>13.0</v>
      </c>
      <c r="B28" s="2" t="s">
        <v>2366</v>
      </c>
      <c r="C28" s="2">
        <f>IFERROR(MATCH($A28,SchedSeq,0),"")</f>
        <v>298</v>
      </c>
      <c r="D28" s="2" t="str">
        <f t="array" ref="D28">IF($C28="","",INDEX(SchedZone,$C28,MAP!$B$6))</f>
        <v>2026_01_GB_MIN</v>
      </c>
      <c r="E28" s="2">
        <f t="array" ref="E28">IF($C28="","",INDEX(SchedZone,$C28,MAP!$B$3))</f>
        <v>2026</v>
      </c>
      <c r="F28" s="2" t="str">
        <f t="array" ref="F28">IF($C28="","",INDEX(SchedZone,$C28,MAP!$B$5))</f>
        <v>REG</v>
      </c>
      <c r="G28" s="2">
        <f t="array" ref="G28">IF($C28="","",INDEX(SchedZone,$C28,MAP!$B$4))</f>
        <v>1</v>
      </c>
      <c r="H28" s="2" t="str">
        <f t="array" ref="H28">IF($C28="","",INDEX(SchedZone,$C28,MAP!$B$10))</f>
        <v>GB</v>
      </c>
      <c r="I28" s="2" t="str">
        <f t="array" ref="I28">IF($H28="","",IF(COUNTIF(Teams,$H28)&gt;0,$H28,IFERROR(INDEX(LISTS!$D$2:$D$12,MATCH($H28,LISTS!$C$2:$C$12,0)),"⚠ "&amp;$H28)))</f>
        <v>GB</v>
      </c>
      <c r="J28" s="2" t="str">
        <f t="array" ref="J28">IF($C28="","",INDEX(SchedZone,$C28,MAP!$B$12))</f>
        <v>MIN</v>
      </c>
      <c r="K28" s="2" t="str">
        <f t="array" ref="K28">IF($J28="","",IF(COUNTIF(Teams,$J28)&gt;0,$J28,IFERROR(INDEX(LISTS!$D$2:$D$12,MATCH($J28,LISTS!$C$2:$C$12,0)),"⚠ "&amp;$J28)))</f>
        <v>MIN</v>
      </c>
      <c r="L28" s="2" t="str">
        <f t="array" ref="L28">IF($C28="","",IF(INDEX(SchedZone,$C28,MAP!$B$14)="Neutral","N",IF($B28="HOME","H","A")))</f>
        <v>A</v>
      </c>
      <c r="M28" s="2" t="str">
        <f t="array" ref="M28">IF($C28="","",IF(INDEX(SchedZone,$C28,MAP!$B$11)="","",INDEX(SchedZone,$C28,MAP!$B$11)))</f>
        <v/>
      </c>
      <c r="N28" s="2" t="str">
        <f t="array" ref="N28">IF($C28="","",IF(INDEX(SchedZone,$C28,MAP!$B$13)="","",INDEX(SchedZone,$C28,MAP!$B$13)))</f>
        <v/>
      </c>
      <c r="O28" s="2">
        <f t="array" ref="O28">IF($C28="","",INDEX(SchedZone,$C28,MAP!$B$15))</f>
        <v>7</v>
      </c>
      <c r="P28" s="2" t="str">
        <f>IF($C28="","",IFERROR(MATCH($E28&amp;"|"&amp;$G28&amp;"|"&amp;$I28,StatsKey,0),""))</f>
        <v/>
      </c>
      <c r="Q28" s="2">
        <f t="array" ref="Q28">IF($P28="",0,INDEX(StatsZone,$P28,MAP!$E$9)+INDEX(StatsZone,$P28,MAP!$E$10)+INDEX(StatsZone,$P28,MAP!$E$11))</f>
        <v>0</v>
      </c>
      <c r="R28" s="2">
        <f t="array" ref="R28">IF($P28="",0,INDEX(StatsZone,$P28,MAP!$E$12))</f>
        <v>0</v>
      </c>
      <c r="S28" s="2">
        <f t="array" ref="S28">IF($P28="",0,INDEX(StatsZone,$P28,MAP!$E$13))</f>
        <v>0</v>
      </c>
      <c r="T28" s="2">
        <f t="shared" si="1"/>
        <v>0</v>
      </c>
      <c r="U28" s="2">
        <f t="array" ref="U28">IF($P28="",0,INDEX(StatsZone,$P28,MAP!$E$14)+INDEX(StatsZone,$P28,MAP!$E$15)+INDEX(StatsZone,$P28,MAP!$E$16))</f>
        <v>0</v>
      </c>
      <c r="V28" s="2">
        <f t="shared" si="2"/>
        <v>0</v>
      </c>
      <c r="W28" s="2">
        <f t="shared" si="3"/>
        <v>0</v>
      </c>
      <c r="X28" s="2">
        <f t="shared" si="4"/>
        <v>0</v>
      </c>
      <c r="Y28" s="2">
        <f t="shared" si="5"/>
        <v>0</v>
      </c>
      <c r="Z28" s="2">
        <f t="shared" si="6"/>
        <v>0</v>
      </c>
      <c r="AA28" s="2">
        <f t="shared" si="7"/>
        <v>-1</v>
      </c>
      <c r="AB28" s="2">
        <f>IF(OR($M28="",$N28=""),0,MEDIAN(-MarginCap,MarginCap,($M28-$N28)-$AA28*HFA_Base))</f>
        <v>0</v>
      </c>
      <c r="AC28" s="2">
        <f t="array" ref="AC28">IF(OR($P28="",INDEX($P$3:$P$722,(ROW()+IF(MOD(ROW()-3,2)=0,1,-1))-3+1)=""),0,MEDIAN(-MarginCap,MarginCap,($T28-$W28)-$AA28*HFA_Base))</f>
        <v>0</v>
      </c>
      <c r="AD28" s="2">
        <f t="shared" si="8"/>
        <v>0</v>
      </c>
      <c r="AE28" s="2">
        <f>IF(OR($M28="",$N28=""),0,IF(AND(WEpa&gt;0,$AD28=1),(1-WEpa)*$AB28+WEpa*$AC28,$AB28))</f>
        <v>0</v>
      </c>
      <c r="AF28" s="2">
        <f>IF(AND($C28&lt;&gt;"",$E28=CurrentSeason,$F28="REG",ISNUMBER($G28),$G28&lt;CurrentWeek,AND($M28&lt;&gt;"",$N28&lt;&gt;"")),1,0)</f>
        <v>0</v>
      </c>
      <c r="AG28" s="2">
        <f>IF($AF28=0,0,IF($G28&gt;=CurrentWeek-RecencyWin,RecencyMult,1))</f>
        <v>0</v>
      </c>
      <c r="AH28" s="2">
        <f>IF(AND($C28&lt;&gt;"",$E28=CurrentSeason,$F28="REG",ISNUMBER($G28),$G28&lt;CurrentWeek-1,AND($M28&lt;&gt;"",$N28&lt;&gt;"")),1,0)</f>
        <v>0</v>
      </c>
      <c r="AI28" s="2">
        <f>IF($AH28=0,0,IF($G28&gt;=CurrentWeek-1-RecencyWin,RecencyMult,1))</f>
        <v>0</v>
      </c>
      <c r="AJ28" s="2">
        <f>IF($AF28=0,0,IF($G28&gt;=CurrentWeek-RecencyWin,TotRecency,1))</f>
        <v>0</v>
      </c>
      <c r="AK28" s="2">
        <f t="shared" si="9"/>
        <v>0</v>
      </c>
      <c r="AL28" s="2">
        <f t="shared" si="10"/>
        <v>0</v>
      </c>
      <c r="AM28" s="2" t="str">
        <f t="array" ref="AM28">IF($K28="",0,IFERROR(INDEX(CALC!$F$2:$F$33,MATCH($K28,CALC!$A$2:$A$33,0)),0))</f>
        <v/>
      </c>
      <c r="AN28" s="2" t="str">
        <f t="array" ref="AN28">IF($K28="",0,IFERROR(INDEX(CALC!$I$2:$I$33,MATCH($K28,CALC!$A$2:$A$33,0)),0))</f>
        <v/>
      </c>
      <c r="AO28" s="2" t="str">
        <f t="array" ref="AO28">IF($K28="",0,IFERROR(INDEX(CALC!$L$2:$L$33,MATCH($K28,CALC!$A$2:$A$33,0)),0))</f>
        <v/>
      </c>
      <c r="AP28" s="2" t="str">
        <f t="array" ref="AP28">IF($K28="",0,IFERROR(INDEX(CALC!$T$2:$T$33,MATCH($K28,CALC!$A$2:$A$33,0)),0))</f>
        <v/>
      </c>
      <c r="AQ28" s="2" t="str">
        <f t="array" ref="AQ28">IF($K28="",0,IFERROR(INDEX(CALC!$W$2:$W$33,MATCH($K28,CALC!$A$2:$A$33,0)),0))</f>
        <v/>
      </c>
      <c r="AR28" s="2" t="str">
        <f t="array" ref="AR28">IF($K28="",0,IFERROR(INDEX(CALC!$Z$2:$Z$33,MATCH($K28,CALC!$A$2:$A$33,0)),0))</f>
        <v/>
      </c>
      <c r="AS28" s="2" t="str">
        <f t="array" ref="AS28">IF($K28="",0,IFERROR(INDEX(CALC!$AJ$2:$AJ$33,MATCH($K28,CALC!$A$2:$A$33,0)),0))</f>
        <v/>
      </c>
      <c r="AT28" s="2" t="str">
        <f t="array" ref="AT28">IF($K28="",0,IFERROR(INDEX(CALC!$AI$2:$AI$33,MATCH($K28,CALC!$A$2:$A$33,0)),0))</f>
        <v/>
      </c>
      <c r="AU28" s="2">
        <f t="shared" si="11"/>
        <v>0</v>
      </c>
      <c r="AV28" s="2">
        <f t="shared" si="12"/>
        <v>0</v>
      </c>
    </row>
    <row r="29" ht="15.0" customHeight="1">
      <c r="A29" s="2">
        <v>14.0</v>
      </c>
      <c r="B29" s="2" t="s">
        <v>2365</v>
      </c>
      <c r="C29" s="2">
        <f>IFERROR(MATCH($A29,SchedSeq,0),"")</f>
        <v>299</v>
      </c>
      <c r="D29" s="2" t="str">
        <f t="array" ref="D29">IF($C29="","",INDEX(SchedZone,$C29,MAP!$B$6))</f>
        <v>2026_01_WAS_PHI</v>
      </c>
      <c r="E29" s="2">
        <f t="array" ref="E29">IF($C29="","",INDEX(SchedZone,$C29,MAP!$B$3))</f>
        <v>2026</v>
      </c>
      <c r="F29" s="2" t="str">
        <f t="array" ref="F29">IF($C29="","",INDEX(SchedZone,$C29,MAP!$B$5))</f>
        <v>REG</v>
      </c>
      <c r="G29" s="2">
        <f t="array" ref="G29">IF($C29="","",INDEX(SchedZone,$C29,MAP!$B$4))</f>
        <v>1</v>
      </c>
      <c r="H29" s="2" t="str">
        <f t="array" ref="H29">IF($C29="","",INDEX(SchedZone,$C29,MAP!$B$12))</f>
        <v>PHI</v>
      </c>
      <c r="I29" s="2" t="str">
        <f t="array" ref="I29">IF($H29="","",IF(COUNTIF(Teams,$H29)&gt;0,$H29,IFERROR(INDEX(LISTS!$D$2:$D$12,MATCH($H29,LISTS!$C$2:$C$12,0)),"⚠ "&amp;$H29)))</f>
        <v>PHI</v>
      </c>
      <c r="J29" s="2" t="str">
        <f t="array" ref="J29">IF($C29="","",INDEX(SchedZone,$C29,MAP!$B$10))</f>
        <v>WAS</v>
      </c>
      <c r="K29" s="2" t="str">
        <f t="array" ref="K29">IF($J29="","",IF(COUNTIF(Teams,$J29)&gt;0,$J29,IFERROR(INDEX(LISTS!$D$2:$D$12,MATCH($J29,LISTS!$C$2:$C$12,0)),"⚠ "&amp;$J29)))</f>
        <v>WAS</v>
      </c>
      <c r="L29" s="2" t="str">
        <f t="array" ref="L29">IF($C29="","",IF(INDEX(SchedZone,$C29,MAP!$B$14)="Neutral","N",IF($B29="HOME","H","A")))</f>
        <v>H</v>
      </c>
      <c r="M29" s="2" t="str">
        <f t="array" ref="M29">IF($C29="","",IF(INDEX(SchedZone,$C29,MAP!$B$13)="","",INDEX(SchedZone,$C29,MAP!$B$13)))</f>
        <v/>
      </c>
      <c r="N29" s="2" t="str">
        <f t="array" ref="N29">IF($C29="","",IF(INDEX(SchedZone,$C29,MAP!$B$11)="","",INDEX(SchedZone,$C29,MAP!$B$11)))</f>
        <v/>
      </c>
      <c r="O29" s="2">
        <f t="array" ref="O29">IF($C29="","",INDEX(SchedZone,$C29,MAP!$B$16))</f>
        <v>7</v>
      </c>
      <c r="P29" s="2" t="str">
        <f>IF($C29="","",IFERROR(MATCH($E29&amp;"|"&amp;$G29&amp;"|"&amp;$I29,StatsKey,0),""))</f>
        <v/>
      </c>
      <c r="Q29" s="2">
        <f t="array" ref="Q29">IF($P29="",0,INDEX(StatsZone,$P29,MAP!$E$9)+INDEX(StatsZone,$P29,MAP!$E$10)+INDEX(StatsZone,$P29,MAP!$E$11))</f>
        <v>0</v>
      </c>
      <c r="R29" s="2">
        <f t="array" ref="R29">IF($P29="",0,INDEX(StatsZone,$P29,MAP!$E$12))</f>
        <v>0</v>
      </c>
      <c r="S29" s="2">
        <f t="array" ref="S29">IF($P29="",0,INDEX(StatsZone,$P29,MAP!$E$13))</f>
        <v>0</v>
      </c>
      <c r="T29" s="2">
        <f t="shared" si="1"/>
        <v>0</v>
      </c>
      <c r="U29" s="2">
        <f t="array" ref="U29">IF($P29="",0,INDEX(StatsZone,$P29,MAP!$E$14)+INDEX(StatsZone,$P29,MAP!$E$15)+INDEX(StatsZone,$P29,MAP!$E$16))</f>
        <v>0</v>
      </c>
      <c r="V29" s="2">
        <f t="shared" si="2"/>
        <v>0</v>
      </c>
      <c r="W29" s="2">
        <f t="shared" si="3"/>
        <v>0</v>
      </c>
      <c r="X29" s="2">
        <f t="shared" si="4"/>
        <v>0</v>
      </c>
      <c r="Y29" s="2">
        <f t="shared" si="5"/>
        <v>0</v>
      </c>
      <c r="Z29" s="2">
        <f t="shared" si="6"/>
        <v>0</v>
      </c>
      <c r="AA29" s="2">
        <f t="shared" si="7"/>
        <v>1</v>
      </c>
      <c r="AB29" s="2">
        <f>IF(OR($M29="",$N29=""),0,MEDIAN(-MarginCap,MarginCap,($M29-$N29)-$AA29*HFA_Base))</f>
        <v>0</v>
      </c>
      <c r="AC29" s="2">
        <f t="array" ref="AC29">IF(OR($P29="",INDEX($P$3:$P$722,(ROW()+IF(MOD(ROW()-3,2)=0,1,-1))-3+1)=""),0,MEDIAN(-MarginCap,MarginCap,($T29-$W29)-$AA29*HFA_Base))</f>
        <v>0</v>
      </c>
      <c r="AD29" s="2">
        <f t="shared" si="8"/>
        <v>0</v>
      </c>
      <c r="AE29" s="2">
        <f>IF(OR($M29="",$N29=""),0,IF(AND(WEpa&gt;0,$AD29=1),(1-WEpa)*$AB29+WEpa*$AC29,$AB29))</f>
        <v>0</v>
      </c>
      <c r="AF29" s="2">
        <f>IF(AND($C29&lt;&gt;"",$E29=CurrentSeason,$F29="REG",ISNUMBER($G29),$G29&lt;CurrentWeek,AND($M29&lt;&gt;"",$N29&lt;&gt;"")),1,0)</f>
        <v>0</v>
      </c>
      <c r="AG29" s="2">
        <f>IF($AF29=0,0,IF($G29&gt;=CurrentWeek-RecencyWin,RecencyMult,1))</f>
        <v>0</v>
      </c>
      <c r="AH29" s="2">
        <f>IF(AND($C29&lt;&gt;"",$E29=CurrentSeason,$F29="REG",ISNUMBER($G29),$G29&lt;CurrentWeek-1,AND($M29&lt;&gt;"",$N29&lt;&gt;"")),1,0)</f>
        <v>0</v>
      </c>
      <c r="AI29" s="2">
        <f>IF($AH29=0,0,IF($G29&gt;=CurrentWeek-1-RecencyWin,RecencyMult,1))</f>
        <v>0</v>
      </c>
      <c r="AJ29" s="2">
        <f>IF($AF29=0,0,IF($G29&gt;=CurrentWeek-RecencyWin,TotRecency,1))</f>
        <v>0</v>
      </c>
      <c r="AK29" s="2">
        <f t="shared" si="9"/>
        <v>0</v>
      </c>
      <c r="AL29" s="2">
        <f t="shared" si="10"/>
        <v>0</v>
      </c>
      <c r="AM29" s="2" t="str">
        <f t="array" ref="AM29">IF($K29="",0,IFERROR(INDEX(CALC!$F$2:$F$33,MATCH($K29,CALC!$A$2:$A$33,0)),0))</f>
        <v/>
      </c>
      <c r="AN29" s="2" t="str">
        <f t="array" ref="AN29">IF($K29="",0,IFERROR(INDEX(CALC!$I$2:$I$33,MATCH($K29,CALC!$A$2:$A$33,0)),0))</f>
        <v/>
      </c>
      <c r="AO29" s="2" t="str">
        <f t="array" ref="AO29">IF($K29="",0,IFERROR(INDEX(CALC!$L$2:$L$33,MATCH($K29,CALC!$A$2:$A$33,0)),0))</f>
        <v/>
      </c>
      <c r="AP29" s="2" t="str">
        <f t="array" ref="AP29">IF($K29="",0,IFERROR(INDEX(CALC!$T$2:$T$33,MATCH($K29,CALC!$A$2:$A$33,0)),0))</f>
        <v/>
      </c>
      <c r="AQ29" s="2" t="str">
        <f t="array" ref="AQ29">IF($K29="",0,IFERROR(INDEX(CALC!$W$2:$W$33,MATCH($K29,CALC!$A$2:$A$33,0)),0))</f>
        <v/>
      </c>
      <c r="AR29" s="2" t="str">
        <f t="array" ref="AR29">IF($K29="",0,IFERROR(INDEX(CALC!$Z$2:$Z$33,MATCH($K29,CALC!$A$2:$A$33,0)),0))</f>
        <v/>
      </c>
      <c r="AS29" s="2" t="str">
        <f t="array" ref="AS29">IF($K29="",0,IFERROR(INDEX(CALC!$AJ$2:$AJ$33,MATCH($K29,CALC!$A$2:$A$33,0)),0))</f>
        <v/>
      </c>
      <c r="AT29" s="2" t="str">
        <f t="array" ref="AT29">IF($K29="",0,IFERROR(INDEX(CALC!$AI$2:$AI$33,MATCH($K29,CALC!$A$2:$A$33,0)),0))</f>
        <v/>
      </c>
      <c r="AU29" s="2">
        <f t="shared" si="11"/>
        <v>0</v>
      </c>
      <c r="AV29" s="2">
        <f t="shared" si="12"/>
        <v>0</v>
      </c>
    </row>
    <row r="30" ht="15.0" customHeight="1">
      <c r="A30" s="2">
        <v>14.0</v>
      </c>
      <c r="B30" s="2" t="s">
        <v>2366</v>
      </c>
      <c r="C30" s="2">
        <f>IFERROR(MATCH($A30,SchedSeq,0),"")</f>
        <v>299</v>
      </c>
      <c r="D30" s="2" t="str">
        <f t="array" ref="D30">IF($C30="","",INDEX(SchedZone,$C30,MAP!$B$6))</f>
        <v>2026_01_WAS_PHI</v>
      </c>
      <c r="E30" s="2">
        <f t="array" ref="E30">IF($C30="","",INDEX(SchedZone,$C30,MAP!$B$3))</f>
        <v>2026</v>
      </c>
      <c r="F30" s="2" t="str">
        <f t="array" ref="F30">IF($C30="","",INDEX(SchedZone,$C30,MAP!$B$5))</f>
        <v>REG</v>
      </c>
      <c r="G30" s="2">
        <f t="array" ref="G30">IF($C30="","",INDEX(SchedZone,$C30,MAP!$B$4))</f>
        <v>1</v>
      </c>
      <c r="H30" s="2" t="str">
        <f t="array" ref="H30">IF($C30="","",INDEX(SchedZone,$C30,MAP!$B$10))</f>
        <v>WAS</v>
      </c>
      <c r="I30" s="2" t="str">
        <f t="array" ref="I30">IF($H30="","",IF(COUNTIF(Teams,$H30)&gt;0,$H30,IFERROR(INDEX(LISTS!$D$2:$D$12,MATCH($H30,LISTS!$C$2:$C$12,0)),"⚠ "&amp;$H30)))</f>
        <v>WAS</v>
      </c>
      <c r="J30" s="2" t="str">
        <f t="array" ref="J30">IF($C30="","",INDEX(SchedZone,$C30,MAP!$B$12))</f>
        <v>PHI</v>
      </c>
      <c r="K30" s="2" t="str">
        <f t="array" ref="K30">IF($J30="","",IF(COUNTIF(Teams,$J30)&gt;0,$J30,IFERROR(INDEX(LISTS!$D$2:$D$12,MATCH($J30,LISTS!$C$2:$C$12,0)),"⚠ "&amp;$J30)))</f>
        <v>PHI</v>
      </c>
      <c r="L30" s="2" t="str">
        <f t="array" ref="L30">IF($C30="","",IF(INDEX(SchedZone,$C30,MAP!$B$14)="Neutral","N",IF($B30="HOME","H","A")))</f>
        <v>A</v>
      </c>
      <c r="M30" s="2" t="str">
        <f t="array" ref="M30">IF($C30="","",IF(INDEX(SchedZone,$C30,MAP!$B$11)="","",INDEX(SchedZone,$C30,MAP!$B$11)))</f>
        <v/>
      </c>
      <c r="N30" s="2" t="str">
        <f t="array" ref="N30">IF($C30="","",IF(INDEX(SchedZone,$C30,MAP!$B$13)="","",INDEX(SchedZone,$C30,MAP!$B$13)))</f>
        <v/>
      </c>
      <c r="O30" s="2">
        <f t="array" ref="O30">IF($C30="","",INDEX(SchedZone,$C30,MAP!$B$15))</f>
        <v>7</v>
      </c>
      <c r="P30" s="2" t="str">
        <f>IF($C30="","",IFERROR(MATCH($E30&amp;"|"&amp;$G30&amp;"|"&amp;$I30,StatsKey,0),""))</f>
        <v/>
      </c>
      <c r="Q30" s="2">
        <f t="array" ref="Q30">IF($P30="",0,INDEX(StatsZone,$P30,MAP!$E$9)+INDEX(StatsZone,$P30,MAP!$E$10)+INDEX(StatsZone,$P30,MAP!$E$11))</f>
        <v>0</v>
      </c>
      <c r="R30" s="2">
        <f t="array" ref="R30">IF($P30="",0,INDEX(StatsZone,$P30,MAP!$E$12))</f>
        <v>0</v>
      </c>
      <c r="S30" s="2">
        <f t="array" ref="S30">IF($P30="",0,INDEX(StatsZone,$P30,MAP!$E$13))</f>
        <v>0</v>
      </c>
      <c r="T30" s="2">
        <f t="shared" si="1"/>
        <v>0</v>
      </c>
      <c r="U30" s="2">
        <f t="array" ref="U30">IF($P30="",0,INDEX(StatsZone,$P30,MAP!$E$14)+INDEX(StatsZone,$P30,MAP!$E$15)+INDEX(StatsZone,$P30,MAP!$E$16))</f>
        <v>0</v>
      </c>
      <c r="V30" s="2">
        <f t="shared" si="2"/>
        <v>0</v>
      </c>
      <c r="W30" s="2">
        <f t="shared" si="3"/>
        <v>0</v>
      </c>
      <c r="X30" s="2">
        <f t="shared" si="4"/>
        <v>0</v>
      </c>
      <c r="Y30" s="2">
        <f t="shared" si="5"/>
        <v>0</v>
      </c>
      <c r="Z30" s="2">
        <f t="shared" si="6"/>
        <v>0</v>
      </c>
      <c r="AA30" s="2">
        <f t="shared" si="7"/>
        <v>-1</v>
      </c>
      <c r="AB30" s="2">
        <f>IF(OR($M30="",$N30=""),0,MEDIAN(-MarginCap,MarginCap,($M30-$N30)-$AA30*HFA_Base))</f>
        <v>0</v>
      </c>
      <c r="AC30" s="2">
        <f t="array" ref="AC30">IF(OR($P30="",INDEX($P$3:$P$722,(ROW()+IF(MOD(ROW()-3,2)=0,1,-1))-3+1)=""),0,MEDIAN(-MarginCap,MarginCap,($T30-$W30)-$AA30*HFA_Base))</f>
        <v>0</v>
      </c>
      <c r="AD30" s="2">
        <f t="shared" si="8"/>
        <v>0</v>
      </c>
      <c r="AE30" s="2">
        <f>IF(OR($M30="",$N30=""),0,IF(AND(WEpa&gt;0,$AD30=1),(1-WEpa)*$AB30+WEpa*$AC30,$AB30))</f>
        <v>0</v>
      </c>
      <c r="AF30" s="2">
        <f>IF(AND($C30&lt;&gt;"",$E30=CurrentSeason,$F30="REG",ISNUMBER($G30),$G30&lt;CurrentWeek,AND($M30&lt;&gt;"",$N30&lt;&gt;"")),1,0)</f>
        <v>0</v>
      </c>
      <c r="AG30" s="2">
        <f>IF($AF30=0,0,IF($G30&gt;=CurrentWeek-RecencyWin,RecencyMult,1))</f>
        <v>0</v>
      </c>
      <c r="AH30" s="2">
        <f>IF(AND($C30&lt;&gt;"",$E30=CurrentSeason,$F30="REG",ISNUMBER($G30),$G30&lt;CurrentWeek-1,AND($M30&lt;&gt;"",$N30&lt;&gt;"")),1,0)</f>
        <v>0</v>
      </c>
      <c r="AI30" s="2">
        <f>IF($AH30=0,0,IF($G30&gt;=CurrentWeek-1-RecencyWin,RecencyMult,1))</f>
        <v>0</v>
      </c>
      <c r="AJ30" s="2">
        <f>IF($AF30=0,0,IF($G30&gt;=CurrentWeek-RecencyWin,TotRecency,1))</f>
        <v>0</v>
      </c>
      <c r="AK30" s="2">
        <f t="shared" si="9"/>
        <v>0</v>
      </c>
      <c r="AL30" s="2">
        <f t="shared" si="10"/>
        <v>0</v>
      </c>
      <c r="AM30" s="2" t="str">
        <f t="array" ref="AM30">IF($K30="",0,IFERROR(INDEX(CALC!$F$2:$F$33,MATCH($K30,CALC!$A$2:$A$33,0)),0))</f>
        <v/>
      </c>
      <c r="AN30" s="2" t="str">
        <f t="array" ref="AN30">IF($K30="",0,IFERROR(INDEX(CALC!$I$2:$I$33,MATCH($K30,CALC!$A$2:$A$33,0)),0))</f>
        <v/>
      </c>
      <c r="AO30" s="2" t="str">
        <f t="array" ref="AO30">IF($K30="",0,IFERROR(INDEX(CALC!$L$2:$L$33,MATCH($K30,CALC!$A$2:$A$33,0)),0))</f>
        <v/>
      </c>
      <c r="AP30" s="2" t="str">
        <f t="array" ref="AP30">IF($K30="",0,IFERROR(INDEX(CALC!$T$2:$T$33,MATCH($K30,CALC!$A$2:$A$33,0)),0))</f>
        <v/>
      </c>
      <c r="AQ30" s="2" t="str">
        <f t="array" ref="AQ30">IF($K30="",0,IFERROR(INDEX(CALC!$W$2:$W$33,MATCH($K30,CALC!$A$2:$A$33,0)),0))</f>
        <v/>
      </c>
      <c r="AR30" s="2" t="str">
        <f t="array" ref="AR30">IF($K30="",0,IFERROR(INDEX(CALC!$Z$2:$Z$33,MATCH($K30,CALC!$A$2:$A$33,0)),0))</f>
        <v/>
      </c>
      <c r="AS30" s="2" t="str">
        <f t="array" ref="AS30">IF($K30="",0,IFERROR(INDEX(CALC!$AJ$2:$AJ$33,MATCH($K30,CALC!$A$2:$A$33,0)),0))</f>
        <v/>
      </c>
      <c r="AT30" s="2" t="str">
        <f t="array" ref="AT30">IF($K30="",0,IFERROR(INDEX(CALC!$AI$2:$AI$33,MATCH($K30,CALC!$A$2:$A$33,0)),0))</f>
        <v/>
      </c>
      <c r="AU30" s="2">
        <f t="shared" si="11"/>
        <v>0</v>
      </c>
      <c r="AV30" s="2">
        <f t="shared" si="12"/>
        <v>0</v>
      </c>
    </row>
    <row r="31" ht="15.0" customHeight="1">
      <c r="A31" s="2">
        <v>15.0</v>
      </c>
      <c r="B31" s="2" t="s">
        <v>2365</v>
      </c>
      <c r="C31" s="2">
        <f>IFERROR(MATCH($A31,SchedSeq,0),"")</f>
        <v>300</v>
      </c>
      <c r="D31" s="2" t="str">
        <f t="array" ref="D31">IF($C31="","",INDEX(SchedZone,$C31,MAP!$B$6))</f>
        <v>2026_01_DAL_NYG</v>
      </c>
      <c r="E31" s="2">
        <f t="array" ref="E31">IF($C31="","",INDEX(SchedZone,$C31,MAP!$B$3))</f>
        <v>2026</v>
      </c>
      <c r="F31" s="2" t="str">
        <f t="array" ref="F31">IF($C31="","",INDEX(SchedZone,$C31,MAP!$B$5))</f>
        <v>REG</v>
      </c>
      <c r="G31" s="2">
        <f t="array" ref="G31">IF($C31="","",INDEX(SchedZone,$C31,MAP!$B$4))</f>
        <v>1</v>
      </c>
      <c r="H31" s="2" t="str">
        <f t="array" ref="H31">IF($C31="","",INDEX(SchedZone,$C31,MAP!$B$12))</f>
        <v>NYG</v>
      </c>
      <c r="I31" s="2" t="str">
        <f t="array" ref="I31">IF($H31="","",IF(COUNTIF(Teams,$H31)&gt;0,$H31,IFERROR(INDEX(LISTS!$D$2:$D$12,MATCH($H31,LISTS!$C$2:$C$12,0)),"⚠ "&amp;$H31)))</f>
        <v>NYG</v>
      </c>
      <c r="J31" s="2" t="str">
        <f t="array" ref="J31">IF($C31="","",INDEX(SchedZone,$C31,MAP!$B$10))</f>
        <v>DAL</v>
      </c>
      <c r="K31" s="2" t="str">
        <f t="array" ref="K31">IF($J31="","",IF(COUNTIF(Teams,$J31)&gt;0,$J31,IFERROR(INDEX(LISTS!$D$2:$D$12,MATCH($J31,LISTS!$C$2:$C$12,0)),"⚠ "&amp;$J31)))</f>
        <v>DAL</v>
      </c>
      <c r="L31" s="2" t="str">
        <f t="array" ref="L31">IF($C31="","",IF(INDEX(SchedZone,$C31,MAP!$B$14)="Neutral","N",IF($B31="HOME","H","A")))</f>
        <v>H</v>
      </c>
      <c r="M31" s="2" t="str">
        <f t="array" ref="M31">IF($C31="","",IF(INDEX(SchedZone,$C31,MAP!$B$13)="","",INDEX(SchedZone,$C31,MAP!$B$13)))</f>
        <v/>
      </c>
      <c r="N31" s="2" t="str">
        <f t="array" ref="N31">IF($C31="","",IF(INDEX(SchedZone,$C31,MAP!$B$11)="","",INDEX(SchedZone,$C31,MAP!$B$11)))</f>
        <v/>
      </c>
      <c r="O31" s="2">
        <f t="array" ref="O31">IF($C31="","",INDEX(SchedZone,$C31,MAP!$B$16))</f>
        <v>7</v>
      </c>
      <c r="P31" s="2" t="str">
        <f>IF($C31="","",IFERROR(MATCH($E31&amp;"|"&amp;$G31&amp;"|"&amp;$I31,StatsKey,0),""))</f>
        <v/>
      </c>
      <c r="Q31" s="2">
        <f t="array" ref="Q31">IF($P31="",0,INDEX(StatsZone,$P31,MAP!$E$9)+INDEX(StatsZone,$P31,MAP!$E$10)+INDEX(StatsZone,$P31,MAP!$E$11))</f>
        <v>0</v>
      </c>
      <c r="R31" s="2">
        <f t="array" ref="R31">IF($P31="",0,INDEX(StatsZone,$P31,MAP!$E$12))</f>
        <v>0</v>
      </c>
      <c r="S31" s="2">
        <f t="array" ref="S31">IF($P31="",0,INDEX(StatsZone,$P31,MAP!$E$13))</f>
        <v>0</v>
      </c>
      <c r="T31" s="2">
        <f t="shared" si="1"/>
        <v>0</v>
      </c>
      <c r="U31" s="2">
        <f t="array" ref="U31">IF($P31="",0,INDEX(StatsZone,$P31,MAP!$E$14)+INDEX(StatsZone,$P31,MAP!$E$15)+INDEX(StatsZone,$P31,MAP!$E$16))</f>
        <v>0</v>
      </c>
      <c r="V31" s="2">
        <f t="shared" si="2"/>
        <v>0</v>
      </c>
      <c r="W31" s="2">
        <f t="shared" si="3"/>
        <v>0</v>
      </c>
      <c r="X31" s="2">
        <f t="shared" si="4"/>
        <v>0</v>
      </c>
      <c r="Y31" s="2">
        <f t="shared" si="5"/>
        <v>0</v>
      </c>
      <c r="Z31" s="2">
        <f t="shared" si="6"/>
        <v>0</v>
      </c>
      <c r="AA31" s="2">
        <f t="shared" si="7"/>
        <v>1</v>
      </c>
      <c r="AB31" s="2">
        <f>IF(OR($M31="",$N31=""),0,MEDIAN(-MarginCap,MarginCap,($M31-$N31)-$AA31*HFA_Base))</f>
        <v>0</v>
      </c>
      <c r="AC31" s="2">
        <f t="array" ref="AC31">IF(OR($P31="",INDEX($P$3:$P$722,(ROW()+IF(MOD(ROW()-3,2)=0,1,-1))-3+1)=""),0,MEDIAN(-MarginCap,MarginCap,($T31-$W31)-$AA31*HFA_Base))</f>
        <v>0</v>
      </c>
      <c r="AD31" s="2">
        <f t="shared" si="8"/>
        <v>0</v>
      </c>
      <c r="AE31" s="2">
        <f>IF(OR($M31="",$N31=""),0,IF(AND(WEpa&gt;0,$AD31=1),(1-WEpa)*$AB31+WEpa*$AC31,$AB31))</f>
        <v>0</v>
      </c>
      <c r="AF31" s="2">
        <f>IF(AND($C31&lt;&gt;"",$E31=CurrentSeason,$F31="REG",ISNUMBER($G31),$G31&lt;CurrentWeek,AND($M31&lt;&gt;"",$N31&lt;&gt;"")),1,0)</f>
        <v>0</v>
      </c>
      <c r="AG31" s="2">
        <f>IF($AF31=0,0,IF($G31&gt;=CurrentWeek-RecencyWin,RecencyMult,1))</f>
        <v>0</v>
      </c>
      <c r="AH31" s="2">
        <f>IF(AND($C31&lt;&gt;"",$E31=CurrentSeason,$F31="REG",ISNUMBER($G31),$G31&lt;CurrentWeek-1,AND($M31&lt;&gt;"",$N31&lt;&gt;"")),1,0)</f>
        <v>0</v>
      </c>
      <c r="AI31" s="2">
        <f>IF($AH31=0,0,IF($G31&gt;=CurrentWeek-1-RecencyWin,RecencyMult,1))</f>
        <v>0</v>
      </c>
      <c r="AJ31" s="2">
        <f>IF($AF31=0,0,IF($G31&gt;=CurrentWeek-RecencyWin,TotRecency,1))</f>
        <v>0</v>
      </c>
      <c r="AK31" s="2">
        <f t="shared" si="9"/>
        <v>0</v>
      </c>
      <c r="AL31" s="2">
        <f t="shared" si="10"/>
        <v>0</v>
      </c>
      <c r="AM31" s="2" t="str">
        <f t="array" ref="AM31">IF($K31="",0,IFERROR(INDEX(CALC!$F$2:$F$33,MATCH($K31,CALC!$A$2:$A$33,0)),0))</f>
        <v/>
      </c>
      <c r="AN31" s="2" t="str">
        <f t="array" ref="AN31">IF($K31="",0,IFERROR(INDEX(CALC!$I$2:$I$33,MATCH($K31,CALC!$A$2:$A$33,0)),0))</f>
        <v/>
      </c>
      <c r="AO31" s="2" t="str">
        <f t="array" ref="AO31">IF($K31="",0,IFERROR(INDEX(CALC!$L$2:$L$33,MATCH($K31,CALC!$A$2:$A$33,0)),0))</f>
        <v/>
      </c>
      <c r="AP31" s="2" t="str">
        <f t="array" ref="AP31">IF($K31="",0,IFERROR(INDEX(CALC!$T$2:$T$33,MATCH($K31,CALC!$A$2:$A$33,0)),0))</f>
        <v/>
      </c>
      <c r="AQ31" s="2" t="str">
        <f t="array" ref="AQ31">IF($K31="",0,IFERROR(INDEX(CALC!$W$2:$W$33,MATCH($K31,CALC!$A$2:$A$33,0)),0))</f>
        <v/>
      </c>
      <c r="AR31" s="2" t="str">
        <f t="array" ref="AR31">IF($K31="",0,IFERROR(INDEX(CALC!$Z$2:$Z$33,MATCH($K31,CALC!$A$2:$A$33,0)),0))</f>
        <v/>
      </c>
      <c r="AS31" s="2" t="str">
        <f t="array" ref="AS31">IF($K31="",0,IFERROR(INDEX(CALC!$AJ$2:$AJ$33,MATCH($K31,CALC!$A$2:$A$33,0)),0))</f>
        <v/>
      </c>
      <c r="AT31" s="2" t="str">
        <f t="array" ref="AT31">IF($K31="",0,IFERROR(INDEX(CALC!$AI$2:$AI$33,MATCH($K31,CALC!$A$2:$A$33,0)),0))</f>
        <v/>
      </c>
      <c r="AU31" s="2">
        <f t="shared" si="11"/>
        <v>0</v>
      </c>
      <c r="AV31" s="2">
        <f t="shared" si="12"/>
        <v>0</v>
      </c>
    </row>
    <row r="32" ht="15.0" customHeight="1">
      <c r="A32" s="2">
        <v>15.0</v>
      </c>
      <c r="B32" s="2" t="s">
        <v>2366</v>
      </c>
      <c r="C32" s="2">
        <f>IFERROR(MATCH($A32,SchedSeq,0),"")</f>
        <v>300</v>
      </c>
      <c r="D32" s="2" t="str">
        <f t="array" ref="D32">IF($C32="","",INDEX(SchedZone,$C32,MAP!$B$6))</f>
        <v>2026_01_DAL_NYG</v>
      </c>
      <c r="E32" s="2">
        <f t="array" ref="E32">IF($C32="","",INDEX(SchedZone,$C32,MAP!$B$3))</f>
        <v>2026</v>
      </c>
      <c r="F32" s="2" t="str">
        <f t="array" ref="F32">IF($C32="","",INDEX(SchedZone,$C32,MAP!$B$5))</f>
        <v>REG</v>
      </c>
      <c r="G32" s="2">
        <f t="array" ref="G32">IF($C32="","",INDEX(SchedZone,$C32,MAP!$B$4))</f>
        <v>1</v>
      </c>
      <c r="H32" s="2" t="str">
        <f t="array" ref="H32">IF($C32="","",INDEX(SchedZone,$C32,MAP!$B$10))</f>
        <v>DAL</v>
      </c>
      <c r="I32" s="2" t="str">
        <f t="array" ref="I32">IF($H32="","",IF(COUNTIF(Teams,$H32)&gt;0,$H32,IFERROR(INDEX(LISTS!$D$2:$D$12,MATCH($H32,LISTS!$C$2:$C$12,0)),"⚠ "&amp;$H32)))</f>
        <v>DAL</v>
      </c>
      <c r="J32" s="2" t="str">
        <f t="array" ref="J32">IF($C32="","",INDEX(SchedZone,$C32,MAP!$B$12))</f>
        <v>NYG</v>
      </c>
      <c r="K32" s="2" t="str">
        <f t="array" ref="K32">IF($J32="","",IF(COUNTIF(Teams,$J32)&gt;0,$J32,IFERROR(INDEX(LISTS!$D$2:$D$12,MATCH($J32,LISTS!$C$2:$C$12,0)),"⚠ "&amp;$J32)))</f>
        <v>NYG</v>
      </c>
      <c r="L32" s="2" t="str">
        <f t="array" ref="L32">IF($C32="","",IF(INDEX(SchedZone,$C32,MAP!$B$14)="Neutral","N",IF($B32="HOME","H","A")))</f>
        <v>A</v>
      </c>
      <c r="M32" s="2" t="str">
        <f t="array" ref="M32">IF($C32="","",IF(INDEX(SchedZone,$C32,MAP!$B$11)="","",INDEX(SchedZone,$C32,MAP!$B$11)))</f>
        <v/>
      </c>
      <c r="N32" s="2" t="str">
        <f t="array" ref="N32">IF($C32="","",IF(INDEX(SchedZone,$C32,MAP!$B$13)="","",INDEX(SchedZone,$C32,MAP!$B$13)))</f>
        <v/>
      </c>
      <c r="O32" s="2">
        <f t="array" ref="O32">IF($C32="","",INDEX(SchedZone,$C32,MAP!$B$15))</f>
        <v>7</v>
      </c>
      <c r="P32" s="2" t="str">
        <f>IF($C32="","",IFERROR(MATCH($E32&amp;"|"&amp;$G32&amp;"|"&amp;$I32,StatsKey,0),""))</f>
        <v/>
      </c>
      <c r="Q32" s="2">
        <f t="array" ref="Q32">IF($P32="",0,INDEX(StatsZone,$P32,MAP!$E$9)+INDEX(StatsZone,$P32,MAP!$E$10)+INDEX(StatsZone,$P32,MAP!$E$11))</f>
        <v>0</v>
      </c>
      <c r="R32" s="2">
        <f t="array" ref="R32">IF($P32="",0,INDEX(StatsZone,$P32,MAP!$E$12))</f>
        <v>0</v>
      </c>
      <c r="S32" s="2">
        <f t="array" ref="S32">IF($P32="",0,INDEX(StatsZone,$P32,MAP!$E$13))</f>
        <v>0</v>
      </c>
      <c r="T32" s="2">
        <f t="shared" si="1"/>
        <v>0</v>
      </c>
      <c r="U32" s="2">
        <f t="array" ref="U32">IF($P32="",0,INDEX(StatsZone,$P32,MAP!$E$14)+INDEX(StatsZone,$P32,MAP!$E$15)+INDEX(StatsZone,$P32,MAP!$E$16))</f>
        <v>0</v>
      </c>
      <c r="V32" s="2">
        <f t="shared" si="2"/>
        <v>0</v>
      </c>
      <c r="W32" s="2">
        <f t="shared" si="3"/>
        <v>0</v>
      </c>
      <c r="X32" s="2">
        <f t="shared" si="4"/>
        <v>0</v>
      </c>
      <c r="Y32" s="2">
        <f t="shared" si="5"/>
        <v>0</v>
      </c>
      <c r="Z32" s="2">
        <f t="shared" si="6"/>
        <v>0</v>
      </c>
      <c r="AA32" s="2">
        <f t="shared" si="7"/>
        <v>-1</v>
      </c>
      <c r="AB32" s="2">
        <f>IF(OR($M32="",$N32=""),0,MEDIAN(-MarginCap,MarginCap,($M32-$N32)-$AA32*HFA_Base))</f>
        <v>0</v>
      </c>
      <c r="AC32" s="2">
        <f t="array" ref="AC32">IF(OR($P32="",INDEX($P$3:$P$722,(ROW()+IF(MOD(ROW()-3,2)=0,1,-1))-3+1)=""),0,MEDIAN(-MarginCap,MarginCap,($T32-$W32)-$AA32*HFA_Base))</f>
        <v>0</v>
      </c>
      <c r="AD32" s="2">
        <f t="shared" si="8"/>
        <v>0</v>
      </c>
      <c r="AE32" s="2">
        <f>IF(OR($M32="",$N32=""),0,IF(AND(WEpa&gt;0,$AD32=1),(1-WEpa)*$AB32+WEpa*$AC32,$AB32))</f>
        <v>0</v>
      </c>
      <c r="AF32" s="2">
        <f>IF(AND($C32&lt;&gt;"",$E32=CurrentSeason,$F32="REG",ISNUMBER($G32),$G32&lt;CurrentWeek,AND($M32&lt;&gt;"",$N32&lt;&gt;"")),1,0)</f>
        <v>0</v>
      </c>
      <c r="AG32" s="2">
        <f>IF($AF32=0,0,IF($G32&gt;=CurrentWeek-RecencyWin,RecencyMult,1))</f>
        <v>0</v>
      </c>
      <c r="AH32" s="2">
        <f>IF(AND($C32&lt;&gt;"",$E32=CurrentSeason,$F32="REG",ISNUMBER($G32),$G32&lt;CurrentWeek-1,AND($M32&lt;&gt;"",$N32&lt;&gt;"")),1,0)</f>
        <v>0</v>
      </c>
      <c r="AI32" s="2">
        <f>IF($AH32=0,0,IF($G32&gt;=CurrentWeek-1-RecencyWin,RecencyMult,1))</f>
        <v>0</v>
      </c>
      <c r="AJ32" s="2">
        <f>IF($AF32=0,0,IF($G32&gt;=CurrentWeek-RecencyWin,TotRecency,1))</f>
        <v>0</v>
      </c>
      <c r="AK32" s="2">
        <f t="shared" si="9"/>
        <v>0</v>
      </c>
      <c r="AL32" s="2">
        <f t="shared" si="10"/>
        <v>0</v>
      </c>
      <c r="AM32" s="2" t="str">
        <f t="array" ref="AM32">IF($K32="",0,IFERROR(INDEX(CALC!$F$2:$F$33,MATCH($K32,CALC!$A$2:$A$33,0)),0))</f>
        <v/>
      </c>
      <c r="AN32" s="2" t="str">
        <f t="array" ref="AN32">IF($K32="",0,IFERROR(INDEX(CALC!$I$2:$I$33,MATCH($K32,CALC!$A$2:$A$33,0)),0))</f>
        <v/>
      </c>
      <c r="AO32" s="2" t="str">
        <f t="array" ref="AO32">IF($K32="",0,IFERROR(INDEX(CALC!$L$2:$L$33,MATCH($K32,CALC!$A$2:$A$33,0)),0))</f>
        <v/>
      </c>
      <c r="AP32" s="2" t="str">
        <f t="array" ref="AP32">IF($K32="",0,IFERROR(INDEX(CALC!$T$2:$T$33,MATCH($K32,CALC!$A$2:$A$33,0)),0))</f>
        <v/>
      </c>
      <c r="AQ32" s="2" t="str">
        <f t="array" ref="AQ32">IF($K32="",0,IFERROR(INDEX(CALC!$W$2:$W$33,MATCH($K32,CALC!$A$2:$A$33,0)),0))</f>
        <v/>
      </c>
      <c r="AR32" s="2" t="str">
        <f t="array" ref="AR32">IF($K32="",0,IFERROR(INDEX(CALC!$Z$2:$Z$33,MATCH($K32,CALC!$A$2:$A$33,0)),0))</f>
        <v/>
      </c>
      <c r="AS32" s="2" t="str">
        <f t="array" ref="AS32">IF($K32="",0,IFERROR(INDEX(CALC!$AJ$2:$AJ$33,MATCH($K32,CALC!$A$2:$A$33,0)),0))</f>
        <v/>
      </c>
      <c r="AT32" s="2" t="str">
        <f t="array" ref="AT32">IF($K32="",0,IFERROR(INDEX(CALC!$AI$2:$AI$33,MATCH($K32,CALC!$A$2:$A$33,0)),0))</f>
        <v/>
      </c>
      <c r="AU32" s="2">
        <f t="shared" si="11"/>
        <v>0</v>
      </c>
      <c r="AV32" s="2">
        <f t="shared" si="12"/>
        <v>0</v>
      </c>
    </row>
    <row r="33" ht="15.0" customHeight="1">
      <c r="A33" s="2">
        <v>16.0</v>
      </c>
      <c r="B33" s="2" t="s">
        <v>2365</v>
      </c>
      <c r="C33" s="2">
        <f>IFERROR(MATCH($A33,SchedSeq,0),"")</f>
        <v>301</v>
      </c>
      <c r="D33" s="2" t="str">
        <f t="array" ref="D33">IF($C33="","",INDEX(SchedZone,$C33,MAP!$B$6))</f>
        <v>2026_01_DEN_KC</v>
      </c>
      <c r="E33" s="2">
        <f t="array" ref="E33">IF($C33="","",INDEX(SchedZone,$C33,MAP!$B$3))</f>
        <v>2026</v>
      </c>
      <c r="F33" s="2" t="str">
        <f t="array" ref="F33">IF($C33="","",INDEX(SchedZone,$C33,MAP!$B$5))</f>
        <v>REG</v>
      </c>
      <c r="G33" s="2">
        <f t="array" ref="G33">IF($C33="","",INDEX(SchedZone,$C33,MAP!$B$4))</f>
        <v>1</v>
      </c>
      <c r="H33" s="2" t="str">
        <f t="array" ref="H33">IF($C33="","",INDEX(SchedZone,$C33,MAP!$B$12))</f>
        <v>KC</v>
      </c>
      <c r="I33" s="2" t="str">
        <f t="array" ref="I33">IF($H33="","",IF(COUNTIF(Teams,$H33)&gt;0,$H33,IFERROR(INDEX(LISTS!$D$2:$D$12,MATCH($H33,LISTS!$C$2:$C$12,0)),"⚠ "&amp;$H33)))</f>
        <v>KC</v>
      </c>
      <c r="J33" s="2" t="str">
        <f t="array" ref="J33">IF($C33="","",INDEX(SchedZone,$C33,MAP!$B$10))</f>
        <v>DEN</v>
      </c>
      <c r="K33" s="2" t="str">
        <f t="array" ref="K33">IF($J33="","",IF(COUNTIF(Teams,$J33)&gt;0,$J33,IFERROR(INDEX(LISTS!$D$2:$D$12,MATCH($J33,LISTS!$C$2:$C$12,0)),"⚠ "&amp;$J33)))</f>
        <v>DEN</v>
      </c>
      <c r="L33" s="2" t="str">
        <f t="array" ref="L33">IF($C33="","",IF(INDEX(SchedZone,$C33,MAP!$B$14)="Neutral","N",IF($B33="HOME","H","A")))</f>
        <v>H</v>
      </c>
      <c r="M33" s="2" t="str">
        <f t="array" ref="M33">IF($C33="","",IF(INDEX(SchedZone,$C33,MAP!$B$13)="","",INDEX(SchedZone,$C33,MAP!$B$13)))</f>
        <v/>
      </c>
      <c r="N33" s="2" t="str">
        <f t="array" ref="N33">IF($C33="","",IF(INDEX(SchedZone,$C33,MAP!$B$11)="","",INDEX(SchedZone,$C33,MAP!$B$11)))</f>
        <v/>
      </c>
      <c r="O33" s="2">
        <f t="array" ref="O33">IF($C33="","",INDEX(SchedZone,$C33,MAP!$B$16))</f>
        <v>7</v>
      </c>
      <c r="P33" s="2" t="str">
        <f>IF($C33="","",IFERROR(MATCH($E33&amp;"|"&amp;$G33&amp;"|"&amp;$I33,StatsKey,0),""))</f>
        <v/>
      </c>
      <c r="Q33" s="2">
        <f t="array" ref="Q33">IF($P33="",0,INDEX(StatsZone,$P33,MAP!$E$9)+INDEX(StatsZone,$P33,MAP!$E$10)+INDEX(StatsZone,$P33,MAP!$E$11))</f>
        <v>0</v>
      </c>
      <c r="R33" s="2">
        <f t="array" ref="R33">IF($P33="",0,INDEX(StatsZone,$P33,MAP!$E$12))</f>
        <v>0</v>
      </c>
      <c r="S33" s="2">
        <f t="array" ref="S33">IF($P33="",0,INDEX(StatsZone,$P33,MAP!$E$13))</f>
        <v>0</v>
      </c>
      <c r="T33" s="2">
        <f t="shared" si="1"/>
        <v>0</v>
      </c>
      <c r="U33" s="2">
        <f t="array" ref="U33">IF($P33="",0,INDEX(StatsZone,$P33,MAP!$E$14)+INDEX(StatsZone,$P33,MAP!$E$15)+INDEX(StatsZone,$P33,MAP!$E$16))</f>
        <v>0</v>
      </c>
      <c r="V33" s="2">
        <f t="shared" si="2"/>
        <v>0</v>
      </c>
      <c r="W33" s="2">
        <f t="shared" si="3"/>
        <v>0</v>
      </c>
      <c r="X33" s="2">
        <f t="shared" si="4"/>
        <v>0</v>
      </c>
      <c r="Y33" s="2">
        <f t="shared" si="5"/>
        <v>0</v>
      </c>
      <c r="Z33" s="2">
        <f t="shared" si="6"/>
        <v>0</v>
      </c>
      <c r="AA33" s="2">
        <f t="shared" si="7"/>
        <v>1</v>
      </c>
      <c r="AB33" s="2">
        <f>IF(OR($M33="",$N33=""),0,MEDIAN(-MarginCap,MarginCap,($M33-$N33)-$AA33*HFA_Base))</f>
        <v>0</v>
      </c>
      <c r="AC33" s="2">
        <f t="array" ref="AC33">IF(OR($P33="",INDEX($P$3:$P$722,(ROW()+IF(MOD(ROW()-3,2)=0,1,-1))-3+1)=""),0,MEDIAN(-MarginCap,MarginCap,($T33-$W33)-$AA33*HFA_Base))</f>
        <v>0</v>
      </c>
      <c r="AD33" s="2">
        <f t="shared" si="8"/>
        <v>0</v>
      </c>
      <c r="AE33" s="2">
        <f>IF(OR($M33="",$N33=""),0,IF(AND(WEpa&gt;0,$AD33=1),(1-WEpa)*$AB33+WEpa*$AC33,$AB33))</f>
        <v>0</v>
      </c>
      <c r="AF33" s="2">
        <f>IF(AND($C33&lt;&gt;"",$E33=CurrentSeason,$F33="REG",ISNUMBER($G33),$G33&lt;CurrentWeek,AND($M33&lt;&gt;"",$N33&lt;&gt;"")),1,0)</f>
        <v>0</v>
      </c>
      <c r="AG33" s="2">
        <f>IF($AF33=0,0,IF($G33&gt;=CurrentWeek-RecencyWin,RecencyMult,1))</f>
        <v>0</v>
      </c>
      <c r="AH33" s="2">
        <f>IF(AND($C33&lt;&gt;"",$E33=CurrentSeason,$F33="REG",ISNUMBER($G33),$G33&lt;CurrentWeek-1,AND($M33&lt;&gt;"",$N33&lt;&gt;"")),1,0)</f>
        <v>0</v>
      </c>
      <c r="AI33" s="2">
        <f>IF($AH33=0,0,IF($G33&gt;=CurrentWeek-1-RecencyWin,RecencyMult,1))</f>
        <v>0</v>
      </c>
      <c r="AJ33" s="2">
        <f>IF($AF33=0,0,IF($G33&gt;=CurrentWeek-RecencyWin,TotRecency,1))</f>
        <v>0</v>
      </c>
      <c r="AK33" s="2">
        <f t="shared" si="9"/>
        <v>0</v>
      </c>
      <c r="AL33" s="2">
        <f t="shared" si="10"/>
        <v>0</v>
      </c>
      <c r="AM33" s="2" t="str">
        <f t="array" ref="AM33">IF($K33="",0,IFERROR(INDEX(CALC!$F$2:$F$33,MATCH($K33,CALC!$A$2:$A$33,0)),0))</f>
        <v/>
      </c>
      <c r="AN33" s="2" t="str">
        <f t="array" ref="AN33">IF($K33="",0,IFERROR(INDEX(CALC!$I$2:$I$33,MATCH($K33,CALC!$A$2:$A$33,0)),0))</f>
        <v/>
      </c>
      <c r="AO33" s="2" t="str">
        <f t="array" ref="AO33">IF($K33="",0,IFERROR(INDEX(CALC!$L$2:$L$33,MATCH($K33,CALC!$A$2:$A$33,0)),0))</f>
        <v/>
      </c>
      <c r="AP33" s="2" t="str">
        <f t="array" ref="AP33">IF($K33="",0,IFERROR(INDEX(CALC!$T$2:$T$33,MATCH($K33,CALC!$A$2:$A$33,0)),0))</f>
        <v/>
      </c>
      <c r="AQ33" s="2" t="str">
        <f t="array" ref="AQ33">IF($K33="",0,IFERROR(INDEX(CALC!$W$2:$W$33,MATCH($K33,CALC!$A$2:$A$33,0)),0))</f>
        <v/>
      </c>
      <c r="AR33" s="2" t="str">
        <f t="array" ref="AR33">IF($K33="",0,IFERROR(INDEX(CALC!$Z$2:$Z$33,MATCH($K33,CALC!$A$2:$A$33,0)),0))</f>
        <v/>
      </c>
      <c r="AS33" s="2" t="str">
        <f t="array" ref="AS33">IF($K33="",0,IFERROR(INDEX(CALC!$AJ$2:$AJ$33,MATCH($K33,CALC!$A$2:$A$33,0)),0))</f>
        <v/>
      </c>
      <c r="AT33" s="2" t="str">
        <f t="array" ref="AT33">IF($K33="",0,IFERROR(INDEX(CALC!$AI$2:$AI$33,MATCH($K33,CALC!$A$2:$A$33,0)),0))</f>
        <v/>
      </c>
      <c r="AU33" s="2">
        <f t="shared" si="11"/>
        <v>0</v>
      </c>
      <c r="AV33" s="2">
        <f t="shared" si="12"/>
        <v>0</v>
      </c>
    </row>
    <row r="34" ht="15.0" customHeight="1">
      <c r="A34" s="2">
        <v>16.0</v>
      </c>
      <c r="B34" s="2" t="s">
        <v>2366</v>
      </c>
      <c r="C34" s="2">
        <f>IFERROR(MATCH($A34,SchedSeq,0),"")</f>
        <v>301</v>
      </c>
      <c r="D34" s="2" t="str">
        <f t="array" ref="D34">IF($C34="","",INDEX(SchedZone,$C34,MAP!$B$6))</f>
        <v>2026_01_DEN_KC</v>
      </c>
      <c r="E34" s="2">
        <f t="array" ref="E34">IF($C34="","",INDEX(SchedZone,$C34,MAP!$B$3))</f>
        <v>2026</v>
      </c>
      <c r="F34" s="2" t="str">
        <f t="array" ref="F34">IF($C34="","",INDEX(SchedZone,$C34,MAP!$B$5))</f>
        <v>REG</v>
      </c>
      <c r="G34" s="2">
        <f t="array" ref="G34">IF($C34="","",INDEX(SchedZone,$C34,MAP!$B$4))</f>
        <v>1</v>
      </c>
      <c r="H34" s="2" t="str">
        <f t="array" ref="H34">IF($C34="","",INDEX(SchedZone,$C34,MAP!$B$10))</f>
        <v>DEN</v>
      </c>
      <c r="I34" s="2" t="str">
        <f t="array" ref="I34">IF($H34="","",IF(COUNTIF(Teams,$H34)&gt;0,$H34,IFERROR(INDEX(LISTS!$D$2:$D$12,MATCH($H34,LISTS!$C$2:$C$12,0)),"⚠ "&amp;$H34)))</f>
        <v>DEN</v>
      </c>
      <c r="J34" s="2" t="str">
        <f t="array" ref="J34">IF($C34="","",INDEX(SchedZone,$C34,MAP!$B$12))</f>
        <v>KC</v>
      </c>
      <c r="K34" s="2" t="str">
        <f t="array" ref="K34">IF($J34="","",IF(COUNTIF(Teams,$J34)&gt;0,$J34,IFERROR(INDEX(LISTS!$D$2:$D$12,MATCH($J34,LISTS!$C$2:$C$12,0)),"⚠ "&amp;$J34)))</f>
        <v>KC</v>
      </c>
      <c r="L34" s="2" t="str">
        <f t="array" ref="L34">IF($C34="","",IF(INDEX(SchedZone,$C34,MAP!$B$14)="Neutral","N",IF($B34="HOME","H","A")))</f>
        <v>A</v>
      </c>
      <c r="M34" s="2" t="str">
        <f t="array" ref="M34">IF($C34="","",IF(INDEX(SchedZone,$C34,MAP!$B$11)="","",INDEX(SchedZone,$C34,MAP!$B$11)))</f>
        <v/>
      </c>
      <c r="N34" s="2" t="str">
        <f t="array" ref="N34">IF($C34="","",IF(INDEX(SchedZone,$C34,MAP!$B$13)="","",INDEX(SchedZone,$C34,MAP!$B$13)))</f>
        <v/>
      </c>
      <c r="O34" s="2">
        <f t="array" ref="O34">IF($C34="","",INDEX(SchedZone,$C34,MAP!$B$15))</f>
        <v>7</v>
      </c>
      <c r="P34" s="2" t="str">
        <f>IF($C34="","",IFERROR(MATCH($E34&amp;"|"&amp;$G34&amp;"|"&amp;$I34,StatsKey,0),""))</f>
        <v/>
      </c>
      <c r="Q34" s="2">
        <f t="array" ref="Q34">IF($P34="",0,INDEX(StatsZone,$P34,MAP!$E$9)+INDEX(StatsZone,$P34,MAP!$E$10)+INDEX(StatsZone,$P34,MAP!$E$11))</f>
        <v>0</v>
      </c>
      <c r="R34" s="2">
        <f t="array" ref="R34">IF($P34="",0,INDEX(StatsZone,$P34,MAP!$E$12))</f>
        <v>0</v>
      </c>
      <c r="S34" s="2">
        <f t="array" ref="S34">IF($P34="",0,INDEX(StatsZone,$P34,MAP!$E$13))</f>
        <v>0</v>
      </c>
      <c r="T34" s="2">
        <f t="shared" si="1"/>
        <v>0</v>
      </c>
      <c r="U34" s="2">
        <f t="array" ref="U34">IF($P34="",0,INDEX(StatsZone,$P34,MAP!$E$14)+INDEX(StatsZone,$P34,MAP!$E$15)+INDEX(StatsZone,$P34,MAP!$E$16))</f>
        <v>0</v>
      </c>
      <c r="V34" s="2">
        <f t="shared" si="2"/>
        <v>0</v>
      </c>
      <c r="W34" s="2">
        <f t="shared" si="3"/>
        <v>0</v>
      </c>
      <c r="X34" s="2">
        <f t="shared" si="4"/>
        <v>0</v>
      </c>
      <c r="Y34" s="2">
        <f t="shared" si="5"/>
        <v>0</v>
      </c>
      <c r="Z34" s="2">
        <f t="shared" si="6"/>
        <v>0</v>
      </c>
      <c r="AA34" s="2">
        <f t="shared" si="7"/>
        <v>-1</v>
      </c>
      <c r="AB34" s="2">
        <f>IF(OR($M34="",$N34=""),0,MEDIAN(-MarginCap,MarginCap,($M34-$N34)-$AA34*HFA_Base))</f>
        <v>0</v>
      </c>
      <c r="AC34" s="2">
        <f t="array" ref="AC34">IF(OR($P34="",INDEX($P$3:$P$722,(ROW()+IF(MOD(ROW()-3,2)=0,1,-1))-3+1)=""),0,MEDIAN(-MarginCap,MarginCap,($T34-$W34)-$AA34*HFA_Base))</f>
        <v>0</v>
      </c>
      <c r="AD34" s="2">
        <f t="shared" si="8"/>
        <v>0</v>
      </c>
      <c r="AE34" s="2">
        <f>IF(OR($M34="",$N34=""),0,IF(AND(WEpa&gt;0,$AD34=1),(1-WEpa)*$AB34+WEpa*$AC34,$AB34))</f>
        <v>0</v>
      </c>
      <c r="AF34" s="2">
        <f>IF(AND($C34&lt;&gt;"",$E34=CurrentSeason,$F34="REG",ISNUMBER($G34),$G34&lt;CurrentWeek,AND($M34&lt;&gt;"",$N34&lt;&gt;"")),1,0)</f>
        <v>0</v>
      </c>
      <c r="AG34" s="2">
        <f>IF($AF34=0,0,IF($G34&gt;=CurrentWeek-RecencyWin,RecencyMult,1))</f>
        <v>0</v>
      </c>
      <c r="AH34" s="2">
        <f>IF(AND($C34&lt;&gt;"",$E34=CurrentSeason,$F34="REG",ISNUMBER($G34),$G34&lt;CurrentWeek-1,AND($M34&lt;&gt;"",$N34&lt;&gt;"")),1,0)</f>
        <v>0</v>
      </c>
      <c r="AI34" s="2">
        <f>IF($AH34=0,0,IF($G34&gt;=CurrentWeek-1-RecencyWin,RecencyMult,1))</f>
        <v>0</v>
      </c>
      <c r="AJ34" s="2">
        <f>IF($AF34=0,0,IF($G34&gt;=CurrentWeek-RecencyWin,TotRecency,1))</f>
        <v>0</v>
      </c>
      <c r="AK34" s="2">
        <f t="shared" si="9"/>
        <v>0</v>
      </c>
      <c r="AL34" s="2">
        <f t="shared" si="10"/>
        <v>0</v>
      </c>
      <c r="AM34" s="2" t="str">
        <f t="array" ref="AM34">IF($K34="",0,IFERROR(INDEX(CALC!$F$2:$F$33,MATCH($K34,CALC!$A$2:$A$33,0)),0))</f>
        <v/>
      </c>
      <c r="AN34" s="2" t="str">
        <f t="array" ref="AN34">IF($K34="",0,IFERROR(INDEX(CALC!$I$2:$I$33,MATCH($K34,CALC!$A$2:$A$33,0)),0))</f>
        <v/>
      </c>
      <c r="AO34" s="2" t="str">
        <f t="array" ref="AO34">IF($K34="",0,IFERROR(INDEX(CALC!$L$2:$L$33,MATCH($K34,CALC!$A$2:$A$33,0)),0))</f>
        <v/>
      </c>
      <c r="AP34" s="2" t="str">
        <f t="array" ref="AP34">IF($K34="",0,IFERROR(INDEX(CALC!$T$2:$T$33,MATCH($K34,CALC!$A$2:$A$33,0)),0))</f>
        <v/>
      </c>
      <c r="AQ34" s="2" t="str">
        <f t="array" ref="AQ34">IF($K34="",0,IFERROR(INDEX(CALC!$W$2:$W$33,MATCH($K34,CALC!$A$2:$A$33,0)),0))</f>
        <v/>
      </c>
      <c r="AR34" s="2" t="str">
        <f t="array" ref="AR34">IF($K34="",0,IFERROR(INDEX(CALC!$Z$2:$Z$33,MATCH($K34,CALC!$A$2:$A$33,0)),0))</f>
        <v/>
      </c>
      <c r="AS34" s="2" t="str">
        <f t="array" ref="AS34">IF($K34="",0,IFERROR(INDEX(CALC!$AJ$2:$AJ$33,MATCH($K34,CALC!$A$2:$A$33,0)),0))</f>
        <v/>
      </c>
      <c r="AT34" s="2" t="str">
        <f t="array" ref="AT34">IF($K34="",0,IFERROR(INDEX(CALC!$AI$2:$AI$33,MATCH($K34,CALC!$A$2:$A$33,0)),0))</f>
        <v/>
      </c>
      <c r="AU34" s="2">
        <f t="shared" si="11"/>
        <v>0</v>
      </c>
      <c r="AV34" s="2">
        <f t="shared" si="12"/>
        <v>0</v>
      </c>
    </row>
    <row r="35" ht="15.0" customHeight="1">
      <c r="A35" s="2">
        <v>17.0</v>
      </c>
      <c r="B35" s="2" t="s">
        <v>2365</v>
      </c>
      <c r="C35" s="2">
        <f>IFERROR(MATCH($A35,SchedSeq,0),"")</f>
        <v>302</v>
      </c>
      <c r="D35" s="2" t="str">
        <f t="array" ref="D35">IF($C35="","",INDEX(SchedZone,$C35,MAP!$B$6))</f>
        <v>2026_02_DET_BUF</v>
      </c>
      <c r="E35" s="2">
        <f t="array" ref="E35">IF($C35="","",INDEX(SchedZone,$C35,MAP!$B$3))</f>
        <v>2026</v>
      </c>
      <c r="F35" s="2" t="str">
        <f t="array" ref="F35">IF($C35="","",INDEX(SchedZone,$C35,MAP!$B$5))</f>
        <v>REG</v>
      </c>
      <c r="G35" s="2">
        <f t="array" ref="G35">IF($C35="","",INDEX(SchedZone,$C35,MAP!$B$4))</f>
        <v>2</v>
      </c>
      <c r="H35" s="2" t="str">
        <f t="array" ref="H35">IF($C35="","",INDEX(SchedZone,$C35,MAP!$B$12))</f>
        <v>BUF</v>
      </c>
      <c r="I35" s="2" t="str">
        <f t="array" ref="I35">IF($H35="","",IF(COUNTIF(Teams,$H35)&gt;0,$H35,IFERROR(INDEX(LISTS!$D$2:$D$12,MATCH($H35,LISTS!$C$2:$C$12,0)),"⚠ "&amp;$H35)))</f>
        <v>BUF</v>
      </c>
      <c r="J35" s="2" t="str">
        <f t="array" ref="J35">IF($C35="","",INDEX(SchedZone,$C35,MAP!$B$10))</f>
        <v>DET</v>
      </c>
      <c r="K35" s="2" t="str">
        <f t="array" ref="K35">IF($J35="","",IF(COUNTIF(Teams,$J35)&gt;0,$J35,IFERROR(INDEX(LISTS!$D$2:$D$12,MATCH($J35,LISTS!$C$2:$C$12,0)),"⚠ "&amp;$J35)))</f>
        <v>DET</v>
      </c>
      <c r="L35" s="2" t="str">
        <f t="array" ref="L35">IF($C35="","",IF(INDEX(SchedZone,$C35,MAP!$B$14)="Neutral","N",IF($B35="HOME","H","A")))</f>
        <v>H</v>
      </c>
      <c r="M35" s="2" t="str">
        <f t="array" ref="M35">IF($C35="","",IF(INDEX(SchedZone,$C35,MAP!$B$13)="","",INDEX(SchedZone,$C35,MAP!$B$13)))</f>
        <v/>
      </c>
      <c r="N35" s="2" t="str">
        <f t="array" ref="N35">IF($C35="","",IF(INDEX(SchedZone,$C35,MAP!$B$11)="","",INDEX(SchedZone,$C35,MAP!$B$11)))</f>
        <v/>
      </c>
      <c r="O35" s="2">
        <f t="array" ref="O35">IF($C35="","",INDEX(SchedZone,$C35,MAP!$B$16))</f>
        <v>4</v>
      </c>
      <c r="P35" s="2" t="str">
        <f>IF($C35="","",IFERROR(MATCH($E35&amp;"|"&amp;$G35&amp;"|"&amp;$I35,StatsKey,0),""))</f>
        <v/>
      </c>
      <c r="Q35" s="2">
        <f t="array" ref="Q35">IF($P35="",0,INDEX(StatsZone,$P35,MAP!$E$9)+INDEX(StatsZone,$P35,MAP!$E$10)+INDEX(StatsZone,$P35,MAP!$E$11))</f>
        <v>0</v>
      </c>
      <c r="R35" s="2">
        <f t="array" ref="R35">IF($P35="",0,INDEX(StatsZone,$P35,MAP!$E$12))</f>
        <v>0</v>
      </c>
      <c r="S35" s="2">
        <f t="array" ref="S35">IF($P35="",0,INDEX(StatsZone,$P35,MAP!$E$13))</f>
        <v>0</v>
      </c>
      <c r="T35" s="2">
        <f t="shared" si="1"/>
        <v>0</v>
      </c>
      <c r="U35" s="2">
        <f t="array" ref="U35">IF($P35="",0,INDEX(StatsZone,$P35,MAP!$E$14)+INDEX(StatsZone,$P35,MAP!$E$15)+INDEX(StatsZone,$P35,MAP!$E$16))</f>
        <v>0</v>
      </c>
      <c r="V35" s="2">
        <f t="shared" si="2"/>
        <v>0</v>
      </c>
      <c r="W35" s="2">
        <f t="shared" si="3"/>
        <v>0</v>
      </c>
      <c r="X35" s="2">
        <f t="shared" si="4"/>
        <v>0</v>
      </c>
      <c r="Y35" s="2">
        <f t="shared" si="5"/>
        <v>0</v>
      </c>
      <c r="Z35" s="2">
        <f t="shared" si="6"/>
        <v>0</v>
      </c>
      <c r="AA35" s="2">
        <f t="shared" si="7"/>
        <v>1</v>
      </c>
      <c r="AB35" s="2">
        <f>IF(OR($M35="",$N35=""),0,MEDIAN(-MarginCap,MarginCap,($M35-$N35)-$AA35*HFA_Base))</f>
        <v>0</v>
      </c>
      <c r="AC35" s="2">
        <f t="array" ref="AC35">IF(OR($P35="",INDEX($P$3:$P$722,(ROW()+IF(MOD(ROW()-3,2)=0,1,-1))-3+1)=""),0,MEDIAN(-MarginCap,MarginCap,($T35-$W35)-$AA35*HFA_Base))</f>
        <v>0</v>
      </c>
      <c r="AD35" s="2">
        <f t="shared" si="8"/>
        <v>0</v>
      </c>
      <c r="AE35" s="2">
        <f>IF(OR($M35="",$N35=""),0,IF(AND(WEpa&gt;0,$AD35=1),(1-WEpa)*$AB35+WEpa*$AC35,$AB35))</f>
        <v>0</v>
      </c>
      <c r="AF35" s="2">
        <f>IF(AND($C35&lt;&gt;"",$E35=CurrentSeason,$F35="REG",ISNUMBER($G35),$G35&lt;CurrentWeek,AND($M35&lt;&gt;"",$N35&lt;&gt;"")),1,0)</f>
        <v>0</v>
      </c>
      <c r="AG35" s="2">
        <f>IF($AF35=0,0,IF($G35&gt;=CurrentWeek-RecencyWin,RecencyMult,1))</f>
        <v>0</v>
      </c>
      <c r="AH35" s="2">
        <f>IF(AND($C35&lt;&gt;"",$E35=CurrentSeason,$F35="REG",ISNUMBER($G35),$G35&lt;CurrentWeek-1,AND($M35&lt;&gt;"",$N35&lt;&gt;"")),1,0)</f>
        <v>0</v>
      </c>
      <c r="AI35" s="2">
        <f>IF($AH35=0,0,IF($G35&gt;=CurrentWeek-1-RecencyWin,RecencyMult,1))</f>
        <v>0</v>
      </c>
      <c r="AJ35" s="2">
        <f>IF($AF35=0,0,IF($G35&gt;=CurrentWeek-RecencyWin,TotRecency,1))</f>
        <v>0</v>
      </c>
      <c r="AK35" s="2">
        <f t="shared" si="9"/>
        <v>0</v>
      </c>
      <c r="AL35" s="2">
        <f t="shared" si="10"/>
        <v>0</v>
      </c>
      <c r="AM35" s="2" t="str">
        <f t="array" ref="AM35">IF($K35="",0,IFERROR(INDEX(CALC!$F$2:$F$33,MATCH($K35,CALC!$A$2:$A$33,0)),0))</f>
        <v/>
      </c>
      <c r="AN35" s="2" t="str">
        <f t="array" ref="AN35">IF($K35="",0,IFERROR(INDEX(CALC!$I$2:$I$33,MATCH($K35,CALC!$A$2:$A$33,0)),0))</f>
        <v/>
      </c>
      <c r="AO35" s="2" t="str">
        <f t="array" ref="AO35">IF($K35="",0,IFERROR(INDEX(CALC!$L$2:$L$33,MATCH($K35,CALC!$A$2:$A$33,0)),0))</f>
        <v/>
      </c>
      <c r="AP35" s="2" t="str">
        <f t="array" ref="AP35">IF($K35="",0,IFERROR(INDEX(CALC!$T$2:$T$33,MATCH($K35,CALC!$A$2:$A$33,0)),0))</f>
        <v/>
      </c>
      <c r="AQ35" s="2" t="str">
        <f t="array" ref="AQ35">IF($K35="",0,IFERROR(INDEX(CALC!$W$2:$W$33,MATCH($K35,CALC!$A$2:$A$33,0)),0))</f>
        <v/>
      </c>
      <c r="AR35" s="2" t="str">
        <f t="array" ref="AR35">IF($K35="",0,IFERROR(INDEX(CALC!$Z$2:$Z$33,MATCH($K35,CALC!$A$2:$A$33,0)),0))</f>
        <v/>
      </c>
      <c r="AS35" s="2" t="str">
        <f t="array" ref="AS35">IF($K35="",0,IFERROR(INDEX(CALC!$AJ$2:$AJ$33,MATCH($K35,CALC!$A$2:$A$33,0)),0))</f>
        <v/>
      </c>
      <c r="AT35" s="2" t="str">
        <f t="array" ref="AT35">IF($K35="",0,IFERROR(INDEX(CALC!$AI$2:$AI$33,MATCH($K35,CALC!$A$2:$A$33,0)),0))</f>
        <v/>
      </c>
      <c r="AU35" s="2">
        <f t="shared" si="11"/>
        <v>0</v>
      </c>
      <c r="AV35" s="2">
        <f t="shared" si="12"/>
        <v>0</v>
      </c>
    </row>
    <row r="36" ht="15.0" customHeight="1">
      <c r="A36" s="2">
        <v>17.0</v>
      </c>
      <c r="B36" s="2" t="s">
        <v>2366</v>
      </c>
      <c r="C36" s="2">
        <f>IFERROR(MATCH($A36,SchedSeq,0),"")</f>
        <v>302</v>
      </c>
      <c r="D36" s="2" t="str">
        <f t="array" ref="D36">IF($C36="","",INDEX(SchedZone,$C36,MAP!$B$6))</f>
        <v>2026_02_DET_BUF</v>
      </c>
      <c r="E36" s="2">
        <f t="array" ref="E36">IF($C36="","",INDEX(SchedZone,$C36,MAP!$B$3))</f>
        <v>2026</v>
      </c>
      <c r="F36" s="2" t="str">
        <f t="array" ref="F36">IF($C36="","",INDEX(SchedZone,$C36,MAP!$B$5))</f>
        <v>REG</v>
      </c>
      <c r="G36" s="2">
        <f t="array" ref="G36">IF($C36="","",INDEX(SchedZone,$C36,MAP!$B$4))</f>
        <v>2</v>
      </c>
      <c r="H36" s="2" t="str">
        <f t="array" ref="H36">IF($C36="","",INDEX(SchedZone,$C36,MAP!$B$10))</f>
        <v>DET</v>
      </c>
      <c r="I36" s="2" t="str">
        <f t="array" ref="I36">IF($H36="","",IF(COUNTIF(Teams,$H36)&gt;0,$H36,IFERROR(INDEX(LISTS!$D$2:$D$12,MATCH($H36,LISTS!$C$2:$C$12,0)),"⚠ "&amp;$H36)))</f>
        <v>DET</v>
      </c>
      <c r="J36" s="2" t="str">
        <f t="array" ref="J36">IF($C36="","",INDEX(SchedZone,$C36,MAP!$B$12))</f>
        <v>BUF</v>
      </c>
      <c r="K36" s="2" t="str">
        <f t="array" ref="K36">IF($J36="","",IF(COUNTIF(Teams,$J36)&gt;0,$J36,IFERROR(INDEX(LISTS!$D$2:$D$12,MATCH($J36,LISTS!$C$2:$C$12,0)),"⚠ "&amp;$J36)))</f>
        <v>BUF</v>
      </c>
      <c r="L36" s="2" t="str">
        <f t="array" ref="L36">IF($C36="","",IF(INDEX(SchedZone,$C36,MAP!$B$14)="Neutral","N",IF($B36="HOME","H","A")))</f>
        <v>A</v>
      </c>
      <c r="M36" s="2" t="str">
        <f t="array" ref="M36">IF($C36="","",IF(INDEX(SchedZone,$C36,MAP!$B$11)="","",INDEX(SchedZone,$C36,MAP!$B$11)))</f>
        <v/>
      </c>
      <c r="N36" s="2" t="str">
        <f t="array" ref="N36">IF($C36="","",IF(INDEX(SchedZone,$C36,MAP!$B$13)="","",INDEX(SchedZone,$C36,MAP!$B$13)))</f>
        <v/>
      </c>
      <c r="O36" s="2">
        <f t="array" ref="O36">IF($C36="","",INDEX(SchedZone,$C36,MAP!$B$15))</f>
        <v>4</v>
      </c>
      <c r="P36" s="2" t="str">
        <f>IF($C36="","",IFERROR(MATCH($E36&amp;"|"&amp;$G36&amp;"|"&amp;$I36,StatsKey,0),""))</f>
        <v/>
      </c>
      <c r="Q36" s="2">
        <f t="array" ref="Q36">IF($P36="",0,INDEX(StatsZone,$P36,MAP!$E$9)+INDEX(StatsZone,$P36,MAP!$E$10)+INDEX(StatsZone,$P36,MAP!$E$11))</f>
        <v>0</v>
      </c>
      <c r="R36" s="2">
        <f t="array" ref="R36">IF($P36="",0,INDEX(StatsZone,$P36,MAP!$E$12))</f>
        <v>0</v>
      </c>
      <c r="S36" s="2">
        <f t="array" ref="S36">IF($P36="",0,INDEX(StatsZone,$P36,MAP!$E$13))</f>
        <v>0</v>
      </c>
      <c r="T36" s="2">
        <f t="shared" si="1"/>
        <v>0</v>
      </c>
      <c r="U36" s="2">
        <f t="array" ref="U36">IF($P36="",0,INDEX(StatsZone,$P36,MAP!$E$14)+INDEX(StatsZone,$P36,MAP!$E$15)+INDEX(StatsZone,$P36,MAP!$E$16))</f>
        <v>0</v>
      </c>
      <c r="V36" s="2">
        <f t="shared" si="2"/>
        <v>0</v>
      </c>
      <c r="W36" s="2">
        <f t="shared" si="3"/>
        <v>0</v>
      </c>
      <c r="X36" s="2">
        <f t="shared" si="4"/>
        <v>0</v>
      </c>
      <c r="Y36" s="2">
        <f t="shared" si="5"/>
        <v>0</v>
      </c>
      <c r="Z36" s="2">
        <f t="shared" si="6"/>
        <v>0</v>
      </c>
      <c r="AA36" s="2">
        <f t="shared" si="7"/>
        <v>-1</v>
      </c>
      <c r="AB36" s="2">
        <f>IF(OR($M36="",$N36=""),0,MEDIAN(-MarginCap,MarginCap,($M36-$N36)-$AA36*HFA_Base))</f>
        <v>0</v>
      </c>
      <c r="AC36" s="2">
        <f t="array" ref="AC36">IF(OR($P36="",INDEX($P$3:$P$722,(ROW()+IF(MOD(ROW()-3,2)=0,1,-1))-3+1)=""),0,MEDIAN(-MarginCap,MarginCap,($T36-$W36)-$AA36*HFA_Base))</f>
        <v>0</v>
      </c>
      <c r="AD36" s="2">
        <f t="shared" si="8"/>
        <v>0</v>
      </c>
      <c r="AE36" s="2">
        <f>IF(OR($M36="",$N36=""),0,IF(AND(WEpa&gt;0,$AD36=1),(1-WEpa)*$AB36+WEpa*$AC36,$AB36))</f>
        <v>0</v>
      </c>
      <c r="AF36" s="2">
        <f>IF(AND($C36&lt;&gt;"",$E36=CurrentSeason,$F36="REG",ISNUMBER($G36),$G36&lt;CurrentWeek,AND($M36&lt;&gt;"",$N36&lt;&gt;"")),1,0)</f>
        <v>0</v>
      </c>
      <c r="AG36" s="2">
        <f>IF($AF36=0,0,IF($G36&gt;=CurrentWeek-RecencyWin,RecencyMult,1))</f>
        <v>0</v>
      </c>
      <c r="AH36" s="2">
        <f>IF(AND($C36&lt;&gt;"",$E36=CurrentSeason,$F36="REG",ISNUMBER($G36),$G36&lt;CurrentWeek-1,AND($M36&lt;&gt;"",$N36&lt;&gt;"")),1,0)</f>
        <v>0</v>
      </c>
      <c r="AI36" s="2">
        <f>IF($AH36=0,0,IF($G36&gt;=CurrentWeek-1-RecencyWin,RecencyMult,1))</f>
        <v>0</v>
      </c>
      <c r="AJ36" s="2">
        <f>IF($AF36=0,0,IF($G36&gt;=CurrentWeek-RecencyWin,TotRecency,1))</f>
        <v>0</v>
      </c>
      <c r="AK36" s="2">
        <f t="shared" si="9"/>
        <v>0</v>
      </c>
      <c r="AL36" s="2">
        <f t="shared" si="10"/>
        <v>0</v>
      </c>
      <c r="AM36" s="2" t="str">
        <f t="array" ref="AM36">IF($K36="",0,IFERROR(INDEX(CALC!$F$2:$F$33,MATCH($K36,CALC!$A$2:$A$33,0)),0))</f>
        <v/>
      </c>
      <c r="AN36" s="2" t="str">
        <f t="array" ref="AN36">IF($K36="",0,IFERROR(INDEX(CALC!$I$2:$I$33,MATCH($K36,CALC!$A$2:$A$33,0)),0))</f>
        <v/>
      </c>
      <c r="AO36" s="2" t="str">
        <f t="array" ref="AO36">IF($K36="",0,IFERROR(INDEX(CALC!$L$2:$L$33,MATCH($K36,CALC!$A$2:$A$33,0)),0))</f>
        <v/>
      </c>
      <c r="AP36" s="2" t="str">
        <f t="array" ref="AP36">IF($K36="",0,IFERROR(INDEX(CALC!$T$2:$T$33,MATCH($K36,CALC!$A$2:$A$33,0)),0))</f>
        <v/>
      </c>
      <c r="AQ36" s="2" t="str">
        <f t="array" ref="AQ36">IF($K36="",0,IFERROR(INDEX(CALC!$W$2:$W$33,MATCH($K36,CALC!$A$2:$A$33,0)),0))</f>
        <v/>
      </c>
      <c r="AR36" s="2" t="str">
        <f t="array" ref="AR36">IF($K36="",0,IFERROR(INDEX(CALC!$Z$2:$Z$33,MATCH($K36,CALC!$A$2:$A$33,0)),0))</f>
        <v/>
      </c>
      <c r="AS36" s="2" t="str">
        <f t="array" ref="AS36">IF($K36="",0,IFERROR(INDEX(CALC!$AJ$2:$AJ$33,MATCH($K36,CALC!$A$2:$A$33,0)),0))</f>
        <v/>
      </c>
      <c r="AT36" s="2" t="str">
        <f t="array" ref="AT36">IF($K36="",0,IFERROR(INDEX(CALC!$AI$2:$AI$33,MATCH($K36,CALC!$A$2:$A$33,0)),0))</f>
        <v/>
      </c>
      <c r="AU36" s="2">
        <f t="shared" si="11"/>
        <v>0</v>
      </c>
      <c r="AV36" s="2">
        <f t="shared" si="12"/>
        <v>0</v>
      </c>
    </row>
    <row r="37" ht="15.0" customHeight="1">
      <c r="A37" s="2">
        <v>18.0</v>
      </c>
      <c r="B37" s="2" t="s">
        <v>2365</v>
      </c>
      <c r="C37" s="2">
        <f>IFERROR(MATCH($A37,SchedSeq,0),"")</f>
        <v>303</v>
      </c>
      <c r="D37" s="2" t="str">
        <f t="array" ref="D37">IF($C37="","",INDEX(SchedZone,$C37,MAP!$B$6))</f>
        <v>2026_02_CAR_ATL</v>
      </c>
      <c r="E37" s="2">
        <f t="array" ref="E37">IF($C37="","",INDEX(SchedZone,$C37,MAP!$B$3))</f>
        <v>2026</v>
      </c>
      <c r="F37" s="2" t="str">
        <f t="array" ref="F37">IF($C37="","",INDEX(SchedZone,$C37,MAP!$B$5))</f>
        <v>REG</v>
      </c>
      <c r="G37" s="2">
        <f t="array" ref="G37">IF($C37="","",INDEX(SchedZone,$C37,MAP!$B$4))</f>
        <v>2</v>
      </c>
      <c r="H37" s="2" t="str">
        <f t="array" ref="H37">IF($C37="","",INDEX(SchedZone,$C37,MAP!$B$12))</f>
        <v>ATL</v>
      </c>
      <c r="I37" s="2" t="str">
        <f t="array" ref="I37">IF($H37="","",IF(COUNTIF(Teams,$H37)&gt;0,$H37,IFERROR(INDEX(LISTS!$D$2:$D$12,MATCH($H37,LISTS!$C$2:$C$12,0)),"⚠ "&amp;$H37)))</f>
        <v>ATL</v>
      </c>
      <c r="J37" s="2" t="str">
        <f t="array" ref="J37">IF($C37="","",INDEX(SchedZone,$C37,MAP!$B$10))</f>
        <v>CAR</v>
      </c>
      <c r="K37" s="2" t="str">
        <f t="array" ref="K37">IF($J37="","",IF(COUNTIF(Teams,$J37)&gt;0,$J37,IFERROR(INDEX(LISTS!$D$2:$D$12,MATCH($J37,LISTS!$C$2:$C$12,0)),"⚠ "&amp;$J37)))</f>
        <v>CAR</v>
      </c>
      <c r="L37" s="2" t="str">
        <f t="array" ref="L37">IF($C37="","",IF(INDEX(SchedZone,$C37,MAP!$B$14)="Neutral","N",IF($B37="HOME","H","A")))</f>
        <v>H</v>
      </c>
      <c r="M37" s="2" t="str">
        <f t="array" ref="M37">IF($C37="","",IF(INDEX(SchedZone,$C37,MAP!$B$13)="","",INDEX(SchedZone,$C37,MAP!$B$13)))</f>
        <v/>
      </c>
      <c r="N37" s="2" t="str">
        <f t="array" ref="N37">IF($C37="","",IF(INDEX(SchedZone,$C37,MAP!$B$11)="","",INDEX(SchedZone,$C37,MAP!$B$11)))</f>
        <v/>
      </c>
      <c r="O37" s="2">
        <f t="array" ref="O37">IF($C37="","",INDEX(SchedZone,$C37,MAP!$B$16))</f>
        <v>7</v>
      </c>
      <c r="P37" s="2" t="str">
        <f>IF($C37="","",IFERROR(MATCH($E37&amp;"|"&amp;$G37&amp;"|"&amp;$I37,StatsKey,0),""))</f>
        <v/>
      </c>
      <c r="Q37" s="2">
        <f t="array" ref="Q37">IF($P37="",0,INDEX(StatsZone,$P37,MAP!$E$9)+INDEX(StatsZone,$P37,MAP!$E$10)+INDEX(StatsZone,$P37,MAP!$E$11))</f>
        <v>0</v>
      </c>
      <c r="R37" s="2">
        <f t="array" ref="R37">IF($P37="",0,INDEX(StatsZone,$P37,MAP!$E$12))</f>
        <v>0</v>
      </c>
      <c r="S37" s="2">
        <f t="array" ref="S37">IF($P37="",0,INDEX(StatsZone,$P37,MAP!$E$13))</f>
        <v>0</v>
      </c>
      <c r="T37" s="2">
        <f t="shared" si="1"/>
        <v>0</v>
      </c>
      <c r="U37" s="2">
        <f t="array" ref="U37">IF($P37="",0,INDEX(StatsZone,$P37,MAP!$E$14)+INDEX(StatsZone,$P37,MAP!$E$15)+INDEX(StatsZone,$P37,MAP!$E$16))</f>
        <v>0</v>
      </c>
      <c r="V37" s="2">
        <f t="shared" si="2"/>
        <v>0</v>
      </c>
      <c r="W37" s="2">
        <f t="shared" si="3"/>
        <v>0</v>
      </c>
      <c r="X37" s="2">
        <f t="shared" si="4"/>
        <v>0</v>
      </c>
      <c r="Y37" s="2">
        <f t="shared" si="5"/>
        <v>0</v>
      </c>
      <c r="Z37" s="2">
        <f t="shared" si="6"/>
        <v>0</v>
      </c>
      <c r="AA37" s="2">
        <f t="shared" si="7"/>
        <v>1</v>
      </c>
      <c r="AB37" s="2">
        <f>IF(OR($M37="",$N37=""),0,MEDIAN(-MarginCap,MarginCap,($M37-$N37)-$AA37*HFA_Base))</f>
        <v>0</v>
      </c>
      <c r="AC37" s="2">
        <f t="array" ref="AC37">IF(OR($P37="",INDEX($P$3:$P$722,(ROW()+IF(MOD(ROW()-3,2)=0,1,-1))-3+1)=""),0,MEDIAN(-MarginCap,MarginCap,($T37-$W37)-$AA37*HFA_Base))</f>
        <v>0</v>
      </c>
      <c r="AD37" s="2">
        <f t="shared" si="8"/>
        <v>0</v>
      </c>
      <c r="AE37" s="2">
        <f>IF(OR($M37="",$N37=""),0,IF(AND(WEpa&gt;0,$AD37=1),(1-WEpa)*$AB37+WEpa*$AC37,$AB37))</f>
        <v>0</v>
      </c>
      <c r="AF37" s="2">
        <f>IF(AND($C37&lt;&gt;"",$E37=CurrentSeason,$F37="REG",ISNUMBER($G37),$G37&lt;CurrentWeek,AND($M37&lt;&gt;"",$N37&lt;&gt;"")),1,0)</f>
        <v>0</v>
      </c>
      <c r="AG37" s="2">
        <f>IF($AF37=0,0,IF($G37&gt;=CurrentWeek-RecencyWin,RecencyMult,1))</f>
        <v>0</v>
      </c>
      <c r="AH37" s="2">
        <f>IF(AND($C37&lt;&gt;"",$E37=CurrentSeason,$F37="REG",ISNUMBER($G37),$G37&lt;CurrentWeek-1,AND($M37&lt;&gt;"",$N37&lt;&gt;"")),1,0)</f>
        <v>0</v>
      </c>
      <c r="AI37" s="2">
        <f>IF($AH37=0,0,IF($G37&gt;=CurrentWeek-1-RecencyWin,RecencyMult,1))</f>
        <v>0</v>
      </c>
      <c r="AJ37" s="2">
        <f>IF($AF37=0,0,IF($G37&gt;=CurrentWeek-RecencyWin,TotRecency,1))</f>
        <v>0</v>
      </c>
      <c r="AK37" s="2">
        <f t="shared" si="9"/>
        <v>0</v>
      </c>
      <c r="AL37" s="2">
        <f t="shared" si="10"/>
        <v>0</v>
      </c>
      <c r="AM37" s="2" t="str">
        <f t="array" ref="AM37">IF($K37="",0,IFERROR(INDEX(CALC!$F$2:$F$33,MATCH($K37,CALC!$A$2:$A$33,0)),0))</f>
        <v/>
      </c>
      <c r="AN37" s="2" t="str">
        <f t="array" ref="AN37">IF($K37="",0,IFERROR(INDEX(CALC!$I$2:$I$33,MATCH($K37,CALC!$A$2:$A$33,0)),0))</f>
        <v/>
      </c>
      <c r="AO37" s="2" t="str">
        <f t="array" ref="AO37">IF($K37="",0,IFERROR(INDEX(CALC!$L$2:$L$33,MATCH($K37,CALC!$A$2:$A$33,0)),0))</f>
        <v/>
      </c>
      <c r="AP37" s="2" t="str">
        <f t="array" ref="AP37">IF($K37="",0,IFERROR(INDEX(CALC!$T$2:$T$33,MATCH($K37,CALC!$A$2:$A$33,0)),0))</f>
        <v/>
      </c>
      <c r="AQ37" s="2" t="str">
        <f t="array" ref="AQ37">IF($K37="",0,IFERROR(INDEX(CALC!$W$2:$W$33,MATCH($K37,CALC!$A$2:$A$33,0)),0))</f>
        <v/>
      </c>
      <c r="AR37" s="2" t="str">
        <f t="array" ref="AR37">IF($K37="",0,IFERROR(INDEX(CALC!$Z$2:$Z$33,MATCH($K37,CALC!$A$2:$A$33,0)),0))</f>
        <v/>
      </c>
      <c r="AS37" s="2" t="str">
        <f t="array" ref="AS37">IF($K37="",0,IFERROR(INDEX(CALC!$AJ$2:$AJ$33,MATCH($K37,CALC!$A$2:$A$33,0)),0))</f>
        <v/>
      </c>
      <c r="AT37" s="2" t="str">
        <f t="array" ref="AT37">IF($K37="",0,IFERROR(INDEX(CALC!$AI$2:$AI$33,MATCH($K37,CALC!$A$2:$A$33,0)),0))</f>
        <v/>
      </c>
      <c r="AU37" s="2">
        <f t="shared" si="11"/>
        <v>0</v>
      </c>
      <c r="AV37" s="2">
        <f t="shared" si="12"/>
        <v>0</v>
      </c>
    </row>
    <row r="38" ht="15.0" customHeight="1">
      <c r="A38" s="2">
        <v>18.0</v>
      </c>
      <c r="B38" s="2" t="s">
        <v>2366</v>
      </c>
      <c r="C38" s="2">
        <f>IFERROR(MATCH($A38,SchedSeq,0),"")</f>
        <v>303</v>
      </c>
      <c r="D38" s="2" t="str">
        <f t="array" ref="D38">IF($C38="","",INDEX(SchedZone,$C38,MAP!$B$6))</f>
        <v>2026_02_CAR_ATL</v>
      </c>
      <c r="E38" s="2">
        <f t="array" ref="E38">IF($C38="","",INDEX(SchedZone,$C38,MAP!$B$3))</f>
        <v>2026</v>
      </c>
      <c r="F38" s="2" t="str">
        <f t="array" ref="F38">IF($C38="","",INDEX(SchedZone,$C38,MAP!$B$5))</f>
        <v>REG</v>
      </c>
      <c r="G38" s="2">
        <f t="array" ref="G38">IF($C38="","",INDEX(SchedZone,$C38,MAP!$B$4))</f>
        <v>2</v>
      </c>
      <c r="H38" s="2" t="str">
        <f t="array" ref="H38">IF($C38="","",INDEX(SchedZone,$C38,MAP!$B$10))</f>
        <v>CAR</v>
      </c>
      <c r="I38" s="2" t="str">
        <f t="array" ref="I38">IF($H38="","",IF(COUNTIF(Teams,$H38)&gt;0,$H38,IFERROR(INDEX(LISTS!$D$2:$D$12,MATCH($H38,LISTS!$C$2:$C$12,0)),"⚠ "&amp;$H38)))</f>
        <v>CAR</v>
      </c>
      <c r="J38" s="2" t="str">
        <f t="array" ref="J38">IF($C38="","",INDEX(SchedZone,$C38,MAP!$B$12))</f>
        <v>ATL</v>
      </c>
      <c r="K38" s="2" t="str">
        <f t="array" ref="K38">IF($J38="","",IF(COUNTIF(Teams,$J38)&gt;0,$J38,IFERROR(INDEX(LISTS!$D$2:$D$12,MATCH($J38,LISTS!$C$2:$C$12,0)),"⚠ "&amp;$J38)))</f>
        <v>ATL</v>
      </c>
      <c r="L38" s="2" t="str">
        <f t="array" ref="L38">IF($C38="","",IF(INDEX(SchedZone,$C38,MAP!$B$14)="Neutral","N",IF($B38="HOME","H","A")))</f>
        <v>A</v>
      </c>
      <c r="M38" s="2" t="str">
        <f t="array" ref="M38">IF($C38="","",IF(INDEX(SchedZone,$C38,MAP!$B$11)="","",INDEX(SchedZone,$C38,MAP!$B$11)))</f>
        <v/>
      </c>
      <c r="N38" s="2" t="str">
        <f t="array" ref="N38">IF($C38="","",IF(INDEX(SchedZone,$C38,MAP!$B$13)="","",INDEX(SchedZone,$C38,MAP!$B$13)))</f>
        <v/>
      </c>
      <c r="O38" s="2">
        <f t="array" ref="O38">IF($C38="","",INDEX(SchedZone,$C38,MAP!$B$15))</f>
        <v>7</v>
      </c>
      <c r="P38" s="2" t="str">
        <f>IF($C38="","",IFERROR(MATCH($E38&amp;"|"&amp;$G38&amp;"|"&amp;$I38,StatsKey,0),""))</f>
        <v/>
      </c>
      <c r="Q38" s="2">
        <f t="array" ref="Q38">IF($P38="",0,INDEX(StatsZone,$P38,MAP!$E$9)+INDEX(StatsZone,$P38,MAP!$E$10)+INDEX(StatsZone,$P38,MAP!$E$11))</f>
        <v>0</v>
      </c>
      <c r="R38" s="2">
        <f t="array" ref="R38">IF($P38="",0,INDEX(StatsZone,$P38,MAP!$E$12))</f>
        <v>0</v>
      </c>
      <c r="S38" s="2">
        <f t="array" ref="S38">IF($P38="",0,INDEX(StatsZone,$P38,MAP!$E$13))</f>
        <v>0</v>
      </c>
      <c r="T38" s="2">
        <f t="shared" si="1"/>
        <v>0</v>
      </c>
      <c r="U38" s="2">
        <f t="array" ref="U38">IF($P38="",0,INDEX(StatsZone,$P38,MAP!$E$14)+INDEX(StatsZone,$P38,MAP!$E$15)+INDEX(StatsZone,$P38,MAP!$E$16))</f>
        <v>0</v>
      </c>
      <c r="V38" s="2">
        <f t="shared" si="2"/>
        <v>0</v>
      </c>
      <c r="W38" s="2">
        <f t="shared" si="3"/>
        <v>0</v>
      </c>
      <c r="X38" s="2">
        <f t="shared" si="4"/>
        <v>0</v>
      </c>
      <c r="Y38" s="2">
        <f t="shared" si="5"/>
        <v>0</v>
      </c>
      <c r="Z38" s="2">
        <f t="shared" si="6"/>
        <v>0</v>
      </c>
      <c r="AA38" s="2">
        <f t="shared" si="7"/>
        <v>-1</v>
      </c>
      <c r="AB38" s="2">
        <f>IF(OR($M38="",$N38=""),0,MEDIAN(-MarginCap,MarginCap,($M38-$N38)-$AA38*HFA_Base))</f>
        <v>0</v>
      </c>
      <c r="AC38" s="2">
        <f t="array" ref="AC38">IF(OR($P38="",INDEX($P$3:$P$722,(ROW()+IF(MOD(ROW()-3,2)=0,1,-1))-3+1)=""),0,MEDIAN(-MarginCap,MarginCap,($T38-$W38)-$AA38*HFA_Base))</f>
        <v>0</v>
      </c>
      <c r="AD38" s="2">
        <f t="shared" si="8"/>
        <v>0</v>
      </c>
      <c r="AE38" s="2">
        <f>IF(OR($M38="",$N38=""),0,IF(AND(WEpa&gt;0,$AD38=1),(1-WEpa)*$AB38+WEpa*$AC38,$AB38))</f>
        <v>0</v>
      </c>
      <c r="AF38" s="2">
        <f>IF(AND($C38&lt;&gt;"",$E38=CurrentSeason,$F38="REG",ISNUMBER($G38),$G38&lt;CurrentWeek,AND($M38&lt;&gt;"",$N38&lt;&gt;"")),1,0)</f>
        <v>0</v>
      </c>
      <c r="AG38" s="2">
        <f>IF($AF38=0,0,IF($G38&gt;=CurrentWeek-RecencyWin,RecencyMult,1))</f>
        <v>0</v>
      </c>
      <c r="AH38" s="2">
        <f>IF(AND($C38&lt;&gt;"",$E38=CurrentSeason,$F38="REG",ISNUMBER($G38),$G38&lt;CurrentWeek-1,AND($M38&lt;&gt;"",$N38&lt;&gt;"")),1,0)</f>
        <v>0</v>
      </c>
      <c r="AI38" s="2">
        <f>IF($AH38=0,0,IF($G38&gt;=CurrentWeek-1-RecencyWin,RecencyMult,1))</f>
        <v>0</v>
      </c>
      <c r="AJ38" s="2">
        <f>IF($AF38=0,0,IF($G38&gt;=CurrentWeek-RecencyWin,TotRecency,1))</f>
        <v>0</v>
      </c>
      <c r="AK38" s="2">
        <f t="shared" si="9"/>
        <v>0</v>
      </c>
      <c r="AL38" s="2">
        <f t="shared" si="10"/>
        <v>0</v>
      </c>
      <c r="AM38" s="2" t="str">
        <f t="array" ref="AM38">IF($K38="",0,IFERROR(INDEX(CALC!$F$2:$F$33,MATCH($K38,CALC!$A$2:$A$33,0)),0))</f>
        <v/>
      </c>
      <c r="AN38" s="2" t="str">
        <f t="array" ref="AN38">IF($K38="",0,IFERROR(INDEX(CALC!$I$2:$I$33,MATCH($K38,CALC!$A$2:$A$33,0)),0))</f>
        <v/>
      </c>
      <c r="AO38" s="2" t="str">
        <f t="array" ref="AO38">IF($K38="",0,IFERROR(INDEX(CALC!$L$2:$L$33,MATCH($K38,CALC!$A$2:$A$33,0)),0))</f>
        <v/>
      </c>
      <c r="AP38" s="2" t="str">
        <f t="array" ref="AP38">IF($K38="",0,IFERROR(INDEX(CALC!$T$2:$T$33,MATCH($K38,CALC!$A$2:$A$33,0)),0))</f>
        <v/>
      </c>
      <c r="AQ38" s="2" t="str">
        <f t="array" ref="AQ38">IF($K38="",0,IFERROR(INDEX(CALC!$W$2:$W$33,MATCH($K38,CALC!$A$2:$A$33,0)),0))</f>
        <v/>
      </c>
      <c r="AR38" s="2" t="str">
        <f t="array" ref="AR38">IF($K38="",0,IFERROR(INDEX(CALC!$Z$2:$Z$33,MATCH($K38,CALC!$A$2:$A$33,0)),0))</f>
        <v/>
      </c>
      <c r="AS38" s="2" t="str">
        <f t="array" ref="AS38">IF($K38="",0,IFERROR(INDEX(CALC!$AJ$2:$AJ$33,MATCH($K38,CALC!$A$2:$A$33,0)),0))</f>
        <v/>
      </c>
      <c r="AT38" s="2" t="str">
        <f t="array" ref="AT38">IF($K38="",0,IFERROR(INDEX(CALC!$AI$2:$AI$33,MATCH($K38,CALC!$A$2:$A$33,0)),0))</f>
        <v/>
      </c>
      <c r="AU38" s="2">
        <f t="shared" si="11"/>
        <v>0</v>
      </c>
      <c r="AV38" s="2">
        <f t="shared" si="12"/>
        <v>0</v>
      </c>
    </row>
    <row r="39" ht="15.0" customHeight="1">
      <c r="A39" s="2">
        <v>19.0</v>
      </c>
      <c r="B39" s="2" t="s">
        <v>2365</v>
      </c>
      <c r="C39" s="2">
        <f>IFERROR(MATCH($A39,SchedSeq,0),"")</f>
        <v>304</v>
      </c>
      <c r="D39" s="2" t="str">
        <f t="array" ref="D39">IF($C39="","",INDEX(SchedZone,$C39,MAP!$B$6))</f>
        <v>2026_02_NO_BAL</v>
      </c>
      <c r="E39" s="2">
        <f t="array" ref="E39">IF($C39="","",INDEX(SchedZone,$C39,MAP!$B$3))</f>
        <v>2026</v>
      </c>
      <c r="F39" s="2" t="str">
        <f t="array" ref="F39">IF($C39="","",INDEX(SchedZone,$C39,MAP!$B$5))</f>
        <v>REG</v>
      </c>
      <c r="G39" s="2">
        <f t="array" ref="G39">IF($C39="","",INDEX(SchedZone,$C39,MAP!$B$4))</f>
        <v>2</v>
      </c>
      <c r="H39" s="2" t="str">
        <f t="array" ref="H39">IF($C39="","",INDEX(SchedZone,$C39,MAP!$B$12))</f>
        <v>BAL</v>
      </c>
      <c r="I39" s="2" t="str">
        <f t="array" ref="I39">IF($H39="","",IF(COUNTIF(Teams,$H39)&gt;0,$H39,IFERROR(INDEX(LISTS!$D$2:$D$12,MATCH($H39,LISTS!$C$2:$C$12,0)),"⚠ "&amp;$H39)))</f>
        <v>BAL</v>
      </c>
      <c r="J39" s="2" t="str">
        <f t="array" ref="J39">IF($C39="","",INDEX(SchedZone,$C39,MAP!$B$10))</f>
        <v>NO</v>
      </c>
      <c r="K39" s="2" t="str">
        <f t="array" ref="K39">IF($J39="","",IF(COUNTIF(Teams,$J39)&gt;0,$J39,IFERROR(INDEX(LISTS!$D$2:$D$12,MATCH($J39,LISTS!$C$2:$C$12,0)),"⚠ "&amp;$J39)))</f>
        <v>NO</v>
      </c>
      <c r="L39" s="2" t="str">
        <f t="array" ref="L39">IF($C39="","",IF(INDEX(SchedZone,$C39,MAP!$B$14)="Neutral","N",IF($B39="HOME","H","A")))</f>
        <v>H</v>
      </c>
      <c r="M39" s="2" t="str">
        <f t="array" ref="M39">IF($C39="","",IF(INDEX(SchedZone,$C39,MAP!$B$13)="","",INDEX(SchedZone,$C39,MAP!$B$13)))</f>
        <v/>
      </c>
      <c r="N39" s="2" t="str">
        <f t="array" ref="N39">IF($C39="","",IF(INDEX(SchedZone,$C39,MAP!$B$11)="","",INDEX(SchedZone,$C39,MAP!$B$11)))</f>
        <v/>
      </c>
      <c r="O39" s="2">
        <f t="array" ref="O39">IF($C39="","",INDEX(SchedZone,$C39,MAP!$B$16))</f>
        <v>7</v>
      </c>
      <c r="P39" s="2" t="str">
        <f>IF($C39="","",IFERROR(MATCH($E39&amp;"|"&amp;$G39&amp;"|"&amp;$I39,StatsKey,0),""))</f>
        <v/>
      </c>
      <c r="Q39" s="2">
        <f t="array" ref="Q39">IF($P39="",0,INDEX(StatsZone,$P39,MAP!$E$9)+INDEX(StatsZone,$P39,MAP!$E$10)+INDEX(StatsZone,$P39,MAP!$E$11))</f>
        <v>0</v>
      </c>
      <c r="R39" s="2">
        <f t="array" ref="R39">IF($P39="",0,INDEX(StatsZone,$P39,MAP!$E$12))</f>
        <v>0</v>
      </c>
      <c r="S39" s="2">
        <f t="array" ref="S39">IF($P39="",0,INDEX(StatsZone,$P39,MAP!$E$13))</f>
        <v>0</v>
      </c>
      <c r="T39" s="2">
        <f t="shared" si="1"/>
        <v>0</v>
      </c>
      <c r="U39" s="2">
        <f t="array" ref="U39">IF($P39="",0,INDEX(StatsZone,$P39,MAP!$E$14)+INDEX(StatsZone,$P39,MAP!$E$15)+INDEX(StatsZone,$P39,MAP!$E$16))</f>
        <v>0</v>
      </c>
      <c r="V39" s="2">
        <f t="shared" si="2"/>
        <v>0</v>
      </c>
      <c r="W39" s="2">
        <f t="shared" si="3"/>
        <v>0</v>
      </c>
      <c r="X39" s="2">
        <f t="shared" si="4"/>
        <v>0</v>
      </c>
      <c r="Y39" s="2">
        <f t="shared" si="5"/>
        <v>0</v>
      </c>
      <c r="Z39" s="2">
        <f t="shared" si="6"/>
        <v>0</v>
      </c>
      <c r="AA39" s="2">
        <f t="shared" si="7"/>
        <v>1</v>
      </c>
      <c r="AB39" s="2">
        <f>IF(OR($M39="",$N39=""),0,MEDIAN(-MarginCap,MarginCap,($M39-$N39)-$AA39*HFA_Base))</f>
        <v>0</v>
      </c>
      <c r="AC39" s="2">
        <f t="array" ref="AC39">IF(OR($P39="",INDEX($P$3:$P$722,(ROW()+IF(MOD(ROW()-3,2)=0,1,-1))-3+1)=""),0,MEDIAN(-MarginCap,MarginCap,($T39-$W39)-$AA39*HFA_Base))</f>
        <v>0</v>
      </c>
      <c r="AD39" s="2">
        <f t="shared" si="8"/>
        <v>0</v>
      </c>
      <c r="AE39" s="2">
        <f>IF(OR($M39="",$N39=""),0,IF(AND(WEpa&gt;0,$AD39=1),(1-WEpa)*$AB39+WEpa*$AC39,$AB39))</f>
        <v>0</v>
      </c>
      <c r="AF39" s="2">
        <f>IF(AND($C39&lt;&gt;"",$E39=CurrentSeason,$F39="REG",ISNUMBER($G39),$G39&lt;CurrentWeek,AND($M39&lt;&gt;"",$N39&lt;&gt;"")),1,0)</f>
        <v>0</v>
      </c>
      <c r="AG39" s="2">
        <f>IF($AF39=0,0,IF($G39&gt;=CurrentWeek-RecencyWin,RecencyMult,1))</f>
        <v>0</v>
      </c>
      <c r="AH39" s="2">
        <f>IF(AND($C39&lt;&gt;"",$E39=CurrentSeason,$F39="REG",ISNUMBER($G39),$G39&lt;CurrentWeek-1,AND($M39&lt;&gt;"",$N39&lt;&gt;"")),1,0)</f>
        <v>0</v>
      </c>
      <c r="AI39" s="2">
        <f>IF($AH39=0,0,IF($G39&gt;=CurrentWeek-1-RecencyWin,RecencyMult,1))</f>
        <v>0</v>
      </c>
      <c r="AJ39" s="2">
        <f>IF($AF39=0,0,IF($G39&gt;=CurrentWeek-RecencyWin,TotRecency,1))</f>
        <v>0</v>
      </c>
      <c r="AK39" s="2">
        <f t="shared" si="9"/>
        <v>0</v>
      </c>
      <c r="AL39" s="2">
        <f t="shared" si="10"/>
        <v>0</v>
      </c>
      <c r="AM39" s="2" t="str">
        <f t="array" ref="AM39">IF($K39="",0,IFERROR(INDEX(CALC!$F$2:$F$33,MATCH($K39,CALC!$A$2:$A$33,0)),0))</f>
        <v/>
      </c>
      <c r="AN39" s="2" t="str">
        <f t="array" ref="AN39">IF($K39="",0,IFERROR(INDEX(CALC!$I$2:$I$33,MATCH($K39,CALC!$A$2:$A$33,0)),0))</f>
        <v/>
      </c>
      <c r="AO39" s="2" t="str">
        <f t="array" ref="AO39">IF($K39="",0,IFERROR(INDEX(CALC!$L$2:$L$33,MATCH($K39,CALC!$A$2:$A$33,0)),0))</f>
        <v/>
      </c>
      <c r="AP39" s="2" t="str">
        <f t="array" ref="AP39">IF($K39="",0,IFERROR(INDEX(CALC!$T$2:$T$33,MATCH($K39,CALC!$A$2:$A$33,0)),0))</f>
        <v/>
      </c>
      <c r="AQ39" s="2" t="str">
        <f t="array" ref="AQ39">IF($K39="",0,IFERROR(INDEX(CALC!$W$2:$W$33,MATCH($K39,CALC!$A$2:$A$33,0)),0))</f>
        <v/>
      </c>
      <c r="AR39" s="2" t="str">
        <f t="array" ref="AR39">IF($K39="",0,IFERROR(INDEX(CALC!$Z$2:$Z$33,MATCH($K39,CALC!$A$2:$A$33,0)),0))</f>
        <v/>
      </c>
      <c r="AS39" s="2" t="str">
        <f t="array" ref="AS39">IF($K39="",0,IFERROR(INDEX(CALC!$AJ$2:$AJ$33,MATCH($K39,CALC!$A$2:$A$33,0)),0))</f>
        <v/>
      </c>
      <c r="AT39" s="2" t="str">
        <f t="array" ref="AT39">IF($K39="",0,IFERROR(INDEX(CALC!$AI$2:$AI$33,MATCH($K39,CALC!$A$2:$A$33,0)),0))</f>
        <v/>
      </c>
      <c r="AU39" s="2">
        <f t="shared" si="11"/>
        <v>0</v>
      </c>
      <c r="AV39" s="2">
        <f t="shared" si="12"/>
        <v>0</v>
      </c>
    </row>
    <row r="40" ht="15.0" customHeight="1">
      <c r="A40" s="2">
        <v>19.0</v>
      </c>
      <c r="B40" s="2" t="s">
        <v>2366</v>
      </c>
      <c r="C40" s="2">
        <f>IFERROR(MATCH($A40,SchedSeq,0),"")</f>
        <v>304</v>
      </c>
      <c r="D40" s="2" t="str">
        <f t="array" ref="D40">IF($C40="","",INDEX(SchedZone,$C40,MAP!$B$6))</f>
        <v>2026_02_NO_BAL</v>
      </c>
      <c r="E40" s="2">
        <f t="array" ref="E40">IF($C40="","",INDEX(SchedZone,$C40,MAP!$B$3))</f>
        <v>2026</v>
      </c>
      <c r="F40" s="2" t="str">
        <f t="array" ref="F40">IF($C40="","",INDEX(SchedZone,$C40,MAP!$B$5))</f>
        <v>REG</v>
      </c>
      <c r="G40" s="2">
        <f t="array" ref="G40">IF($C40="","",INDEX(SchedZone,$C40,MAP!$B$4))</f>
        <v>2</v>
      </c>
      <c r="H40" s="2" t="str">
        <f t="array" ref="H40">IF($C40="","",INDEX(SchedZone,$C40,MAP!$B$10))</f>
        <v>NO</v>
      </c>
      <c r="I40" s="2" t="str">
        <f t="array" ref="I40">IF($H40="","",IF(COUNTIF(Teams,$H40)&gt;0,$H40,IFERROR(INDEX(LISTS!$D$2:$D$12,MATCH($H40,LISTS!$C$2:$C$12,0)),"⚠ "&amp;$H40)))</f>
        <v>NO</v>
      </c>
      <c r="J40" s="2" t="str">
        <f t="array" ref="J40">IF($C40="","",INDEX(SchedZone,$C40,MAP!$B$12))</f>
        <v>BAL</v>
      </c>
      <c r="K40" s="2" t="str">
        <f t="array" ref="K40">IF($J40="","",IF(COUNTIF(Teams,$J40)&gt;0,$J40,IFERROR(INDEX(LISTS!$D$2:$D$12,MATCH($J40,LISTS!$C$2:$C$12,0)),"⚠ "&amp;$J40)))</f>
        <v>BAL</v>
      </c>
      <c r="L40" s="2" t="str">
        <f t="array" ref="L40">IF($C40="","",IF(INDEX(SchedZone,$C40,MAP!$B$14)="Neutral","N",IF($B40="HOME","H","A")))</f>
        <v>A</v>
      </c>
      <c r="M40" s="2" t="str">
        <f t="array" ref="M40">IF($C40="","",IF(INDEX(SchedZone,$C40,MAP!$B$11)="","",INDEX(SchedZone,$C40,MAP!$B$11)))</f>
        <v/>
      </c>
      <c r="N40" s="2" t="str">
        <f t="array" ref="N40">IF($C40="","",IF(INDEX(SchedZone,$C40,MAP!$B$13)="","",INDEX(SchedZone,$C40,MAP!$B$13)))</f>
        <v/>
      </c>
      <c r="O40" s="2">
        <f t="array" ref="O40">IF($C40="","",INDEX(SchedZone,$C40,MAP!$B$15))</f>
        <v>7</v>
      </c>
      <c r="P40" s="2" t="str">
        <f>IF($C40="","",IFERROR(MATCH($E40&amp;"|"&amp;$G40&amp;"|"&amp;$I40,StatsKey,0),""))</f>
        <v/>
      </c>
      <c r="Q40" s="2">
        <f t="array" ref="Q40">IF($P40="",0,INDEX(StatsZone,$P40,MAP!$E$9)+INDEX(StatsZone,$P40,MAP!$E$10)+INDEX(StatsZone,$P40,MAP!$E$11))</f>
        <v>0</v>
      </c>
      <c r="R40" s="2">
        <f t="array" ref="R40">IF($P40="",0,INDEX(StatsZone,$P40,MAP!$E$12))</f>
        <v>0</v>
      </c>
      <c r="S40" s="2">
        <f t="array" ref="S40">IF($P40="",0,INDEX(StatsZone,$P40,MAP!$E$13))</f>
        <v>0</v>
      </c>
      <c r="T40" s="2">
        <f t="shared" si="1"/>
        <v>0</v>
      </c>
      <c r="U40" s="2">
        <f t="array" ref="U40">IF($P40="",0,INDEX(StatsZone,$P40,MAP!$E$14)+INDEX(StatsZone,$P40,MAP!$E$15)+INDEX(StatsZone,$P40,MAP!$E$16))</f>
        <v>0</v>
      </c>
      <c r="V40" s="2">
        <f t="shared" si="2"/>
        <v>0</v>
      </c>
      <c r="W40" s="2">
        <f t="shared" si="3"/>
        <v>0</v>
      </c>
      <c r="X40" s="2">
        <f t="shared" si="4"/>
        <v>0</v>
      </c>
      <c r="Y40" s="2">
        <f t="shared" si="5"/>
        <v>0</v>
      </c>
      <c r="Z40" s="2">
        <f t="shared" si="6"/>
        <v>0</v>
      </c>
      <c r="AA40" s="2">
        <f t="shared" si="7"/>
        <v>-1</v>
      </c>
      <c r="AB40" s="2">
        <f>IF(OR($M40="",$N40=""),0,MEDIAN(-MarginCap,MarginCap,($M40-$N40)-$AA40*HFA_Base))</f>
        <v>0</v>
      </c>
      <c r="AC40" s="2">
        <f t="array" ref="AC40">IF(OR($P40="",INDEX($P$3:$P$722,(ROW()+IF(MOD(ROW()-3,2)=0,1,-1))-3+1)=""),0,MEDIAN(-MarginCap,MarginCap,($T40-$W40)-$AA40*HFA_Base))</f>
        <v>0</v>
      </c>
      <c r="AD40" s="2">
        <f t="shared" si="8"/>
        <v>0</v>
      </c>
      <c r="AE40" s="2">
        <f>IF(OR($M40="",$N40=""),0,IF(AND(WEpa&gt;0,$AD40=1),(1-WEpa)*$AB40+WEpa*$AC40,$AB40))</f>
        <v>0</v>
      </c>
      <c r="AF40" s="2">
        <f>IF(AND($C40&lt;&gt;"",$E40=CurrentSeason,$F40="REG",ISNUMBER($G40),$G40&lt;CurrentWeek,AND($M40&lt;&gt;"",$N40&lt;&gt;"")),1,0)</f>
        <v>0</v>
      </c>
      <c r="AG40" s="2">
        <f>IF($AF40=0,0,IF($G40&gt;=CurrentWeek-RecencyWin,RecencyMult,1))</f>
        <v>0</v>
      </c>
      <c r="AH40" s="2">
        <f>IF(AND($C40&lt;&gt;"",$E40=CurrentSeason,$F40="REG",ISNUMBER($G40),$G40&lt;CurrentWeek-1,AND($M40&lt;&gt;"",$N40&lt;&gt;"")),1,0)</f>
        <v>0</v>
      </c>
      <c r="AI40" s="2">
        <f>IF($AH40=0,0,IF($G40&gt;=CurrentWeek-1-RecencyWin,RecencyMult,1))</f>
        <v>0</v>
      </c>
      <c r="AJ40" s="2">
        <f>IF($AF40=0,0,IF($G40&gt;=CurrentWeek-RecencyWin,TotRecency,1))</f>
        <v>0</v>
      </c>
      <c r="AK40" s="2">
        <f t="shared" si="9"/>
        <v>0</v>
      </c>
      <c r="AL40" s="2">
        <f t="shared" si="10"/>
        <v>0</v>
      </c>
      <c r="AM40" s="2" t="str">
        <f t="array" ref="AM40">IF($K40="",0,IFERROR(INDEX(CALC!$F$2:$F$33,MATCH($K40,CALC!$A$2:$A$33,0)),0))</f>
        <v/>
      </c>
      <c r="AN40" s="2" t="str">
        <f t="array" ref="AN40">IF($K40="",0,IFERROR(INDEX(CALC!$I$2:$I$33,MATCH($K40,CALC!$A$2:$A$33,0)),0))</f>
        <v/>
      </c>
      <c r="AO40" s="2" t="str">
        <f t="array" ref="AO40">IF($K40="",0,IFERROR(INDEX(CALC!$L$2:$L$33,MATCH($K40,CALC!$A$2:$A$33,0)),0))</f>
        <v/>
      </c>
      <c r="AP40" s="2" t="str">
        <f t="array" ref="AP40">IF($K40="",0,IFERROR(INDEX(CALC!$T$2:$T$33,MATCH($K40,CALC!$A$2:$A$33,0)),0))</f>
        <v/>
      </c>
      <c r="AQ40" s="2" t="str">
        <f t="array" ref="AQ40">IF($K40="",0,IFERROR(INDEX(CALC!$W$2:$W$33,MATCH($K40,CALC!$A$2:$A$33,0)),0))</f>
        <v/>
      </c>
      <c r="AR40" s="2" t="str">
        <f t="array" ref="AR40">IF($K40="",0,IFERROR(INDEX(CALC!$Z$2:$Z$33,MATCH($K40,CALC!$A$2:$A$33,0)),0))</f>
        <v/>
      </c>
      <c r="AS40" s="2" t="str">
        <f t="array" ref="AS40">IF($K40="",0,IFERROR(INDEX(CALC!$AJ$2:$AJ$33,MATCH($K40,CALC!$A$2:$A$33,0)),0))</f>
        <v/>
      </c>
      <c r="AT40" s="2" t="str">
        <f t="array" ref="AT40">IF($K40="",0,IFERROR(INDEX(CALC!$AI$2:$AI$33,MATCH($K40,CALC!$A$2:$A$33,0)),0))</f>
        <v/>
      </c>
      <c r="AU40" s="2">
        <f t="shared" si="11"/>
        <v>0</v>
      </c>
      <c r="AV40" s="2">
        <f t="shared" si="12"/>
        <v>0</v>
      </c>
    </row>
    <row r="41" ht="15.0" customHeight="1">
      <c r="A41" s="2">
        <v>20.0</v>
      </c>
      <c r="B41" s="2" t="s">
        <v>2365</v>
      </c>
      <c r="C41" s="2">
        <f>IFERROR(MATCH($A41,SchedSeq,0),"")</f>
        <v>305</v>
      </c>
      <c r="D41" s="2" t="str">
        <f t="array" ref="D41">IF($C41="","",INDEX(SchedZone,$C41,MAP!$B$6))</f>
        <v>2026_02_MIN_CHI</v>
      </c>
      <c r="E41" s="2">
        <f t="array" ref="E41">IF($C41="","",INDEX(SchedZone,$C41,MAP!$B$3))</f>
        <v>2026</v>
      </c>
      <c r="F41" s="2" t="str">
        <f t="array" ref="F41">IF($C41="","",INDEX(SchedZone,$C41,MAP!$B$5))</f>
        <v>REG</v>
      </c>
      <c r="G41" s="2">
        <f t="array" ref="G41">IF($C41="","",INDEX(SchedZone,$C41,MAP!$B$4))</f>
        <v>2</v>
      </c>
      <c r="H41" s="2" t="str">
        <f t="array" ref="H41">IF($C41="","",INDEX(SchedZone,$C41,MAP!$B$12))</f>
        <v>CHI</v>
      </c>
      <c r="I41" s="2" t="str">
        <f t="array" ref="I41">IF($H41="","",IF(COUNTIF(Teams,$H41)&gt;0,$H41,IFERROR(INDEX(LISTS!$D$2:$D$12,MATCH($H41,LISTS!$C$2:$C$12,0)),"⚠ "&amp;$H41)))</f>
        <v>CHI</v>
      </c>
      <c r="J41" s="2" t="str">
        <f t="array" ref="J41">IF($C41="","",INDEX(SchedZone,$C41,MAP!$B$10))</f>
        <v>MIN</v>
      </c>
      <c r="K41" s="2" t="str">
        <f t="array" ref="K41">IF($J41="","",IF(COUNTIF(Teams,$J41)&gt;0,$J41,IFERROR(INDEX(LISTS!$D$2:$D$12,MATCH($J41,LISTS!$C$2:$C$12,0)),"⚠ "&amp;$J41)))</f>
        <v>MIN</v>
      </c>
      <c r="L41" s="2" t="str">
        <f t="array" ref="L41">IF($C41="","",IF(INDEX(SchedZone,$C41,MAP!$B$14)="Neutral","N",IF($B41="HOME","H","A")))</f>
        <v>H</v>
      </c>
      <c r="M41" s="2" t="str">
        <f t="array" ref="M41">IF($C41="","",IF(INDEX(SchedZone,$C41,MAP!$B$13)="","",INDEX(SchedZone,$C41,MAP!$B$13)))</f>
        <v/>
      </c>
      <c r="N41" s="2" t="str">
        <f t="array" ref="N41">IF($C41="","",IF(INDEX(SchedZone,$C41,MAP!$B$11)="","",INDEX(SchedZone,$C41,MAP!$B$11)))</f>
        <v/>
      </c>
      <c r="O41" s="2">
        <f t="array" ref="O41">IF($C41="","",INDEX(SchedZone,$C41,MAP!$B$16))</f>
        <v>7</v>
      </c>
      <c r="P41" s="2" t="str">
        <f>IF($C41="","",IFERROR(MATCH($E41&amp;"|"&amp;$G41&amp;"|"&amp;$I41,StatsKey,0),""))</f>
        <v/>
      </c>
      <c r="Q41" s="2">
        <f t="array" ref="Q41">IF($P41="",0,INDEX(StatsZone,$P41,MAP!$E$9)+INDEX(StatsZone,$P41,MAP!$E$10)+INDEX(StatsZone,$P41,MAP!$E$11))</f>
        <v>0</v>
      </c>
      <c r="R41" s="2">
        <f t="array" ref="R41">IF($P41="",0,INDEX(StatsZone,$P41,MAP!$E$12))</f>
        <v>0</v>
      </c>
      <c r="S41" s="2">
        <f t="array" ref="S41">IF($P41="",0,INDEX(StatsZone,$P41,MAP!$E$13))</f>
        <v>0</v>
      </c>
      <c r="T41" s="2">
        <f t="shared" si="1"/>
        <v>0</v>
      </c>
      <c r="U41" s="2">
        <f t="array" ref="U41">IF($P41="",0,INDEX(StatsZone,$P41,MAP!$E$14)+INDEX(StatsZone,$P41,MAP!$E$15)+INDEX(StatsZone,$P41,MAP!$E$16))</f>
        <v>0</v>
      </c>
      <c r="V41" s="2">
        <f t="shared" si="2"/>
        <v>0</v>
      </c>
      <c r="W41" s="2">
        <f t="shared" si="3"/>
        <v>0</v>
      </c>
      <c r="X41" s="2">
        <f t="shared" si="4"/>
        <v>0</v>
      </c>
      <c r="Y41" s="2">
        <f t="shared" si="5"/>
        <v>0</v>
      </c>
      <c r="Z41" s="2">
        <f t="shared" si="6"/>
        <v>0</v>
      </c>
      <c r="AA41" s="2">
        <f t="shared" si="7"/>
        <v>1</v>
      </c>
      <c r="AB41" s="2">
        <f>IF(OR($M41="",$N41=""),0,MEDIAN(-MarginCap,MarginCap,($M41-$N41)-$AA41*HFA_Base))</f>
        <v>0</v>
      </c>
      <c r="AC41" s="2">
        <f t="array" ref="AC41">IF(OR($P41="",INDEX($P$3:$P$722,(ROW()+IF(MOD(ROW()-3,2)=0,1,-1))-3+1)=""),0,MEDIAN(-MarginCap,MarginCap,($T41-$W41)-$AA41*HFA_Base))</f>
        <v>0</v>
      </c>
      <c r="AD41" s="2">
        <f t="shared" si="8"/>
        <v>0</v>
      </c>
      <c r="AE41" s="2">
        <f>IF(OR($M41="",$N41=""),0,IF(AND(WEpa&gt;0,$AD41=1),(1-WEpa)*$AB41+WEpa*$AC41,$AB41))</f>
        <v>0</v>
      </c>
      <c r="AF41" s="2">
        <f>IF(AND($C41&lt;&gt;"",$E41=CurrentSeason,$F41="REG",ISNUMBER($G41),$G41&lt;CurrentWeek,AND($M41&lt;&gt;"",$N41&lt;&gt;"")),1,0)</f>
        <v>0</v>
      </c>
      <c r="AG41" s="2">
        <f>IF($AF41=0,0,IF($G41&gt;=CurrentWeek-RecencyWin,RecencyMult,1))</f>
        <v>0</v>
      </c>
      <c r="AH41" s="2">
        <f>IF(AND($C41&lt;&gt;"",$E41=CurrentSeason,$F41="REG",ISNUMBER($G41),$G41&lt;CurrentWeek-1,AND($M41&lt;&gt;"",$N41&lt;&gt;"")),1,0)</f>
        <v>0</v>
      </c>
      <c r="AI41" s="2">
        <f>IF($AH41=0,0,IF($G41&gt;=CurrentWeek-1-RecencyWin,RecencyMult,1))</f>
        <v>0</v>
      </c>
      <c r="AJ41" s="2">
        <f>IF($AF41=0,0,IF($G41&gt;=CurrentWeek-RecencyWin,TotRecency,1))</f>
        <v>0</v>
      </c>
      <c r="AK41" s="2">
        <f t="shared" si="9"/>
        <v>0</v>
      </c>
      <c r="AL41" s="2">
        <f t="shared" si="10"/>
        <v>0</v>
      </c>
      <c r="AM41" s="2" t="str">
        <f t="array" ref="AM41">IF($K41="",0,IFERROR(INDEX(CALC!$F$2:$F$33,MATCH($K41,CALC!$A$2:$A$33,0)),0))</f>
        <v/>
      </c>
      <c r="AN41" s="2" t="str">
        <f t="array" ref="AN41">IF($K41="",0,IFERROR(INDEX(CALC!$I$2:$I$33,MATCH($K41,CALC!$A$2:$A$33,0)),0))</f>
        <v/>
      </c>
      <c r="AO41" s="2" t="str">
        <f t="array" ref="AO41">IF($K41="",0,IFERROR(INDEX(CALC!$L$2:$L$33,MATCH($K41,CALC!$A$2:$A$33,0)),0))</f>
        <v/>
      </c>
      <c r="AP41" s="2" t="str">
        <f t="array" ref="AP41">IF($K41="",0,IFERROR(INDEX(CALC!$T$2:$T$33,MATCH($K41,CALC!$A$2:$A$33,0)),0))</f>
        <v/>
      </c>
      <c r="AQ41" s="2" t="str">
        <f t="array" ref="AQ41">IF($K41="",0,IFERROR(INDEX(CALC!$W$2:$W$33,MATCH($K41,CALC!$A$2:$A$33,0)),0))</f>
        <v/>
      </c>
      <c r="AR41" s="2" t="str">
        <f t="array" ref="AR41">IF($K41="",0,IFERROR(INDEX(CALC!$Z$2:$Z$33,MATCH($K41,CALC!$A$2:$A$33,0)),0))</f>
        <v/>
      </c>
      <c r="AS41" s="2" t="str">
        <f t="array" ref="AS41">IF($K41="",0,IFERROR(INDEX(CALC!$AJ$2:$AJ$33,MATCH($K41,CALC!$A$2:$A$33,0)),0))</f>
        <v/>
      </c>
      <c r="AT41" s="2" t="str">
        <f t="array" ref="AT41">IF($K41="",0,IFERROR(INDEX(CALC!$AI$2:$AI$33,MATCH($K41,CALC!$A$2:$A$33,0)),0))</f>
        <v/>
      </c>
      <c r="AU41" s="2">
        <f t="shared" si="11"/>
        <v>0</v>
      </c>
      <c r="AV41" s="2">
        <f t="shared" si="12"/>
        <v>0</v>
      </c>
    </row>
    <row r="42" ht="15.0" customHeight="1">
      <c r="A42" s="2">
        <v>20.0</v>
      </c>
      <c r="B42" s="2" t="s">
        <v>2366</v>
      </c>
      <c r="C42" s="2">
        <f>IFERROR(MATCH($A42,SchedSeq,0),"")</f>
        <v>305</v>
      </c>
      <c r="D42" s="2" t="str">
        <f t="array" ref="D42">IF($C42="","",INDEX(SchedZone,$C42,MAP!$B$6))</f>
        <v>2026_02_MIN_CHI</v>
      </c>
      <c r="E42" s="2">
        <f t="array" ref="E42">IF($C42="","",INDEX(SchedZone,$C42,MAP!$B$3))</f>
        <v>2026</v>
      </c>
      <c r="F42" s="2" t="str">
        <f t="array" ref="F42">IF($C42="","",INDEX(SchedZone,$C42,MAP!$B$5))</f>
        <v>REG</v>
      </c>
      <c r="G42" s="2">
        <f t="array" ref="G42">IF($C42="","",INDEX(SchedZone,$C42,MAP!$B$4))</f>
        <v>2</v>
      </c>
      <c r="H42" s="2" t="str">
        <f t="array" ref="H42">IF($C42="","",INDEX(SchedZone,$C42,MAP!$B$10))</f>
        <v>MIN</v>
      </c>
      <c r="I42" s="2" t="str">
        <f t="array" ref="I42">IF($H42="","",IF(COUNTIF(Teams,$H42)&gt;0,$H42,IFERROR(INDEX(LISTS!$D$2:$D$12,MATCH($H42,LISTS!$C$2:$C$12,0)),"⚠ "&amp;$H42)))</f>
        <v>MIN</v>
      </c>
      <c r="J42" s="2" t="str">
        <f t="array" ref="J42">IF($C42="","",INDEX(SchedZone,$C42,MAP!$B$12))</f>
        <v>CHI</v>
      </c>
      <c r="K42" s="2" t="str">
        <f t="array" ref="K42">IF($J42="","",IF(COUNTIF(Teams,$J42)&gt;0,$J42,IFERROR(INDEX(LISTS!$D$2:$D$12,MATCH($J42,LISTS!$C$2:$C$12,0)),"⚠ "&amp;$J42)))</f>
        <v>CHI</v>
      </c>
      <c r="L42" s="2" t="str">
        <f t="array" ref="L42">IF($C42="","",IF(INDEX(SchedZone,$C42,MAP!$B$14)="Neutral","N",IF($B42="HOME","H","A")))</f>
        <v>A</v>
      </c>
      <c r="M42" s="2" t="str">
        <f t="array" ref="M42">IF($C42="","",IF(INDEX(SchedZone,$C42,MAP!$B$11)="","",INDEX(SchedZone,$C42,MAP!$B$11)))</f>
        <v/>
      </c>
      <c r="N42" s="2" t="str">
        <f t="array" ref="N42">IF($C42="","",IF(INDEX(SchedZone,$C42,MAP!$B$13)="","",INDEX(SchedZone,$C42,MAP!$B$13)))</f>
        <v/>
      </c>
      <c r="O42" s="2">
        <f t="array" ref="O42">IF($C42="","",INDEX(SchedZone,$C42,MAP!$B$15))</f>
        <v>7</v>
      </c>
      <c r="P42" s="2" t="str">
        <f>IF($C42="","",IFERROR(MATCH($E42&amp;"|"&amp;$G42&amp;"|"&amp;$I42,StatsKey,0),""))</f>
        <v/>
      </c>
      <c r="Q42" s="2">
        <f t="array" ref="Q42">IF($P42="",0,INDEX(StatsZone,$P42,MAP!$E$9)+INDEX(StatsZone,$P42,MAP!$E$10)+INDEX(StatsZone,$P42,MAP!$E$11))</f>
        <v>0</v>
      </c>
      <c r="R42" s="2">
        <f t="array" ref="R42">IF($P42="",0,INDEX(StatsZone,$P42,MAP!$E$12))</f>
        <v>0</v>
      </c>
      <c r="S42" s="2">
        <f t="array" ref="S42">IF($P42="",0,INDEX(StatsZone,$P42,MAP!$E$13))</f>
        <v>0</v>
      </c>
      <c r="T42" s="2">
        <f t="shared" si="1"/>
        <v>0</v>
      </c>
      <c r="U42" s="2">
        <f t="array" ref="U42">IF($P42="",0,INDEX(StatsZone,$P42,MAP!$E$14)+INDEX(StatsZone,$P42,MAP!$E$15)+INDEX(StatsZone,$P42,MAP!$E$16))</f>
        <v>0</v>
      </c>
      <c r="V42" s="2">
        <f t="shared" si="2"/>
        <v>0</v>
      </c>
      <c r="W42" s="2">
        <f t="shared" si="3"/>
        <v>0</v>
      </c>
      <c r="X42" s="2">
        <f t="shared" si="4"/>
        <v>0</v>
      </c>
      <c r="Y42" s="2">
        <f t="shared" si="5"/>
        <v>0</v>
      </c>
      <c r="Z42" s="2">
        <f t="shared" si="6"/>
        <v>0</v>
      </c>
      <c r="AA42" s="2">
        <f t="shared" si="7"/>
        <v>-1</v>
      </c>
      <c r="AB42" s="2">
        <f>IF(OR($M42="",$N42=""),0,MEDIAN(-MarginCap,MarginCap,($M42-$N42)-$AA42*HFA_Base))</f>
        <v>0</v>
      </c>
      <c r="AC42" s="2">
        <f t="array" ref="AC42">IF(OR($P42="",INDEX($P$3:$P$722,(ROW()+IF(MOD(ROW()-3,2)=0,1,-1))-3+1)=""),0,MEDIAN(-MarginCap,MarginCap,($T42-$W42)-$AA42*HFA_Base))</f>
        <v>0</v>
      </c>
      <c r="AD42" s="2">
        <f t="shared" si="8"/>
        <v>0</v>
      </c>
      <c r="AE42" s="2">
        <f>IF(OR($M42="",$N42=""),0,IF(AND(WEpa&gt;0,$AD42=1),(1-WEpa)*$AB42+WEpa*$AC42,$AB42))</f>
        <v>0</v>
      </c>
      <c r="AF42" s="2">
        <f>IF(AND($C42&lt;&gt;"",$E42=CurrentSeason,$F42="REG",ISNUMBER($G42),$G42&lt;CurrentWeek,AND($M42&lt;&gt;"",$N42&lt;&gt;"")),1,0)</f>
        <v>0</v>
      </c>
      <c r="AG42" s="2">
        <f>IF($AF42=0,0,IF($G42&gt;=CurrentWeek-RecencyWin,RecencyMult,1))</f>
        <v>0</v>
      </c>
      <c r="AH42" s="2">
        <f>IF(AND($C42&lt;&gt;"",$E42=CurrentSeason,$F42="REG",ISNUMBER($G42),$G42&lt;CurrentWeek-1,AND($M42&lt;&gt;"",$N42&lt;&gt;"")),1,0)</f>
        <v>0</v>
      </c>
      <c r="AI42" s="2">
        <f>IF($AH42=0,0,IF($G42&gt;=CurrentWeek-1-RecencyWin,RecencyMult,1))</f>
        <v>0</v>
      </c>
      <c r="AJ42" s="2">
        <f>IF($AF42=0,0,IF($G42&gt;=CurrentWeek-RecencyWin,TotRecency,1))</f>
        <v>0</v>
      </c>
      <c r="AK42" s="2">
        <f t="shared" si="9"/>
        <v>0</v>
      </c>
      <c r="AL42" s="2">
        <f t="shared" si="10"/>
        <v>0</v>
      </c>
      <c r="AM42" s="2" t="str">
        <f t="array" ref="AM42">IF($K42="",0,IFERROR(INDEX(CALC!$F$2:$F$33,MATCH($K42,CALC!$A$2:$A$33,0)),0))</f>
        <v/>
      </c>
      <c r="AN42" s="2" t="str">
        <f t="array" ref="AN42">IF($K42="",0,IFERROR(INDEX(CALC!$I$2:$I$33,MATCH($K42,CALC!$A$2:$A$33,0)),0))</f>
        <v/>
      </c>
      <c r="AO42" s="2" t="str">
        <f t="array" ref="AO42">IF($K42="",0,IFERROR(INDEX(CALC!$L$2:$L$33,MATCH($K42,CALC!$A$2:$A$33,0)),0))</f>
        <v/>
      </c>
      <c r="AP42" s="2" t="str">
        <f t="array" ref="AP42">IF($K42="",0,IFERROR(INDEX(CALC!$T$2:$T$33,MATCH($K42,CALC!$A$2:$A$33,0)),0))</f>
        <v/>
      </c>
      <c r="AQ42" s="2" t="str">
        <f t="array" ref="AQ42">IF($K42="",0,IFERROR(INDEX(CALC!$W$2:$W$33,MATCH($K42,CALC!$A$2:$A$33,0)),0))</f>
        <v/>
      </c>
      <c r="AR42" s="2" t="str">
        <f t="array" ref="AR42">IF($K42="",0,IFERROR(INDEX(CALC!$Z$2:$Z$33,MATCH($K42,CALC!$A$2:$A$33,0)),0))</f>
        <v/>
      </c>
      <c r="AS42" s="2" t="str">
        <f t="array" ref="AS42">IF($K42="",0,IFERROR(INDEX(CALC!$AJ$2:$AJ$33,MATCH($K42,CALC!$A$2:$A$33,0)),0))</f>
        <v/>
      </c>
      <c r="AT42" s="2" t="str">
        <f t="array" ref="AT42">IF($K42="",0,IFERROR(INDEX(CALC!$AI$2:$AI$33,MATCH($K42,CALC!$A$2:$A$33,0)),0))</f>
        <v/>
      </c>
      <c r="AU42" s="2">
        <f t="shared" si="11"/>
        <v>0</v>
      </c>
      <c r="AV42" s="2">
        <f t="shared" si="12"/>
        <v>0</v>
      </c>
    </row>
    <row r="43" ht="15.0" customHeight="1">
      <c r="A43" s="2">
        <v>21.0</v>
      </c>
      <c r="B43" s="2" t="s">
        <v>2365</v>
      </c>
      <c r="C43" s="2">
        <f>IFERROR(MATCH($A43,SchedSeq,0),"")</f>
        <v>306</v>
      </c>
      <c r="D43" s="2" t="str">
        <f t="array" ref="D43">IF($C43="","",INDEX(SchedZone,$C43,MAP!$B$6))</f>
        <v>2026_02_CIN_HOU</v>
      </c>
      <c r="E43" s="2">
        <f t="array" ref="E43">IF($C43="","",INDEX(SchedZone,$C43,MAP!$B$3))</f>
        <v>2026</v>
      </c>
      <c r="F43" s="2" t="str">
        <f t="array" ref="F43">IF($C43="","",INDEX(SchedZone,$C43,MAP!$B$5))</f>
        <v>REG</v>
      </c>
      <c r="G43" s="2">
        <f t="array" ref="G43">IF($C43="","",INDEX(SchedZone,$C43,MAP!$B$4))</f>
        <v>2</v>
      </c>
      <c r="H43" s="2" t="str">
        <f t="array" ref="H43">IF($C43="","",INDEX(SchedZone,$C43,MAP!$B$12))</f>
        <v>HOU</v>
      </c>
      <c r="I43" s="2" t="str">
        <f t="array" ref="I43">IF($H43="","",IF(COUNTIF(Teams,$H43)&gt;0,$H43,IFERROR(INDEX(LISTS!$D$2:$D$12,MATCH($H43,LISTS!$C$2:$C$12,0)),"⚠ "&amp;$H43)))</f>
        <v>HOU</v>
      </c>
      <c r="J43" s="2" t="str">
        <f t="array" ref="J43">IF($C43="","",INDEX(SchedZone,$C43,MAP!$B$10))</f>
        <v>CIN</v>
      </c>
      <c r="K43" s="2" t="str">
        <f t="array" ref="K43">IF($J43="","",IF(COUNTIF(Teams,$J43)&gt;0,$J43,IFERROR(INDEX(LISTS!$D$2:$D$12,MATCH($J43,LISTS!$C$2:$C$12,0)),"⚠ "&amp;$J43)))</f>
        <v>CIN</v>
      </c>
      <c r="L43" s="2" t="str">
        <f t="array" ref="L43">IF($C43="","",IF(INDEX(SchedZone,$C43,MAP!$B$14)="Neutral","N",IF($B43="HOME","H","A")))</f>
        <v>H</v>
      </c>
      <c r="M43" s="2" t="str">
        <f t="array" ref="M43">IF($C43="","",IF(INDEX(SchedZone,$C43,MAP!$B$13)="","",INDEX(SchedZone,$C43,MAP!$B$13)))</f>
        <v/>
      </c>
      <c r="N43" s="2" t="str">
        <f t="array" ref="N43">IF($C43="","",IF(INDEX(SchedZone,$C43,MAP!$B$11)="","",INDEX(SchedZone,$C43,MAP!$B$11)))</f>
        <v/>
      </c>
      <c r="O43" s="2">
        <f t="array" ref="O43">IF($C43="","",INDEX(SchedZone,$C43,MAP!$B$16))</f>
        <v>7</v>
      </c>
      <c r="P43" s="2" t="str">
        <f>IF($C43="","",IFERROR(MATCH($E43&amp;"|"&amp;$G43&amp;"|"&amp;$I43,StatsKey,0),""))</f>
        <v/>
      </c>
      <c r="Q43" s="2">
        <f t="array" ref="Q43">IF($P43="",0,INDEX(StatsZone,$P43,MAP!$E$9)+INDEX(StatsZone,$P43,MAP!$E$10)+INDEX(StatsZone,$P43,MAP!$E$11))</f>
        <v>0</v>
      </c>
      <c r="R43" s="2">
        <f t="array" ref="R43">IF($P43="",0,INDEX(StatsZone,$P43,MAP!$E$12))</f>
        <v>0</v>
      </c>
      <c r="S43" s="2">
        <f t="array" ref="S43">IF($P43="",0,INDEX(StatsZone,$P43,MAP!$E$13))</f>
        <v>0</v>
      </c>
      <c r="T43" s="2">
        <f t="shared" si="1"/>
        <v>0</v>
      </c>
      <c r="U43" s="2">
        <f t="array" ref="U43">IF($P43="",0,INDEX(StatsZone,$P43,MAP!$E$14)+INDEX(StatsZone,$P43,MAP!$E$15)+INDEX(StatsZone,$P43,MAP!$E$16))</f>
        <v>0</v>
      </c>
      <c r="V43" s="2">
        <f t="shared" si="2"/>
        <v>0</v>
      </c>
      <c r="W43" s="2">
        <f t="shared" si="3"/>
        <v>0</v>
      </c>
      <c r="X43" s="2">
        <f t="shared" si="4"/>
        <v>0</v>
      </c>
      <c r="Y43" s="2">
        <f t="shared" si="5"/>
        <v>0</v>
      </c>
      <c r="Z43" s="2">
        <f t="shared" si="6"/>
        <v>0</v>
      </c>
      <c r="AA43" s="2">
        <f t="shared" si="7"/>
        <v>1</v>
      </c>
      <c r="AB43" s="2">
        <f>IF(OR($M43="",$N43=""),0,MEDIAN(-MarginCap,MarginCap,($M43-$N43)-$AA43*HFA_Base))</f>
        <v>0</v>
      </c>
      <c r="AC43" s="2">
        <f t="array" ref="AC43">IF(OR($P43="",INDEX($P$3:$P$722,(ROW()+IF(MOD(ROW()-3,2)=0,1,-1))-3+1)=""),0,MEDIAN(-MarginCap,MarginCap,($T43-$W43)-$AA43*HFA_Base))</f>
        <v>0</v>
      </c>
      <c r="AD43" s="2">
        <f t="shared" si="8"/>
        <v>0</v>
      </c>
      <c r="AE43" s="2">
        <f>IF(OR($M43="",$N43=""),0,IF(AND(WEpa&gt;0,$AD43=1),(1-WEpa)*$AB43+WEpa*$AC43,$AB43))</f>
        <v>0</v>
      </c>
      <c r="AF43" s="2">
        <f>IF(AND($C43&lt;&gt;"",$E43=CurrentSeason,$F43="REG",ISNUMBER($G43),$G43&lt;CurrentWeek,AND($M43&lt;&gt;"",$N43&lt;&gt;"")),1,0)</f>
        <v>0</v>
      </c>
      <c r="AG43" s="2">
        <f>IF($AF43=0,0,IF($G43&gt;=CurrentWeek-RecencyWin,RecencyMult,1))</f>
        <v>0</v>
      </c>
      <c r="AH43" s="2">
        <f>IF(AND($C43&lt;&gt;"",$E43=CurrentSeason,$F43="REG",ISNUMBER($G43),$G43&lt;CurrentWeek-1,AND($M43&lt;&gt;"",$N43&lt;&gt;"")),1,0)</f>
        <v>0</v>
      </c>
      <c r="AI43" s="2">
        <f>IF($AH43=0,0,IF($G43&gt;=CurrentWeek-1-RecencyWin,RecencyMult,1))</f>
        <v>0</v>
      </c>
      <c r="AJ43" s="2">
        <f>IF($AF43=0,0,IF($G43&gt;=CurrentWeek-RecencyWin,TotRecency,1))</f>
        <v>0</v>
      </c>
      <c r="AK43" s="2">
        <f t="shared" si="9"/>
        <v>0</v>
      </c>
      <c r="AL43" s="2">
        <f t="shared" si="10"/>
        <v>0</v>
      </c>
      <c r="AM43" s="2" t="str">
        <f t="array" ref="AM43">IF($K43="",0,IFERROR(INDEX(CALC!$F$2:$F$33,MATCH($K43,CALC!$A$2:$A$33,0)),0))</f>
        <v/>
      </c>
      <c r="AN43" s="2" t="str">
        <f t="array" ref="AN43">IF($K43="",0,IFERROR(INDEX(CALC!$I$2:$I$33,MATCH($K43,CALC!$A$2:$A$33,0)),0))</f>
        <v/>
      </c>
      <c r="AO43" s="2" t="str">
        <f t="array" ref="AO43">IF($K43="",0,IFERROR(INDEX(CALC!$L$2:$L$33,MATCH($K43,CALC!$A$2:$A$33,0)),0))</f>
        <v/>
      </c>
      <c r="AP43" s="2" t="str">
        <f t="array" ref="AP43">IF($K43="",0,IFERROR(INDEX(CALC!$T$2:$T$33,MATCH($K43,CALC!$A$2:$A$33,0)),0))</f>
        <v/>
      </c>
      <c r="AQ43" s="2" t="str">
        <f t="array" ref="AQ43">IF($K43="",0,IFERROR(INDEX(CALC!$W$2:$W$33,MATCH($K43,CALC!$A$2:$A$33,0)),0))</f>
        <v/>
      </c>
      <c r="AR43" s="2" t="str">
        <f t="array" ref="AR43">IF($K43="",0,IFERROR(INDEX(CALC!$Z$2:$Z$33,MATCH($K43,CALC!$A$2:$A$33,0)),0))</f>
        <v/>
      </c>
      <c r="AS43" s="2" t="str">
        <f t="array" ref="AS43">IF($K43="",0,IFERROR(INDEX(CALC!$AJ$2:$AJ$33,MATCH($K43,CALC!$A$2:$A$33,0)),0))</f>
        <v/>
      </c>
      <c r="AT43" s="2" t="str">
        <f t="array" ref="AT43">IF($K43="",0,IFERROR(INDEX(CALC!$AI$2:$AI$33,MATCH($K43,CALC!$A$2:$A$33,0)),0))</f>
        <v/>
      </c>
      <c r="AU43" s="2">
        <f t="shared" si="11"/>
        <v>0</v>
      </c>
      <c r="AV43" s="2">
        <f t="shared" si="12"/>
        <v>0</v>
      </c>
    </row>
    <row r="44" ht="15.0" customHeight="1">
      <c r="A44" s="2">
        <v>21.0</v>
      </c>
      <c r="B44" s="2" t="s">
        <v>2366</v>
      </c>
      <c r="C44" s="2">
        <f>IFERROR(MATCH($A44,SchedSeq,0),"")</f>
        <v>306</v>
      </c>
      <c r="D44" s="2" t="str">
        <f t="array" ref="D44">IF($C44="","",INDEX(SchedZone,$C44,MAP!$B$6))</f>
        <v>2026_02_CIN_HOU</v>
      </c>
      <c r="E44" s="2">
        <f t="array" ref="E44">IF($C44="","",INDEX(SchedZone,$C44,MAP!$B$3))</f>
        <v>2026</v>
      </c>
      <c r="F44" s="2" t="str">
        <f t="array" ref="F44">IF($C44="","",INDEX(SchedZone,$C44,MAP!$B$5))</f>
        <v>REG</v>
      </c>
      <c r="G44" s="2">
        <f t="array" ref="G44">IF($C44="","",INDEX(SchedZone,$C44,MAP!$B$4))</f>
        <v>2</v>
      </c>
      <c r="H44" s="2" t="str">
        <f t="array" ref="H44">IF($C44="","",INDEX(SchedZone,$C44,MAP!$B$10))</f>
        <v>CIN</v>
      </c>
      <c r="I44" s="2" t="str">
        <f t="array" ref="I44">IF($H44="","",IF(COUNTIF(Teams,$H44)&gt;0,$H44,IFERROR(INDEX(LISTS!$D$2:$D$12,MATCH($H44,LISTS!$C$2:$C$12,0)),"⚠ "&amp;$H44)))</f>
        <v>CIN</v>
      </c>
      <c r="J44" s="2" t="str">
        <f t="array" ref="J44">IF($C44="","",INDEX(SchedZone,$C44,MAP!$B$12))</f>
        <v>HOU</v>
      </c>
      <c r="K44" s="2" t="str">
        <f t="array" ref="K44">IF($J44="","",IF(COUNTIF(Teams,$J44)&gt;0,$J44,IFERROR(INDEX(LISTS!$D$2:$D$12,MATCH($J44,LISTS!$C$2:$C$12,0)),"⚠ "&amp;$J44)))</f>
        <v>HOU</v>
      </c>
      <c r="L44" s="2" t="str">
        <f t="array" ref="L44">IF($C44="","",IF(INDEX(SchedZone,$C44,MAP!$B$14)="Neutral","N",IF($B44="HOME","H","A")))</f>
        <v>A</v>
      </c>
      <c r="M44" s="2" t="str">
        <f t="array" ref="M44">IF($C44="","",IF(INDEX(SchedZone,$C44,MAP!$B$11)="","",INDEX(SchedZone,$C44,MAP!$B$11)))</f>
        <v/>
      </c>
      <c r="N44" s="2" t="str">
        <f t="array" ref="N44">IF($C44="","",IF(INDEX(SchedZone,$C44,MAP!$B$13)="","",INDEX(SchedZone,$C44,MAP!$B$13)))</f>
        <v/>
      </c>
      <c r="O44" s="2">
        <f t="array" ref="O44">IF($C44="","",INDEX(SchedZone,$C44,MAP!$B$15))</f>
        <v>7</v>
      </c>
      <c r="P44" s="2" t="str">
        <f>IF($C44="","",IFERROR(MATCH($E44&amp;"|"&amp;$G44&amp;"|"&amp;$I44,StatsKey,0),""))</f>
        <v/>
      </c>
      <c r="Q44" s="2">
        <f t="array" ref="Q44">IF($P44="",0,INDEX(StatsZone,$P44,MAP!$E$9)+INDEX(StatsZone,$P44,MAP!$E$10)+INDEX(StatsZone,$P44,MAP!$E$11))</f>
        <v>0</v>
      </c>
      <c r="R44" s="2">
        <f t="array" ref="R44">IF($P44="",0,INDEX(StatsZone,$P44,MAP!$E$12))</f>
        <v>0</v>
      </c>
      <c r="S44" s="2">
        <f t="array" ref="S44">IF($P44="",0,INDEX(StatsZone,$P44,MAP!$E$13))</f>
        <v>0</v>
      </c>
      <c r="T44" s="2">
        <f t="shared" si="1"/>
        <v>0</v>
      </c>
      <c r="U44" s="2">
        <f t="array" ref="U44">IF($P44="",0,INDEX(StatsZone,$P44,MAP!$E$14)+INDEX(StatsZone,$P44,MAP!$E$15)+INDEX(StatsZone,$P44,MAP!$E$16))</f>
        <v>0</v>
      </c>
      <c r="V44" s="2">
        <f t="shared" si="2"/>
        <v>0</v>
      </c>
      <c r="W44" s="2">
        <f t="shared" si="3"/>
        <v>0</v>
      </c>
      <c r="X44" s="2">
        <f t="shared" si="4"/>
        <v>0</v>
      </c>
      <c r="Y44" s="2">
        <f t="shared" si="5"/>
        <v>0</v>
      </c>
      <c r="Z44" s="2">
        <f t="shared" si="6"/>
        <v>0</v>
      </c>
      <c r="AA44" s="2">
        <f t="shared" si="7"/>
        <v>-1</v>
      </c>
      <c r="AB44" s="2">
        <f>IF(OR($M44="",$N44=""),0,MEDIAN(-MarginCap,MarginCap,($M44-$N44)-$AA44*HFA_Base))</f>
        <v>0</v>
      </c>
      <c r="AC44" s="2">
        <f t="array" ref="AC44">IF(OR($P44="",INDEX($P$3:$P$722,(ROW()+IF(MOD(ROW()-3,2)=0,1,-1))-3+1)=""),0,MEDIAN(-MarginCap,MarginCap,($T44-$W44)-$AA44*HFA_Base))</f>
        <v>0</v>
      </c>
      <c r="AD44" s="2">
        <f t="shared" si="8"/>
        <v>0</v>
      </c>
      <c r="AE44" s="2">
        <f>IF(OR($M44="",$N44=""),0,IF(AND(WEpa&gt;0,$AD44=1),(1-WEpa)*$AB44+WEpa*$AC44,$AB44))</f>
        <v>0</v>
      </c>
      <c r="AF44" s="2">
        <f>IF(AND($C44&lt;&gt;"",$E44=CurrentSeason,$F44="REG",ISNUMBER($G44),$G44&lt;CurrentWeek,AND($M44&lt;&gt;"",$N44&lt;&gt;"")),1,0)</f>
        <v>0</v>
      </c>
      <c r="AG44" s="2">
        <f>IF($AF44=0,0,IF($G44&gt;=CurrentWeek-RecencyWin,RecencyMult,1))</f>
        <v>0</v>
      </c>
      <c r="AH44" s="2">
        <f>IF(AND($C44&lt;&gt;"",$E44=CurrentSeason,$F44="REG",ISNUMBER($G44),$G44&lt;CurrentWeek-1,AND($M44&lt;&gt;"",$N44&lt;&gt;"")),1,0)</f>
        <v>0</v>
      </c>
      <c r="AI44" s="2">
        <f>IF($AH44=0,0,IF($G44&gt;=CurrentWeek-1-RecencyWin,RecencyMult,1))</f>
        <v>0</v>
      </c>
      <c r="AJ44" s="2">
        <f>IF($AF44=0,0,IF($G44&gt;=CurrentWeek-RecencyWin,TotRecency,1))</f>
        <v>0</v>
      </c>
      <c r="AK44" s="2">
        <f t="shared" si="9"/>
        <v>0</v>
      </c>
      <c r="AL44" s="2">
        <f t="shared" si="10"/>
        <v>0</v>
      </c>
      <c r="AM44" s="2" t="str">
        <f t="array" ref="AM44">IF($K44="",0,IFERROR(INDEX(CALC!$F$2:$F$33,MATCH($K44,CALC!$A$2:$A$33,0)),0))</f>
        <v/>
      </c>
      <c r="AN44" s="2" t="str">
        <f t="array" ref="AN44">IF($K44="",0,IFERROR(INDEX(CALC!$I$2:$I$33,MATCH($K44,CALC!$A$2:$A$33,0)),0))</f>
        <v/>
      </c>
      <c r="AO44" s="2" t="str">
        <f t="array" ref="AO44">IF($K44="",0,IFERROR(INDEX(CALC!$L$2:$L$33,MATCH($K44,CALC!$A$2:$A$33,0)),0))</f>
        <v/>
      </c>
      <c r="AP44" s="2" t="str">
        <f t="array" ref="AP44">IF($K44="",0,IFERROR(INDEX(CALC!$T$2:$T$33,MATCH($K44,CALC!$A$2:$A$33,0)),0))</f>
        <v/>
      </c>
      <c r="AQ44" s="2" t="str">
        <f t="array" ref="AQ44">IF($K44="",0,IFERROR(INDEX(CALC!$W$2:$W$33,MATCH($K44,CALC!$A$2:$A$33,0)),0))</f>
        <v/>
      </c>
      <c r="AR44" s="2" t="str">
        <f t="array" ref="AR44">IF($K44="",0,IFERROR(INDEX(CALC!$Z$2:$Z$33,MATCH($K44,CALC!$A$2:$A$33,0)),0))</f>
        <v/>
      </c>
      <c r="AS44" s="2" t="str">
        <f t="array" ref="AS44">IF($K44="",0,IFERROR(INDEX(CALC!$AJ$2:$AJ$33,MATCH($K44,CALC!$A$2:$A$33,0)),0))</f>
        <v/>
      </c>
      <c r="AT44" s="2" t="str">
        <f t="array" ref="AT44">IF($K44="",0,IFERROR(INDEX(CALC!$AI$2:$AI$33,MATCH($K44,CALC!$A$2:$A$33,0)),0))</f>
        <v/>
      </c>
      <c r="AU44" s="2">
        <f t="shared" si="11"/>
        <v>0</v>
      </c>
      <c r="AV44" s="2">
        <f t="shared" si="12"/>
        <v>0</v>
      </c>
    </row>
    <row r="45" ht="15.0" customHeight="1">
      <c r="A45" s="2">
        <v>22.0</v>
      </c>
      <c r="B45" s="2" t="s">
        <v>2365</v>
      </c>
      <c r="C45" s="2">
        <f>IFERROR(MATCH($A45,SchedSeq,0),"")</f>
        <v>307</v>
      </c>
      <c r="D45" s="2" t="str">
        <f t="array" ref="D45">IF($C45="","",INDEX(SchedZone,$C45,MAP!$B$6))</f>
        <v>2026_02_PIT_NE</v>
      </c>
      <c r="E45" s="2">
        <f t="array" ref="E45">IF($C45="","",INDEX(SchedZone,$C45,MAP!$B$3))</f>
        <v>2026</v>
      </c>
      <c r="F45" s="2" t="str">
        <f t="array" ref="F45">IF($C45="","",INDEX(SchedZone,$C45,MAP!$B$5))</f>
        <v>REG</v>
      </c>
      <c r="G45" s="2">
        <f t="array" ref="G45">IF($C45="","",INDEX(SchedZone,$C45,MAP!$B$4))</f>
        <v>2</v>
      </c>
      <c r="H45" s="2" t="str">
        <f t="array" ref="H45">IF($C45="","",INDEX(SchedZone,$C45,MAP!$B$12))</f>
        <v>NE</v>
      </c>
      <c r="I45" s="2" t="str">
        <f t="array" ref="I45">IF($H45="","",IF(COUNTIF(Teams,$H45)&gt;0,$H45,IFERROR(INDEX(LISTS!$D$2:$D$12,MATCH($H45,LISTS!$C$2:$C$12,0)),"⚠ "&amp;$H45)))</f>
        <v>NE</v>
      </c>
      <c r="J45" s="2" t="str">
        <f t="array" ref="J45">IF($C45="","",INDEX(SchedZone,$C45,MAP!$B$10))</f>
        <v>PIT</v>
      </c>
      <c r="K45" s="2" t="str">
        <f t="array" ref="K45">IF($J45="","",IF(COUNTIF(Teams,$J45)&gt;0,$J45,IFERROR(INDEX(LISTS!$D$2:$D$12,MATCH($J45,LISTS!$C$2:$C$12,0)),"⚠ "&amp;$J45)))</f>
        <v>PIT</v>
      </c>
      <c r="L45" s="2" t="str">
        <f t="array" ref="L45">IF($C45="","",IF(INDEX(SchedZone,$C45,MAP!$B$14)="Neutral","N",IF($B45="HOME","H","A")))</f>
        <v>H</v>
      </c>
      <c r="M45" s="2" t="str">
        <f t="array" ref="M45">IF($C45="","",IF(INDEX(SchedZone,$C45,MAP!$B$13)="","",INDEX(SchedZone,$C45,MAP!$B$13)))</f>
        <v/>
      </c>
      <c r="N45" s="2" t="str">
        <f t="array" ref="N45">IF($C45="","",IF(INDEX(SchedZone,$C45,MAP!$B$11)="","",INDEX(SchedZone,$C45,MAP!$B$11)))</f>
        <v/>
      </c>
      <c r="O45" s="2">
        <f t="array" ref="O45">IF($C45="","",INDEX(SchedZone,$C45,MAP!$B$16))</f>
        <v>11</v>
      </c>
      <c r="P45" s="2" t="str">
        <f>IF($C45="","",IFERROR(MATCH($E45&amp;"|"&amp;$G45&amp;"|"&amp;$I45,StatsKey,0),""))</f>
        <v/>
      </c>
      <c r="Q45" s="2">
        <f t="array" ref="Q45">IF($P45="",0,INDEX(StatsZone,$P45,MAP!$E$9)+INDEX(StatsZone,$P45,MAP!$E$10)+INDEX(StatsZone,$P45,MAP!$E$11))</f>
        <v>0</v>
      </c>
      <c r="R45" s="2">
        <f t="array" ref="R45">IF($P45="",0,INDEX(StatsZone,$P45,MAP!$E$12))</f>
        <v>0</v>
      </c>
      <c r="S45" s="2">
        <f t="array" ref="S45">IF($P45="",0,INDEX(StatsZone,$P45,MAP!$E$13))</f>
        <v>0</v>
      </c>
      <c r="T45" s="2">
        <f t="shared" si="1"/>
        <v>0</v>
      </c>
      <c r="U45" s="2">
        <f t="array" ref="U45">IF($P45="",0,INDEX(StatsZone,$P45,MAP!$E$14)+INDEX(StatsZone,$P45,MAP!$E$15)+INDEX(StatsZone,$P45,MAP!$E$16))</f>
        <v>0</v>
      </c>
      <c r="V45" s="2">
        <f t="shared" si="2"/>
        <v>0</v>
      </c>
      <c r="W45" s="2">
        <f t="shared" si="3"/>
        <v>0</v>
      </c>
      <c r="X45" s="2">
        <f t="shared" si="4"/>
        <v>0</v>
      </c>
      <c r="Y45" s="2">
        <f t="shared" si="5"/>
        <v>0</v>
      </c>
      <c r="Z45" s="2">
        <f t="shared" si="6"/>
        <v>0</v>
      </c>
      <c r="AA45" s="2">
        <f t="shared" si="7"/>
        <v>1</v>
      </c>
      <c r="AB45" s="2">
        <f>IF(OR($M45="",$N45=""),0,MEDIAN(-MarginCap,MarginCap,($M45-$N45)-$AA45*HFA_Base))</f>
        <v>0</v>
      </c>
      <c r="AC45" s="2">
        <f t="array" ref="AC45">IF(OR($P45="",INDEX($P$3:$P$722,(ROW()+IF(MOD(ROW()-3,2)=0,1,-1))-3+1)=""),0,MEDIAN(-MarginCap,MarginCap,($T45-$W45)-$AA45*HFA_Base))</f>
        <v>0</v>
      </c>
      <c r="AD45" s="2">
        <f t="shared" si="8"/>
        <v>0</v>
      </c>
      <c r="AE45" s="2">
        <f>IF(OR($M45="",$N45=""),0,IF(AND(WEpa&gt;0,$AD45=1),(1-WEpa)*$AB45+WEpa*$AC45,$AB45))</f>
        <v>0</v>
      </c>
      <c r="AF45" s="2">
        <f>IF(AND($C45&lt;&gt;"",$E45=CurrentSeason,$F45="REG",ISNUMBER($G45),$G45&lt;CurrentWeek,AND($M45&lt;&gt;"",$N45&lt;&gt;"")),1,0)</f>
        <v>0</v>
      </c>
      <c r="AG45" s="2">
        <f>IF($AF45=0,0,IF($G45&gt;=CurrentWeek-RecencyWin,RecencyMult,1))</f>
        <v>0</v>
      </c>
      <c r="AH45" s="2">
        <f>IF(AND($C45&lt;&gt;"",$E45=CurrentSeason,$F45="REG",ISNUMBER($G45),$G45&lt;CurrentWeek-1,AND($M45&lt;&gt;"",$N45&lt;&gt;"")),1,0)</f>
        <v>0</v>
      </c>
      <c r="AI45" s="2">
        <f>IF($AH45=0,0,IF($G45&gt;=CurrentWeek-1-RecencyWin,RecencyMult,1))</f>
        <v>0</v>
      </c>
      <c r="AJ45" s="2">
        <f>IF($AF45=0,0,IF($G45&gt;=CurrentWeek-RecencyWin,TotRecency,1))</f>
        <v>0</v>
      </c>
      <c r="AK45" s="2">
        <f t="shared" si="9"/>
        <v>0</v>
      </c>
      <c r="AL45" s="2">
        <f t="shared" si="10"/>
        <v>0</v>
      </c>
      <c r="AM45" s="2" t="str">
        <f t="array" ref="AM45">IF($K45="",0,IFERROR(INDEX(CALC!$F$2:$F$33,MATCH($K45,CALC!$A$2:$A$33,0)),0))</f>
        <v/>
      </c>
      <c r="AN45" s="2" t="str">
        <f t="array" ref="AN45">IF($K45="",0,IFERROR(INDEX(CALC!$I$2:$I$33,MATCH($K45,CALC!$A$2:$A$33,0)),0))</f>
        <v/>
      </c>
      <c r="AO45" s="2" t="str">
        <f t="array" ref="AO45">IF($K45="",0,IFERROR(INDEX(CALC!$L$2:$L$33,MATCH($K45,CALC!$A$2:$A$33,0)),0))</f>
        <v/>
      </c>
      <c r="AP45" s="2" t="str">
        <f t="array" ref="AP45">IF($K45="",0,IFERROR(INDEX(CALC!$T$2:$T$33,MATCH($K45,CALC!$A$2:$A$33,0)),0))</f>
        <v/>
      </c>
      <c r="AQ45" s="2" t="str">
        <f t="array" ref="AQ45">IF($K45="",0,IFERROR(INDEX(CALC!$W$2:$W$33,MATCH($K45,CALC!$A$2:$A$33,0)),0))</f>
        <v/>
      </c>
      <c r="AR45" s="2" t="str">
        <f t="array" ref="AR45">IF($K45="",0,IFERROR(INDEX(CALC!$Z$2:$Z$33,MATCH($K45,CALC!$A$2:$A$33,0)),0))</f>
        <v/>
      </c>
      <c r="AS45" s="2" t="str">
        <f t="array" ref="AS45">IF($K45="",0,IFERROR(INDEX(CALC!$AJ$2:$AJ$33,MATCH($K45,CALC!$A$2:$A$33,0)),0))</f>
        <v/>
      </c>
      <c r="AT45" s="2" t="str">
        <f t="array" ref="AT45">IF($K45="",0,IFERROR(INDEX(CALC!$AI$2:$AI$33,MATCH($K45,CALC!$A$2:$A$33,0)),0))</f>
        <v/>
      </c>
      <c r="AU45" s="2">
        <f t="shared" si="11"/>
        <v>0</v>
      </c>
      <c r="AV45" s="2">
        <f t="shared" si="12"/>
        <v>0</v>
      </c>
    </row>
    <row r="46" ht="15.0" customHeight="1">
      <c r="A46" s="2">
        <v>22.0</v>
      </c>
      <c r="B46" s="2" t="s">
        <v>2366</v>
      </c>
      <c r="C46" s="2">
        <f>IFERROR(MATCH($A46,SchedSeq,0),"")</f>
        <v>307</v>
      </c>
      <c r="D46" s="2" t="str">
        <f t="array" ref="D46">IF($C46="","",INDEX(SchedZone,$C46,MAP!$B$6))</f>
        <v>2026_02_PIT_NE</v>
      </c>
      <c r="E46" s="2">
        <f t="array" ref="E46">IF($C46="","",INDEX(SchedZone,$C46,MAP!$B$3))</f>
        <v>2026</v>
      </c>
      <c r="F46" s="2" t="str">
        <f t="array" ref="F46">IF($C46="","",INDEX(SchedZone,$C46,MAP!$B$5))</f>
        <v>REG</v>
      </c>
      <c r="G46" s="2">
        <f t="array" ref="G46">IF($C46="","",INDEX(SchedZone,$C46,MAP!$B$4))</f>
        <v>2</v>
      </c>
      <c r="H46" s="2" t="str">
        <f t="array" ref="H46">IF($C46="","",INDEX(SchedZone,$C46,MAP!$B$10))</f>
        <v>PIT</v>
      </c>
      <c r="I46" s="2" t="str">
        <f t="array" ref="I46">IF($H46="","",IF(COUNTIF(Teams,$H46)&gt;0,$H46,IFERROR(INDEX(LISTS!$D$2:$D$12,MATCH($H46,LISTS!$C$2:$C$12,0)),"⚠ "&amp;$H46)))</f>
        <v>PIT</v>
      </c>
      <c r="J46" s="2" t="str">
        <f t="array" ref="J46">IF($C46="","",INDEX(SchedZone,$C46,MAP!$B$12))</f>
        <v>NE</v>
      </c>
      <c r="K46" s="2" t="str">
        <f t="array" ref="K46">IF($J46="","",IF(COUNTIF(Teams,$J46)&gt;0,$J46,IFERROR(INDEX(LISTS!$D$2:$D$12,MATCH($J46,LISTS!$C$2:$C$12,0)),"⚠ "&amp;$J46)))</f>
        <v>NE</v>
      </c>
      <c r="L46" s="2" t="str">
        <f t="array" ref="L46">IF($C46="","",IF(INDEX(SchedZone,$C46,MAP!$B$14)="Neutral","N",IF($B46="HOME","H","A")))</f>
        <v>A</v>
      </c>
      <c r="M46" s="2" t="str">
        <f t="array" ref="M46">IF($C46="","",IF(INDEX(SchedZone,$C46,MAP!$B$11)="","",INDEX(SchedZone,$C46,MAP!$B$11)))</f>
        <v/>
      </c>
      <c r="N46" s="2" t="str">
        <f t="array" ref="N46">IF($C46="","",IF(INDEX(SchedZone,$C46,MAP!$B$13)="","",INDEX(SchedZone,$C46,MAP!$B$13)))</f>
        <v/>
      </c>
      <c r="O46" s="2">
        <f t="array" ref="O46">IF($C46="","",INDEX(SchedZone,$C46,MAP!$B$15))</f>
        <v>7</v>
      </c>
      <c r="P46" s="2" t="str">
        <f>IF($C46="","",IFERROR(MATCH($E46&amp;"|"&amp;$G46&amp;"|"&amp;$I46,StatsKey,0),""))</f>
        <v/>
      </c>
      <c r="Q46" s="2">
        <f t="array" ref="Q46">IF($P46="",0,INDEX(StatsZone,$P46,MAP!$E$9)+INDEX(StatsZone,$P46,MAP!$E$10)+INDEX(StatsZone,$P46,MAP!$E$11))</f>
        <v>0</v>
      </c>
      <c r="R46" s="2">
        <f t="array" ref="R46">IF($P46="",0,INDEX(StatsZone,$P46,MAP!$E$12))</f>
        <v>0</v>
      </c>
      <c r="S46" s="2">
        <f t="array" ref="S46">IF($P46="",0,INDEX(StatsZone,$P46,MAP!$E$13))</f>
        <v>0</v>
      </c>
      <c r="T46" s="2">
        <f t="shared" si="1"/>
        <v>0</v>
      </c>
      <c r="U46" s="2">
        <f t="array" ref="U46">IF($P46="",0,INDEX(StatsZone,$P46,MAP!$E$14)+INDEX(StatsZone,$P46,MAP!$E$15)+INDEX(StatsZone,$P46,MAP!$E$16))</f>
        <v>0</v>
      </c>
      <c r="V46" s="2">
        <f t="shared" si="2"/>
        <v>0</v>
      </c>
      <c r="W46" s="2">
        <f t="shared" si="3"/>
        <v>0</v>
      </c>
      <c r="X46" s="2">
        <f t="shared" si="4"/>
        <v>0</v>
      </c>
      <c r="Y46" s="2">
        <f t="shared" si="5"/>
        <v>0</v>
      </c>
      <c r="Z46" s="2">
        <f t="shared" si="6"/>
        <v>0</v>
      </c>
      <c r="AA46" s="2">
        <f t="shared" si="7"/>
        <v>-1</v>
      </c>
      <c r="AB46" s="2">
        <f>IF(OR($M46="",$N46=""),0,MEDIAN(-MarginCap,MarginCap,($M46-$N46)-$AA46*HFA_Base))</f>
        <v>0</v>
      </c>
      <c r="AC46" s="2">
        <f t="array" ref="AC46">IF(OR($P46="",INDEX($P$3:$P$722,(ROW()+IF(MOD(ROW()-3,2)=0,1,-1))-3+1)=""),0,MEDIAN(-MarginCap,MarginCap,($T46-$W46)-$AA46*HFA_Base))</f>
        <v>0</v>
      </c>
      <c r="AD46" s="2">
        <f t="shared" si="8"/>
        <v>0</v>
      </c>
      <c r="AE46" s="2">
        <f>IF(OR($M46="",$N46=""),0,IF(AND(WEpa&gt;0,$AD46=1),(1-WEpa)*$AB46+WEpa*$AC46,$AB46))</f>
        <v>0</v>
      </c>
      <c r="AF46" s="2">
        <f>IF(AND($C46&lt;&gt;"",$E46=CurrentSeason,$F46="REG",ISNUMBER($G46),$G46&lt;CurrentWeek,AND($M46&lt;&gt;"",$N46&lt;&gt;"")),1,0)</f>
        <v>0</v>
      </c>
      <c r="AG46" s="2">
        <f>IF($AF46=0,0,IF($G46&gt;=CurrentWeek-RecencyWin,RecencyMult,1))</f>
        <v>0</v>
      </c>
      <c r="AH46" s="2">
        <f>IF(AND($C46&lt;&gt;"",$E46=CurrentSeason,$F46="REG",ISNUMBER($G46),$G46&lt;CurrentWeek-1,AND($M46&lt;&gt;"",$N46&lt;&gt;"")),1,0)</f>
        <v>0</v>
      </c>
      <c r="AI46" s="2">
        <f>IF($AH46=0,0,IF($G46&gt;=CurrentWeek-1-RecencyWin,RecencyMult,1))</f>
        <v>0</v>
      </c>
      <c r="AJ46" s="2">
        <f>IF($AF46=0,0,IF($G46&gt;=CurrentWeek-RecencyWin,TotRecency,1))</f>
        <v>0</v>
      </c>
      <c r="AK46" s="2">
        <f t="shared" si="9"/>
        <v>0</v>
      </c>
      <c r="AL46" s="2">
        <f t="shared" si="10"/>
        <v>0</v>
      </c>
      <c r="AM46" s="2" t="str">
        <f t="array" ref="AM46">IF($K46="",0,IFERROR(INDEX(CALC!$F$2:$F$33,MATCH($K46,CALC!$A$2:$A$33,0)),0))</f>
        <v/>
      </c>
      <c r="AN46" s="2" t="str">
        <f t="array" ref="AN46">IF($K46="",0,IFERROR(INDEX(CALC!$I$2:$I$33,MATCH($K46,CALC!$A$2:$A$33,0)),0))</f>
        <v/>
      </c>
      <c r="AO46" s="2" t="str">
        <f t="array" ref="AO46">IF($K46="",0,IFERROR(INDEX(CALC!$L$2:$L$33,MATCH($K46,CALC!$A$2:$A$33,0)),0))</f>
        <v/>
      </c>
      <c r="AP46" s="2" t="str">
        <f t="array" ref="AP46">IF($K46="",0,IFERROR(INDEX(CALC!$T$2:$T$33,MATCH($K46,CALC!$A$2:$A$33,0)),0))</f>
        <v/>
      </c>
      <c r="AQ46" s="2" t="str">
        <f t="array" ref="AQ46">IF($K46="",0,IFERROR(INDEX(CALC!$W$2:$W$33,MATCH($K46,CALC!$A$2:$A$33,0)),0))</f>
        <v/>
      </c>
      <c r="AR46" s="2" t="str">
        <f t="array" ref="AR46">IF($K46="",0,IFERROR(INDEX(CALC!$Z$2:$Z$33,MATCH($K46,CALC!$A$2:$A$33,0)),0))</f>
        <v/>
      </c>
      <c r="AS46" s="2" t="str">
        <f t="array" ref="AS46">IF($K46="",0,IFERROR(INDEX(CALC!$AJ$2:$AJ$33,MATCH($K46,CALC!$A$2:$A$33,0)),0))</f>
        <v/>
      </c>
      <c r="AT46" s="2" t="str">
        <f t="array" ref="AT46">IF($K46="",0,IFERROR(INDEX(CALC!$AI$2:$AI$33,MATCH($K46,CALC!$A$2:$A$33,0)),0))</f>
        <v/>
      </c>
      <c r="AU46" s="2">
        <f t="shared" si="11"/>
        <v>0</v>
      </c>
      <c r="AV46" s="2">
        <f t="shared" si="12"/>
        <v>0</v>
      </c>
    </row>
    <row r="47" ht="15.0" customHeight="1">
      <c r="A47" s="2">
        <v>23.0</v>
      </c>
      <c r="B47" s="2" t="s">
        <v>2365</v>
      </c>
      <c r="C47" s="2">
        <f>IFERROR(MATCH($A47,SchedSeq,0),"")</f>
        <v>308</v>
      </c>
      <c r="D47" s="2" t="str">
        <f t="array" ref="D47">IF($C47="","",INDEX(SchedZone,$C47,MAP!$B$6))</f>
        <v>2026_02_GB_NYJ</v>
      </c>
      <c r="E47" s="2">
        <f t="array" ref="E47">IF($C47="","",INDEX(SchedZone,$C47,MAP!$B$3))</f>
        <v>2026</v>
      </c>
      <c r="F47" s="2" t="str">
        <f t="array" ref="F47">IF($C47="","",INDEX(SchedZone,$C47,MAP!$B$5))</f>
        <v>REG</v>
      </c>
      <c r="G47" s="2">
        <f t="array" ref="G47">IF($C47="","",INDEX(SchedZone,$C47,MAP!$B$4))</f>
        <v>2</v>
      </c>
      <c r="H47" s="2" t="str">
        <f t="array" ref="H47">IF($C47="","",INDEX(SchedZone,$C47,MAP!$B$12))</f>
        <v>NYJ</v>
      </c>
      <c r="I47" s="2" t="str">
        <f t="array" ref="I47">IF($H47="","",IF(COUNTIF(Teams,$H47)&gt;0,$H47,IFERROR(INDEX(LISTS!$D$2:$D$12,MATCH($H47,LISTS!$C$2:$C$12,0)),"⚠ "&amp;$H47)))</f>
        <v>NYJ</v>
      </c>
      <c r="J47" s="2" t="str">
        <f t="array" ref="J47">IF($C47="","",INDEX(SchedZone,$C47,MAP!$B$10))</f>
        <v>GB</v>
      </c>
      <c r="K47" s="2" t="str">
        <f t="array" ref="K47">IF($J47="","",IF(COUNTIF(Teams,$J47)&gt;0,$J47,IFERROR(INDEX(LISTS!$D$2:$D$12,MATCH($J47,LISTS!$C$2:$C$12,0)),"⚠ "&amp;$J47)))</f>
        <v>GB</v>
      </c>
      <c r="L47" s="2" t="str">
        <f t="array" ref="L47">IF($C47="","",IF(INDEX(SchedZone,$C47,MAP!$B$14)="Neutral","N",IF($B47="HOME","H","A")))</f>
        <v>H</v>
      </c>
      <c r="M47" s="2" t="str">
        <f t="array" ref="M47">IF($C47="","",IF(INDEX(SchedZone,$C47,MAP!$B$13)="","",INDEX(SchedZone,$C47,MAP!$B$13)))</f>
        <v/>
      </c>
      <c r="N47" s="2" t="str">
        <f t="array" ref="N47">IF($C47="","",IF(INDEX(SchedZone,$C47,MAP!$B$11)="","",INDEX(SchedZone,$C47,MAP!$B$11)))</f>
        <v/>
      </c>
      <c r="O47" s="2">
        <f t="array" ref="O47">IF($C47="","",INDEX(SchedZone,$C47,MAP!$B$16))</f>
        <v>7</v>
      </c>
      <c r="P47" s="2" t="str">
        <f>IF($C47="","",IFERROR(MATCH($E47&amp;"|"&amp;$G47&amp;"|"&amp;$I47,StatsKey,0),""))</f>
        <v/>
      </c>
      <c r="Q47" s="2">
        <f t="array" ref="Q47">IF($P47="",0,INDEX(StatsZone,$P47,MAP!$E$9)+INDEX(StatsZone,$P47,MAP!$E$10)+INDEX(StatsZone,$P47,MAP!$E$11))</f>
        <v>0</v>
      </c>
      <c r="R47" s="2">
        <f t="array" ref="R47">IF($P47="",0,INDEX(StatsZone,$P47,MAP!$E$12))</f>
        <v>0</v>
      </c>
      <c r="S47" s="2">
        <f t="array" ref="S47">IF($P47="",0,INDEX(StatsZone,$P47,MAP!$E$13))</f>
        <v>0</v>
      </c>
      <c r="T47" s="2">
        <f t="shared" si="1"/>
        <v>0</v>
      </c>
      <c r="U47" s="2">
        <f t="array" ref="U47">IF($P47="",0,INDEX(StatsZone,$P47,MAP!$E$14)+INDEX(StatsZone,$P47,MAP!$E$15)+INDEX(StatsZone,$P47,MAP!$E$16))</f>
        <v>0</v>
      </c>
      <c r="V47" s="2">
        <f t="shared" si="2"/>
        <v>0</v>
      </c>
      <c r="W47" s="2">
        <f t="shared" si="3"/>
        <v>0</v>
      </c>
      <c r="X47" s="2">
        <f t="shared" si="4"/>
        <v>0</v>
      </c>
      <c r="Y47" s="2">
        <f t="shared" si="5"/>
        <v>0</v>
      </c>
      <c r="Z47" s="2">
        <f t="shared" si="6"/>
        <v>0</v>
      </c>
      <c r="AA47" s="2">
        <f t="shared" si="7"/>
        <v>1</v>
      </c>
      <c r="AB47" s="2">
        <f>IF(OR($M47="",$N47=""),0,MEDIAN(-MarginCap,MarginCap,($M47-$N47)-$AA47*HFA_Base))</f>
        <v>0</v>
      </c>
      <c r="AC47" s="2">
        <f t="array" ref="AC47">IF(OR($P47="",INDEX($P$3:$P$722,(ROW()+IF(MOD(ROW()-3,2)=0,1,-1))-3+1)=""),0,MEDIAN(-MarginCap,MarginCap,($T47-$W47)-$AA47*HFA_Base))</f>
        <v>0</v>
      </c>
      <c r="AD47" s="2">
        <f t="shared" si="8"/>
        <v>0</v>
      </c>
      <c r="AE47" s="2">
        <f>IF(OR($M47="",$N47=""),0,IF(AND(WEpa&gt;0,$AD47=1),(1-WEpa)*$AB47+WEpa*$AC47,$AB47))</f>
        <v>0</v>
      </c>
      <c r="AF47" s="2">
        <f>IF(AND($C47&lt;&gt;"",$E47=CurrentSeason,$F47="REG",ISNUMBER($G47),$G47&lt;CurrentWeek,AND($M47&lt;&gt;"",$N47&lt;&gt;"")),1,0)</f>
        <v>0</v>
      </c>
      <c r="AG47" s="2">
        <f>IF($AF47=0,0,IF($G47&gt;=CurrentWeek-RecencyWin,RecencyMult,1))</f>
        <v>0</v>
      </c>
      <c r="AH47" s="2">
        <f>IF(AND($C47&lt;&gt;"",$E47=CurrentSeason,$F47="REG",ISNUMBER($G47),$G47&lt;CurrentWeek-1,AND($M47&lt;&gt;"",$N47&lt;&gt;"")),1,0)</f>
        <v>0</v>
      </c>
      <c r="AI47" s="2">
        <f>IF($AH47=0,0,IF($G47&gt;=CurrentWeek-1-RecencyWin,RecencyMult,1))</f>
        <v>0</v>
      </c>
      <c r="AJ47" s="2">
        <f>IF($AF47=0,0,IF($G47&gt;=CurrentWeek-RecencyWin,TotRecency,1))</f>
        <v>0</v>
      </c>
      <c r="AK47" s="2">
        <f t="shared" si="9"/>
        <v>0</v>
      </c>
      <c r="AL47" s="2">
        <f t="shared" si="10"/>
        <v>0</v>
      </c>
      <c r="AM47" s="2" t="str">
        <f t="array" ref="AM47">IF($K47="",0,IFERROR(INDEX(CALC!$F$2:$F$33,MATCH($K47,CALC!$A$2:$A$33,0)),0))</f>
        <v/>
      </c>
      <c r="AN47" s="2" t="str">
        <f t="array" ref="AN47">IF($K47="",0,IFERROR(INDEX(CALC!$I$2:$I$33,MATCH($K47,CALC!$A$2:$A$33,0)),0))</f>
        <v/>
      </c>
      <c r="AO47" s="2" t="str">
        <f t="array" ref="AO47">IF($K47="",0,IFERROR(INDEX(CALC!$L$2:$L$33,MATCH($K47,CALC!$A$2:$A$33,0)),0))</f>
        <v/>
      </c>
      <c r="AP47" s="2" t="str">
        <f t="array" ref="AP47">IF($K47="",0,IFERROR(INDEX(CALC!$T$2:$T$33,MATCH($K47,CALC!$A$2:$A$33,0)),0))</f>
        <v/>
      </c>
      <c r="AQ47" s="2" t="str">
        <f t="array" ref="AQ47">IF($K47="",0,IFERROR(INDEX(CALC!$W$2:$W$33,MATCH($K47,CALC!$A$2:$A$33,0)),0))</f>
        <v/>
      </c>
      <c r="AR47" s="2" t="str">
        <f t="array" ref="AR47">IF($K47="",0,IFERROR(INDEX(CALC!$Z$2:$Z$33,MATCH($K47,CALC!$A$2:$A$33,0)),0))</f>
        <v/>
      </c>
      <c r="AS47" s="2" t="str">
        <f t="array" ref="AS47">IF($K47="",0,IFERROR(INDEX(CALC!$AJ$2:$AJ$33,MATCH($K47,CALC!$A$2:$A$33,0)),0))</f>
        <v/>
      </c>
      <c r="AT47" s="2" t="str">
        <f t="array" ref="AT47">IF($K47="",0,IFERROR(INDEX(CALC!$AI$2:$AI$33,MATCH($K47,CALC!$A$2:$A$33,0)),0))</f>
        <v/>
      </c>
      <c r="AU47" s="2">
        <f t="shared" si="11"/>
        <v>0</v>
      </c>
      <c r="AV47" s="2">
        <f t="shared" si="12"/>
        <v>0</v>
      </c>
    </row>
    <row r="48" ht="15.0" customHeight="1">
      <c r="A48" s="2">
        <v>23.0</v>
      </c>
      <c r="B48" s="2" t="s">
        <v>2366</v>
      </c>
      <c r="C48" s="2">
        <f>IFERROR(MATCH($A48,SchedSeq,0),"")</f>
        <v>308</v>
      </c>
      <c r="D48" s="2" t="str">
        <f t="array" ref="D48">IF($C48="","",INDEX(SchedZone,$C48,MAP!$B$6))</f>
        <v>2026_02_GB_NYJ</v>
      </c>
      <c r="E48" s="2">
        <f t="array" ref="E48">IF($C48="","",INDEX(SchedZone,$C48,MAP!$B$3))</f>
        <v>2026</v>
      </c>
      <c r="F48" s="2" t="str">
        <f t="array" ref="F48">IF($C48="","",INDEX(SchedZone,$C48,MAP!$B$5))</f>
        <v>REG</v>
      </c>
      <c r="G48" s="2">
        <f t="array" ref="G48">IF($C48="","",INDEX(SchedZone,$C48,MAP!$B$4))</f>
        <v>2</v>
      </c>
      <c r="H48" s="2" t="str">
        <f t="array" ref="H48">IF($C48="","",INDEX(SchedZone,$C48,MAP!$B$10))</f>
        <v>GB</v>
      </c>
      <c r="I48" s="2" t="str">
        <f t="array" ref="I48">IF($H48="","",IF(COUNTIF(Teams,$H48)&gt;0,$H48,IFERROR(INDEX(LISTS!$D$2:$D$12,MATCH($H48,LISTS!$C$2:$C$12,0)),"⚠ "&amp;$H48)))</f>
        <v>GB</v>
      </c>
      <c r="J48" s="2" t="str">
        <f t="array" ref="J48">IF($C48="","",INDEX(SchedZone,$C48,MAP!$B$12))</f>
        <v>NYJ</v>
      </c>
      <c r="K48" s="2" t="str">
        <f t="array" ref="K48">IF($J48="","",IF(COUNTIF(Teams,$J48)&gt;0,$J48,IFERROR(INDEX(LISTS!$D$2:$D$12,MATCH($J48,LISTS!$C$2:$C$12,0)),"⚠ "&amp;$J48)))</f>
        <v>NYJ</v>
      </c>
      <c r="L48" s="2" t="str">
        <f t="array" ref="L48">IF($C48="","",IF(INDEX(SchedZone,$C48,MAP!$B$14)="Neutral","N",IF($B48="HOME","H","A")))</f>
        <v>A</v>
      </c>
      <c r="M48" s="2" t="str">
        <f t="array" ref="M48">IF($C48="","",IF(INDEX(SchedZone,$C48,MAP!$B$11)="","",INDEX(SchedZone,$C48,MAP!$B$11)))</f>
        <v/>
      </c>
      <c r="N48" s="2" t="str">
        <f t="array" ref="N48">IF($C48="","",IF(INDEX(SchedZone,$C48,MAP!$B$13)="","",INDEX(SchedZone,$C48,MAP!$B$13)))</f>
        <v/>
      </c>
      <c r="O48" s="2">
        <f t="array" ref="O48">IF($C48="","",INDEX(SchedZone,$C48,MAP!$B$15))</f>
        <v>7</v>
      </c>
      <c r="P48" s="2" t="str">
        <f>IF($C48="","",IFERROR(MATCH($E48&amp;"|"&amp;$G48&amp;"|"&amp;$I48,StatsKey,0),""))</f>
        <v/>
      </c>
      <c r="Q48" s="2">
        <f t="array" ref="Q48">IF($P48="",0,INDEX(StatsZone,$P48,MAP!$E$9)+INDEX(StatsZone,$P48,MAP!$E$10)+INDEX(StatsZone,$P48,MAP!$E$11))</f>
        <v>0</v>
      </c>
      <c r="R48" s="2">
        <f t="array" ref="R48">IF($P48="",0,INDEX(StatsZone,$P48,MAP!$E$12))</f>
        <v>0</v>
      </c>
      <c r="S48" s="2">
        <f t="array" ref="S48">IF($P48="",0,INDEX(StatsZone,$P48,MAP!$E$13))</f>
        <v>0</v>
      </c>
      <c r="T48" s="2">
        <f t="shared" si="1"/>
        <v>0</v>
      </c>
      <c r="U48" s="2">
        <f t="array" ref="U48">IF($P48="",0,INDEX(StatsZone,$P48,MAP!$E$14)+INDEX(StatsZone,$P48,MAP!$E$15)+INDEX(StatsZone,$P48,MAP!$E$16))</f>
        <v>0</v>
      </c>
      <c r="V48" s="2">
        <f t="shared" si="2"/>
        <v>0</v>
      </c>
      <c r="W48" s="2">
        <f t="shared" si="3"/>
        <v>0</v>
      </c>
      <c r="X48" s="2">
        <f t="shared" si="4"/>
        <v>0</v>
      </c>
      <c r="Y48" s="2">
        <f t="shared" si="5"/>
        <v>0</v>
      </c>
      <c r="Z48" s="2">
        <f t="shared" si="6"/>
        <v>0</v>
      </c>
      <c r="AA48" s="2">
        <f t="shared" si="7"/>
        <v>-1</v>
      </c>
      <c r="AB48" s="2">
        <f>IF(OR($M48="",$N48=""),0,MEDIAN(-MarginCap,MarginCap,($M48-$N48)-$AA48*HFA_Base))</f>
        <v>0</v>
      </c>
      <c r="AC48" s="2">
        <f t="array" ref="AC48">IF(OR($P48="",INDEX($P$3:$P$722,(ROW()+IF(MOD(ROW()-3,2)=0,1,-1))-3+1)=""),0,MEDIAN(-MarginCap,MarginCap,($T48-$W48)-$AA48*HFA_Base))</f>
        <v>0</v>
      </c>
      <c r="AD48" s="2">
        <f t="shared" si="8"/>
        <v>0</v>
      </c>
      <c r="AE48" s="2">
        <f>IF(OR($M48="",$N48=""),0,IF(AND(WEpa&gt;0,$AD48=1),(1-WEpa)*$AB48+WEpa*$AC48,$AB48))</f>
        <v>0</v>
      </c>
      <c r="AF48" s="2">
        <f>IF(AND($C48&lt;&gt;"",$E48=CurrentSeason,$F48="REG",ISNUMBER($G48),$G48&lt;CurrentWeek,AND($M48&lt;&gt;"",$N48&lt;&gt;"")),1,0)</f>
        <v>0</v>
      </c>
      <c r="AG48" s="2">
        <f>IF($AF48=0,0,IF($G48&gt;=CurrentWeek-RecencyWin,RecencyMult,1))</f>
        <v>0</v>
      </c>
      <c r="AH48" s="2">
        <f>IF(AND($C48&lt;&gt;"",$E48=CurrentSeason,$F48="REG",ISNUMBER($G48),$G48&lt;CurrentWeek-1,AND($M48&lt;&gt;"",$N48&lt;&gt;"")),1,0)</f>
        <v>0</v>
      </c>
      <c r="AI48" s="2">
        <f>IF($AH48=0,0,IF($G48&gt;=CurrentWeek-1-RecencyWin,RecencyMult,1))</f>
        <v>0</v>
      </c>
      <c r="AJ48" s="2">
        <f>IF($AF48=0,0,IF($G48&gt;=CurrentWeek-RecencyWin,TotRecency,1))</f>
        <v>0</v>
      </c>
      <c r="AK48" s="2">
        <f t="shared" si="9"/>
        <v>0</v>
      </c>
      <c r="AL48" s="2">
        <f t="shared" si="10"/>
        <v>0</v>
      </c>
      <c r="AM48" s="2" t="str">
        <f t="array" ref="AM48">IF($K48="",0,IFERROR(INDEX(CALC!$F$2:$F$33,MATCH($K48,CALC!$A$2:$A$33,0)),0))</f>
        <v/>
      </c>
      <c r="AN48" s="2" t="str">
        <f t="array" ref="AN48">IF($K48="",0,IFERROR(INDEX(CALC!$I$2:$I$33,MATCH($K48,CALC!$A$2:$A$33,0)),0))</f>
        <v/>
      </c>
      <c r="AO48" s="2" t="str">
        <f t="array" ref="AO48">IF($K48="",0,IFERROR(INDEX(CALC!$L$2:$L$33,MATCH($K48,CALC!$A$2:$A$33,0)),0))</f>
        <v/>
      </c>
      <c r="AP48" s="2" t="str">
        <f t="array" ref="AP48">IF($K48="",0,IFERROR(INDEX(CALC!$T$2:$T$33,MATCH($K48,CALC!$A$2:$A$33,0)),0))</f>
        <v/>
      </c>
      <c r="AQ48" s="2" t="str">
        <f t="array" ref="AQ48">IF($K48="",0,IFERROR(INDEX(CALC!$W$2:$W$33,MATCH($K48,CALC!$A$2:$A$33,0)),0))</f>
        <v/>
      </c>
      <c r="AR48" s="2" t="str">
        <f t="array" ref="AR48">IF($K48="",0,IFERROR(INDEX(CALC!$Z$2:$Z$33,MATCH($K48,CALC!$A$2:$A$33,0)),0))</f>
        <v/>
      </c>
      <c r="AS48" s="2" t="str">
        <f t="array" ref="AS48">IF($K48="",0,IFERROR(INDEX(CALC!$AJ$2:$AJ$33,MATCH($K48,CALC!$A$2:$A$33,0)),0))</f>
        <v/>
      </c>
      <c r="AT48" s="2" t="str">
        <f t="array" ref="AT48">IF($K48="",0,IFERROR(INDEX(CALC!$AI$2:$AI$33,MATCH($K48,CALC!$A$2:$A$33,0)),0))</f>
        <v/>
      </c>
      <c r="AU48" s="2">
        <f t="shared" si="11"/>
        <v>0</v>
      </c>
      <c r="AV48" s="2">
        <f t="shared" si="12"/>
        <v>0</v>
      </c>
    </row>
    <row r="49" ht="15.0" customHeight="1">
      <c r="A49" s="2">
        <v>24.0</v>
      </c>
      <c r="B49" s="2" t="s">
        <v>2365</v>
      </c>
      <c r="C49" s="2">
        <f>IFERROR(MATCH($A49,SchedSeq,0),"")</f>
        <v>309</v>
      </c>
      <c r="D49" s="2" t="str">
        <f t="array" ref="D49">IF($C49="","",INDEX(SchedZone,$C49,MAP!$B$6))</f>
        <v>2026_02_CLE_TB</v>
      </c>
      <c r="E49" s="2">
        <f t="array" ref="E49">IF($C49="","",INDEX(SchedZone,$C49,MAP!$B$3))</f>
        <v>2026</v>
      </c>
      <c r="F49" s="2" t="str">
        <f t="array" ref="F49">IF($C49="","",INDEX(SchedZone,$C49,MAP!$B$5))</f>
        <v>REG</v>
      </c>
      <c r="G49" s="2">
        <f t="array" ref="G49">IF($C49="","",INDEX(SchedZone,$C49,MAP!$B$4))</f>
        <v>2</v>
      </c>
      <c r="H49" s="2" t="str">
        <f t="array" ref="H49">IF($C49="","",INDEX(SchedZone,$C49,MAP!$B$12))</f>
        <v>TB</v>
      </c>
      <c r="I49" s="2" t="str">
        <f t="array" ref="I49">IF($H49="","",IF(COUNTIF(Teams,$H49)&gt;0,$H49,IFERROR(INDEX(LISTS!$D$2:$D$12,MATCH($H49,LISTS!$C$2:$C$12,0)),"⚠ "&amp;$H49)))</f>
        <v>TB</v>
      </c>
      <c r="J49" s="2" t="str">
        <f t="array" ref="J49">IF($C49="","",INDEX(SchedZone,$C49,MAP!$B$10))</f>
        <v>CLE</v>
      </c>
      <c r="K49" s="2" t="str">
        <f t="array" ref="K49">IF($J49="","",IF(COUNTIF(Teams,$J49)&gt;0,$J49,IFERROR(INDEX(LISTS!$D$2:$D$12,MATCH($J49,LISTS!$C$2:$C$12,0)),"⚠ "&amp;$J49)))</f>
        <v>CLE</v>
      </c>
      <c r="L49" s="2" t="str">
        <f t="array" ref="L49">IF($C49="","",IF(INDEX(SchedZone,$C49,MAP!$B$14)="Neutral","N",IF($B49="HOME","H","A")))</f>
        <v>H</v>
      </c>
      <c r="M49" s="2" t="str">
        <f t="array" ref="M49">IF($C49="","",IF(INDEX(SchedZone,$C49,MAP!$B$13)="","",INDEX(SchedZone,$C49,MAP!$B$13)))</f>
        <v/>
      </c>
      <c r="N49" s="2" t="str">
        <f t="array" ref="N49">IF($C49="","",IF(INDEX(SchedZone,$C49,MAP!$B$11)="","",INDEX(SchedZone,$C49,MAP!$B$11)))</f>
        <v/>
      </c>
      <c r="O49" s="2">
        <f t="array" ref="O49">IF($C49="","",INDEX(SchedZone,$C49,MAP!$B$16))</f>
        <v>7</v>
      </c>
      <c r="P49" s="2" t="str">
        <f>IF($C49="","",IFERROR(MATCH($E49&amp;"|"&amp;$G49&amp;"|"&amp;$I49,StatsKey,0),""))</f>
        <v/>
      </c>
      <c r="Q49" s="2">
        <f t="array" ref="Q49">IF($P49="",0,INDEX(StatsZone,$P49,MAP!$E$9)+INDEX(StatsZone,$P49,MAP!$E$10)+INDEX(StatsZone,$P49,MAP!$E$11))</f>
        <v>0</v>
      </c>
      <c r="R49" s="2">
        <f t="array" ref="R49">IF($P49="",0,INDEX(StatsZone,$P49,MAP!$E$12))</f>
        <v>0</v>
      </c>
      <c r="S49" s="2">
        <f t="array" ref="S49">IF($P49="",0,INDEX(StatsZone,$P49,MAP!$E$13))</f>
        <v>0</v>
      </c>
      <c r="T49" s="2">
        <f t="shared" si="1"/>
        <v>0</v>
      </c>
      <c r="U49" s="2">
        <f t="array" ref="U49">IF($P49="",0,INDEX(StatsZone,$P49,MAP!$E$14)+INDEX(StatsZone,$P49,MAP!$E$15)+INDEX(StatsZone,$P49,MAP!$E$16))</f>
        <v>0</v>
      </c>
      <c r="V49" s="2">
        <f t="shared" si="2"/>
        <v>0</v>
      </c>
      <c r="W49" s="2">
        <f t="shared" si="3"/>
        <v>0</v>
      </c>
      <c r="X49" s="2">
        <f t="shared" si="4"/>
        <v>0</v>
      </c>
      <c r="Y49" s="2">
        <f t="shared" si="5"/>
        <v>0</v>
      </c>
      <c r="Z49" s="2">
        <f t="shared" si="6"/>
        <v>0</v>
      </c>
      <c r="AA49" s="2">
        <f t="shared" si="7"/>
        <v>1</v>
      </c>
      <c r="AB49" s="2">
        <f>IF(OR($M49="",$N49=""),0,MEDIAN(-MarginCap,MarginCap,($M49-$N49)-$AA49*HFA_Base))</f>
        <v>0</v>
      </c>
      <c r="AC49" s="2">
        <f t="array" ref="AC49">IF(OR($P49="",INDEX($P$3:$P$722,(ROW()+IF(MOD(ROW()-3,2)=0,1,-1))-3+1)=""),0,MEDIAN(-MarginCap,MarginCap,($T49-$W49)-$AA49*HFA_Base))</f>
        <v>0</v>
      </c>
      <c r="AD49" s="2">
        <f t="shared" si="8"/>
        <v>0</v>
      </c>
      <c r="AE49" s="2">
        <f>IF(OR($M49="",$N49=""),0,IF(AND(WEpa&gt;0,$AD49=1),(1-WEpa)*$AB49+WEpa*$AC49,$AB49))</f>
        <v>0</v>
      </c>
      <c r="AF49" s="2">
        <f>IF(AND($C49&lt;&gt;"",$E49=CurrentSeason,$F49="REG",ISNUMBER($G49),$G49&lt;CurrentWeek,AND($M49&lt;&gt;"",$N49&lt;&gt;"")),1,0)</f>
        <v>0</v>
      </c>
      <c r="AG49" s="2">
        <f>IF($AF49=0,0,IF($G49&gt;=CurrentWeek-RecencyWin,RecencyMult,1))</f>
        <v>0</v>
      </c>
      <c r="AH49" s="2">
        <f>IF(AND($C49&lt;&gt;"",$E49=CurrentSeason,$F49="REG",ISNUMBER($G49),$G49&lt;CurrentWeek-1,AND($M49&lt;&gt;"",$N49&lt;&gt;"")),1,0)</f>
        <v>0</v>
      </c>
      <c r="AI49" s="2">
        <f>IF($AH49=0,0,IF($G49&gt;=CurrentWeek-1-RecencyWin,RecencyMult,1))</f>
        <v>0</v>
      </c>
      <c r="AJ49" s="2">
        <f>IF($AF49=0,0,IF($G49&gt;=CurrentWeek-RecencyWin,TotRecency,1))</f>
        <v>0</v>
      </c>
      <c r="AK49" s="2">
        <f t="shared" si="9"/>
        <v>0</v>
      </c>
      <c r="AL49" s="2">
        <f t="shared" si="10"/>
        <v>0</v>
      </c>
      <c r="AM49" s="2" t="str">
        <f t="array" ref="AM49">IF($K49="",0,IFERROR(INDEX(CALC!$F$2:$F$33,MATCH($K49,CALC!$A$2:$A$33,0)),0))</f>
        <v/>
      </c>
      <c r="AN49" s="2" t="str">
        <f t="array" ref="AN49">IF($K49="",0,IFERROR(INDEX(CALC!$I$2:$I$33,MATCH($K49,CALC!$A$2:$A$33,0)),0))</f>
        <v/>
      </c>
      <c r="AO49" s="2" t="str">
        <f t="array" ref="AO49">IF($K49="",0,IFERROR(INDEX(CALC!$L$2:$L$33,MATCH($K49,CALC!$A$2:$A$33,0)),0))</f>
        <v/>
      </c>
      <c r="AP49" s="2" t="str">
        <f t="array" ref="AP49">IF($K49="",0,IFERROR(INDEX(CALC!$T$2:$T$33,MATCH($K49,CALC!$A$2:$A$33,0)),0))</f>
        <v/>
      </c>
      <c r="AQ49" s="2" t="str">
        <f t="array" ref="AQ49">IF($K49="",0,IFERROR(INDEX(CALC!$W$2:$W$33,MATCH($K49,CALC!$A$2:$A$33,0)),0))</f>
        <v/>
      </c>
      <c r="AR49" s="2" t="str">
        <f t="array" ref="AR49">IF($K49="",0,IFERROR(INDEX(CALC!$Z$2:$Z$33,MATCH($K49,CALC!$A$2:$A$33,0)),0))</f>
        <v/>
      </c>
      <c r="AS49" s="2" t="str">
        <f t="array" ref="AS49">IF($K49="",0,IFERROR(INDEX(CALC!$AJ$2:$AJ$33,MATCH($K49,CALC!$A$2:$A$33,0)),0))</f>
        <v/>
      </c>
      <c r="AT49" s="2" t="str">
        <f t="array" ref="AT49">IF($K49="",0,IFERROR(INDEX(CALC!$AI$2:$AI$33,MATCH($K49,CALC!$A$2:$A$33,0)),0))</f>
        <v/>
      </c>
      <c r="AU49" s="2">
        <f t="shared" si="11"/>
        <v>0</v>
      </c>
      <c r="AV49" s="2">
        <f t="shared" si="12"/>
        <v>0</v>
      </c>
    </row>
    <row r="50" ht="15.0" customHeight="1">
      <c r="A50" s="2">
        <v>24.0</v>
      </c>
      <c r="B50" s="2" t="s">
        <v>2366</v>
      </c>
      <c r="C50" s="2">
        <f>IFERROR(MATCH($A50,SchedSeq,0),"")</f>
        <v>309</v>
      </c>
      <c r="D50" s="2" t="str">
        <f t="array" ref="D50">IF($C50="","",INDEX(SchedZone,$C50,MAP!$B$6))</f>
        <v>2026_02_CLE_TB</v>
      </c>
      <c r="E50" s="2">
        <f t="array" ref="E50">IF($C50="","",INDEX(SchedZone,$C50,MAP!$B$3))</f>
        <v>2026</v>
      </c>
      <c r="F50" s="2" t="str">
        <f t="array" ref="F50">IF($C50="","",INDEX(SchedZone,$C50,MAP!$B$5))</f>
        <v>REG</v>
      </c>
      <c r="G50" s="2">
        <f t="array" ref="G50">IF($C50="","",INDEX(SchedZone,$C50,MAP!$B$4))</f>
        <v>2</v>
      </c>
      <c r="H50" s="2" t="str">
        <f t="array" ref="H50">IF($C50="","",INDEX(SchedZone,$C50,MAP!$B$10))</f>
        <v>CLE</v>
      </c>
      <c r="I50" s="2" t="str">
        <f t="array" ref="I50">IF($H50="","",IF(COUNTIF(Teams,$H50)&gt;0,$H50,IFERROR(INDEX(LISTS!$D$2:$D$12,MATCH($H50,LISTS!$C$2:$C$12,0)),"⚠ "&amp;$H50)))</f>
        <v>CLE</v>
      </c>
      <c r="J50" s="2" t="str">
        <f t="array" ref="J50">IF($C50="","",INDEX(SchedZone,$C50,MAP!$B$12))</f>
        <v>TB</v>
      </c>
      <c r="K50" s="2" t="str">
        <f t="array" ref="K50">IF($J50="","",IF(COUNTIF(Teams,$J50)&gt;0,$J50,IFERROR(INDEX(LISTS!$D$2:$D$12,MATCH($J50,LISTS!$C$2:$C$12,0)),"⚠ "&amp;$J50)))</f>
        <v>TB</v>
      </c>
      <c r="L50" s="2" t="str">
        <f t="array" ref="L50">IF($C50="","",IF(INDEX(SchedZone,$C50,MAP!$B$14)="Neutral","N",IF($B50="HOME","H","A")))</f>
        <v>A</v>
      </c>
      <c r="M50" s="2" t="str">
        <f t="array" ref="M50">IF($C50="","",IF(INDEX(SchedZone,$C50,MAP!$B$11)="","",INDEX(SchedZone,$C50,MAP!$B$11)))</f>
        <v/>
      </c>
      <c r="N50" s="2" t="str">
        <f t="array" ref="N50">IF($C50="","",IF(INDEX(SchedZone,$C50,MAP!$B$13)="","",INDEX(SchedZone,$C50,MAP!$B$13)))</f>
        <v/>
      </c>
      <c r="O50" s="2">
        <f t="array" ref="O50">IF($C50="","",INDEX(SchedZone,$C50,MAP!$B$15))</f>
        <v>7</v>
      </c>
      <c r="P50" s="2" t="str">
        <f>IF($C50="","",IFERROR(MATCH($E50&amp;"|"&amp;$G50&amp;"|"&amp;$I50,StatsKey,0),""))</f>
        <v/>
      </c>
      <c r="Q50" s="2">
        <f t="array" ref="Q50">IF($P50="",0,INDEX(StatsZone,$P50,MAP!$E$9)+INDEX(StatsZone,$P50,MAP!$E$10)+INDEX(StatsZone,$P50,MAP!$E$11))</f>
        <v>0</v>
      </c>
      <c r="R50" s="2">
        <f t="array" ref="R50">IF($P50="",0,INDEX(StatsZone,$P50,MAP!$E$12))</f>
        <v>0</v>
      </c>
      <c r="S50" s="2">
        <f t="array" ref="S50">IF($P50="",0,INDEX(StatsZone,$P50,MAP!$E$13))</f>
        <v>0</v>
      </c>
      <c r="T50" s="2">
        <f t="shared" si="1"/>
        <v>0</v>
      </c>
      <c r="U50" s="2">
        <f t="array" ref="U50">IF($P50="",0,INDEX(StatsZone,$P50,MAP!$E$14)+INDEX(StatsZone,$P50,MAP!$E$15)+INDEX(StatsZone,$P50,MAP!$E$16))</f>
        <v>0</v>
      </c>
      <c r="V50" s="2">
        <f t="shared" si="2"/>
        <v>0</v>
      </c>
      <c r="W50" s="2">
        <f t="shared" si="3"/>
        <v>0</v>
      </c>
      <c r="X50" s="2">
        <f t="shared" si="4"/>
        <v>0</v>
      </c>
      <c r="Y50" s="2">
        <f t="shared" si="5"/>
        <v>0</v>
      </c>
      <c r="Z50" s="2">
        <f t="shared" si="6"/>
        <v>0</v>
      </c>
      <c r="AA50" s="2">
        <f t="shared" si="7"/>
        <v>-1</v>
      </c>
      <c r="AB50" s="2">
        <f>IF(OR($M50="",$N50=""),0,MEDIAN(-MarginCap,MarginCap,($M50-$N50)-$AA50*HFA_Base))</f>
        <v>0</v>
      </c>
      <c r="AC50" s="2">
        <f t="array" ref="AC50">IF(OR($P50="",INDEX($P$3:$P$722,(ROW()+IF(MOD(ROW()-3,2)=0,1,-1))-3+1)=""),0,MEDIAN(-MarginCap,MarginCap,($T50-$W50)-$AA50*HFA_Base))</f>
        <v>0</v>
      </c>
      <c r="AD50" s="2">
        <f t="shared" si="8"/>
        <v>0</v>
      </c>
      <c r="AE50" s="2">
        <f>IF(OR($M50="",$N50=""),0,IF(AND(WEpa&gt;0,$AD50=1),(1-WEpa)*$AB50+WEpa*$AC50,$AB50))</f>
        <v>0</v>
      </c>
      <c r="AF50" s="2">
        <f>IF(AND($C50&lt;&gt;"",$E50=CurrentSeason,$F50="REG",ISNUMBER($G50),$G50&lt;CurrentWeek,AND($M50&lt;&gt;"",$N50&lt;&gt;"")),1,0)</f>
        <v>0</v>
      </c>
      <c r="AG50" s="2">
        <f>IF($AF50=0,0,IF($G50&gt;=CurrentWeek-RecencyWin,RecencyMult,1))</f>
        <v>0</v>
      </c>
      <c r="AH50" s="2">
        <f>IF(AND($C50&lt;&gt;"",$E50=CurrentSeason,$F50="REG",ISNUMBER($G50),$G50&lt;CurrentWeek-1,AND($M50&lt;&gt;"",$N50&lt;&gt;"")),1,0)</f>
        <v>0</v>
      </c>
      <c r="AI50" s="2">
        <f>IF($AH50=0,0,IF($G50&gt;=CurrentWeek-1-RecencyWin,RecencyMult,1))</f>
        <v>0</v>
      </c>
      <c r="AJ50" s="2">
        <f>IF($AF50=0,0,IF($G50&gt;=CurrentWeek-RecencyWin,TotRecency,1))</f>
        <v>0</v>
      </c>
      <c r="AK50" s="2">
        <f t="shared" si="9"/>
        <v>0</v>
      </c>
      <c r="AL50" s="2">
        <f t="shared" si="10"/>
        <v>0</v>
      </c>
      <c r="AM50" s="2" t="str">
        <f t="array" ref="AM50">IF($K50="",0,IFERROR(INDEX(CALC!$F$2:$F$33,MATCH($K50,CALC!$A$2:$A$33,0)),0))</f>
        <v/>
      </c>
      <c r="AN50" s="2" t="str">
        <f t="array" ref="AN50">IF($K50="",0,IFERROR(INDEX(CALC!$I$2:$I$33,MATCH($K50,CALC!$A$2:$A$33,0)),0))</f>
        <v/>
      </c>
      <c r="AO50" s="2" t="str">
        <f t="array" ref="AO50">IF($K50="",0,IFERROR(INDEX(CALC!$L$2:$L$33,MATCH($K50,CALC!$A$2:$A$33,0)),0))</f>
        <v/>
      </c>
      <c r="AP50" s="2" t="str">
        <f t="array" ref="AP50">IF($K50="",0,IFERROR(INDEX(CALC!$T$2:$T$33,MATCH($K50,CALC!$A$2:$A$33,0)),0))</f>
        <v/>
      </c>
      <c r="AQ50" s="2" t="str">
        <f t="array" ref="AQ50">IF($K50="",0,IFERROR(INDEX(CALC!$W$2:$W$33,MATCH($K50,CALC!$A$2:$A$33,0)),0))</f>
        <v/>
      </c>
      <c r="AR50" s="2" t="str">
        <f t="array" ref="AR50">IF($K50="",0,IFERROR(INDEX(CALC!$Z$2:$Z$33,MATCH($K50,CALC!$A$2:$A$33,0)),0))</f>
        <v/>
      </c>
      <c r="AS50" s="2" t="str">
        <f t="array" ref="AS50">IF($K50="",0,IFERROR(INDEX(CALC!$AJ$2:$AJ$33,MATCH($K50,CALC!$A$2:$A$33,0)),0))</f>
        <v/>
      </c>
      <c r="AT50" s="2" t="str">
        <f t="array" ref="AT50">IF($K50="",0,IFERROR(INDEX(CALC!$AI$2:$AI$33,MATCH($K50,CALC!$A$2:$A$33,0)),0))</f>
        <v/>
      </c>
      <c r="AU50" s="2">
        <f t="shared" si="11"/>
        <v>0</v>
      </c>
      <c r="AV50" s="2">
        <f t="shared" si="12"/>
        <v>0</v>
      </c>
    </row>
    <row r="51" ht="15.0" customHeight="1">
      <c r="A51" s="2">
        <v>25.0</v>
      </c>
      <c r="B51" s="2" t="s">
        <v>2365</v>
      </c>
      <c r="C51" s="2">
        <f>IFERROR(MATCH($A51,SchedSeq,0),"")</f>
        <v>310</v>
      </c>
      <c r="D51" s="2" t="str">
        <f t="array" ref="D51">IF($C51="","",INDEX(SchedZone,$C51,MAP!$B$6))</f>
        <v>2026_02_PHI_TEN</v>
      </c>
      <c r="E51" s="2">
        <f t="array" ref="E51">IF($C51="","",INDEX(SchedZone,$C51,MAP!$B$3))</f>
        <v>2026</v>
      </c>
      <c r="F51" s="2" t="str">
        <f t="array" ref="F51">IF($C51="","",INDEX(SchedZone,$C51,MAP!$B$5))</f>
        <v>REG</v>
      </c>
      <c r="G51" s="2">
        <f t="array" ref="G51">IF($C51="","",INDEX(SchedZone,$C51,MAP!$B$4))</f>
        <v>2</v>
      </c>
      <c r="H51" s="2" t="str">
        <f t="array" ref="H51">IF($C51="","",INDEX(SchedZone,$C51,MAP!$B$12))</f>
        <v>TEN</v>
      </c>
      <c r="I51" s="2" t="str">
        <f t="array" ref="I51">IF($H51="","",IF(COUNTIF(Teams,$H51)&gt;0,$H51,IFERROR(INDEX(LISTS!$D$2:$D$12,MATCH($H51,LISTS!$C$2:$C$12,0)),"⚠ "&amp;$H51)))</f>
        <v>TEN</v>
      </c>
      <c r="J51" s="2" t="str">
        <f t="array" ref="J51">IF($C51="","",INDEX(SchedZone,$C51,MAP!$B$10))</f>
        <v>PHI</v>
      </c>
      <c r="K51" s="2" t="str">
        <f t="array" ref="K51">IF($J51="","",IF(COUNTIF(Teams,$J51)&gt;0,$J51,IFERROR(INDEX(LISTS!$D$2:$D$12,MATCH($J51,LISTS!$C$2:$C$12,0)),"⚠ "&amp;$J51)))</f>
        <v>PHI</v>
      </c>
      <c r="L51" s="2" t="str">
        <f t="array" ref="L51">IF($C51="","",IF(INDEX(SchedZone,$C51,MAP!$B$14)="Neutral","N",IF($B51="HOME","H","A")))</f>
        <v>H</v>
      </c>
      <c r="M51" s="2" t="str">
        <f t="array" ref="M51">IF($C51="","",IF(INDEX(SchedZone,$C51,MAP!$B$13)="","",INDEX(SchedZone,$C51,MAP!$B$13)))</f>
        <v/>
      </c>
      <c r="N51" s="2" t="str">
        <f t="array" ref="N51">IF($C51="","",IF(INDEX(SchedZone,$C51,MAP!$B$11)="","",INDEX(SchedZone,$C51,MAP!$B$11)))</f>
        <v/>
      </c>
      <c r="O51" s="2">
        <f t="array" ref="O51">IF($C51="","",INDEX(SchedZone,$C51,MAP!$B$16))</f>
        <v>7</v>
      </c>
      <c r="P51" s="2" t="str">
        <f>IF($C51="","",IFERROR(MATCH($E51&amp;"|"&amp;$G51&amp;"|"&amp;$I51,StatsKey,0),""))</f>
        <v/>
      </c>
      <c r="Q51" s="2">
        <f t="array" ref="Q51">IF($P51="",0,INDEX(StatsZone,$P51,MAP!$E$9)+INDEX(StatsZone,$P51,MAP!$E$10)+INDEX(StatsZone,$P51,MAP!$E$11))</f>
        <v>0</v>
      </c>
      <c r="R51" s="2">
        <f t="array" ref="R51">IF($P51="",0,INDEX(StatsZone,$P51,MAP!$E$12))</f>
        <v>0</v>
      </c>
      <c r="S51" s="2">
        <f t="array" ref="S51">IF($P51="",0,INDEX(StatsZone,$P51,MAP!$E$13))</f>
        <v>0</v>
      </c>
      <c r="T51" s="2">
        <f t="shared" si="1"/>
        <v>0</v>
      </c>
      <c r="U51" s="2">
        <f t="array" ref="U51">IF($P51="",0,INDEX(StatsZone,$P51,MAP!$E$14)+INDEX(StatsZone,$P51,MAP!$E$15)+INDEX(StatsZone,$P51,MAP!$E$16))</f>
        <v>0</v>
      </c>
      <c r="V51" s="2">
        <f t="shared" si="2"/>
        <v>0</v>
      </c>
      <c r="W51" s="2">
        <f t="shared" si="3"/>
        <v>0</v>
      </c>
      <c r="X51" s="2">
        <f t="shared" si="4"/>
        <v>0</v>
      </c>
      <c r="Y51" s="2">
        <f t="shared" si="5"/>
        <v>0</v>
      </c>
      <c r="Z51" s="2">
        <f t="shared" si="6"/>
        <v>0</v>
      </c>
      <c r="AA51" s="2">
        <f t="shared" si="7"/>
        <v>1</v>
      </c>
      <c r="AB51" s="2">
        <f>IF(OR($M51="",$N51=""),0,MEDIAN(-MarginCap,MarginCap,($M51-$N51)-$AA51*HFA_Base))</f>
        <v>0</v>
      </c>
      <c r="AC51" s="2">
        <f t="array" ref="AC51">IF(OR($P51="",INDEX($P$3:$P$722,(ROW()+IF(MOD(ROW()-3,2)=0,1,-1))-3+1)=""),0,MEDIAN(-MarginCap,MarginCap,($T51-$W51)-$AA51*HFA_Base))</f>
        <v>0</v>
      </c>
      <c r="AD51" s="2">
        <f t="shared" si="8"/>
        <v>0</v>
      </c>
      <c r="AE51" s="2">
        <f>IF(OR($M51="",$N51=""),0,IF(AND(WEpa&gt;0,$AD51=1),(1-WEpa)*$AB51+WEpa*$AC51,$AB51))</f>
        <v>0</v>
      </c>
      <c r="AF51" s="2">
        <f>IF(AND($C51&lt;&gt;"",$E51=CurrentSeason,$F51="REG",ISNUMBER($G51),$G51&lt;CurrentWeek,AND($M51&lt;&gt;"",$N51&lt;&gt;"")),1,0)</f>
        <v>0</v>
      </c>
      <c r="AG51" s="2">
        <f>IF($AF51=0,0,IF($G51&gt;=CurrentWeek-RecencyWin,RecencyMult,1))</f>
        <v>0</v>
      </c>
      <c r="AH51" s="2">
        <f>IF(AND($C51&lt;&gt;"",$E51=CurrentSeason,$F51="REG",ISNUMBER($G51),$G51&lt;CurrentWeek-1,AND($M51&lt;&gt;"",$N51&lt;&gt;"")),1,0)</f>
        <v>0</v>
      </c>
      <c r="AI51" s="2">
        <f>IF($AH51=0,0,IF($G51&gt;=CurrentWeek-1-RecencyWin,RecencyMult,1))</f>
        <v>0</v>
      </c>
      <c r="AJ51" s="2">
        <f>IF($AF51=0,0,IF($G51&gt;=CurrentWeek-RecencyWin,TotRecency,1))</f>
        <v>0</v>
      </c>
      <c r="AK51" s="2">
        <f t="shared" si="9"/>
        <v>0</v>
      </c>
      <c r="AL51" s="2">
        <f t="shared" si="10"/>
        <v>0</v>
      </c>
      <c r="AM51" s="2" t="str">
        <f t="array" ref="AM51">IF($K51="",0,IFERROR(INDEX(CALC!$F$2:$F$33,MATCH($K51,CALC!$A$2:$A$33,0)),0))</f>
        <v/>
      </c>
      <c r="AN51" s="2" t="str">
        <f t="array" ref="AN51">IF($K51="",0,IFERROR(INDEX(CALC!$I$2:$I$33,MATCH($K51,CALC!$A$2:$A$33,0)),0))</f>
        <v/>
      </c>
      <c r="AO51" s="2" t="str">
        <f t="array" ref="AO51">IF($K51="",0,IFERROR(INDEX(CALC!$L$2:$L$33,MATCH($K51,CALC!$A$2:$A$33,0)),0))</f>
        <v/>
      </c>
      <c r="AP51" s="2" t="str">
        <f t="array" ref="AP51">IF($K51="",0,IFERROR(INDEX(CALC!$T$2:$T$33,MATCH($K51,CALC!$A$2:$A$33,0)),0))</f>
        <v/>
      </c>
      <c r="AQ51" s="2" t="str">
        <f t="array" ref="AQ51">IF($K51="",0,IFERROR(INDEX(CALC!$W$2:$W$33,MATCH($K51,CALC!$A$2:$A$33,0)),0))</f>
        <v/>
      </c>
      <c r="AR51" s="2" t="str">
        <f t="array" ref="AR51">IF($K51="",0,IFERROR(INDEX(CALC!$Z$2:$Z$33,MATCH($K51,CALC!$A$2:$A$33,0)),0))</f>
        <v/>
      </c>
      <c r="AS51" s="2" t="str">
        <f t="array" ref="AS51">IF($K51="",0,IFERROR(INDEX(CALC!$AJ$2:$AJ$33,MATCH($K51,CALC!$A$2:$A$33,0)),0))</f>
        <v/>
      </c>
      <c r="AT51" s="2" t="str">
        <f t="array" ref="AT51">IF($K51="",0,IFERROR(INDEX(CALC!$AI$2:$AI$33,MATCH($K51,CALC!$A$2:$A$33,0)),0))</f>
        <v/>
      </c>
      <c r="AU51" s="2">
        <f t="shared" si="11"/>
        <v>0</v>
      </c>
      <c r="AV51" s="2">
        <f t="shared" si="12"/>
        <v>0</v>
      </c>
    </row>
    <row r="52" ht="15.0" customHeight="1">
      <c r="A52" s="2">
        <v>25.0</v>
      </c>
      <c r="B52" s="2" t="s">
        <v>2366</v>
      </c>
      <c r="C52" s="2">
        <f>IFERROR(MATCH($A52,SchedSeq,0),"")</f>
        <v>310</v>
      </c>
      <c r="D52" s="2" t="str">
        <f t="array" ref="D52">IF($C52="","",INDEX(SchedZone,$C52,MAP!$B$6))</f>
        <v>2026_02_PHI_TEN</v>
      </c>
      <c r="E52" s="2">
        <f t="array" ref="E52">IF($C52="","",INDEX(SchedZone,$C52,MAP!$B$3))</f>
        <v>2026</v>
      </c>
      <c r="F52" s="2" t="str">
        <f t="array" ref="F52">IF($C52="","",INDEX(SchedZone,$C52,MAP!$B$5))</f>
        <v>REG</v>
      </c>
      <c r="G52" s="2">
        <f t="array" ref="G52">IF($C52="","",INDEX(SchedZone,$C52,MAP!$B$4))</f>
        <v>2</v>
      </c>
      <c r="H52" s="2" t="str">
        <f t="array" ref="H52">IF($C52="","",INDEX(SchedZone,$C52,MAP!$B$10))</f>
        <v>PHI</v>
      </c>
      <c r="I52" s="2" t="str">
        <f t="array" ref="I52">IF($H52="","",IF(COUNTIF(Teams,$H52)&gt;0,$H52,IFERROR(INDEX(LISTS!$D$2:$D$12,MATCH($H52,LISTS!$C$2:$C$12,0)),"⚠ "&amp;$H52)))</f>
        <v>PHI</v>
      </c>
      <c r="J52" s="2" t="str">
        <f t="array" ref="J52">IF($C52="","",INDEX(SchedZone,$C52,MAP!$B$12))</f>
        <v>TEN</v>
      </c>
      <c r="K52" s="2" t="str">
        <f t="array" ref="K52">IF($J52="","",IF(COUNTIF(Teams,$J52)&gt;0,$J52,IFERROR(INDEX(LISTS!$D$2:$D$12,MATCH($J52,LISTS!$C$2:$C$12,0)),"⚠ "&amp;$J52)))</f>
        <v>TEN</v>
      </c>
      <c r="L52" s="2" t="str">
        <f t="array" ref="L52">IF($C52="","",IF(INDEX(SchedZone,$C52,MAP!$B$14)="Neutral","N",IF($B52="HOME","H","A")))</f>
        <v>A</v>
      </c>
      <c r="M52" s="2" t="str">
        <f t="array" ref="M52">IF($C52="","",IF(INDEX(SchedZone,$C52,MAP!$B$11)="","",INDEX(SchedZone,$C52,MAP!$B$11)))</f>
        <v/>
      </c>
      <c r="N52" s="2" t="str">
        <f t="array" ref="N52">IF($C52="","",IF(INDEX(SchedZone,$C52,MAP!$B$13)="","",INDEX(SchedZone,$C52,MAP!$B$13)))</f>
        <v/>
      </c>
      <c r="O52" s="2">
        <f t="array" ref="O52">IF($C52="","",INDEX(SchedZone,$C52,MAP!$B$15))</f>
        <v>7</v>
      </c>
      <c r="P52" s="2" t="str">
        <f>IF($C52="","",IFERROR(MATCH($E52&amp;"|"&amp;$G52&amp;"|"&amp;$I52,StatsKey,0),""))</f>
        <v/>
      </c>
      <c r="Q52" s="2">
        <f t="array" ref="Q52">IF($P52="",0,INDEX(StatsZone,$P52,MAP!$E$9)+INDEX(StatsZone,$P52,MAP!$E$10)+INDEX(StatsZone,$P52,MAP!$E$11))</f>
        <v>0</v>
      </c>
      <c r="R52" s="2">
        <f t="array" ref="R52">IF($P52="",0,INDEX(StatsZone,$P52,MAP!$E$12))</f>
        <v>0</v>
      </c>
      <c r="S52" s="2">
        <f t="array" ref="S52">IF($P52="",0,INDEX(StatsZone,$P52,MAP!$E$13))</f>
        <v>0</v>
      </c>
      <c r="T52" s="2">
        <f t="shared" si="1"/>
        <v>0</v>
      </c>
      <c r="U52" s="2">
        <f t="array" ref="U52">IF($P52="",0,INDEX(StatsZone,$P52,MAP!$E$14)+INDEX(StatsZone,$P52,MAP!$E$15)+INDEX(StatsZone,$P52,MAP!$E$16))</f>
        <v>0</v>
      </c>
      <c r="V52" s="2">
        <f t="shared" si="2"/>
        <v>0</v>
      </c>
      <c r="W52" s="2">
        <f t="shared" si="3"/>
        <v>0</v>
      </c>
      <c r="X52" s="2">
        <f t="shared" si="4"/>
        <v>0</v>
      </c>
      <c r="Y52" s="2">
        <f t="shared" si="5"/>
        <v>0</v>
      </c>
      <c r="Z52" s="2">
        <f t="shared" si="6"/>
        <v>0</v>
      </c>
      <c r="AA52" s="2">
        <f t="shared" si="7"/>
        <v>-1</v>
      </c>
      <c r="AB52" s="2">
        <f>IF(OR($M52="",$N52=""),0,MEDIAN(-MarginCap,MarginCap,($M52-$N52)-$AA52*HFA_Base))</f>
        <v>0</v>
      </c>
      <c r="AC52" s="2">
        <f t="array" ref="AC52">IF(OR($P52="",INDEX($P$3:$P$722,(ROW()+IF(MOD(ROW()-3,2)=0,1,-1))-3+1)=""),0,MEDIAN(-MarginCap,MarginCap,($T52-$W52)-$AA52*HFA_Base))</f>
        <v>0</v>
      </c>
      <c r="AD52" s="2">
        <f t="shared" si="8"/>
        <v>0</v>
      </c>
      <c r="AE52" s="2">
        <f>IF(OR($M52="",$N52=""),0,IF(AND(WEpa&gt;0,$AD52=1),(1-WEpa)*$AB52+WEpa*$AC52,$AB52))</f>
        <v>0</v>
      </c>
      <c r="AF52" s="2">
        <f>IF(AND($C52&lt;&gt;"",$E52=CurrentSeason,$F52="REG",ISNUMBER($G52),$G52&lt;CurrentWeek,AND($M52&lt;&gt;"",$N52&lt;&gt;"")),1,0)</f>
        <v>0</v>
      </c>
      <c r="AG52" s="2">
        <f>IF($AF52=0,0,IF($G52&gt;=CurrentWeek-RecencyWin,RecencyMult,1))</f>
        <v>0</v>
      </c>
      <c r="AH52" s="2">
        <f>IF(AND($C52&lt;&gt;"",$E52=CurrentSeason,$F52="REG",ISNUMBER($G52),$G52&lt;CurrentWeek-1,AND($M52&lt;&gt;"",$N52&lt;&gt;"")),1,0)</f>
        <v>0</v>
      </c>
      <c r="AI52" s="2">
        <f>IF($AH52=0,0,IF($G52&gt;=CurrentWeek-1-RecencyWin,RecencyMult,1))</f>
        <v>0</v>
      </c>
      <c r="AJ52" s="2">
        <f>IF($AF52=0,0,IF($G52&gt;=CurrentWeek-RecencyWin,TotRecency,1))</f>
        <v>0</v>
      </c>
      <c r="AK52" s="2">
        <f t="shared" si="9"/>
        <v>0</v>
      </c>
      <c r="AL52" s="2">
        <f t="shared" si="10"/>
        <v>0</v>
      </c>
      <c r="AM52" s="2" t="str">
        <f t="array" ref="AM52">IF($K52="",0,IFERROR(INDEX(CALC!$F$2:$F$33,MATCH($K52,CALC!$A$2:$A$33,0)),0))</f>
        <v/>
      </c>
      <c r="AN52" s="2" t="str">
        <f t="array" ref="AN52">IF($K52="",0,IFERROR(INDEX(CALC!$I$2:$I$33,MATCH($K52,CALC!$A$2:$A$33,0)),0))</f>
        <v/>
      </c>
      <c r="AO52" s="2" t="str">
        <f t="array" ref="AO52">IF($K52="",0,IFERROR(INDEX(CALC!$L$2:$L$33,MATCH($K52,CALC!$A$2:$A$33,0)),0))</f>
        <v/>
      </c>
      <c r="AP52" s="2" t="str">
        <f t="array" ref="AP52">IF($K52="",0,IFERROR(INDEX(CALC!$T$2:$T$33,MATCH($K52,CALC!$A$2:$A$33,0)),0))</f>
        <v/>
      </c>
      <c r="AQ52" s="2" t="str">
        <f t="array" ref="AQ52">IF($K52="",0,IFERROR(INDEX(CALC!$W$2:$W$33,MATCH($K52,CALC!$A$2:$A$33,0)),0))</f>
        <v/>
      </c>
      <c r="AR52" s="2" t="str">
        <f t="array" ref="AR52">IF($K52="",0,IFERROR(INDEX(CALC!$Z$2:$Z$33,MATCH($K52,CALC!$A$2:$A$33,0)),0))</f>
        <v/>
      </c>
      <c r="AS52" s="2" t="str">
        <f t="array" ref="AS52">IF($K52="",0,IFERROR(INDEX(CALC!$AJ$2:$AJ$33,MATCH($K52,CALC!$A$2:$A$33,0)),0))</f>
        <v/>
      </c>
      <c r="AT52" s="2" t="str">
        <f t="array" ref="AT52">IF($K52="",0,IFERROR(INDEX(CALC!$AI$2:$AI$33,MATCH($K52,CALC!$A$2:$A$33,0)),0))</f>
        <v/>
      </c>
      <c r="AU52" s="2">
        <f t="shared" si="11"/>
        <v>0</v>
      </c>
      <c r="AV52" s="2">
        <f t="shared" si="12"/>
        <v>0</v>
      </c>
    </row>
    <row r="53" ht="15.0" customHeight="1">
      <c r="A53" s="2">
        <v>26.0</v>
      </c>
      <c r="B53" s="2" t="s">
        <v>2365</v>
      </c>
      <c r="C53" s="2">
        <f>IFERROR(MATCH($A53,SchedSeq,0),"")</f>
        <v>311</v>
      </c>
      <c r="D53" s="2" t="str">
        <f t="array" ref="D53">IF($C53="","",INDEX(SchedZone,$C53,MAP!$B$6))</f>
        <v>2026_02_JAX_DEN</v>
      </c>
      <c r="E53" s="2">
        <f t="array" ref="E53">IF($C53="","",INDEX(SchedZone,$C53,MAP!$B$3))</f>
        <v>2026</v>
      </c>
      <c r="F53" s="2" t="str">
        <f t="array" ref="F53">IF($C53="","",INDEX(SchedZone,$C53,MAP!$B$5))</f>
        <v>REG</v>
      </c>
      <c r="G53" s="2">
        <f t="array" ref="G53">IF($C53="","",INDEX(SchedZone,$C53,MAP!$B$4))</f>
        <v>2</v>
      </c>
      <c r="H53" s="2" t="str">
        <f t="array" ref="H53">IF($C53="","",INDEX(SchedZone,$C53,MAP!$B$12))</f>
        <v>DEN</v>
      </c>
      <c r="I53" s="2" t="str">
        <f t="array" ref="I53">IF($H53="","",IF(COUNTIF(Teams,$H53)&gt;0,$H53,IFERROR(INDEX(LISTS!$D$2:$D$12,MATCH($H53,LISTS!$C$2:$C$12,0)),"⚠ "&amp;$H53)))</f>
        <v>DEN</v>
      </c>
      <c r="J53" s="2" t="str">
        <f t="array" ref="J53">IF($C53="","",INDEX(SchedZone,$C53,MAP!$B$10))</f>
        <v>JAX</v>
      </c>
      <c r="K53" s="2" t="str">
        <f t="array" ref="K53">IF($J53="","",IF(COUNTIF(Teams,$J53)&gt;0,$J53,IFERROR(INDEX(LISTS!$D$2:$D$12,MATCH($J53,LISTS!$C$2:$C$12,0)),"⚠ "&amp;$J53)))</f>
        <v>JAX</v>
      </c>
      <c r="L53" s="2" t="str">
        <f t="array" ref="L53">IF($C53="","",IF(INDEX(SchedZone,$C53,MAP!$B$14)="Neutral","N",IF($B53="HOME","H","A")))</f>
        <v>H</v>
      </c>
      <c r="M53" s="2" t="str">
        <f t="array" ref="M53">IF($C53="","",IF(INDEX(SchedZone,$C53,MAP!$B$13)="","",INDEX(SchedZone,$C53,MAP!$B$13)))</f>
        <v/>
      </c>
      <c r="N53" s="2" t="str">
        <f t="array" ref="N53">IF($C53="","",IF(INDEX(SchedZone,$C53,MAP!$B$11)="","",INDEX(SchedZone,$C53,MAP!$B$11)))</f>
        <v/>
      </c>
      <c r="O53" s="2">
        <f t="array" ref="O53">IF($C53="","",INDEX(SchedZone,$C53,MAP!$B$16))</f>
        <v>6</v>
      </c>
      <c r="P53" s="2" t="str">
        <f>IF($C53="","",IFERROR(MATCH($E53&amp;"|"&amp;$G53&amp;"|"&amp;$I53,StatsKey,0),""))</f>
        <v/>
      </c>
      <c r="Q53" s="2">
        <f t="array" ref="Q53">IF($P53="",0,INDEX(StatsZone,$P53,MAP!$E$9)+INDEX(StatsZone,$P53,MAP!$E$10)+INDEX(StatsZone,$P53,MAP!$E$11))</f>
        <v>0</v>
      </c>
      <c r="R53" s="2">
        <f t="array" ref="R53">IF($P53="",0,INDEX(StatsZone,$P53,MAP!$E$12))</f>
        <v>0</v>
      </c>
      <c r="S53" s="2">
        <f t="array" ref="S53">IF($P53="",0,INDEX(StatsZone,$P53,MAP!$E$13))</f>
        <v>0</v>
      </c>
      <c r="T53" s="2">
        <f t="shared" si="1"/>
        <v>0</v>
      </c>
      <c r="U53" s="2">
        <f t="array" ref="U53">IF($P53="",0,INDEX(StatsZone,$P53,MAP!$E$14)+INDEX(StatsZone,$P53,MAP!$E$15)+INDEX(StatsZone,$P53,MAP!$E$16))</f>
        <v>0</v>
      </c>
      <c r="V53" s="2">
        <f t="shared" si="2"/>
        <v>0</v>
      </c>
      <c r="W53" s="2">
        <f t="shared" si="3"/>
        <v>0</v>
      </c>
      <c r="X53" s="2">
        <f t="shared" si="4"/>
        <v>0</v>
      </c>
      <c r="Y53" s="2">
        <f t="shared" si="5"/>
        <v>0</v>
      </c>
      <c r="Z53" s="2">
        <f t="shared" si="6"/>
        <v>0</v>
      </c>
      <c r="AA53" s="2">
        <f t="shared" si="7"/>
        <v>1</v>
      </c>
      <c r="AB53" s="2">
        <f>IF(OR($M53="",$N53=""),0,MEDIAN(-MarginCap,MarginCap,($M53-$N53)-$AA53*HFA_Base))</f>
        <v>0</v>
      </c>
      <c r="AC53" s="2">
        <f t="array" ref="AC53">IF(OR($P53="",INDEX($P$3:$P$722,(ROW()+IF(MOD(ROW()-3,2)=0,1,-1))-3+1)=""),0,MEDIAN(-MarginCap,MarginCap,($T53-$W53)-$AA53*HFA_Base))</f>
        <v>0</v>
      </c>
      <c r="AD53" s="2">
        <f t="shared" si="8"/>
        <v>0</v>
      </c>
      <c r="AE53" s="2">
        <f>IF(OR($M53="",$N53=""),0,IF(AND(WEpa&gt;0,$AD53=1),(1-WEpa)*$AB53+WEpa*$AC53,$AB53))</f>
        <v>0</v>
      </c>
      <c r="AF53" s="2">
        <f>IF(AND($C53&lt;&gt;"",$E53=CurrentSeason,$F53="REG",ISNUMBER($G53),$G53&lt;CurrentWeek,AND($M53&lt;&gt;"",$N53&lt;&gt;"")),1,0)</f>
        <v>0</v>
      </c>
      <c r="AG53" s="2">
        <f>IF($AF53=0,0,IF($G53&gt;=CurrentWeek-RecencyWin,RecencyMult,1))</f>
        <v>0</v>
      </c>
      <c r="AH53" s="2">
        <f>IF(AND($C53&lt;&gt;"",$E53=CurrentSeason,$F53="REG",ISNUMBER($G53),$G53&lt;CurrentWeek-1,AND($M53&lt;&gt;"",$N53&lt;&gt;"")),1,0)</f>
        <v>0</v>
      </c>
      <c r="AI53" s="2">
        <f>IF($AH53=0,0,IF($G53&gt;=CurrentWeek-1-RecencyWin,RecencyMult,1))</f>
        <v>0</v>
      </c>
      <c r="AJ53" s="2">
        <f>IF($AF53=0,0,IF($G53&gt;=CurrentWeek-RecencyWin,TotRecency,1))</f>
        <v>0</v>
      </c>
      <c r="AK53" s="2">
        <f t="shared" si="9"/>
        <v>0</v>
      </c>
      <c r="AL53" s="2">
        <f t="shared" si="10"/>
        <v>0</v>
      </c>
      <c r="AM53" s="2" t="str">
        <f t="array" ref="AM53">IF($K53="",0,IFERROR(INDEX(CALC!$F$2:$F$33,MATCH($K53,CALC!$A$2:$A$33,0)),0))</f>
        <v/>
      </c>
      <c r="AN53" s="2" t="str">
        <f t="array" ref="AN53">IF($K53="",0,IFERROR(INDEX(CALC!$I$2:$I$33,MATCH($K53,CALC!$A$2:$A$33,0)),0))</f>
        <v/>
      </c>
      <c r="AO53" s="2" t="str">
        <f t="array" ref="AO53">IF($K53="",0,IFERROR(INDEX(CALC!$L$2:$L$33,MATCH($K53,CALC!$A$2:$A$33,0)),0))</f>
        <v/>
      </c>
      <c r="AP53" s="2" t="str">
        <f t="array" ref="AP53">IF($K53="",0,IFERROR(INDEX(CALC!$T$2:$T$33,MATCH($K53,CALC!$A$2:$A$33,0)),0))</f>
        <v/>
      </c>
      <c r="AQ53" s="2" t="str">
        <f t="array" ref="AQ53">IF($K53="",0,IFERROR(INDEX(CALC!$W$2:$W$33,MATCH($K53,CALC!$A$2:$A$33,0)),0))</f>
        <v/>
      </c>
      <c r="AR53" s="2" t="str">
        <f t="array" ref="AR53">IF($K53="",0,IFERROR(INDEX(CALC!$Z$2:$Z$33,MATCH($K53,CALC!$A$2:$A$33,0)),0))</f>
        <v/>
      </c>
      <c r="AS53" s="2" t="str">
        <f t="array" ref="AS53">IF($K53="",0,IFERROR(INDEX(CALC!$AJ$2:$AJ$33,MATCH($K53,CALC!$A$2:$A$33,0)),0))</f>
        <v/>
      </c>
      <c r="AT53" s="2" t="str">
        <f t="array" ref="AT53">IF($K53="",0,IFERROR(INDEX(CALC!$AI$2:$AI$33,MATCH($K53,CALC!$A$2:$A$33,0)),0))</f>
        <v/>
      </c>
      <c r="AU53" s="2">
        <f t="shared" si="11"/>
        <v>0</v>
      </c>
      <c r="AV53" s="2">
        <f t="shared" si="12"/>
        <v>0</v>
      </c>
    </row>
    <row r="54" ht="15.0" customHeight="1">
      <c r="A54" s="2">
        <v>26.0</v>
      </c>
      <c r="B54" s="2" t="s">
        <v>2366</v>
      </c>
      <c r="C54" s="2">
        <f>IFERROR(MATCH($A54,SchedSeq,0),"")</f>
        <v>311</v>
      </c>
      <c r="D54" s="2" t="str">
        <f t="array" ref="D54">IF($C54="","",INDEX(SchedZone,$C54,MAP!$B$6))</f>
        <v>2026_02_JAX_DEN</v>
      </c>
      <c r="E54" s="2">
        <f t="array" ref="E54">IF($C54="","",INDEX(SchedZone,$C54,MAP!$B$3))</f>
        <v>2026</v>
      </c>
      <c r="F54" s="2" t="str">
        <f t="array" ref="F54">IF($C54="","",INDEX(SchedZone,$C54,MAP!$B$5))</f>
        <v>REG</v>
      </c>
      <c r="G54" s="2">
        <f t="array" ref="G54">IF($C54="","",INDEX(SchedZone,$C54,MAP!$B$4))</f>
        <v>2</v>
      </c>
      <c r="H54" s="2" t="str">
        <f t="array" ref="H54">IF($C54="","",INDEX(SchedZone,$C54,MAP!$B$10))</f>
        <v>JAX</v>
      </c>
      <c r="I54" s="2" t="str">
        <f t="array" ref="I54">IF($H54="","",IF(COUNTIF(Teams,$H54)&gt;0,$H54,IFERROR(INDEX(LISTS!$D$2:$D$12,MATCH($H54,LISTS!$C$2:$C$12,0)),"⚠ "&amp;$H54)))</f>
        <v>JAX</v>
      </c>
      <c r="J54" s="2" t="str">
        <f t="array" ref="J54">IF($C54="","",INDEX(SchedZone,$C54,MAP!$B$12))</f>
        <v>DEN</v>
      </c>
      <c r="K54" s="2" t="str">
        <f t="array" ref="K54">IF($J54="","",IF(COUNTIF(Teams,$J54)&gt;0,$J54,IFERROR(INDEX(LISTS!$D$2:$D$12,MATCH($J54,LISTS!$C$2:$C$12,0)),"⚠ "&amp;$J54)))</f>
        <v>DEN</v>
      </c>
      <c r="L54" s="2" t="str">
        <f t="array" ref="L54">IF($C54="","",IF(INDEX(SchedZone,$C54,MAP!$B$14)="Neutral","N",IF($B54="HOME","H","A")))</f>
        <v>A</v>
      </c>
      <c r="M54" s="2" t="str">
        <f t="array" ref="M54">IF($C54="","",IF(INDEX(SchedZone,$C54,MAP!$B$11)="","",INDEX(SchedZone,$C54,MAP!$B$11)))</f>
        <v/>
      </c>
      <c r="N54" s="2" t="str">
        <f t="array" ref="N54">IF($C54="","",IF(INDEX(SchedZone,$C54,MAP!$B$13)="","",INDEX(SchedZone,$C54,MAP!$B$13)))</f>
        <v/>
      </c>
      <c r="O54" s="2">
        <f t="array" ref="O54">IF($C54="","",INDEX(SchedZone,$C54,MAP!$B$15))</f>
        <v>7</v>
      </c>
      <c r="P54" s="2" t="str">
        <f>IF($C54="","",IFERROR(MATCH($E54&amp;"|"&amp;$G54&amp;"|"&amp;$I54,StatsKey,0),""))</f>
        <v/>
      </c>
      <c r="Q54" s="2">
        <f t="array" ref="Q54">IF($P54="",0,INDEX(StatsZone,$P54,MAP!$E$9)+INDEX(StatsZone,$P54,MAP!$E$10)+INDEX(StatsZone,$P54,MAP!$E$11))</f>
        <v>0</v>
      </c>
      <c r="R54" s="2">
        <f t="array" ref="R54">IF($P54="",0,INDEX(StatsZone,$P54,MAP!$E$12))</f>
        <v>0</v>
      </c>
      <c r="S54" s="2">
        <f t="array" ref="S54">IF($P54="",0,INDEX(StatsZone,$P54,MAP!$E$13))</f>
        <v>0</v>
      </c>
      <c r="T54" s="2">
        <f t="shared" si="1"/>
        <v>0</v>
      </c>
      <c r="U54" s="2">
        <f t="array" ref="U54">IF($P54="",0,INDEX(StatsZone,$P54,MAP!$E$14)+INDEX(StatsZone,$P54,MAP!$E$15)+INDEX(StatsZone,$P54,MAP!$E$16))</f>
        <v>0</v>
      </c>
      <c r="V54" s="2">
        <f t="shared" si="2"/>
        <v>0</v>
      </c>
      <c r="W54" s="2">
        <f t="shared" si="3"/>
        <v>0</v>
      </c>
      <c r="X54" s="2">
        <f t="shared" si="4"/>
        <v>0</v>
      </c>
      <c r="Y54" s="2">
        <f t="shared" si="5"/>
        <v>0</v>
      </c>
      <c r="Z54" s="2">
        <f t="shared" si="6"/>
        <v>0</v>
      </c>
      <c r="AA54" s="2">
        <f t="shared" si="7"/>
        <v>-1</v>
      </c>
      <c r="AB54" s="2">
        <f>IF(OR($M54="",$N54=""),0,MEDIAN(-MarginCap,MarginCap,($M54-$N54)-$AA54*HFA_Base))</f>
        <v>0</v>
      </c>
      <c r="AC54" s="2">
        <f t="array" ref="AC54">IF(OR($P54="",INDEX($P$3:$P$722,(ROW()+IF(MOD(ROW()-3,2)=0,1,-1))-3+1)=""),0,MEDIAN(-MarginCap,MarginCap,($T54-$W54)-$AA54*HFA_Base))</f>
        <v>0</v>
      </c>
      <c r="AD54" s="2">
        <f t="shared" si="8"/>
        <v>0</v>
      </c>
      <c r="AE54" s="2">
        <f>IF(OR($M54="",$N54=""),0,IF(AND(WEpa&gt;0,$AD54=1),(1-WEpa)*$AB54+WEpa*$AC54,$AB54))</f>
        <v>0</v>
      </c>
      <c r="AF54" s="2">
        <f>IF(AND($C54&lt;&gt;"",$E54=CurrentSeason,$F54="REG",ISNUMBER($G54),$G54&lt;CurrentWeek,AND($M54&lt;&gt;"",$N54&lt;&gt;"")),1,0)</f>
        <v>0</v>
      </c>
      <c r="AG54" s="2">
        <f>IF($AF54=0,0,IF($G54&gt;=CurrentWeek-RecencyWin,RecencyMult,1))</f>
        <v>0</v>
      </c>
      <c r="AH54" s="2">
        <f>IF(AND($C54&lt;&gt;"",$E54=CurrentSeason,$F54="REG",ISNUMBER($G54),$G54&lt;CurrentWeek-1,AND($M54&lt;&gt;"",$N54&lt;&gt;"")),1,0)</f>
        <v>0</v>
      </c>
      <c r="AI54" s="2">
        <f>IF($AH54=0,0,IF($G54&gt;=CurrentWeek-1-RecencyWin,RecencyMult,1))</f>
        <v>0</v>
      </c>
      <c r="AJ54" s="2">
        <f>IF($AF54=0,0,IF($G54&gt;=CurrentWeek-RecencyWin,TotRecency,1))</f>
        <v>0</v>
      </c>
      <c r="AK54" s="2">
        <f t="shared" si="9"/>
        <v>0</v>
      </c>
      <c r="AL54" s="2">
        <f t="shared" si="10"/>
        <v>0</v>
      </c>
      <c r="AM54" s="2" t="str">
        <f t="array" ref="AM54">IF($K54="",0,IFERROR(INDEX(CALC!$F$2:$F$33,MATCH($K54,CALC!$A$2:$A$33,0)),0))</f>
        <v/>
      </c>
      <c r="AN54" s="2" t="str">
        <f t="array" ref="AN54">IF($K54="",0,IFERROR(INDEX(CALC!$I$2:$I$33,MATCH($K54,CALC!$A$2:$A$33,0)),0))</f>
        <v/>
      </c>
      <c r="AO54" s="2" t="str">
        <f t="array" ref="AO54">IF($K54="",0,IFERROR(INDEX(CALC!$L$2:$L$33,MATCH($K54,CALC!$A$2:$A$33,0)),0))</f>
        <v/>
      </c>
      <c r="AP54" s="2" t="str">
        <f t="array" ref="AP54">IF($K54="",0,IFERROR(INDEX(CALC!$T$2:$T$33,MATCH($K54,CALC!$A$2:$A$33,0)),0))</f>
        <v/>
      </c>
      <c r="AQ54" s="2" t="str">
        <f t="array" ref="AQ54">IF($K54="",0,IFERROR(INDEX(CALC!$W$2:$W$33,MATCH($K54,CALC!$A$2:$A$33,0)),0))</f>
        <v/>
      </c>
      <c r="AR54" s="2" t="str">
        <f t="array" ref="AR54">IF($K54="",0,IFERROR(INDEX(CALC!$Z$2:$Z$33,MATCH($K54,CALC!$A$2:$A$33,0)),0))</f>
        <v/>
      </c>
      <c r="AS54" s="2" t="str">
        <f t="array" ref="AS54">IF($K54="",0,IFERROR(INDEX(CALC!$AJ$2:$AJ$33,MATCH($K54,CALC!$A$2:$A$33,0)),0))</f>
        <v/>
      </c>
      <c r="AT54" s="2" t="str">
        <f t="array" ref="AT54">IF($K54="",0,IFERROR(INDEX(CALC!$AI$2:$AI$33,MATCH($K54,CALC!$A$2:$A$33,0)),0))</f>
        <v/>
      </c>
      <c r="AU54" s="2">
        <f t="shared" si="11"/>
        <v>0</v>
      </c>
      <c r="AV54" s="2">
        <f t="shared" si="12"/>
        <v>0</v>
      </c>
    </row>
    <row r="55" ht="15.0" customHeight="1">
      <c r="A55" s="2">
        <v>27.0</v>
      </c>
      <c r="B55" s="2" t="s">
        <v>2365</v>
      </c>
      <c r="C55" s="2">
        <f>IFERROR(MATCH($A55,SchedSeq,0),"")</f>
        <v>312</v>
      </c>
      <c r="D55" s="2" t="str">
        <f t="array" ref="D55">IF($C55="","",INDEX(SchedZone,$C55,MAP!$B$6))</f>
        <v>2026_02_LV_LAC</v>
      </c>
      <c r="E55" s="2">
        <f t="array" ref="E55">IF($C55="","",INDEX(SchedZone,$C55,MAP!$B$3))</f>
        <v>2026</v>
      </c>
      <c r="F55" s="2" t="str">
        <f t="array" ref="F55">IF($C55="","",INDEX(SchedZone,$C55,MAP!$B$5))</f>
        <v>REG</v>
      </c>
      <c r="G55" s="2">
        <f t="array" ref="G55">IF($C55="","",INDEX(SchedZone,$C55,MAP!$B$4))</f>
        <v>2</v>
      </c>
      <c r="H55" s="2" t="str">
        <f t="array" ref="H55">IF($C55="","",INDEX(SchedZone,$C55,MAP!$B$12))</f>
        <v>LAC</v>
      </c>
      <c r="I55" s="2" t="str">
        <f t="array" ref="I55">IF($H55="","",IF(COUNTIF(Teams,$H55)&gt;0,$H55,IFERROR(INDEX(LISTS!$D$2:$D$12,MATCH($H55,LISTS!$C$2:$C$12,0)),"⚠ "&amp;$H55)))</f>
        <v>LAC</v>
      </c>
      <c r="J55" s="2" t="str">
        <f t="array" ref="J55">IF($C55="","",INDEX(SchedZone,$C55,MAP!$B$10))</f>
        <v>LV</v>
      </c>
      <c r="K55" s="2" t="str">
        <f t="array" ref="K55">IF($J55="","",IF(COUNTIF(Teams,$J55)&gt;0,$J55,IFERROR(INDEX(LISTS!$D$2:$D$12,MATCH($J55,LISTS!$C$2:$C$12,0)),"⚠ "&amp;$J55)))</f>
        <v>LV</v>
      </c>
      <c r="L55" s="2" t="str">
        <f t="array" ref="L55">IF($C55="","",IF(INDEX(SchedZone,$C55,MAP!$B$14)="Neutral","N",IF($B55="HOME","H","A")))</f>
        <v>H</v>
      </c>
      <c r="M55" s="2" t="str">
        <f t="array" ref="M55">IF($C55="","",IF(INDEX(SchedZone,$C55,MAP!$B$13)="","",INDEX(SchedZone,$C55,MAP!$B$13)))</f>
        <v/>
      </c>
      <c r="N55" s="2" t="str">
        <f t="array" ref="N55">IF($C55="","",IF(INDEX(SchedZone,$C55,MAP!$B$11)="","",INDEX(SchedZone,$C55,MAP!$B$11)))</f>
        <v/>
      </c>
      <c r="O55" s="2">
        <f t="array" ref="O55">IF($C55="","",INDEX(SchedZone,$C55,MAP!$B$16))</f>
        <v>7</v>
      </c>
      <c r="P55" s="2" t="str">
        <f>IF($C55="","",IFERROR(MATCH($E55&amp;"|"&amp;$G55&amp;"|"&amp;$I55,StatsKey,0),""))</f>
        <v/>
      </c>
      <c r="Q55" s="2">
        <f t="array" ref="Q55">IF($P55="",0,INDEX(StatsZone,$P55,MAP!$E$9)+INDEX(StatsZone,$P55,MAP!$E$10)+INDEX(StatsZone,$P55,MAP!$E$11))</f>
        <v>0</v>
      </c>
      <c r="R55" s="2">
        <f t="array" ref="R55">IF($P55="",0,INDEX(StatsZone,$P55,MAP!$E$12))</f>
        <v>0</v>
      </c>
      <c r="S55" s="2">
        <f t="array" ref="S55">IF($P55="",0,INDEX(StatsZone,$P55,MAP!$E$13))</f>
        <v>0</v>
      </c>
      <c r="T55" s="2">
        <f t="shared" si="1"/>
        <v>0</v>
      </c>
      <c r="U55" s="2">
        <f t="array" ref="U55">IF($P55="",0,INDEX(StatsZone,$P55,MAP!$E$14)+INDEX(StatsZone,$P55,MAP!$E$15)+INDEX(StatsZone,$P55,MAP!$E$16))</f>
        <v>0</v>
      </c>
      <c r="V55" s="2">
        <f t="shared" si="2"/>
        <v>0</v>
      </c>
      <c r="W55" s="2">
        <f t="shared" si="3"/>
        <v>0</v>
      </c>
      <c r="X55" s="2">
        <f t="shared" si="4"/>
        <v>0</v>
      </c>
      <c r="Y55" s="2">
        <f t="shared" si="5"/>
        <v>0</v>
      </c>
      <c r="Z55" s="2">
        <f t="shared" si="6"/>
        <v>0</v>
      </c>
      <c r="AA55" s="2">
        <f t="shared" si="7"/>
        <v>1</v>
      </c>
      <c r="AB55" s="2">
        <f>IF(OR($M55="",$N55=""),0,MEDIAN(-MarginCap,MarginCap,($M55-$N55)-$AA55*HFA_Base))</f>
        <v>0</v>
      </c>
      <c r="AC55" s="2">
        <f t="array" ref="AC55">IF(OR($P55="",INDEX($P$3:$P$722,(ROW()+IF(MOD(ROW()-3,2)=0,1,-1))-3+1)=""),0,MEDIAN(-MarginCap,MarginCap,($T55-$W55)-$AA55*HFA_Base))</f>
        <v>0</v>
      </c>
      <c r="AD55" s="2">
        <f t="shared" si="8"/>
        <v>0</v>
      </c>
      <c r="AE55" s="2">
        <f>IF(OR($M55="",$N55=""),0,IF(AND(WEpa&gt;0,$AD55=1),(1-WEpa)*$AB55+WEpa*$AC55,$AB55))</f>
        <v>0</v>
      </c>
      <c r="AF55" s="2">
        <f>IF(AND($C55&lt;&gt;"",$E55=CurrentSeason,$F55="REG",ISNUMBER($G55),$G55&lt;CurrentWeek,AND($M55&lt;&gt;"",$N55&lt;&gt;"")),1,0)</f>
        <v>0</v>
      </c>
      <c r="AG55" s="2">
        <f>IF($AF55=0,0,IF($G55&gt;=CurrentWeek-RecencyWin,RecencyMult,1))</f>
        <v>0</v>
      </c>
      <c r="AH55" s="2">
        <f>IF(AND($C55&lt;&gt;"",$E55=CurrentSeason,$F55="REG",ISNUMBER($G55),$G55&lt;CurrentWeek-1,AND($M55&lt;&gt;"",$N55&lt;&gt;"")),1,0)</f>
        <v>0</v>
      </c>
      <c r="AI55" s="2">
        <f>IF($AH55=0,0,IF($G55&gt;=CurrentWeek-1-RecencyWin,RecencyMult,1))</f>
        <v>0</v>
      </c>
      <c r="AJ55" s="2">
        <f>IF($AF55=0,0,IF($G55&gt;=CurrentWeek-RecencyWin,TotRecency,1))</f>
        <v>0</v>
      </c>
      <c r="AK55" s="2">
        <f t="shared" si="9"/>
        <v>0</v>
      </c>
      <c r="AL55" s="2">
        <f t="shared" si="10"/>
        <v>0</v>
      </c>
      <c r="AM55" s="2" t="str">
        <f t="array" ref="AM55">IF($K55="",0,IFERROR(INDEX(CALC!$F$2:$F$33,MATCH($K55,CALC!$A$2:$A$33,0)),0))</f>
        <v/>
      </c>
      <c r="AN55" s="2" t="str">
        <f t="array" ref="AN55">IF($K55="",0,IFERROR(INDEX(CALC!$I$2:$I$33,MATCH($K55,CALC!$A$2:$A$33,0)),0))</f>
        <v/>
      </c>
      <c r="AO55" s="2" t="str">
        <f t="array" ref="AO55">IF($K55="",0,IFERROR(INDEX(CALC!$L$2:$L$33,MATCH($K55,CALC!$A$2:$A$33,0)),0))</f>
        <v/>
      </c>
      <c r="AP55" s="2" t="str">
        <f t="array" ref="AP55">IF($K55="",0,IFERROR(INDEX(CALC!$T$2:$T$33,MATCH($K55,CALC!$A$2:$A$33,0)),0))</f>
        <v/>
      </c>
      <c r="AQ55" s="2" t="str">
        <f t="array" ref="AQ55">IF($K55="",0,IFERROR(INDEX(CALC!$W$2:$W$33,MATCH($K55,CALC!$A$2:$A$33,0)),0))</f>
        <v/>
      </c>
      <c r="AR55" s="2" t="str">
        <f t="array" ref="AR55">IF($K55="",0,IFERROR(INDEX(CALC!$Z$2:$Z$33,MATCH($K55,CALC!$A$2:$A$33,0)),0))</f>
        <v/>
      </c>
      <c r="AS55" s="2" t="str">
        <f t="array" ref="AS55">IF($K55="",0,IFERROR(INDEX(CALC!$AJ$2:$AJ$33,MATCH($K55,CALC!$A$2:$A$33,0)),0))</f>
        <v/>
      </c>
      <c r="AT55" s="2" t="str">
        <f t="array" ref="AT55">IF($K55="",0,IFERROR(INDEX(CALC!$AI$2:$AI$33,MATCH($K55,CALC!$A$2:$A$33,0)),0))</f>
        <v/>
      </c>
      <c r="AU55" s="2">
        <f t="shared" si="11"/>
        <v>0</v>
      </c>
      <c r="AV55" s="2">
        <f t="shared" si="12"/>
        <v>0</v>
      </c>
    </row>
    <row r="56" ht="15.0" customHeight="1">
      <c r="A56" s="2">
        <v>27.0</v>
      </c>
      <c r="B56" s="2" t="s">
        <v>2366</v>
      </c>
      <c r="C56" s="2">
        <f>IFERROR(MATCH($A56,SchedSeq,0),"")</f>
        <v>312</v>
      </c>
      <c r="D56" s="2" t="str">
        <f t="array" ref="D56">IF($C56="","",INDEX(SchedZone,$C56,MAP!$B$6))</f>
        <v>2026_02_LV_LAC</v>
      </c>
      <c r="E56" s="2">
        <f t="array" ref="E56">IF($C56="","",INDEX(SchedZone,$C56,MAP!$B$3))</f>
        <v>2026</v>
      </c>
      <c r="F56" s="2" t="str">
        <f t="array" ref="F56">IF($C56="","",INDEX(SchedZone,$C56,MAP!$B$5))</f>
        <v>REG</v>
      </c>
      <c r="G56" s="2">
        <f t="array" ref="G56">IF($C56="","",INDEX(SchedZone,$C56,MAP!$B$4))</f>
        <v>2</v>
      </c>
      <c r="H56" s="2" t="str">
        <f t="array" ref="H56">IF($C56="","",INDEX(SchedZone,$C56,MAP!$B$10))</f>
        <v>LV</v>
      </c>
      <c r="I56" s="2" t="str">
        <f t="array" ref="I56">IF($H56="","",IF(COUNTIF(Teams,$H56)&gt;0,$H56,IFERROR(INDEX(LISTS!$D$2:$D$12,MATCH($H56,LISTS!$C$2:$C$12,0)),"⚠ "&amp;$H56)))</f>
        <v>LV</v>
      </c>
      <c r="J56" s="2" t="str">
        <f t="array" ref="J56">IF($C56="","",INDEX(SchedZone,$C56,MAP!$B$12))</f>
        <v>LAC</v>
      </c>
      <c r="K56" s="2" t="str">
        <f t="array" ref="K56">IF($J56="","",IF(COUNTIF(Teams,$J56)&gt;0,$J56,IFERROR(INDEX(LISTS!$D$2:$D$12,MATCH($J56,LISTS!$C$2:$C$12,0)),"⚠ "&amp;$J56)))</f>
        <v>LAC</v>
      </c>
      <c r="L56" s="2" t="str">
        <f t="array" ref="L56">IF($C56="","",IF(INDEX(SchedZone,$C56,MAP!$B$14)="Neutral","N",IF($B56="HOME","H","A")))</f>
        <v>A</v>
      </c>
      <c r="M56" s="2" t="str">
        <f t="array" ref="M56">IF($C56="","",IF(INDEX(SchedZone,$C56,MAP!$B$11)="","",INDEX(SchedZone,$C56,MAP!$B$11)))</f>
        <v/>
      </c>
      <c r="N56" s="2" t="str">
        <f t="array" ref="N56">IF($C56="","",IF(INDEX(SchedZone,$C56,MAP!$B$13)="","",INDEX(SchedZone,$C56,MAP!$B$13)))</f>
        <v/>
      </c>
      <c r="O56" s="2">
        <f t="array" ref="O56">IF($C56="","",INDEX(SchedZone,$C56,MAP!$B$15))</f>
        <v>7</v>
      </c>
      <c r="P56" s="2" t="str">
        <f>IF($C56="","",IFERROR(MATCH($E56&amp;"|"&amp;$G56&amp;"|"&amp;$I56,StatsKey,0),""))</f>
        <v/>
      </c>
      <c r="Q56" s="2">
        <f t="array" ref="Q56">IF($P56="",0,INDEX(StatsZone,$P56,MAP!$E$9)+INDEX(StatsZone,$P56,MAP!$E$10)+INDEX(StatsZone,$P56,MAP!$E$11))</f>
        <v>0</v>
      </c>
      <c r="R56" s="2">
        <f t="array" ref="R56">IF($P56="",0,INDEX(StatsZone,$P56,MAP!$E$12))</f>
        <v>0</v>
      </c>
      <c r="S56" s="2">
        <f t="array" ref="S56">IF($P56="",0,INDEX(StatsZone,$P56,MAP!$E$13))</f>
        <v>0</v>
      </c>
      <c r="T56" s="2">
        <f t="shared" si="1"/>
        <v>0</v>
      </c>
      <c r="U56" s="2">
        <f t="array" ref="U56">IF($P56="",0,INDEX(StatsZone,$P56,MAP!$E$14)+INDEX(StatsZone,$P56,MAP!$E$15)+INDEX(StatsZone,$P56,MAP!$E$16))</f>
        <v>0</v>
      </c>
      <c r="V56" s="2">
        <f t="shared" si="2"/>
        <v>0</v>
      </c>
      <c r="W56" s="2">
        <f t="shared" si="3"/>
        <v>0</v>
      </c>
      <c r="X56" s="2">
        <f t="shared" si="4"/>
        <v>0</v>
      </c>
      <c r="Y56" s="2">
        <f t="shared" si="5"/>
        <v>0</v>
      </c>
      <c r="Z56" s="2">
        <f t="shared" si="6"/>
        <v>0</v>
      </c>
      <c r="AA56" s="2">
        <f t="shared" si="7"/>
        <v>-1</v>
      </c>
      <c r="AB56" s="2">
        <f>IF(OR($M56="",$N56=""),0,MEDIAN(-MarginCap,MarginCap,($M56-$N56)-$AA56*HFA_Base))</f>
        <v>0</v>
      </c>
      <c r="AC56" s="2">
        <f t="array" ref="AC56">IF(OR($P56="",INDEX($P$3:$P$722,(ROW()+IF(MOD(ROW()-3,2)=0,1,-1))-3+1)=""),0,MEDIAN(-MarginCap,MarginCap,($T56-$W56)-$AA56*HFA_Base))</f>
        <v>0</v>
      </c>
      <c r="AD56" s="2">
        <f t="shared" si="8"/>
        <v>0</v>
      </c>
      <c r="AE56" s="2">
        <f>IF(OR($M56="",$N56=""),0,IF(AND(WEpa&gt;0,$AD56=1),(1-WEpa)*$AB56+WEpa*$AC56,$AB56))</f>
        <v>0</v>
      </c>
      <c r="AF56" s="2">
        <f>IF(AND($C56&lt;&gt;"",$E56=CurrentSeason,$F56="REG",ISNUMBER($G56),$G56&lt;CurrentWeek,AND($M56&lt;&gt;"",$N56&lt;&gt;"")),1,0)</f>
        <v>0</v>
      </c>
      <c r="AG56" s="2">
        <f>IF($AF56=0,0,IF($G56&gt;=CurrentWeek-RecencyWin,RecencyMult,1))</f>
        <v>0</v>
      </c>
      <c r="AH56" s="2">
        <f>IF(AND($C56&lt;&gt;"",$E56=CurrentSeason,$F56="REG",ISNUMBER($G56),$G56&lt;CurrentWeek-1,AND($M56&lt;&gt;"",$N56&lt;&gt;"")),1,0)</f>
        <v>0</v>
      </c>
      <c r="AI56" s="2">
        <f>IF($AH56=0,0,IF($G56&gt;=CurrentWeek-1-RecencyWin,RecencyMult,1))</f>
        <v>0</v>
      </c>
      <c r="AJ56" s="2">
        <f>IF($AF56=0,0,IF($G56&gt;=CurrentWeek-RecencyWin,TotRecency,1))</f>
        <v>0</v>
      </c>
      <c r="AK56" s="2">
        <f t="shared" si="9"/>
        <v>0</v>
      </c>
      <c r="AL56" s="2">
        <f t="shared" si="10"/>
        <v>0</v>
      </c>
      <c r="AM56" s="2" t="str">
        <f t="array" ref="AM56">IF($K56="",0,IFERROR(INDEX(CALC!$F$2:$F$33,MATCH($K56,CALC!$A$2:$A$33,0)),0))</f>
        <v/>
      </c>
      <c r="AN56" s="2" t="str">
        <f t="array" ref="AN56">IF($K56="",0,IFERROR(INDEX(CALC!$I$2:$I$33,MATCH($K56,CALC!$A$2:$A$33,0)),0))</f>
        <v/>
      </c>
      <c r="AO56" s="2" t="str">
        <f t="array" ref="AO56">IF($K56="",0,IFERROR(INDEX(CALC!$L$2:$L$33,MATCH($K56,CALC!$A$2:$A$33,0)),0))</f>
        <v/>
      </c>
      <c r="AP56" s="2" t="str">
        <f t="array" ref="AP56">IF($K56="",0,IFERROR(INDEX(CALC!$T$2:$T$33,MATCH($K56,CALC!$A$2:$A$33,0)),0))</f>
        <v/>
      </c>
      <c r="AQ56" s="2" t="str">
        <f t="array" ref="AQ56">IF($K56="",0,IFERROR(INDEX(CALC!$W$2:$W$33,MATCH($K56,CALC!$A$2:$A$33,0)),0))</f>
        <v/>
      </c>
      <c r="AR56" s="2" t="str">
        <f t="array" ref="AR56">IF($K56="",0,IFERROR(INDEX(CALC!$Z$2:$Z$33,MATCH($K56,CALC!$A$2:$A$33,0)),0))</f>
        <v/>
      </c>
      <c r="AS56" s="2" t="str">
        <f t="array" ref="AS56">IF($K56="",0,IFERROR(INDEX(CALC!$AJ$2:$AJ$33,MATCH($K56,CALC!$A$2:$A$33,0)),0))</f>
        <v/>
      </c>
      <c r="AT56" s="2" t="str">
        <f t="array" ref="AT56">IF($K56="",0,IFERROR(INDEX(CALC!$AI$2:$AI$33,MATCH($K56,CALC!$A$2:$A$33,0)),0))</f>
        <v/>
      </c>
      <c r="AU56" s="2">
        <f t="shared" si="11"/>
        <v>0</v>
      </c>
      <c r="AV56" s="2">
        <f t="shared" si="12"/>
        <v>0</v>
      </c>
    </row>
    <row r="57" ht="15.0" customHeight="1">
      <c r="A57" s="2">
        <v>28.0</v>
      </c>
      <c r="B57" s="2" t="s">
        <v>2365</v>
      </c>
      <c r="C57" s="2">
        <f>IFERROR(MATCH($A57,SchedSeq,0),"")</f>
        <v>313</v>
      </c>
      <c r="D57" s="2" t="str">
        <f t="array" ref="D57">IF($C57="","",INDEX(SchedZone,$C57,MAP!$B$6))</f>
        <v>2026_02_SEA_ARI</v>
      </c>
      <c r="E57" s="2">
        <f t="array" ref="E57">IF($C57="","",INDEX(SchedZone,$C57,MAP!$B$3))</f>
        <v>2026</v>
      </c>
      <c r="F57" s="2" t="str">
        <f t="array" ref="F57">IF($C57="","",INDEX(SchedZone,$C57,MAP!$B$5))</f>
        <v>REG</v>
      </c>
      <c r="G57" s="2">
        <f t="array" ref="G57">IF($C57="","",INDEX(SchedZone,$C57,MAP!$B$4))</f>
        <v>2</v>
      </c>
      <c r="H57" s="2" t="str">
        <f t="array" ref="H57">IF($C57="","",INDEX(SchedZone,$C57,MAP!$B$12))</f>
        <v>ARI</v>
      </c>
      <c r="I57" s="2" t="str">
        <f t="array" ref="I57">IF($H57="","",IF(COUNTIF(Teams,$H57)&gt;0,$H57,IFERROR(INDEX(LISTS!$D$2:$D$12,MATCH($H57,LISTS!$C$2:$C$12,0)),"⚠ "&amp;$H57)))</f>
        <v>ARI</v>
      </c>
      <c r="J57" s="2" t="str">
        <f t="array" ref="J57">IF($C57="","",INDEX(SchedZone,$C57,MAP!$B$10))</f>
        <v>SEA</v>
      </c>
      <c r="K57" s="2" t="str">
        <f t="array" ref="K57">IF($J57="","",IF(COUNTIF(Teams,$J57)&gt;0,$J57,IFERROR(INDEX(LISTS!$D$2:$D$12,MATCH($J57,LISTS!$C$2:$C$12,0)),"⚠ "&amp;$J57)))</f>
        <v>SEA</v>
      </c>
      <c r="L57" s="2" t="str">
        <f t="array" ref="L57">IF($C57="","",IF(INDEX(SchedZone,$C57,MAP!$B$14)="Neutral","N",IF($B57="HOME","H","A")))</f>
        <v>H</v>
      </c>
      <c r="M57" s="2" t="str">
        <f t="array" ref="M57">IF($C57="","",IF(INDEX(SchedZone,$C57,MAP!$B$13)="","",INDEX(SchedZone,$C57,MAP!$B$13)))</f>
        <v/>
      </c>
      <c r="N57" s="2" t="str">
        <f t="array" ref="N57">IF($C57="","",IF(INDEX(SchedZone,$C57,MAP!$B$11)="","",INDEX(SchedZone,$C57,MAP!$B$11)))</f>
        <v/>
      </c>
      <c r="O57" s="2">
        <f t="array" ref="O57">IF($C57="","",INDEX(SchedZone,$C57,MAP!$B$16))</f>
        <v>7</v>
      </c>
      <c r="P57" s="2" t="str">
        <f>IF($C57="","",IFERROR(MATCH($E57&amp;"|"&amp;$G57&amp;"|"&amp;$I57,StatsKey,0),""))</f>
        <v/>
      </c>
      <c r="Q57" s="2">
        <f t="array" ref="Q57">IF($P57="",0,INDEX(StatsZone,$P57,MAP!$E$9)+INDEX(StatsZone,$P57,MAP!$E$10)+INDEX(StatsZone,$P57,MAP!$E$11))</f>
        <v>0</v>
      </c>
      <c r="R57" s="2">
        <f t="array" ref="R57">IF($P57="",0,INDEX(StatsZone,$P57,MAP!$E$12))</f>
        <v>0</v>
      </c>
      <c r="S57" s="2">
        <f t="array" ref="S57">IF($P57="",0,INDEX(StatsZone,$P57,MAP!$E$13))</f>
        <v>0</v>
      </c>
      <c r="T57" s="2">
        <f t="shared" si="1"/>
        <v>0</v>
      </c>
      <c r="U57" s="2">
        <f t="array" ref="U57">IF($P57="",0,INDEX(StatsZone,$P57,MAP!$E$14)+INDEX(StatsZone,$P57,MAP!$E$15)+INDEX(StatsZone,$P57,MAP!$E$16))</f>
        <v>0</v>
      </c>
      <c r="V57" s="2">
        <f t="shared" si="2"/>
        <v>0</v>
      </c>
      <c r="W57" s="2">
        <f t="shared" si="3"/>
        <v>0</v>
      </c>
      <c r="X57" s="2">
        <f t="shared" si="4"/>
        <v>0</v>
      </c>
      <c r="Y57" s="2">
        <f t="shared" si="5"/>
        <v>0</v>
      </c>
      <c r="Z57" s="2">
        <f t="shared" si="6"/>
        <v>0</v>
      </c>
      <c r="AA57" s="2">
        <f t="shared" si="7"/>
        <v>1</v>
      </c>
      <c r="AB57" s="2">
        <f>IF(OR($M57="",$N57=""),0,MEDIAN(-MarginCap,MarginCap,($M57-$N57)-$AA57*HFA_Base))</f>
        <v>0</v>
      </c>
      <c r="AC57" s="2">
        <f t="array" ref="AC57">IF(OR($P57="",INDEX($P$3:$P$722,(ROW()+IF(MOD(ROW()-3,2)=0,1,-1))-3+1)=""),0,MEDIAN(-MarginCap,MarginCap,($T57-$W57)-$AA57*HFA_Base))</f>
        <v>0</v>
      </c>
      <c r="AD57" s="2">
        <f t="shared" si="8"/>
        <v>0</v>
      </c>
      <c r="AE57" s="2">
        <f>IF(OR($M57="",$N57=""),0,IF(AND(WEpa&gt;0,$AD57=1),(1-WEpa)*$AB57+WEpa*$AC57,$AB57))</f>
        <v>0</v>
      </c>
      <c r="AF57" s="2">
        <f>IF(AND($C57&lt;&gt;"",$E57=CurrentSeason,$F57="REG",ISNUMBER($G57),$G57&lt;CurrentWeek,AND($M57&lt;&gt;"",$N57&lt;&gt;"")),1,0)</f>
        <v>0</v>
      </c>
      <c r="AG57" s="2">
        <f>IF($AF57=0,0,IF($G57&gt;=CurrentWeek-RecencyWin,RecencyMult,1))</f>
        <v>0</v>
      </c>
      <c r="AH57" s="2">
        <f>IF(AND($C57&lt;&gt;"",$E57=CurrentSeason,$F57="REG",ISNUMBER($G57),$G57&lt;CurrentWeek-1,AND($M57&lt;&gt;"",$N57&lt;&gt;"")),1,0)</f>
        <v>0</v>
      </c>
      <c r="AI57" s="2">
        <f>IF($AH57=0,0,IF($G57&gt;=CurrentWeek-1-RecencyWin,RecencyMult,1))</f>
        <v>0</v>
      </c>
      <c r="AJ57" s="2">
        <f>IF($AF57=0,0,IF($G57&gt;=CurrentWeek-RecencyWin,TotRecency,1))</f>
        <v>0</v>
      </c>
      <c r="AK57" s="2">
        <f t="shared" si="9"/>
        <v>0</v>
      </c>
      <c r="AL57" s="2">
        <f t="shared" si="10"/>
        <v>0</v>
      </c>
      <c r="AM57" s="2" t="str">
        <f t="array" ref="AM57">IF($K57="",0,IFERROR(INDEX(CALC!$F$2:$F$33,MATCH($K57,CALC!$A$2:$A$33,0)),0))</f>
        <v/>
      </c>
      <c r="AN57" s="2" t="str">
        <f t="array" ref="AN57">IF($K57="",0,IFERROR(INDEX(CALC!$I$2:$I$33,MATCH($K57,CALC!$A$2:$A$33,0)),0))</f>
        <v/>
      </c>
      <c r="AO57" s="2" t="str">
        <f t="array" ref="AO57">IF($K57="",0,IFERROR(INDEX(CALC!$L$2:$L$33,MATCH($K57,CALC!$A$2:$A$33,0)),0))</f>
        <v/>
      </c>
      <c r="AP57" s="2" t="str">
        <f t="array" ref="AP57">IF($K57="",0,IFERROR(INDEX(CALC!$T$2:$T$33,MATCH($K57,CALC!$A$2:$A$33,0)),0))</f>
        <v/>
      </c>
      <c r="AQ57" s="2" t="str">
        <f t="array" ref="AQ57">IF($K57="",0,IFERROR(INDEX(CALC!$W$2:$W$33,MATCH($K57,CALC!$A$2:$A$33,0)),0))</f>
        <v/>
      </c>
      <c r="AR57" s="2" t="str">
        <f t="array" ref="AR57">IF($K57="",0,IFERROR(INDEX(CALC!$Z$2:$Z$33,MATCH($K57,CALC!$A$2:$A$33,0)),0))</f>
        <v/>
      </c>
      <c r="AS57" s="2" t="str">
        <f t="array" ref="AS57">IF($K57="",0,IFERROR(INDEX(CALC!$AJ$2:$AJ$33,MATCH($K57,CALC!$A$2:$A$33,0)),0))</f>
        <v/>
      </c>
      <c r="AT57" s="2" t="str">
        <f t="array" ref="AT57">IF($K57="",0,IFERROR(INDEX(CALC!$AI$2:$AI$33,MATCH($K57,CALC!$A$2:$A$33,0)),0))</f>
        <v/>
      </c>
      <c r="AU57" s="2">
        <f t="shared" si="11"/>
        <v>0</v>
      </c>
      <c r="AV57" s="2">
        <f t="shared" si="12"/>
        <v>0</v>
      </c>
    </row>
    <row r="58" ht="15.0" customHeight="1">
      <c r="A58" s="2">
        <v>28.0</v>
      </c>
      <c r="B58" s="2" t="s">
        <v>2366</v>
      </c>
      <c r="C58" s="2">
        <f>IFERROR(MATCH($A58,SchedSeq,0),"")</f>
        <v>313</v>
      </c>
      <c r="D58" s="2" t="str">
        <f t="array" ref="D58">IF($C58="","",INDEX(SchedZone,$C58,MAP!$B$6))</f>
        <v>2026_02_SEA_ARI</v>
      </c>
      <c r="E58" s="2">
        <f t="array" ref="E58">IF($C58="","",INDEX(SchedZone,$C58,MAP!$B$3))</f>
        <v>2026</v>
      </c>
      <c r="F58" s="2" t="str">
        <f t="array" ref="F58">IF($C58="","",INDEX(SchedZone,$C58,MAP!$B$5))</f>
        <v>REG</v>
      </c>
      <c r="G58" s="2">
        <f t="array" ref="G58">IF($C58="","",INDEX(SchedZone,$C58,MAP!$B$4))</f>
        <v>2</v>
      </c>
      <c r="H58" s="2" t="str">
        <f t="array" ref="H58">IF($C58="","",INDEX(SchedZone,$C58,MAP!$B$10))</f>
        <v>SEA</v>
      </c>
      <c r="I58" s="2" t="str">
        <f t="array" ref="I58">IF($H58="","",IF(COUNTIF(Teams,$H58)&gt;0,$H58,IFERROR(INDEX(LISTS!$D$2:$D$12,MATCH($H58,LISTS!$C$2:$C$12,0)),"⚠ "&amp;$H58)))</f>
        <v>SEA</v>
      </c>
      <c r="J58" s="2" t="str">
        <f t="array" ref="J58">IF($C58="","",INDEX(SchedZone,$C58,MAP!$B$12))</f>
        <v>ARI</v>
      </c>
      <c r="K58" s="2" t="str">
        <f t="array" ref="K58">IF($J58="","",IF(COUNTIF(Teams,$J58)&gt;0,$J58,IFERROR(INDEX(LISTS!$D$2:$D$12,MATCH($J58,LISTS!$C$2:$C$12,0)),"⚠ "&amp;$J58)))</f>
        <v>ARI</v>
      </c>
      <c r="L58" s="2" t="str">
        <f t="array" ref="L58">IF($C58="","",IF(INDEX(SchedZone,$C58,MAP!$B$14)="Neutral","N",IF($B58="HOME","H","A")))</f>
        <v>A</v>
      </c>
      <c r="M58" s="2" t="str">
        <f t="array" ref="M58">IF($C58="","",IF(INDEX(SchedZone,$C58,MAP!$B$11)="","",INDEX(SchedZone,$C58,MAP!$B$11)))</f>
        <v/>
      </c>
      <c r="N58" s="2" t="str">
        <f t="array" ref="N58">IF($C58="","",IF(INDEX(SchedZone,$C58,MAP!$B$13)="","",INDEX(SchedZone,$C58,MAP!$B$13)))</f>
        <v/>
      </c>
      <c r="O58" s="2">
        <f t="array" ref="O58">IF($C58="","",INDEX(SchedZone,$C58,MAP!$B$15))</f>
        <v>11</v>
      </c>
      <c r="P58" s="2" t="str">
        <f>IF($C58="","",IFERROR(MATCH($E58&amp;"|"&amp;$G58&amp;"|"&amp;$I58,StatsKey,0),""))</f>
        <v/>
      </c>
      <c r="Q58" s="2">
        <f t="array" ref="Q58">IF($P58="",0,INDEX(StatsZone,$P58,MAP!$E$9)+INDEX(StatsZone,$P58,MAP!$E$10)+INDEX(StatsZone,$P58,MAP!$E$11))</f>
        <v>0</v>
      </c>
      <c r="R58" s="2">
        <f t="array" ref="R58">IF($P58="",0,INDEX(StatsZone,$P58,MAP!$E$12))</f>
        <v>0</v>
      </c>
      <c r="S58" s="2">
        <f t="array" ref="S58">IF($P58="",0,INDEX(StatsZone,$P58,MAP!$E$13))</f>
        <v>0</v>
      </c>
      <c r="T58" s="2">
        <f t="shared" si="1"/>
        <v>0</v>
      </c>
      <c r="U58" s="2">
        <f t="array" ref="U58">IF($P58="",0,INDEX(StatsZone,$P58,MAP!$E$14)+INDEX(StatsZone,$P58,MAP!$E$15)+INDEX(StatsZone,$P58,MAP!$E$16))</f>
        <v>0</v>
      </c>
      <c r="V58" s="2">
        <f t="shared" si="2"/>
        <v>0</v>
      </c>
      <c r="W58" s="2">
        <f t="shared" si="3"/>
        <v>0</v>
      </c>
      <c r="X58" s="2">
        <f t="shared" si="4"/>
        <v>0</v>
      </c>
      <c r="Y58" s="2">
        <f t="shared" si="5"/>
        <v>0</v>
      </c>
      <c r="Z58" s="2">
        <f t="shared" si="6"/>
        <v>0</v>
      </c>
      <c r="AA58" s="2">
        <f t="shared" si="7"/>
        <v>-1</v>
      </c>
      <c r="AB58" s="2">
        <f>IF(OR($M58="",$N58=""),0,MEDIAN(-MarginCap,MarginCap,($M58-$N58)-$AA58*HFA_Base))</f>
        <v>0</v>
      </c>
      <c r="AC58" s="2">
        <f t="array" ref="AC58">IF(OR($P58="",INDEX($P$3:$P$722,(ROW()+IF(MOD(ROW()-3,2)=0,1,-1))-3+1)=""),0,MEDIAN(-MarginCap,MarginCap,($T58-$W58)-$AA58*HFA_Base))</f>
        <v>0</v>
      </c>
      <c r="AD58" s="2">
        <f t="shared" si="8"/>
        <v>0</v>
      </c>
      <c r="AE58" s="2">
        <f>IF(OR($M58="",$N58=""),0,IF(AND(WEpa&gt;0,$AD58=1),(1-WEpa)*$AB58+WEpa*$AC58,$AB58))</f>
        <v>0</v>
      </c>
      <c r="AF58" s="2">
        <f>IF(AND($C58&lt;&gt;"",$E58=CurrentSeason,$F58="REG",ISNUMBER($G58),$G58&lt;CurrentWeek,AND($M58&lt;&gt;"",$N58&lt;&gt;"")),1,0)</f>
        <v>0</v>
      </c>
      <c r="AG58" s="2">
        <f>IF($AF58=0,0,IF($G58&gt;=CurrentWeek-RecencyWin,RecencyMult,1))</f>
        <v>0</v>
      </c>
      <c r="AH58" s="2">
        <f>IF(AND($C58&lt;&gt;"",$E58=CurrentSeason,$F58="REG",ISNUMBER($G58),$G58&lt;CurrentWeek-1,AND($M58&lt;&gt;"",$N58&lt;&gt;"")),1,0)</f>
        <v>0</v>
      </c>
      <c r="AI58" s="2">
        <f>IF($AH58=0,0,IF($G58&gt;=CurrentWeek-1-RecencyWin,RecencyMult,1))</f>
        <v>0</v>
      </c>
      <c r="AJ58" s="2">
        <f>IF($AF58=0,0,IF($G58&gt;=CurrentWeek-RecencyWin,TotRecency,1))</f>
        <v>0</v>
      </c>
      <c r="AK58" s="2">
        <f t="shared" si="9"/>
        <v>0</v>
      </c>
      <c r="AL58" s="2">
        <f t="shared" si="10"/>
        <v>0</v>
      </c>
      <c r="AM58" s="2" t="str">
        <f t="array" ref="AM58">IF($K58="",0,IFERROR(INDEX(CALC!$F$2:$F$33,MATCH($K58,CALC!$A$2:$A$33,0)),0))</f>
        <v/>
      </c>
      <c r="AN58" s="2" t="str">
        <f t="array" ref="AN58">IF($K58="",0,IFERROR(INDEX(CALC!$I$2:$I$33,MATCH($K58,CALC!$A$2:$A$33,0)),0))</f>
        <v/>
      </c>
      <c r="AO58" s="2" t="str">
        <f t="array" ref="AO58">IF($K58="",0,IFERROR(INDEX(CALC!$L$2:$L$33,MATCH($K58,CALC!$A$2:$A$33,0)),0))</f>
        <v/>
      </c>
      <c r="AP58" s="2" t="str">
        <f t="array" ref="AP58">IF($K58="",0,IFERROR(INDEX(CALC!$T$2:$T$33,MATCH($K58,CALC!$A$2:$A$33,0)),0))</f>
        <v/>
      </c>
      <c r="AQ58" s="2" t="str">
        <f t="array" ref="AQ58">IF($K58="",0,IFERROR(INDEX(CALC!$W$2:$W$33,MATCH($K58,CALC!$A$2:$A$33,0)),0))</f>
        <v/>
      </c>
      <c r="AR58" s="2" t="str">
        <f t="array" ref="AR58">IF($K58="",0,IFERROR(INDEX(CALC!$Z$2:$Z$33,MATCH($K58,CALC!$A$2:$A$33,0)),0))</f>
        <v/>
      </c>
      <c r="AS58" s="2" t="str">
        <f t="array" ref="AS58">IF($K58="",0,IFERROR(INDEX(CALC!$AJ$2:$AJ$33,MATCH($K58,CALC!$A$2:$A$33,0)),0))</f>
        <v/>
      </c>
      <c r="AT58" s="2" t="str">
        <f t="array" ref="AT58">IF($K58="",0,IFERROR(INDEX(CALC!$AI$2:$AI$33,MATCH($K58,CALC!$A$2:$A$33,0)),0))</f>
        <v/>
      </c>
      <c r="AU58" s="2">
        <f t="shared" si="11"/>
        <v>0</v>
      </c>
      <c r="AV58" s="2">
        <f t="shared" si="12"/>
        <v>0</v>
      </c>
    </row>
    <row r="59" ht="15.0" customHeight="1">
      <c r="A59" s="2">
        <v>29.0</v>
      </c>
      <c r="B59" s="2" t="s">
        <v>2365</v>
      </c>
      <c r="C59" s="2">
        <f>IFERROR(MATCH($A59,SchedSeq,0),"")</f>
        <v>314</v>
      </c>
      <c r="D59" s="2" t="str">
        <f t="array" ref="D59">IF($C59="","",INDEX(SchedZone,$C59,MAP!$B$6))</f>
        <v>2026_02_WAS_DAL</v>
      </c>
      <c r="E59" s="2">
        <f t="array" ref="E59">IF($C59="","",INDEX(SchedZone,$C59,MAP!$B$3))</f>
        <v>2026</v>
      </c>
      <c r="F59" s="2" t="str">
        <f t="array" ref="F59">IF($C59="","",INDEX(SchedZone,$C59,MAP!$B$5))</f>
        <v>REG</v>
      </c>
      <c r="G59" s="2">
        <f t="array" ref="G59">IF($C59="","",INDEX(SchedZone,$C59,MAP!$B$4))</f>
        <v>2</v>
      </c>
      <c r="H59" s="2" t="str">
        <f t="array" ref="H59">IF($C59="","",INDEX(SchedZone,$C59,MAP!$B$12))</f>
        <v>DAL</v>
      </c>
      <c r="I59" s="2" t="str">
        <f t="array" ref="I59">IF($H59="","",IF(COUNTIF(Teams,$H59)&gt;0,$H59,IFERROR(INDEX(LISTS!$D$2:$D$12,MATCH($H59,LISTS!$C$2:$C$12,0)),"⚠ "&amp;$H59)))</f>
        <v>DAL</v>
      </c>
      <c r="J59" s="2" t="str">
        <f t="array" ref="J59">IF($C59="","",INDEX(SchedZone,$C59,MAP!$B$10))</f>
        <v>WAS</v>
      </c>
      <c r="K59" s="2" t="str">
        <f t="array" ref="K59">IF($J59="","",IF(COUNTIF(Teams,$J59)&gt;0,$J59,IFERROR(INDEX(LISTS!$D$2:$D$12,MATCH($J59,LISTS!$C$2:$C$12,0)),"⚠ "&amp;$J59)))</f>
        <v>WAS</v>
      </c>
      <c r="L59" s="2" t="str">
        <f t="array" ref="L59">IF($C59="","",IF(INDEX(SchedZone,$C59,MAP!$B$14)="Neutral","N",IF($B59="HOME","H","A")))</f>
        <v>H</v>
      </c>
      <c r="M59" s="2" t="str">
        <f t="array" ref="M59">IF($C59="","",IF(INDEX(SchedZone,$C59,MAP!$B$13)="","",INDEX(SchedZone,$C59,MAP!$B$13)))</f>
        <v/>
      </c>
      <c r="N59" s="2" t="str">
        <f t="array" ref="N59">IF($C59="","",IF(INDEX(SchedZone,$C59,MAP!$B$11)="","",INDEX(SchedZone,$C59,MAP!$B$11)))</f>
        <v/>
      </c>
      <c r="O59" s="2">
        <f t="array" ref="O59">IF($C59="","",INDEX(SchedZone,$C59,MAP!$B$16))</f>
        <v>7</v>
      </c>
      <c r="P59" s="2" t="str">
        <f>IF($C59="","",IFERROR(MATCH($E59&amp;"|"&amp;$G59&amp;"|"&amp;$I59,StatsKey,0),""))</f>
        <v/>
      </c>
      <c r="Q59" s="2">
        <f t="array" ref="Q59">IF($P59="",0,INDEX(StatsZone,$P59,MAP!$E$9)+INDEX(StatsZone,$P59,MAP!$E$10)+INDEX(StatsZone,$P59,MAP!$E$11))</f>
        <v>0</v>
      </c>
      <c r="R59" s="2">
        <f t="array" ref="R59">IF($P59="",0,INDEX(StatsZone,$P59,MAP!$E$12))</f>
        <v>0</v>
      </c>
      <c r="S59" s="2">
        <f t="array" ref="S59">IF($P59="",0,INDEX(StatsZone,$P59,MAP!$E$13))</f>
        <v>0</v>
      </c>
      <c r="T59" s="2">
        <f t="shared" si="1"/>
        <v>0</v>
      </c>
      <c r="U59" s="2">
        <f t="array" ref="U59">IF($P59="",0,INDEX(StatsZone,$P59,MAP!$E$14)+INDEX(StatsZone,$P59,MAP!$E$15)+INDEX(StatsZone,$P59,MAP!$E$16))</f>
        <v>0</v>
      </c>
      <c r="V59" s="2">
        <f t="shared" si="2"/>
        <v>0</v>
      </c>
      <c r="W59" s="2">
        <f t="shared" si="3"/>
        <v>0</v>
      </c>
      <c r="X59" s="2">
        <f t="shared" si="4"/>
        <v>0</v>
      </c>
      <c r="Y59" s="2">
        <f t="shared" si="5"/>
        <v>0</v>
      </c>
      <c r="Z59" s="2">
        <f t="shared" si="6"/>
        <v>0</v>
      </c>
      <c r="AA59" s="2">
        <f t="shared" si="7"/>
        <v>1</v>
      </c>
      <c r="AB59" s="2">
        <f>IF(OR($M59="",$N59=""),0,MEDIAN(-MarginCap,MarginCap,($M59-$N59)-$AA59*HFA_Base))</f>
        <v>0</v>
      </c>
      <c r="AC59" s="2">
        <f t="array" ref="AC59">IF(OR($P59="",INDEX($P$3:$P$722,(ROW()+IF(MOD(ROW()-3,2)=0,1,-1))-3+1)=""),0,MEDIAN(-MarginCap,MarginCap,($T59-$W59)-$AA59*HFA_Base))</f>
        <v>0</v>
      </c>
      <c r="AD59" s="2">
        <f t="shared" si="8"/>
        <v>0</v>
      </c>
      <c r="AE59" s="2">
        <f>IF(OR($M59="",$N59=""),0,IF(AND(WEpa&gt;0,$AD59=1),(1-WEpa)*$AB59+WEpa*$AC59,$AB59))</f>
        <v>0</v>
      </c>
      <c r="AF59" s="2">
        <f>IF(AND($C59&lt;&gt;"",$E59=CurrentSeason,$F59="REG",ISNUMBER($G59),$G59&lt;CurrentWeek,AND($M59&lt;&gt;"",$N59&lt;&gt;"")),1,0)</f>
        <v>0</v>
      </c>
      <c r="AG59" s="2">
        <f>IF($AF59=0,0,IF($G59&gt;=CurrentWeek-RecencyWin,RecencyMult,1))</f>
        <v>0</v>
      </c>
      <c r="AH59" s="2">
        <f>IF(AND($C59&lt;&gt;"",$E59=CurrentSeason,$F59="REG",ISNUMBER($G59),$G59&lt;CurrentWeek-1,AND($M59&lt;&gt;"",$N59&lt;&gt;"")),1,0)</f>
        <v>0</v>
      </c>
      <c r="AI59" s="2">
        <f>IF($AH59=0,0,IF($G59&gt;=CurrentWeek-1-RecencyWin,RecencyMult,1))</f>
        <v>0</v>
      </c>
      <c r="AJ59" s="2">
        <f>IF($AF59=0,0,IF($G59&gt;=CurrentWeek-RecencyWin,TotRecency,1))</f>
        <v>0</v>
      </c>
      <c r="AK59" s="2">
        <f t="shared" si="9"/>
        <v>0</v>
      </c>
      <c r="AL59" s="2">
        <f t="shared" si="10"/>
        <v>0</v>
      </c>
      <c r="AM59" s="2" t="str">
        <f t="array" ref="AM59">IF($K59="",0,IFERROR(INDEX(CALC!$F$2:$F$33,MATCH($K59,CALC!$A$2:$A$33,0)),0))</f>
        <v/>
      </c>
      <c r="AN59" s="2" t="str">
        <f t="array" ref="AN59">IF($K59="",0,IFERROR(INDEX(CALC!$I$2:$I$33,MATCH($K59,CALC!$A$2:$A$33,0)),0))</f>
        <v/>
      </c>
      <c r="AO59" s="2" t="str">
        <f t="array" ref="AO59">IF($K59="",0,IFERROR(INDEX(CALC!$L$2:$L$33,MATCH($K59,CALC!$A$2:$A$33,0)),0))</f>
        <v/>
      </c>
      <c r="AP59" s="2" t="str">
        <f t="array" ref="AP59">IF($K59="",0,IFERROR(INDEX(CALC!$T$2:$T$33,MATCH($K59,CALC!$A$2:$A$33,0)),0))</f>
        <v/>
      </c>
      <c r="AQ59" s="2" t="str">
        <f t="array" ref="AQ59">IF($K59="",0,IFERROR(INDEX(CALC!$W$2:$W$33,MATCH($K59,CALC!$A$2:$A$33,0)),0))</f>
        <v/>
      </c>
      <c r="AR59" s="2" t="str">
        <f t="array" ref="AR59">IF($K59="",0,IFERROR(INDEX(CALC!$Z$2:$Z$33,MATCH($K59,CALC!$A$2:$A$33,0)),0))</f>
        <v/>
      </c>
      <c r="AS59" s="2" t="str">
        <f t="array" ref="AS59">IF($K59="",0,IFERROR(INDEX(CALC!$AJ$2:$AJ$33,MATCH($K59,CALC!$A$2:$A$33,0)),0))</f>
        <v/>
      </c>
      <c r="AT59" s="2" t="str">
        <f t="array" ref="AT59">IF($K59="",0,IFERROR(INDEX(CALC!$AI$2:$AI$33,MATCH($K59,CALC!$A$2:$A$33,0)),0))</f>
        <v/>
      </c>
      <c r="AU59" s="2">
        <f t="shared" si="11"/>
        <v>0</v>
      </c>
      <c r="AV59" s="2">
        <f t="shared" si="12"/>
        <v>0</v>
      </c>
    </row>
    <row r="60" ht="15.0" customHeight="1">
      <c r="A60" s="2">
        <v>29.0</v>
      </c>
      <c r="B60" s="2" t="s">
        <v>2366</v>
      </c>
      <c r="C60" s="2">
        <f>IFERROR(MATCH($A60,SchedSeq,0),"")</f>
        <v>314</v>
      </c>
      <c r="D60" s="2" t="str">
        <f t="array" ref="D60">IF($C60="","",INDEX(SchedZone,$C60,MAP!$B$6))</f>
        <v>2026_02_WAS_DAL</v>
      </c>
      <c r="E60" s="2">
        <f t="array" ref="E60">IF($C60="","",INDEX(SchedZone,$C60,MAP!$B$3))</f>
        <v>2026</v>
      </c>
      <c r="F60" s="2" t="str">
        <f t="array" ref="F60">IF($C60="","",INDEX(SchedZone,$C60,MAP!$B$5))</f>
        <v>REG</v>
      </c>
      <c r="G60" s="2">
        <f t="array" ref="G60">IF($C60="","",INDEX(SchedZone,$C60,MAP!$B$4))</f>
        <v>2</v>
      </c>
      <c r="H60" s="2" t="str">
        <f t="array" ref="H60">IF($C60="","",INDEX(SchedZone,$C60,MAP!$B$10))</f>
        <v>WAS</v>
      </c>
      <c r="I60" s="2" t="str">
        <f t="array" ref="I60">IF($H60="","",IF(COUNTIF(Teams,$H60)&gt;0,$H60,IFERROR(INDEX(LISTS!$D$2:$D$12,MATCH($H60,LISTS!$C$2:$C$12,0)),"⚠ "&amp;$H60)))</f>
        <v>WAS</v>
      </c>
      <c r="J60" s="2" t="str">
        <f t="array" ref="J60">IF($C60="","",INDEX(SchedZone,$C60,MAP!$B$12))</f>
        <v>DAL</v>
      </c>
      <c r="K60" s="2" t="str">
        <f t="array" ref="K60">IF($J60="","",IF(COUNTIF(Teams,$J60)&gt;0,$J60,IFERROR(INDEX(LISTS!$D$2:$D$12,MATCH($J60,LISTS!$C$2:$C$12,0)),"⚠ "&amp;$J60)))</f>
        <v>DAL</v>
      </c>
      <c r="L60" s="2" t="str">
        <f t="array" ref="L60">IF($C60="","",IF(INDEX(SchedZone,$C60,MAP!$B$14)="Neutral","N",IF($B60="HOME","H","A")))</f>
        <v>A</v>
      </c>
      <c r="M60" s="2" t="str">
        <f t="array" ref="M60">IF($C60="","",IF(INDEX(SchedZone,$C60,MAP!$B$11)="","",INDEX(SchedZone,$C60,MAP!$B$11)))</f>
        <v/>
      </c>
      <c r="N60" s="2" t="str">
        <f t="array" ref="N60">IF($C60="","",IF(INDEX(SchedZone,$C60,MAP!$B$13)="","",INDEX(SchedZone,$C60,MAP!$B$13)))</f>
        <v/>
      </c>
      <c r="O60" s="2">
        <f t="array" ref="O60">IF($C60="","",INDEX(SchedZone,$C60,MAP!$B$15))</f>
        <v>7</v>
      </c>
      <c r="P60" s="2" t="str">
        <f>IF($C60="","",IFERROR(MATCH($E60&amp;"|"&amp;$G60&amp;"|"&amp;$I60,StatsKey,0),""))</f>
        <v/>
      </c>
      <c r="Q60" s="2">
        <f t="array" ref="Q60">IF($P60="",0,INDEX(StatsZone,$P60,MAP!$E$9)+INDEX(StatsZone,$P60,MAP!$E$10)+INDEX(StatsZone,$P60,MAP!$E$11))</f>
        <v>0</v>
      </c>
      <c r="R60" s="2">
        <f t="array" ref="R60">IF($P60="",0,INDEX(StatsZone,$P60,MAP!$E$12))</f>
        <v>0</v>
      </c>
      <c r="S60" s="2">
        <f t="array" ref="S60">IF($P60="",0,INDEX(StatsZone,$P60,MAP!$E$13))</f>
        <v>0</v>
      </c>
      <c r="T60" s="2">
        <f t="shared" si="1"/>
        <v>0</v>
      </c>
      <c r="U60" s="2">
        <f t="array" ref="U60">IF($P60="",0,INDEX(StatsZone,$P60,MAP!$E$14)+INDEX(StatsZone,$P60,MAP!$E$15)+INDEX(StatsZone,$P60,MAP!$E$16))</f>
        <v>0</v>
      </c>
      <c r="V60" s="2">
        <f t="shared" si="2"/>
        <v>0</v>
      </c>
      <c r="W60" s="2">
        <f t="shared" si="3"/>
        <v>0</v>
      </c>
      <c r="X60" s="2">
        <f t="shared" si="4"/>
        <v>0</v>
      </c>
      <c r="Y60" s="2">
        <f t="shared" si="5"/>
        <v>0</v>
      </c>
      <c r="Z60" s="2">
        <f t="shared" si="6"/>
        <v>0</v>
      </c>
      <c r="AA60" s="2">
        <f t="shared" si="7"/>
        <v>-1</v>
      </c>
      <c r="AB60" s="2">
        <f>IF(OR($M60="",$N60=""),0,MEDIAN(-MarginCap,MarginCap,($M60-$N60)-$AA60*HFA_Base))</f>
        <v>0</v>
      </c>
      <c r="AC60" s="2">
        <f t="array" ref="AC60">IF(OR($P60="",INDEX($P$3:$P$722,(ROW()+IF(MOD(ROW()-3,2)=0,1,-1))-3+1)=""),0,MEDIAN(-MarginCap,MarginCap,($T60-$W60)-$AA60*HFA_Base))</f>
        <v>0</v>
      </c>
      <c r="AD60" s="2">
        <f t="shared" si="8"/>
        <v>0</v>
      </c>
      <c r="AE60" s="2">
        <f>IF(OR($M60="",$N60=""),0,IF(AND(WEpa&gt;0,$AD60=1),(1-WEpa)*$AB60+WEpa*$AC60,$AB60))</f>
        <v>0</v>
      </c>
      <c r="AF60" s="2">
        <f>IF(AND($C60&lt;&gt;"",$E60=CurrentSeason,$F60="REG",ISNUMBER($G60),$G60&lt;CurrentWeek,AND($M60&lt;&gt;"",$N60&lt;&gt;"")),1,0)</f>
        <v>0</v>
      </c>
      <c r="AG60" s="2">
        <f>IF($AF60=0,0,IF($G60&gt;=CurrentWeek-RecencyWin,RecencyMult,1))</f>
        <v>0</v>
      </c>
      <c r="AH60" s="2">
        <f>IF(AND($C60&lt;&gt;"",$E60=CurrentSeason,$F60="REG",ISNUMBER($G60),$G60&lt;CurrentWeek-1,AND($M60&lt;&gt;"",$N60&lt;&gt;"")),1,0)</f>
        <v>0</v>
      </c>
      <c r="AI60" s="2">
        <f>IF($AH60=0,0,IF($G60&gt;=CurrentWeek-1-RecencyWin,RecencyMult,1))</f>
        <v>0</v>
      </c>
      <c r="AJ60" s="2">
        <f>IF($AF60=0,0,IF($G60&gt;=CurrentWeek-RecencyWin,TotRecency,1))</f>
        <v>0</v>
      </c>
      <c r="AK60" s="2">
        <f t="shared" si="9"/>
        <v>0</v>
      </c>
      <c r="AL60" s="2">
        <f t="shared" si="10"/>
        <v>0</v>
      </c>
      <c r="AM60" s="2" t="str">
        <f t="array" ref="AM60">IF($K60="",0,IFERROR(INDEX(CALC!$F$2:$F$33,MATCH($K60,CALC!$A$2:$A$33,0)),0))</f>
        <v/>
      </c>
      <c r="AN60" s="2" t="str">
        <f t="array" ref="AN60">IF($K60="",0,IFERROR(INDEX(CALC!$I$2:$I$33,MATCH($K60,CALC!$A$2:$A$33,0)),0))</f>
        <v/>
      </c>
      <c r="AO60" s="2" t="str">
        <f t="array" ref="AO60">IF($K60="",0,IFERROR(INDEX(CALC!$L$2:$L$33,MATCH($K60,CALC!$A$2:$A$33,0)),0))</f>
        <v/>
      </c>
      <c r="AP60" s="2" t="str">
        <f t="array" ref="AP60">IF($K60="",0,IFERROR(INDEX(CALC!$T$2:$T$33,MATCH($K60,CALC!$A$2:$A$33,0)),0))</f>
        <v/>
      </c>
      <c r="AQ60" s="2" t="str">
        <f t="array" ref="AQ60">IF($K60="",0,IFERROR(INDEX(CALC!$W$2:$W$33,MATCH($K60,CALC!$A$2:$A$33,0)),0))</f>
        <v/>
      </c>
      <c r="AR60" s="2" t="str">
        <f t="array" ref="AR60">IF($K60="",0,IFERROR(INDEX(CALC!$Z$2:$Z$33,MATCH($K60,CALC!$A$2:$A$33,0)),0))</f>
        <v/>
      </c>
      <c r="AS60" s="2" t="str">
        <f t="array" ref="AS60">IF($K60="",0,IFERROR(INDEX(CALC!$AJ$2:$AJ$33,MATCH($K60,CALC!$A$2:$A$33,0)),0))</f>
        <v/>
      </c>
      <c r="AT60" s="2" t="str">
        <f t="array" ref="AT60">IF($K60="",0,IFERROR(INDEX(CALC!$AI$2:$AI$33,MATCH($K60,CALC!$A$2:$A$33,0)),0))</f>
        <v/>
      </c>
      <c r="AU60" s="2">
        <f t="shared" si="11"/>
        <v>0</v>
      </c>
      <c r="AV60" s="2">
        <f t="shared" si="12"/>
        <v>0</v>
      </c>
    </row>
    <row r="61" ht="15.0" customHeight="1">
      <c r="A61" s="2">
        <v>30.0</v>
      </c>
      <c r="B61" s="2" t="s">
        <v>2365</v>
      </c>
      <c r="C61" s="2">
        <f>IFERROR(MATCH($A61,SchedSeq,0),"")</f>
        <v>315</v>
      </c>
      <c r="D61" s="2" t="str">
        <f t="array" ref="D61">IF($C61="","",INDEX(SchedZone,$C61,MAP!$B$6))</f>
        <v>2026_02_MIA_SF</v>
      </c>
      <c r="E61" s="2">
        <f t="array" ref="E61">IF($C61="","",INDEX(SchedZone,$C61,MAP!$B$3))</f>
        <v>2026</v>
      </c>
      <c r="F61" s="2" t="str">
        <f t="array" ref="F61">IF($C61="","",INDEX(SchedZone,$C61,MAP!$B$5))</f>
        <v>REG</v>
      </c>
      <c r="G61" s="2">
        <f t="array" ref="G61">IF($C61="","",INDEX(SchedZone,$C61,MAP!$B$4))</f>
        <v>2</v>
      </c>
      <c r="H61" s="2" t="str">
        <f t="array" ref="H61">IF($C61="","",INDEX(SchedZone,$C61,MAP!$B$12))</f>
        <v>SF</v>
      </c>
      <c r="I61" s="2" t="str">
        <f t="array" ref="I61">IF($H61="","",IF(COUNTIF(Teams,$H61)&gt;0,$H61,IFERROR(INDEX(LISTS!$D$2:$D$12,MATCH($H61,LISTS!$C$2:$C$12,0)),"⚠ "&amp;$H61)))</f>
        <v>SF</v>
      </c>
      <c r="J61" s="2" t="str">
        <f t="array" ref="J61">IF($C61="","",INDEX(SchedZone,$C61,MAP!$B$10))</f>
        <v>MIA</v>
      </c>
      <c r="K61" s="2" t="str">
        <f t="array" ref="K61">IF($J61="","",IF(COUNTIF(Teams,$J61)&gt;0,$J61,IFERROR(INDEX(LISTS!$D$2:$D$12,MATCH($J61,LISTS!$C$2:$C$12,0)),"⚠ "&amp;$J61)))</f>
        <v>MIA</v>
      </c>
      <c r="L61" s="2" t="str">
        <f t="array" ref="L61">IF($C61="","",IF(INDEX(SchedZone,$C61,MAP!$B$14)="Neutral","N",IF($B61="HOME","H","A")))</f>
        <v>H</v>
      </c>
      <c r="M61" s="2" t="str">
        <f t="array" ref="M61">IF($C61="","",IF(INDEX(SchedZone,$C61,MAP!$B$13)="","",INDEX(SchedZone,$C61,MAP!$B$13)))</f>
        <v/>
      </c>
      <c r="N61" s="2" t="str">
        <f t="array" ref="N61">IF($C61="","",IF(INDEX(SchedZone,$C61,MAP!$B$11)="","",INDEX(SchedZone,$C61,MAP!$B$11)))</f>
        <v/>
      </c>
      <c r="O61" s="2">
        <f t="array" ref="O61">IF($C61="","",INDEX(SchedZone,$C61,MAP!$B$16))</f>
        <v>10</v>
      </c>
      <c r="P61" s="2" t="str">
        <f>IF($C61="","",IFERROR(MATCH($E61&amp;"|"&amp;$G61&amp;"|"&amp;$I61,StatsKey,0),""))</f>
        <v/>
      </c>
      <c r="Q61" s="2">
        <f t="array" ref="Q61">IF($P61="",0,INDEX(StatsZone,$P61,MAP!$E$9)+INDEX(StatsZone,$P61,MAP!$E$10)+INDEX(StatsZone,$P61,MAP!$E$11))</f>
        <v>0</v>
      </c>
      <c r="R61" s="2">
        <f t="array" ref="R61">IF($P61="",0,INDEX(StatsZone,$P61,MAP!$E$12))</f>
        <v>0</v>
      </c>
      <c r="S61" s="2">
        <f t="array" ref="S61">IF($P61="",0,INDEX(StatsZone,$P61,MAP!$E$13))</f>
        <v>0</v>
      </c>
      <c r="T61" s="2">
        <f t="shared" si="1"/>
        <v>0</v>
      </c>
      <c r="U61" s="2">
        <f t="array" ref="U61">IF($P61="",0,INDEX(StatsZone,$P61,MAP!$E$14)+INDEX(StatsZone,$P61,MAP!$E$15)+INDEX(StatsZone,$P61,MAP!$E$16))</f>
        <v>0</v>
      </c>
      <c r="V61" s="2">
        <f t="shared" si="2"/>
        <v>0</v>
      </c>
      <c r="W61" s="2">
        <f t="shared" si="3"/>
        <v>0</v>
      </c>
      <c r="X61" s="2">
        <f t="shared" si="4"/>
        <v>0</v>
      </c>
      <c r="Y61" s="2">
        <f t="shared" si="5"/>
        <v>0</v>
      </c>
      <c r="Z61" s="2">
        <f t="shared" si="6"/>
        <v>0</v>
      </c>
      <c r="AA61" s="2">
        <f t="shared" si="7"/>
        <v>1</v>
      </c>
      <c r="AB61" s="2">
        <f>IF(OR($M61="",$N61=""),0,MEDIAN(-MarginCap,MarginCap,($M61-$N61)-$AA61*HFA_Base))</f>
        <v>0</v>
      </c>
      <c r="AC61" s="2">
        <f t="array" ref="AC61">IF(OR($P61="",INDEX($P$3:$P$722,(ROW()+IF(MOD(ROW()-3,2)=0,1,-1))-3+1)=""),0,MEDIAN(-MarginCap,MarginCap,($T61-$W61)-$AA61*HFA_Base))</f>
        <v>0</v>
      </c>
      <c r="AD61" s="2">
        <f t="shared" si="8"/>
        <v>0</v>
      </c>
      <c r="AE61" s="2">
        <f>IF(OR($M61="",$N61=""),0,IF(AND(WEpa&gt;0,$AD61=1),(1-WEpa)*$AB61+WEpa*$AC61,$AB61))</f>
        <v>0</v>
      </c>
      <c r="AF61" s="2">
        <f>IF(AND($C61&lt;&gt;"",$E61=CurrentSeason,$F61="REG",ISNUMBER($G61),$G61&lt;CurrentWeek,AND($M61&lt;&gt;"",$N61&lt;&gt;"")),1,0)</f>
        <v>0</v>
      </c>
      <c r="AG61" s="2">
        <f>IF($AF61=0,0,IF($G61&gt;=CurrentWeek-RecencyWin,RecencyMult,1))</f>
        <v>0</v>
      </c>
      <c r="AH61" s="2">
        <f>IF(AND($C61&lt;&gt;"",$E61=CurrentSeason,$F61="REG",ISNUMBER($G61),$G61&lt;CurrentWeek-1,AND($M61&lt;&gt;"",$N61&lt;&gt;"")),1,0)</f>
        <v>0</v>
      </c>
      <c r="AI61" s="2">
        <f>IF($AH61=0,0,IF($G61&gt;=CurrentWeek-1-RecencyWin,RecencyMult,1))</f>
        <v>0</v>
      </c>
      <c r="AJ61" s="2">
        <f>IF($AF61=0,0,IF($G61&gt;=CurrentWeek-RecencyWin,TotRecency,1))</f>
        <v>0</v>
      </c>
      <c r="AK61" s="2">
        <f t="shared" si="9"/>
        <v>0</v>
      </c>
      <c r="AL61" s="2">
        <f t="shared" si="10"/>
        <v>0</v>
      </c>
      <c r="AM61" s="2" t="str">
        <f t="array" ref="AM61">IF($K61="",0,IFERROR(INDEX(CALC!$F$2:$F$33,MATCH($K61,CALC!$A$2:$A$33,0)),0))</f>
        <v/>
      </c>
      <c r="AN61" s="2" t="str">
        <f t="array" ref="AN61">IF($K61="",0,IFERROR(INDEX(CALC!$I$2:$I$33,MATCH($K61,CALC!$A$2:$A$33,0)),0))</f>
        <v/>
      </c>
      <c r="AO61" s="2" t="str">
        <f t="array" ref="AO61">IF($K61="",0,IFERROR(INDEX(CALC!$L$2:$L$33,MATCH($K61,CALC!$A$2:$A$33,0)),0))</f>
        <v/>
      </c>
      <c r="AP61" s="2" t="str">
        <f t="array" ref="AP61">IF($K61="",0,IFERROR(INDEX(CALC!$T$2:$T$33,MATCH($K61,CALC!$A$2:$A$33,0)),0))</f>
        <v/>
      </c>
      <c r="AQ61" s="2" t="str">
        <f t="array" ref="AQ61">IF($K61="",0,IFERROR(INDEX(CALC!$W$2:$W$33,MATCH($K61,CALC!$A$2:$A$33,0)),0))</f>
        <v/>
      </c>
      <c r="AR61" s="2" t="str">
        <f t="array" ref="AR61">IF($K61="",0,IFERROR(INDEX(CALC!$Z$2:$Z$33,MATCH($K61,CALC!$A$2:$A$33,0)),0))</f>
        <v/>
      </c>
      <c r="AS61" s="2" t="str">
        <f t="array" ref="AS61">IF($K61="",0,IFERROR(INDEX(CALC!$AJ$2:$AJ$33,MATCH($K61,CALC!$A$2:$A$33,0)),0))</f>
        <v/>
      </c>
      <c r="AT61" s="2" t="str">
        <f t="array" ref="AT61">IF($K61="",0,IFERROR(INDEX(CALC!$AI$2:$AI$33,MATCH($K61,CALC!$A$2:$A$33,0)),0))</f>
        <v/>
      </c>
      <c r="AU61" s="2">
        <f t="shared" si="11"/>
        <v>0</v>
      </c>
      <c r="AV61" s="2">
        <f t="shared" si="12"/>
        <v>0</v>
      </c>
    </row>
    <row r="62" ht="15.0" customHeight="1">
      <c r="A62" s="2">
        <v>30.0</v>
      </c>
      <c r="B62" s="2" t="s">
        <v>2366</v>
      </c>
      <c r="C62" s="2">
        <f>IFERROR(MATCH($A62,SchedSeq,0),"")</f>
        <v>315</v>
      </c>
      <c r="D62" s="2" t="str">
        <f t="array" ref="D62">IF($C62="","",INDEX(SchedZone,$C62,MAP!$B$6))</f>
        <v>2026_02_MIA_SF</v>
      </c>
      <c r="E62" s="2">
        <f t="array" ref="E62">IF($C62="","",INDEX(SchedZone,$C62,MAP!$B$3))</f>
        <v>2026</v>
      </c>
      <c r="F62" s="2" t="str">
        <f t="array" ref="F62">IF($C62="","",INDEX(SchedZone,$C62,MAP!$B$5))</f>
        <v>REG</v>
      </c>
      <c r="G62" s="2">
        <f t="array" ref="G62">IF($C62="","",INDEX(SchedZone,$C62,MAP!$B$4))</f>
        <v>2</v>
      </c>
      <c r="H62" s="2" t="str">
        <f t="array" ref="H62">IF($C62="","",INDEX(SchedZone,$C62,MAP!$B$10))</f>
        <v>MIA</v>
      </c>
      <c r="I62" s="2" t="str">
        <f t="array" ref="I62">IF($H62="","",IF(COUNTIF(Teams,$H62)&gt;0,$H62,IFERROR(INDEX(LISTS!$D$2:$D$12,MATCH($H62,LISTS!$C$2:$C$12,0)),"⚠ "&amp;$H62)))</f>
        <v>MIA</v>
      </c>
      <c r="J62" s="2" t="str">
        <f t="array" ref="J62">IF($C62="","",INDEX(SchedZone,$C62,MAP!$B$12))</f>
        <v>SF</v>
      </c>
      <c r="K62" s="2" t="str">
        <f t="array" ref="K62">IF($J62="","",IF(COUNTIF(Teams,$J62)&gt;0,$J62,IFERROR(INDEX(LISTS!$D$2:$D$12,MATCH($J62,LISTS!$C$2:$C$12,0)),"⚠ "&amp;$J62)))</f>
        <v>SF</v>
      </c>
      <c r="L62" s="2" t="str">
        <f t="array" ref="L62">IF($C62="","",IF(INDEX(SchedZone,$C62,MAP!$B$14)="Neutral","N",IF($B62="HOME","H","A")))</f>
        <v>A</v>
      </c>
      <c r="M62" s="2" t="str">
        <f t="array" ref="M62">IF($C62="","",IF(INDEX(SchedZone,$C62,MAP!$B$11)="","",INDEX(SchedZone,$C62,MAP!$B$11)))</f>
        <v/>
      </c>
      <c r="N62" s="2" t="str">
        <f t="array" ref="N62">IF($C62="","",IF(INDEX(SchedZone,$C62,MAP!$B$13)="","",INDEX(SchedZone,$C62,MAP!$B$13)))</f>
        <v/>
      </c>
      <c r="O62" s="2">
        <f t="array" ref="O62">IF($C62="","",INDEX(SchedZone,$C62,MAP!$B$15))</f>
        <v>7</v>
      </c>
      <c r="P62" s="2" t="str">
        <f>IF($C62="","",IFERROR(MATCH($E62&amp;"|"&amp;$G62&amp;"|"&amp;$I62,StatsKey,0),""))</f>
        <v/>
      </c>
      <c r="Q62" s="2">
        <f t="array" ref="Q62">IF($P62="",0,INDEX(StatsZone,$P62,MAP!$E$9)+INDEX(StatsZone,$P62,MAP!$E$10)+INDEX(StatsZone,$P62,MAP!$E$11))</f>
        <v>0</v>
      </c>
      <c r="R62" s="2">
        <f t="array" ref="R62">IF($P62="",0,INDEX(StatsZone,$P62,MAP!$E$12))</f>
        <v>0</v>
      </c>
      <c r="S62" s="2">
        <f t="array" ref="S62">IF($P62="",0,INDEX(StatsZone,$P62,MAP!$E$13))</f>
        <v>0</v>
      </c>
      <c r="T62" s="2">
        <f t="shared" si="1"/>
        <v>0</v>
      </c>
      <c r="U62" s="2">
        <f t="array" ref="U62">IF($P62="",0,INDEX(StatsZone,$P62,MAP!$E$14)+INDEX(StatsZone,$P62,MAP!$E$15)+INDEX(StatsZone,$P62,MAP!$E$16))</f>
        <v>0</v>
      </c>
      <c r="V62" s="2">
        <f t="shared" si="2"/>
        <v>0</v>
      </c>
      <c r="W62" s="2">
        <f t="shared" si="3"/>
        <v>0</v>
      </c>
      <c r="X62" s="2">
        <f t="shared" si="4"/>
        <v>0</v>
      </c>
      <c r="Y62" s="2">
        <f t="shared" si="5"/>
        <v>0</v>
      </c>
      <c r="Z62" s="2">
        <f t="shared" si="6"/>
        <v>0</v>
      </c>
      <c r="AA62" s="2">
        <f t="shared" si="7"/>
        <v>-1</v>
      </c>
      <c r="AB62" s="2">
        <f>IF(OR($M62="",$N62=""),0,MEDIAN(-MarginCap,MarginCap,($M62-$N62)-$AA62*HFA_Base))</f>
        <v>0</v>
      </c>
      <c r="AC62" s="2">
        <f t="array" ref="AC62">IF(OR($P62="",INDEX($P$3:$P$722,(ROW()+IF(MOD(ROW()-3,2)=0,1,-1))-3+1)=""),0,MEDIAN(-MarginCap,MarginCap,($T62-$W62)-$AA62*HFA_Base))</f>
        <v>0</v>
      </c>
      <c r="AD62" s="2">
        <f t="shared" si="8"/>
        <v>0</v>
      </c>
      <c r="AE62" s="2">
        <f>IF(OR($M62="",$N62=""),0,IF(AND(WEpa&gt;0,$AD62=1),(1-WEpa)*$AB62+WEpa*$AC62,$AB62))</f>
        <v>0</v>
      </c>
      <c r="AF62" s="2">
        <f>IF(AND($C62&lt;&gt;"",$E62=CurrentSeason,$F62="REG",ISNUMBER($G62),$G62&lt;CurrentWeek,AND($M62&lt;&gt;"",$N62&lt;&gt;"")),1,0)</f>
        <v>0</v>
      </c>
      <c r="AG62" s="2">
        <f>IF($AF62=0,0,IF($G62&gt;=CurrentWeek-RecencyWin,RecencyMult,1))</f>
        <v>0</v>
      </c>
      <c r="AH62" s="2">
        <f>IF(AND($C62&lt;&gt;"",$E62=CurrentSeason,$F62="REG",ISNUMBER($G62),$G62&lt;CurrentWeek-1,AND($M62&lt;&gt;"",$N62&lt;&gt;"")),1,0)</f>
        <v>0</v>
      </c>
      <c r="AI62" s="2">
        <f>IF($AH62=0,0,IF($G62&gt;=CurrentWeek-1-RecencyWin,RecencyMult,1))</f>
        <v>0</v>
      </c>
      <c r="AJ62" s="2">
        <f>IF($AF62=0,0,IF($G62&gt;=CurrentWeek-RecencyWin,TotRecency,1))</f>
        <v>0</v>
      </c>
      <c r="AK62" s="2">
        <f t="shared" si="9"/>
        <v>0</v>
      </c>
      <c r="AL62" s="2">
        <f t="shared" si="10"/>
        <v>0</v>
      </c>
      <c r="AM62" s="2" t="str">
        <f t="array" ref="AM62">IF($K62="",0,IFERROR(INDEX(CALC!$F$2:$F$33,MATCH($K62,CALC!$A$2:$A$33,0)),0))</f>
        <v/>
      </c>
      <c r="AN62" s="2" t="str">
        <f t="array" ref="AN62">IF($K62="",0,IFERROR(INDEX(CALC!$I$2:$I$33,MATCH($K62,CALC!$A$2:$A$33,0)),0))</f>
        <v/>
      </c>
      <c r="AO62" s="2" t="str">
        <f t="array" ref="AO62">IF($K62="",0,IFERROR(INDEX(CALC!$L$2:$L$33,MATCH($K62,CALC!$A$2:$A$33,0)),0))</f>
        <v/>
      </c>
      <c r="AP62" s="2" t="str">
        <f t="array" ref="AP62">IF($K62="",0,IFERROR(INDEX(CALC!$T$2:$T$33,MATCH($K62,CALC!$A$2:$A$33,0)),0))</f>
        <v/>
      </c>
      <c r="AQ62" s="2" t="str">
        <f t="array" ref="AQ62">IF($K62="",0,IFERROR(INDEX(CALC!$W$2:$W$33,MATCH($K62,CALC!$A$2:$A$33,0)),0))</f>
        <v/>
      </c>
      <c r="AR62" s="2" t="str">
        <f t="array" ref="AR62">IF($K62="",0,IFERROR(INDEX(CALC!$Z$2:$Z$33,MATCH($K62,CALC!$A$2:$A$33,0)),0))</f>
        <v/>
      </c>
      <c r="AS62" s="2" t="str">
        <f t="array" ref="AS62">IF($K62="",0,IFERROR(INDEX(CALC!$AJ$2:$AJ$33,MATCH($K62,CALC!$A$2:$A$33,0)),0))</f>
        <v/>
      </c>
      <c r="AT62" s="2" t="str">
        <f t="array" ref="AT62">IF($K62="",0,IFERROR(INDEX(CALC!$AI$2:$AI$33,MATCH($K62,CALC!$A$2:$A$33,0)),0))</f>
        <v/>
      </c>
      <c r="AU62" s="2">
        <f t="shared" si="11"/>
        <v>0</v>
      </c>
      <c r="AV62" s="2">
        <f t="shared" si="12"/>
        <v>0</v>
      </c>
    </row>
    <row r="63" ht="15.0" customHeight="1">
      <c r="A63" s="2">
        <v>31.0</v>
      </c>
      <c r="B63" s="2" t="s">
        <v>2365</v>
      </c>
      <c r="C63" s="2">
        <f>IFERROR(MATCH($A63,SchedSeq,0),"")</f>
        <v>316</v>
      </c>
      <c r="D63" s="2" t="str">
        <f t="array" ref="D63">IF($C63="","",INDEX(SchedZone,$C63,MAP!$B$6))</f>
        <v>2026_02_IND_KC</v>
      </c>
      <c r="E63" s="2">
        <f t="array" ref="E63">IF($C63="","",INDEX(SchedZone,$C63,MAP!$B$3))</f>
        <v>2026</v>
      </c>
      <c r="F63" s="2" t="str">
        <f t="array" ref="F63">IF($C63="","",INDEX(SchedZone,$C63,MAP!$B$5))</f>
        <v>REG</v>
      </c>
      <c r="G63" s="2">
        <f t="array" ref="G63">IF($C63="","",INDEX(SchedZone,$C63,MAP!$B$4))</f>
        <v>2</v>
      </c>
      <c r="H63" s="2" t="str">
        <f t="array" ref="H63">IF($C63="","",INDEX(SchedZone,$C63,MAP!$B$12))</f>
        <v>KC</v>
      </c>
      <c r="I63" s="2" t="str">
        <f t="array" ref="I63">IF($H63="","",IF(COUNTIF(Teams,$H63)&gt;0,$H63,IFERROR(INDEX(LISTS!$D$2:$D$12,MATCH($H63,LISTS!$C$2:$C$12,0)),"⚠ "&amp;$H63)))</f>
        <v>KC</v>
      </c>
      <c r="J63" s="2" t="str">
        <f t="array" ref="J63">IF($C63="","",INDEX(SchedZone,$C63,MAP!$B$10))</f>
        <v>IND</v>
      </c>
      <c r="K63" s="2" t="str">
        <f t="array" ref="K63">IF($J63="","",IF(COUNTIF(Teams,$J63)&gt;0,$J63,IFERROR(INDEX(LISTS!$D$2:$D$12,MATCH($J63,LISTS!$C$2:$C$12,0)),"⚠ "&amp;$J63)))</f>
        <v>IND</v>
      </c>
      <c r="L63" s="2" t="str">
        <f t="array" ref="L63">IF($C63="","",IF(INDEX(SchedZone,$C63,MAP!$B$14)="Neutral","N",IF($B63="HOME","H","A")))</f>
        <v>H</v>
      </c>
      <c r="M63" s="2" t="str">
        <f t="array" ref="M63">IF($C63="","",IF(INDEX(SchedZone,$C63,MAP!$B$13)="","",INDEX(SchedZone,$C63,MAP!$B$13)))</f>
        <v/>
      </c>
      <c r="N63" s="2" t="str">
        <f t="array" ref="N63">IF($C63="","",IF(INDEX(SchedZone,$C63,MAP!$B$11)="","",INDEX(SchedZone,$C63,MAP!$B$11)))</f>
        <v/>
      </c>
      <c r="O63" s="2">
        <f t="array" ref="O63">IF($C63="","",INDEX(SchedZone,$C63,MAP!$B$16))</f>
        <v>6</v>
      </c>
      <c r="P63" s="2" t="str">
        <f>IF($C63="","",IFERROR(MATCH($E63&amp;"|"&amp;$G63&amp;"|"&amp;$I63,StatsKey,0),""))</f>
        <v/>
      </c>
      <c r="Q63" s="2">
        <f t="array" ref="Q63">IF($P63="",0,INDEX(StatsZone,$P63,MAP!$E$9)+INDEX(StatsZone,$P63,MAP!$E$10)+INDEX(StatsZone,$P63,MAP!$E$11))</f>
        <v>0</v>
      </c>
      <c r="R63" s="2">
        <f t="array" ref="R63">IF($P63="",0,INDEX(StatsZone,$P63,MAP!$E$12))</f>
        <v>0</v>
      </c>
      <c r="S63" s="2">
        <f t="array" ref="S63">IF($P63="",0,INDEX(StatsZone,$P63,MAP!$E$13))</f>
        <v>0</v>
      </c>
      <c r="T63" s="2">
        <f t="shared" si="1"/>
        <v>0</v>
      </c>
      <c r="U63" s="2">
        <f t="array" ref="U63">IF($P63="",0,INDEX(StatsZone,$P63,MAP!$E$14)+INDEX(StatsZone,$P63,MAP!$E$15)+INDEX(StatsZone,$P63,MAP!$E$16))</f>
        <v>0</v>
      </c>
      <c r="V63" s="2">
        <f t="shared" si="2"/>
        <v>0</v>
      </c>
      <c r="W63" s="2">
        <f t="shared" si="3"/>
        <v>0</v>
      </c>
      <c r="X63" s="2">
        <f t="shared" si="4"/>
        <v>0</v>
      </c>
      <c r="Y63" s="2">
        <f t="shared" si="5"/>
        <v>0</v>
      </c>
      <c r="Z63" s="2">
        <f t="shared" si="6"/>
        <v>0</v>
      </c>
      <c r="AA63" s="2">
        <f t="shared" si="7"/>
        <v>1</v>
      </c>
      <c r="AB63" s="2">
        <f>IF(OR($M63="",$N63=""),0,MEDIAN(-MarginCap,MarginCap,($M63-$N63)-$AA63*HFA_Base))</f>
        <v>0</v>
      </c>
      <c r="AC63" s="2">
        <f t="array" ref="AC63">IF(OR($P63="",INDEX($P$3:$P$722,(ROW()+IF(MOD(ROW()-3,2)=0,1,-1))-3+1)=""),0,MEDIAN(-MarginCap,MarginCap,($T63-$W63)-$AA63*HFA_Base))</f>
        <v>0</v>
      </c>
      <c r="AD63" s="2">
        <f t="shared" si="8"/>
        <v>0</v>
      </c>
      <c r="AE63" s="2">
        <f>IF(OR($M63="",$N63=""),0,IF(AND(WEpa&gt;0,$AD63=1),(1-WEpa)*$AB63+WEpa*$AC63,$AB63))</f>
        <v>0</v>
      </c>
      <c r="AF63" s="2">
        <f>IF(AND($C63&lt;&gt;"",$E63=CurrentSeason,$F63="REG",ISNUMBER($G63),$G63&lt;CurrentWeek,AND($M63&lt;&gt;"",$N63&lt;&gt;"")),1,0)</f>
        <v>0</v>
      </c>
      <c r="AG63" s="2">
        <f>IF($AF63=0,0,IF($G63&gt;=CurrentWeek-RecencyWin,RecencyMult,1))</f>
        <v>0</v>
      </c>
      <c r="AH63" s="2">
        <f>IF(AND($C63&lt;&gt;"",$E63=CurrentSeason,$F63="REG",ISNUMBER($G63),$G63&lt;CurrentWeek-1,AND($M63&lt;&gt;"",$N63&lt;&gt;"")),1,0)</f>
        <v>0</v>
      </c>
      <c r="AI63" s="2">
        <f>IF($AH63=0,0,IF($G63&gt;=CurrentWeek-1-RecencyWin,RecencyMult,1))</f>
        <v>0</v>
      </c>
      <c r="AJ63" s="2">
        <f>IF($AF63=0,0,IF($G63&gt;=CurrentWeek-RecencyWin,TotRecency,1))</f>
        <v>0</v>
      </c>
      <c r="AK63" s="2">
        <f t="shared" si="9"/>
        <v>0</v>
      </c>
      <c r="AL63" s="2">
        <f t="shared" si="10"/>
        <v>0</v>
      </c>
      <c r="AM63" s="2" t="str">
        <f t="array" ref="AM63">IF($K63="",0,IFERROR(INDEX(CALC!$F$2:$F$33,MATCH($K63,CALC!$A$2:$A$33,0)),0))</f>
        <v/>
      </c>
      <c r="AN63" s="2" t="str">
        <f t="array" ref="AN63">IF($K63="",0,IFERROR(INDEX(CALC!$I$2:$I$33,MATCH($K63,CALC!$A$2:$A$33,0)),0))</f>
        <v/>
      </c>
      <c r="AO63" s="2" t="str">
        <f t="array" ref="AO63">IF($K63="",0,IFERROR(INDEX(CALC!$L$2:$L$33,MATCH($K63,CALC!$A$2:$A$33,0)),0))</f>
        <v/>
      </c>
      <c r="AP63" s="2" t="str">
        <f t="array" ref="AP63">IF($K63="",0,IFERROR(INDEX(CALC!$T$2:$T$33,MATCH($K63,CALC!$A$2:$A$33,0)),0))</f>
        <v/>
      </c>
      <c r="AQ63" s="2" t="str">
        <f t="array" ref="AQ63">IF($K63="",0,IFERROR(INDEX(CALC!$W$2:$W$33,MATCH($K63,CALC!$A$2:$A$33,0)),0))</f>
        <v/>
      </c>
      <c r="AR63" s="2" t="str">
        <f t="array" ref="AR63">IF($K63="",0,IFERROR(INDEX(CALC!$Z$2:$Z$33,MATCH($K63,CALC!$A$2:$A$33,0)),0))</f>
        <v/>
      </c>
      <c r="AS63" s="2" t="str">
        <f t="array" ref="AS63">IF($K63="",0,IFERROR(INDEX(CALC!$AJ$2:$AJ$33,MATCH($K63,CALC!$A$2:$A$33,0)),0))</f>
        <v/>
      </c>
      <c r="AT63" s="2" t="str">
        <f t="array" ref="AT63">IF($K63="",0,IFERROR(INDEX(CALC!$AI$2:$AI$33,MATCH($K63,CALC!$A$2:$A$33,0)),0))</f>
        <v/>
      </c>
      <c r="AU63" s="2">
        <f t="shared" si="11"/>
        <v>0</v>
      </c>
      <c r="AV63" s="2">
        <f t="shared" si="12"/>
        <v>0</v>
      </c>
    </row>
    <row r="64" ht="15.0" customHeight="1">
      <c r="A64" s="2">
        <v>31.0</v>
      </c>
      <c r="B64" s="2" t="s">
        <v>2366</v>
      </c>
      <c r="C64" s="2">
        <f>IFERROR(MATCH($A64,SchedSeq,0),"")</f>
        <v>316</v>
      </c>
      <c r="D64" s="2" t="str">
        <f t="array" ref="D64">IF($C64="","",INDEX(SchedZone,$C64,MAP!$B$6))</f>
        <v>2026_02_IND_KC</v>
      </c>
      <c r="E64" s="2">
        <f t="array" ref="E64">IF($C64="","",INDEX(SchedZone,$C64,MAP!$B$3))</f>
        <v>2026</v>
      </c>
      <c r="F64" s="2" t="str">
        <f t="array" ref="F64">IF($C64="","",INDEX(SchedZone,$C64,MAP!$B$5))</f>
        <v>REG</v>
      </c>
      <c r="G64" s="2">
        <f t="array" ref="G64">IF($C64="","",INDEX(SchedZone,$C64,MAP!$B$4))</f>
        <v>2</v>
      </c>
      <c r="H64" s="2" t="str">
        <f t="array" ref="H64">IF($C64="","",INDEX(SchedZone,$C64,MAP!$B$10))</f>
        <v>IND</v>
      </c>
      <c r="I64" s="2" t="str">
        <f t="array" ref="I64">IF($H64="","",IF(COUNTIF(Teams,$H64)&gt;0,$H64,IFERROR(INDEX(LISTS!$D$2:$D$12,MATCH($H64,LISTS!$C$2:$C$12,0)),"⚠ "&amp;$H64)))</f>
        <v>IND</v>
      </c>
      <c r="J64" s="2" t="str">
        <f t="array" ref="J64">IF($C64="","",INDEX(SchedZone,$C64,MAP!$B$12))</f>
        <v>KC</v>
      </c>
      <c r="K64" s="2" t="str">
        <f t="array" ref="K64">IF($J64="","",IF(COUNTIF(Teams,$J64)&gt;0,$J64,IFERROR(INDEX(LISTS!$D$2:$D$12,MATCH($J64,LISTS!$C$2:$C$12,0)),"⚠ "&amp;$J64)))</f>
        <v>KC</v>
      </c>
      <c r="L64" s="2" t="str">
        <f t="array" ref="L64">IF($C64="","",IF(INDEX(SchedZone,$C64,MAP!$B$14)="Neutral","N",IF($B64="HOME","H","A")))</f>
        <v>A</v>
      </c>
      <c r="M64" s="2" t="str">
        <f t="array" ref="M64">IF($C64="","",IF(INDEX(SchedZone,$C64,MAP!$B$11)="","",INDEX(SchedZone,$C64,MAP!$B$11)))</f>
        <v/>
      </c>
      <c r="N64" s="2" t="str">
        <f t="array" ref="N64">IF($C64="","",IF(INDEX(SchedZone,$C64,MAP!$B$13)="","",INDEX(SchedZone,$C64,MAP!$B$13)))</f>
        <v/>
      </c>
      <c r="O64" s="2">
        <f t="array" ref="O64">IF($C64="","",INDEX(SchedZone,$C64,MAP!$B$15))</f>
        <v>7</v>
      </c>
      <c r="P64" s="2" t="str">
        <f>IF($C64="","",IFERROR(MATCH($E64&amp;"|"&amp;$G64&amp;"|"&amp;$I64,StatsKey,0),""))</f>
        <v/>
      </c>
      <c r="Q64" s="2">
        <f t="array" ref="Q64">IF($P64="",0,INDEX(StatsZone,$P64,MAP!$E$9)+INDEX(StatsZone,$P64,MAP!$E$10)+INDEX(StatsZone,$P64,MAP!$E$11))</f>
        <v>0</v>
      </c>
      <c r="R64" s="2">
        <f t="array" ref="R64">IF($P64="",0,INDEX(StatsZone,$P64,MAP!$E$12))</f>
        <v>0</v>
      </c>
      <c r="S64" s="2">
        <f t="array" ref="S64">IF($P64="",0,INDEX(StatsZone,$P64,MAP!$E$13))</f>
        <v>0</v>
      </c>
      <c r="T64" s="2">
        <f t="shared" si="1"/>
        <v>0</v>
      </c>
      <c r="U64" s="2">
        <f t="array" ref="U64">IF($P64="",0,INDEX(StatsZone,$P64,MAP!$E$14)+INDEX(StatsZone,$P64,MAP!$E$15)+INDEX(StatsZone,$P64,MAP!$E$16))</f>
        <v>0</v>
      </c>
      <c r="V64" s="2">
        <f t="shared" si="2"/>
        <v>0</v>
      </c>
      <c r="W64" s="2">
        <f t="shared" si="3"/>
        <v>0</v>
      </c>
      <c r="X64" s="2">
        <f t="shared" si="4"/>
        <v>0</v>
      </c>
      <c r="Y64" s="2">
        <f t="shared" si="5"/>
        <v>0</v>
      </c>
      <c r="Z64" s="2">
        <f t="shared" si="6"/>
        <v>0</v>
      </c>
      <c r="AA64" s="2">
        <f t="shared" si="7"/>
        <v>-1</v>
      </c>
      <c r="AB64" s="2">
        <f>IF(OR($M64="",$N64=""),0,MEDIAN(-MarginCap,MarginCap,($M64-$N64)-$AA64*HFA_Base))</f>
        <v>0</v>
      </c>
      <c r="AC64" s="2">
        <f t="array" ref="AC64">IF(OR($P64="",INDEX($P$3:$P$722,(ROW()+IF(MOD(ROW()-3,2)=0,1,-1))-3+1)=""),0,MEDIAN(-MarginCap,MarginCap,($T64-$W64)-$AA64*HFA_Base))</f>
        <v>0</v>
      </c>
      <c r="AD64" s="2">
        <f t="shared" si="8"/>
        <v>0</v>
      </c>
      <c r="AE64" s="2">
        <f>IF(OR($M64="",$N64=""),0,IF(AND(WEpa&gt;0,$AD64=1),(1-WEpa)*$AB64+WEpa*$AC64,$AB64))</f>
        <v>0</v>
      </c>
      <c r="AF64" s="2">
        <f>IF(AND($C64&lt;&gt;"",$E64=CurrentSeason,$F64="REG",ISNUMBER($G64),$G64&lt;CurrentWeek,AND($M64&lt;&gt;"",$N64&lt;&gt;"")),1,0)</f>
        <v>0</v>
      </c>
      <c r="AG64" s="2">
        <f>IF($AF64=0,0,IF($G64&gt;=CurrentWeek-RecencyWin,RecencyMult,1))</f>
        <v>0</v>
      </c>
      <c r="AH64" s="2">
        <f>IF(AND($C64&lt;&gt;"",$E64=CurrentSeason,$F64="REG",ISNUMBER($G64),$G64&lt;CurrentWeek-1,AND($M64&lt;&gt;"",$N64&lt;&gt;"")),1,0)</f>
        <v>0</v>
      </c>
      <c r="AI64" s="2">
        <f>IF($AH64=0,0,IF($G64&gt;=CurrentWeek-1-RecencyWin,RecencyMult,1))</f>
        <v>0</v>
      </c>
      <c r="AJ64" s="2">
        <f>IF($AF64=0,0,IF($G64&gt;=CurrentWeek-RecencyWin,TotRecency,1))</f>
        <v>0</v>
      </c>
      <c r="AK64" s="2">
        <f t="shared" si="9"/>
        <v>0</v>
      </c>
      <c r="AL64" s="2">
        <f t="shared" si="10"/>
        <v>0</v>
      </c>
      <c r="AM64" s="2" t="str">
        <f t="array" ref="AM64">IF($K64="",0,IFERROR(INDEX(CALC!$F$2:$F$33,MATCH($K64,CALC!$A$2:$A$33,0)),0))</f>
        <v/>
      </c>
      <c r="AN64" s="2" t="str">
        <f t="array" ref="AN64">IF($K64="",0,IFERROR(INDEX(CALC!$I$2:$I$33,MATCH($K64,CALC!$A$2:$A$33,0)),0))</f>
        <v/>
      </c>
      <c r="AO64" s="2" t="str">
        <f t="array" ref="AO64">IF($K64="",0,IFERROR(INDEX(CALC!$L$2:$L$33,MATCH($K64,CALC!$A$2:$A$33,0)),0))</f>
        <v/>
      </c>
      <c r="AP64" s="2" t="str">
        <f t="array" ref="AP64">IF($K64="",0,IFERROR(INDEX(CALC!$T$2:$T$33,MATCH($K64,CALC!$A$2:$A$33,0)),0))</f>
        <v/>
      </c>
      <c r="AQ64" s="2" t="str">
        <f t="array" ref="AQ64">IF($K64="",0,IFERROR(INDEX(CALC!$W$2:$W$33,MATCH($K64,CALC!$A$2:$A$33,0)),0))</f>
        <v/>
      </c>
      <c r="AR64" s="2" t="str">
        <f t="array" ref="AR64">IF($K64="",0,IFERROR(INDEX(CALC!$Z$2:$Z$33,MATCH($K64,CALC!$A$2:$A$33,0)),0))</f>
        <v/>
      </c>
      <c r="AS64" s="2" t="str">
        <f t="array" ref="AS64">IF($K64="",0,IFERROR(INDEX(CALC!$AJ$2:$AJ$33,MATCH($K64,CALC!$A$2:$A$33,0)),0))</f>
        <v/>
      </c>
      <c r="AT64" s="2" t="str">
        <f t="array" ref="AT64">IF($K64="",0,IFERROR(INDEX(CALC!$AI$2:$AI$33,MATCH($K64,CALC!$A$2:$A$33,0)),0))</f>
        <v/>
      </c>
      <c r="AU64" s="2">
        <f t="shared" si="11"/>
        <v>0</v>
      </c>
      <c r="AV64" s="2">
        <f t="shared" si="12"/>
        <v>0</v>
      </c>
    </row>
    <row r="65" ht="15.0" customHeight="1">
      <c r="A65" s="2">
        <v>32.0</v>
      </c>
      <c r="B65" s="2" t="s">
        <v>2365</v>
      </c>
      <c r="C65" s="2">
        <f>IFERROR(MATCH($A65,SchedSeq,0),"")</f>
        <v>317</v>
      </c>
      <c r="D65" s="2" t="str">
        <f t="array" ref="D65">IF($C65="","",INDEX(SchedZone,$C65,MAP!$B$6))</f>
        <v>2026_02_NYG_LA</v>
      </c>
      <c r="E65" s="2">
        <f t="array" ref="E65">IF($C65="","",INDEX(SchedZone,$C65,MAP!$B$3))</f>
        <v>2026</v>
      </c>
      <c r="F65" s="2" t="str">
        <f t="array" ref="F65">IF($C65="","",INDEX(SchedZone,$C65,MAP!$B$5))</f>
        <v>REG</v>
      </c>
      <c r="G65" s="2">
        <f t="array" ref="G65">IF($C65="","",INDEX(SchedZone,$C65,MAP!$B$4))</f>
        <v>2</v>
      </c>
      <c r="H65" s="2" t="str">
        <f t="array" ref="H65">IF($C65="","",INDEX(SchedZone,$C65,MAP!$B$12))</f>
        <v>LA</v>
      </c>
      <c r="I65" s="2" t="str">
        <f t="array" ref="I65">IF($H65="","",IF(COUNTIF(Teams,$H65)&gt;0,$H65,IFERROR(INDEX(LISTS!$D$2:$D$12,MATCH($H65,LISTS!$C$2:$C$12,0)),"⚠ "&amp;$H65)))</f>
        <v>LA</v>
      </c>
      <c r="J65" s="2" t="str">
        <f t="array" ref="J65">IF($C65="","",INDEX(SchedZone,$C65,MAP!$B$10))</f>
        <v>NYG</v>
      </c>
      <c r="K65" s="2" t="str">
        <f t="array" ref="K65">IF($J65="","",IF(COUNTIF(Teams,$J65)&gt;0,$J65,IFERROR(INDEX(LISTS!$D$2:$D$12,MATCH($J65,LISTS!$C$2:$C$12,0)),"⚠ "&amp;$J65)))</f>
        <v>NYG</v>
      </c>
      <c r="L65" s="2" t="str">
        <f t="array" ref="L65">IF($C65="","",IF(INDEX(SchedZone,$C65,MAP!$B$14)="Neutral","N",IF($B65="HOME","H","A")))</f>
        <v>H</v>
      </c>
      <c r="M65" s="2" t="str">
        <f t="array" ref="M65">IF($C65="","",IF(INDEX(SchedZone,$C65,MAP!$B$13)="","",INDEX(SchedZone,$C65,MAP!$B$13)))</f>
        <v/>
      </c>
      <c r="N65" s="2" t="str">
        <f t="array" ref="N65">IF($C65="","",IF(INDEX(SchedZone,$C65,MAP!$B$11)="","",INDEX(SchedZone,$C65,MAP!$B$11)))</f>
        <v/>
      </c>
      <c r="O65" s="2">
        <f t="array" ref="O65">IF($C65="","",INDEX(SchedZone,$C65,MAP!$B$16))</f>
        <v>11</v>
      </c>
      <c r="P65" s="2" t="str">
        <f>IF($C65="","",IFERROR(MATCH($E65&amp;"|"&amp;$G65&amp;"|"&amp;$I65,StatsKey,0),""))</f>
        <v/>
      </c>
      <c r="Q65" s="2">
        <f t="array" ref="Q65">IF($P65="",0,INDEX(StatsZone,$P65,MAP!$E$9)+INDEX(StatsZone,$P65,MAP!$E$10)+INDEX(StatsZone,$P65,MAP!$E$11))</f>
        <v>0</v>
      </c>
      <c r="R65" s="2">
        <f t="array" ref="R65">IF($P65="",0,INDEX(StatsZone,$P65,MAP!$E$12))</f>
        <v>0</v>
      </c>
      <c r="S65" s="2">
        <f t="array" ref="S65">IF($P65="",0,INDEX(StatsZone,$P65,MAP!$E$13))</f>
        <v>0</v>
      </c>
      <c r="T65" s="2">
        <f t="shared" si="1"/>
        <v>0</v>
      </c>
      <c r="U65" s="2">
        <f t="array" ref="U65">IF($P65="",0,INDEX(StatsZone,$P65,MAP!$E$14)+INDEX(StatsZone,$P65,MAP!$E$15)+INDEX(StatsZone,$P65,MAP!$E$16))</f>
        <v>0</v>
      </c>
      <c r="V65" s="2">
        <f t="shared" si="2"/>
        <v>0</v>
      </c>
      <c r="W65" s="2">
        <f t="shared" si="3"/>
        <v>0</v>
      </c>
      <c r="X65" s="2">
        <f t="shared" si="4"/>
        <v>0</v>
      </c>
      <c r="Y65" s="2">
        <f t="shared" si="5"/>
        <v>0</v>
      </c>
      <c r="Z65" s="2">
        <f t="shared" si="6"/>
        <v>0</v>
      </c>
      <c r="AA65" s="2">
        <f t="shared" si="7"/>
        <v>1</v>
      </c>
      <c r="AB65" s="2">
        <f>IF(OR($M65="",$N65=""),0,MEDIAN(-MarginCap,MarginCap,($M65-$N65)-$AA65*HFA_Base))</f>
        <v>0</v>
      </c>
      <c r="AC65" s="2">
        <f t="array" ref="AC65">IF(OR($P65="",INDEX($P$3:$P$722,(ROW()+IF(MOD(ROW()-3,2)=0,1,-1))-3+1)=""),0,MEDIAN(-MarginCap,MarginCap,($T65-$W65)-$AA65*HFA_Base))</f>
        <v>0</v>
      </c>
      <c r="AD65" s="2">
        <f t="shared" si="8"/>
        <v>0</v>
      </c>
      <c r="AE65" s="2">
        <f>IF(OR($M65="",$N65=""),0,IF(AND(WEpa&gt;0,$AD65=1),(1-WEpa)*$AB65+WEpa*$AC65,$AB65))</f>
        <v>0</v>
      </c>
      <c r="AF65" s="2">
        <f>IF(AND($C65&lt;&gt;"",$E65=CurrentSeason,$F65="REG",ISNUMBER($G65),$G65&lt;CurrentWeek,AND($M65&lt;&gt;"",$N65&lt;&gt;"")),1,0)</f>
        <v>0</v>
      </c>
      <c r="AG65" s="2">
        <f>IF($AF65=0,0,IF($G65&gt;=CurrentWeek-RecencyWin,RecencyMult,1))</f>
        <v>0</v>
      </c>
      <c r="AH65" s="2">
        <f>IF(AND($C65&lt;&gt;"",$E65=CurrentSeason,$F65="REG",ISNUMBER($G65),$G65&lt;CurrentWeek-1,AND($M65&lt;&gt;"",$N65&lt;&gt;"")),1,0)</f>
        <v>0</v>
      </c>
      <c r="AI65" s="2">
        <f>IF($AH65=0,0,IF($G65&gt;=CurrentWeek-1-RecencyWin,RecencyMult,1))</f>
        <v>0</v>
      </c>
      <c r="AJ65" s="2">
        <f>IF($AF65=0,0,IF($G65&gt;=CurrentWeek-RecencyWin,TotRecency,1))</f>
        <v>0</v>
      </c>
      <c r="AK65" s="2">
        <f t="shared" si="9"/>
        <v>0</v>
      </c>
      <c r="AL65" s="2">
        <f t="shared" si="10"/>
        <v>0</v>
      </c>
      <c r="AM65" s="2" t="str">
        <f t="array" ref="AM65">IF($K65="",0,IFERROR(INDEX(CALC!$F$2:$F$33,MATCH($K65,CALC!$A$2:$A$33,0)),0))</f>
        <v/>
      </c>
      <c r="AN65" s="2" t="str">
        <f t="array" ref="AN65">IF($K65="",0,IFERROR(INDEX(CALC!$I$2:$I$33,MATCH($K65,CALC!$A$2:$A$33,0)),0))</f>
        <v/>
      </c>
      <c r="AO65" s="2" t="str">
        <f t="array" ref="AO65">IF($K65="",0,IFERROR(INDEX(CALC!$L$2:$L$33,MATCH($K65,CALC!$A$2:$A$33,0)),0))</f>
        <v/>
      </c>
      <c r="AP65" s="2" t="str">
        <f t="array" ref="AP65">IF($K65="",0,IFERROR(INDEX(CALC!$T$2:$T$33,MATCH($K65,CALC!$A$2:$A$33,0)),0))</f>
        <v/>
      </c>
      <c r="AQ65" s="2" t="str">
        <f t="array" ref="AQ65">IF($K65="",0,IFERROR(INDEX(CALC!$W$2:$W$33,MATCH($K65,CALC!$A$2:$A$33,0)),0))</f>
        <v/>
      </c>
      <c r="AR65" s="2" t="str">
        <f t="array" ref="AR65">IF($K65="",0,IFERROR(INDEX(CALC!$Z$2:$Z$33,MATCH($K65,CALC!$A$2:$A$33,0)),0))</f>
        <v/>
      </c>
      <c r="AS65" s="2" t="str">
        <f t="array" ref="AS65">IF($K65="",0,IFERROR(INDEX(CALC!$AJ$2:$AJ$33,MATCH($K65,CALC!$A$2:$A$33,0)),0))</f>
        <v/>
      </c>
      <c r="AT65" s="2" t="str">
        <f t="array" ref="AT65">IF($K65="",0,IFERROR(INDEX(CALC!$AI$2:$AI$33,MATCH($K65,CALC!$A$2:$A$33,0)),0))</f>
        <v/>
      </c>
      <c r="AU65" s="2">
        <f t="shared" si="11"/>
        <v>0</v>
      </c>
      <c r="AV65" s="2">
        <f t="shared" si="12"/>
        <v>0</v>
      </c>
    </row>
    <row r="66" ht="15.0" customHeight="1">
      <c r="A66" s="2">
        <v>32.0</v>
      </c>
      <c r="B66" s="2" t="s">
        <v>2366</v>
      </c>
      <c r="C66" s="2">
        <f>IFERROR(MATCH($A66,SchedSeq,0),"")</f>
        <v>317</v>
      </c>
      <c r="D66" s="2" t="str">
        <f t="array" ref="D66">IF($C66="","",INDEX(SchedZone,$C66,MAP!$B$6))</f>
        <v>2026_02_NYG_LA</v>
      </c>
      <c r="E66" s="2">
        <f t="array" ref="E66">IF($C66="","",INDEX(SchedZone,$C66,MAP!$B$3))</f>
        <v>2026</v>
      </c>
      <c r="F66" s="2" t="str">
        <f t="array" ref="F66">IF($C66="","",INDEX(SchedZone,$C66,MAP!$B$5))</f>
        <v>REG</v>
      </c>
      <c r="G66" s="2">
        <f t="array" ref="G66">IF($C66="","",INDEX(SchedZone,$C66,MAP!$B$4))</f>
        <v>2</v>
      </c>
      <c r="H66" s="2" t="str">
        <f t="array" ref="H66">IF($C66="","",INDEX(SchedZone,$C66,MAP!$B$10))</f>
        <v>NYG</v>
      </c>
      <c r="I66" s="2" t="str">
        <f t="array" ref="I66">IF($H66="","",IF(COUNTIF(Teams,$H66)&gt;0,$H66,IFERROR(INDEX(LISTS!$D$2:$D$12,MATCH($H66,LISTS!$C$2:$C$12,0)),"⚠ "&amp;$H66)))</f>
        <v>NYG</v>
      </c>
      <c r="J66" s="2" t="str">
        <f t="array" ref="J66">IF($C66="","",INDEX(SchedZone,$C66,MAP!$B$12))</f>
        <v>LA</v>
      </c>
      <c r="K66" s="2" t="str">
        <f t="array" ref="K66">IF($J66="","",IF(COUNTIF(Teams,$J66)&gt;0,$J66,IFERROR(INDEX(LISTS!$D$2:$D$12,MATCH($J66,LISTS!$C$2:$C$12,0)),"⚠ "&amp;$J66)))</f>
        <v>LA</v>
      </c>
      <c r="L66" s="2" t="str">
        <f t="array" ref="L66">IF($C66="","",IF(INDEX(SchedZone,$C66,MAP!$B$14)="Neutral","N",IF($B66="HOME","H","A")))</f>
        <v>A</v>
      </c>
      <c r="M66" s="2" t="str">
        <f t="array" ref="M66">IF($C66="","",IF(INDEX(SchedZone,$C66,MAP!$B$11)="","",INDEX(SchedZone,$C66,MAP!$B$11)))</f>
        <v/>
      </c>
      <c r="N66" s="2" t="str">
        <f t="array" ref="N66">IF($C66="","",IF(INDEX(SchedZone,$C66,MAP!$B$13)="","",INDEX(SchedZone,$C66,MAP!$B$13)))</f>
        <v/>
      </c>
      <c r="O66" s="2">
        <f t="array" ref="O66">IF($C66="","",INDEX(SchedZone,$C66,MAP!$B$15))</f>
        <v>8</v>
      </c>
      <c r="P66" s="2" t="str">
        <f>IF($C66="","",IFERROR(MATCH($E66&amp;"|"&amp;$G66&amp;"|"&amp;$I66,StatsKey,0),""))</f>
        <v/>
      </c>
      <c r="Q66" s="2">
        <f t="array" ref="Q66">IF($P66="",0,INDEX(StatsZone,$P66,MAP!$E$9)+INDEX(StatsZone,$P66,MAP!$E$10)+INDEX(StatsZone,$P66,MAP!$E$11))</f>
        <v>0</v>
      </c>
      <c r="R66" s="2">
        <f t="array" ref="R66">IF($P66="",0,INDEX(StatsZone,$P66,MAP!$E$12))</f>
        <v>0</v>
      </c>
      <c r="S66" s="2">
        <f t="array" ref="S66">IF($P66="",0,INDEX(StatsZone,$P66,MAP!$E$13))</f>
        <v>0</v>
      </c>
      <c r="T66" s="2">
        <f t="shared" si="1"/>
        <v>0</v>
      </c>
      <c r="U66" s="2">
        <f t="array" ref="U66">IF($P66="",0,INDEX(StatsZone,$P66,MAP!$E$14)+INDEX(StatsZone,$P66,MAP!$E$15)+INDEX(StatsZone,$P66,MAP!$E$16))</f>
        <v>0</v>
      </c>
      <c r="V66" s="2">
        <f t="shared" si="2"/>
        <v>0</v>
      </c>
      <c r="W66" s="2">
        <f t="shared" si="3"/>
        <v>0</v>
      </c>
      <c r="X66" s="2">
        <f t="shared" si="4"/>
        <v>0</v>
      </c>
      <c r="Y66" s="2">
        <f t="shared" si="5"/>
        <v>0</v>
      </c>
      <c r="Z66" s="2">
        <f t="shared" si="6"/>
        <v>0</v>
      </c>
      <c r="AA66" s="2">
        <f t="shared" si="7"/>
        <v>-1</v>
      </c>
      <c r="AB66" s="2">
        <f>IF(OR($M66="",$N66=""),0,MEDIAN(-MarginCap,MarginCap,($M66-$N66)-$AA66*HFA_Base))</f>
        <v>0</v>
      </c>
      <c r="AC66" s="2">
        <f t="array" ref="AC66">IF(OR($P66="",INDEX($P$3:$P$722,(ROW()+IF(MOD(ROW()-3,2)=0,1,-1))-3+1)=""),0,MEDIAN(-MarginCap,MarginCap,($T66-$W66)-$AA66*HFA_Base))</f>
        <v>0</v>
      </c>
      <c r="AD66" s="2">
        <f t="shared" si="8"/>
        <v>0</v>
      </c>
      <c r="AE66" s="2">
        <f>IF(OR($M66="",$N66=""),0,IF(AND(WEpa&gt;0,$AD66=1),(1-WEpa)*$AB66+WEpa*$AC66,$AB66))</f>
        <v>0</v>
      </c>
      <c r="AF66" s="2">
        <f>IF(AND($C66&lt;&gt;"",$E66=CurrentSeason,$F66="REG",ISNUMBER($G66),$G66&lt;CurrentWeek,AND($M66&lt;&gt;"",$N66&lt;&gt;"")),1,0)</f>
        <v>0</v>
      </c>
      <c r="AG66" s="2">
        <f>IF($AF66=0,0,IF($G66&gt;=CurrentWeek-RecencyWin,RecencyMult,1))</f>
        <v>0</v>
      </c>
      <c r="AH66" s="2">
        <f>IF(AND($C66&lt;&gt;"",$E66=CurrentSeason,$F66="REG",ISNUMBER($G66),$G66&lt;CurrentWeek-1,AND($M66&lt;&gt;"",$N66&lt;&gt;"")),1,0)</f>
        <v>0</v>
      </c>
      <c r="AI66" s="2">
        <f>IF($AH66=0,0,IF($G66&gt;=CurrentWeek-1-RecencyWin,RecencyMult,1))</f>
        <v>0</v>
      </c>
      <c r="AJ66" s="2">
        <f>IF($AF66=0,0,IF($G66&gt;=CurrentWeek-RecencyWin,TotRecency,1))</f>
        <v>0</v>
      </c>
      <c r="AK66" s="2">
        <f t="shared" si="9"/>
        <v>0</v>
      </c>
      <c r="AL66" s="2">
        <f t="shared" si="10"/>
        <v>0</v>
      </c>
      <c r="AM66" s="2" t="str">
        <f t="array" ref="AM66">IF($K66="",0,IFERROR(INDEX(CALC!$F$2:$F$33,MATCH($K66,CALC!$A$2:$A$33,0)),0))</f>
        <v/>
      </c>
      <c r="AN66" s="2" t="str">
        <f t="array" ref="AN66">IF($K66="",0,IFERROR(INDEX(CALC!$I$2:$I$33,MATCH($K66,CALC!$A$2:$A$33,0)),0))</f>
        <v/>
      </c>
      <c r="AO66" s="2" t="str">
        <f t="array" ref="AO66">IF($K66="",0,IFERROR(INDEX(CALC!$L$2:$L$33,MATCH($K66,CALC!$A$2:$A$33,0)),0))</f>
        <v/>
      </c>
      <c r="AP66" s="2" t="str">
        <f t="array" ref="AP66">IF($K66="",0,IFERROR(INDEX(CALC!$T$2:$T$33,MATCH($K66,CALC!$A$2:$A$33,0)),0))</f>
        <v/>
      </c>
      <c r="AQ66" s="2" t="str">
        <f t="array" ref="AQ66">IF($K66="",0,IFERROR(INDEX(CALC!$W$2:$W$33,MATCH($K66,CALC!$A$2:$A$33,0)),0))</f>
        <v/>
      </c>
      <c r="AR66" s="2" t="str">
        <f t="array" ref="AR66">IF($K66="",0,IFERROR(INDEX(CALC!$Z$2:$Z$33,MATCH($K66,CALC!$A$2:$A$33,0)),0))</f>
        <v/>
      </c>
      <c r="AS66" s="2" t="str">
        <f t="array" ref="AS66">IF($K66="",0,IFERROR(INDEX(CALC!$AJ$2:$AJ$33,MATCH($K66,CALC!$A$2:$A$33,0)),0))</f>
        <v/>
      </c>
      <c r="AT66" s="2" t="str">
        <f t="array" ref="AT66">IF($K66="",0,IFERROR(INDEX(CALC!$AI$2:$AI$33,MATCH($K66,CALC!$A$2:$A$33,0)),0))</f>
        <v/>
      </c>
      <c r="AU66" s="2">
        <f t="shared" si="11"/>
        <v>0</v>
      </c>
      <c r="AV66" s="2">
        <f t="shared" si="12"/>
        <v>0</v>
      </c>
    </row>
    <row r="67" ht="15.0" customHeight="1">
      <c r="A67" s="2">
        <v>33.0</v>
      </c>
      <c r="B67" s="2" t="s">
        <v>2365</v>
      </c>
      <c r="C67" s="2">
        <f>IFERROR(MATCH($A67,SchedSeq,0),"")</f>
        <v>318</v>
      </c>
      <c r="D67" s="2" t="str">
        <f t="array" ref="D67">IF($C67="","",INDEX(SchedZone,$C67,MAP!$B$6))</f>
        <v>2026_03_ATL_GB</v>
      </c>
      <c r="E67" s="2">
        <f t="array" ref="E67">IF($C67="","",INDEX(SchedZone,$C67,MAP!$B$3))</f>
        <v>2026</v>
      </c>
      <c r="F67" s="2" t="str">
        <f t="array" ref="F67">IF($C67="","",INDEX(SchedZone,$C67,MAP!$B$5))</f>
        <v>REG</v>
      </c>
      <c r="G67" s="2">
        <f t="array" ref="G67">IF($C67="","",INDEX(SchedZone,$C67,MAP!$B$4))</f>
        <v>3</v>
      </c>
      <c r="H67" s="2" t="str">
        <f t="array" ref="H67">IF($C67="","",INDEX(SchedZone,$C67,MAP!$B$12))</f>
        <v>GB</v>
      </c>
      <c r="I67" s="2" t="str">
        <f t="array" ref="I67">IF($H67="","",IF(COUNTIF(Teams,$H67)&gt;0,$H67,IFERROR(INDEX(LISTS!$D$2:$D$12,MATCH($H67,LISTS!$C$2:$C$12,0)),"⚠ "&amp;$H67)))</f>
        <v>GB</v>
      </c>
      <c r="J67" s="2" t="str">
        <f t="array" ref="J67">IF($C67="","",INDEX(SchedZone,$C67,MAP!$B$10))</f>
        <v>ATL</v>
      </c>
      <c r="K67" s="2" t="str">
        <f t="array" ref="K67">IF($J67="","",IF(COUNTIF(Teams,$J67)&gt;0,$J67,IFERROR(INDEX(LISTS!$D$2:$D$12,MATCH($J67,LISTS!$C$2:$C$12,0)),"⚠ "&amp;$J67)))</f>
        <v>ATL</v>
      </c>
      <c r="L67" s="2" t="str">
        <f t="array" ref="L67">IF($C67="","",IF(INDEX(SchedZone,$C67,MAP!$B$14)="Neutral","N",IF($B67="HOME","H","A")))</f>
        <v>H</v>
      </c>
      <c r="M67" s="2" t="str">
        <f t="array" ref="M67">IF($C67="","",IF(INDEX(SchedZone,$C67,MAP!$B$13)="","",INDEX(SchedZone,$C67,MAP!$B$13)))</f>
        <v/>
      </c>
      <c r="N67" s="2" t="str">
        <f t="array" ref="N67">IF($C67="","",IF(INDEX(SchedZone,$C67,MAP!$B$11)="","",INDEX(SchedZone,$C67,MAP!$B$11)))</f>
        <v/>
      </c>
      <c r="O67" s="2">
        <f t="array" ref="O67">IF($C67="","",INDEX(SchedZone,$C67,MAP!$B$16))</f>
        <v>4</v>
      </c>
      <c r="P67" s="2" t="str">
        <f>IF($C67="","",IFERROR(MATCH($E67&amp;"|"&amp;$G67&amp;"|"&amp;$I67,StatsKey,0),""))</f>
        <v/>
      </c>
      <c r="Q67" s="2">
        <f t="array" ref="Q67">IF($P67="",0,INDEX(StatsZone,$P67,MAP!$E$9)+INDEX(StatsZone,$P67,MAP!$E$10)+INDEX(StatsZone,$P67,MAP!$E$11))</f>
        <v>0</v>
      </c>
      <c r="R67" s="2">
        <f t="array" ref="R67">IF($P67="",0,INDEX(StatsZone,$P67,MAP!$E$12))</f>
        <v>0</v>
      </c>
      <c r="S67" s="2">
        <f t="array" ref="S67">IF($P67="",0,INDEX(StatsZone,$P67,MAP!$E$13))</f>
        <v>0</v>
      </c>
      <c r="T67" s="2">
        <f t="shared" si="1"/>
        <v>0</v>
      </c>
      <c r="U67" s="2">
        <f t="array" ref="U67">IF($P67="",0,INDEX(StatsZone,$P67,MAP!$E$14)+INDEX(StatsZone,$P67,MAP!$E$15)+INDEX(StatsZone,$P67,MAP!$E$16))</f>
        <v>0</v>
      </c>
      <c r="V67" s="2">
        <f t="shared" si="2"/>
        <v>0</v>
      </c>
      <c r="W67" s="2">
        <f t="shared" si="3"/>
        <v>0</v>
      </c>
      <c r="X67" s="2">
        <f t="shared" si="4"/>
        <v>0</v>
      </c>
      <c r="Y67" s="2">
        <f t="shared" si="5"/>
        <v>0</v>
      </c>
      <c r="Z67" s="2">
        <f t="shared" si="6"/>
        <v>0</v>
      </c>
      <c r="AA67" s="2">
        <f t="shared" si="7"/>
        <v>1</v>
      </c>
      <c r="AB67" s="2">
        <f>IF(OR($M67="",$N67=""),0,MEDIAN(-MarginCap,MarginCap,($M67-$N67)-$AA67*HFA_Base))</f>
        <v>0</v>
      </c>
      <c r="AC67" s="2">
        <f t="array" ref="AC67">IF(OR($P67="",INDEX($P$3:$P$722,(ROW()+IF(MOD(ROW()-3,2)=0,1,-1))-3+1)=""),0,MEDIAN(-MarginCap,MarginCap,($T67-$W67)-$AA67*HFA_Base))</f>
        <v>0</v>
      </c>
      <c r="AD67" s="2">
        <f t="shared" si="8"/>
        <v>0</v>
      </c>
      <c r="AE67" s="2">
        <f>IF(OR($M67="",$N67=""),0,IF(AND(WEpa&gt;0,$AD67=1),(1-WEpa)*$AB67+WEpa*$AC67,$AB67))</f>
        <v>0</v>
      </c>
      <c r="AF67" s="2">
        <f>IF(AND($C67&lt;&gt;"",$E67=CurrentSeason,$F67="REG",ISNUMBER($G67),$G67&lt;CurrentWeek,AND($M67&lt;&gt;"",$N67&lt;&gt;"")),1,0)</f>
        <v>0</v>
      </c>
      <c r="AG67" s="2">
        <f>IF($AF67=0,0,IF($G67&gt;=CurrentWeek-RecencyWin,RecencyMult,1))</f>
        <v>0</v>
      </c>
      <c r="AH67" s="2">
        <f>IF(AND($C67&lt;&gt;"",$E67=CurrentSeason,$F67="REG",ISNUMBER($G67),$G67&lt;CurrentWeek-1,AND($M67&lt;&gt;"",$N67&lt;&gt;"")),1,0)</f>
        <v>0</v>
      </c>
      <c r="AI67" s="2">
        <f>IF($AH67=0,0,IF($G67&gt;=CurrentWeek-1-RecencyWin,RecencyMult,1))</f>
        <v>0</v>
      </c>
      <c r="AJ67" s="2">
        <f>IF($AF67=0,0,IF($G67&gt;=CurrentWeek-RecencyWin,TotRecency,1))</f>
        <v>0</v>
      </c>
      <c r="AK67" s="2">
        <f t="shared" si="9"/>
        <v>0</v>
      </c>
      <c r="AL67" s="2">
        <f t="shared" si="10"/>
        <v>0</v>
      </c>
      <c r="AM67" s="2" t="str">
        <f t="array" ref="AM67">IF($K67="",0,IFERROR(INDEX(CALC!$F$2:$F$33,MATCH($K67,CALC!$A$2:$A$33,0)),0))</f>
        <v/>
      </c>
      <c r="AN67" s="2" t="str">
        <f t="array" ref="AN67">IF($K67="",0,IFERROR(INDEX(CALC!$I$2:$I$33,MATCH($K67,CALC!$A$2:$A$33,0)),0))</f>
        <v/>
      </c>
      <c r="AO67" s="2" t="str">
        <f t="array" ref="AO67">IF($K67="",0,IFERROR(INDEX(CALC!$L$2:$L$33,MATCH($K67,CALC!$A$2:$A$33,0)),0))</f>
        <v/>
      </c>
      <c r="AP67" s="2" t="str">
        <f t="array" ref="AP67">IF($K67="",0,IFERROR(INDEX(CALC!$T$2:$T$33,MATCH($K67,CALC!$A$2:$A$33,0)),0))</f>
        <v/>
      </c>
      <c r="AQ67" s="2" t="str">
        <f t="array" ref="AQ67">IF($K67="",0,IFERROR(INDEX(CALC!$W$2:$W$33,MATCH($K67,CALC!$A$2:$A$33,0)),0))</f>
        <v/>
      </c>
      <c r="AR67" s="2" t="str">
        <f t="array" ref="AR67">IF($K67="",0,IFERROR(INDEX(CALC!$Z$2:$Z$33,MATCH($K67,CALC!$A$2:$A$33,0)),0))</f>
        <v/>
      </c>
      <c r="AS67" s="2" t="str">
        <f t="array" ref="AS67">IF($K67="",0,IFERROR(INDEX(CALC!$AJ$2:$AJ$33,MATCH($K67,CALC!$A$2:$A$33,0)),0))</f>
        <v/>
      </c>
      <c r="AT67" s="2" t="str">
        <f t="array" ref="AT67">IF($K67="",0,IFERROR(INDEX(CALC!$AI$2:$AI$33,MATCH($K67,CALC!$A$2:$A$33,0)),0))</f>
        <v/>
      </c>
      <c r="AU67" s="2">
        <f t="shared" si="11"/>
        <v>0</v>
      </c>
      <c r="AV67" s="2">
        <f t="shared" si="12"/>
        <v>0</v>
      </c>
    </row>
    <row r="68" ht="15.0" customHeight="1">
      <c r="A68" s="2">
        <v>33.0</v>
      </c>
      <c r="B68" s="2" t="s">
        <v>2366</v>
      </c>
      <c r="C68" s="2">
        <f>IFERROR(MATCH($A68,SchedSeq,0),"")</f>
        <v>318</v>
      </c>
      <c r="D68" s="2" t="str">
        <f t="array" ref="D68">IF($C68="","",INDEX(SchedZone,$C68,MAP!$B$6))</f>
        <v>2026_03_ATL_GB</v>
      </c>
      <c r="E68" s="2">
        <f t="array" ref="E68">IF($C68="","",INDEX(SchedZone,$C68,MAP!$B$3))</f>
        <v>2026</v>
      </c>
      <c r="F68" s="2" t="str">
        <f t="array" ref="F68">IF($C68="","",INDEX(SchedZone,$C68,MAP!$B$5))</f>
        <v>REG</v>
      </c>
      <c r="G68" s="2">
        <f t="array" ref="G68">IF($C68="","",INDEX(SchedZone,$C68,MAP!$B$4))</f>
        <v>3</v>
      </c>
      <c r="H68" s="2" t="str">
        <f t="array" ref="H68">IF($C68="","",INDEX(SchedZone,$C68,MAP!$B$10))</f>
        <v>ATL</v>
      </c>
      <c r="I68" s="2" t="str">
        <f t="array" ref="I68">IF($H68="","",IF(COUNTIF(Teams,$H68)&gt;0,$H68,IFERROR(INDEX(LISTS!$D$2:$D$12,MATCH($H68,LISTS!$C$2:$C$12,0)),"⚠ "&amp;$H68)))</f>
        <v>ATL</v>
      </c>
      <c r="J68" s="2" t="str">
        <f t="array" ref="J68">IF($C68="","",INDEX(SchedZone,$C68,MAP!$B$12))</f>
        <v>GB</v>
      </c>
      <c r="K68" s="2" t="str">
        <f t="array" ref="K68">IF($J68="","",IF(COUNTIF(Teams,$J68)&gt;0,$J68,IFERROR(INDEX(LISTS!$D$2:$D$12,MATCH($J68,LISTS!$C$2:$C$12,0)),"⚠ "&amp;$J68)))</f>
        <v>GB</v>
      </c>
      <c r="L68" s="2" t="str">
        <f t="array" ref="L68">IF($C68="","",IF(INDEX(SchedZone,$C68,MAP!$B$14)="Neutral","N",IF($B68="HOME","H","A")))</f>
        <v>A</v>
      </c>
      <c r="M68" s="2" t="str">
        <f t="array" ref="M68">IF($C68="","",IF(INDEX(SchedZone,$C68,MAP!$B$11)="","",INDEX(SchedZone,$C68,MAP!$B$11)))</f>
        <v/>
      </c>
      <c r="N68" s="2" t="str">
        <f t="array" ref="N68">IF($C68="","",IF(INDEX(SchedZone,$C68,MAP!$B$13)="","",INDEX(SchedZone,$C68,MAP!$B$13)))</f>
        <v/>
      </c>
      <c r="O68" s="2">
        <f t="array" ref="O68">IF($C68="","",INDEX(SchedZone,$C68,MAP!$B$15))</f>
        <v>4</v>
      </c>
      <c r="P68" s="2" t="str">
        <f>IF($C68="","",IFERROR(MATCH($E68&amp;"|"&amp;$G68&amp;"|"&amp;$I68,StatsKey,0),""))</f>
        <v/>
      </c>
      <c r="Q68" s="2">
        <f t="array" ref="Q68">IF($P68="",0,INDEX(StatsZone,$P68,MAP!$E$9)+INDEX(StatsZone,$P68,MAP!$E$10)+INDEX(StatsZone,$P68,MAP!$E$11))</f>
        <v>0</v>
      </c>
      <c r="R68" s="2">
        <f t="array" ref="R68">IF($P68="",0,INDEX(StatsZone,$P68,MAP!$E$12))</f>
        <v>0</v>
      </c>
      <c r="S68" s="2">
        <f t="array" ref="S68">IF($P68="",0,INDEX(StatsZone,$P68,MAP!$E$13))</f>
        <v>0</v>
      </c>
      <c r="T68" s="2">
        <f t="shared" si="1"/>
        <v>0</v>
      </c>
      <c r="U68" s="2">
        <f t="array" ref="U68">IF($P68="",0,INDEX(StatsZone,$P68,MAP!$E$14)+INDEX(StatsZone,$P68,MAP!$E$15)+INDEX(StatsZone,$P68,MAP!$E$16))</f>
        <v>0</v>
      </c>
      <c r="V68" s="2">
        <f t="shared" si="2"/>
        <v>0</v>
      </c>
      <c r="W68" s="2">
        <f t="shared" si="3"/>
        <v>0</v>
      </c>
      <c r="X68" s="2">
        <f t="shared" si="4"/>
        <v>0</v>
      </c>
      <c r="Y68" s="2">
        <f t="shared" si="5"/>
        <v>0</v>
      </c>
      <c r="Z68" s="2">
        <f t="shared" si="6"/>
        <v>0</v>
      </c>
      <c r="AA68" s="2">
        <f t="shared" si="7"/>
        <v>-1</v>
      </c>
      <c r="AB68" s="2">
        <f>IF(OR($M68="",$N68=""),0,MEDIAN(-MarginCap,MarginCap,($M68-$N68)-$AA68*HFA_Base))</f>
        <v>0</v>
      </c>
      <c r="AC68" s="2">
        <f t="array" ref="AC68">IF(OR($P68="",INDEX($P$3:$P$722,(ROW()+IF(MOD(ROW()-3,2)=0,1,-1))-3+1)=""),0,MEDIAN(-MarginCap,MarginCap,($T68-$W68)-$AA68*HFA_Base))</f>
        <v>0</v>
      </c>
      <c r="AD68" s="2">
        <f t="shared" si="8"/>
        <v>0</v>
      </c>
      <c r="AE68" s="2">
        <f>IF(OR($M68="",$N68=""),0,IF(AND(WEpa&gt;0,$AD68=1),(1-WEpa)*$AB68+WEpa*$AC68,$AB68))</f>
        <v>0</v>
      </c>
      <c r="AF68" s="2">
        <f>IF(AND($C68&lt;&gt;"",$E68=CurrentSeason,$F68="REG",ISNUMBER($G68),$G68&lt;CurrentWeek,AND($M68&lt;&gt;"",$N68&lt;&gt;"")),1,0)</f>
        <v>0</v>
      </c>
      <c r="AG68" s="2">
        <f>IF($AF68=0,0,IF($G68&gt;=CurrentWeek-RecencyWin,RecencyMult,1))</f>
        <v>0</v>
      </c>
      <c r="AH68" s="2">
        <f>IF(AND($C68&lt;&gt;"",$E68=CurrentSeason,$F68="REG",ISNUMBER($G68),$G68&lt;CurrentWeek-1,AND($M68&lt;&gt;"",$N68&lt;&gt;"")),1,0)</f>
        <v>0</v>
      </c>
      <c r="AI68" s="2">
        <f>IF($AH68=0,0,IF($G68&gt;=CurrentWeek-1-RecencyWin,RecencyMult,1))</f>
        <v>0</v>
      </c>
      <c r="AJ68" s="2">
        <f>IF($AF68=0,0,IF($G68&gt;=CurrentWeek-RecencyWin,TotRecency,1))</f>
        <v>0</v>
      </c>
      <c r="AK68" s="2">
        <f t="shared" si="9"/>
        <v>0</v>
      </c>
      <c r="AL68" s="2">
        <f t="shared" si="10"/>
        <v>0</v>
      </c>
      <c r="AM68" s="2" t="str">
        <f t="array" ref="AM68">IF($K68="",0,IFERROR(INDEX(CALC!$F$2:$F$33,MATCH($K68,CALC!$A$2:$A$33,0)),0))</f>
        <v/>
      </c>
      <c r="AN68" s="2" t="str">
        <f t="array" ref="AN68">IF($K68="",0,IFERROR(INDEX(CALC!$I$2:$I$33,MATCH($K68,CALC!$A$2:$A$33,0)),0))</f>
        <v/>
      </c>
      <c r="AO68" s="2" t="str">
        <f t="array" ref="AO68">IF($K68="",0,IFERROR(INDEX(CALC!$L$2:$L$33,MATCH($K68,CALC!$A$2:$A$33,0)),0))</f>
        <v/>
      </c>
      <c r="AP68" s="2" t="str">
        <f t="array" ref="AP68">IF($K68="",0,IFERROR(INDEX(CALC!$T$2:$T$33,MATCH($K68,CALC!$A$2:$A$33,0)),0))</f>
        <v/>
      </c>
      <c r="AQ68" s="2" t="str">
        <f t="array" ref="AQ68">IF($K68="",0,IFERROR(INDEX(CALC!$W$2:$W$33,MATCH($K68,CALC!$A$2:$A$33,0)),0))</f>
        <v/>
      </c>
      <c r="AR68" s="2" t="str">
        <f t="array" ref="AR68">IF($K68="",0,IFERROR(INDEX(CALC!$Z$2:$Z$33,MATCH($K68,CALC!$A$2:$A$33,0)),0))</f>
        <v/>
      </c>
      <c r="AS68" s="2" t="str">
        <f t="array" ref="AS68">IF($K68="",0,IFERROR(INDEX(CALC!$AJ$2:$AJ$33,MATCH($K68,CALC!$A$2:$A$33,0)),0))</f>
        <v/>
      </c>
      <c r="AT68" s="2" t="str">
        <f t="array" ref="AT68">IF($K68="",0,IFERROR(INDEX(CALC!$AI$2:$AI$33,MATCH($K68,CALC!$A$2:$A$33,0)),0))</f>
        <v/>
      </c>
      <c r="AU68" s="2">
        <f t="shared" si="11"/>
        <v>0</v>
      </c>
      <c r="AV68" s="2">
        <f t="shared" si="12"/>
        <v>0</v>
      </c>
    </row>
    <row r="69" ht="15.0" customHeight="1">
      <c r="A69" s="2">
        <v>34.0</v>
      </c>
      <c r="B69" s="2" t="s">
        <v>2365</v>
      </c>
      <c r="C69" s="2">
        <f>IFERROR(MATCH($A69,SchedSeq,0),"")</f>
        <v>319</v>
      </c>
      <c r="D69" s="2" t="str">
        <f t="array" ref="D69">IF($C69="","",INDEX(SchedZone,$C69,MAP!$B$6))</f>
        <v>2026_03_LAC_BUF</v>
      </c>
      <c r="E69" s="2">
        <f t="array" ref="E69">IF($C69="","",INDEX(SchedZone,$C69,MAP!$B$3))</f>
        <v>2026</v>
      </c>
      <c r="F69" s="2" t="str">
        <f t="array" ref="F69">IF($C69="","",INDEX(SchedZone,$C69,MAP!$B$5))</f>
        <v>REG</v>
      </c>
      <c r="G69" s="2">
        <f t="array" ref="G69">IF($C69="","",INDEX(SchedZone,$C69,MAP!$B$4))</f>
        <v>3</v>
      </c>
      <c r="H69" s="2" t="str">
        <f t="array" ref="H69">IF($C69="","",INDEX(SchedZone,$C69,MAP!$B$12))</f>
        <v>BUF</v>
      </c>
      <c r="I69" s="2" t="str">
        <f t="array" ref="I69">IF($H69="","",IF(COUNTIF(Teams,$H69)&gt;0,$H69,IFERROR(INDEX(LISTS!$D$2:$D$12,MATCH($H69,LISTS!$C$2:$C$12,0)),"⚠ "&amp;$H69)))</f>
        <v>BUF</v>
      </c>
      <c r="J69" s="2" t="str">
        <f t="array" ref="J69">IF($C69="","",INDEX(SchedZone,$C69,MAP!$B$10))</f>
        <v>LAC</v>
      </c>
      <c r="K69" s="2" t="str">
        <f t="array" ref="K69">IF($J69="","",IF(COUNTIF(Teams,$J69)&gt;0,$J69,IFERROR(INDEX(LISTS!$D$2:$D$12,MATCH($J69,LISTS!$C$2:$C$12,0)),"⚠ "&amp;$J69)))</f>
        <v>LAC</v>
      </c>
      <c r="L69" s="2" t="str">
        <f t="array" ref="L69">IF($C69="","",IF(INDEX(SchedZone,$C69,MAP!$B$14)="Neutral","N",IF($B69="HOME","H","A")))</f>
        <v>H</v>
      </c>
      <c r="M69" s="2" t="str">
        <f t="array" ref="M69">IF($C69="","",IF(INDEX(SchedZone,$C69,MAP!$B$13)="","",INDEX(SchedZone,$C69,MAP!$B$13)))</f>
        <v/>
      </c>
      <c r="N69" s="2" t="str">
        <f t="array" ref="N69">IF($C69="","",IF(INDEX(SchedZone,$C69,MAP!$B$11)="","",INDEX(SchedZone,$C69,MAP!$B$11)))</f>
        <v/>
      </c>
      <c r="O69" s="2">
        <f t="array" ref="O69">IF($C69="","",INDEX(SchedZone,$C69,MAP!$B$16))</f>
        <v>10</v>
      </c>
      <c r="P69" s="2" t="str">
        <f>IF($C69="","",IFERROR(MATCH($E69&amp;"|"&amp;$G69&amp;"|"&amp;$I69,StatsKey,0),""))</f>
        <v/>
      </c>
      <c r="Q69" s="2">
        <f t="array" ref="Q69">IF($P69="",0,INDEX(StatsZone,$P69,MAP!$E$9)+INDEX(StatsZone,$P69,MAP!$E$10)+INDEX(StatsZone,$P69,MAP!$E$11))</f>
        <v>0</v>
      </c>
      <c r="R69" s="2">
        <f t="array" ref="R69">IF($P69="",0,INDEX(StatsZone,$P69,MAP!$E$12))</f>
        <v>0</v>
      </c>
      <c r="S69" s="2">
        <f t="array" ref="S69">IF($P69="",0,INDEX(StatsZone,$P69,MAP!$E$13))</f>
        <v>0</v>
      </c>
      <c r="T69" s="2">
        <f t="shared" si="1"/>
        <v>0</v>
      </c>
      <c r="U69" s="2">
        <f t="array" ref="U69">IF($P69="",0,INDEX(StatsZone,$P69,MAP!$E$14)+INDEX(StatsZone,$P69,MAP!$E$15)+INDEX(StatsZone,$P69,MAP!$E$16))</f>
        <v>0</v>
      </c>
      <c r="V69" s="2">
        <f t="shared" si="2"/>
        <v>0</v>
      </c>
      <c r="W69" s="2">
        <f t="shared" si="3"/>
        <v>0</v>
      </c>
      <c r="X69" s="2">
        <f t="shared" si="4"/>
        <v>0</v>
      </c>
      <c r="Y69" s="2">
        <f t="shared" si="5"/>
        <v>0</v>
      </c>
      <c r="Z69" s="2">
        <f t="shared" si="6"/>
        <v>0</v>
      </c>
      <c r="AA69" s="2">
        <f t="shared" si="7"/>
        <v>1</v>
      </c>
      <c r="AB69" s="2">
        <f>IF(OR($M69="",$N69=""),0,MEDIAN(-MarginCap,MarginCap,($M69-$N69)-$AA69*HFA_Base))</f>
        <v>0</v>
      </c>
      <c r="AC69" s="2">
        <f t="array" ref="AC69">IF(OR($P69="",INDEX($P$3:$P$722,(ROW()+IF(MOD(ROW()-3,2)=0,1,-1))-3+1)=""),0,MEDIAN(-MarginCap,MarginCap,($T69-$W69)-$AA69*HFA_Base))</f>
        <v>0</v>
      </c>
      <c r="AD69" s="2">
        <f t="shared" si="8"/>
        <v>0</v>
      </c>
      <c r="AE69" s="2">
        <f>IF(OR($M69="",$N69=""),0,IF(AND(WEpa&gt;0,$AD69=1),(1-WEpa)*$AB69+WEpa*$AC69,$AB69))</f>
        <v>0</v>
      </c>
      <c r="AF69" s="2">
        <f>IF(AND($C69&lt;&gt;"",$E69=CurrentSeason,$F69="REG",ISNUMBER($G69),$G69&lt;CurrentWeek,AND($M69&lt;&gt;"",$N69&lt;&gt;"")),1,0)</f>
        <v>0</v>
      </c>
      <c r="AG69" s="2">
        <f>IF($AF69=0,0,IF($G69&gt;=CurrentWeek-RecencyWin,RecencyMult,1))</f>
        <v>0</v>
      </c>
      <c r="AH69" s="2">
        <f>IF(AND($C69&lt;&gt;"",$E69=CurrentSeason,$F69="REG",ISNUMBER($G69),$G69&lt;CurrentWeek-1,AND($M69&lt;&gt;"",$N69&lt;&gt;"")),1,0)</f>
        <v>0</v>
      </c>
      <c r="AI69" s="2">
        <f>IF($AH69=0,0,IF($G69&gt;=CurrentWeek-1-RecencyWin,RecencyMult,1))</f>
        <v>0</v>
      </c>
      <c r="AJ69" s="2">
        <f>IF($AF69=0,0,IF($G69&gt;=CurrentWeek-RecencyWin,TotRecency,1))</f>
        <v>0</v>
      </c>
      <c r="AK69" s="2">
        <f t="shared" si="9"/>
        <v>0</v>
      </c>
      <c r="AL69" s="2">
        <f t="shared" si="10"/>
        <v>0</v>
      </c>
      <c r="AM69" s="2" t="str">
        <f t="array" ref="AM69">IF($K69="",0,IFERROR(INDEX(CALC!$F$2:$F$33,MATCH($K69,CALC!$A$2:$A$33,0)),0))</f>
        <v/>
      </c>
      <c r="AN69" s="2" t="str">
        <f t="array" ref="AN69">IF($K69="",0,IFERROR(INDEX(CALC!$I$2:$I$33,MATCH($K69,CALC!$A$2:$A$33,0)),0))</f>
        <v/>
      </c>
      <c r="AO69" s="2" t="str">
        <f t="array" ref="AO69">IF($K69="",0,IFERROR(INDEX(CALC!$L$2:$L$33,MATCH($K69,CALC!$A$2:$A$33,0)),0))</f>
        <v/>
      </c>
      <c r="AP69" s="2" t="str">
        <f t="array" ref="AP69">IF($K69="",0,IFERROR(INDEX(CALC!$T$2:$T$33,MATCH($K69,CALC!$A$2:$A$33,0)),0))</f>
        <v/>
      </c>
      <c r="AQ69" s="2" t="str">
        <f t="array" ref="AQ69">IF($K69="",0,IFERROR(INDEX(CALC!$W$2:$W$33,MATCH($K69,CALC!$A$2:$A$33,0)),0))</f>
        <v/>
      </c>
      <c r="AR69" s="2" t="str">
        <f t="array" ref="AR69">IF($K69="",0,IFERROR(INDEX(CALC!$Z$2:$Z$33,MATCH($K69,CALC!$A$2:$A$33,0)),0))</f>
        <v/>
      </c>
      <c r="AS69" s="2" t="str">
        <f t="array" ref="AS69">IF($K69="",0,IFERROR(INDEX(CALC!$AJ$2:$AJ$33,MATCH($K69,CALC!$A$2:$A$33,0)),0))</f>
        <v/>
      </c>
      <c r="AT69" s="2" t="str">
        <f t="array" ref="AT69">IF($K69="",0,IFERROR(INDEX(CALC!$AI$2:$AI$33,MATCH($K69,CALC!$A$2:$A$33,0)),0))</f>
        <v/>
      </c>
      <c r="AU69" s="2">
        <f t="shared" si="11"/>
        <v>0</v>
      </c>
      <c r="AV69" s="2">
        <f t="shared" si="12"/>
        <v>0</v>
      </c>
    </row>
    <row r="70" ht="15.0" customHeight="1">
      <c r="A70" s="2">
        <v>34.0</v>
      </c>
      <c r="B70" s="2" t="s">
        <v>2366</v>
      </c>
      <c r="C70" s="2">
        <f>IFERROR(MATCH($A70,SchedSeq,0),"")</f>
        <v>319</v>
      </c>
      <c r="D70" s="2" t="str">
        <f t="array" ref="D70">IF($C70="","",INDEX(SchedZone,$C70,MAP!$B$6))</f>
        <v>2026_03_LAC_BUF</v>
      </c>
      <c r="E70" s="2">
        <f t="array" ref="E70">IF($C70="","",INDEX(SchedZone,$C70,MAP!$B$3))</f>
        <v>2026</v>
      </c>
      <c r="F70" s="2" t="str">
        <f t="array" ref="F70">IF($C70="","",INDEX(SchedZone,$C70,MAP!$B$5))</f>
        <v>REG</v>
      </c>
      <c r="G70" s="2">
        <f t="array" ref="G70">IF($C70="","",INDEX(SchedZone,$C70,MAP!$B$4))</f>
        <v>3</v>
      </c>
      <c r="H70" s="2" t="str">
        <f t="array" ref="H70">IF($C70="","",INDEX(SchedZone,$C70,MAP!$B$10))</f>
        <v>LAC</v>
      </c>
      <c r="I70" s="2" t="str">
        <f t="array" ref="I70">IF($H70="","",IF(COUNTIF(Teams,$H70)&gt;0,$H70,IFERROR(INDEX(LISTS!$D$2:$D$12,MATCH($H70,LISTS!$C$2:$C$12,0)),"⚠ "&amp;$H70)))</f>
        <v>LAC</v>
      </c>
      <c r="J70" s="2" t="str">
        <f t="array" ref="J70">IF($C70="","",INDEX(SchedZone,$C70,MAP!$B$12))</f>
        <v>BUF</v>
      </c>
      <c r="K70" s="2" t="str">
        <f t="array" ref="K70">IF($J70="","",IF(COUNTIF(Teams,$J70)&gt;0,$J70,IFERROR(INDEX(LISTS!$D$2:$D$12,MATCH($J70,LISTS!$C$2:$C$12,0)),"⚠ "&amp;$J70)))</f>
        <v>BUF</v>
      </c>
      <c r="L70" s="2" t="str">
        <f t="array" ref="L70">IF($C70="","",IF(INDEX(SchedZone,$C70,MAP!$B$14)="Neutral","N",IF($B70="HOME","H","A")))</f>
        <v>A</v>
      </c>
      <c r="M70" s="2" t="str">
        <f t="array" ref="M70">IF($C70="","",IF(INDEX(SchedZone,$C70,MAP!$B$11)="","",INDEX(SchedZone,$C70,MAP!$B$11)))</f>
        <v/>
      </c>
      <c r="N70" s="2" t="str">
        <f t="array" ref="N70">IF($C70="","",IF(INDEX(SchedZone,$C70,MAP!$B$13)="","",INDEX(SchedZone,$C70,MAP!$B$13)))</f>
        <v/>
      </c>
      <c r="O70" s="2">
        <f t="array" ref="O70">IF($C70="","",INDEX(SchedZone,$C70,MAP!$B$15))</f>
        <v>7</v>
      </c>
      <c r="P70" s="2" t="str">
        <f>IF($C70="","",IFERROR(MATCH($E70&amp;"|"&amp;$G70&amp;"|"&amp;$I70,StatsKey,0),""))</f>
        <v/>
      </c>
      <c r="Q70" s="2">
        <f t="array" ref="Q70">IF($P70="",0,INDEX(StatsZone,$P70,MAP!$E$9)+INDEX(StatsZone,$P70,MAP!$E$10)+INDEX(StatsZone,$P70,MAP!$E$11))</f>
        <v>0</v>
      </c>
      <c r="R70" s="2">
        <f t="array" ref="R70">IF($P70="",0,INDEX(StatsZone,$P70,MAP!$E$12))</f>
        <v>0</v>
      </c>
      <c r="S70" s="2">
        <f t="array" ref="S70">IF($P70="",0,INDEX(StatsZone,$P70,MAP!$E$13))</f>
        <v>0</v>
      </c>
      <c r="T70" s="2">
        <f t="shared" si="1"/>
        <v>0</v>
      </c>
      <c r="U70" s="2">
        <f t="array" ref="U70">IF($P70="",0,INDEX(StatsZone,$P70,MAP!$E$14)+INDEX(StatsZone,$P70,MAP!$E$15)+INDEX(StatsZone,$P70,MAP!$E$16))</f>
        <v>0</v>
      </c>
      <c r="V70" s="2">
        <f t="shared" si="2"/>
        <v>0</v>
      </c>
      <c r="W70" s="2">
        <f t="shared" si="3"/>
        <v>0</v>
      </c>
      <c r="X70" s="2">
        <f t="shared" si="4"/>
        <v>0</v>
      </c>
      <c r="Y70" s="2">
        <f t="shared" si="5"/>
        <v>0</v>
      </c>
      <c r="Z70" s="2">
        <f t="shared" si="6"/>
        <v>0</v>
      </c>
      <c r="AA70" s="2">
        <f t="shared" si="7"/>
        <v>-1</v>
      </c>
      <c r="AB70" s="2">
        <f>IF(OR($M70="",$N70=""),0,MEDIAN(-MarginCap,MarginCap,($M70-$N70)-$AA70*HFA_Base))</f>
        <v>0</v>
      </c>
      <c r="AC70" s="2">
        <f t="array" ref="AC70">IF(OR($P70="",INDEX($P$3:$P$722,(ROW()+IF(MOD(ROW()-3,2)=0,1,-1))-3+1)=""),0,MEDIAN(-MarginCap,MarginCap,($T70-$W70)-$AA70*HFA_Base))</f>
        <v>0</v>
      </c>
      <c r="AD70" s="2">
        <f t="shared" si="8"/>
        <v>0</v>
      </c>
      <c r="AE70" s="2">
        <f>IF(OR($M70="",$N70=""),0,IF(AND(WEpa&gt;0,$AD70=1),(1-WEpa)*$AB70+WEpa*$AC70,$AB70))</f>
        <v>0</v>
      </c>
      <c r="AF70" s="2">
        <f>IF(AND($C70&lt;&gt;"",$E70=CurrentSeason,$F70="REG",ISNUMBER($G70),$G70&lt;CurrentWeek,AND($M70&lt;&gt;"",$N70&lt;&gt;"")),1,0)</f>
        <v>0</v>
      </c>
      <c r="AG70" s="2">
        <f>IF($AF70=0,0,IF($G70&gt;=CurrentWeek-RecencyWin,RecencyMult,1))</f>
        <v>0</v>
      </c>
      <c r="AH70" s="2">
        <f>IF(AND($C70&lt;&gt;"",$E70=CurrentSeason,$F70="REG",ISNUMBER($G70),$G70&lt;CurrentWeek-1,AND($M70&lt;&gt;"",$N70&lt;&gt;"")),1,0)</f>
        <v>0</v>
      </c>
      <c r="AI70" s="2">
        <f>IF($AH70=0,0,IF($G70&gt;=CurrentWeek-1-RecencyWin,RecencyMult,1))</f>
        <v>0</v>
      </c>
      <c r="AJ70" s="2">
        <f>IF($AF70=0,0,IF($G70&gt;=CurrentWeek-RecencyWin,TotRecency,1))</f>
        <v>0</v>
      </c>
      <c r="AK70" s="2">
        <f t="shared" si="9"/>
        <v>0</v>
      </c>
      <c r="AL70" s="2">
        <f t="shared" si="10"/>
        <v>0</v>
      </c>
      <c r="AM70" s="2" t="str">
        <f t="array" ref="AM70">IF($K70="",0,IFERROR(INDEX(CALC!$F$2:$F$33,MATCH($K70,CALC!$A$2:$A$33,0)),0))</f>
        <v/>
      </c>
      <c r="AN70" s="2" t="str">
        <f t="array" ref="AN70">IF($K70="",0,IFERROR(INDEX(CALC!$I$2:$I$33,MATCH($K70,CALC!$A$2:$A$33,0)),0))</f>
        <v/>
      </c>
      <c r="AO70" s="2" t="str">
        <f t="array" ref="AO70">IF($K70="",0,IFERROR(INDEX(CALC!$L$2:$L$33,MATCH($K70,CALC!$A$2:$A$33,0)),0))</f>
        <v/>
      </c>
      <c r="AP70" s="2" t="str">
        <f t="array" ref="AP70">IF($K70="",0,IFERROR(INDEX(CALC!$T$2:$T$33,MATCH($K70,CALC!$A$2:$A$33,0)),0))</f>
        <v/>
      </c>
      <c r="AQ70" s="2" t="str">
        <f t="array" ref="AQ70">IF($K70="",0,IFERROR(INDEX(CALC!$W$2:$W$33,MATCH($K70,CALC!$A$2:$A$33,0)),0))</f>
        <v/>
      </c>
      <c r="AR70" s="2" t="str">
        <f t="array" ref="AR70">IF($K70="",0,IFERROR(INDEX(CALC!$Z$2:$Z$33,MATCH($K70,CALC!$A$2:$A$33,0)),0))</f>
        <v/>
      </c>
      <c r="AS70" s="2" t="str">
        <f t="array" ref="AS70">IF($K70="",0,IFERROR(INDEX(CALC!$AJ$2:$AJ$33,MATCH($K70,CALC!$A$2:$A$33,0)),0))</f>
        <v/>
      </c>
      <c r="AT70" s="2" t="str">
        <f t="array" ref="AT70">IF($K70="",0,IFERROR(INDEX(CALC!$AI$2:$AI$33,MATCH($K70,CALC!$A$2:$A$33,0)),0))</f>
        <v/>
      </c>
      <c r="AU70" s="2">
        <f t="shared" si="11"/>
        <v>0</v>
      </c>
      <c r="AV70" s="2">
        <f t="shared" si="12"/>
        <v>0</v>
      </c>
    </row>
    <row r="71" ht="15.0" customHeight="1">
      <c r="A71" s="2">
        <v>35.0</v>
      </c>
      <c r="B71" s="2" t="s">
        <v>2365</v>
      </c>
      <c r="C71" s="2">
        <f>IFERROR(MATCH($A71,SchedSeq,0),"")</f>
        <v>320</v>
      </c>
      <c r="D71" s="2" t="str">
        <f t="array" ref="D71">IF($C71="","",INDEX(SchedZone,$C71,MAP!$B$6))</f>
        <v>2026_03_CAR_CLE</v>
      </c>
      <c r="E71" s="2">
        <f t="array" ref="E71">IF($C71="","",INDEX(SchedZone,$C71,MAP!$B$3))</f>
        <v>2026</v>
      </c>
      <c r="F71" s="2" t="str">
        <f t="array" ref="F71">IF($C71="","",INDEX(SchedZone,$C71,MAP!$B$5))</f>
        <v>REG</v>
      </c>
      <c r="G71" s="2">
        <f t="array" ref="G71">IF($C71="","",INDEX(SchedZone,$C71,MAP!$B$4))</f>
        <v>3</v>
      </c>
      <c r="H71" s="2" t="str">
        <f t="array" ref="H71">IF($C71="","",INDEX(SchedZone,$C71,MAP!$B$12))</f>
        <v>CLE</v>
      </c>
      <c r="I71" s="2" t="str">
        <f t="array" ref="I71">IF($H71="","",IF(COUNTIF(Teams,$H71)&gt;0,$H71,IFERROR(INDEX(LISTS!$D$2:$D$12,MATCH($H71,LISTS!$C$2:$C$12,0)),"⚠ "&amp;$H71)))</f>
        <v>CLE</v>
      </c>
      <c r="J71" s="2" t="str">
        <f t="array" ref="J71">IF($C71="","",INDEX(SchedZone,$C71,MAP!$B$10))</f>
        <v>CAR</v>
      </c>
      <c r="K71" s="2" t="str">
        <f t="array" ref="K71">IF($J71="","",IF(COUNTIF(Teams,$J71)&gt;0,$J71,IFERROR(INDEX(LISTS!$D$2:$D$12,MATCH($J71,LISTS!$C$2:$C$12,0)),"⚠ "&amp;$J71)))</f>
        <v>CAR</v>
      </c>
      <c r="L71" s="2" t="str">
        <f t="array" ref="L71">IF($C71="","",IF(INDEX(SchedZone,$C71,MAP!$B$14)="Neutral","N",IF($B71="HOME","H","A")))</f>
        <v>H</v>
      </c>
      <c r="M71" s="2" t="str">
        <f t="array" ref="M71">IF($C71="","",IF(INDEX(SchedZone,$C71,MAP!$B$13)="","",INDEX(SchedZone,$C71,MAP!$B$13)))</f>
        <v/>
      </c>
      <c r="N71" s="2" t="str">
        <f t="array" ref="N71">IF($C71="","",IF(INDEX(SchedZone,$C71,MAP!$B$11)="","",INDEX(SchedZone,$C71,MAP!$B$11)))</f>
        <v/>
      </c>
      <c r="O71" s="2">
        <f t="array" ref="O71">IF($C71="","",INDEX(SchedZone,$C71,MAP!$B$16))</f>
        <v>7</v>
      </c>
      <c r="P71" s="2" t="str">
        <f>IF($C71="","",IFERROR(MATCH($E71&amp;"|"&amp;$G71&amp;"|"&amp;$I71,StatsKey,0),""))</f>
        <v/>
      </c>
      <c r="Q71" s="2">
        <f t="array" ref="Q71">IF($P71="",0,INDEX(StatsZone,$P71,MAP!$E$9)+INDEX(StatsZone,$P71,MAP!$E$10)+INDEX(StatsZone,$P71,MAP!$E$11))</f>
        <v>0</v>
      </c>
      <c r="R71" s="2">
        <f t="array" ref="R71">IF($P71="",0,INDEX(StatsZone,$P71,MAP!$E$12))</f>
        <v>0</v>
      </c>
      <c r="S71" s="2">
        <f t="array" ref="S71">IF($P71="",0,INDEX(StatsZone,$P71,MAP!$E$13))</f>
        <v>0</v>
      </c>
      <c r="T71" s="2">
        <f t="shared" si="1"/>
        <v>0</v>
      </c>
      <c r="U71" s="2">
        <f t="array" ref="U71">IF($P71="",0,INDEX(StatsZone,$P71,MAP!$E$14)+INDEX(StatsZone,$P71,MAP!$E$15)+INDEX(StatsZone,$P71,MAP!$E$16))</f>
        <v>0</v>
      </c>
      <c r="V71" s="2">
        <f t="shared" si="2"/>
        <v>0</v>
      </c>
      <c r="W71" s="2">
        <f t="shared" si="3"/>
        <v>0</v>
      </c>
      <c r="X71" s="2">
        <f t="shared" si="4"/>
        <v>0</v>
      </c>
      <c r="Y71" s="2">
        <f t="shared" si="5"/>
        <v>0</v>
      </c>
      <c r="Z71" s="2">
        <f t="shared" si="6"/>
        <v>0</v>
      </c>
      <c r="AA71" s="2">
        <f t="shared" si="7"/>
        <v>1</v>
      </c>
      <c r="AB71" s="2">
        <f>IF(OR($M71="",$N71=""),0,MEDIAN(-MarginCap,MarginCap,($M71-$N71)-$AA71*HFA_Base))</f>
        <v>0</v>
      </c>
      <c r="AC71" s="2">
        <f t="array" ref="AC71">IF(OR($P71="",INDEX($P$3:$P$722,(ROW()+IF(MOD(ROW()-3,2)=0,1,-1))-3+1)=""),0,MEDIAN(-MarginCap,MarginCap,($T71-$W71)-$AA71*HFA_Base))</f>
        <v>0</v>
      </c>
      <c r="AD71" s="2">
        <f t="shared" si="8"/>
        <v>0</v>
      </c>
      <c r="AE71" s="2">
        <f>IF(OR($M71="",$N71=""),0,IF(AND(WEpa&gt;0,$AD71=1),(1-WEpa)*$AB71+WEpa*$AC71,$AB71))</f>
        <v>0</v>
      </c>
      <c r="AF71" s="2">
        <f>IF(AND($C71&lt;&gt;"",$E71=CurrentSeason,$F71="REG",ISNUMBER($G71),$G71&lt;CurrentWeek,AND($M71&lt;&gt;"",$N71&lt;&gt;"")),1,0)</f>
        <v>0</v>
      </c>
      <c r="AG71" s="2">
        <f>IF($AF71=0,0,IF($G71&gt;=CurrentWeek-RecencyWin,RecencyMult,1))</f>
        <v>0</v>
      </c>
      <c r="AH71" s="2">
        <f>IF(AND($C71&lt;&gt;"",$E71=CurrentSeason,$F71="REG",ISNUMBER($G71),$G71&lt;CurrentWeek-1,AND($M71&lt;&gt;"",$N71&lt;&gt;"")),1,0)</f>
        <v>0</v>
      </c>
      <c r="AI71" s="2">
        <f>IF($AH71=0,0,IF($G71&gt;=CurrentWeek-1-RecencyWin,RecencyMult,1))</f>
        <v>0</v>
      </c>
      <c r="AJ71" s="2">
        <f>IF($AF71=0,0,IF($G71&gt;=CurrentWeek-RecencyWin,TotRecency,1))</f>
        <v>0</v>
      </c>
      <c r="AK71" s="2">
        <f t="shared" si="9"/>
        <v>0</v>
      </c>
      <c r="AL71" s="2">
        <f t="shared" si="10"/>
        <v>0</v>
      </c>
      <c r="AM71" s="2" t="str">
        <f t="array" ref="AM71">IF($K71="",0,IFERROR(INDEX(CALC!$F$2:$F$33,MATCH($K71,CALC!$A$2:$A$33,0)),0))</f>
        <v/>
      </c>
      <c r="AN71" s="2" t="str">
        <f t="array" ref="AN71">IF($K71="",0,IFERROR(INDEX(CALC!$I$2:$I$33,MATCH($K71,CALC!$A$2:$A$33,0)),0))</f>
        <v/>
      </c>
      <c r="AO71" s="2" t="str">
        <f t="array" ref="AO71">IF($K71="",0,IFERROR(INDEX(CALC!$L$2:$L$33,MATCH($K71,CALC!$A$2:$A$33,0)),0))</f>
        <v/>
      </c>
      <c r="AP71" s="2" t="str">
        <f t="array" ref="AP71">IF($K71="",0,IFERROR(INDEX(CALC!$T$2:$T$33,MATCH($K71,CALC!$A$2:$A$33,0)),0))</f>
        <v/>
      </c>
      <c r="AQ71" s="2" t="str">
        <f t="array" ref="AQ71">IF($K71="",0,IFERROR(INDEX(CALC!$W$2:$W$33,MATCH($K71,CALC!$A$2:$A$33,0)),0))</f>
        <v/>
      </c>
      <c r="AR71" s="2" t="str">
        <f t="array" ref="AR71">IF($K71="",0,IFERROR(INDEX(CALC!$Z$2:$Z$33,MATCH($K71,CALC!$A$2:$A$33,0)),0))</f>
        <v/>
      </c>
      <c r="AS71" s="2" t="str">
        <f t="array" ref="AS71">IF($K71="",0,IFERROR(INDEX(CALC!$AJ$2:$AJ$33,MATCH($K71,CALC!$A$2:$A$33,0)),0))</f>
        <v/>
      </c>
      <c r="AT71" s="2" t="str">
        <f t="array" ref="AT71">IF($K71="",0,IFERROR(INDEX(CALC!$AI$2:$AI$33,MATCH($K71,CALC!$A$2:$A$33,0)),0))</f>
        <v/>
      </c>
      <c r="AU71" s="2">
        <f t="shared" si="11"/>
        <v>0</v>
      </c>
      <c r="AV71" s="2">
        <f t="shared" si="12"/>
        <v>0</v>
      </c>
    </row>
    <row r="72" ht="15.0" customHeight="1">
      <c r="A72" s="2">
        <v>35.0</v>
      </c>
      <c r="B72" s="2" t="s">
        <v>2366</v>
      </c>
      <c r="C72" s="2">
        <f>IFERROR(MATCH($A72,SchedSeq,0),"")</f>
        <v>320</v>
      </c>
      <c r="D72" s="2" t="str">
        <f t="array" ref="D72">IF($C72="","",INDEX(SchedZone,$C72,MAP!$B$6))</f>
        <v>2026_03_CAR_CLE</v>
      </c>
      <c r="E72" s="2">
        <f t="array" ref="E72">IF($C72="","",INDEX(SchedZone,$C72,MAP!$B$3))</f>
        <v>2026</v>
      </c>
      <c r="F72" s="2" t="str">
        <f t="array" ref="F72">IF($C72="","",INDEX(SchedZone,$C72,MAP!$B$5))</f>
        <v>REG</v>
      </c>
      <c r="G72" s="2">
        <f t="array" ref="G72">IF($C72="","",INDEX(SchedZone,$C72,MAP!$B$4))</f>
        <v>3</v>
      </c>
      <c r="H72" s="2" t="str">
        <f t="array" ref="H72">IF($C72="","",INDEX(SchedZone,$C72,MAP!$B$10))</f>
        <v>CAR</v>
      </c>
      <c r="I72" s="2" t="str">
        <f t="array" ref="I72">IF($H72="","",IF(COUNTIF(Teams,$H72)&gt;0,$H72,IFERROR(INDEX(LISTS!$D$2:$D$12,MATCH($H72,LISTS!$C$2:$C$12,0)),"⚠ "&amp;$H72)))</f>
        <v>CAR</v>
      </c>
      <c r="J72" s="2" t="str">
        <f t="array" ref="J72">IF($C72="","",INDEX(SchedZone,$C72,MAP!$B$12))</f>
        <v>CLE</v>
      </c>
      <c r="K72" s="2" t="str">
        <f t="array" ref="K72">IF($J72="","",IF(COUNTIF(Teams,$J72)&gt;0,$J72,IFERROR(INDEX(LISTS!$D$2:$D$12,MATCH($J72,LISTS!$C$2:$C$12,0)),"⚠ "&amp;$J72)))</f>
        <v>CLE</v>
      </c>
      <c r="L72" s="2" t="str">
        <f t="array" ref="L72">IF($C72="","",IF(INDEX(SchedZone,$C72,MAP!$B$14)="Neutral","N",IF($B72="HOME","H","A")))</f>
        <v>A</v>
      </c>
      <c r="M72" s="2" t="str">
        <f t="array" ref="M72">IF($C72="","",IF(INDEX(SchedZone,$C72,MAP!$B$11)="","",INDEX(SchedZone,$C72,MAP!$B$11)))</f>
        <v/>
      </c>
      <c r="N72" s="2" t="str">
        <f t="array" ref="N72">IF($C72="","",IF(INDEX(SchedZone,$C72,MAP!$B$13)="","",INDEX(SchedZone,$C72,MAP!$B$13)))</f>
        <v/>
      </c>
      <c r="O72" s="2">
        <f t="array" ref="O72">IF($C72="","",INDEX(SchedZone,$C72,MAP!$B$15))</f>
        <v>7</v>
      </c>
      <c r="P72" s="2" t="str">
        <f>IF($C72="","",IFERROR(MATCH($E72&amp;"|"&amp;$G72&amp;"|"&amp;$I72,StatsKey,0),""))</f>
        <v/>
      </c>
      <c r="Q72" s="2">
        <f t="array" ref="Q72">IF($P72="",0,INDEX(StatsZone,$P72,MAP!$E$9)+INDEX(StatsZone,$P72,MAP!$E$10)+INDEX(StatsZone,$P72,MAP!$E$11))</f>
        <v>0</v>
      </c>
      <c r="R72" s="2">
        <f t="array" ref="R72">IF($P72="",0,INDEX(StatsZone,$P72,MAP!$E$12))</f>
        <v>0</v>
      </c>
      <c r="S72" s="2">
        <f t="array" ref="S72">IF($P72="",0,INDEX(StatsZone,$P72,MAP!$E$13))</f>
        <v>0</v>
      </c>
      <c r="T72" s="2">
        <f t="shared" si="1"/>
        <v>0</v>
      </c>
      <c r="U72" s="2">
        <f t="array" ref="U72">IF($P72="",0,INDEX(StatsZone,$P72,MAP!$E$14)+INDEX(StatsZone,$P72,MAP!$E$15)+INDEX(StatsZone,$P72,MAP!$E$16))</f>
        <v>0</v>
      </c>
      <c r="V72" s="2">
        <f t="shared" si="2"/>
        <v>0</v>
      </c>
      <c r="W72" s="2">
        <f t="shared" si="3"/>
        <v>0</v>
      </c>
      <c r="X72" s="2">
        <f t="shared" si="4"/>
        <v>0</v>
      </c>
      <c r="Y72" s="2">
        <f t="shared" si="5"/>
        <v>0</v>
      </c>
      <c r="Z72" s="2">
        <f t="shared" si="6"/>
        <v>0</v>
      </c>
      <c r="AA72" s="2">
        <f t="shared" si="7"/>
        <v>-1</v>
      </c>
      <c r="AB72" s="2">
        <f>IF(OR($M72="",$N72=""),0,MEDIAN(-MarginCap,MarginCap,($M72-$N72)-$AA72*HFA_Base))</f>
        <v>0</v>
      </c>
      <c r="AC72" s="2">
        <f t="array" ref="AC72">IF(OR($P72="",INDEX($P$3:$P$722,(ROW()+IF(MOD(ROW()-3,2)=0,1,-1))-3+1)=""),0,MEDIAN(-MarginCap,MarginCap,($T72-$W72)-$AA72*HFA_Base))</f>
        <v>0</v>
      </c>
      <c r="AD72" s="2">
        <f t="shared" si="8"/>
        <v>0</v>
      </c>
      <c r="AE72" s="2">
        <f>IF(OR($M72="",$N72=""),0,IF(AND(WEpa&gt;0,$AD72=1),(1-WEpa)*$AB72+WEpa*$AC72,$AB72))</f>
        <v>0</v>
      </c>
      <c r="AF72" s="2">
        <f>IF(AND($C72&lt;&gt;"",$E72=CurrentSeason,$F72="REG",ISNUMBER($G72),$G72&lt;CurrentWeek,AND($M72&lt;&gt;"",$N72&lt;&gt;"")),1,0)</f>
        <v>0</v>
      </c>
      <c r="AG72" s="2">
        <f>IF($AF72=0,0,IF($G72&gt;=CurrentWeek-RecencyWin,RecencyMult,1))</f>
        <v>0</v>
      </c>
      <c r="AH72" s="2">
        <f>IF(AND($C72&lt;&gt;"",$E72=CurrentSeason,$F72="REG",ISNUMBER($G72),$G72&lt;CurrentWeek-1,AND($M72&lt;&gt;"",$N72&lt;&gt;"")),1,0)</f>
        <v>0</v>
      </c>
      <c r="AI72" s="2">
        <f>IF($AH72=0,0,IF($G72&gt;=CurrentWeek-1-RecencyWin,RecencyMult,1))</f>
        <v>0</v>
      </c>
      <c r="AJ72" s="2">
        <f>IF($AF72=0,0,IF($G72&gt;=CurrentWeek-RecencyWin,TotRecency,1))</f>
        <v>0</v>
      </c>
      <c r="AK72" s="2">
        <f t="shared" si="9"/>
        <v>0</v>
      </c>
      <c r="AL72" s="2">
        <f t="shared" si="10"/>
        <v>0</v>
      </c>
      <c r="AM72" s="2" t="str">
        <f t="array" ref="AM72">IF($K72="",0,IFERROR(INDEX(CALC!$F$2:$F$33,MATCH($K72,CALC!$A$2:$A$33,0)),0))</f>
        <v/>
      </c>
      <c r="AN72" s="2" t="str">
        <f t="array" ref="AN72">IF($K72="",0,IFERROR(INDEX(CALC!$I$2:$I$33,MATCH($K72,CALC!$A$2:$A$33,0)),0))</f>
        <v/>
      </c>
      <c r="AO72" s="2" t="str">
        <f t="array" ref="AO72">IF($K72="",0,IFERROR(INDEX(CALC!$L$2:$L$33,MATCH($K72,CALC!$A$2:$A$33,0)),0))</f>
        <v/>
      </c>
      <c r="AP72" s="2" t="str">
        <f t="array" ref="AP72">IF($K72="",0,IFERROR(INDEX(CALC!$T$2:$T$33,MATCH($K72,CALC!$A$2:$A$33,0)),0))</f>
        <v/>
      </c>
      <c r="AQ72" s="2" t="str">
        <f t="array" ref="AQ72">IF($K72="",0,IFERROR(INDEX(CALC!$W$2:$W$33,MATCH($K72,CALC!$A$2:$A$33,0)),0))</f>
        <v/>
      </c>
      <c r="AR72" s="2" t="str">
        <f t="array" ref="AR72">IF($K72="",0,IFERROR(INDEX(CALC!$Z$2:$Z$33,MATCH($K72,CALC!$A$2:$A$33,0)),0))</f>
        <v/>
      </c>
      <c r="AS72" s="2" t="str">
        <f t="array" ref="AS72">IF($K72="",0,IFERROR(INDEX(CALC!$AJ$2:$AJ$33,MATCH($K72,CALC!$A$2:$A$33,0)),0))</f>
        <v/>
      </c>
      <c r="AT72" s="2" t="str">
        <f t="array" ref="AT72">IF($K72="",0,IFERROR(INDEX(CALC!$AI$2:$AI$33,MATCH($K72,CALC!$A$2:$A$33,0)),0))</f>
        <v/>
      </c>
      <c r="AU72" s="2">
        <f t="shared" si="11"/>
        <v>0</v>
      </c>
      <c r="AV72" s="2">
        <f t="shared" si="12"/>
        <v>0</v>
      </c>
    </row>
    <row r="73" ht="15.0" customHeight="1">
      <c r="A73" s="2">
        <v>36.0</v>
      </c>
      <c r="B73" s="2" t="s">
        <v>2365</v>
      </c>
      <c r="C73" s="2">
        <f>IFERROR(MATCH($A73,SchedSeq,0),"")</f>
        <v>321</v>
      </c>
      <c r="D73" s="2" t="str">
        <f t="array" ref="D73">IF($C73="","",INDEX(SchedZone,$C73,MAP!$B$6))</f>
        <v>2026_03_NYJ_DET</v>
      </c>
      <c r="E73" s="2">
        <f t="array" ref="E73">IF($C73="","",INDEX(SchedZone,$C73,MAP!$B$3))</f>
        <v>2026</v>
      </c>
      <c r="F73" s="2" t="str">
        <f t="array" ref="F73">IF($C73="","",INDEX(SchedZone,$C73,MAP!$B$5))</f>
        <v>REG</v>
      </c>
      <c r="G73" s="2">
        <f t="array" ref="G73">IF($C73="","",INDEX(SchedZone,$C73,MAP!$B$4))</f>
        <v>3</v>
      </c>
      <c r="H73" s="2" t="str">
        <f t="array" ref="H73">IF($C73="","",INDEX(SchedZone,$C73,MAP!$B$12))</f>
        <v>DET</v>
      </c>
      <c r="I73" s="2" t="str">
        <f t="array" ref="I73">IF($H73="","",IF(COUNTIF(Teams,$H73)&gt;0,$H73,IFERROR(INDEX(LISTS!$D$2:$D$12,MATCH($H73,LISTS!$C$2:$C$12,0)),"⚠ "&amp;$H73)))</f>
        <v>DET</v>
      </c>
      <c r="J73" s="2" t="str">
        <f t="array" ref="J73">IF($C73="","",INDEX(SchedZone,$C73,MAP!$B$10))</f>
        <v>NYJ</v>
      </c>
      <c r="K73" s="2" t="str">
        <f t="array" ref="K73">IF($J73="","",IF(COUNTIF(Teams,$J73)&gt;0,$J73,IFERROR(INDEX(LISTS!$D$2:$D$12,MATCH($J73,LISTS!$C$2:$C$12,0)),"⚠ "&amp;$J73)))</f>
        <v>NYJ</v>
      </c>
      <c r="L73" s="2" t="str">
        <f t="array" ref="L73">IF($C73="","",IF(INDEX(SchedZone,$C73,MAP!$B$14)="Neutral","N",IF($B73="HOME","H","A")))</f>
        <v>H</v>
      </c>
      <c r="M73" s="2" t="str">
        <f t="array" ref="M73">IF($C73="","",IF(INDEX(SchedZone,$C73,MAP!$B$13)="","",INDEX(SchedZone,$C73,MAP!$B$13)))</f>
        <v/>
      </c>
      <c r="N73" s="2" t="str">
        <f t="array" ref="N73">IF($C73="","",IF(INDEX(SchedZone,$C73,MAP!$B$11)="","",INDEX(SchedZone,$C73,MAP!$B$11)))</f>
        <v/>
      </c>
      <c r="O73" s="2">
        <f t="array" ref="O73">IF($C73="","",INDEX(SchedZone,$C73,MAP!$B$16))</f>
        <v>10</v>
      </c>
      <c r="P73" s="2" t="str">
        <f>IF($C73="","",IFERROR(MATCH($E73&amp;"|"&amp;$G73&amp;"|"&amp;$I73,StatsKey,0),""))</f>
        <v/>
      </c>
      <c r="Q73" s="2">
        <f t="array" ref="Q73">IF($P73="",0,INDEX(StatsZone,$P73,MAP!$E$9)+INDEX(StatsZone,$P73,MAP!$E$10)+INDEX(StatsZone,$P73,MAP!$E$11))</f>
        <v>0</v>
      </c>
      <c r="R73" s="2">
        <f t="array" ref="R73">IF($P73="",0,INDEX(StatsZone,$P73,MAP!$E$12))</f>
        <v>0</v>
      </c>
      <c r="S73" s="2">
        <f t="array" ref="S73">IF($P73="",0,INDEX(StatsZone,$P73,MAP!$E$13))</f>
        <v>0</v>
      </c>
      <c r="T73" s="2">
        <f t="shared" si="1"/>
        <v>0</v>
      </c>
      <c r="U73" s="2">
        <f t="array" ref="U73">IF($P73="",0,INDEX(StatsZone,$P73,MAP!$E$14)+INDEX(StatsZone,$P73,MAP!$E$15)+INDEX(StatsZone,$P73,MAP!$E$16))</f>
        <v>0</v>
      </c>
      <c r="V73" s="2">
        <f t="shared" si="2"/>
        <v>0</v>
      </c>
      <c r="W73" s="2">
        <f t="shared" si="3"/>
        <v>0</v>
      </c>
      <c r="X73" s="2">
        <f t="shared" si="4"/>
        <v>0</v>
      </c>
      <c r="Y73" s="2">
        <f t="shared" si="5"/>
        <v>0</v>
      </c>
      <c r="Z73" s="2">
        <f t="shared" si="6"/>
        <v>0</v>
      </c>
      <c r="AA73" s="2">
        <f t="shared" si="7"/>
        <v>1</v>
      </c>
      <c r="AB73" s="2">
        <f>IF(OR($M73="",$N73=""),0,MEDIAN(-MarginCap,MarginCap,($M73-$N73)-$AA73*HFA_Base))</f>
        <v>0</v>
      </c>
      <c r="AC73" s="2">
        <f t="array" ref="AC73">IF(OR($P73="",INDEX($P$3:$P$722,(ROW()+IF(MOD(ROW()-3,2)=0,1,-1))-3+1)=""),0,MEDIAN(-MarginCap,MarginCap,($T73-$W73)-$AA73*HFA_Base))</f>
        <v>0</v>
      </c>
      <c r="AD73" s="2">
        <f t="shared" si="8"/>
        <v>0</v>
      </c>
      <c r="AE73" s="2">
        <f>IF(OR($M73="",$N73=""),0,IF(AND(WEpa&gt;0,$AD73=1),(1-WEpa)*$AB73+WEpa*$AC73,$AB73))</f>
        <v>0</v>
      </c>
      <c r="AF73" s="2">
        <f>IF(AND($C73&lt;&gt;"",$E73=CurrentSeason,$F73="REG",ISNUMBER($G73),$G73&lt;CurrentWeek,AND($M73&lt;&gt;"",$N73&lt;&gt;"")),1,0)</f>
        <v>0</v>
      </c>
      <c r="AG73" s="2">
        <f>IF($AF73=0,0,IF($G73&gt;=CurrentWeek-RecencyWin,RecencyMult,1))</f>
        <v>0</v>
      </c>
      <c r="AH73" s="2">
        <f>IF(AND($C73&lt;&gt;"",$E73=CurrentSeason,$F73="REG",ISNUMBER($G73),$G73&lt;CurrentWeek-1,AND($M73&lt;&gt;"",$N73&lt;&gt;"")),1,0)</f>
        <v>0</v>
      </c>
      <c r="AI73" s="2">
        <f>IF($AH73=0,0,IF($G73&gt;=CurrentWeek-1-RecencyWin,RecencyMult,1))</f>
        <v>0</v>
      </c>
      <c r="AJ73" s="2">
        <f>IF($AF73=0,0,IF($G73&gt;=CurrentWeek-RecencyWin,TotRecency,1))</f>
        <v>0</v>
      </c>
      <c r="AK73" s="2">
        <f t="shared" si="9"/>
        <v>0</v>
      </c>
      <c r="AL73" s="2">
        <f t="shared" si="10"/>
        <v>0</v>
      </c>
      <c r="AM73" s="2" t="str">
        <f t="array" ref="AM73">IF($K73="",0,IFERROR(INDEX(CALC!$F$2:$F$33,MATCH($K73,CALC!$A$2:$A$33,0)),0))</f>
        <v/>
      </c>
      <c r="AN73" s="2" t="str">
        <f t="array" ref="AN73">IF($K73="",0,IFERROR(INDEX(CALC!$I$2:$I$33,MATCH($K73,CALC!$A$2:$A$33,0)),0))</f>
        <v/>
      </c>
      <c r="AO73" s="2" t="str">
        <f t="array" ref="AO73">IF($K73="",0,IFERROR(INDEX(CALC!$L$2:$L$33,MATCH($K73,CALC!$A$2:$A$33,0)),0))</f>
        <v/>
      </c>
      <c r="AP73" s="2" t="str">
        <f t="array" ref="AP73">IF($K73="",0,IFERROR(INDEX(CALC!$T$2:$T$33,MATCH($K73,CALC!$A$2:$A$33,0)),0))</f>
        <v/>
      </c>
      <c r="AQ73" s="2" t="str">
        <f t="array" ref="AQ73">IF($K73="",0,IFERROR(INDEX(CALC!$W$2:$W$33,MATCH($K73,CALC!$A$2:$A$33,0)),0))</f>
        <v/>
      </c>
      <c r="AR73" s="2" t="str">
        <f t="array" ref="AR73">IF($K73="",0,IFERROR(INDEX(CALC!$Z$2:$Z$33,MATCH($K73,CALC!$A$2:$A$33,0)),0))</f>
        <v/>
      </c>
      <c r="AS73" s="2" t="str">
        <f t="array" ref="AS73">IF($K73="",0,IFERROR(INDEX(CALC!$AJ$2:$AJ$33,MATCH($K73,CALC!$A$2:$A$33,0)),0))</f>
        <v/>
      </c>
      <c r="AT73" s="2" t="str">
        <f t="array" ref="AT73">IF($K73="",0,IFERROR(INDEX(CALC!$AI$2:$AI$33,MATCH($K73,CALC!$A$2:$A$33,0)),0))</f>
        <v/>
      </c>
      <c r="AU73" s="2">
        <f t="shared" si="11"/>
        <v>0</v>
      </c>
      <c r="AV73" s="2">
        <f t="shared" si="12"/>
        <v>0</v>
      </c>
    </row>
    <row r="74" ht="15.0" customHeight="1">
      <c r="A74" s="2">
        <v>36.0</v>
      </c>
      <c r="B74" s="2" t="s">
        <v>2366</v>
      </c>
      <c r="C74" s="2">
        <f>IFERROR(MATCH($A74,SchedSeq,0),"")</f>
        <v>321</v>
      </c>
      <c r="D74" s="2" t="str">
        <f t="array" ref="D74">IF($C74="","",INDEX(SchedZone,$C74,MAP!$B$6))</f>
        <v>2026_03_NYJ_DET</v>
      </c>
      <c r="E74" s="2">
        <f t="array" ref="E74">IF($C74="","",INDEX(SchedZone,$C74,MAP!$B$3))</f>
        <v>2026</v>
      </c>
      <c r="F74" s="2" t="str">
        <f t="array" ref="F74">IF($C74="","",INDEX(SchedZone,$C74,MAP!$B$5))</f>
        <v>REG</v>
      </c>
      <c r="G74" s="2">
        <f t="array" ref="G74">IF($C74="","",INDEX(SchedZone,$C74,MAP!$B$4))</f>
        <v>3</v>
      </c>
      <c r="H74" s="2" t="str">
        <f t="array" ref="H74">IF($C74="","",INDEX(SchedZone,$C74,MAP!$B$10))</f>
        <v>NYJ</v>
      </c>
      <c r="I74" s="2" t="str">
        <f t="array" ref="I74">IF($H74="","",IF(COUNTIF(Teams,$H74)&gt;0,$H74,IFERROR(INDEX(LISTS!$D$2:$D$12,MATCH($H74,LISTS!$C$2:$C$12,0)),"⚠ "&amp;$H74)))</f>
        <v>NYJ</v>
      </c>
      <c r="J74" s="2" t="str">
        <f t="array" ref="J74">IF($C74="","",INDEX(SchedZone,$C74,MAP!$B$12))</f>
        <v>DET</v>
      </c>
      <c r="K74" s="2" t="str">
        <f t="array" ref="K74">IF($J74="","",IF(COUNTIF(Teams,$J74)&gt;0,$J74,IFERROR(INDEX(LISTS!$D$2:$D$12,MATCH($J74,LISTS!$C$2:$C$12,0)),"⚠ "&amp;$J74)))</f>
        <v>DET</v>
      </c>
      <c r="L74" s="2" t="str">
        <f t="array" ref="L74">IF($C74="","",IF(INDEX(SchedZone,$C74,MAP!$B$14)="Neutral","N",IF($B74="HOME","H","A")))</f>
        <v>A</v>
      </c>
      <c r="M74" s="2" t="str">
        <f t="array" ref="M74">IF($C74="","",IF(INDEX(SchedZone,$C74,MAP!$B$11)="","",INDEX(SchedZone,$C74,MAP!$B$11)))</f>
        <v/>
      </c>
      <c r="N74" s="2" t="str">
        <f t="array" ref="N74">IF($C74="","",IF(INDEX(SchedZone,$C74,MAP!$B$13)="","",INDEX(SchedZone,$C74,MAP!$B$13)))</f>
        <v/>
      </c>
      <c r="O74" s="2">
        <f t="array" ref="O74">IF($C74="","",INDEX(SchedZone,$C74,MAP!$B$15))</f>
        <v>7</v>
      </c>
      <c r="P74" s="2" t="str">
        <f>IF($C74="","",IFERROR(MATCH($E74&amp;"|"&amp;$G74&amp;"|"&amp;$I74,StatsKey,0),""))</f>
        <v/>
      </c>
      <c r="Q74" s="2">
        <f t="array" ref="Q74">IF($P74="",0,INDEX(StatsZone,$P74,MAP!$E$9)+INDEX(StatsZone,$P74,MAP!$E$10)+INDEX(StatsZone,$P74,MAP!$E$11))</f>
        <v>0</v>
      </c>
      <c r="R74" s="2">
        <f t="array" ref="R74">IF($P74="",0,INDEX(StatsZone,$P74,MAP!$E$12))</f>
        <v>0</v>
      </c>
      <c r="S74" s="2">
        <f t="array" ref="S74">IF($P74="",0,INDEX(StatsZone,$P74,MAP!$E$13))</f>
        <v>0</v>
      </c>
      <c r="T74" s="2">
        <f t="shared" si="1"/>
        <v>0</v>
      </c>
      <c r="U74" s="2">
        <f t="array" ref="U74">IF($P74="",0,INDEX(StatsZone,$P74,MAP!$E$14)+INDEX(StatsZone,$P74,MAP!$E$15)+INDEX(StatsZone,$P74,MAP!$E$16))</f>
        <v>0</v>
      </c>
      <c r="V74" s="2">
        <f t="shared" si="2"/>
        <v>0</v>
      </c>
      <c r="W74" s="2">
        <f t="shared" si="3"/>
        <v>0</v>
      </c>
      <c r="X74" s="2">
        <f t="shared" si="4"/>
        <v>0</v>
      </c>
      <c r="Y74" s="2">
        <f t="shared" si="5"/>
        <v>0</v>
      </c>
      <c r="Z74" s="2">
        <f t="shared" si="6"/>
        <v>0</v>
      </c>
      <c r="AA74" s="2">
        <f t="shared" si="7"/>
        <v>-1</v>
      </c>
      <c r="AB74" s="2">
        <f>IF(OR($M74="",$N74=""),0,MEDIAN(-MarginCap,MarginCap,($M74-$N74)-$AA74*HFA_Base))</f>
        <v>0</v>
      </c>
      <c r="AC74" s="2">
        <f t="array" ref="AC74">IF(OR($P74="",INDEX($P$3:$P$722,(ROW()+IF(MOD(ROW()-3,2)=0,1,-1))-3+1)=""),0,MEDIAN(-MarginCap,MarginCap,($T74-$W74)-$AA74*HFA_Base))</f>
        <v>0</v>
      </c>
      <c r="AD74" s="2">
        <f t="shared" si="8"/>
        <v>0</v>
      </c>
      <c r="AE74" s="2">
        <f>IF(OR($M74="",$N74=""),0,IF(AND(WEpa&gt;0,$AD74=1),(1-WEpa)*$AB74+WEpa*$AC74,$AB74))</f>
        <v>0</v>
      </c>
      <c r="AF74" s="2">
        <f>IF(AND($C74&lt;&gt;"",$E74=CurrentSeason,$F74="REG",ISNUMBER($G74),$G74&lt;CurrentWeek,AND($M74&lt;&gt;"",$N74&lt;&gt;"")),1,0)</f>
        <v>0</v>
      </c>
      <c r="AG74" s="2">
        <f>IF($AF74=0,0,IF($G74&gt;=CurrentWeek-RecencyWin,RecencyMult,1))</f>
        <v>0</v>
      </c>
      <c r="AH74" s="2">
        <f>IF(AND($C74&lt;&gt;"",$E74=CurrentSeason,$F74="REG",ISNUMBER($G74),$G74&lt;CurrentWeek-1,AND($M74&lt;&gt;"",$N74&lt;&gt;"")),1,0)</f>
        <v>0</v>
      </c>
      <c r="AI74" s="2">
        <f>IF($AH74=0,0,IF($G74&gt;=CurrentWeek-1-RecencyWin,RecencyMult,1))</f>
        <v>0</v>
      </c>
      <c r="AJ74" s="2">
        <f>IF($AF74=0,0,IF($G74&gt;=CurrentWeek-RecencyWin,TotRecency,1))</f>
        <v>0</v>
      </c>
      <c r="AK74" s="2">
        <f t="shared" si="9"/>
        <v>0</v>
      </c>
      <c r="AL74" s="2">
        <f t="shared" si="10"/>
        <v>0</v>
      </c>
      <c r="AM74" s="2" t="str">
        <f t="array" ref="AM74">IF($K74="",0,IFERROR(INDEX(CALC!$F$2:$F$33,MATCH($K74,CALC!$A$2:$A$33,0)),0))</f>
        <v/>
      </c>
      <c r="AN74" s="2" t="str">
        <f t="array" ref="AN74">IF($K74="",0,IFERROR(INDEX(CALC!$I$2:$I$33,MATCH($K74,CALC!$A$2:$A$33,0)),0))</f>
        <v/>
      </c>
      <c r="AO74" s="2" t="str">
        <f t="array" ref="AO74">IF($K74="",0,IFERROR(INDEX(CALC!$L$2:$L$33,MATCH($K74,CALC!$A$2:$A$33,0)),0))</f>
        <v/>
      </c>
      <c r="AP74" s="2" t="str">
        <f t="array" ref="AP74">IF($K74="",0,IFERROR(INDEX(CALC!$T$2:$T$33,MATCH($K74,CALC!$A$2:$A$33,0)),0))</f>
        <v/>
      </c>
      <c r="AQ74" s="2" t="str">
        <f t="array" ref="AQ74">IF($K74="",0,IFERROR(INDEX(CALC!$W$2:$W$33,MATCH($K74,CALC!$A$2:$A$33,0)),0))</f>
        <v/>
      </c>
      <c r="AR74" s="2" t="str">
        <f t="array" ref="AR74">IF($K74="",0,IFERROR(INDEX(CALC!$Z$2:$Z$33,MATCH($K74,CALC!$A$2:$A$33,0)),0))</f>
        <v/>
      </c>
      <c r="AS74" s="2" t="str">
        <f t="array" ref="AS74">IF($K74="",0,IFERROR(INDEX(CALC!$AJ$2:$AJ$33,MATCH($K74,CALC!$A$2:$A$33,0)),0))</f>
        <v/>
      </c>
      <c r="AT74" s="2" t="str">
        <f t="array" ref="AT74">IF($K74="",0,IFERROR(INDEX(CALC!$AI$2:$AI$33,MATCH($K74,CALC!$A$2:$A$33,0)),0))</f>
        <v/>
      </c>
      <c r="AU74" s="2">
        <f t="shared" si="11"/>
        <v>0</v>
      </c>
      <c r="AV74" s="2">
        <f t="shared" si="12"/>
        <v>0</v>
      </c>
    </row>
    <row r="75" ht="15.0" customHeight="1">
      <c r="A75" s="2">
        <v>37.0</v>
      </c>
      <c r="B75" s="2" t="s">
        <v>2365</v>
      </c>
      <c r="C75" s="2">
        <f>IFERROR(MATCH($A75,SchedSeq,0),"")</f>
        <v>322</v>
      </c>
      <c r="D75" s="2" t="str">
        <f t="array" ref="D75">IF($C75="","",INDEX(SchedZone,$C75,MAP!$B$6))</f>
        <v>2026_03_HOU_IND</v>
      </c>
      <c r="E75" s="2">
        <f t="array" ref="E75">IF($C75="","",INDEX(SchedZone,$C75,MAP!$B$3))</f>
        <v>2026</v>
      </c>
      <c r="F75" s="2" t="str">
        <f t="array" ref="F75">IF($C75="","",INDEX(SchedZone,$C75,MAP!$B$5))</f>
        <v>REG</v>
      </c>
      <c r="G75" s="2">
        <f t="array" ref="G75">IF($C75="","",INDEX(SchedZone,$C75,MAP!$B$4))</f>
        <v>3</v>
      </c>
      <c r="H75" s="2" t="str">
        <f t="array" ref="H75">IF($C75="","",INDEX(SchedZone,$C75,MAP!$B$12))</f>
        <v>IND</v>
      </c>
      <c r="I75" s="2" t="str">
        <f t="array" ref="I75">IF($H75="","",IF(COUNTIF(Teams,$H75)&gt;0,$H75,IFERROR(INDEX(LISTS!$D$2:$D$12,MATCH($H75,LISTS!$C$2:$C$12,0)),"⚠ "&amp;$H75)))</f>
        <v>IND</v>
      </c>
      <c r="J75" s="2" t="str">
        <f t="array" ref="J75">IF($C75="","",INDEX(SchedZone,$C75,MAP!$B$10))</f>
        <v>HOU</v>
      </c>
      <c r="K75" s="2" t="str">
        <f t="array" ref="K75">IF($J75="","",IF(COUNTIF(Teams,$J75)&gt;0,$J75,IFERROR(INDEX(LISTS!$D$2:$D$12,MATCH($J75,LISTS!$C$2:$C$12,0)),"⚠ "&amp;$J75)))</f>
        <v>HOU</v>
      </c>
      <c r="L75" s="2" t="str">
        <f t="array" ref="L75">IF($C75="","",IF(INDEX(SchedZone,$C75,MAP!$B$14)="Neutral","N",IF($B75="HOME","H","A")))</f>
        <v>H</v>
      </c>
      <c r="M75" s="2" t="str">
        <f t="array" ref="M75">IF($C75="","",IF(INDEX(SchedZone,$C75,MAP!$B$13)="","",INDEX(SchedZone,$C75,MAP!$B$13)))</f>
        <v/>
      </c>
      <c r="N75" s="2" t="str">
        <f t="array" ref="N75">IF($C75="","",IF(INDEX(SchedZone,$C75,MAP!$B$11)="","",INDEX(SchedZone,$C75,MAP!$B$11)))</f>
        <v/>
      </c>
      <c r="O75" s="2">
        <f t="array" ref="O75">IF($C75="","",INDEX(SchedZone,$C75,MAP!$B$16))</f>
        <v>7</v>
      </c>
      <c r="P75" s="2" t="str">
        <f>IF($C75="","",IFERROR(MATCH($E75&amp;"|"&amp;$G75&amp;"|"&amp;$I75,StatsKey,0),""))</f>
        <v/>
      </c>
      <c r="Q75" s="2">
        <f t="array" ref="Q75">IF($P75="",0,INDEX(StatsZone,$P75,MAP!$E$9)+INDEX(StatsZone,$P75,MAP!$E$10)+INDEX(StatsZone,$P75,MAP!$E$11))</f>
        <v>0</v>
      </c>
      <c r="R75" s="2">
        <f t="array" ref="R75">IF($P75="",0,INDEX(StatsZone,$P75,MAP!$E$12))</f>
        <v>0</v>
      </c>
      <c r="S75" s="2">
        <f t="array" ref="S75">IF($P75="",0,INDEX(StatsZone,$P75,MAP!$E$13))</f>
        <v>0</v>
      </c>
      <c r="T75" s="2">
        <f t="shared" si="1"/>
        <v>0</v>
      </c>
      <c r="U75" s="2">
        <f t="array" ref="U75">IF($P75="",0,INDEX(StatsZone,$P75,MAP!$E$14)+INDEX(StatsZone,$P75,MAP!$E$15)+INDEX(StatsZone,$P75,MAP!$E$16))</f>
        <v>0</v>
      </c>
      <c r="V75" s="2">
        <f t="shared" si="2"/>
        <v>0</v>
      </c>
      <c r="W75" s="2">
        <f t="shared" si="3"/>
        <v>0</v>
      </c>
      <c r="X75" s="2">
        <f t="shared" si="4"/>
        <v>0</v>
      </c>
      <c r="Y75" s="2">
        <f t="shared" si="5"/>
        <v>0</v>
      </c>
      <c r="Z75" s="2">
        <f t="shared" si="6"/>
        <v>0</v>
      </c>
      <c r="AA75" s="2">
        <f t="shared" si="7"/>
        <v>1</v>
      </c>
      <c r="AB75" s="2">
        <f>IF(OR($M75="",$N75=""),0,MEDIAN(-MarginCap,MarginCap,($M75-$N75)-$AA75*HFA_Base))</f>
        <v>0</v>
      </c>
      <c r="AC75" s="2">
        <f t="array" ref="AC75">IF(OR($P75="",INDEX($P$3:$P$722,(ROW()+IF(MOD(ROW()-3,2)=0,1,-1))-3+1)=""),0,MEDIAN(-MarginCap,MarginCap,($T75-$W75)-$AA75*HFA_Base))</f>
        <v>0</v>
      </c>
      <c r="AD75" s="2">
        <f t="shared" si="8"/>
        <v>0</v>
      </c>
      <c r="AE75" s="2">
        <f>IF(OR($M75="",$N75=""),0,IF(AND(WEpa&gt;0,$AD75=1),(1-WEpa)*$AB75+WEpa*$AC75,$AB75))</f>
        <v>0</v>
      </c>
      <c r="AF75" s="2">
        <f>IF(AND($C75&lt;&gt;"",$E75=CurrentSeason,$F75="REG",ISNUMBER($G75),$G75&lt;CurrentWeek,AND($M75&lt;&gt;"",$N75&lt;&gt;"")),1,0)</f>
        <v>0</v>
      </c>
      <c r="AG75" s="2">
        <f>IF($AF75=0,0,IF($G75&gt;=CurrentWeek-RecencyWin,RecencyMult,1))</f>
        <v>0</v>
      </c>
      <c r="AH75" s="2">
        <f>IF(AND($C75&lt;&gt;"",$E75=CurrentSeason,$F75="REG",ISNUMBER($G75),$G75&lt;CurrentWeek-1,AND($M75&lt;&gt;"",$N75&lt;&gt;"")),1,0)</f>
        <v>0</v>
      </c>
      <c r="AI75" s="2">
        <f>IF($AH75=0,0,IF($G75&gt;=CurrentWeek-1-RecencyWin,RecencyMult,1))</f>
        <v>0</v>
      </c>
      <c r="AJ75" s="2">
        <f>IF($AF75=0,0,IF($G75&gt;=CurrentWeek-RecencyWin,TotRecency,1))</f>
        <v>0</v>
      </c>
      <c r="AK75" s="2">
        <f t="shared" si="9"/>
        <v>0</v>
      </c>
      <c r="AL75" s="2">
        <f t="shared" si="10"/>
        <v>0</v>
      </c>
      <c r="AM75" s="2" t="str">
        <f t="array" ref="AM75">IF($K75="",0,IFERROR(INDEX(CALC!$F$2:$F$33,MATCH($K75,CALC!$A$2:$A$33,0)),0))</f>
        <v/>
      </c>
      <c r="AN75" s="2" t="str">
        <f t="array" ref="AN75">IF($K75="",0,IFERROR(INDEX(CALC!$I$2:$I$33,MATCH($K75,CALC!$A$2:$A$33,0)),0))</f>
        <v/>
      </c>
      <c r="AO75" s="2" t="str">
        <f t="array" ref="AO75">IF($K75="",0,IFERROR(INDEX(CALC!$L$2:$L$33,MATCH($K75,CALC!$A$2:$A$33,0)),0))</f>
        <v/>
      </c>
      <c r="AP75" s="2" t="str">
        <f t="array" ref="AP75">IF($K75="",0,IFERROR(INDEX(CALC!$T$2:$T$33,MATCH($K75,CALC!$A$2:$A$33,0)),0))</f>
        <v/>
      </c>
      <c r="AQ75" s="2" t="str">
        <f t="array" ref="AQ75">IF($K75="",0,IFERROR(INDEX(CALC!$W$2:$W$33,MATCH($K75,CALC!$A$2:$A$33,0)),0))</f>
        <v/>
      </c>
      <c r="AR75" s="2" t="str">
        <f t="array" ref="AR75">IF($K75="",0,IFERROR(INDEX(CALC!$Z$2:$Z$33,MATCH($K75,CALC!$A$2:$A$33,0)),0))</f>
        <v/>
      </c>
      <c r="AS75" s="2" t="str">
        <f t="array" ref="AS75">IF($K75="",0,IFERROR(INDEX(CALC!$AJ$2:$AJ$33,MATCH($K75,CALC!$A$2:$A$33,0)),0))</f>
        <v/>
      </c>
      <c r="AT75" s="2" t="str">
        <f t="array" ref="AT75">IF($K75="",0,IFERROR(INDEX(CALC!$AI$2:$AI$33,MATCH($K75,CALC!$A$2:$A$33,0)),0))</f>
        <v/>
      </c>
      <c r="AU75" s="2">
        <f t="shared" si="11"/>
        <v>0</v>
      </c>
      <c r="AV75" s="2">
        <f t="shared" si="12"/>
        <v>0</v>
      </c>
    </row>
    <row r="76" ht="15.0" customHeight="1">
      <c r="A76" s="2">
        <v>37.0</v>
      </c>
      <c r="B76" s="2" t="s">
        <v>2366</v>
      </c>
      <c r="C76" s="2">
        <f>IFERROR(MATCH($A76,SchedSeq,0),"")</f>
        <v>322</v>
      </c>
      <c r="D76" s="2" t="str">
        <f t="array" ref="D76">IF($C76="","",INDEX(SchedZone,$C76,MAP!$B$6))</f>
        <v>2026_03_HOU_IND</v>
      </c>
      <c r="E76" s="2">
        <f t="array" ref="E76">IF($C76="","",INDEX(SchedZone,$C76,MAP!$B$3))</f>
        <v>2026</v>
      </c>
      <c r="F76" s="2" t="str">
        <f t="array" ref="F76">IF($C76="","",INDEX(SchedZone,$C76,MAP!$B$5))</f>
        <v>REG</v>
      </c>
      <c r="G76" s="2">
        <f t="array" ref="G76">IF($C76="","",INDEX(SchedZone,$C76,MAP!$B$4))</f>
        <v>3</v>
      </c>
      <c r="H76" s="2" t="str">
        <f t="array" ref="H76">IF($C76="","",INDEX(SchedZone,$C76,MAP!$B$10))</f>
        <v>HOU</v>
      </c>
      <c r="I76" s="2" t="str">
        <f t="array" ref="I76">IF($H76="","",IF(COUNTIF(Teams,$H76)&gt;0,$H76,IFERROR(INDEX(LISTS!$D$2:$D$12,MATCH($H76,LISTS!$C$2:$C$12,0)),"⚠ "&amp;$H76)))</f>
        <v>HOU</v>
      </c>
      <c r="J76" s="2" t="str">
        <f t="array" ref="J76">IF($C76="","",INDEX(SchedZone,$C76,MAP!$B$12))</f>
        <v>IND</v>
      </c>
      <c r="K76" s="2" t="str">
        <f t="array" ref="K76">IF($J76="","",IF(COUNTIF(Teams,$J76)&gt;0,$J76,IFERROR(INDEX(LISTS!$D$2:$D$12,MATCH($J76,LISTS!$C$2:$C$12,0)),"⚠ "&amp;$J76)))</f>
        <v>IND</v>
      </c>
      <c r="L76" s="2" t="str">
        <f t="array" ref="L76">IF($C76="","",IF(INDEX(SchedZone,$C76,MAP!$B$14)="Neutral","N",IF($B76="HOME","H","A")))</f>
        <v>A</v>
      </c>
      <c r="M76" s="2" t="str">
        <f t="array" ref="M76">IF($C76="","",IF(INDEX(SchedZone,$C76,MAP!$B$11)="","",INDEX(SchedZone,$C76,MAP!$B$11)))</f>
        <v/>
      </c>
      <c r="N76" s="2" t="str">
        <f t="array" ref="N76">IF($C76="","",IF(INDEX(SchedZone,$C76,MAP!$B$13)="","",INDEX(SchedZone,$C76,MAP!$B$13)))</f>
        <v/>
      </c>
      <c r="O76" s="2">
        <f t="array" ref="O76">IF($C76="","",INDEX(SchedZone,$C76,MAP!$B$15))</f>
        <v>7</v>
      </c>
      <c r="P76" s="2" t="str">
        <f>IF($C76="","",IFERROR(MATCH($E76&amp;"|"&amp;$G76&amp;"|"&amp;$I76,StatsKey,0),""))</f>
        <v/>
      </c>
      <c r="Q76" s="2">
        <f t="array" ref="Q76">IF($P76="",0,INDEX(StatsZone,$P76,MAP!$E$9)+INDEX(StatsZone,$P76,MAP!$E$10)+INDEX(StatsZone,$P76,MAP!$E$11))</f>
        <v>0</v>
      </c>
      <c r="R76" s="2">
        <f t="array" ref="R76">IF($P76="",0,INDEX(StatsZone,$P76,MAP!$E$12))</f>
        <v>0</v>
      </c>
      <c r="S76" s="2">
        <f t="array" ref="S76">IF($P76="",0,INDEX(StatsZone,$P76,MAP!$E$13))</f>
        <v>0</v>
      </c>
      <c r="T76" s="2">
        <f t="shared" si="1"/>
        <v>0</v>
      </c>
      <c r="U76" s="2">
        <f t="array" ref="U76">IF($P76="",0,INDEX(StatsZone,$P76,MAP!$E$14)+INDEX(StatsZone,$P76,MAP!$E$15)+INDEX(StatsZone,$P76,MAP!$E$16))</f>
        <v>0</v>
      </c>
      <c r="V76" s="2">
        <f t="shared" si="2"/>
        <v>0</v>
      </c>
      <c r="W76" s="2">
        <f t="shared" si="3"/>
        <v>0</v>
      </c>
      <c r="X76" s="2">
        <f t="shared" si="4"/>
        <v>0</v>
      </c>
      <c r="Y76" s="2">
        <f t="shared" si="5"/>
        <v>0</v>
      </c>
      <c r="Z76" s="2">
        <f t="shared" si="6"/>
        <v>0</v>
      </c>
      <c r="AA76" s="2">
        <f t="shared" si="7"/>
        <v>-1</v>
      </c>
      <c r="AB76" s="2">
        <f>IF(OR($M76="",$N76=""),0,MEDIAN(-MarginCap,MarginCap,($M76-$N76)-$AA76*HFA_Base))</f>
        <v>0</v>
      </c>
      <c r="AC76" s="2">
        <f t="array" ref="AC76">IF(OR($P76="",INDEX($P$3:$P$722,(ROW()+IF(MOD(ROW()-3,2)=0,1,-1))-3+1)=""),0,MEDIAN(-MarginCap,MarginCap,($T76-$W76)-$AA76*HFA_Base))</f>
        <v>0</v>
      </c>
      <c r="AD76" s="2">
        <f t="shared" si="8"/>
        <v>0</v>
      </c>
      <c r="AE76" s="2">
        <f>IF(OR($M76="",$N76=""),0,IF(AND(WEpa&gt;0,$AD76=1),(1-WEpa)*$AB76+WEpa*$AC76,$AB76))</f>
        <v>0</v>
      </c>
      <c r="AF76" s="2">
        <f>IF(AND($C76&lt;&gt;"",$E76=CurrentSeason,$F76="REG",ISNUMBER($G76),$G76&lt;CurrentWeek,AND($M76&lt;&gt;"",$N76&lt;&gt;"")),1,0)</f>
        <v>0</v>
      </c>
      <c r="AG76" s="2">
        <f>IF($AF76=0,0,IF($G76&gt;=CurrentWeek-RecencyWin,RecencyMult,1))</f>
        <v>0</v>
      </c>
      <c r="AH76" s="2">
        <f>IF(AND($C76&lt;&gt;"",$E76=CurrentSeason,$F76="REG",ISNUMBER($G76),$G76&lt;CurrentWeek-1,AND($M76&lt;&gt;"",$N76&lt;&gt;"")),1,0)</f>
        <v>0</v>
      </c>
      <c r="AI76" s="2">
        <f>IF($AH76=0,0,IF($G76&gt;=CurrentWeek-1-RecencyWin,RecencyMult,1))</f>
        <v>0</v>
      </c>
      <c r="AJ76" s="2">
        <f>IF($AF76=0,0,IF($G76&gt;=CurrentWeek-RecencyWin,TotRecency,1))</f>
        <v>0</v>
      </c>
      <c r="AK76" s="2">
        <f t="shared" si="9"/>
        <v>0</v>
      </c>
      <c r="AL76" s="2">
        <f t="shared" si="10"/>
        <v>0</v>
      </c>
      <c r="AM76" s="2" t="str">
        <f t="array" ref="AM76">IF($K76="",0,IFERROR(INDEX(CALC!$F$2:$F$33,MATCH($K76,CALC!$A$2:$A$33,0)),0))</f>
        <v/>
      </c>
      <c r="AN76" s="2" t="str">
        <f t="array" ref="AN76">IF($K76="",0,IFERROR(INDEX(CALC!$I$2:$I$33,MATCH($K76,CALC!$A$2:$A$33,0)),0))</f>
        <v/>
      </c>
      <c r="AO76" s="2" t="str">
        <f t="array" ref="AO76">IF($K76="",0,IFERROR(INDEX(CALC!$L$2:$L$33,MATCH($K76,CALC!$A$2:$A$33,0)),0))</f>
        <v/>
      </c>
      <c r="AP76" s="2" t="str">
        <f t="array" ref="AP76">IF($K76="",0,IFERROR(INDEX(CALC!$T$2:$T$33,MATCH($K76,CALC!$A$2:$A$33,0)),0))</f>
        <v/>
      </c>
      <c r="AQ76" s="2" t="str">
        <f t="array" ref="AQ76">IF($K76="",0,IFERROR(INDEX(CALC!$W$2:$W$33,MATCH($K76,CALC!$A$2:$A$33,0)),0))</f>
        <v/>
      </c>
      <c r="AR76" s="2" t="str">
        <f t="array" ref="AR76">IF($K76="",0,IFERROR(INDEX(CALC!$Z$2:$Z$33,MATCH($K76,CALC!$A$2:$A$33,0)),0))</f>
        <v/>
      </c>
      <c r="AS76" s="2" t="str">
        <f t="array" ref="AS76">IF($K76="",0,IFERROR(INDEX(CALC!$AJ$2:$AJ$33,MATCH($K76,CALC!$A$2:$A$33,0)),0))</f>
        <v/>
      </c>
      <c r="AT76" s="2" t="str">
        <f t="array" ref="AT76">IF($K76="",0,IFERROR(INDEX(CALC!$AI$2:$AI$33,MATCH($K76,CALC!$A$2:$A$33,0)),0))</f>
        <v/>
      </c>
      <c r="AU76" s="2">
        <f t="shared" si="11"/>
        <v>0</v>
      </c>
      <c r="AV76" s="2">
        <f t="shared" si="12"/>
        <v>0</v>
      </c>
    </row>
    <row r="77" ht="15.0" customHeight="1">
      <c r="A77" s="2">
        <v>38.0</v>
      </c>
      <c r="B77" s="2" t="s">
        <v>2365</v>
      </c>
      <c r="C77" s="2">
        <f>IFERROR(MATCH($A77,SchedSeq,0),"")</f>
        <v>323</v>
      </c>
      <c r="D77" s="2" t="str">
        <f t="array" ref="D77">IF($C77="","",INDEX(SchedZone,$C77,MAP!$B$6))</f>
        <v>2026_03_NE_JAX</v>
      </c>
      <c r="E77" s="2">
        <f t="array" ref="E77">IF($C77="","",INDEX(SchedZone,$C77,MAP!$B$3))</f>
        <v>2026</v>
      </c>
      <c r="F77" s="2" t="str">
        <f t="array" ref="F77">IF($C77="","",INDEX(SchedZone,$C77,MAP!$B$5))</f>
        <v>REG</v>
      </c>
      <c r="G77" s="2">
        <f t="array" ref="G77">IF($C77="","",INDEX(SchedZone,$C77,MAP!$B$4))</f>
        <v>3</v>
      </c>
      <c r="H77" s="2" t="str">
        <f t="array" ref="H77">IF($C77="","",INDEX(SchedZone,$C77,MAP!$B$12))</f>
        <v>JAX</v>
      </c>
      <c r="I77" s="2" t="str">
        <f t="array" ref="I77">IF($H77="","",IF(COUNTIF(Teams,$H77)&gt;0,$H77,IFERROR(INDEX(LISTS!$D$2:$D$12,MATCH($H77,LISTS!$C$2:$C$12,0)),"⚠ "&amp;$H77)))</f>
        <v>JAX</v>
      </c>
      <c r="J77" s="2" t="str">
        <f t="array" ref="J77">IF($C77="","",INDEX(SchedZone,$C77,MAP!$B$10))</f>
        <v>NE</v>
      </c>
      <c r="K77" s="2" t="str">
        <f t="array" ref="K77">IF($J77="","",IF(COUNTIF(Teams,$J77)&gt;0,$J77,IFERROR(INDEX(LISTS!$D$2:$D$12,MATCH($J77,LISTS!$C$2:$C$12,0)),"⚠ "&amp;$J77)))</f>
        <v>NE</v>
      </c>
      <c r="L77" s="2" t="str">
        <f t="array" ref="L77">IF($C77="","",IF(INDEX(SchedZone,$C77,MAP!$B$14)="Neutral","N",IF($B77="HOME","H","A")))</f>
        <v>H</v>
      </c>
      <c r="M77" s="2" t="str">
        <f t="array" ref="M77">IF($C77="","",IF(INDEX(SchedZone,$C77,MAP!$B$13)="","",INDEX(SchedZone,$C77,MAP!$B$13)))</f>
        <v/>
      </c>
      <c r="N77" s="2" t="str">
        <f t="array" ref="N77">IF($C77="","",IF(INDEX(SchedZone,$C77,MAP!$B$11)="","",INDEX(SchedZone,$C77,MAP!$B$11)))</f>
        <v/>
      </c>
      <c r="O77" s="2">
        <f t="array" ref="O77">IF($C77="","",INDEX(SchedZone,$C77,MAP!$B$16))</f>
        <v>7</v>
      </c>
      <c r="P77" s="2" t="str">
        <f>IF($C77="","",IFERROR(MATCH($E77&amp;"|"&amp;$G77&amp;"|"&amp;$I77,StatsKey,0),""))</f>
        <v/>
      </c>
      <c r="Q77" s="2">
        <f t="array" ref="Q77">IF($P77="",0,INDEX(StatsZone,$P77,MAP!$E$9)+INDEX(StatsZone,$P77,MAP!$E$10)+INDEX(StatsZone,$P77,MAP!$E$11))</f>
        <v>0</v>
      </c>
      <c r="R77" s="2">
        <f t="array" ref="R77">IF($P77="",0,INDEX(StatsZone,$P77,MAP!$E$12))</f>
        <v>0</v>
      </c>
      <c r="S77" s="2">
        <f t="array" ref="S77">IF($P77="",0,INDEX(StatsZone,$P77,MAP!$E$13))</f>
        <v>0</v>
      </c>
      <c r="T77" s="2">
        <f t="shared" si="1"/>
        <v>0</v>
      </c>
      <c r="U77" s="2">
        <f t="array" ref="U77">IF($P77="",0,INDEX(StatsZone,$P77,MAP!$E$14)+INDEX(StatsZone,$P77,MAP!$E$15)+INDEX(StatsZone,$P77,MAP!$E$16))</f>
        <v>0</v>
      </c>
      <c r="V77" s="2">
        <f t="shared" si="2"/>
        <v>0</v>
      </c>
      <c r="W77" s="2">
        <f t="shared" si="3"/>
        <v>0</v>
      </c>
      <c r="X77" s="2">
        <f t="shared" si="4"/>
        <v>0</v>
      </c>
      <c r="Y77" s="2">
        <f t="shared" si="5"/>
        <v>0</v>
      </c>
      <c r="Z77" s="2">
        <f t="shared" si="6"/>
        <v>0</v>
      </c>
      <c r="AA77" s="2">
        <f t="shared" si="7"/>
        <v>1</v>
      </c>
      <c r="AB77" s="2">
        <f>IF(OR($M77="",$N77=""),0,MEDIAN(-MarginCap,MarginCap,($M77-$N77)-$AA77*HFA_Base))</f>
        <v>0</v>
      </c>
      <c r="AC77" s="2">
        <f t="array" ref="AC77">IF(OR($P77="",INDEX($P$3:$P$722,(ROW()+IF(MOD(ROW()-3,2)=0,1,-1))-3+1)=""),0,MEDIAN(-MarginCap,MarginCap,($T77-$W77)-$AA77*HFA_Base))</f>
        <v>0</v>
      </c>
      <c r="AD77" s="2">
        <f t="shared" si="8"/>
        <v>0</v>
      </c>
      <c r="AE77" s="2">
        <f>IF(OR($M77="",$N77=""),0,IF(AND(WEpa&gt;0,$AD77=1),(1-WEpa)*$AB77+WEpa*$AC77,$AB77))</f>
        <v>0</v>
      </c>
      <c r="AF77" s="2">
        <f>IF(AND($C77&lt;&gt;"",$E77=CurrentSeason,$F77="REG",ISNUMBER($G77),$G77&lt;CurrentWeek,AND($M77&lt;&gt;"",$N77&lt;&gt;"")),1,0)</f>
        <v>0</v>
      </c>
      <c r="AG77" s="2">
        <f>IF($AF77=0,0,IF($G77&gt;=CurrentWeek-RecencyWin,RecencyMult,1))</f>
        <v>0</v>
      </c>
      <c r="AH77" s="2">
        <f>IF(AND($C77&lt;&gt;"",$E77=CurrentSeason,$F77="REG",ISNUMBER($G77),$G77&lt;CurrentWeek-1,AND($M77&lt;&gt;"",$N77&lt;&gt;"")),1,0)</f>
        <v>0</v>
      </c>
      <c r="AI77" s="2">
        <f>IF($AH77=0,0,IF($G77&gt;=CurrentWeek-1-RecencyWin,RecencyMult,1))</f>
        <v>0</v>
      </c>
      <c r="AJ77" s="2">
        <f>IF($AF77=0,0,IF($G77&gt;=CurrentWeek-RecencyWin,TotRecency,1))</f>
        <v>0</v>
      </c>
      <c r="AK77" s="2">
        <f t="shared" si="9"/>
        <v>0</v>
      </c>
      <c r="AL77" s="2">
        <f t="shared" si="10"/>
        <v>0</v>
      </c>
      <c r="AM77" s="2" t="str">
        <f t="array" ref="AM77">IF($K77="",0,IFERROR(INDEX(CALC!$F$2:$F$33,MATCH($K77,CALC!$A$2:$A$33,0)),0))</f>
        <v/>
      </c>
      <c r="AN77" s="2" t="str">
        <f t="array" ref="AN77">IF($K77="",0,IFERROR(INDEX(CALC!$I$2:$I$33,MATCH($K77,CALC!$A$2:$A$33,0)),0))</f>
        <v/>
      </c>
      <c r="AO77" s="2" t="str">
        <f t="array" ref="AO77">IF($K77="",0,IFERROR(INDEX(CALC!$L$2:$L$33,MATCH($K77,CALC!$A$2:$A$33,0)),0))</f>
        <v/>
      </c>
      <c r="AP77" s="2" t="str">
        <f t="array" ref="AP77">IF($K77="",0,IFERROR(INDEX(CALC!$T$2:$T$33,MATCH($K77,CALC!$A$2:$A$33,0)),0))</f>
        <v/>
      </c>
      <c r="AQ77" s="2" t="str">
        <f t="array" ref="AQ77">IF($K77="",0,IFERROR(INDEX(CALC!$W$2:$W$33,MATCH($K77,CALC!$A$2:$A$33,0)),0))</f>
        <v/>
      </c>
      <c r="AR77" s="2" t="str">
        <f t="array" ref="AR77">IF($K77="",0,IFERROR(INDEX(CALC!$Z$2:$Z$33,MATCH($K77,CALC!$A$2:$A$33,0)),0))</f>
        <v/>
      </c>
      <c r="AS77" s="2" t="str">
        <f t="array" ref="AS77">IF($K77="",0,IFERROR(INDEX(CALC!$AJ$2:$AJ$33,MATCH($K77,CALC!$A$2:$A$33,0)),0))</f>
        <v/>
      </c>
      <c r="AT77" s="2" t="str">
        <f t="array" ref="AT77">IF($K77="",0,IFERROR(INDEX(CALC!$AI$2:$AI$33,MATCH($K77,CALC!$A$2:$A$33,0)),0))</f>
        <v/>
      </c>
      <c r="AU77" s="2">
        <f t="shared" si="11"/>
        <v>0</v>
      </c>
      <c r="AV77" s="2">
        <f t="shared" si="12"/>
        <v>0</v>
      </c>
    </row>
    <row r="78" ht="15.0" customHeight="1">
      <c r="A78" s="2">
        <v>38.0</v>
      </c>
      <c r="B78" s="2" t="s">
        <v>2366</v>
      </c>
      <c r="C78" s="2">
        <f>IFERROR(MATCH($A78,SchedSeq,0),"")</f>
        <v>323</v>
      </c>
      <c r="D78" s="2" t="str">
        <f t="array" ref="D78">IF($C78="","",INDEX(SchedZone,$C78,MAP!$B$6))</f>
        <v>2026_03_NE_JAX</v>
      </c>
      <c r="E78" s="2">
        <f t="array" ref="E78">IF($C78="","",INDEX(SchedZone,$C78,MAP!$B$3))</f>
        <v>2026</v>
      </c>
      <c r="F78" s="2" t="str">
        <f t="array" ref="F78">IF($C78="","",INDEX(SchedZone,$C78,MAP!$B$5))</f>
        <v>REG</v>
      </c>
      <c r="G78" s="2">
        <f t="array" ref="G78">IF($C78="","",INDEX(SchedZone,$C78,MAP!$B$4))</f>
        <v>3</v>
      </c>
      <c r="H78" s="2" t="str">
        <f t="array" ref="H78">IF($C78="","",INDEX(SchedZone,$C78,MAP!$B$10))</f>
        <v>NE</v>
      </c>
      <c r="I78" s="2" t="str">
        <f t="array" ref="I78">IF($H78="","",IF(COUNTIF(Teams,$H78)&gt;0,$H78,IFERROR(INDEX(LISTS!$D$2:$D$12,MATCH($H78,LISTS!$C$2:$C$12,0)),"⚠ "&amp;$H78)))</f>
        <v>NE</v>
      </c>
      <c r="J78" s="2" t="str">
        <f t="array" ref="J78">IF($C78="","",INDEX(SchedZone,$C78,MAP!$B$12))</f>
        <v>JAX</v>
      </c>
      <c r="K78" s="2" t="str">
        <f t="array" ref="K78">IF($J78="","",IF(COUNTIF(Teams,$J78)&gt;0,$J78,IFERROR(INDEX(LISTS!$D$2:$D$12,MATCH($J78,LISTS!$C$2:$C$12,0)),"⚠ "&amp;$J78)))</f>
        <v>JAX</v>
      </c>
      <c r="L78" s="2" t="str">
        <f t="array" ref="L78">IF($C78="","",IF(INDEX(SchedZone,$C78,MAP!$B$14)="Neutral","N",IF($B78="HOME","H","A")))</f>
        <v>A</v>
      </c>
      <c r="M78" s="2" t="str">
        <f t="array" ref="M78">IF($C78="","",IF(INDEX(SchedZone,$C78,MAP!$B$11)="","",INDEX(SchedZone,$C78,MAP!$B$11)))</f>
        <v/>
      </c>
      <c r="N78" s="2" t="str">
        <f t="array" ref="N78">IF($C78="","",IF(INDEX(SchedZone,$C78,MAP!$B$13)="","",INDEX(SchedZone,$C78,MAP!$B$13)))</f>
        <v/>
      </c>
      <c r="O78" s="2">
        <f t="array" ref="O78">IF($C78="","",INDEX(SchedZone,$C78,MAP!$B$15))</f>
        <v>7</v>
      </c>
      <c r="P78" s="2" t="str">
        <f>IF($C78="","",IFERROR(MATCH($E78&amp;"|"&amp;$G78&amp;"|"&amp;$I78,StatsKey,0),""))</f>
        <v/>
      </c>
      <c r="Q78" s="2">
        <f t="array" ref="Q78">IF($P78="",0,INDEX(StatsZone,$P78,MAP!$E$9)+INDEX(StatsZone,$P78,MAP!$E$10)+INDEX(StatsZone,$P78,MAP!$E$11))</f>
        <v>0</v>
      </c>
      <c r="R78" s="2">
        <f t="array" ref="R78">IF($P78="",0,INDEX(StatsZone,$P78,MAP!$E$12))</f>
        <v>0</v>
      </c>
      <c r="S78" s="2">
        <f t="array" ref="S78">IF($P78="",0,INDEX(StatsZone,$P78,MAP!$E$13))</f>
        <v>0</v>
      </c>
      <c r="T78" s="2">
        <f t="shared" si="1"/>
        <v>0</v>
      </c>
      <c r="U78" s="2">
        <f t="array" ref="U78">IF($P78="",0,INDEX(StatsZone,$P78,MAP!$E$14)+INDEX(StatsZone,$P78,MAP!$E$15)+INDEX(StatsZone,$P78,MAP!$E$16))</f>
        <v>0</v>
      </c>
      <c r="V78" s="2">
        <f t="shared" si="2"/>
        <v>0</v>
      </c>
      <c r="W78" s="2">
        <f t="shared" si="3"/>
        <v>0</v>
      </c>
      <c r="X78" s="2">
        <f t="shared" si="4"/>
        <v>0</v>
      </c>
      <c r="Y78" s="2">
        <f t="shared" si="5"/>
        <v>0</v>
      </c>
      <c r="Z78" s="2">
        <f t="shared" si="6"/>
        <v>0</v>
      </c>
      <c r="AA78" s="2">
        <f t="shared" si="7"/>
        <v>-1</v>
      </c>
      <c r="AB78" s="2">
        <f>IF(OR($M78="",$N78=""),0,MEDIAN(-MarginCap,MarginCap,($M78-$N78)-$AA78*HFA_Base))</f>
        <v>0</v>
      </c>
      <c r="AC78" s="2">
        <f t="array" ref="AC78">IF(OR($P78="",INDEX($P$3:$P$722,(ROW()+IF(MOD(ROW()-3,2)=0,1,-1))-3+1)=""),0,MEDIAN(-MarginCap,MarginCap,($T78-$W78)-$AA78*HFA_Base))</f>
        <v>0</v>
      </c>
      <c r="AD78" s="2">
        <f t="shared" si="8"/>
        <v>0</v>
      </c>
      <c r="AE78" s="2">
        <f>IF(OR($M78="",$N78=""),0,IF(AND(WEpa&gt;0,$AD78=1),(1-WEpa)*$AB78+WEpa*$AC78,$AB78))</f>
        <v>0</v>
      </c>
      <c r="AF78" s="2">
        <f>IF(AND($C78&lt;&gt;"",$E78=CurrentSeason,$F78="REG",ISNUMBER($G78),$G78&lt;CurrentWeek,AND($M78&lt;&gt;"",$N78&lt;&gt;"")),1,0)</f>
        <v>0</v>
      </c>
      <c r="AG78" s="2">
        <f>IF($AF78=0,0,IF($G78&gt;=CurrentWeek-RecencyWin,RecencyMult,1))</f>
        <v>0</v>
      </c>
      <c r="AH78" s="2">
        <f>IF(AND($C78&lt;&gt;"",$E78=CurrentSeason,$F78="REG",ISNUMBER($G78),$G78&lt;CurrentWeek-1,AND($M78&lt;&gt;"",$N78&lt;&gt;"")),1,0)</f>
        <v>0</v>
      </c>
      <c r="AI78" s="2">
        <f>IF($AH78=0,0,IF($G78&gt;=CurrentWeek-1-RecencyWin,RecencyMult,1))</f>
        <v>0</v>
      </c>
      <c r="AJ78" s="2">
        <f>IF($AF78=0,0,IF($G78&gt;=CurrentWeek-RecencyWin,TotRecency,1))</f>
        <v>0</v>
      </c>
      <c r="AK78" s="2">
        <f t="shared" si="9"/>
        <v>0</v>
      </c>
      <c r="AL78" s="2">
        <f t="shared" si="10"/>
        <v>0</v>
      </c>
      <c r="AM78" s="2" t="str">
        <f t="array" ref="AM78">IF($K78="",0,IFERROR(INDEX(CALC!$F$2:$F$33,MATCH($K78,CALC!$A$2:$A$33,0)),0))</f>
        <v/>
      </c>
      <c r="AN78" s="2" t="str">
        <f t="array" ref="AN78">IF($K78="",0,IFERROR(INDEX(CALC!$I$2:$I$33,MATCH($K78,CALC!$A$2:$A$33,0)),0))</f>
        <v/>
      </c>
      <c r="AO78" s="2" t="str">
        <f t="array" ref="AO78">IF($K78="",0,IFERROR(INDEX(CALC!$L$2:$L$33,MATCH($K78,CALC!$A$2:$A$33,0)),0))</f>
        <v/>
      </c>
      <c r="AP78" s="2" t="str">
        <f t="array" ref="AP78">IF($K78="",0,IFERROR(INDEX(CALC!$T$2:$T$33,MATCH($K78,CALC!$A$2:$A$33,0)),0))</f>
        <v/>
      </c>
      <c r="AQ78" s="2" t="str">
        <f t="array" ref="AQ78">IF($K78="",0,IFERROR(INDEX(CALC!$W$2:$W$33,MATCH($K78,CALC!$A$2:$A$33,0)),0))</f>
        <v/>
      </c>
      <c r="AR78" s="2" t="str">
        <f t="array" ref="AR78">IF($K78="",0,IFERROR(INDEX(CALC!$Z$2:$Z$33,MATCH($K78,CALC!$A$2:$A$33,0)),0))</f>
        <v/>
      </c>
      <c r="AS78" s="2" t="str">
        <f t="array" ref="AS78">IF($K78="",0,IFERROR(INDEX(CALC!$AJ$2:$AJ$33,MATCH($K78,CALC!$A$2:$A$33,0)),0))</f>
        <v/>
      </c>
      <c r="AT78" s="2" t="str">
        <f t="array" ref="AT78">IF($K78="",0,IFERROR(INDEX(CALC!$AI$2:$AI$33,MATCH($K78,CALC!$A$2:$A$33,0)),0))</f>
        <v/>
      </c>
      <c r="AU78" s="2">
        <f t="shared" si="11"/>
        <v>0</v>
      </c>
      <c r="AV78" s="2">
        <f t="shared" si="12"/>
        <v>0</v>
      </c>
    </row>
    <row r="79" ht="15.0" customHeight="1">
      <c r="A79" s="2">
        <v>39.0</v>
      </c>
      <c r="B79" s="2" t="s">
        <v>2365</v>
      </c>
      <c r="C79" s="2">
        <f>IFERROR(MATCH($A79,SchedSeq,0),"")</f>
        <v>324</v>
      </c>
      <c r="D79" s="2" t="str">
        <f t="array" ref="D79">IF($C79="","",INDEX(SchedZone,$C79,MAP!$B$6))</f>
        <v>2026_03_KC_MIA</v>
      </c>
      <c r="E79" s="2">
        <f t="array" ref="E79">IF($C79="","",INDEX(SchedZone,$C79,MAP!$B$3))</f>
        <v>2026</v>
      </c>
      <c r="F79" s="2" t="str">
        <f t="array" ref="F79">IF($C79="","",INDEX(SchedZone,$C79,MAP!$B$5))</f>
        <v>REG</v>
      </c>
      <c r="G79" s="2">
        <f t="array" ref="G79">IF($C79="","",INDEX(SchedZone,$C79,MAP!$B$4))</f>
        <v>3</v>
      </c>
      <c r="H79" s="2" t="str">
        <f t="array" ref="H79">IF($C79="","",INDEX(SchedZone,$C79,MAP!$B$12))</f>
        <v>MIA</v>
      </c>
      <c r="I79" s="2" t="str">
        <f t="array" ref="I79">IF($H79="","",IF(COUNTIF(Teams,$H79)&gt;0,$H79,IFERROR(INDEX(LISTS!$D$2:$D$12,MATCH($H79,LISTS!$C$2:$C$12,0)),"⚠ "&amp;$H79)))</f>
        <v>MIA</v>
      </c>
      <c r="J79" s="2" t="str">
        <f t="array" ref="J79">IF($C79="","",INDEX(SchedZone,$C79,MAP!$B$10))</f>
        <v>KC</v>
      </c>
      <c r="K79" s="2" t="str">
        <f t="array" ref="K79">IF($J79="","",IF(COUNTIF(Teams,$J79)&gt;0,$J79,IFERROR(INDEX(LISTS!$D$2:$D$12,MATCH($J79,LISTS!$C$2:$C$12,0)),"⚠ "&amp;$J79)))</f>
        <v>KC</v>
      </c>
      <c r="L79" s="2" t="str">
        <f t="array" ref="L79">IF($C79="","",IF(INDEX(SchedZone,$C79,MAP!$B$14)="Neutral","N",IF($B79="HOME","H","A")))</f>
        <v>H</v>
      </c>
      <c r="M79" s="2" t="str">
        <f t="array" ref="M79">IF($C79="","",IF(INDEX(SchedZone,$C79,MAP!$B$13)="","",INDEX(SchedZone,$C79,MAP!$B$13)))</f>
        <v/>
      </c>
      <c r="N79" s="2" t="str">
        <f t="array" ref="N79">IF($C79="","",IF(INDEX(SchedZone,$C79,MAP!$B$11)="","",INDEX(SchedZone,$C79,MAP!$B$11)))</f>
        <v/>
      </c>
      <c r="O79" s="2">
        <f t="array" ref="O79">IF($C79="","",INDEX(SchedZone,$C79,MAP!$B$16))</f>
        <v>7</v>
      </c>
      <c r="P79" s="2" t="str">
        <f>IF($C79="","",IFERROR(MATCH($E79&amp;"|"&amp;$G79&amp;"|"&amp;$I79,StatsKey,0),""))</f>
        <v/>
      </c>
      <c r="Q79" s="2">
        <f t="array" ref="Q79">IF($P79="",0,INDEX(StatsZone,$P79,MAP!$E$9)+INDEX(StatsZone,$P79,MAP!$E$10)+INDEX(StatsZone,$P79,MAP!$E$11))</f>
        <v>0</v>
      </c>
      <c r="R79" s="2">
        <f t="array" ref="R79">IF($P79="",0,INDEX(StatsZone,$P79,MAP!$E$12))</f>
        <v>0</v>
      </c>
      <c r="S79" s="2">
        <f t="array" ref="S79">IF($P79="",0,INDEX(StatsZone,$P79,MAP!$E$13))</f>
        <v>0</v>
      </c>
      <c r="T79" s="2">
        <f t="shared" si="1"/>
        <v>0</v>
      </c>
      <c r="U79" s="2">
        <f t="array" ref="U79">IF($P79="",0,INDEX(StatsZone,$P79,MAP!$E$14)+INDEX(StatsZone,$P79,MAP!$E$15)+INDEX(StatsZone,$P79,MAP!$E$16))</f>
        <v>0</v>
      </c>
      <c r="V79" s="2">
        <f t="shared" si="2"/>
        <v>0</v>
      </c>
      <c r="W79" s="2">
        <f t="shared" si="3"/>
        <v>0</v>
      </c>
      <c r="X79" s="2">
        <f t="shared" si="4"/>
        <v>0</v>
      </c>
      <c r="Y79" s="2">
        <f t="shared" si="5"/>
        <v>0</v>
      </c>
      <c r="Z79" s="2">
        <f t="shared" si="6"/>
        <v>0</v>
      </c>
      <c r="AA79" s="2">
        <f t="shared" si="7"/>
        <v>1</v>
      </c>
      <c r="AB79" s="2">
        <f>IF(OR($M79="",$N79=""),0,MEDIAN(-MarginCap,MarginCap,($M79-$N79)-$AA79*HFA_Base))</f>
        <v>0</v>
      </c>
      <c r="AC79" s="2">
        <f t="array" ref="AC79">IF(OR($P79="",INDEX($P$3:$P$722,(ROW()+IF(MOD(ROW()-3,2)=0,1,-1))-3+1)=""),0,MEDIAN(-MarginCap,MarginCap,($T79-$W79)-$AA79*HFA_Base))</f>
        <v>0</v>
      </c>
      <c r="AD79" s="2">
        <f t="shared" si="8"/>
        <v>0</v>
      </c>
      <c r="AE79" s="2">
        <f>IF(OR($M79="",$N79=""),0,IF(AND(WEpa&gt;0,$AD79=1),(1-WEpa)*$AB79+WEpa*$AC79,$AB79))</f>
        <v>0</v>
      </c>
      <c r="AF79" s="2">
        <f>IF(AND($C79&lt;&gt;"",$E79=CurrentSeason,$F79="REG",ISNUMBER($G79),$G79&lt;CurrentWeek,AND($M79&lt;&gt;"",$N79&lt;&gt;"")),1,0)</f>
        <v>0</v>
      </c>
      <c r="AG79" s="2">
        <f>IF($AF79=0,0,IF($G79&gt;=CurrentWeek-RecencyWin,RecencyMult,1))</f>
        <v>0</v>
      </c>
      <c r="AH79" s="2">
        <f>IF(AND($C79&lt;&gt;"",$E79=CurrentSeason,$F79="REG",ISNUMBER($G79),$G79&lt;CurrentWeek-1,AND($M79&lt;&gt;"",$N79&lt;&gt;"")),1,0)</f>
        <v>0</v>
      </c>
      <c r="AI79" s="2">
        <f>IF($AH79=0,0,IF($G79&gt;=CurrentWeek-1-RecencyWin,RecencyMult,1))</f>
        <v>0</v>
      </c>
      <c r="AJ79" s="2">
        <f>IF($AF79=0,0,IF($G79&gt;=CurrentWeek-RecencyWin,TotRecency,1))</f>
        <v>0</v>
      </c>
      <c r="AK79" s="2">
        <f t="shared" si="9"/>
        <v>0</v>
      </c>
      <c r="AL79" s="2">
        <f t="shared" si="10"/>
        <v>0</v>
      </c>
      <c r="AM79" s="2" t="str">
        <f t="array" ref="AM79">IF($K79="",0,IFERROR(INDEX(CALC!$F$2:$F$33,MATCH($K79,CALC!$A$2:$A$33,0)),0))</f>
        <v/>
      </c>
      <c r="AN79" s="2" t="str">
        <f t="array" ref="AN79">IF($K79="",0,IFERROR(INDEX(CALC!$I$2:$I$33,MATCH($K79,CALC!$A$2:$A$33,0)),0))</f>
        <v/>
      </c>
      <c r="AO79" s="2" t="str">
        <f t="array" ref="AO79">IF($K79="",0,IFERROR(INDEX(CALC!$L$2:$L$33,MATCH($K79,CALC!$A$2:$A$33,0)),0))</f>
        <v/>
      </c>
      <c r="AP79" s="2" t="str">
        <f t="array" ref="AP79">IF($K79="",0,IFERROR(INDEX(CALC!$T$2:$T$33,MATCH($K79,CALC!$A$2:$A$33,0)),0))</f>
        <v/>
      </c>
      <c r="AQ79" s="2" t="str">
        <f t="array" ref="AQ79">IF($K79="",0,IFERROR(INDEX(CALC!$W$2:$W$33,MATCH($K79,CALC!$A$2:$A$33,0)),0))</f>
        <v/>
      </c>
      <c r="AR79" s="2" t="str">
        <f t="array" ref="AR79">IF($K79="",0,IFERROR(INDEX(CALC!$Z$2:$Z$33,MATCH($K79,CALC!$A$2:$A$33,0)),0))</f>
        <v/>
      </c>
      <c r="AS79" s="2" t="str">
        <f t="array" ref="AS79">IF($K79="",0,IFERROR(INDEX(CALC!$AJ$2:$AJ$33,MATCH($K79,CALC!$A$2:$A$33,0)),0))</f>
        <v/>
      </c>
      <c r="AT79" s="2" t="str">
        <f t="array" ref="AT79">IF($K79="",0,IFERROR(INDEX(CALC!$AI$2:$AI$33,MATCH($K79,CALC!$A$2:$A$33,0)),0))</f>
        <v/>
      </c>
      <c r="AU79" s="2">
        <f t="shared" si="11"/>
        <v>0</v>
      </c>
      <c r="AV79" s="2">
        <f t="shared" si="12"/>
        <v>0</v>
      </c>
    </row>
    <row r="80" ht="15.0" customHeight="1">
      <c r="A80" s="2">
        <v>39.0</v>
      </c>
      <c r="B80" s="2" t="s">
        <v>2366</v>
      </c>
      <c r="C80" s="2">
        <f>IFERROR(MATCH($A80,SchedSeq,0),"")</f>
        <v>324</v>
      </c>
      <c r="D80" s="2" t="str">
        <f t="array" ref="D80">IF($C80="","",INDEX(SchedZone,$C80,MAP!$B$6))</f>
        <v>2026_03_KC_MIA</v>
      </c>
      <c r="E80" s="2">
        <f t="array" ref="E80">IF($C80="","",INDEX(SchedZone,$C80,MAP!$B$3))</f>
        <v>2026</v>
      </c>
      <c r="F80" s="2" t="str">
        <f t="array" ref="F80">IF($C80="","",INDEX(SchedZone,$C80,MAP!$B$5))</f>
        <v>REG</v>
      </c>
      <c r="G80" s="2">
        <f t="array" ref="G80">IF($C80="","",INDEX(SchedZone,$C80,MAP!$B$4))</f>
        <v>3</v>
      </c>
      <c r="H80" s="2" t="str">
        <f t="array" ref="H80">IF($C80="","",INDEX(SchedZone,$C80,MAP!$B$10))</f>
        <v>KC</v>
      </c>
      <c r="I80" s="2" t="str">
        <f t="array" ref="I80">IF($H80="","",IF(COUNTIF(Teams,$H80)&gt;0,$H80,IFERROR(INDEX(LISTS!$D$2:$D$12,MATCH($H80,LISTS!$C$2:$C$12,0)),"⚠ "&amp;$H80)))</f>
        <v>KC</v>
      </c>
      <c r="J80" s="2" t="str">
        <f t="array" ref="J80">IF($C80="","",INDEX(SchedZone,$C80,MAP!$B$12))</f>
        <v>MIA</v>
      </c>
      <c r="K80" s="2" t="str">
        <f t="array" ref="K80">IF($J80="","",IF(COUNTIF(Teams,$J80)&gt;0,$J80,IFERROR(INDEX(LISTS!$D$2:$D$12,MATCH($J80,LISTS!$C$2:$C$12,0)),"⚠ "&amp;$J80)))</f>
        <v>MIA</v>
      </c>
      <c r="L80" s="2" t="str">
        <f t="array" ref="L80">IF($C80="","",IF(INDEX(SchedZone,$C80,MAP!$B$14)="Neutral","N",IF($B80="HOME","H","A")))</f>
        <v>A</v>
      </c>
      <c r="M80" s="2" t="str">
        <f t="array" ref="M80">IF($C80="","",IF(INDEX(SchedZone,$C80,MAP!$B$11)="","",INDEX(SchedZone,$C80,MAP!$B$11)))</f>
        <v/>
      </c>
      <c r="N80" s="2" t="str">
        <f t="array" ref="N80">IF($C80="","",IF(INDEX(SchedZone,$C80,MAP!$B$13)="","",INDEX(SchedZone,$C80,MAP!$B$13)))</f>
        <v/>
      </c>
      <c r="O80" s="2">
        <f t="array" ref="O80">IF($C80="","",INDEX(SchedZone,$C80,MAP!$B$15))</f>
        <v>7</v>
      </c>
      <c r="P80" s="2" t="str">
        <f>IF($C80="","",IFERROR(MATCH($E80&amp;"|"&amp;$G80&amp;"|"&amp;$I80,StatsKey,0),""))</f>
        <v/>
      </c>
      <c r="Q80" s="2">
        <f t="array" ref="Q80">IF($P80="",0,INDEX(StatsZone,$P80,MAP!$E$9)+INDEX(StatsZone,$P80,MAP!$E$10)+INDEX(StatsZone,$P80,MAP!$E$11))</f>
        <v>0</v>
      </c>
      <c r="R80" s="2">
        <f t="array" ref="R80">IF($P80="",0,INDEX(StatsZone,$P80,MAP!$E$12))</f>
        <v>0</v>
      </c>
      <c r="S80" s="2">
        <f t="array" ref="S80">IF($P80="",0,INDEX(StatsZone,$P80,MAP!$E$13))</f>
        <v>0</v>
      </c>
      <c r="T80" s="2">
        <f t="shared" si="1"/>
        <v>0</v>
      </c>
      <c r="U80" s="2">
        <f t="array" ref="U80">IF($P80="",0,INDEX(StatsZone,$P80,MAP!$E$14)+INDEX(StatsZone,$P80,MAP!$E$15)+INDEX(StatsZone,$P80,MAP!$E$16))</f>
        <v>0</v>
      </c>
      <c r="V80" s="2">
        <f t="shared" si="2"/>
        <v>0</v>
      </c>
      <c r="W80" s="2">
        <f t="shared" si="3"/>
        <v>0</v>
      </c>
      <c r="X80" s="2">
        <f t="shared" si="4"/>
        <v>0</v>
      </c>
      <c r="Y80" s="2">
        <f t="shared" si="5"/>
        <v>0</v>
      </c>
      <c r="Z80" s="2">
        <f t="shared" si="6"/>
        <v>0</v>
      </c>
      <c r="AA80" s="2">
        <f t="shared" si="7"/>
        <v>-1</v>
      </c>
      <c r="AB80" s="2">
        <f>IF(OR($M80="",$N80=""),0,MEDIAN(-MarginCap,MarginCap,($M80-$N80)-$AA80*HFA_Base))</f>
        <v>0</v>
      </c>
      <c r="AC80" s="2">
        <f t="array" ref="AC80">IF(OR($P80="",INDEX($P$3:$P$722,(ROW()+IF(MOD(ROW()-3,2)=0,1,-1))-3+1)=""),0,MEDIAN(-MarginCap,MarginCap,($T80-$W80)-$AA80*HFA_Base))</f>
        <v>0</v>
      </c>
      <c r="AD80" s="2">
        <f t="shared" si="8"/>
        <v>0</v>
      </c>
      <c r="AE80" s="2">
        <f>IF(OR($M80="",$N80=""),0,IF(AND(WEpa&gt;0,$AD80=1),(1-WEpa)*$AB80+WEpa*$AC80,$AB80))</f>
        <v>0</v>
      </c>
      <c r="AF80" s="2">
        <f>IF(AND($C80&lt;&gt;"",$E80=CurrentSeason,$F80="REG",ISNUMBER($G80),$G80&lt;CurrentWeek,AND($M80&lt;&gt;"",$N80&lt;&gt;"")),1,0)</f>
        <v>0</v>
      </c>
      <c r="AG80" s="2">
        <f>IF($AF80=0,0,IF($G80&gt;=CurrentWeek-RecencyWin,RecencyMult,1))</f>
        <v>0</v>
      </c>
      <c r="AH80" s="2">
        <f>IF(AND($C80&lt;&gt;"",$E80=CurrentSeason,$F80="REG",ISNUMBER($G80),$G80&lt;CurrentWeek-1,AND($M80&lt;&gt;"",$N80&lt;&gt;"")),1,0)</f>
        <v>0</v>
      </c>
      <c r="AI80" s="2">
        <f>IF($AH80=0,0,IF($G80&gt;=CurrentWeek-1-RecencyWin,RecencyMult,1))</f>
        <v>0</v>
      </c>
      <c r="AJ80" s="2">
        <f>IF($AF80=0,0,IF($G80&gt;=CurrentWeek-RecencyWin,TotRecency,1))</f>
        <v>0</v>
      </c>
      <c r="AK80" s="2">
        <f t="shared" si="9"/>
        <v>0</v>
      </c>
      <c r="AL80" s="2">
        <f t="shared" si="10"/>
        <v>0</v>
      </c>
      <c r="AM80" s="2" t="str">
        <f t="array" ref="AM80">IF($K80="",0,IFERROR(INDEX(CALC!$F$2:$F$33,MATCH($K80,CALC!$A$2:$A$33,0)),0))</f>
        <v/>
      </c>
      <c r="AN80" s="2" t="str">
        <f t="array" ref="AN80">IF($K80="",0,IFERROR(INDEX(CALC!$I$2:$I$33,MATCH($K80,CALC!$A$2:$A$33,0)),0))</f>
        <v/>
      </c>
      <c r="AO80" s="2" t="str">
        <f t="array" ref="AO80">IF($K80="",0,IFERROR(INDEX(CALC!$L$2:$L$33,MATCH($K80,CALC!$A$2:$A$33,0)),0))</f>
        <v/>
      </c>
      <c r="AP80" s="2" t="str">
        <f t="array" ref="AP80">IF($K80="",0,IFERROR(INDEX(CALC!$T$2:$T$33,MATCH($K80,CALC!$A$2:$A$33,0)),0))</f>
        <v/>
      </c>
      <c r="AQ80" s="2" t="str">
        <f t="array" ref="AQ80">IF($K80="",0,IFERROR(INDEX(CALC!$W$2:$W$33,MATCH($K80,CALC!$A$2:$A$33,0)),0))</f>
        <v/>
      </c>
      <c r="AR80" s="2" t="str">
        <f t="array" ref="AR80">IF($K80="",0,IFERROR(INDEX(CALC!$Z$2:$Z$33,MATCH($K80,CALC!$A$2:$A$33,0)),0))</f>
        <v/>
      </c>
      <c r="AS80" s="2" t="str">
        <f t="array" ref="AS80">IF($K80="",0,IFERROR(INDEX(CALC!$AJ$2:$AJ$33,MATCH($K80,CALC!$A$2:$A$33,0)),0))</f>
        <v/>
      </c>
      <c r="AT80" s="2" t="str">
        <f t="array" ref="AT80">IF($K80="",0,IFERROR(INDEX(CALC!$AI$2:$AI$33,MATCH($K80,CALC!$A$2:$A$33,0)),0))</f>
        <v/>
      </c>
      <c r="AU80" s="2">
        <f t="shared" si="11"/>
        <v>0</v>
      </c>
      <c r="AV80" s="2">
        <f t="shared" si="12"/>
        <v>0</v>
      </c>
    </row>
    <row r="81" ht="15.0" customHeight="1">
      <c r="A81" s="2">
        <v>40.0</v>
      </c>
      <c r="B81" s="2" t="s">
        <v>2365</v>
      </c>
      <c r="C81" s="2">
        <f>IFERROR(MATCH($A81,SchedSeq,0),"")</f>
        <v>325</v>
      </c>
      <c r="D81" s="2" t="str">
        <f t="array" ref="D81">IF($C81="","",INDEX(SchedZone,$C81,MAP!$B$6))</f>
        <v>2026_03_TEN_NYG</v>
      </c>
      <c r="E81" s="2">
        <f t="array" ref="E81">IF($C81="","",INDEX(SchedZone,$C81,MAP!$B$3))</f>
        <v>2026</v>
      </c>
      <c r="F81" s="2" t="str">
        <f t="array" ref="F81">IF($C81="","",INDEX(SchedZone,$C81,MAP!$B$5))</f>
        <v>REG</v>
      </c>
      <c r="G81" s="2">
        <f t="array" ref="G81">IF($C81="","",INDEX(SchedZone,$C81,MAP!$B$4))</f>
        <v>3</v>
      </c>
      <c r="H81" s="2" t="str">
        <f t="array" ref="H81">IF($C81="","",INDEX(SchedZone,$C81,MAP!$B$12))</f>
        <v>NYG</v>
      </c>
      <c r="I81" s="2" t="str">
        <f t="array" ref="I81">IF($H81="","",IF(COUNTIF(Teams,$H81)&gt;0,$H81,IFERROR(INDEX(LISTS!$D$2:$D$12,MATCH($H81,LISTS!$C$2:$C$12,0)),"⚠ "&amp;$H81)))</f>
        <v>NYG</v>
      </c>
      <c r="J81" s="2" t="str">
        <f t="array" ref="J81">IF($C81="","",INDEX(SchedZone,$C81,MAP!$B$10))</f>
        <v>TEN</v>
      </c>
      <c r="K81" s="2" t="str">
        <f t="array" ref="K81">IF($J81="","",IF(COUNTIF(Teams,$J81)&gt;0,$J81,IFERROR(INDEX(LISTS!$D$2:$D$12,MATCH($J81,LISTS!$C$2:$C$12,0)),"⚠ "&amp;$J81)))</f>
        <v>TEN</v>
      </c>
      <c r="L81" s="2" t="str">
        <f t="array" ref="L81">IF($C81="","",IF(INDEX(SchedZone,$C81,MAP!$B$14)="Neutral","N",IF($B81="HOME","H","A")))</f>
        <v>H</v>
      </c>
      <c r="M81" s="2" t="str">
        <f t="array" ref="M81">IF($C81="","",IF(INDEX(SchedZone,$C81,MAP!$B$13)="","",INDEX(SchedZone,$C81,MAP!$B$13)))</f>
        <v/>
      </c>
      <c r="N81" s="2" t="str">
        <f t="array" ref="N81">IF($C81="","",IF(INDEX(SchedZone,$C81,MAP!$B$11)="","",INDEX(SchedZone,$C81,MAP!$B$11)))</f>
        <v/>
      </c>
      <c r="O81" s="2">
        <f t="array" ref="O81">IF($C81="","",INDEX(SchedZone,$C81,MAP!$B$16))</f>
        <v>6</v>
      </c>
      <c r="P81" s="2" t="str">
        <f>IF($C81="","",IFERROR(MATCH($E81&amp;"|"&amp;$G81&amp;"|"&amp;$I81,StatsKey,0),""))</f>
        <v/>
      </c>
      <c r="Q81" s="2">
        <f t="array" ref="Q81">IF($P81="",0,INDEX(StatsZone,$P81,MAP!$E$9)+INDEX(StatsZone,$P81,MAP!$E$10)+INDEX(StatsZone,$P81,MAP!$E$11))</f>
        <v>0</v>
      </c>
      <c r="R81" s="2">
        <f t="array" ref="R81">IF($P81="",0,INDEX(StatsZone,$P81,MAP!$E$12))</f>
        <v>0</v>
      </c>
      <c r="S81" s="2">
        <f t="array" ref="S81">IF($P81="",0,INDEX(StatsZone,$P81,MAP!$E$13))</f>
        <v>0</v>
      </c>
      <c r="T81" s="2">
        <f t="shared" si="1"/>
        <v>0</v>
      </c>
      <c r="U81" s="2">
        <f t="array" ref="U81">IF($P81="",0,INDEX(StatsZone,$P81,MAP!$E$14)+INDEX(StatsZone,$P81,MAP!$E$15)+INDEX(StatsZone,$P81,MAP!$E$16))</f>
        <v>0</v>
      </c>
      <c r="V81" s="2">
        <f t="shared" si="2"/>
        <v>0</v>
      </c>
      <c r="W81" s="2">
        <f t="shared" si="3"/>
        <v>0</v>
      </c>
      <c r="X81" s="2">
        <f t="shared" si="4"/>
        <v>0</v>
      </c>
      <c r="Y81" s="2">
        <f t="shared" si="5"/>
        <v>0</v>
      </c>
      <c r="Z81" s="2">
        <f t="shared" si="6"/>
        <v>0</v>
      </c>
      <c r="AA81" s="2">
        <f t="shared" si="7"/>
        <v>1</v>
      </c>
      <c r="AB81" s="2">
        <f>IF(OR($M81="",$N81=""),0,MEDIAN(-MarginCap,MarginCap,($M81-$N81)-$AA81*HFA_Base))</f>
        <v>0</v>
      </c>
      <c r="AC81" s="2">
        <f t="array" ref="AC81">IF(OR($P81="",INDEX($P$3:$P$722,(ROW()+IF(MOD(ROW()-3,2)=0,1,-1))-3+1)=""),0,MEDIAN(-MarginCap,MarginCap,($T81-$W81)-$AA81*HFA_Base))</f>
        <v>0</v>
      </c>
      <c r="AD81" s="2">
        <f t="shared" si="8"/>
        <v>0</v>
      </c>
      <c r="AE81" s="2">
        <f>IF(OR($M81="",$N81=""),0,IF(AND(WEpa&gt;0,$AD81=1),(1-WEpa)*$AB81+WEpa*$AC81,$AB81))</f>
        <v>0</v>
      </c>
      <c r="AF81" s="2">
        <f>IF(AND($C81&lt;&gt;"",$E81=CurrentSeason,$F81="REG",ISNUMBER($G81),$G81&lt;CurrentWeek,AND($M81&lt;&gt;"",$N81&lt;&gt;"")),1,0)</f>
        <v>0</v>
      </c>
      <c r="AG81" s="2">
        <f>IF($AF81=0,0,IF($G81&gt;=CurrentWeek-RecencyWin,RecencyMult,1))</f>
        <v>0</v>
      </c>
      <c r="AH81" s="2">
        <f>IF(AND($C81&lt;&gt;"",$E81=CurrentSeason,$F81="REG",ISNUMBER($G81),$G81&lt;CurrentWeek-1,AND($M81&lt;&gt;"",$N81&lt;&gt;"")),1,0)</f>
        <v>0</v>
      </c>
      <c r="AI81" s="2">
        <f>IF($AH81=0,0,IF($G81&gt;=CurrentWeek-1-RecencyWin,RecencyMult,1))</f>
        <v>0</v>
      </c>
      <c r="AJ81" s="2">
        <f>IF($AF81=0,0,IF($G81&gt;=CurrentWeek-RecencyWin,TotRecency,1))</f>
        <v>0</v>
      </c>
      <c r="AK81" s="2">
        <f t="shared" si="9"/>
        <v>0</v>
      </c>
      <c r="AL81" s="2">
        <f t="shared" si="10"/>
        <v>0</v>
      </c>
      <c r="AM81" s="2" t="str">
        <f t="array" ref="AM81">IF($K81="",0,IFERROR(INDEX(CALC!$F$2:$F$33,MATCH($K81,CALC!$A$2:$A$33,0)),0))</f>
        <v/>
      </c>
      <c r="AN81" s="2" t="str">
        <f t="array" ref="AN81">IF($K81="",0,IFERROR(INDEX(CALC!$I$2:$I$33,MATCH($K81,CALC!$A$2:$A$33,0)),0))</f>
        <v/>
      </c>
      <c r="AO81" s="2" t="str">
        <f t="array" ref="AO81">IF($K81="",0,IFERROR(INDEX(CALC!$L$2:$L$33,MATCH($K81,CALC!$A$2:$A$33,0)),0))</f>
        <v/>
      </c>
      <c r="AP81" s="2" t="str">
        <f t="array" ref="AP81">IF($K81="",0,IFERROR(INDEX(CALC!$T$2:$T$33,MATCH($K81,CALC!$A$2:$A$33,0)),0))</f>
        <v/>
      </c>
      <c r="AQ81" s="2" t="str">
        <f t="array" ref="AQ81">IF($K81="",0,IFERROR(INDEX(CALC!$W$2:$W$33,MATCH($K81,CALC!$A$2:$A$33,0)),0))</f>
        <v/>
      </c>
      <c r="AR81" s="2" t="str">
        <f t="array" ref="AR81">IF($K81="",0,IFERROR(INDEX(CALC!$Z$2:$Z$33,MATCH($K81,CALC!$A$2:$A$33,0)),0))</f>
        <v/>
      </c>
      <c r="AS81" s="2" t="str">
        <f t="array" ref="AS81">IF($K81="",0,IFERROR(INDEX(CALC!$AJ$2:$AJ$33,MATCH($K81,CALC!$A$2:$A$33,0)),0))</f>
        <v/>
      </c>
      <c r="AT81" s="2" t="str">
        <f t="array" ref="AT81">IF($K81="",0,IFERROR(INDEX(CALC!$AI$2:$AI$33,MATCH($K81,CALC!$A$2:$A$33,0)),0))</f>
        <v/>
      </c>
      <c r="AU81" s="2">
        <f t="shared" si="11"/>
        <v>0</v>
      </c>
      <c r="AV81" s="2">
        <f t="shared" si="12"/>
        <v>0</v>
      </c>
    </row>
    <row r="82" ht="15.0" customHeight="1">
      <c r="A82" s="2">
        <v>40.0</v>
      </c>
      <c r="B82" s="2" t="s">
        <v>2366</v>
      </c>
      <c r="C82" s="2">
        <f>IFERROR(MATCH($A82,SchedSeq,0),"")</f>
        <v>325</v>
      </c>
      <c r="D82" s="2" t="str">
        <f t="array" ref="D82">IF($C82="","",INDEX(SchedZone,$C82,MAP!$B$6))</f>
        <v>2026_03_TEN_NYG</v>
      </c>
      <c r="E82" s="2">
        <f t="array" ref="E82">IF($C82="","",INDEX(SchedZone,$C82,MAP!$B$3))</f>
        <v>2026</v>
      </c>
      <c r="F82" s="2" t="str">
        <f t="array" ref="F82">IF($C82="","",INDEX(SchedZone,$C82,MAP!$B$5))</f>
        <v>REG</v>
      </c>
      <c r="G82" s="2">
        <f t="array" ref="G82">IF($C82="","",INDEX(SchedZone,$C82,MAP!$B$4))</f>
        <v>3</v>
      </c>
      <c r="H82" s="2" t="str">
        <f t="array" ref="H82">IF($C82="","",INDEX(SchedZone,$C82,MAP!$B$10))</f>
        <v>TEN</v>
      </c>
      <c r="I82" s="2" t="str">
        <f t="array" ref="I82">IF($H82="","",IF(COUNTIF(Teams,$H82)&gt;0,$H82,IFERROR(INDEX(LISTS!$D$2:$D$12,MATCH($H82,LISTS!$C$2:$C$12,0)),"⚠ "&amp;$H82)))</f>
        <v>TEN</v>
      </c>
      <c r="J82" s="2" t="str">
        <f t="array" ref="J82">IF($C82="","",INDEX(SchedZone,$C82,MAP!$B$12))</f>
        <v>NYG</v>
      </c>
      <c r="K82" s="2" t="str">
        <f t="array" ref="K82">IF($J82="","",IF(COUNTIF(Teams,$J82)&gt;0,$J82,IFERROR(INDEX(LISTS!$D$2:$D$12,MATCH($J82,LISTS!$C$2:$C$12,0)),"⚠ "&amp;$J82)))</f>
        <v>NYG</v>
      </c>
      <c r="L82" s="2" t="str">
        <f t="array" ref="L82">IF($C82="","",IF(INDEX(SchedZone,$C82,MAP!$B$14)="Neutral","N",IF($B82="HOME","H","A")))</f>
        <v>A</v>
      </c>
      <c r="M82" s="2" t="str">
        <f t="array" ref="M82">IF($C82="","",IF(INDEX(SchedZone,$C82,MAP!$B$11)="","",INDEX(SchedZone,$C82,MAP!$B$11)))</f>
        <v/>
      </c>
      <c r="N82" s="2" t="str">
        <f t="array" ref="N82">IF($C82="","",IF(INDEX(SchedZone,$C82,MAP!$B$13)="","",INDEX(SchedZone,$C82,MAP!$B$13)))</f>
        <v/>
      </c>
      <c r="O82" s="2">
        <f t="array" ref="O82">IF($C82="","",INDEX(SchedZone,$C82,MAP!$B$15))</f>
        <v>7</v>
      </c>
      <c r="P82" s="2" t="str">
        <f>IF($C82="","",IFERROR(MATCH($E82&amp;"|"&amp;$G82&amp;"|"&amp;$I82,StatsKey,0),""))</f>
        <v/>
      </c>
      <c r="Q82" s="2">
        <f t="array" ref="Q82">IF($P82="",0,INDEX(StatsZone,$P82,MAP!$E$9)+INDEX(StatsZone,$P82,MAP!$E$10)+INDEX(StatsZone,$P82,MAP!$E$11))</f>
        <v>0</v>
      </c>
      <c r="R82" s="2">
        <f t="array" ref="R82">IF($P82="",0,INDEX(StatsZone,$P82,MAP!$E$12))</f>
        <v>0</v>
      </c>
      <c r="S82" s="2">
        <f t="array" ref="S82">IF($P82="",0,INDEX(StatsZone,$P82,MAP!$E$13))</f>
        <v>0</v>
      </c>
      <c r="T82" s="2">
        <f t="shared" si="1"/>
        <v>0</v>
      </c>
      <c r="U82" s="2">
        <f t="array" ref="U82">IF($P82="",0,INDEX(StatsZone,$P82,MAP!$E$14)+INDEX(StatsZone,$P82,MAP!$E$15)+INDEX(StatsZone,$P82,MAP!$E$16))</f>
        <v>0</v>
      </c>
      <c r="V82" s="2">
        <f t="shared" si="2"/>
        <v>0</v>
      </c>
      <c r="W82" s="2">
        <f t="shared" si="3"/>
        <v>0</v>
      </c>
      <c r="X82" s="2">
        <f t="shared" si="4"/>
        <v>0</v>
      </c>
      <c r="Y82" s="2">
        <f t="shared" si="5"/>
        <v>0</v>
      </c>
      <c r="Z82" s="2">
        <f t="shared" si="6"/>
        <v>0</v>
      </c>
      <c r="AA82" s="2">
        <f t="shared" si="7"/>
        <v>-1</v>
      </c>
      <c r="AB82" s="2">
        <f>IF(OR($M82="",$N82=""),0,MEDIAN(-MarginCap,MarginCap,($M82-$N82)-$AA82*HFA_Base))</f>
        <v>0</v>
      </c>
      <c r="AC82" s="2">
        <f t="array" ref="AC82">IF(OR($P82="",INDEX($P$3:$P$722,(ROW()+IF(MOD(ROW()-3,2)=0,1,-1))-3+1)=""),0,MEDIAN(-MarginCap,MarginCap,($T82-$W82)-$AA82*HFA_Base))</f>
        <v>0</v>
      </c>
      <c r="AD82" s="2">
        <f t="shared" si="8"/>
        <v>0</v>
      </c>
      <c r="AE82" s="2">
        <f>IF(OR($M82="",$N82=""),0,IF(AND(WEpa&gt;0,$AD82=1),(1-WEpa)*$AB82+WEpa*$AC82,$AB82))</f>
        <v>0</v>
      </c>
      <c r="AF82" s="2">
        <f>IF(AND($C82&lt;&gt;"",$E82=CurrentSeason,$F82="REG",ISNUMBER($G82),$G82&lt;CurrentWeek,AND($M82&lt;&gt;"",$N82&lt;&gt;"")),1,0)</f>
        <v>0</v>
      </c>
      <c r="AG82" s="2">
        <f>IF($AF82=0,0,IF($G82&gt;=CurrentWeek-RecencyWin,RecencyMult,1))</f>
        <v>0</v>
      </c>
      <c r="AH82" s="2">
        <f>IF(AND($C82&lt;&gt;"",$E82=CurrentSeason,$F82="REG",ISNUMBER($G82),$G82&lt;CurrentWeek-1,AND($M82&lt;&gt;"",$N82&lt;&gt;"")),1,0)</f>
        <v>0</v>
      </c>
      <c r="AI82" s="2">
        <f>IF($AH82=0,0,IF($G82&gt;=CurrentWeek-1-RecencyWin,RecencyMult,1))</f>
        <v>0</v>
      </c>
      <c r="AJ82" s="2">
        <f>IF($AF82=0,0,IF($G82&gt;=CurrentWeek-RecencyWin,TotRecency,1))</f>
        <v>0</v>
      </c>
      <c r="AK82" s="2">
        <f t="shared" si="9"/>
        <v>0</v>
      </c>
      <c r="AL82" s="2">
        <f t="shared" si="10"/>
        <v>0</v>
      </c>
      <c r="AM82" s="2" t="str">
        <f t="array" ref="AM82">IF($K82="",0,IFERROR(INDEX(CALC!$F$2:$F$33,MATCH($K82,CALC!$A$2:$A$33,0)),0))</f>
        <v/>
      </c>
      <c r="AN82" s="2" t="str">
        <f t="array" ref="AN82">IF($K82="",0,IFERROR(INDEX(CALC!$I$2:$I$33,MATCH($K82,CALC!$A$2:$A$33,0)),0))</f>
        <v/>
      </c>
      <c r="AO82" s="2" t="str">
        <f t="array" ref="AO82">IF($K82="",0,IFERROR(INDEX(CALC!$L$2:$L$33,MATCH($K82,CALC!$A$2:$A$33,0)),0))</f>
        <v/>
      </c>
      <c r="AP82" s="2" t="str">
        <f t="array" ref="AP82">IF($K82="",0,IFERROR(INDEX(CALC!$T$2:$T$33,MATCH($K82,CALC!$A$2:$A$33,0)),0))</f>
        <v/>
      </c>
      <c r="AQ82" s="2" t="str">
        <f t="array" ref="AQ82">IF($K82="",0,IFERROR(INDEX(CALC!$W$2:$W$33,MATCH($K82,CALC!$A$2:$A$33,0)),0))</f>
        <v/>
      </c>
      <c r="AR82" s="2" t="str">
        <f t="array" ref="AR82">IF($K82="",0,IFERROR(INDEX(CALC!$Z$2:$Z$33,MATCH($K82,CALC!$A$2:$A$33,0)),0))</f>
        <v/>
      </c>
      <c r="AS82" s="2" t="str">
        <f t="array" ref="AS82">IF($K82="",0,IFERROR(INDEX(CALC!$AJ$2:$AJ$33,MATCH($K82,CALC!$A$2:$A$33,0)),0))</f>
        <v/>
      </c>
      <c r="AT82" s="2" t="str">
        <f t="array" ref="AT82">IF($K82="",0,IFERROR(INDEX(CALC!$AI$2:$AI$33,MATCH($K82,CALC!$A$2:$A$33,0)),0))</f>
        <v/>
      </c>
      <c r="AU82" s="2">
        <f t="shared" si="11"/>
        <v>0</v>
      </c>
      <c r="AV82" s="2">
        <f t="shared" si="12"/>
        <v>0</v>
      </c>
    </row>
    <row r="83" ht="15.0" customHeight="1">
      <c r="A83" s="2">
        <v>41.0</v>
      </c>
      <c r="B83" s="2" t="s">
        <v>2365</v>
      </c>
      <c r="C83" s="2">
        <f>IFERROR(MATCH($A83,SchedSeq,0),"")</f>
        <v>326</v>
      </c>
      <c r="D83" s="2" t="str">
        <f t="array" ref="D83">IF($C83="","",INDEX(SchedZone,$C83,MAP!$B$6))</f>
        <v>2026_03_CIN_PIT</v>
      </c>
      <c r="E83" s="2">
        <f t="array" ref="E83">IF($C83="","",INDEX(SchedZone,$C83,MAP!$B$3))</f>
        <v>2026</v>
      </c>
      <c r="F83" s="2" t="str">
        <f t="array" ref="F83">IF($C83="","",INDEX(SchedZone,$C83,MAP!$B$5))</f>
        <v>REG</v>
      </c>
      <c r="G83" s="2">
        <f t="array" ref="G83">IF($C83="","",INDEX(SchedZone,$C83,MAP!$B$4))</f>
        <v>3</v>
      </c>
      <c r="H83" s="2" t="str">
        <f t="array" ref="H83">IF($C83="","",INDEX(SchedZone,$C83,MAP!$B$12))</f>
        <v>PIT</v>
      </c>
      <c r="I83" s="2" t="str">
        <f t="array" ref="I83">IF($H83="","",IF(COUNTIF(Teams,$H83)&gt;0,$H83,IFERROR(INDEX(LISTS!$D$2:$D$12,MATCH($H83,LISTS!$C$2:$C$12,0)),"⚠ "&amp;$H83)))</f>
        <v>PIT</v>
      </c>
      <c r="J83" s="2" t="str">
        <f t="array" ref="J83">IF($C83="","",INDEX(SchedZone,$C83,MAP!$B$10))</f>
        <v>CIN</v>
      </c>
      <c r="K83" s="2" t="str">
        <f t="array" ref="K83">IF($J83="","",IF(COUNTIF(Teams,$J83)&gt;0,$J83,IFERROR(INDEX(LISTS!$D$2:$D$12,MATCH($J83,LISTS!$C$2:$C$12,0)),"⚠ "&amp;$J83)))</f>
        <v>CIN</v>
      </c>
      <c r="L83" s="2" t="str">
        <f t="array" ref="L83">IF($C83="","",IF(INDEX(SchedZone,$C83,MAP!$B$14)="Neutral","N",IF($B83="HOME","H","A")))</f>
        <v>H</v>
      </c>
      <c r="M83" s="2" t="str">
        <f t="array" ref="M83">IF($C83="","",IF(INDEX(SchedZone,$C83,MAP!$B$13)="","",INDEX(SchedZone,$C83,MAP!$B$13)))</f>
        <v/>
      </c>
      <c r="N83" s="2" t="str">
        <f t="array" ref="N83">IF($C83="","",IF(INDEX(SchedZone,$C83,MAP!$B$11)="","",INDEX(SchedZone,$C83,MAP!$B$11)))</f>
        <v/>
      </c>
      <c r="O83" s="2">
        <f t="array" ref="O83">IF($C83="","",INDEX(SchedZone,$C83,MAP!$B$16))</f>
        <v>7</v>
      </c>
      <c r="P83" s="2" t="str">
        <f>IF($C83="","",IFERROR(MATCH($E83&amp;"|"&amp;$G83&amp;"|"&amp;$I83,StatsKey,0),""))</f>
        <v/>
      </c>
      <c r="Q83" s="2">
        <f t="array" ref="Q83">IF($P83="",0,INDEX(StatsZone,$P83,MAP!$E$9)+INDEX(StatsZone,$P83,MAP!$E$10)+INDEX(StatsZone,$P83,MAP!$E$11))</f>
        <v>0</v>
      </c>
      <c r="R83" s="2">
        <f t="array" ref="R83">IF($P83="",0,INDEX(StatsZone,$P83,MAP!$E$12))</f>
        <v>0</v>
      </c>
      <c r="S83" s="2">
        <f t="array" ref="S83">IF($P83="",0,INDEX(StatsZone,$P83,MAP!$E$13))</f>
        <v>0</v>
      </c>
      <c r="T83" s="2">
        <f t="shared" si="1"/>
        <v>0</v>
      </c>
      <c r="U83" s="2">
        <f t="array" ref="U83">IF($P83="",0,INDEX(StatsZone,$P83,MAP!$E$14)+INDEX(StatsZone,$P83,MAP!$E$15)+INDEX(StatsZone,$P83,MAP!$E$16))</f>
        <v>0</v>
      </c>
      <c r="V83" s="2">
        <f t="shared" si="2"/>
        <v>0</v>
      </c>
      <c r="W83" s="2">
        <f t="shared" si="3"/>
        <v>0</v>
      </c>
      <c r="X83" s="2">
        <f t="shared" si="4"/>
        <v>0</v>
      </c>
      <c r="Y83" s="2">
        <f t="shared" si="5"/>
        <v>0</v>
      </c>
      <c r="Z83" s="2">
        <f t="shared" si="6"/>
        <v>0</v>
      </c>
      <c r="AA83" s="2">
        <f t="shared" si="7"/>
        <v>1</v>
      </c>
      <c r="AB83" s="2">
        <f>IF(OR($M83="",$N83=""),0,MEDIAN(-MarginCap,MarginCap,($M83-$N83)-$AA83*HFA_Base))</f>
        <v>0</v>
      </c>
      <c r="AC83" s="2">
        <f t="array" ref="AC83">IF(OR($P83="",INDEX($P$3:$P$722,(ROW()+IF(MOD(ROW()-3,2)=0,1,-1))-3+1)=""),0,MEDIAN(-MarginCap,MarginCap,($T83-$W83)-$AA83*HFA_Base))</f>
        <v>0</v>
      </c>
      <c r="AD83" s="2">
        <f t="shared" si="8"/>
        <v>0</v>
      </c>
      <c r="AE83" s="2">
        <f>IF(OR($M83="",$N83=""),0,IF(AND(WEpa&gt;0,$AD83=1),(1-WEpa)*$AB83+WEpa*$AC83,$AB83))</f>
        <v>0</v>
      </c>
      <c r="AF83" s="2">
        <f>IF(AND($C83&lt;&gt;"",$E83=CurrentSeason,$F83="REG",ISNUMBER($G83),$G83&lt;CurrentWeek,AND($M83&lt;&gt;"",$N83&lt;&gt;"")),1,0)</f>
        <v>0</v>
      </c>
      <c r="AG83" s="2">
        <f>IF($AF83=0,0,IF($G83&gt;=CurrentWeek-RecencyWin,RecencyMult,1))</f>
        <v>0</v>
      </c>
      <c r="AH83" s="2">
        <f>IF(AND($C83&lt;&gt;"",$E83=CurrentSeason,$F83="REG",ISNUMBER($G83),$G83&lt;CurrentWeek-1,AND($M83&lt;&gt;"",$N83&lt;&gt;"")),1,0)</f>
        <v>0</v>
      </c>
      <c r="AI83" s="2">
        <f>IF($AH83=0,0,IF($G83&gt;=CurrentWeek-1-RecencyWin,RecencyMult,1))</f>
        <v>0</v>
      </c>
      <c r="AJ83" s="2">
        <f>IF($AF83=0,0,IF($G83&gt;=CurrentWeek-RecencyWin,TotRecency,1))</f>
        <v>0</v>
      </c>
      <c r="AK83" s="2">
        <f t="shared" si="9"/>
        <v>0</v>
      </c>
      <c r="AL83" s="2">
        <f t="shared" si="10"/>
        <v>0</v>
      </c>
      <c r="AM83" s="2" t="str">
        <f t="array" ref="AM83">IF($K83="",0,IFERROR(INDEX(CALC!$F$2:$F$33,MATCH($K83,CALC!$A$2:$A$33,0)),0))</f>
        <v/>
      </c>
      <c r="AN83" s="2" t="str">
        <f t="array" ref="AN83">IF($K83="",0,IFERROR(INDEX(CALC!$I$2:$I$33,MATCH($K83,CALC!$A$2:$A$33,0)),0))</f>
        <v/>
      </c>
      <c r="AO83" s="2" t="str">
        <f t="array" ref="AO83">IF($K83="",0,IFERROR(INDEX(CALC!$L$2:$L$33,MATCH($K83,CALC!$A$2:$A$33,0)),0))</f>
        <v/>
      </c>
      <c r="AP83" s="2" t="str">
        <f t="array" ref="AP83">IF($K83="",0,IFERROR(INDEX(CALC!$T$2:$T$33,MATCH($K83,CALC!$A$2:$A$33,0)),0))</f>
        <v/>
      </c>
      <c r="AQ83" s="2" t="str">
        <f t="array" ref="AQ83">IF($K83="",0,IFERROR(INDEX(CALC!$W$2:$W$33,MATCH($K83,CALC!$A$2:$A$33,0)),0))</f>
        <v/>
      </c>
      <c r="AR83" s="2" t="str">
        <f t="array" ref="AR83">IF($K83="",0,IFERROR(INDEX(CALC!$Z$2:$Z$33,MATCH($K83,CALC!$A$2:$A$33,0)),0))</f>
        <v/>
      </c>
      <c r="AS83" s="2" t="str">
        <f t="array" ref="AS83">IF($K83="",0,IFERROR(INDEX(CALC!$AJ$2:$AJ$33,MATCH($K83,CALC!$A$2:$A$33,0)),0))</f>
        <v/>
      </c>
      <c r="AT83" s="2" t="str">
        <f t="array" ref="AT83">IF($K83="",0,IFERROR(INDEX(CALC!$AI$2:$AI$33,MATCH($K83,CALC!$A$2:$A$33,0)),0))</f>
        <v/>
      </c>
      <c r="AU83" s="2">
        <f t="shared" si="11"/>
        <v>0</v>
      </c>
      <c r="AV83" s="2">
        <f t="shared" si="12"/>
        <v>0</v>
      </c>
    </row>
    <row r="84" ht="15.0" customHeight="1">
      <c r="A84" s="2">
        <v>41.0</v>
      </c>
      <c r="B84" s="2" t="s">
        <v>2366</v>
      </c>
      <c r="C84" s="2">
        <f>IFERROR(MATCH($A84,SchedSeq,0),"")</f>
        <v>326</v>
      </c>
      <c r="D84" s="2" t="str">
        <f t="array" ref="D84">IF($C84="","",INDEX(SchedZone,$C84,MAP!$B$6))</f>
        <v>2026_03_CIN_PIT</v>
      </c>
      <c r="E84" s="2">
        <f t="array" ref="E84">IF($C84="","",INDEX(SchedZone,$C84,MAP!$B$3))</f>
        <v>2026</v>
      </c>
      <c r="F84" s="2" t="str">
        <f t="array" ref="F84">IF($C84="","",INDEX(SchedZone,$C84,MAP!$B$5))</f>
        <v>REG</v>
      </c>
      <c r="G84" s="2">
        <f t="array" ref="G84">IF($C84="","",INDEX(SchedZone,$C84,MAP!$B$4))</f>
        <v>3</v>
      </c>
      <c r="H84" s="2" t="str">
        <f t="array" ref="H84">IF($C84="","",INDEX(SchedZone,$C84,MAP!$B$10))</f>
        <v>CIN</v>
      </c>
      <c r="I84" s="2" t="str">
        <f t="array" ref="I84">IF($H84="","",IF(COUNTIF(Teams,$H84)&gt;0,$H84,IFERROR(INDEX(LISTS!$D$2:$D$12,MATCH($H84,LISTS!$C$2:$C$12,0)),"⚠ "&amp;$H84)))</f>
        <v>CIN</v>
      </c>
      <c r="J84" s="2" t="str">
        <f t="array" ref="J84">IF($C84="","",INDEX(SchedZone,$C84,MAP!$B$12))</f>
        <v>PIT</v>
      </c>
      <c r="K84" s="2" t="str">
        <f t="array" ref="K84">IF($J84="","",IF(COUNTIF(Teams,$J84)&gt;0,$J84,IFERROR(INDEX(LISTS!$D$2:$D$12,MATCH($J84,LISTS!$C$2:$C$12,0)),"⚠ "&amp;$J84)))</f>
        <v>PIT</v>
      </c>
      <c r="L84" s="2" t="str">
        <f t="array" ref="L84">IF($C84="","",IF(INDEX(SchedZone,$C84,MAP!$B$14)="Neutral","N",IF($B84="HOME","H","A")))</f>
        <v>A</v>
      </c>
      <c r="M84" s="2" t="str">
        <f t="array" ref="M84">IF($C84="","",IF(INDEX(SchedZone,$C84,MAP!$B$11)="","",INDEX(SchedZone,$C84,MAP!$B$11)))</f>
        <v/>
      </c>
      <c r="N84" s="2" t="str">
        <f t="array" ref="N84">IF($C84="","",IF(INDEX(SchedZone,$C84,MAP!$B$13)="","",INDEX(SchedZone,$C84,MAP!$B$13)))</f>
        <v/>
      </c>
      <c r="O84" s="2">
        <f t="array" ref="O84">IF($C84="","",INDEX(SchedZone,$C84,MAP!$B$15))</f>
        <v>7</v>
      </c>
      <c r="P84" s="2" t="str">
        <f>IF($C84="","",IFERROR(MATCH($E84&amp;"|"&amp;$G84&amp;"|"&amp;$I84,StatsKey,0),""))</f>
        <v/>
      </c>
      <c r="Q84" s="2">
        <f t="array" ref="Q84">IF($P84="",0,INDEX(StatsZone,$P84,MAP!$E$9)+INDEX(StatsZone,$P84,MAP!$E$10)+INDEX(StatsZone,$P84,MAP!$E$11))</f>
        <v>0</v>
      </c>
      <c r="R84" s="2">
        <f t="array" ref="R84">IF($P84="",0,INDEX(StatsZone,$P84,MAP!$E$12))</f>
        <v>0</v>
      </c>
      <c r="S84" s="2">
        <f t="array" ref="S84">IF($P84="",0,INDEX(StatsZone,$P84,MAP!$E$13))</f>
        <v>0</v>
      </c>
      <c r="T84" s="2">
        <f t="shared" si="1"/>
        <v>0</v>
      </c>
      <c r="U84" s="2">
        <f t="array" ref="U84">IF($P84="",0,INDEX(StatsZone,$P84,MAP!$E$14)+INDEX(StatsZone,$P84,MAP!$E$15)+INDEX(StatsZone,$P84,MAP!$E$16))</f>
        <v>0</v>
      </c>
      <c r="V84" s="2">
        <f t="shared" si="2"/>
        <v>0</v>
      </c>
      <c r="W84" s="2">
        <f t="shared" si="3"/>
        <v>0</v>
      </c>
      <c r="X84" s="2">
        <f t="shared" si="4"/>
        <v>0</v>
      </c>
      <c r="Y84" s="2">
        <f t="shared" si="5"/>
        <v>0</v>
      </c>
      <c r="Z84" s="2">
        <f t="shared" si="6"/>
        <v>0</v>
      </c>
      <c r="AA84" s="2">
        <f t="shared" si="7"/>
        <v>-1</v>
      </c>
      <c r="AB84" s="2">
        <f>IF(OR($M84="",$N84=""),0,MEDIAN(-MarginCap,MarginCap,($M84-$N84)-$AA84*HFA_Base))</f>
        <v>0</v>
      </c>
      <c r="AC84" s="2">
        <f t="array" ref="AC84">IF(OR($P84="",INDEX($P$3:$P$722,(ROW()+IF(MOD(ROW()-3,2)=0,1,-1))-3+1)=""),0,MEDIAN(-MarginCap,MarginCap,($T84-$W84)-$AA84*HFA_Base))</f>
        <v>0</v>
      </c>
      <c r="AD84" s="2">
        <f t="shared" si="8"/>
        <v>0</v>
      </c>
      <c r="AE84" s="2">
        <f>IF(OR($M84="",$N84=""),0,IF(AND(WEpa&gt;0,$AD84=1),(1-WEpa)*$AB84+WEpa*$AC84,$AB84))</f>
        <v>0</v>
      </c>
      <c r="AF84" s="2">
        <f>IF(AND($C84&lt;&gt;"",$E84=CurrentSeason,$F84="REG",ISNUMBER($G84),$G84&lt;CurrentWeek,AND($M84&lt;&gt;"",$N84&lt;&gt;"")),1,0)</f>
        <v>0</v>
      </c>
      <c r="AG84" s="2">
        <f>IF($AF84=0,0,IF($G84&gt;=CurrentWeek-RecencyWin,RecencyMult,1))</f>
        <v>0</v>
      </c>
      <c r="AH84" s="2">
        <f>IF(AND($C84&lt;&gt;"",$E84=CurrentSeason,$F84="REG",ISNUMBER($G84),$G84&lt;CurrentWeek-1,AND($M84&lt;&gt;"",$N84&lt;&gt;"")),1,0)</f>
        <v>0</v>
      </c>
      <c r="AI84" s="2">
        <f>IF($AH84=0,0,IF($G84&gt;=CurrentWeek-1-RecencyWin,RecencyMult,1))</f>
        <v>0</v>
      </c>
      <c r="AJ84" s="2">
        <f>IF($AF84=0,0,IF($G84&gt;=CurrentWeek-RecencyWin,TotRecency,1))</f>
        <v>0</v>
      </c>
      <c r="AK84" s="2">
        <f t="shared" si="9"/>
        <v>0</v>
      </c>
      <c r="AL84" s="2">
        <f t="shared" si="10"/>
        <v>0</v>
      </c>
      <c r="AM84" s="2" t="str">
        <f t="array" ref="AM84">IF($K84="",0,IFERROR(INDEX(CALC!$F$2:$F$33,MATCH($K84,CALC!$A$2:$A$33,0)),0))</f>
        <v/>
      </c>
      <c r="AN84" s="2" t="str">
        <f t="array" ref="AN84">IF($K84="",0,IFERROR(INDEX(CALC!$I$2:$I$33,MATCH($K84,CALC!$A$2:$A$33,0)),0))</f>
        <v/>
      </c>
      <c r="AO84" s="2" t="str">
        <f t="array" ref="AO84">IF($K84="",0,IFERROR(INDEX(CALC!$L$2:$L$33,MATCH($K84,CALC!$A$2:$A$33,0)),0))</f>
        <v/>
      </c>
      <c r="AP84" s="2" t="str">
        <f t="array" ref="AP84">IF($K84="",0,IFERROR(INDEX(CALC!$T$2:$T$33,MATCH($K84,CALC!$A$2:$A$33,0)),0))</f>
        <v/>
      </c>
      <c r="AQ84" s="2" t="str">
        <f t="array" ref="AQ84">IF($K84="",0,IFERROR(INDEX(CALC!$W$2:$W$33,MATCH($K84,CALC!$A$2:$A$33,0)),0))</f>
        <v/>
      </c>
      <c r="AR84" s="2" t="str">
        <f t="array" ref="AR84">IF($K84="",0,IFERROR(INDEX(CALC!$Z$2:$Z$33,MATCH($K84,CALC!$A$2:$A$33,0)),0))</f>
        <v/>
      </c>
      <c r="AS84" s="2" t="str">
        <f t="array" ref="AS84">IF($K84="",0,IFERROR(INDEX(CALC!$AJ$2:$AJ$33,MATCH($K84,CALC!$A$2:$A$33,0)),0))</f>
        <v/>
      </c>
      <c r="AT84" s="2" t="str">
        <f t="array" ref="AT84">IF($K84="",0,IFERROR(INDEX(CALC!$AI$2:$AI$33,MATCH($K84,CALC!$A$2:$A$33,0)),0))</f>
        <v/>
      </c>
      <c r="AU84" s="2">
        <f t="shared" si="11"/>
        <v>0</v>
      </c>
      <c r="AV84" s="2">
        <f t="shared" si="12"/>
        <v>0</v>
      </c>
    </row>
    <row r="85" ht="15.0" customHeight="1">
      <c r="A85" s="2">
        <v>42.0</v>
      </c>
      <c r="B85" s="2" t="s">
        <v>2365</v>
      </c>
      <c r="C85" s="2">
        <f>IFERROR(MATCH($A85,SchedSeq,0),"")</f>
        <v>327</v>
      </c>
      <c r="D85" s="2" t="str">
        <f t="array" ref="D85">IF($C85="","",INDEX(SchedZone,$C85,MAP!$B$6))</f>
        <v>2026_03_SEA_WAS</v>
      </c>
      <c r="E85" s="2">
        <f t="array" ref="E85">IF($C85="","",INDEX(SchedZone,$C85,MAP!$B$3))</f>
        <v>2026</v>
      </c>
      <c r="F85" s="2" t="str">
        <f t="array" ref="F85">IF($C85="","",INDEX(SchedZone,$C85,MAP!$B$5))</f>
        <v>REG</v>
      </c>
      <c r="G85" s="2">
        <f t="array" ref="G85">IF($C85="","",INDEX(SchedZone,$C85,MAP!$B$4))</f>
        <v>3</v>
      </c>
      <c r="H85" s="2" t="str">
        <f t="array" ref="H85">IF($C85="","",INDEX(SchedZone,$C85,MAP!$B$12))</f>
        <v>WAS</v>
      </c>
      <c r="I85" s="2" t="str">
        <f t="array" ref="I85">IF($H85="","",IF(COUNTIF(Teams,$H85)&gt;0,$H85,IFERROR(INDEX(LISTS!$D$2:$D$12,MATCH($H85,LISTS!$C$2:$C$12,0)),"⚠ "&amp;$H85)))</f>
        <v>WAS</v>
      </c>
      <c r="J85" s="2" t="str">
        <f t="array" ref="J85">IF($C85="","",INDEX(SchedZone,$C85,MAP!$B$10))</f>
        <v>SEA</v>
      </c>
      <c r="K85" s="2" t="str">
        <f t="array" ref="K85">IF($J85="","",IF(COUNTIF(Teams,$J85)&gt;0,$J85,IFERROR(INDEX(LISTS!$D$2:$D$12,MATCH($J85,LISTS!$C$2:$C$12,0)),"⚠ "&amp;$J85)))</f>
        <v>SEA</v>
      </c>
      <c r="L85" s="2" t="str">
        <f t="array" ref="L85">IF($C85="","",IF(INDEX(SchedZone,$C85,MAP!$B$14)="Neutral","N",IF($B85="HOME","H","A")))</f>
        <v>H</v>
      </c>
      <c r="M85" s="2" t="str">
        <f t="array" ref="M85">IF($C85="","",IF(INDEX(SchedZone,$C85,MAP!$B$13)="","",INDEX(SchedZone,$C85,MAP!$B$13)))</f>
        <v/>
      </c>
      <c r="N85" s="2" t="str">
        <f t="array" ref="N85">IF($C85="","",IF(INDEX(SchedZone,$C85,MAP!$B$11)="","",INDEX(SchedZone,$C85,MAP!$B$11)))</f>
        <v/>
      </c>
      <c r="O85" s="2">
        <f t="array" ref="O85">IF($C85="","",INDEX(SchedZone,$C85,MAP!$B$16))</f>
        <v>7</v>
      </c>
      <c r="P85" s="2" t="str">
        <f>IF($C85="","",IFERROR(MATCH($E85&amp;"|"&amp;$G85&amp;"|"&amp;$I85,StatsKey,0),""))</f>
        <v/>
      </c>
      <c r="Q85" s="2">
        <f t="array" ref="Q85">IF($P85="",0,INDEX(StatsZone,$P85,MAP!$E$9)+INDEX(StatsZone,$P85,MAP!$E$10)+INDEX(StatsZone,$P85,MAP!$E$11))</f>
        <v>0</v>
      </c>
      <c r="R85" s="2">
        <f t="array" ref="R85">IF($P85="",0,INDEX(StatsZone,$P85,MAP!$E$12))</f>
        <v>0</v>
      </c>
      <c r="S85" s="2">
        <f t="array" ref="S85">IF($P85="",0,INDEX(StatsZone,$P85,MAP!$E$13))</f>
        <v>0</v>
      </c>
      <c r="T85" s="2">
        <f t="shared" si="1"/>
        <v>0</v>
      </c>
      <c r="U85" s="2">
        <f t="array" ref="U85">IF($P85="",0,INDEX(StatsZone,$P85,MAP!$E$14)+INDEX(StatsZone,$P85,MAP!$E$15)+INDEX(StatsZone,$P85,MAP!$E$16))</f>
        <v>0</v>
      </c>
      <c r="V85" s="2">
        <f t="shared" si="2"/>
        <v>0</v>
      </c>
      <c r="W85" s="2">
        <f t="shared" si="3"/>
        <v>0</v>
      </c>
      <c r="X85" s="2">
        <f t="shared" si="4"/>
        <v>0</v>
      </c>
      <c r="Y85" s="2">
        <f t="shared" si="5"/>
        <v>0</v>
      </c>
      <c r="Z85" s="2">
        <f t="shared" si="6"/>
        <v>0</v>
      </c>
      <c r="AA85" s="2">
        <f t="shared" si="7"/>
        <v>1</v>
      </c>
      <c r="AB85" s="2">
        <f>IF(OR($M85="",$N85=""),0,MEDIAN(-MarginCap,MarginCap,($M85-$N85)-$AA85*HFA_Base))</f>
        <v>0</v>
      </c>
      <c r="AC85" s="2">
        <f t="array" ref="AC85">IF(OR($P85="",INDEX($P$3:$P$722,(ROW()+IF(MOD(ROW()-3,2)=0,1,-1))-3+1)=""),0,MEDIAN(-MarginCap,MarginCap,($T85-$W85)-$AA85*HFA_Base))</f>
        <v>0</v>
      </c>
      <c r="AD85" s="2">
        <f t="shared" si="8"/>
        <v>0</v>
      </c>
      <c r="AE85" s="2">
        <f>IF(OR($M85="",$N85=""),0,IF(AND(WEpa&gt;0,$AD85=1),(1-WEpa)*$AB85+WEpa*$AC85,$AB85))</f>
        <v>0</v>
      </c>
      <c r="AF85" s="2">
        <f>IF(AND($C85&lt;&gt;"",$E85=CurrentSeason,$F85="REG",ISNUMBER($G85),$G85&lt;CurrentWeek,AND($M85&lt;&gt;"",$N85&lt;&gt;"")),1,0)</f>
        <v>0</v>
      </c>
      <c r="AG85" s="2">
        <f>IF($AF85=0,0,IF($G85&gt;=CurrentWeek-RecencyWin,RecencyMult,1))</f>
        <v>0</v>
      </c>
      <c r="AH85" s="2">
        <f>IF(AND($C85&lt;&gt;"",$E85=CurrentSeason,$F85="REG",ISNUMBER($G85),$G85&lt;CurrentWeek-1,AND($M85&lt;&gt;"",$N85&lt;&gt;"")),1,0)</f>
        <v>0</v>
      </c>
      <c r="AI85" s="2">
        <f>IF($AH85=0,0,IF($G85&gt;=CurrentWeek-1-RecencyWin,RecencyMult,1))</f>
        <v>0</v>
      </c>
      <c r="AJ85" s="2">
        <f>IF($AF85=0,0,IF($G85&gt;=CurrentWeek-RecencyWin,TotRecency,1))</f>
        <v>0</v>
      </c>
      <c r="AK85" s="2">
        <f t="shared" si="9"/>
        <v>0</v>
      </c>
      <c r="AL85" s="2">
        <f t="shared" si="10"/>
        <v>0</v>
      </c>
      <c r="AM85" s="2" t="str">
        <f t="array" ref="AM85">IF($K85="",0,IFERROR(INDEX(CALC!$F$2:$F$33,MATCH($K85,CALC!$A$2:$A$33,0)),0))</f>
        <v/>
      </c>
      <c r="AN85" s="2" t="str">
        <f t="array" ref="AN85">IF($K85="",0,IFERROR(INDEX(CALC!$I$2:$I$33,MATCH($K85,CALC!$A$2:$A$33,0)),0))</f>
        <v/>
      </c>
      <c r="AO85" s="2" t="str">
        <f t="array" ref="AO85">IF($K85="",0,IFERROR(INDEX(CALC!$L$2:$L$33,MATCH($K85,CALC!$A$2:$A$33,0)),0))</f>
        <v/>
      </c>
      <c r="AP85" s="2" t="str">
        <f t="array" ref="AP85">IF($K85="",0,IFERROR(INDEX(CALC!$T$2:$T$33,MATCH($K85,CALC!$A$2:$A$33,0)),0))</f>
        <v/>
      </c>
      <c r="AQ85" s="2" t="str">
        <f t="array" ref="AQ85">IF($K85="",0,IFERROR(INDEX(CALC!$W$2:$W$33,MATCH($K85,CALC!$A$2:$A$33,0)),0))</f>
        <v/>
      </c>
      <c r="AR85" s="2" t="str">
        <f t="array" ref="AR85">IF($K85="",0,IFERROR(INDEX(CALC!$Z$2:$Z$33,MATCH($K85,CALC!$A$2:$A$33,0)),0))</f>
        <v/>
      </c>
      <c r="AS85" s="2" t="str">
        <f t="array" ref="AS85">IF($K85="",0,IFERROR(INDEX(CALC!$AJ$2:$AJ$33,MATCH($K85,CALC!$A$2:$A$33,0)),0))</f>
        <v/>
      </c>
      <c r="AT85" s="2" t="str">
        <f t="array" ref="AT85">IF($K85="",0,IFERROR(INDEX(CALC!$AI$2:$AI$33,MATCH($K85,CALC!$A$2:$A$33,0)),0))</f>
        <v/>
      </c>
      <c r="AU85" s="2">
        <f t="shared" si="11"/>
        <v>0</v>
      </c>
      <c r="AV85" s="2">
        <f t="shared" si="12"/>
        <v>0</v>
      </c>
    </row>
    <row r="86" ht="15.0" customHeight="1">
      <c r="A86" s="2">
        <v>42.0</v>
      </c>
      <c r="B86" s="2" t="s">
        <v>2366</v>
      </c>
      <c r="C86" s="2">
        <f>IFERROR(MATCH($A86,SchedSeq,0),"")</f>
        <v>327</v>
      </c>
      <c r="D86" s="2" t="str">
        <f t="array" ref="D86">IF($C86="","",INDEX(SchedZone,$C86,MAP!$B$6))</f>
        <v>2026_03_SEA_WAS</v>
      </c>
      <c r="E86" s="2">
        <f t="array" ref="E86">IF($C86="","",INDEX(SchedZone,$C86,MAP!$B$3))</f>
        <v>2026</v>
      </c>
      <c r="F86" s="2" t="str">
        <f t="array" ref="F86">IF($C86="","",INDEX(SchedZone,$C86,MAP!$B$5))</f>
        <v>REG</v>
      </c>
      <c r="G86" s="2">
        <f t="array" ref="G86">IF($C86="","",INDEX(SchedZone,$C86,MAP!$B$4))</f>
        <v>3</v>
      </c>
      <c r="H86" s="2" t="str">
        <f t="array" ref="H86">IF($C86="","",INDEX(SchedZone,$C86,MAP!$B$10))</f>
        <v>SEA</v>
      </c>
      <c r="I86" s="2" t="str">
        <f t="array" ref="I86">IF($H86="","",IF(COUNTIF(Teams,$H86)&gt;0,$H86,IFERROR(INDEX(LISTS!$D$2:$D$12,MATCH($H86,LISTS!$C$2:$C$12,0)),"⚠ "&amp;$H86)))</f>
        <v>SEA</v>
      </c>
      <c r="J86" s="2" t="str">
        <f t="array" ref="J86">IF($C86="","",INDEX(SchedZone,$C86,MAP!$B$12))</f>
        <v>WAS</v>
      </c>
      <c r="K86" s="2" t="str">
        <f t="array" ref="K86">IF($J86="","",IF(COUNTIF(Teams,$J86)&gt;0,$J86,IFERROR(INDEX(LISTS!$D$2:$D$12,MATCH($J86,LISTS!$C$2:$C$12,0)),"⚠ "&amp;$J86)))</f>
        <v>WAS</v>
      </c>
      <c r="L86" s="2" t="str">
        <f t="array" ref="L86">IF($C86="","",IF(INDEX(SchedZone,$C86,MAP!$B$14)="Neutral","N",IF($B86="HOME","H","A")))</f>
        <v>A</v>
      </c>
      <c r="M86" s="2" t="str">
        <f t="array" ref="M86">IF($C86="","",IF(INDEX(SchedZone,$C86,MAP!$B$11)="","",INDEX(SchedZone,$C86,MAP!$B$11)))</f>
        <v/>
      </c>
      <c r="N86" s="2" t="str">
        <f t="array" ref="N86">IF($C86="","",IF(INDEX(SchedZone,$C86,MAP!$B$13)="","",INDEX(SchedZone,$C86,MAP!$B$13)))</f>
        <v/>
      </c>
      <c r="O86" s="2">
        <f t="array" ref="O86">IF($C86="","",INDEX(SchedZone,$C86,MAP!$B$15))</f>
        <v>7</v>
      </c>
      <c r="P86" s="2" t="str">
        <f>IF($C86="","",IFERROR(MATCH($E86&amp;"|"&amp;$G86&amp;"|"&amp;$I86,StatsKey,0),""))</f>
        <v/>
      </c>
      <c r="Q86" s="2">
        <f t="array" ref="Q86">IF($P86="",0,INDEX(StatsZone,$P86,MAP!$E$9)+INDEX(StatsZone,$P86,MAP!$E$10)+INDEX(StatsZone,$P86,MAP!$E$11))</f>
        <v>0</v>
      </c>
      <c r="R86" s="2">
        <f t="array" ref="R86">IF($P86="",0,INDEX(StatsZone,$P86,MAP!$E$12))</f>
        <v>0</v>
      </c>
      <c r="S86" s="2">
        <f t="array" ref="S86">IF($P86="",0,INDEX(StatsZone,$P86,MAP!$E$13))</f>
        <v>0</v>
      </c>
      <c r="T86" s="2">
        <f t="shared" si="1"/>
        <v>0</v>
      </c>
      <c r="U86" s="2">
        <f t="array" ref="U86">IF($P86="",0,INDEX(StatsZone,$P86,MAP!$E$14)+INDEX(StatsZone,$P86,MAP!$E$15)+INDEX(StatsZone,$P86,MAP!$E$16))</f>
        <v>0</v>
      </c>
      <c r="V86" s="2">
        <f t="shared" si="2"/>
        <v>0</v>
      </c>
      <c r="W86" s="2">
        <f t="shared" si="3"/>
        <v>0</v>
      </c>
      <c r="X86" s="2">
        <f t="shared" si="4"/>
        <v>0</v>
      </c>
      <c r="Y86" s="2">
        <f t="shared" si="5"/>
        <v>0</v>
      </c>
      <c r="Z86" s="2">
        <f t="shared" si="6"/>
        <v>0</v>
      </c>
      <c r="AA86" s="2">
        <f t="shared" si="7"/>
        <v>-1</v>
      </c>
      <c r="AB86" s="2">
        <f>IF(OR($M86="",$N86=""),0,MEDIAN(-MarginCap,MarginCap,($M86-$N86)-$AA86*HFA_Base))</f>
        <v>0</v>
      </c>
      <c r="AC86" s="2">
        <f t="array" ref="AC86">IF(OR($P86="",INDEX($P$3:$P$722,(ROW()+IF(MOD(ROW()-3,2)=0,1,-1))-3+1)=""),0,MEDIAN(-MarginCap,MarginCap,($T86-$W86)-$AA86*HFA_Base))</f>
        <v>0</v>
      </c>
      <c r="AD86" s="2">
        <f t="shared" si="8"/>
        <v>0</v>
      </c>
      <c r="AE86" s="2">
        <f>IF(OR($M86="",$N86=""),0,IF(AND(WEpa&gt;0,$AD86=1),(1-WEpa)*$AB86+WEpa*$AC86,$AB86))</f>
        <v>0</v>
      </c>
      <c r="AF86" s="2">
        <f>IF(AND($C86&lt;&gt;"",$E86=CurrentSeason,$F86="REG",ISNUMBER($G86),$G86&lt;CurrentWeek,AND($M86&lt;&gt;"",$N86&lt;&gt;"")),1,0)</f>
        <v>0</v>
      </c>
      <c r="AG86" s="2">
        <f>IF($AF86=0,0,IF($G86&gt;=CurrentWeek-RecencyWin,RecencyMult,1))</f>
        <v>0</v>
      </c>
      <c r="AH86" s="2">
        <f>IF(AND($C86&lt;&gt;"",$E86=CurrentSeason,$F86="REG",ISNUMBER($G86),$G86&lt;CurrentWeek-1,AND($M86&lt;&gt;"",$N86&lt;&gt;"")),1,0)</f>
        <v>0</v>
      </c>
      <c r="AI86" s="2">
        <f>IF($AH86=0,0,IF($G86&gt;=CurrentWeek-1-RecencyWin,RecencyMult,1))</f>
        <v>0</v>
      </c>
      <c r="AJ86" s="2">
        <f>IF($AF86=0,0,IF($G86&gt;=CurrentWeek-RecencyWin,TotRecency,1))</f>
        <v>0</v>
      </c>
      <c r="AK86" s="2">
        <f t="shared" si="9"/>
        <v>0</v>
      </c>
      <c r="AL86" s="2">
        <f t="shared" si="10"/>
        <v>0</v>
      </c>
      <c r="AM86" s="2" t="str">
        <f t="array" ref="AM86">IF($K86="",0,IFERROR(INDEX(CALC!$F$2:$F$33,MATCH($K86,CALC!$A$2:$A$33,0)),0))</f>
        <v/>
      </c>
      <c r="AN86" s="2" t="str">
        <f t="array" ref="AN86">IF($K86="",0,IFERROR(INDEX(CALC!$I$2:$I$33,MATCH($K86,CALC!$A$2:$A$33,0)),0))</f>
        <v/>
      </c>
      <c r="AO86" s="2" t="str">
        <f t="array" ref="AO86">IF($K86="",0,IFERROR(INDEX(CALC!$L$2:$L$33,MATCH($K86,CALC!$A$2:$A$33,0)),0))</f>
        <v/>
      </c>
      <c r="AP86" s="2" t="str">
        <f t="array" ref="AP86">IF($K86="",0,IFERROR(INDEX(CALC!$T$2:$T$33,MATCH($K86,CALC!$A$2:$A$33,0)),0))</f>
        <v/>
      </c>
      <c r="AQ86" s="2" t="str">
        <f t="array" ref="AQ86">IF($K86="",0,IFERROR(INDEX(CALC!$W$2:$W$33,MATCH($K86,CALC!$A$2:$A$33,0)),0))</f>
        <v/>
      </c>
      <c r="AR86" s="2" t="str">
        <f t="array" ref="AR86">IF($K86="",0,IFERROR(INDEX(CALC!$Z$2:$Z$33,MATCH($K86,CALC!$A$2:$A$33,0)),0))</f>
        <v/>
      </c>
      <c r="AS86" s="2" t="str">
        <f t="array" ref="AS86">IF($K86="",0,IFERROR(INDEX(CALC!$AJ$2:$AJ$33,MATCH($K86,CALC!$A$2:$A$33,0)),0))</f>
        <v/>
      </c>
      <c r="AT86" s="2" t="str">
        <f t="array" ref="AT86">IF($K86="",0,IFERROR(INDEX(CALC!$AI$2:$AI$33,MATCH($K86,CALC!$A$2:$A$33,0)),0))</f>
        <v/>
      </c>
      <c r="AU86" s="2">
        <f t="shared" si="11"/>
        <v>0</v>
      </c>
      <c r="AV86" s="2">
        <f t="shared" si="12"/>
        <v>0</v>
      </c>
    </row>
    <row r="87" ht="15.0" customHeight="1">
      <c r="A87" s="2">
        <v>43.0</v>
      </c>
      <c r="B87" s="2" t="s">
        <v>2365</v>
      </c>
      <c r="C87" s="2">
        <f>IFERROR(MATCH($A87,SchedSeq,0),"")</f>
        <v>328</v>
      </c>
      <c r="D87" s="2" t="str">
        <f t="array" ref="D87">IF($C87="","",INDEX(SchedZone,$C87,MAP!$B$6))</f>
        <v>2026_03_ARI_SF</v>
      </c>
      <c r="E87" s="2">
        <f t="array" ref="E87">IF($C87="","",INDEX(SchedZone,$C87,MAP!$B$3))</f>
        <v>2026</v>
      </c>
      <c r="F87" s="2" t="str">
        <f t="array" ref="F87">IF($C87="","",INDEX(SchedZone,$C87,MAP!$B$5))</f>
        <v>REG</v>
      </c>
      <c r="G87" s="2">
        <f t="array" ref="G87">IF($C87="","",INDEX(SchedZone,$C87,MAP!$B$4))</f>
        <v>3</v>
      </c>
      <c r="H87" s="2" t="str">
        <f t="array" ref="H87">IF($C87="","",INDEX(SchedZone,$C87,MAP!$B$12))</f>
        <v>SF</v>
      </c>
      <c r="I87" s="2" t="str">
        <f t="array" ref="I87">IF($H87="","",IF(COUNTIF(Teams,$H87)&gt;0,$H87,IFERROR(INDEX(LISTS!$D$2:$D$12,MATCH($H87,LISTS!$C$2:$C$12,0)),"⚠ "&amp;$H87)))</f>
        <v>SF</v>
      </c>
      <c r="J87" s="2" t="str">
        <f t="array" ref="J87">IF($C87="","",INDEX(SchedZone,$C87,MAP!$B$10))</f>
        <v>ARI</v>
      </c>
      <c r="K87" s="2" t="str">
        <f t="array" ref="K87">IF($J87="","",IF(COUNTIF(Teams,$J87)&gt;0,$J87,IFERROR(INDEX(LISTS!$D$2:$D$12,MATCH($J87,LISTS!$C$2:$C$12,0)),"⚠ "&amp;$J87)))</f>
        <v>ARI</v>
      </c>
      <c r="L87" s="2" t="str">
        <f t="array" ref="L87">IF($C87="","",IF(INDEX(SchedZone,$C87,MAP!$B$14)="Neutral","N",IF($B87="HOME","H","A")))</f>
        <v>H</v>
      </c>
      <c r="M87" s="2" t="str">
        <f t="array" ref="M87">IF($C87="","",IF(INDEX(SchedZone,$C87,MAP!$B$13)="","",INDEX(SchedZone,$C87,MAP!$B$13)))</f>
        <v/>
      </c>
      <c r="N87" s="2" t="str">
        <f t="array" ref="N87">IF($C87="","",IF(INDEX(SchedZone,$C87,MAP!$B$11)="","",INDEX(SchedZone,$C87,MAP!$B$11)))</f>
        <v/>
      </c>
      <c r="O87" s="2">
        <f t="array" ref="O87">IF($C87="","",INDEX(SchedZone,$C87,MAP!$B$16))</f>
        <v>7</v>
      </c>
      <c r="P87" s="2" t="str">
        <f>IF($C87="","",IFERROR(MATCH($E87&amp;"|"&amp;$G87&amp;"|"&amp;$I87,StatsKey,0),""))</f>
        <v/>
      </c>
      <c r="Q87" s="2">
        <f t="array" ref="Q87">IF($P87="",0,INDEX(StatsZone,$P87,MAP!$E$9)+INDEX(StatsZone,$P87,MAP!$E$10)+INDEX(StatsZone,$P87,MAP!$E$11))</f>
        <v>0</v>
      </c>
      <c r="R87" s="2">
        <f t="array" ref="R87">IF($P87="",0,INDEX(StatsZone,$P87,MAP!$E$12))</f>
        <v>0</v>
      </c>
      <c r="S87" s="2">
        <f t="array" ref="S87">IF($P87="",0,INDEX(StatsZone,$P87,MAP!$E$13))</f>
        <v>0</v>
      </c>
      <c r="T87" s="2">
        <f t="shared" si="1"/>
        <v>0</v>
      </c>
      <c r="U87" s="2">
        <f t="array" ref="U87">IF($P87="",0,INDEX(StatsZone,$P87,MAP!$E$14)+INDEX(StatsZone,$P87,MAP!$E$15)+INDEX(StatsZone,$P87,MAP!$E$16))</f>
        <v>0</v>
      </c>
      <c r="V87" s="2">
        <f t="shared" si="2"/>
        <v>0</v>
      </c>
      <c r="W87" s="2">
        <f t="shared" si="3"/>
        <v>0</v>
      </c>
      <c r="X87" s="2">
        <f t="shared" si="4"/>
        <v>0</v>
      </c>
      <c r="Y87" s="2">
        <f t="shared" si="5"/>
        <v>0</v>
      </c>
      <c r="Z87" s="2">
        <f t="shared" si="6"/>
        <v>0</v>
      </c>
      <c r="AA87" s="2">
        <f t="shared" si="7"/>
        <v>1</v>
      </c>
      <c r="AB87" s="2">
        <f>IF(OR($M87="",$N87=""),0,MEDIAN(-MarginCap,MarginCap,($M87-$N87)-$AA87*HFA_Base))</f>
        <v>0</v>
      </c>
      <c r="AC87" s="2">
        <f t="array" ref="AC87">IF(OR($P87="",INDEX($P$3:$P$722,(ROW()+IF(MOD(ROW()-3,2)=0,1,-1))-3+1)=""),0,MEDIAN(-MarginCap,MarginCap,($T87-$W87)-$AA87*HFA_Base))</f>
        <v>0</v>
      </c>
      <c r="AD87" s="2">
        <f t="shared" si="8"/>
        <v>0</v>
      </c>
      <c r="AE87" s="2">
        <f>IF(OR($M87="",$N87=""),0,IF(AND(WEpa&gt;0,$AD87=1),(1-WEpa)*$AB87+WEpa*$AC87,$AB87))</f>
        <v>0</v>
      </c>
      <c r="AF87" s="2">
        <f>IF(AND($C87&lt;&gt;"",$E87=CurrentSeason,$F87="REG",ISNUMBER($G87),$G87&lt;CurrentWeek,AND($M87&lt;&gt;"",$N87&lt;&gt;"")),1,0)</f>
        <v>0</v>
      </c>
      <c r="AG87" s="2">
        <f>IF($AF87=0,0,IF($G87&gt;=CurrentWeek-RecencyWin,RecencyMult,1))</f>
        <v>0</v>
      </c>
      <c r="AH87" s="2">
        <f>IF(AND($C87&lt;&gt;"",$E87=CurrentSeason,$F87="REG",ISNUMBER($G87),$G87&lt;CurrentWeek-1,AND($M87&lt;&gt;"",$N87&lt;&gt;"")),1,0)</f>
        <v>0</v>
      </c>
      <c r="AI87" s="2">
        <f>IF($AH87=0,0,IF($G87&gt;=CurrentWeek-1-RecencyWin,RecencyMult,1))</f>
        <v>0</v>
      </c>
      <c r="AJ87" s="2">
        <f>IF($AF87=0,0,IF($G87&gt;=CurrentWeek-RecencyWin,TotRecency,1))</f>
        <v>0</v>
      </c>
      <c r="AK87" s="2">
        <f t="shared" si="9"/>
        <v>0</v>
      </c>
      <c r="AL87" s="2">
        <f t="shared" si="10"/>
        <v>0</v>
      </c>
      <c r="AM87" s="2" t="str">
        <f t="array" ref="AM87">IF($K87="",0,IFERROR(INDEX(CALC!$F$2:$F$33,MATCH($K87,CALC!$A$2:$A$33,0)),0))</f>
        <v/>
      </c>
      <c r="AN87" s="2" t="str">
        <f t="array" ref="AN87">IF($K87="",0,IFERROR(INDEX(CALC!$I$2:$I$33,MATCH($K87,CALC!$A$2:$A$33,0)),0))</f>
        <v/>
      </c>
      <c r="AO87" s="2" t="str">
        <f t="array" ref="AO87">IF($K87="",0,IFERROR(INDEX(CALC!$L$2:$L$33,MATCH($K87,CALC!$A$2:$A$33,0)),0))</f>
        <v/>
      </c>
      <c r="AP87" s="2" t="str">
        <f t="array" ref="AP87">IF($K87="",0,IFERROR(INDEX(CALC!$T$2:$T$33,MATCH($K87,CALC!$A$2:$A$33,0)),0))</f>
        <v/>
      </c>
      <c r="AQ87" s="2" t="str">
        <f t="array" ref="AQ87">IF($K87="",0,IFERROR(INDEX(CALC!$W$2:$W$33,MATCH($K87,CALC!$A$2:$A$33,0)),0))</f>
        <v/>
      </c>
      <c r="AR87" s="2" t="str">
        <f t="array" ref="AR87">IF($K87="",0,IFERROR(INDEX(CALC!$Z$2:$Z$33,MATCH($K87,CALC!$A$2:$A$33,0)),0))</f>
        <v/>
      </c>
      <c r="AS87" s="2" t="str">
        <f t="array" ref="AS87">IF($K87="",0,IFERROR(INDEX(CALC!$AJ$2:$AJ$33,MATCH($K87,CALC!$A$2:$A$33,0)),0))</f>
        <v/>
      </c>
      <c r="AT87" s="2" t="str">
        <f t="array" ref="AT87">IF($K87="",0,IFERROR(INDEX(CALC!$AI$2:$AI$33,MATCH($K87,CALC!$A$2:$A$33,0)),0))</f>
        <v/>
      </c>
      <c r="AU87" s="2">
        <f t="shared" si="11"/>
        <v>0</v>
      </c>
      <c r="AV87" s="2">
        <f t="shared" si="12"/>
        <v>0</v>
      </c>
    </row>
    <row r="88" ht="15.0" customHeight="1">
      <c r="A88" s="2">
        <v>43.0</v>
      </c>
      <c r="B88" s="2" t="s">
        <v>2366</v>
      </c>
      <c r="C88" s="2">
        <f>IFERROR(MATCH($A88,SchedSeq,0),"")</f>
        <v>328</v>
      </c>
      <c r="D88" s="2" t="str">
        <f t="array" ref="D88">IF($C88="","",INDEX(SchedZone,$C88,MAP!$B$6))</f>
        <v>2026_03_ARI_SF</v>
      </c>
      <c r="E88" s="2">
        <f t="array" ref="E88">IF($C88="","",INDEX(SchedZone,$C88,MAP!$B$3))</f>
        <v>2026</v>
      </c>
      <c r="F88" s="2" t="str">
        <f t="array" ref="F88">IF($C88="","",INDEX(SchedZone,$C88,MAP!$B$5))</f>
        <v>REG</v>
      </c>
      <c r="G88" s="2">
        <f t="array" ref="G88">IF($C88="","",INDEX(SchedZone,$C88,MAP!$B$4))</f>
        <v>3</v>
      </c>
      <c r="H88" s="2" t="str">
        <f t="array" ref="H88">IF($C88="","",INDEX(SchedZone,$C88,MAP!$B$10))</f>
        <v>ARI</v>
      </c>
      <c r="I88" s="2" t="str">
        <f t="array" ref="I88">IF($H88="","",IF(COUNTIF(Teams,$H88)&gt;0,$H88,IFERROR(INDEX(LISTS!$D$2:$D$12,MATCH($H88,LISTS!$C$2:$C$12,0)),"⚠ "&amp;$H88)))</f>
        <v>ARI</v>
      </c>
      <c r="J88" s="2" t="str">
        <f t="array" ref="J88">IF($C88="","",INDEX(SchedZone,$C88,MAP!$B$12))</f>
        <v>SF</v>
      </c>
      <c r="K88" s="2" t="str">
        <f t="array" ref="K88">IF($J88="","",IF(COUNTIF(Teams,$J88)&gt;0,$J88,IFERROR(INDEX(LISTS!$D$2:$D$12,MATCH($J88,LISTS!$C$2:$C$12,0)),"⚠ "&amp;$J88)))</f>
        <v>SF</v>
      </c>
      <c r="L88" s="2" t="str">
        <f t="array" ref="L88">IF($C88="","",IF(INDEX(SchedZone,$C88,MAP!$B$14)="Neutral","N",IF($B88="HOME","H","A")))</f>
        <v>A</v>
      </c>
      <c r="M88" s="2" t="str">
        <f t="array" ref="M88">IF($C88="","",IF(INDEX(SchedZone,$C88,MAP!$B$11)="","",INDEX(SchedZone,$C88,MAP!$B$11)))</f>
        <v/>
      </c>
      <c r="N88" s="2" t="str">
        <f t="array" ref="N88">IF($C88="","",IF(INDEX(SchedZone,$C88,MAP!$B$13)="","",INDEX(SchedZone,$C88,MAP!$B$13)))</f>
        <v/>
      </c>
      <c r="O88" s="2">
        <f t="array" ref="O88">IF($C88="","",INDEX(SchedZone,$C88,MAP!$B$15))</f>
        <v>7</v>
      </c>
      <c r="P88" s="2" t="str">
        <f>IF($C88="","",IFERROR(MATCH($E88&amp;"|"&amp;$G88&amp;"|"&amp;$I88,StatsKey,0),""))</f>
        <v/>
      </c>
      <c r="Q88" s="2">
        <f t="array" ref="Q88">IF($P88="",0,INDEX(StatsZone,$P88,MAP!$E$9)+INDEX(StatsZone,$P88,MAP!$E$10)+INDEX(StatsZone,$P88,MAP!$E$11))</f>
        <v>0</v>
      </c>
      <c r="R88" s="2">
        <f t="array" ref="R88">IF($P88="",0,INDEX(StatsZone,$P88,MAP!$E$12))</f>
        <v>0</v>
      </c>
      <c r="S88" s="2">
        <f t="array" ref="S88">IF($P88="",0,INDEX(StatsZone,$P88,MAP!$E$13))</f>
        <v>0</v>
      </c>
      <c r="T88" s="2">
        <f t="shared" si="1"/>
        <v>0</v>
      </c>
      <c r="U88" s="2">
        <f t="array" ref="U88">IF($P88="",0,INDEX(StatsZone,$P88,MAP!$E$14)+INDEX(StatsZone,$P88,MAP!$E$15)+INDEX(StatsZone,$P88,MAP!$E$16))</f>
        <v>0</v>
      </c>
      <c r="V88" s="2">
        <f t="shared" si="2"/>
        <v>0</v>
      </c>
      <c r="W88" s="2">
        <f t="shared" si="3"/>
        <v>0</v>
      </c>
      <c r="X88" s="2">
        <f t="shared" si="4"/>
        <v>0</v>
      </c>
      <c r="Y88" s="2">
        <f t="shared" si="5"/>
        <v>0</v>
      </c>
      <c r="Z88" s="2">
        <f t="shared" si="6"/>
        <v>0</v>
      </c>
      <c r="AA88" s="2">
        <f t="shared" si="7"/>
        <v>-1</v>
      </c>
      <c r="AB88" s="2">
        <f>IF(OR($M88="",$N88=""),0,MEDIAN(-MarginCap,MarginCap,($M88-$N88)-$AA88*HFA_Base))</f>
        <v>0</v>
      </c>
      <c r="AC88" s="2">
        <f t="array" ref="AC88">IF(OR($P88="",INDEX($P$3:$P$722,(ROW()+IF(MOD(ROW()-3,2)=0,1,-1))-3+1)=""),0,MEDIAN(-MarginCap,MarginCap,($T88-$W88)-$AA88*HFA_Base))</f>
        <v>0</v>
      </c>
      <c r="AD88" s="2">
        <f t="shared" si="8"/>
        <v>0</v>
      </c>
      <c r="AE88" s="2">
        <f>IF(OR($M88="",$N88=""),0,IF(AND(WEpa&gt;0,$AD88=1),(1-WEpa)*$AB88+WEpa*$AC88,$AB88))</f>
        <v>0</v>
      </c>
      <c r="AF88" s="2">
        <f>IF(AND($C88&lt;&gt;"",$E88=CurrentSeason,$F88="REG",ISNUMBER($G88),$G88&lt;CurrentWeek,AND($M88&lt;&gt;"",$N88&lt;&gt;"")),1,0)</f>
        <v>0</v>
      </c>
      <c r="AG88" s="2">
        <f>IF($AF88=0,0,IF($G88&gt;=CurrentWeek-RecencyWin,RecencyMult,1))</f>
        <v>0</v>
      </c>
      <c r="AH88" s="2">
        <f>IF(AND($C88&lt;&gt;"",$E88=CurrentSeason,$F88="REG",ISNUMBER($G88),$G88&lt;CurrentWeek-1,AND($M88&lt;&gt;"",$N88&lt;&gt;"")),1,0)</f>
        <v>0</v>
      </c>
      <c r="AI88" s="2">
        <f>IF($AH88=0,0,IF($G88&gt;=CurrentWeek-1-RecencyWin,RecencyMult,1))</f>
        <v>0</v>
      </c>
      <c r="AJ88" s="2">
        <f>IF($AF88=0,0,IF($G88&gt;=CurrentWeek-RecencyWin,TotRecency,1))</f>
        <v>0</v>
      </c>
      <c r="AK88" s="2">
        <f t="shared" si="9"/>
        <v>0</v>
      </c>
      <c r="AL88" s="2">
        <f t="shared" si="10"/>
        <v>0</v>
      </c>
      <c r="AM88" s="2" t="str">
        <f t="array" ref="AM88">IF($K88="",0,IFERROR(INDEX(CALC!$F$2:$F$33,MATCH($K88,CALC!$A$2:$A$33,0)),0))</f>
        <v/>
      </c>
      <c r="AN88" s="2" t="str">
        <f t="array" ref="AN88">IF($K88="",0,IFERROR(INDEX(CALC!$I$2:$I$33,MATCH($K88,CALC!$A$2:$A$33,0)),0))</f>
        <v/>
      </c>
      <c r="AO88" s="2" t="str">
        <f t="array" ref="AO88">IF($K88="",0,IFERROR(INDEX(CALC!$L$2:$L$33,MATCH($K88,CALC!$A$2:$A$33,0)),0))</f>
        <v/>
      </c>
      <c r="AP88" s="2" t="str">
        <f t="array" ref="AP88">IF($K88="",0,IFERROR(INDEX(CALC!$T$2:$T$33,MATCH($K88,CALC!$A$2:$A$33,0)),0))</f>
        <v/>
      </c>
      <c r="AQ88" s="2" t="str">
        <f t="array" ref="AQ88">IF($K88="",0,IFERROR(INDEX(CALC!$W$2:$W$33,MATCH($K88,CALC!$A$2:$A$33,0)),0))</f>
        <v/>
      </c>
      <c r="AR88" s="2" t="str">
        <f t="array" ref="AR88">IF($K88="",0,IFERROR(INDEX(CALC!$Z$2:$Z$33,MATCH($K88,CALC!$A$2:$A$33,0)),0))</f>
        <v/>
      </c>
      <c r="AS88" s="2" t="str">
        <f t="array" ref="AS88">IF($K88="",0,IFERROR(INDEX(CALC!$AJ$2:$AJ$33,MATCH($K88,CALC!$A$2:$A$33,0)),0))</f>
        <v/>
      </c>
      <c r="AT88" s="2" t="str">
        <f t="array" ref="AT88">IF($K88="",0,IFERROR(INDEX(CALC!$AI$2:$AI$33,MATCH($K88,CALC!$A$2:$A$33,0)),0))</f>
        <v/>
      </c>
      <c r="AU88" s="2">
        <f t="shared" si="11"/>
        <v>0</v>
      </c>
      <c r="AV88" s="2">
        <f t="shared" si="12"/>
        <v>0</v>
      </c>
    </row>
    <row r="89" ht="15.0" customHeight="1">
      <c r="A89" s="2">
        <v>44.0</v>
      </c>
      <c r="B89" s="2" t="s">
        <v>2365</v>
      </c>
      <c r="C89" s="2">
        <f>IFERROR(MATCH($A89,SchedSeq,0),"")</f>
        <v>329</v>
      </c>
      <c r="D89" s="2" t="str">
        <f t="array" ref="D89">IF($C89="","",INDEX(SchedZone,$C89,MAP!$B$6))</f>
        <v>2026_03_MIN_TB</v>
      </c>
      <c r="E89" s="2">
        <f t="array" ref="E89">IF($C89="","",INDEX(SchedZone,$C89,MAP!$B$3))</f>
        <v>2026</v>
      </c>
      <c r="F89" s="2" t="str">
        <f t="array" ref="F89">IF($C89="","",INDEX(SchedZone,$C89,MAP!$B$5))</f>
        <v>REG</v>
      </c>
      <c r="G89" s="2">
        <f t="array" ref="G89">IF($C89="","",INDEX(SchedZone,$C89,MAP!$B$4))</f>
        <v>3</v>
      </c>
      <c r="H89" s="2" t="str">
        <f t="array" ref="H89">IF($C89="","",INDEX(SchedZone,$C89,MAP!$B$12))</f>
        <v>TB</v>
      </c>
      <c r="I89" s="2" t="str">
        <f t="array" ref="I89">IF($H89="","",IF(COUNTIF(Teams,$H89)&gt;0,$H89,IFERROR(INDEX(LISTS!$D$2:$D$12,MATCH($H89,LISTS!$C$2:$C$12,0)),"⚠ "&amp;$H89)))</f>
        <v>TB</v>
      </c>
      <c r="J89" s="2" t="str">
        <f t="array" ref="J89">IF($C89="","",INDEX(SchedZone,$C89,MAP!$B$10))</f>
        <v>MIN</v>
      </c>
      <c r="K89" s="2" t="str">
        <f t="array" ref="K89">IF($J89="","",IF(COUNTIF(Teams,$J89)&gt;0,$J89,IFERROR(INDEX(LISTS!$D$2:$D$12,MATCH($J89,LISTS!$C$2:$C$12,0)),"⚠ "&amp;$J89)))</f>
        <v>MIN</v>
      </c>
      <c r="L89" s="2" t="str">
        <f t="array" ref="L89">IF($C89="","",IF(INDEX(SchedZone,$C89,MAP!$B$14)="Neutral","N",IF($B89="HOME","H","A")))</f>
        <v>H</v>
      </c>
      <c r="M89" s="2" t="str">
        <f t="array" ref="M89">IF($C89="","",IF(INDEX(SchedZone,$C89,MAP!$B$13)="","",INDEX(SchedZone,$C89,MAP!$B$13)))</f>
        <v/>
      </c>
      <c r="N89" s="2" t="str">
        <f t="array" ref="N89">IF($C89="","",IF(INDEX(SchedZone,$C89,MAP!$B$11)="","",INDEX(SchedZone,$C89,MAP!$B$11)))</f>
        <v/>
      </c>
      <c r="O89" s="2">
        <f t="array" ref="O89">IF($C89="","",INDEX(SchedZone,$C89,MAP!$B$16))</f>
        <v>7</v>
      </c>
      <c r="P89" s="2" t="str">
        <f>IF($C89="","",IFERROR(MATCH($E89&amp;"|"&amp;$G89&amp;"|"&amp;$I89,StatsKey,0),""))</f>
        <v/>
      </c>
      <c r="Q89" s="2">
        <f t="array" ref="Q89">IF($P89="",0,INDEX(StatsZone,$P89,MAP!$E$9)+INDEX(StatsZone,$P89,MAP!$E$10)+INDEX(StatsZone,$P89,MAP!$E$11))</f>
        <v>0</v>
      </c>
      <c r="R89" s="2">
        <f t="array" ref="R89">IF($P89="",0,INDEX(StatsZone,$P89,MAP!$E$12))</f>
        <v>0</v>
      </c>
      <c r="S89" s="2">
        <f t="array" ref="S89">IF($P89="",0,INDEX(StatsZone,$P89,MAP!$E$13))</f>
        <v>0</v>
      </c>
      <c r="T89" s="2">
        <f t="shared" si="1"/>
        <v>0</v>
      </c>
      <c r="U89" s="2">
        <f t="array" ref="U89">IF($P89="",0,INDEX(StatsZone,$P89,MAP!$E$14)+INDEX(StatsZone,$P89,MAP!$E$15)+INDEX(StatsZone,$P89,MAP!$E$16))</f>
        <v>0</v>
      </c>
      <c r="V89" s="2">
        <f t="shared" si="2"/>
        <v>0</v>
      </c>
      <c r="W89" s="2">
        <f t="shared" si="3"/>
        <v>0</v>
      </c>
      <c r="X89" s="2">
        <f t="shared" si="4"/>
        <v>0</v>
      </c>
      <c r="Y89" s="2">
        <f t="shared" si="5"/>
        <v>0</v>
      </c>
      <c r="Z89" s="2">
        <f t="shared" si="6"/>
        <v>0</v>
      </c>
      <c r="AA89" s="2">
        <f t="shared" si="7"/>
        <v>1</v>
      </c>
      <c r="AB89" s="2">
        <f>IF(OR($M89="",$N89=""),0,MEDIAN(-MarginCap,MarginCap,($M89-$N89)-$AA89*HFA_Base))</f>
        <v>0</v>
      </c>
      <c r="AC89" s="2">
        <f t="array" ref="AC89">IF(OR($P89="",INDEX($P$3:$P$722,(ROW()+IF(MOD(ROW()-3,2)=0,1,-1))-3+1)=""),0,MEDIAN(-MarginCap,MarginCap,($T89-$W89)-$AA89*HFA_Base))</f>
        <v>0</v>
      </c>
      <c r="AD89" s="2">
        <f t="shared" si="8"/>
        <v>0</v>
      </c>
      <c r="AE89" s="2">
        <f>IF(OR($M89="",$N89=""),0,IF(AND(WEpa&gt;0,$AD89=1),(1-WEpa)*$AB89+WEpa*$AC89,$AB89))</f>
        <v>0</v>
      </c>
      <c r="AF89" s="2">
        <f>IF(AND($C89&lt;&gt;"",$E89=CurrentSeason,$F89="REG",ISNUMBER($G89),$G89&lt;CurrentWeek,AND($M89&lt;&gt;"",$N89&lt;&gt;"")),1,0)</f>
        <v>0</v>
      </c>
      <c r="AG89" s="2">
        <f>IF($AF89=0,0,IF($G89&gt;=CurrentWeek-RecencyWin,RecencyMult,1))</f>
        <v>0</v>
      </c>
      <c r="AH89" s="2">
        <f>IF(AND($C89&lt;&gt;"",$E89=CurrentSeason,$F89="REG",ISNUMBER($G89),$G89&lt;CurrentWeek-1,AND($M89&lt;&gt;"",$N89&lt;&gt;"")),1,0)</f>
        <v>0</v>
      </c>
      <c r="AI89" s="2">
        <f>IF($AH89=0,0,IF($G89&gt;=CurrentWeek-1-RecencyWin,RecencyMult,1))</f>
        <v>0</v>
      </c>
      <c r="AJ89" s="2">
        <f>IF($AF89=0,0,IF($G89&gt;=CurrentWeek-RecencyWin,TotRecency,1))</f>
        <v>0</v>
      </c>
      <c r="AK89" s="2">
        <f t="shared" si="9"/>
        <v>0</v>
      </c>
      <c r="AL89" s="2">
        <f t="shared" si="10"/>
        <v>0</v>
      </c>
      <c r="AM89" s="2" t="str">
        <f t="array" ref="AM89">IF($K89="",0,IFERROR(INDEX(CALC!$F$2:$F$33,MATCH($K89,CALC!$A$2:$A$33,0)),0))</f>
        <v/>
      </c>
      <c r="AN89" s="2" t="str">
        <f t="array" ref="AN89">IF($K89="",0,IFERROR(INDEX(CALC!$I$2:$I$33,MATCH($K89,CALC!$A$2:$A$33,0)),0))</f>
        <v/>
      </c>
      <c r="AO89" s="2" t="str">
        <f t="array" ref="AO89">IF($K89="",0,IFERROR(INDEX(CALC!$L$2:$L$33,MATCH($K89,CALC!$A$2:$A$33,0)),0))</f>
        <v/>
      </c>
      <c r="AP89" s="2" t="str">
        <f t="array" ref="AP89">IF($K89="",0,IFERROR(INDEX(CALC!$T$2:$T$33,MATCH($K89,CALC!$A$2:$A$33,0)),0))</f>
        <v/>
      </c>
      <c r="AQ89" s="2" t="str">
        <f t="array" ref="AQ89">IF($K89="",0,IFERROR(INDEX(CALC!$W$2:$W$33,MATCH($K89,CALC!$A$2:$A$33,0)),0))</f>
        <v/>
      </c>
      <c r="AR89" s="2" t="str">
        <f t="array" ref="AR89">IF($K89="",0,IFERROR(INDEX(CALC!$Z$2:$Z$33,MATCH($K89,CALC!$A$2:$A$33,0)),0))</f>
        <v/>
      </c>
      <c r="AS89" s="2" t="str">
        <f t="array" ref="AS89">IF($K89="",0,IFERROR(INDEX(CALC!$AJ$2:$AJ$33,MATCH($K89,CALC!$A$2:$A$33,0)),0))</f>
        <v/>
      </c>
      <c r="AT89" s="2" t="str">
        <f t="array" ref="AT89">IF($K89="",0,IFERROR(INDEX(CALC!$AI$2:$AI$33,MATCH($K89,CALC!$A$2:$A$33,0)),0))</f>
        <v/>
      </c>
      <c r="AU89" s="2">
        <f t="shared" si="11"/>
        <v>0</v>
      </c>
      <c r="AV89" s="2">
        <f t="shared" si="12"/>
        <v>0</v>
      </c>
    </row>
    <row r="90" ht="15.0" customHeight="1">
      <c r="A90" s="2">
        <v>44.0</v>
      </c>
      <c r="B90" s="2" t="s">
        <v>2366</v>
      </c>
      <c r="C90" s="2">
        <f>IFERROR(MATCH($A90,SchedSeq,0),"")</f>
        <v>329</v>
      </c>
      <c r="D90" s="2" t="str">
        <f t="array" ref="D90">IF($C90="","",INDEX(SchedZone,$C90,MAP!$B$6))</f>
        <v>2026_03_MIN_TB</v>
      </c>
      <c r="E90" s="2">
        <f t="array" ref="E90">IF($C90="","",INDEX(SchedZone,$C90,MAP!$B$3))</f>
        <v>2026</v>
      </c>
      <c r="F90" s="2" t="str">
        <f t="array" ref="F90">IF($C90="","",INDEX(SchedZone,$C90,MAP!$B$5))</f>
        <v>REG</v>
      </c>
      <c r="G90" s="2">
        <f t="array" ref="G90">IF($C90="","",INDEX(SchedZone,$C90,MAP!$B$4))</f>
        <v>3</v>
      </c>
      <c r="H90" s="2" t="str">
        <f t="array" ref="H90">IF($C90="","",INDEX(SchedZone,$C90,MAP!$B$10))</f>
        <v>MIN</v>
      </c>
      <c r="I90" s="2" t="str">
        <f t="array" ref="I90">IF($H90="","",IF(COUNTIF(Teams,$H90)&gt;0,$H90,IFERROR(INDEX(LISTS!$D$2:$D$12,MATCH($H90,LISTS!$C$2:$C$12,0)),"⚠ "&amp;$H90)))</f>
        <v>MIN</v>
      </c>
      <c r="J90" s="2" t="str">
        <f t="array" ref="J90">IF($C90="","",INDEX(SchedZone,$C90,MAP!$B$12))</f>
        <v>TB</v>
      </c>
      <c r="K90" s="2" t="str">
        <f t="array" ref="K90">IF($J90="","",IF(COUNTIF(Teams,$J90)&gt;0,$J90,IFERROR(INDEX(LISTS!$D$2:$D$12,MATCH($J90,LISTS!$C$2:$C$12,0)),"⚠ "&amp;$J90)))</f>
        <v>TB</v>
      </c>
      <c r="L90" s="2" t="str">
        <f t="array" ref="L90">IF($C90="","",IF(INDEX(SchedZone,$C90,MAP!$B$14)="Neutral","N",IF($B90="HOME","H","A")))</f>
        <v>A</v>
      </c>
      <c r="M90" s="2" t="str">
        <f t="array" ref="M90">IF($C90="","",IF(INDEX(SchedZone,$C90,MAP!$B$11)="","",INDEX(SchedZone,$C90,MAP!$B$11)))</f>
        <v/>
      </c>
      <c r="N90" s="2" t="str">
        <f t="array" ref="N90">IF($C90="","",IF(INDEX(SchedZone,$C90,MAP!$B$13)="","",INDEX(SchedZone,$C90,MAP!$B$13)))</f>
        <v/>
      </c>
      <c r="O90" s="2">
        <f t="array" ref="O90">IF($C90="","",INDEX(SchedZone,$C90,MAP!$B$15))</f>
        <v>7</v>
      </c>
      <c r="P90" s="2" t="str">
        <f>IF($C90="","",IFERROR(MATCH($E90&amp;"|"&amp;$G90&amp;"|"&amp;$I90,StatsKey,0),""))</f>
        <v/>
      </c>
      <c r="Q90" s="2">
        <f t="array" ref="Q90">IF($P90="",0,INDEX(StatsZone,$P90,MAP!$E$9)+INDEX(StatsZone,$P90,MAP!$E$10)+INDEX(StatsZone,$P90,MAP!$E$11))</f>
        <v>0</v>
      </c>
      <c r="R90" s="2">
        <f t="array" ref="R90">IF($P90="",0,INDEX(StatsZone,$P90,MAP!$E$12))</f>
        <v>0</v>
      </c>
      <c r="S90" s="2">
        <f t="array" ref="S90">IF($P90="",0,INDEX(StatsZone,$P90,MAP!$E$13))</f>
        <v>0</v>
      </c>
      <c r="T90" s="2">
        <f t="shared" si="1"/>
        <v>0</v>
      </c>
      <c r="U90" s="2">
        <f t="array" ref="U90">IF($P90="",0,INDEX(StatsZone,$P90,MAP!$E$14)+INDEX(StatsZone,$P90,MAP!$E$15)+INDEX(StatsZone,$P90,MAP!$E$16))</f>
        <v>0</v>
      </c>
      <c r="V90" s="2">
        <f t="shared" si="2"/>
        <v>0</v>
      </c>
      <c r="W90" s="2">
        <f t="shared" si="3"/>
        <v>0</v>
      </c>
      <c r="X90" s="2">
        <f t="shared" si="4"/>
        <v>0</v>
      </c>
      <c r="Y90" s="2">
        <f t="shared" si="5"/>
        <v>0</v>
      </c>
      <c r="Z90" s="2">
        <f t="shared" si="6"/>
        <v>0</v>
      </c>
      <c r="AA90" s="2">
        <f t="shared" si="7"/>
        <v>-1</v>
      </c>
      <c r="AB90" s="2">
        <f>IF(OR($M90="",$N90=""),0,MEDIAN(-MarginCap,MarginCap,($M90-$N90)-$AA90*HFA_Base))</f>
        <v>0</v>
      </c>
      <c r="AC90" s="2">
        <f t="array" ref="AC90">IF(OR($P90="",INDEX($P$3:$P$722,(ROW()+IF(MOD(ROW()-3,2)=0,1,-1))-3+1)=""),0,MEDIAN(-MarginCap,MarginCap,($T90-$W90)-$AA90*HFA_Base))</f>
        <v>0</v>
      </c>
      <c r="AD90" s="2">
        <f t="shared" si="8"/>
        <v>0</v>
      </c>
      <c r="AE90" s="2">
        <f>IF(OR($M90="",$N90=""),0,IF(AND(WEpa&gt;0,$AD90=1),(1-WEpa)*$AB90+WEpa*$AC90,$AB90))</f>
        <v>0</v>
      </c>
      <c r="AF90" s="2">
        <f>IF(AND($C90&lt;&gt;"",$E90=CurrentSeason,$F90="REG",ISNUMBER($G90),$G90&lt;CurrentWeek,AND($M90&lt;&gt;"",$N90&lt;&gt;"")),1,0)</f>
        <v>0</v>
      </c>
      <c r="AG90" s="2">
        <f>IF($AF90=0,0,IF($G90&gt;=CurrentWeek-RecencyWin,RecencyMult,1))</f>
        <v>0</v>
      </c>
      <c r="AH90" s="2">
        <f>IF(AND($C90&lt;&gt;"",$E90=CurrentSeason,$F90="REG",ISNUMBER($G90),$G90&lt;CurrentWeek-1,AND($M90&lt;&gt;"",$N90&lt;&gt;"")),1,0)</f>
        <v>0</v>
      </c>
      <c r="AI90" s="2">
        <f>IF($AH90=0,0,IF($G90&gt;=CurrentWeek-1-RecencyWin,RecencyMult,1))</f>
        <v>0</v>
      </c>
      <c r="AJ90" s="2">
        <f>IF($AF90=0,0,IF($G90&gt;=CurrentWeek-RecencyWin,TotRecency,1))</f>
        <v>0</v>
      </c>
      <c r="AK90" s="2">
        <f t="shared" si="9"/>
        <v>0</v>
      </c>
      <c r="AL90" s="2">
        <f t="shared" si="10"/>
        <v>0</v>
      </c>
      <c r="AM90" s="2" t="str">
        <f t="array" ref="AM90">IF($K90="",0,IFERROR(INDEX(CALC!$F$2:$F$33,MATCH($K90,CALC!$A$2:$A$33,0)),0))</f>
        <v/>
      </c>
      <c r="AN90" s="2" t="str">
        <f t="array" ref="AN90">IF($K90="",0,IFERROR(INDEX(CALC!$I$2:$I$33,MATCH($K90,CALC!$A$2:$A$33,0)),0))</f>
        <v/>
      </c>
      <c r="AO90" s="2" t="str">
        <f t="array" ref="AO90">IF($K90="",0,IFERROR(INDEX(CALC!$L$2:$L$33,MATCH($K90,CALC!$A$2:$A$33,0)),0))</f>
        <v/>
      </c>
      <c r="AP90" s="2" t="str">
        <f t="array" ref="AP90">IF($K90="",0,IFERROR(INDEX(CALC!$T$2:$T$33,MATCH($K90,CALC!$A$2:$A$33,0)),0))</f>
        <v/>
      </c>
      <c r="AQ90" s="2" t="str">
        <f t="array" ref="AQ90">IF($K90="",0,IFERROR(INDEX(CALC!$W$2:$W$33,MATCH($K90,CALC!$A$2:$A$33,0)),0))</f>
        <v/>
      </c>
      <c r="AR90" s="2" t="str">
        <f t="array" ref="AR90">IF($K90="",0,IFERROR(INDEX(CALC!$Z$2:$Z$33,MATCH($K90,CALC!$A$2:$A$33,0)),0))</f>
        <v/>
      </c>
      <c r="AS90" s="2" t="str">
        <f t="array" ref="AS90">IF($K90="",0,IFERROR(INDEX(CALC!$AJ$2:$AJ$33,MATCH($K90,CALC!$A$2:$A$33,0)),0))</f>
        <v/>
      </c>
      <c r="AT90" s="2" t="str">
        <f t="array" ref="AT90">IF($K90="",0,IFERROR(INDEX(CALC!$AI$2:$AI$33,MATCH($K90,CALC!$A$2:$A$33,0)),0))</f>
        <v/>
      </c>
      <c r="AU90" s="2">
        <f t="shared" si="11"/>
        <v>0</v>
      </c>
      <c r="AV90" s="2">
        <f t="shared" si="12"/>
        <v>0</v>
      </c>
    </row>
    <row r="91" ht="15.0" customHeight="1">
      <c r="A91" s="2">
        <v>45.0</v>
      </c>
      <c r="B91" s="2" t="s">
        <v>2365</v>
      </c>
      <c r="C91" s="2">
        <f>IFERROR(MATCH($A91,SchedSeq,0),"")</f>
        <v>330</v>
      </c>
      <c r="D91" s="2" t="str">
        <f t="array" ref="D91">IF($C91="","",INDEX(SchedZone,$C91,MAP!$B$6))</f>
        <v>2026_03_BAL_DAL</v>
      </c>
      <c r="E91" s="2">
        <f t="array" ref="E91">IF($C91="","",INDEX(SchedZone,$C91,MAP!$B$3))</f>
        <v>2026</v>
      </c>
      <c r="F91" s="2" t="str">
        <f t="array" ref="F91">IF($C91="","",INDEX(SchedZone,$C91,MAP!$B$5))</f>
        <v>REG</v>
      </c>
      <c r="G91" s="2">
        <f t="array" ref="G91">IF($C91="","",INDEX(SchedZone,$C91,MAP!$B$4))</f>
        <v>3</v>
      </c>
      <c r="H91" s="2" t="str">
        <f t="array" ref="H91">IF($C91="","",INDEX(SchedZone,$C91,MAP!$B$12))</f>
        <v>DAL</v>
      </c>
      <c r="I91" s="2" t="str">
        <f t="array" ref="I91">IF($H91="","",IF(COUNTIF(Teams,$H91)&gt;0,$H91,IFERROR(INDEX(LISTS!$D$2:$D$12,MATCH($H91,LISTS!$C$2:$C$12,0)),"⚠ "&amp;$H91)))</f>
        <v>DAL</v>
      </c>
      <c r="J91" s="2" t="str">
        <f t="array" ref="J91">IF($C91="","",INDEX(SchedZone,$C91,MAP!$B$10))</f>
        <v>BAL</v>
      </c>
      <c r="K91" s="2" t="str">
        <f t="array" ref="K91">IF($J91="","",IF(COUNTIF(Teams,$J91)&gt;0,$J91,IFERROR(INDEX(LISTS!$D$2:$D$12,MATCH($J91,LISTS!$C$2:$C$12,0)),"⚠ "&amp;$J91)))</f>
        <v>BAL</v>
      </c>
      <c r="L91" s="2" t="str">
        <f t="array" ref="L91">IF($C91="","",IF(INDEX(SchedZone,$C91,MAP!$B$14)="Neutral","N",IF($B91="HOME","H","A")))</f>
        <v>N</v>
      </c>
      <c r="M91" s="2" t="str">
        <f t="array" ref="M91">IF($C91="","",IF(INDEX(SchedZone,$C91,MAP!$B$13)="","",INDEX(SchedZone,$C91,MAP!$B$13)))</f>
        <v/>
      </c>
      <c r="N91" s="2" t="str">
        <f t="array" ref="N91">IF($C91="","",IF(INDEX(SchedZone,$C91,MAP!$B$11)="","",INDEX(SchedZone,$C91,MAP!$B$11)))</f>
        <v/>
      </c>
      <c r="O91" s="2">
        <f t="array" ref="O91">IF($C91="","",INDEX(SchedZone,$C91,MAP!$B$16))</f>
        <v>7</v>
      </c>
      <c r="P91" s="2" t="str">
        <f>IF($C91="","",IFERROR(MATCH($E91&amp;"|"&amp;$G91&amp;"|"&amp;$I91,StatsKey,0),""))</f>
        <v/>
      </c>
      <c r="Q91" s="2">
        <f t="array" ref="Q91">IF($P91="",0,INDEX(StatsZone,$P91,MAP!$E$9)+INDEX(StatsZone,$P91,MAP!$E$10)+INDEX(StatsZone,$P91,MAP!$E$11))</f>
        <v>0</v>
      </c>
      <c r="R91" s="2">
        <f t="array" ref="R91">IF($P91="",0,INDEX(StatsZone,$P91,MAP!$E$12))</f>
        <v>0</v>
      </c>
      <c r="S91" s="2">
        <f t="array" ref="S91">IF($P91="",0,INDEX(StatsZone,$P91,MAP!$E$13))</f>
        <v>0</v>
      </c>
      <c r="T91" s="2">
        <f t="shared" si="1"/>
        <v>0</v>
      </c>
      <c r="U91" s="2">
        <f t="array" ref="U91">IF($P91="",0,INDEX(StatsZone,$P91,MAP!$E$14)+INDEX(StatsZone,$P91,MAP!$E$15)+INDEX(StatsZone,$P91,MAP!$E$16))</f>
        <v>0</v>
      </c>
      <c r="V91" s="2">
        <f t="shared" si="2"/>
        <v>0</v>
      </c>
      <c r="W91" s="2">
        <f t="shared" si="3"/>
        <v>0</v>
      </c>
      <c r="X91" s="2">
        <f t="shared" si="4"/>
        <v>0</v>
      </c>
      <c r="Y91" s="2">
        <f t="shared" si="5"/>
        <v>0</v>
      </c>
      <c r="Z91" s="2">
        <f t="shared" si="6"/>
        <v>0</v>
      </c>
      <c r="AA91" s="2">
        <f t="shared" si="7"/>
        <v>0</v>
      </c>
      <c r="AB91" s="2">
        <f>IF(OR($M91="",$N91=""),0,MEDIAN(-MarginCap,MarginCap,($M91-$N91)-$AA91*HFA_Base))</f>
        <v>0</v>
      </c>
      <c r="AC91" s="2">
        <f t="array" ref="AC91">IF(OR($P91="",INDEX($P$3:$P$722,(ROW()+IF(MOD(ROW()-3,2)=0,1,-1))-3+1)=""),0,MEDIAN(-MarginCap,MarginCap,($T91-$W91)-$AA91*HFA_Base))</f>
        <v>0</v>
      </c>
      <c r="AD91" s="2">
        <f t="shared" si="8"/>
        <v>0</v>
      </c>
      <c r="AE91" s="2">
        <f>IF(OR($M91="",$N91=""),0,IF(AND(WEpa&gt;0,$AD91=1),(1-WEpa)*$AB91+WEpa*$AC91,$AB91))</f>
        <v>0</v>
      </c>
      <c r="AF91" s="2">
        <f>IF(AND($C91&lt;&gt;"",$E91=CurrentSeason,$F91="REG",ISNUMBER($G91),$G91&lt;CurrentWeek,AND($M91&lt;&gt;"",$N91&lt;&gt;"")),1,0)</f>
        <v>0</v>
      </c>
      <c r="AG91" s="2">
        <f>IF($AF91=0,0,IF($G91&gt;=CurrentWeek-RecencyWin,RecencyMult,1))</f>
        <v>0</v>
      </c>
      <c r="AH91" s="2">
        <f>IF(AND($C91&lt;&gt;"",$E91=CurrentSeason,$F91="REG",ISNUMBER($G91),$G91&lt;CurrentWeek-1,AND($M91&lt;&gt;"",$N91&lt;&gt;"")),1,0)</f>
        <v>0</v>
      </c>
      <c r="AI91" s="2">
        <f>IF($AH91=0,0,IF($G91&gt;=CurrentWeek-1-RecencyWin,RecencyMult,1))</f>
        <v>0</v>
      </c>
      <c r="AJ91" s="2">
        <f>IF($AF91=0,0,IF($G91&gt;=CurrentWeek-RecencyWin,TotRecency,1))</f>
        <v>0</v>
      </c>
      <c r="AK91" s="2">
        <f t="shared" si="9"/>
        <v>0</v>
      </c>
      <c r="AL91" s="2">
        <f t="shared" si="10"/>
        <v>0</v>
      </c>
      <c r="AM91" s="2" t="str">
        <f t="array" ref="AM91">IF($K91="",0,IFERROR(INDEX(CALC!$F$2:$F$33,MATCH($K91,CALC!$A$2:$A$33,0)),0))</f>
        <v/>
      </c>
      <c r="AN91" s="2" t="str">
        <f t="array" ref="AN91">IF($K91="",0,IFERROR(INDEX(CALC!$I$2:$I$33,MATCH($K91,CALC!$A$2:$A$33,0)),0))</f>
        <v/>
      </c>
      <c r="AO91" s="2" t="str">
        <f t="array" ref="AO91">IF($K91="",0,IFERROR(INDEX(CALC!$L$2:$L$33,MATCH($K91,CALC!$A$2:$A$33,0)),0))</f>
        <v/>
      </c>
      <c r="AP91" s="2" t="str">
        <f t="array" ref="AP91">IF($K91="",0,IFERROR(INDEX(CALC!$T$2:$T$33,MATCH($K91,CALC!$A$2:$A$33,0)),0))</f>
        <v/>
      </c>
      <c r="AQ91" s="2" t="str">
        <f t="array" ref="AQ91">IF($K91="",0,IFERROR(INDEX(CALC!$W$2:$W$33,MATCH($K91,CALC!$A$2:$A$33,0)),0))</f>
        <v/>
      </c>
      <c r="AR91" s="2" t="str">
        <f t="array" ref="AR91">IF($K91="",0,IFERROR(INDEX(CALC!$Z$2:$Z$33,MATCH($K91,CALC!$A$2:$A$33,0)),0))</f>
        <v/>
      </c>
      <c r="AS91" s="2" t="str">
        <f t="array" ref="AS91">IF($K91="",0,IFERROR(INDEX(CALC!$AJ$2:$AJ$33,MATCH($K91,CALC!$A$2:$A$33,0)),0))</f>
        <v/>
      </c>
      <c r="AT91" s="2" t="str">
        <f t="array" ref="AT91">IF($K91="",0,IFERROR(INDEX(CALC!$AI$2:$AI$33,MATCH($K91,CALC!$A$2:$A$33,0)),0))</f>
        <v/>
      </c>
      <c r="AU91" s="2">
        <f t="shared" si="11"/>
        <v>0</v>
      </c>
      <c r="AV91" s="2">
        <f t="shared" si="12"/>
        <v>0</v>
      </c>
    </row>
    <row r="92" ht="15.0" customHeight="1">
      <c r="A92" s="2">
        <v>45.0</v>
      </c>
      <c r="B92" s="2" t="s">
        <v>2366</v>
      </c>
      <c r="C92" s="2">
        <f>IFERROR(MATCH($A92,SchedSeq,0),"")</f>
        <v>330</v>
      </c>
      <c r="D92" s="2" t="str">
        <f t="array" ref="D92">IF($C92="","",INDEX(SchedZone,$C92,MAP!$B$6))</f>
        <v>2026_03_BAL_DAL</v>
      </c>
      <c r="E92" s="2">
        <f t="array" ref="E92">IF($C92="","",INDEX(SchedZone,$C92,MAP!$B$3))</f>
        <v>2026</v>
      </c>
      <c r="F92" s="2" t="str">
        <f t="array" ref="F92">IF($C92="","",INDEX(SchedZone,$C92,MAP!$B$5))</f>
        <v>REG</v>
      </c>
      <c r="G92" s="2">
        <f t="array" ref="G92">IF($C92="","",INDEX(SchedZone,$C92,MAP!$B$4))</f>
        <v>3</v>
      </c>
      <c r="H92" s="2" t="str">
        <f t="array" ref="H92">IF($C92="","",INDEX(SchedZone,$C92,MAP!$B$10))</f>
        <v>BAL</v>
      </c>
      <c r="I92" s="2" t="str">
        <f t="array" ref="I92">IF($H92="","",IF(COUNTIF(Teams,$H92)&gt;0,$H92,IFERROR(INDEX(LISTS!$D$2:$D$12,MATCH($H92,LISTS!$C$2:$C$12,0)),"⚠ "&amp;$H92)))</f>
        <v>BAL</v>
      </c>
      <c r="J92" s="2" t="str">
        <f t="array" ref="J92">IF($C92="","",INDEX(SchedZone,$C92,MAP!$B$12))</f>
        <v>DAL</v>
      </c>
      <c r="K92" s="2" t="str">
        <f t="array" ref="K92">IF($J92="","",IF(COUNTIF(Teams,$J92)&gt;0,$J92,IFERROR(INDEX(LISTS!$D$2:$D$12,MATCH($J92,LISTS!$C$2:$C$12,0)),"⚠ "&amp;$J92)))</f>
        <v>DAL</v>
      </c>
      <c r="L92" s="2" t="str">
        <f t="array" ref="L92">IF($C92="","",IF(INDEX(SchedZone,$C92,MAP!$B$14)="Neutral","N",IF($B92="HOME","H","A")))</f>
        <v>N</v>
      </c>
      <c r="M92" s="2" t="str">
        <f t="array" ref="M92">IF($C92="","",IF(INDEX(SchedZone,$C92,MAP!$B$11)="","",INDEX(SchedZone,$C92,MAP!$B$11)))</f>
        <v/>
      </c>
      <c r="N92" s="2" t="str">
        <f t="array" ref="N92">IF($C92="","",IF(INDEX(SchedZone,$C92,MAP!$B$13)="","",INDEX(SchedZone,$C92,MAP!$B$13)))</f>
        <v/>
      </c>
      <c r="O92" s="2">
        <f t="array" ref="O92">IF($C92="","",INDEX(SchedZone,$C92,MAP!$B$15))</f>
        <v>7</v>
      </c>
      <c r="P92" s="2" t="str">
        <f>IF($C92="","",IFERROR(MATCH($E92&amp;"|"&amp;$G92&amp;"|"&amp;$I92,StatsKey,0),""))</f>
        <v/>
      </c>
      <c r="Q92" s="2">
        <f t="array" ref="Q92">IF($P92="",0,INDEX(StatsZone,$P92,MAP!$E$9)+INDEX(StatsZone,$P92,MAP!$E$10)+INDEX(StatsZone,$P92,MAP!$E$11))</f>
        <v>0</v>
      </c>
      <c r="R92" s="2">
        <f t="array" ref="R92">IF($P92="",0,INDEX(StatsZone,$P92,MAP!$E$12))</f>
        <v>0</v>
      </c>
      <c r="S92" s="2">
        <f t="array" ref="S92">IF($P92="",0,INDEX(StatsZone,$P92,MAP!$E$13))</f>
        <v>0</v>
      </c>
      <c r="T92" s="2">
        <f t="shared" si="1"/>
        <v>0</v>
      </c>
      <c r="U92" s="2">
        <f t="array" ref="U92">IF($P92="",0,INDEX(StatsZone,$P92,MAP!$E$14)+INDEX(StatsZone,$P92,MAP!$E$15)+INDEX(StatsZone,$P92,MAP!$E$16))</f>
        <v>0</v>
      </c>
      <c r="V92" s="2">
        <f t="shared" si="2"/>
        <v>0</v>
      </c>
      <c r="W92" s="2">
        <f t="shared" si="3"/>
        <v>0</v>
      </c>
      <c r="X92" s="2">
        <f t="shared" si="4"/>
        <v>0</v>
      </c>
      <c r="Y92" s="2">
        <f t="shared" si="5"/>
        <v>0</v>
      </c>
      <c r="Z92" s="2">
        <f t="shared" si="6"/>
        <v>0</v>
      </c>
      <c r="AA92" s="2">
        <f t="shared" si="7"/>
        <v>0</v>
      </c>
      <c r="AB92" s="2">
        <f>IF(OR($M92="",$N92=""),0,MEDIAN(-MarginCap,MarginCap,($M92-$N92)-$AA92*HFA_Base))</f>
        <v>0</v>
      </c>
      <c r="AC92" s="2">
        <f t="array" ref="AC92">IF(OR($P92="",INDEX($P$3:$P$722,(ROW()+IF(MOD(ROW()-3,2)=0,1,-1))-3+1)=""),0,MEDIAN(-MarginCap,MarginCap,($T92-$W92)-$AA92*HFA_Base))</f>
        <v>0</v>
      </c>
      <c r="AD92" s="2">
        <f t="shared" si="8"/>
        <v>0</v>
      </c>
      <c r="AE92" s="2">
        <f>IF(OR($M92="",$N92=""),0,IF(AND(WEpa&gt;0,$AD92=1),(1-WEpa)*$AB92+WEpa*$AC92,$AB92))</f>
        <v>0</v>
      </c>
      <c r="AF92" s="2">
        <f>IF(AND($C92&lt;&gt;"",$E92=CurrentSeason,$F92="REG",ISNUMBER($G92),$G92&lt;CurrentWeek,AND($M92&lt;&gt;"",$N92&lt;&gt;"")),1,0)</f>
        <v>0</v>
      </c>
      <c r="AG92" s="2">
        <f>IF($AF92=0,0,IF($G92&gt;=CurrentWeek-RecencyWin,RecencyMult,1))</f>
        <v>0</v>
      </c>
      <c r="AH92" s="2">
        <f>IF(AND($C92&lt;&gt;"",$E92=CurrentSeason,$F92="REG",ISNUMBER($G92),$G92&lt;CurrentWeek-1,AND($M92&lt;&gt;"",$N92&lt;&gt;"")),1,0)</f>
        <v>0</v>
      </c>
      <c r="AI92" s="2">
        <f>IF($AH92=0,0,IF($G92&gt;=CurrentWeek-1-RecencyWin,RecencyMult,1))</f>
        <v>0</v>
      </c>
      <c r="AJ92" s="2">
        <f>IF($AF92=0,0,IF($G92&gt;=CurrentWeek-RecencyWin,TotRecency,1))</f>
        <v>0</v>
      </c>
      <c r="AK92" s="2">
        <f t="shared" si="9"/>
        <v>0</v>
      </c>
      <c r="AL92" s="2">
        <f t="shared" si="10"/>
        <v>0</v>
      </c>
      <c r="AM92" s="2" t="str">
        <f t="array" ref="AM92">IF($K92="",0,IFERROR(INDEX(CALC!$F$2:$F$33,MATCH($K92,CALC!$A$2:$A$33,0)),0))</f>
        <v/>
      </c>
      <c r="AN92" s="2" t="str">
        <f t="array" ref="AN92">IF($K92="",0,IFERROR(INDEX(CALC!$I$2:$I$33,MATCH($K92,CALC!$A$2:$A$33,0)),0))</f>
        <v/>
      </c>
      <c r="AO92" s="2" t="str">
        <f t="array" ref="AO92">IF($K92="",0,IFERROR(INDEX(CALC!$L$2:$L$33,MATCH($K92,CALC!$A$2:$A$33,0)),0))</f>
        <v/>
      </c>
      <c r="AP92" s="2" t="str">
        <f t="array" ref="AP92">IF($K92="",0,IFERROR(INDEX(CALC!$T$2:$T$33,MATCH($K92,CALC!$A$2:$A$33,0)),0))</f>
        <v/>
      </c>
      <c r="AQ92" s="2" t="str">
        <f t="array" ref="AQ92">IF($K92="",0,IFERROR(INDEX(CALC!$W$2:$W$33,MATCH($K92,CALC!$A$2:$A$33,0)),0))</f>
        <v/>
      </c>
      <c r="AR92" s="2" t="str">
        <f t="array" ref="AR92">IF($K92="",0,IFERROR(INDEX(CALC!$Z$2:$Z$33,MATCH($K92,CALC!$A$2:$A$33,0)),0))</f>
        <v/>
      </c>
      <c r="AS92" s="2" t="str">
        <f t="array" ref="AS92">IF($K92="",0,IFERROR(INDEX(CALC!$AJ$2:$AJ$33,MATCH($K92,CALC!$A$2:$A$33,0)),0))</f>
        <v/>
      </c>
      <c r="AT92" s="2" t="str">
        <f t="array" ref="AT92">IF($K92="",0,IFERROR(INDEX(CALC!$AI$2:$AI$33,MATCH($K92,CALC!$A$2:$A$33,0)),0))</f>
        <v/>
      </c>
      <c r="AU92" s="2">
        <f t="shared" si="11"/>
        <v>0</v>
      </c>
      <c r="AV92" s="2">
        <f t="shared" si="12"/>
        <v>0</v>
      </c>
    </row>
    <row r="93" ht="15.0" customHeight="1">
      <c r="A93" s="2">
        <v>46.0</v>
      </c>
      <c r="B93" s="2" t="s">
        <v>2365</v>
      </c>
      <c r="C93" s="2">
        <f>IFERROR(MATCH($A93,SchedSeq,0),"")</f>
        <v>331</v>
      </c>
      <c r="D93" s="2" t="str">
        <f t="array" ref="D93">IF($C93="","",INDEX(SchedZone,$C93,MAP!$B$6))</f>
        <v>2026_03_LV_NO</v>
      </c>
      <c r="E93" s="2">
        <f t="array" ref="E93">IF($C93="","",INDEX(SchedZone,$C93,MAP!$B$3))</f>
        <v>2026</v>
      </c>
      <c r="F93" s="2" t="str">
        <f t="array" ref="F93">IF($C93="","",INDEX(SchedZone,$C93,MAP!$B$5))</f>
        <v>REG</v>
      </c>
      <c r="G93" s="2">
        <f t="array" ref="G93">IF($C93="","",INDEX(SchedZone,$C93,MAP!$B$4))</f>
        <v>3</v>
      </c>
      <c r="H93" s="2" t="str">
        <f t="array" ref="H93">IF($C93="","",INDEX(SchedZone,$C93,MAP!$B$12))</f>
        <v>NO</v>
      </c>
      <c r="I93" s="2" t="str">
        <f t="array" ref="I93">IF($H93="","",IF(COUNTIF(Teams,$H93)&gt;0,$H93,IFERROR(INDEX(LISTS!$D$2:$D$12,MATCH($H93,LISTS!$C$2:$C$12,0)),"⚠ "&amp;$H93)))</f>
        <v>NO</v>
      </c>
      <c r="J93" s="2" t="str">
        <f t="array" ref="J93">IF($C93="","",INDEX(SchedZone,$C93,MAP!$B$10))</f>
        <v>LV</v>
      </c>
      <c r="K93" s="2" t="str">
        <f t="array" ref="K93">IF($J93="","",IF(COUNTIF(Teams,$J93)&gt;0,$J93,IFERROR(INDEX(LISTS!$D$2:$D$12,MATCH($J93,LISTS!$C$2:$C$12,0)),"⚠ "&amp;$J93)))</f>
        <v>LV</v>
      </c>
      <c r="L93" s="2" t="str">
        <f t="array" ref="L93">IF($C93="","",IF(INDEX(SchedZone,$C93,MAP!$B$14)="Neutral","N",IF($B93="HOME","H","A")))</f>
        <v>H</v>
      </c>
      <c r="M93" s="2" t="str">
        <f t="array" ref="M93">IF($C93="","",IF(INDEX(SchedZone,$C93,MAP!$B$13)="","",INDEX(SchedZone,$C93,MAP!$B$13)))</f>
        <v/>
      </c>
      <c r="N93" s="2" t="str">
        <f t="array" ref="N93">IF($C93="","",IF(INDEX(SchedZone,$C93,MAP!$B$11)="","",INDEX(SchedZone,$C93,MAP!$B$11)))</f>
        <v/>
      </c>
      <c r="O93" s="2">
        <f t="array" ref="O93">IF($C93="","",INDEX(SchedZone,$C93,MAP!$B$16))</f>
        <v>7</v>
      </c>
      <c r="P93" s="2" t="str">
        <f>IF($C93="","",IFERROR(MATCH($E93&amp;"|"&amp;$G93&amp;"|"&amp;$I93,StatsKey,0),""))</f>
        <v/>
      </c>
      <c r="Q93" s="2">
        <f t="array" ref="Q93">IF($P93="",0,INDEX(StatsZone,$P93,MAP!$E$9)+INDEX(StatsZone,$P93,MAP!$E$10)+INDEX(StatsZone,$P93,MAP!$E$11))</f>
        <v>0</v>
      </c>
      <c r="R93" s="2">
        <f t="array" ref="R93">IF($P93="",0,INDEX(StatsZone,$P93,MAP!$E$12))</f>
        <v>0</v>
      </c>
      <c r="S93" s="2">
        <f t="array" ref="S93">IF($P93="",0,INDEX(StatsZone,$P93,MAP!$E$13))</f>
        <v>0</v>
      </c>
      <c r="T93" s="2">
        <f t="shared" si="1"/>
        <v>0</v>
      </c>
      <c r="U93" s="2">
        <f t="array" ref="U93">IF($P93="",0,INDEX(StatsZone,$P93,MAP!$E$14)+INDEX(StatsZone,$P93,MAP!$E$15)+INDEX(StatsZone,$P93,MAP!$E$16))</f>
        <v>0</v>
      </c>
      <c r="V93" s="2">
        <f t="shared" si="2"/>
        <v>0</v>
      </c>
      <c r="W93" s="2">
        <f t="shared" si="3"/>
        <v>0</v>
      </c>
      <c r="X93" s="2">
        <f t="shared" si="4"/>
        <v>0</v>
      </c>
      <c r="Y93" s="2">
        <f t="shared" si="5"/>
        <v>0</v>
      </c>
      <c r="Z93" s="2">
        <f t="shared" si="6"/>
        <v>0</v>
      </c>
      <c r="AA93" s="2">
        <f t="shared" si="7"/>
        <v>1</v>
      </c>
      <c r="AB93" s="2">
        <f>IF(OR($M93="",$N93=""),0,MEDIAN(-MarginCap,MarginCap,($M93-$N93)-$AA93*HFA_Base))</f>
        <v>0</v>
      </c>
      <c r="AC93" s="2">
        <f t="array" ref="AC93">IF(OR($P93="",INDEX($P$3:$P$722,(ROW()+IF(MOD(ROW()-3,2)=0,1,-1))-3+1)=""),0,MEDIAN(-MarginCap,MarginCap,($T93-$W93)-$AA93*HFA_Base))</f>
        <v>0</v>
      </c>
      <c r="AD93" s="2">
        <f t="shared" si="8"/>
        <v>0</v>
      </c>
      <c r="AE93" s="2">
        <f>IF(OR($M93="",$N93=""),0,IF(AND(WEpa&gt;0,$AD93=1),(1-WEpa)*$AB93+WEpa*$AC93,$AB93))</f>
        <v>0</v>
      </c>
      <c r="AF93" s="2">
        <f>IF(AND($C93&lt;&gt;"",$E93=CurrentSeason,$F93="REG",ISNUMBER($G93),$G93&lt;CurrentWeek,AND($M93&lt;&gt;"",$N93&lt;&gt;"")),1,0)</f>
        <v>0</v>
      </c>
      <c r="AG93" s="2">
        <f>IF($AF93=0,0,IF($G93&gt;=CurrentWeek-RecencyWin,RecencyMult,1))</f>
        <v>0</v>
      </c>
      <c r="AH93" s="2">
        <f>IF(AND($C93&lt;&gt;"",$E93=CurrentSeason,$F93="REG",ISNUMBER($G93),$G93&lt;CurrentWeek-1,AND($M93&lt;&gt;"",$N93&lt;&gt;"")),1,0)</f>
        <v>0</v>
      </c>
      <c r="AI93" s="2">
        <f>IF($AH93=0,0,IF($G93&gt;=CurrentWeek-1-RecencyWin,RecencyMult,1))</f>
        <v>0</v>
      </c>
      <c r="AJ93" s="2">
        <f>IF($AF93=0,0,IF($G93&gt;=CurrentWeek-RecencyWin,TotRecency,1))</f>
        <v>0</v>
      </c>
      <c r="AK93" s="2">
        <f t="shared" si="9"/>
        <v>0</v>
      </c>
      <c r="AL93" s="2">
        <f t="shared" si="10"/>
        <v>0</v>
      </c>
      <c r="AM93" s="2" t="str">
        <f t="array" ref="AM93">IF($K93="",0,IFERROR(INDEX(CALC!$F$2:$F$33,MATCH($K93,CALC!$A$2:$A$33,0)),0))</f>
        <v/>
      </c>
      <c r="AN93" s="2" t="str">
        <f t="array" ref="AN93">IF($K93="",0,IFERROR(INDEX(CALC!$I$2:$I$33,MATCH($K93,CALC!$A$2:$A$33,0)),0))</f>
        <v/>
      </c>
      <c r="AO93" s="2" t="str">
        <f t="array" ref="AO93">IF($K93="",0,IFERROR(INDEX(CALC!$L$2:$L$33,MATCH($K93,CALC!$A$2:$A$33,0)),0))</f>
        <v/>
      </c>
      <c r="AP93" s="2" t="str">
        <f t="array" ref="AP93">IF($K93="",0,IFERROR(INDEX(CALC!$T$2:$T$33,MATCH($K93,CALC!$A$2:$A$33,0)),0))</f>
        <v/>
      </c>
      <c r="AQ93" s="2" t="str">
        <f t="array" ref="AQ93">IF($K93="",0,IFERROR(INDEX(CALC!$W$2:$W$33,MATCH($K93,CALC!$A$2:$A$33,0)),0))</f>
        <v/>
      </c>
      <c r="AR93" s="2" t="str">
        <f t="array" ref="AR93">IF($K93="",0,IFERROR(INDEX(CALC!$Z$2:$Z$33,MATCH($K93,CALC!$A$2:$A$33,0)),0))</f>
        <v/>
      </c>
      <c r="AS93" s="2" t="str">
        <f t="array" ref="AS93">IF($K93="",0,IFERROR(INDEX(CALC!$AJ$2:$AJ$33,MATCH($K93,CALC!$A$2:$A$33,0)),0))</f>
        <v/>
      </c>
      <c r="AT93" s="2" t="str">
        <f t="array" ref="AT93">IF($K93="",0,IFERROR(INDEX(CALC!$AI$2:$AI$33,MATCH($K93,CALC!$A$2:$A$33,0)),0))</f>
        <v/>
      </c>
      <c r="AU93" s="2">
        <f t="shared" si="11"/>
        <v>0</v>
      </c>
      <c r="AV93" s="2">
        <f t="shared" si="12"/>
        <v>0</v>
      </c>
    </row>
    <row r="94" ht="15.0" customHeight="1">
      <c r="A94" s="2">
        <v>46.0</v>
      </c>
      <c r="B94" s="2" t="s">
        <v>2366</v>
      </c>
      <c r="C94" s="2">
        <f>IFERROR(MATCH($A94,SchedSeq,0),"")</f>
        <v>331</v>
      </c>
      <c r="D94" s="2" t="str">
        <f t="array" ref="D94">IF($C94="","",INDEX(SchedZone,$C94,MAP!$B$6))</f>
        <v>2026_03_LV_NO</v>
      </c>
      <c r="E94" s="2">
        <f t="array" ref="E94">IF($C94="","",INDEX(SchedZone,$C94,MAP!$B$3))</f>
        <v>2026</v>
      </c>
      <c r="F94" s="2" t="str">
        <f t="array" ref="F94">IF($C94="","",INDEX(SchedZone,$C94,MAP!$B$5))</f>
        <v>REG</v>
      </c>
      <c r="G94" s="2">
        <f t="array" ref="G94">IF($C94="","",INDEX(SchedZone,$C94,MAP!$B$4))</f>
        <v>3</v>
      </c>
      <c r="H94" s="2" t="str">
        <f t="array" ref="H94">IF($C94="","",INDEX(SchedZone,$C94,MAP!$B$10))</f>
        <v>LV</v>
      </c>
      <c r="I94" s="2" t="str">
        <f t="array" ref="I94">IF($H94="","",IF(COUNTIF(Teams,$H94)&gt;0,$H94,IFERROR(INDEX(LISTS!$D$2:$D$12,MATCH($H94,LISTS!$C$2:$C$12,0)),"⚠ "&amp;$H94)))</f>
        <v>LV</v>
      </c>
      <c r="J94" s="2" t="str">
        <f t="array" ref="J94">IF($C94="","",INDEX(SchedZone,$C94,MAP!$B$12))</f>
        <v>NO</v>
      </c>
      <c r="K94" s="2" t="str">
        <f t="array" ref="K94">IF($J94="","",IF(COUNTIF(Teams,$J94)&gt;0,$J94,IFERROR(INDEX(LISTS!$D$2:$D$12,MATCH($J94,LISTS!$C$2:$C$12,0)),"⚠ "&amp;$J94)))</f>
        <v>NO</v>
      </c>
      <c r="L94" s="2" t="str">
        <f t="array" ref="L94">IF($C94="","",IF(INDEX(SchedZone,$C94,MAP!$B$14)="Neutral","N",IF($B94="HOME","H","A")))</f>
        <v>A</v>
      </c>
      <c r="M94" s="2" t="str">
        <f t="array" ref="M94">IF($C94="","",IF(INDEX(SchedZone,$C94,MAP!$B$11)="","",INDEX(SchedZone,$C94,MAP!$B$11)))</f>
        <v/>
      </c>
      <c r="N94" s="2" t="str">
        <f t="array" ref="N94">IF($C94="","",IF(INDEX(SchedZone,$C94,MAP!$B$13)="","",INDEX(SchedZone,$C94,MAP!$B$13)))</f>
        <v/>
      </c>
      <c r="O94" s="2">
        <f t="array" ref="O94">IF($C94="","",INDEX(SchedZone,$C94,MAP!$B$15))</f>
        <v>7</v>
      </c>
      <c r="P94" s="2" t="str">
        <f>IF($C94="","",IFERROR(MATCH($E94&amp;"|"&amp;$G94&amp;"|"&amp;$I94,StatsKey,0),""))</f>
        <v/>
      </c>
      <c r="Q94" s="2">
        <f t="array" ref="Q94">IF($P94="",0,INDEX(StatsZone,$P94,MAP!$E$9)+INDEX(StatsZone,$P94,MAP!$E$10)+INDEX(StatsZone,$P94,MAP!$E$11))</f>
        <v>0</v>
      </c>
      <c r="R94" s="2">
        <f t="array" ref="R94">IF($P94="",0,INDEX(StatsZone,$P94,MAP!$E$12))</f>
        <v>0</v>
      </c>
      <c r="S94" s="2">
        <f t="array" ref="S94">IF($P94="",0,INDEX(StatsZone,$P94,MAP!$E$13))</f>
        <v>0</v>
      </c>
      <c r="T94" s="2">
        <f t="shared" si="1"/>
        <v>0</v>
      </c>
      <c r="U94" s="2">
        <f t="array" ref="U94">IF($P94="",0,INDEX(StatsZone,$P94,MAP!$E$14)+INDEX(StatsZone,$P94,MAP!$E$15)+INDEX(StatsZone,$P94,MAP!$E$16))</f>
        <v>0</v>
      </c>
      <c r="V94" s="2">
        <f t="shared" si="2"/>
        <v>0</v>
      </c>
      <c r="W94" s="2">
        <f t="shared" si="3"/>
        <v>0</v>
      </c>
      <c r="X94" s="2">
        <f t="shared" si="4"/>
        <v>0</v>
      </c>
      <c r="Y94" s="2">
        <f t="shared" si="5"/>
        <v>0</v>
      </c>
      <c r="Z94" s="2">
        <f t="shared" si="6"/>
        <v>0</v>
      </c>
      <c r="AA94" s="2">
        <f t="shared" si="7"/>
        <v>-1</v>
      </c>
      <c r="AB94" s="2">
        <f>IF(OR($M94="",$N94=""),0,MEDIAN(-MarginCap,MarginCap,($M94-$N94)-$AA94*HFA_Base))</f>
        <v>0</v>
      </c>
      <c r="AC94" s="2">
        <f t="array" ref="AC94">IF(OR($P94="",INDEX($P$3:$P$722,(ROW()+IF(MOD(ROW()-3,2)=0,1,-1))-3+1)=""),0,MEDIAN(-MarginCap,MarginCap,($T94-$W94)-$AA94*HFA_Base))</f>
        <v>0</v>
      </c>
      <c r="AD94" s="2">
        <f t="shared" si="8"/>
        <v>0</v>
      </c>
      <c r="AE94" s="2">
        <f>IF(OR($M94="",$N94=""),0,IF(AND(WEpa&gt;0,$AD94=1),(1-WEpa)*$AB94+WEpa*$AC94,$AB94))</f>
        <v>0</v>
      </c>
      <c r="AF94" s="2">
        <f>IF(AND($C94&lt;&gt;"",$E94=CurrentSeason,$F94="REG",ISNUMBER($G94),$G94&lt;CurrentWeek,AND($M94&lt;&gt;"",$N94&lt;&gt;"")),1,0)</f>
        <v>0</v>
      </c>
      <c r="AG94" s="2">
        <f>IF($AF94=0,0,IF($G94&gt;=CurrentWeek-RecencyWin,RecencyMult,1))</f>
        <v>0</v>
      </c>
      <c r="AH94" s="2">
        <f>IF(AND($C94&lt;&gt;"",$E94=CurrentSeason,$F94="REG",ISNUMBER($G94),$G94&lt;CurrentWeek-1,AND($M94&lt;&gt;"",$N94&lt;&gt;"")),1,0)</f>
        <v>0</v>
      </c>
      <c r="AI94" s="2">
        <f>IF($AH94=0,0,IF($G94&gt;=CurrentWeek-1-RecencyWin,RecencyMult,1))</f>
        <v>0</v>
      </c>
      <c r="AJ94" s="2">
        <f>IF($AF94=0,0,IF($G94&gt;=CurrentWeek-RecencyWin,TotRecency,1))</f>
        <v>0</v>
      </c>
      <c r="AK94" s="2">
        <f t="shared" si="9"/>
        <v>0</v>
      </c>
      <c r="AL94" s="2">
        <f t="shared" si="10"/>
        <v>0</v>
      </c>
      <c r="AM94" s="2" t="str">
        <f t="array" ref="AM94">IF($K94="",0,IFERROR(INDEX(CALC!$F$2:$F$33,MATCH($K94,CALC!$A$2:$A$33,0)),0))</f>
        <v/>
      </c>
      <c r="AN94" s="2" t="str">
        <f t="array" ref="AN94">IF($K94="",0,IFERROR(INDEX(CALC!$I$2:$I$33,MATCH($K94,CALC!$A$2:$A$33,0)),0))</f>
        <v/>
      </c>
      <c r="AO94" s="2" t="str">
        <f t="array" ref="AO94">IF($K94="",0,IFERROR(INDEX(CALC!$L$2:$L$33,MATCH($K94,CALC!$A$2:$A$33,0)),0))</f>
        <v/>
      </c>
      <c r="AP94" s="2" t="str">
        <f t="array" ref="AP94">IF($K94="",0,IFERROR(INDEX(CALC!$T$2:$T$33,MATCH($K94,CALC!$A$2:$A$33,0)),0))</f>
        <v/>
      </c>
      <c r="AQ94" s="2" t="str">
        <f t="array" ref="AQ94">IF($K94="",0,IFERROR(INDEX(CALC!$W$2:$W$33,MATCH($K94,CALC!$A$2:$A$33,0)),0))</f>
        <v/>
      </c>
      <c r="AR94" s="2" t="str">
        <f t="array" ref="AR94">IF($K94="",0,IFERROR(INDEX(CALC!$Z$2:$Z$33,MATCH($K94,CALC!$A$2:$A$33,0)),0))</f>
        <v/>
      </c>
      <c r="AS94" s="2" t="str">
        <f t="array" ref="AS94">IF($K94="",0,IFERROR(INDEX(CALC!$AJ$2:$AJ$33,MATCH($K94,CALC!$A$2:$A$33,0)),0))</f>
        <v/>
      </c>
      <c r="AT94" s="2" t="str">
        <f t="array" ref="AT94">IF($K94="",0,IFERROR(INDEX(CALC!$AI$2:$AI$33,MATCH($K94,CALC!$A$2:$A$33,0)),0))</f>
        <v/>
      </c>
      <c r="AU94" s="2">
        <f t="shared" si="11"/>
        <v>0</v>
      </c>
      <c r="AV94" s="2">
        <f t="shared" si="12"/>
        <v>0</v>
      </c>
    </row>
    <row r="95" ht="15.0" customHeight="1">
      <c r="A95" s="2">
        <v>47.0</v>
      </c>
      <c r="B95" s="2" t="s">
        <v>2365</v>
      </c>
      <c r="C95" s="2">
        <f>IFERROR(MATCH($A95,SchedSeq,0),"")</f>
        <v>332</v>
      </c>
      <c r="D95" s="2" t="str">
        <f t="array" ref="D95">IF($C95="","",INDEX(SchedZone,$C95,MAP!$B$6))</f>
        <v>2026_03_LA_DEN</v>
      </c>
      <c r="E95" s="2">
        <f t="array" ref="E95">IF($C95="","",INDEX(SchedZone,$C95,MAP!$B$3))</f>
        <v>2026</v>
      </c>
      <c r="F95" s="2" t="str">
        <f t="array" ref="F95">IF($C95="","",INDEX(SchedZone,$C95,MAP!$B$5))</f>
        <v>REG</v>
      </c>
      <c r="G95" s="2">
        <f t="array" ref="G95">IF($C95="","",INDEX(SchedZone,$C95,MAP!$B$4))</f>
        <v>3</v>
      </c>
      <c r="H95" s="2" t="str">
        <f t="array" ref="H95">IF($C95="","",INDEX(SchedZone,$C95,MAP!$B$12))</f>
        <v>DEN</v>
      </c>
      <c r="I95" s="2" t="str">
        <f t="array" ref="I95">IF($H95="","",IF(COUNTIF(Teams,$H95)&gt;0,$H95,IFERROR(INDEX(LISTS!$D$2:$D$12,MATCH($H95,LISTS!$C$2:$C$12,0)),"⚠ "&amp;$H95)))</f>
        <v>DEN</v>
      </c>
      <c r="J95" s="2" t="str">
        <f t="array" ref="J95">IF($C95="","",INDEX(SchedZone,$C95,MAP!$B$10))</f>
        <v>LA</v>
      </c>
      <c r="K95" s="2" t="str">
        <f t="array" ref="K95">IF($J95="","",IF(COUNTIF(Teams,$J95)&gt;0,$J95,IFERROR(INDEX(LISTS!$D$2:$D$12,MATCH($J95,LISTS!$C$2:$C$12,0)),"⚠ "&amp;$J95)))</f>
        <v>LA</v>
      </c>
      <c r="L95" s="2" t="str">
        <f t="array" ref="L95">IF($C95="","",IF(INDEX(SchedZone,$C95,MAP!$B$14)="Neutral","N",IF($B95="HOME","H","A")))</f>
        <v>H</v>
      </c>
      <c r="M95" s="2" t="str">
        <f t="array" ref="M95">IF($C95="","",IF(INDEX(SchedZone,$C95,MAP!$B$13)="","",INDEX(SchedZone,$C95,MAP!$B$13)))</f>
        <v/>
      </c>
      <c r="N95" s="2" t="str">
        <f t="array" ref="N95">IF($C95="","",IF(INDEX(SchedZone,$C95,MAP!$B$11)="","",INDEX(SchedZone,$C95,MAP!$B$11)))</f>
        <v/>
      </c>
      <c r="O95" s="2">
        <f t="array" ref="O95">IF($C95="","",INDEX(SchedZone,$C95,MAP!$B$16))</f>
        <v>7</v>
      </c>
      <c r="P95" s="2" t="str">
        <f>IF($C95="","",IFERROR(MATCH($E95&amp;"|"&amp;$G95&amp;"|"&amp;$I95,StatsKey,0),""))</f>
        <v/>
      </c>
      <c r="Q95" s="2">
        <f t="array" ref="Q95">IF($P95="",0,INDEX(StatsZone,$P95,MAP!$E$9)+INDEX(StatsZone,$P95,MAP!$E$10)+INDEX(StatsZone,$P95,MAP!$E$11))</f>
        <v>0</v>
      </c>
      <c r="R95" s="2">
        <f t="array" ref="R95">IF($P95="",0,INDEX(StatsZone,$P95,MAP!$E$12))</f>
        <v>0</v>
      </c>
      <c r="S95" s="2">
        <f t="array" ref="S95">IF($P95="",0,INDEX(StatsZone,$P95,MAP!$E$13))</f>
        <v>0</v>
      </c>
      <c r="T95" s="2">
        <f t="shared" si="1"/>
        <v>0</v>
      </c>
      <c r="U95" s="2">
        <f t="array" ref="U95">IF($P95="",0,INDEX(StatsZone,$P95,MAP!$E$14)+INDEX(StatsZone,$P95,MAP!$E$15)+INDEX(StatsZone,$P95,MAP!$E$16))</f>
        <v>0</v>
      </c>
      <c r="V95" s="2">
        <f t="shared" si="2"/>
        <v>0</v>
      </c>
      <c r="W95" s="2">
        <f t="shared" si="3"/>
        <v>0</v>
      </c>
      <c r="X95" s="2">
        <f t="shared" si="4"/>
        <v>0</v>
      </c>
      <c r="Y95" s="2">
        <f t="shared" si="5"/>
        <v>0</v>
      </c>
      <c r="Z95" s="2">
        <f t="shared" si="6"/>
        <v>0</v>
      </c>
      <c r="AA95" s="2">
        <f t="shared" si="7"/>
        <v>1</v>
      </c>
      <c r="AB95" s="2">
        <f>IF(OR($M95="",$N95=""),0,MEDIAN(-MarginCap,MarginCap,($M95-$N95)-$AA95*HFA_Base))</f>
        <v>0</v>
      </c>
      <c r="AC95" s="2">
        <f t="array" ref="AC95">IF(OR($P95="",INDEX($P$3:$P$722,(ROW()+IF(MOD(ROW()-3,2)=0,1,-1))-3+1)=""),0,MEDIAN(-MarginCap,MarginCap,($T95-$W95)-$AA95*HFA_Base))</f>
        <v>0</v>
      </c>
      <c r="AD95" s="2">
        <f t="shared" si="8"/>
        <v>0</v>
      </c>
      <c r="AE95" s="2">
        <f>IF(OR($M95="",$N95=""),0,IF(AND(WEpa&gt;0,$AD95=1),(1-WEpa)*$AB95+WEpa*$AC95,$AB95))</f>
        <v>0</v>
      </c>
      <c r="AF95" s="2">
        <f>IF(AND($C95&lt;&gt;"",$E95=CurrentSeason,$F95="REG",ISNUMBER($G95),$G95&lt;CurrentWeek,AND($M95&lt;&gt;"",$N95&lt;&gt;"")),1,0)</f>
        <v>0</v>
      </c>
      <c r="AG95" s="2">
        <f>IF($AF95=0,0,IF($G95&gt;=CurrentWeek-RecencyWin,RecencyMult,1))</f>
        <v>0</v>
      </c>
      <c r="AH95" s="2">
        <f>IF(AND($C95&lt;&gt;"",$E95=CurrentSeason,$F95="REG",ISNUMBER($G95),$G95&lt;CurrentWeek-1,AND($M95&lt;&gt;"",$N95&lt;&gt;"")),1,0)</f>
        <v>0</v>
      </c>
      <c r="AI95" s="2">
        <f>IF($AH95=0,0,IF($G95&gt;=CurrentWeek-1-RecencyWin,RecencyMult,1))</f>
        <v>0</v>
      </c>
      <c r="AJ95" s="2">
        <f>IF($AF95=0,0,IF($G95&gt;=CurrentWeek-RecencyWin,TotRecency,1))</f>
        <v>0</v>
      </c>
      <c r="AK95" s="2">
        <f t="shared" si="9"/>
        <v>0</v>
      </c>
      <c r="AL95" s="2">
        <f t="shared" si="10"/>
        <v>0</v>
      </c>
      <c r="AM95" s="2" t="str">
        <f t="array" ref="AM95">IF($K95="",0,IFERROR(INDEX(CALC!$F$2:$F$33,MATCH($K95,CALC!$A$2:$A$33,0)),0))</f>
        <v/>
      </c>
      <c r="AN95" s="2" t="str">
        <f t="array" ref="AN95">IF($K95="",0,IFERROR(INDEX(CALC!$I$2:$I$33,MATCH($K95,CALC!$A$2:$A$33,0)),0))</f>
        <v/>
      </c>
      <c r="AO95" s="2" t="str">
        <f t="array" ref="AO95">IF($K95="",0,IFERROR(INDEX(CALC!$L$2:$L$33,MATCH($K95,CALC!$A$2:$A$33,0)),0))</f>
        <v/>
      </c>
      <c r="AP95" s="2" t="str">
        <f t="array" ref="AP95">IF($K95="",0,IFERROR(INDEX(CALC!$T$2:$T$33,MATCH($K95,CALC!$A$2:$A$33,0)),0))</f>
        <v/>
      </c>
      <c r="AQ95" s="2" t="str">
        <f t="array" ref="AQ95">IF($K95="",0,IFERROR(INDEX(CALC!$W$2:$W$33,MATCH($K95,CALC!$A$2:$A$33,0)),0))</f>
        <v/>
      </c>
      <c r="AR95" s="2" t="str">
        <f t="array" ref="AR95">IF($K95="",0,IFERROR(INDEX(CALC!$Z$2:$Z$33,MATCH($K95,CALC!$A$2:$A$33,0)),0))</f>
        <v/>
      </c>
      <c r="AS95" s="2" t="str">
        <f t="array" ref="AS95">IF($K95="",0,IFERROR(INDEX(CALC!$AJ$2:$AJ$33,MATCH($K95,CALC!$A$2:$A$33,0)),0))</f>
        <v/>
      </c>
      <c r="AT95" s="2" t="str">
        <f t="array" ref="AT95">IF($K95="",0,IFERROR(INDEX(CALC!$AI$2:$AI$33,MATCH($K95,CALC!$A$2:$A$33,0)),0))</f>
        <v/>
      </c>
      <c r="AU95" s="2">
        <f t="shared" si="11"/>
        <v>0</v>
      </c>
      <c r="AV95" s="2">
        <f t="shared" si="12"/>
        <v>0</v>
      </c>
    </row>
    <row r="96" ht="15.0" customHeight="1">
      <c r="A96" s="2">
        <v>47.0</v>
      </c>
      <c r="B96" s="2" t="s">
        <v>2366</v>
      </c>
      <c r="C96" s="2">
        <f>IFERROR(MATCH($A96,SchedSeq,0),"")</f>
        <v>332</v>
      </c>
      <c r="D96" s="2" t="str">
        <f t="array" ref="D96">IF($C96="","",INDEX(SchedZone,$C96,MAP!$B$6))</f>
        <v>2026_03_LA_DEN</v>
      </c>
      <c r="E96" s="2">
        <f t="array" ref="E96">IF($C96="","",INDEX(SchedZone,$C96,MAP!$B$3))</f>
        <v>2026</v>
      </c>
      <c r="F96" s="2" t="str">
        <f t="array" ref="F96">IF($C96="","",INDEX(SchedZone,$C96,MAP!$B$5))</f>
        <v>REG</v>
      </c>
      <c r="G96" s="2">
        <f t="array" ref="G96">IF($C96="","",INDEX(SchedZone,$C96,MAP!$B$4))</f>
        <v>3</v>
      </c>
      <c r="H96" s="2" t="str">
        <f t="array" ref="H96">IF($C96="","",INDEX(SchedZone,$C96,MAP!$B$10))</f>
        <v>LA</v>
      </c>
      <c r="I96" s="2" t="str">
        <f t="array" ref="I96">IF($H96="","",IF(COUNTIF(Teams,$H96)&gt;0,$H96,IFERROR(INDEX(LISTS!$D$2:$D$12,MATCH($H96,LISTS!$C$2:$C$12,0)),"⚠ "&amp;$H96)))</f>
        <v>LA</v>
      </c>
      <c r="J96" s="2" t="str">
        <f t="array" ref="J96">IF($C96="","",INDEX(SchedZone,$C96,MAP!$B$12))</f>
        <v>DEN</v>
      </c>
      <c r="K96" s="2" t="str">
        <f t="array" ref="K96">IF($J96="","",IF(COUNTIF(Teams,$J96)&gt;0,$J96,IFERROR(INDEX(LISTS!$D$2:$D$12,MATCH($J96,LISTS!$C$2:$C$12,0)),"⚠ "&amp;$J96)))</f>
        <v>DEN</v>
      </c>
      <c r="L96" s="2" t="str">
        <f t="array" ref="L96">IF($C96="","",IF(INDEX(SchedZone,$C96,MAP!$B$14)="Neutral","N",IF($B96="HOME","H","A")))</f>
        <v>A</v>
      </c>
      <c r="M96" s="2" t="str">
        <f t="array" ref="M96">IF($C96="","",IF(INDEX(SchedZone,$C96,MAP!$B$11)="","",INDEX(SchedZone,$C96,MAP!$B$11)))</f>
        <v/>
      </c>
      <c r="N96" s="2" t="str">
        <f t="array" ref="N96">IF($C96="","",IF(INDEX(SchedZone,$C96,MAP!$B$13)="","",INDEX(SchedZone,$C96,MAP!$B$13)))</f>
        <v/>
      </c>
      <c r="O96" s="2">
        <f t="array" ref="O96">IF($C96="","",INDEX(SchedZone,$C96,MAP!$B$15))</f>
        <v>6</v>
      </c>
      <c r="P96" s="2" t="str">
        <f>IF($C96="","",IFERROR(MATCH($E96&amp;"|"&amp;$G96&amp;"|"&amp;$I96,StatsKey,0),""))</f>
        <v/>
      </c>
      <c r="Q96" s="2">
        <f t="array" ref="Q96">IF($P96="",0,INDEX(StatsZone,$P96,MAP!$E$9)+INDEX(StatsZone,$P96,MAP!$E$10)+INDEX(StatsZone,$P96,MAP!$E$11))</f>
        <v>0</v>
      </c>
      <c r="R96" s="2">
        <f t="array" ref="R96">IF($P96="",0,INDEX(StatsZone,$P96,MAP!$E$12))</f>
        <v>0</v>
      </c>
      <c r="S96" s="2">
        <f t="array" ref="S96">IF($P96="",0,INDEX(StatsZone,$P96,MAP!$E$13))</f>
        <v>0</v>
      </c>
      <c r="T96" s="2">
        <f t="shared" si="1"/>
        <v>0</v>
      </c>
      <c r="U96" s="2">
        <f t="array" ref="U96">IF($P96="",0,INDEX(StatsZone,$P96,MAP!$E$14)+INDEX(StatsZone,$P96,MAP!$E$15)+INDEX(StatsZone,$P96,MAP!$E$16))</f>
        <v>0</v>
      </c>
      <c r="V96" s="2">
        <f t="shared" si="2"/>
        <v>0</v>
      </c>
      <c r="W96" s="2">
        <f t="shared" si="3"/>
        <v>0</v>
      </c>
      <c r="X96" s="2">
        <f t="shared" si="4"/>
        <v>0</v>
      </c>
      <c r="Y96" s="2">
        <f t="shared" si="5"/>
        <v>0</v>
      </c>
      <c r="Z96" s="2">
        <f t="shared" si="6"/>
        <v>0</v>
      </c>
      <c r="AA96" s="2">
        <f t="shared" si="7"/>
        <v>-1</v>
      </c>
      <c r="AB96" s="2">
        <f>IF(OR($M96="",$N96=""),0,MEDIAN(-MarginCap,MarginCap,($M96-$N96)-$AA96*HFA_Base))</f>
        <v>0</v>
      </c>
      <c r="AC96" s="2">
        <f t="array" ref="AC96">IF(OR($P96="",INDEX($P$3:$P$722,(ROW()+IF(MOD(ROW()-3,2)=0,1,-1))-3+1)=""),0,MEDIAN(-MarginCap,MarginCap,($T96-$W96)-$AA96*HFA_Base))</f>
        <v>0</v>
      </c>
      <c r="AD96" s="2">
        <f t="shared" si="8"/>
        <v>0</v>
      </c>
      <c r="AE96" s="2">
        <f>IF(OR($M96="",$N96=""),0,IF(AND(WEpa&gt;0,$AD96=1),(1-WEpa)*$AB96+WEpa*$AC96,$AB96))</f>
        <v>0</v>
      </c>
      <c r="AF96" s="2">
        <f>IF(AND($C96&lt;&gt;"",$E96=CurrentSeason,$F96="REG",ISNUMBER($G96),$G96&lt;CurrentWeek,AND($M96&lt;&gt;"",$N96&lt;&gt;"")),1,0)</f>
        <v>0</v>
      </c>
      <c r="AG96" s="2">
        <f>IF($AF96=0,0,IF($G96&gt;=CurrentWeek-RecencyWin,RecencyMult,1))</f>
        <v>0</v>
      </c>
      <c r="AH96" s="2">
        <f>IF(AND($C96&lt;&gt;"",$E96=CurrentSeason,$F96="REG",ISNUMBER($G96),$G96&lt;CurrentWeek-1,AND($M96&lt;&gt;"",$N96&lt;&gt;"")),1,0)</f>
        <v>0</v>
      </c>
      <c r="AI96" s="2">
        <f>IF($AH96=0,0,IF($G96&gt;=CurrentWeek-1-RecencyWin,RecencyMult,1))</f>
        <v>0</v>
      </c>
      <c r="AJ96" s="2">
        <f>IF($AF96=0,0,IF($G96&gt;=CurrentWeek-RecencyWin,TotRecency,1))</f>
        <v>0</v>
      </c>
      <c r="AK96" s="2">
        <f t="shared" si="9"/>
        <v>0</v>
      </c>
      <c r="AL96" s="2">
        <f t="shared" si="10"/>
        <v>0</v>
      </c>
      <c r="AM96" s="2" t="str">
        <f t="array" ref="AM96">IF($K96="",0,IFERROR(INDEX(CALC!$F$2:$F$33,MATCH($K96,CALC!$A$2:$A$33,0)),0))</f>
        <v/>
      </c>
      <c r="AN96" s="2" t="str">
        <f t="array" ref="AN96">IF($K96="",0,IFERROR(INDEX(CALC!$I$2:$I$33,MATCH($K96,CALC!$A$2:$A$33,0)),0))</f>
        <v/>
      </c>
      <c r="AO96" s="2" t="str">
        <f t="array" ref="AO96">IF($K96="",0,IFERROR(INDEX(CALC!$L$2:$L$33,MATCH($K96,CALC!$A$2:$A$33,0)),0))</f>
        <v/>
      </c>
      <c r="AP96" s="2" t="str">
        <f t="array" ref="AP96">IF($K96="",0,IFERROR(INDEX(CALC!$T$2:$T$33,MATCH($K96,CALC!$A$2:$A$33,0)),0))</f>
        <v/>
      </c>
      <c r="AQ96" s="2" t="str">
        <f t="array" ref="AQ96">IF($K96="",0,IFERROR(INDEX(CALC!$W$2:$W$33,MATCH($K96,CALC!$A$2:$A$33,0)),0))</f>
        <v/>
      </c>
      <c r="AR96" s="2" t="str">
        <f t="array" ref="AR96">IF($K96="",0,IFERROR(INDEX(CALC!$Z$2:$Z$33,MATCH($K96,CALC!$A$2:$A$33,0)),0))</f>
        <v/>
      </c>
      <c r="AS96" s="2" t="str">
        <f t="array" ref="AS96">IF($K96="",0,IFERROR(INDEX(CALC!$AJ$2:$AJ$33,MATCH($K96,CALC!$A$2:$A$33,0)),0))</f>
        <v/>
      </c>
      <c r="AT96" s="2" t="str">
        <f t="array" ref="AT96">IF($K96="",0,IFERROR(INDEX(CALC!$AI$2:$AI$33,MATCH($K96,CALC!$A$2:$A$33,0)),0))</f>
        <v/>
      </c>
      <c r="AU96" s="2">
        <f t="shared" si="11"/>
        <v>0</v>
      </c>
      <c r="AV96" s="2">
        <f t="shared" si="12"/>
        <v>0</v>
      </c>
    </row>
    <row r="97" ht="15.0" customHeight="1">
      <c r="A97" s="2">
        <v>48.0</v>
      </c>
      <c r="B97" s="2" t="s">
        <v>2365</v>
      </c>
      <c r="C97" s="2">
        <f>IFERROR(MATCH($A97,SchedSeq,0),"")</f>
        <v>333</v>
      </c>
      <c r="D97" s="2" t="str">
        <f t="array" ref="D97">IF($C97="","",INDEX(SchedZone,$C97,MAP!$B$6))</f>
        <v>2026_03_PHI_CHI</v>
      </c>
      <c r="E97" s="2">
        <f t="array" ref="E97">IF($C97="","",INDEX(SchedZone,$C97,MAP!$B$3))</f>
        <v>2026</v>
      </c>
      <c r="F97" s="2" t="str">
        <f t="array" ref="F97">IF($C97="","",INDEX(SchedZone,$C97,MAP!$B$5))</f>
        <v>REG</v>
      </c>
      <c r="G97" s="2">
        <f t="array" ref="G97">IF($C97="","",INDEX(SchedZone,$C97,MAP!$B$4))</f>
        <v>3</v>
      </c>
      <c r="H97" s="2" t="str">
        <f t="array" ref="H97">IF($C97="","",INDEX(SchedZone,$C97,MAP!$B$12))</f>
        <v>CHI</v>
      </c>
      <c r="I97" s="2" t="str">
        <f t="array" ref="I97">IF($H97="","",IF(COUNTIF(Teams,$H97)&gt;0,$H97,IFERROR(INDEX(LISTS!$D$2:$D$12,MATCH($H97,LISTS!$C$2:$C$12,0)),"⚠ "&amp;$H97)))</f>
        <v>CHI</v>
      </c>
      <c r="J97" s="2" t="str">
        <f t="array" ref="J97">IF($C97="","",INDEX(SchedZone,$C97,MAP!$B$10))</f>
        <v>PHI</v>
      </c>
      <c r="K97" s="2" t="str">
        <f t="array" ref="K97">IF($J97="","",IF(COUNTIF(Teams,$J97)&gt;0,$J97,IFERROR(INDEX(LISTS!$D$2:$D$12,MATCH($J97,LISTS!$C$2:$C$12,0)),"⚠ "&amp;$J97)))</f>
        <v>PHI</v>
      </c>
      <c r="L97" s="2" t="str">
        <f t="array" ref="L97">IF($C97="","",IF(INDEX(SchedZone,$C97,MAP!$B$14)="Neutral","N",IF($B97="HOME","H","A")))</f>
        <v>H</v>
      </c>
      <c r="M97" s="2" t="str">
        <f t="array" ref="M97">IF($C97="","",IF(INDEX(SchedZone,$C97,MAP!$B$13)="","",INDEX(SchedZone,$C97,MAP!$B$13)))</f>
        <v/>
      </c>
      <c r="N97" s="2" t="str">
        <f t="array" ref="N97">IF($C97="","",IF(INDEX(SchedZone,$C97,MAP!$B$11)="","",INDEX(SchedZone,$C97,MAP!$B$11)))</f>
        <v/>
      </c>
      <c r="O97" s="2">
        <f t="array" ref="O97">IF($C97="","",INDEX(SchedZone,$C97,MAP!$B$16))</f>
        <v>8</v>
      </c>
      <c r="P97" s="2" t="str">
        <f>IF($C97="","",IFERROR(MATCH($E97&amp;"|"&amp;$G97&amp;"|"&amp;$I97,StatsKey,0),""))</f>
        <v/>
      </c>
      <c r="Q97" s="2">
        <f t="array" ref="Q97">IF($P97="",0,INDEX(StatsZone,$P97,MAP!$E$9)+INDEX(StatsZone,$P97,MAP!$E$10)+INDEX(StatsZone,$P97,MAP!$E$11))</f>
        <v>0</v>
      </c>
      <c r="R97" s="2">
        <f t="array" ref="R97">IF($P97="",0,INDEX(StatsZone,$P97,MAP!$E$12))</f>
        <v>0</v>
      </c>
      <c r="S97" s="2">
        <f t="array" ref="S97">IF($P97="",0,INDEX(StatsZone,$P97,MAP!$E$13))</f>
        <v>0</v>
      </c>
      <c r="T97" s="2">
        <f t="shared" si="1"/>
        <v>0</v>
      </c>
      <c r="U97" s="2">
        <f t="array" ref="U97">IF($P97="",0,INDEX(StatsZone,$P97,MAP!$E$14)+INDEX(StatsZone,$P97,MAP!$E$15)+INDEX(StatsZone,$P97,MAP!$E$16))</f>
        <v>0</v>
      </c>
      <c r="V97" s="2">
        <f t="shared" si="2"/>
        <v>0</v>
      </c>
      <c r="W97" s="2">
        <f t="shared" si="3"/>
        <v>0</v>
      </c>
      <c r="X97" s="2">
        <f t="shared" si="4"/>
        <v>0</v>
      </c>
      <c r="Y97" s="2">
        <f t="shared" si="5"/>
        <v>0</v>
      </c>
      <c r="Z97" s="2">
        <f t="shared" si="6"/>
        <v>0</v>
      </c>
      <c r="AA97" s="2">
        <f t="shared" si="7"/>
        <v>1</v>
      </c>
      <c r="AB97" s="2">
        <f>IF(OR($M97="",$N97=""),0,MEDIAN(-MarginCap,MarginCap,($M97-$N97)-$AA97*HFA_Base))</f>
        <v>0</v>
      </c>
      <c r="AC97" s="2">
        <f t="array" ref="AC97">IF(OR($P97="",INDEX($P$3:$P$722,(ROW()+IF(MOD(ROW()-3,2)=0,1,-1))-3+1)=""),0,MEDIAN(-MarginCap,MarginCap,($T97-$W97)-$AA97*HFA_Base))</f>
        <v>0</v>
      </c>
      <c r="AD97" s="2">
        <f t="shared" si="8"/>
        <v>0</v>
      </c>
      <c r="AE97" s="2">
        <f>IF(OR($M97="",$N97=""),0,IF(AND(WEpa&gt;0,$AD97=1),(1-WEpa)*$AB97+WEpa*$AC97,$AB97))</f>
        <v>0</v>
      </c>
      <c r="AF97" s="2">
        <f>IF(AND($C97&lt;&gt;"",$E97=CurrentSeason,$F97="REG",ISNUMBER($G97),$G97&lt;CurrentWeek,AND($M97&lt;&gt;"",$N97&lt;&gt;"")),1,0)</f>
        <v>0</v>
      </c>
      <c r="AG97" s="2">
        <f>IF($AF97=0,0,IF($G97&gt;=CurrentWeek-RecencyWin,RecencyMult,1))</f>
        <v>0</v>
      </c>
      <c r="AH97" s="2">
        <f>IF(AND($C97&lt;&gt;"",$E97=CurrentSeason,$F97="REG",ISNUMBER($G97),$G97&lt;CurrentWeek-1,AND($M97&lt;&gt;"",$N97&lt;&gt;"")),1,0)</f>
        <v>0</v>
      </c>
      <c r="AI97" s="2">
        <f>IF($AH97=0,0,IF($G97&gt;=CurrentWeek-1-RecencyWin,RecencyMult,1))</f>
        <v>0</v>
      </c>
      <c r="AJ97" s="2">
        <f>IF($AF97=0,0,IF($G97&gt;=CurrentWeek-RecencyWin,TotRecency,1))</f>
        <v>0</v>
      </c>
      <c r="AK97" s="2">
        <f t="shared" si="9"/>
        <v>0</v>
      </c>
      <c r="AL97" s="2">
        <f t="shared" si="10"/>
        <v>0</v>
      </c>
      <c r="AM97" s="2" t="str">
        <f t="array" ref="AM97">IF($K97="",0,IFERROR(INDEX(CALC!$F$2:$F$33,MATCH($K97,CALC!$A$2:$A$33,0)),0))</f>
        <v/>
      </c>
      <c r="AN97" s="2" t="str">
        <f t="array" ref="AN97">IF($K97="",0,IFERROR(INDEX(CALC!$I$2:$I$33,MATCH($K97,CALC!$A$2:$A$33,0)),0))</f>
        <v/>
      </c>
      <c r="AO97" s="2" t="str">
        <f t="array" ref="AO97">IF($K97="",0,IFERROR(INDEX(CALC!$L$2:$L$33,MATCH($K97,CALC!$A$2:$A$33,0)),0))</f>
        <v/>
      </c>
      <c r="AP97" s="2" t="str">
        <f t="array" ref="AP97">IF($K97="",0,IFERROR(INDEX(CALC!$T$2:$T$33,MATCH($K97,CALC!$A$2:$A$33,0)),0))</f>
        <v/>
      </c>
      <c r="AQ97" s="2" t="str">
        <f t="array" ref="AQ97">IF($K97="",0,IFERROR(INDEX(CALC!$W$2:$W$33,MATCH($K97,CALC!$A$2:$A$33,0)),0))</f>
        <v/>
      </c>
      <c r="AR97" s="2" t="str">
        <f t="array" ref="AR97">IF($K97="",0,IFERROR(INDEX(CALC!$Z$2:$Z$33,MATCH($K97,CALC!$A$2:$A$33,0)),0))</f>
        <v/>
      </c>
      <c r="AS97" s="2" t="str">
        <f t="array" ref="AS97">IF($K97="",0,IFERROR(INDEX(CALC!$AJ$2:$AJ$33,MATCH($K97,CALC!$A$2:$A$33,0)),0))</f>
        <v/>
      </c>
      <c r="AT97" s="2" t="str">
        <f t="array" ref="AT97">IF($K97="",0,IFERROR(INDEX(CALC!$AI$2:$AI$33,MATCH($K97,CALC!$A$2:$A$33,0)),0))</f>
        <v/>
      </c>
      <c r="AU97" s="2">
        <f t="shared" si="11"/>
        <v>0</v>
      </c>
      <c r="AV97" s="2">
        <f t="shared" si="12"/>
        <v>0</v>
      </c>
    </row>
    <row r="98" ht="15.0" customHeight="1">
      <c r="A98" s="2">
        <v>48.0</v>
      </c>
      <c r="B98" s="2" t="s">
        <v>2366</v>
      </c>
      <c r="C98" s="2">
        <f>IFERROR(MATCH($A98,SchedSeq,0),"")</f>
        <v>333</v>
      </c>
      <c r="D98" s="2" t="str">
        <f t="array" ref="D98">IF($C98="","",INDEX(SchedZone,$C98,MAP!$B$6))</f>
        <v>2026_03_PHI_CHI</v>
      </c>
      <c r="E98" s="2">
        <f t="array" ref="E98">IF($C98="","",INDEX(SchedZone,$C98,MAP!$B$3))</f>
        <v>2026</v>
      </c>
      <c r="F98" s="2" t="str">
        <f t="array" ref="F98">IF($C98="","",INDEX(SchedZone,$C98,MAP!$B$5))</f>
        <v>REG</v>
      </c>
      <c r="G98" s="2">
        <f t="array" ref="G98">IF($C98="","",INDEX(SchedZone,$C98,MAP!$B$4))</f>
        <v>3</v>
      </c>
      <c r="H98" s="2" t="str">
        <f t="array" ref="H98">IF($C98="","",INDEX(SchedZone,$C98,MAP!$B$10))</f>
        <v>PHI</v>
      </c>
      <c r="I98" s="2" t="str">
        <f t="array" ref="I98">IF($H98="","",IF(COUNTIF(Teams,$H98)&gt;0,$H98,IFERROR(INDEX(LISTS!$D$2:$D$12,MATCH($H98,LISTS!$C$2:$C$12,0)),"⚠ "&amp;$H98)))</f>
        <v>PHI</v>
      </c>
      <c r="J98" s="2" t="str">
        <f t="array" ref="J98">IF($C98="","",INDEX(SchedZone,$C98,MAP!$B$12))</f>
        <v>CHI</v>
      </c>
      <c r="K98" s="2" t="str">
        <f t="array" ref="K98">IF($J98="","",IF(COUNTIF(Teams,$J98)&gt;0,$J98,IFERROR(INDEX(LISTS!$D$2:$D$12,MATCH($J98,LISTS!$C$2:$C$12,0)),"⚠ "&amp;$J98)))</f>
        <v>CHI</v>
      </c>
      <c r="L98" s="2" t="str">
        <f t="array" ref="L98">IF($C98="","",IF(INDEX(SchedZone,$C98,MAP!$B$14)="Neutral","N",IF($B98="HOME","H","A")))</f>
        <v>A</v>
      </c>
      <c r="M98" s="2" t="str">
        <f t="array" ref="M98">IF($C98="","",IF(INDEX(SchedZone,$C98,MAP!$B$11)="","",INDEX(SchedZone,$C98,MAP!$B$11)))</f>
        <v/>
      </c>
      <c r="N98" s="2" t="str">
        <f t="array" ref="N98">IF($C98="","",IF(INDEX(SchedZone,$C98,MAP!$B$13)="","",INDEX(SchedZone,$C98,MAP!$B$13)))</f>
        <v/>
      </c>
      <c r="O98" s="2">
        <f t="array" ref="O98">IF($C98="","",INDEX(SchedZone,$C98,MAP!$B$15))</f>
        <v>8</v>
      </c>
      <c r="P98" s="2" t="str">
        <f>IF($C98="","",IFERROR(MATCH($E98&amp;"|"&amp;$G98&amp;"|"&amp;$I98,StatsKey,0),""))</f>
        <v/>
      </c>
      <c r="Q98" s="2">
        <f t="array" ref="Q98">IF($P98="",0,INDEX(StatsZone,$P98,MAP!$E$9)+INDEX(StatsZone,$P98,MAP!$E$10)+INDEX(StatsZone,$P98,MAP!$E$11))</f>
        <v>0</v>
      </c>
      <c r="R98" s="2">
        <f t="array" ref="R98">IF($P98="",0,INDEX(StatsZone,$P98,MAP!$E$12))</f>
        <v>0</v>
      </c>
      <c r="S98" s="2">
        <f t="array" ref="S98">IF($P98="",0,INDEX(StatsZone,$P98,MAP!$E$13))</f>
        <v>0</v>
      </c>
      <c r="T98" s="2">
        <f t="shared" si="1"/>
        <v>0</v>
      </c>
      <c r="U98" s="2">
        <f t="array" ref="U98">IF($P98="",0,INDEX(StatsZone,$P98,MAP!$E$14)+INDEX(StatsZone,$P98,MAP!$E$15)+INDEX(StatsZone,$P98,MAP!$E$16))</f>
        <v>0</v>
      </c>
      <c r="V98" s="2">
        <f t="shared" si="2"/>
        <v>0</v>
      </c>
      <c r="W98" s="2">
        <f t="shared" si="3"/>
        <v>0</v>
      </c>
      <c r="X98" s="2">
        <f t="shared" si="4"/>
        <v>0</v>
      </c>
      <c r="Y98" s="2">
        <f t="shared" si="5"/>
        <v>0</v>
      </c>
      <c r="Z98" s="2">
        <f t="shared" si="6"/>
        <v>0</v>
      </c>
      <c r="AA98" s="2">
        <f t="shared" si="7"/>
        <v>-1</v>
      </c>
      <c r="AB98" s="2">
        <f>IF(OR($M98="",$N98=""),0,MEDIAN(-MarginCap,MarginCap,($M98-$N98)-$AA98*HFA_Base))</f>
        <v>0</v>
      </c>
      <c r="AC98" s="2">
        <f t="array" ref="AC98">IF(OR($P98="",INDEX($P$3:$P$722,(ROW()+IF(MOD(ROW()-3,2)=0,1,-1))-3+1)=""),0,MEDIAN(-MarginCap,MarginCap,($T98-$W98)-$AA98*HFA_Base))</f>
        <v>0</v>
      </c>
      <c r="AD98" s="2">
        <f t="shared" si="8"/>
        <v>0</v>
      </c>
      <c r="AE98" s="2">
        <f>IF(OR($M98="",$N98=""),0,IF(AND(WEpa&gt;0,$AD98=1),(1-WEpa)*$AB98+WEpa*$AC98,$AB98))</f>
        <v>0</v>
      </c>
      <c r="AF98" s="2">
        <f>IF(AND($C98&lt;&gt;"",$E98=CurrentSeason,$F98="REG",ISNUMBER($G98),$G98&lt;CurrentWeek,AND($M98&lt;&gt;"",$N98&lt;&gt;"")),1,0)</f>
        <v>0</v>
      </c>
      <c r="AG98" s="2">
        <f>IF($AF98=0,0,IF($G98&gt;=CurrentWeek-RecencyWin,RecencyMult,1))</f>
        <v>0</v>
      </c>
      <c r="AH98" s="2">
        <f>IF(AND($C98&lt;&gt;"",$E98=CurrentSeason,$F98="REG",ISNUMBER($G98),$G98&lt;CurrentWeek-1,AND($M98&lt;&gt;"",$N98&lt;&gt;"")),1,0)</f>
        <v>0</v>
      </c>
      <c r="AI98" s="2">
        <f>IF($AH98=0,0,IF($G98&gt;=CurrentWeek-1-RecencyWin,RecencyMult,1))</f>
        <v>0</v>
      </c>
      <c r="AJ98" s="2">
        <f>IF($AF98=0,0,IF($G98&gt;=CurrentWeek-RecencyWin,TotRecency,1))</f>
        <v>0</v>
      </c>
      <c r="AK98" s="2">
        <f t="shared" si="9"/>
        <v>0</v>
      </c>
      <c r="AL98" s="2">
        <f t="shared" si="10"/>
        <v>0</v>
      </c>
      <c r="AM98" s="2" t="str">
        <f t="array" ref="AM98">IF($K98="",0,IFERROR(INDEX(CALC!$F$2:$F$33,MATCH($K98,CALC!$A$2:$A$33,0)),0))</f>
        <v/>
      </c>
      <c r="AN98" s="2" t="str">
        <f t="array" ref="AN98">IF($K98="",0,IFERROR(INDEX(CALC!$I$2:$I$33,MATCH($K98,CALC!$A$2:$A$33,0)),0))</f>
        <v/>
      </c>
      <c r="AO98" s="2" t="str">
        <f t="array" ref="AO98">IF($K98="",0,IFERROR(INDEX(CALC!$L$2:$L$33,MATCH($K98,CALC!$A$2:$A$33,0)),0))</f>
        <v/>
      </c>
      <c r="AP98" s="2" t="str">
        <f t="array" ref="AP98">IF($K98="",0,IFERROR(INDEX(CALC!$T$2:$T$33,MATCH($K98,CALC!$A$2:$A$33,0)),0))</f>
        <v/>
      </c>
      <c r="AQ98" s="2" t="str">
        <f t="array" ref="AQ98">IF($K98="",0,IFERROR(INDEX(CALC!$W$2:$W$33,MATCH($K98,CALC!$A$2:$A$33,0)),0))</f>
        <v/>
      </c>
      <c r="AR98" s="2" t="str">
        <f t="array" ref="AR98">IF($K98="",0,IFERROR(INDEX(CALC!$Z$2:$Z$33,MATCH($K98,CALC!$A$2:$A$33,0)),0))</f>
        <v/>
      </c>
      <c r="AS98" s="2" t="str">
        <f t="array" ref="AS98">IF($K98="",0,IFERROR(INDEX(CALC!$AJ$2:$AJ$33,MATCH($K98,CALC!$A$2:$A$33,0)),0))</f>
        <v/>
      </c>
      <c r="AT98" s="2" t="str">
        <f t="array" ref="AT98">IF($K98="",0,IFERROR(INDEX(CALC!$AI$2:$AI$33,MATCH($K98,CALC!$A$2:$A$33,0)),0))</f>
        <v/>
      </c>
      <c r="AU98" s="2">
        <f t="shared" si="11"/>
        <v>0</v>
      </c>
      <c r="AV98" s="2">
        <f t="shared" si="12"/>
        <v>0</v>
      </c>
    </row>
    <row r="99" ht="15.0" customHeight="1">
      <c r="A99" s="2">
        <v>49.0</v>
      </c>
      <c r="B99" s="2" t="s">
        <v>2365</v>
      </c>
      <c r="C99" s="2">
        <f>IFERROR(MATCH($A99,SchedSeq,0),"")</f>
        <v>334</v>
      </c>
      <c r="D99" s="2" t="str">
        <f t="array" ref="D99">IF($C99="","",INDEX(SchedZone,$C99,MAP!$B$6))</f>
        <v>2026_04_PIT_CLE</v>
      </c>
      <c r="E99" s="2">
        <f t="array" ref="E99">IF($C99="","",INDEX(SchedZone,$C99,MAP!$B$3))</f>
        <v>2026</v>
      </c>
      <c r="F99" s="2" t="str">
        <f t="array" ref="F99">IF($C99="","",INDEX(SchedZone,$C99,MAP!$B$5))</f>
        <v>REG</v>
      </c>
      <c r="G99" s="2">
        <f t="array" ref="G99">IF($C99="","",INDEX(SchedZone,$C99,MAP!$B$4))</f>
        <v>4</v>
      </c>
      <c r="H99" s="2" t="str">
        <f t="array" ref="H99">IF($C99="","",INDEX(SchedZone,$C99,MAP!$B$12))</f>
        <v>CLE</v>
      </c>
      <c r="I99" s="2" t="str">
        <f t="array" ref="I99">IF($H99="","",IF(COUNTIF(Teams,$H99)&gt;0,$H99,IFERROR(INDEX(LISTS!$D$2:$D$12,MATCH($H99,LISTS!$C$2:$C$12,0)),"⚠ "&amp;$H99)))</f>
        <v>CLE</v>
      </c>
      <c r="J99" s="2" t="str">
        <f t="array" ref="J99">IF($C99="","",INDEX(SchedZone,$C99,MAP!$B$10))</f>
        <v>PIT</v>
      </c>
      <c r="K99" s="2" t="str">
        <f t="array" ref="K99">IF($J99="","",IF(COUNTIF(Teams,$J99)&gt;0,$J99,IFERROR(INDEX(LISTS!$D$2:$D$12,MATCH($J99,LISTS!$C$2:$C$12,0)),"⚠ "&amp;$J99)))</f>
        <v>PIT</v>
      </c>
      <c r="L99" s="2" t="str">
        <f t="array" ref="L99">IF($C99="","",IF(INDEX(SchedZone,$C99,MAP!$B$14)="Neutral","N",IF($B99="HOME","H","A")))</f>
        <v>H</v>
      </c>
      <c r="M99" s="2" t="str">
        <f t="array" ref="M99">IF($C99="","",IF(INDEX(SchedZone,$C99,MAP!$B$13)="","",INDEX(SchedZone,$C99,MAP!$B$13)))</f>
        <v/>
      </c>
      <c r="N99" s="2" t="str">
        <f t="array" ref="N99">IF($C99="","",IF(INDEX(SchedZone,$C99,MAP!$B$11)="","",INDEX(SchedZone,$C99,MAP!$B$11)))</f>
        <v/>
      </c>
      <c r="O99" s="2">
        <f t="array" ref="O99">IF($C99="","",INDEX(SchedZone,$C99,MAP!$B$16))</f>
        <v>4</v>
      </c>
      <c r="P99" s="2" t="str">
        <f>IF($C99="","",IFERROR(MATCH($E99&amp;"|"&amp;$G99&amp;"|"&amp;$I99,StatsKey,0),""))</f>
        <v/>
      </c>
      <c r="Q99" s="2">
        <f t="array" ref="Q99">IF($P99="",0,INDEX(StatsZone,$P99,MAP!$E$9)+INDEX(StatsZone,$P99,MAP!$E$10)+INDEX(StatsZone,$P99,MAP!$E$11))</f>
        <v>0</v>
      </c>
      <c r="R99" s="2">
        <f t="array" ref="R99">IF($P99="",0,INDEX(StatsZone,$P99,MAP!$E$12))</f>
        <v>0</v>
      </c>
      <c r="S99" s="2">
        <f t="array" ref="S99">IF($P99="",0,INDEX(StatsZone,$P99,MAP!$E$13))</f>
        <v>0</v>
      </c>
      <c r="T99" s="2">
        <f t="shared" si="1"/>
        <v>0</v>
      </c>
      <c r="U99" s="2">
        <f t="array" ref="U99">IF($P99="",0,INDEX(StatsZone,$P99,MAP!$E$14)+INDEX(StatsZone,$P99,MAP!$E$15)+INDEX(StatsZone,$P99,MAP!$E$16))</f>
        <v>0</v>
      </c>
      <c r="V99" s="2">
        <f t="shared" si="2"/>
        <v>0</v>
      </c>
      <c r="W99" s="2">
        <f t="shared" si="3"/>
        <v>0</v>
      </c>
      <c r="X99" s="2">
        <f t="shared" si="4"/>
        <v>0</v>
      </c>
      <c r="Y99" s="2">
        <f t="shared" si="5"/>
        <v>0</v>
      </c>
      <c r="Z99" s="2">
        <f t="shared" si="6"/>
        <v>0</v>
      </c>
      <c r="AA99" s="2">
        <f t="shared" si="7"/>
        <v>1</v>
      </c>
      <c r="AB99" s="2">
        <f>IF(OR($M99="",$N99=""),0,MEDIAN(-MarginCap,MarginCap,($M99-$N99)-$AA99*HFA_Base))</f>
        <v>0</v>
      </c>
      <c r="AC99" s="2">
        <f t="array" ref="AC99">IF(OR($P99="",INDEX($P$3:$P$722,(ROW()+IF(MOD(ROW()-3,2)=0,1,-1))-3+1)=""),0,MEDIAN(-MarginCap,MarginCap,($T99-$W99)-$AA99*HFA_Base))</f>
        <v>0</v>
      </c>
      <c r="AD99" s="2">
        <f t="shared" si="8"/>
        <v>0</v>
      </c>
      <c r="AE99" s="2">
        <f>IF(OR($M99="",$N99=""),0,IF(AND(WEpa&gt;0,$AD99=1),(1-WEpa)*$AB99+WEpa*$AC99,$AB99))</f>
        <v>0</v>
      </c>
      <c r="AF99" s="2">
        <f>IF(AND($C99&lt;&gt;"",$E99=CurrentSeason,$F99="REG",ISNUMBER($G99),$G99&lt;CurrentWeek,AND($M99&lt;&gt;"",$N99&lt;&gt;"")),1,0)</f>
        <v>0</v>
      </c>
      <c r="AG99" s="2">
        <f>IF($AF99=0,0,IF($G99&gt;=CurrentWeek-RecencyWin,RecencyMult,1))</f>
        <v>0</v>
      </c>
      <c r="AH99" s="2">
        <f>IF(AND($C99&lt;&gt;"",$E99=CurrentSeason,$F99="REG",ISNUMBER($G99),$G99&lt;CurrentWeek-1,AND($M99&lt;&gt;"",$N99&lt;&gt;"")),1,0)</f>
        <v>0</v>
      </c>
      <c r="AI99" s="2">
        <f>IF($AH99=0,0,IF($G99&gt;=CurrentWeek-1-RecencyWin,RecencyMult,1))</f>
        <v>0</v>
      </c>
      <c r="AJ99" s="2">
        <f>IF($AF99=0,0,IF($G99&gt;=CurrentWeek-RecencyWin,TotRecency,1))</f>
        <v>0</v>
      </c>
      <c r="AK99" s="2">
        <f t="shared" si="9"/>
        <v>0</v>
      </c>
      <c r="AL99" s="2">
        <f t="shared" si="10"/>
        <v>0</v>
      </c>
      <c r="AM99" s="2" t="str">
        <f t="array" ref="AM99">IF($K99="",0,IFERROR(INDEX(CALC!$F$2:$F$33,MATCH($K99,CALC!$A$2:$A$33,0)),0))</f>
        <v/>
      </c>
      <c r="AN99" s="2" t="str">
        <f t="array" ref="AN99">IF($K99="",0,IFERROR(INDEX(CALC!$I$2:$I$33,MATCH($K99,CALC!$A$2:$A$33,0)),0))</f>
        <v/>
      </c>
      <c r="AO99" s="2" t="str">
        <f t="array" ref="AO99">IF($K99="",0,IFERROR(INDEX(CALC!$L$2:$L$33,MATCH($K99,CALC!$A$2:$A$33,0)),0))</f>
        <v/>
      </c>
      <c r="AP99" s="2" t="str">
        <f t="array" ref="AP99">IF($K99="",0,IFERROR(INDEX(CALC!$T$2:$T$33,MATCH($K99,CALC!$A$2:$A$33,0)),0))</f>
        <v/>
      </c>
      <c r="AQ99" s="2" t="str">
        <f t="array" ref="AQ99">IF($K99="",0,IFERROR(INDEX(CALC!$W$2:$W$33,MATCH($K99,CALC!$A$2:$A$33,0)),0))</f>
        <v/>
      </c>
      <c r="AR99" s="2" t="str">
        <f t="array" ref="AR99">IF($K99="",0,IFERROR(INDEX(CALC!$Z$2:$Z$33,MATCH($K99,CALC!$A$2:$A$33,0)),0))</f>
        <v/>
      </c>
      <c r="AS99" s="2" t="str">
        <f t="array" ref="AS99">IF($K99="",0,IFERROR(INDEX(CALC!$AJ$2:$AJ$33,MATCH($K99,CALC!$A$2:$A$33,0)),0))</f>
        <v/>
      </c>
      <c r="AT99" s="2" t="str">
        <f t="array" ref="AT99">IF($K99="",0,IFERROR(INDEX(CALC!$AI$2:$AI$33,MATCH($K99,CALC!$A$2:$A$33,0)),0))</f>
        <v/>
      </c>
      <c r="AU99" s="2">
        <f t="shared" si="11"/>
        <v>0</v>
      </c>
      <c r="AV99" s="2">
        <f t="shared" si="12"/>
        <v>0</v>
      </c>
    </row>
    <row r="100" ht="15.0" customHeight="1">
      <c r="A100" s="2">
        <v>49.0</v>
      </c>
      <c r="B100" s="2" t="s">
        <v>2366</v>
      </c>
      <c r="C100" s="2">
        <f>IFERROR(MATCH($A100,SchedSeq,0),"")</f>
        <v>334</v>
      </c>
      <c r="D100" s="2" t="str">
        <f t="array" ref="D100">IF($C100="","",INDEX(SchedZone,$C100,MAP!$B$6))</f>
        <v>2026_04_PIT_CLE</v>
      </c>
      <c r="E100" s="2">
        <f t="array" ref="E100">IF($C100="","",INDEX(SchedZone,$C100,MAP!$B$3))</f>
        <v>2026</v>
      </c>
      <c r="F100" s="2" t="str">
        <f t="array" ref="F100">IF($C100="","",INDEX(SchedZone,$C100,MAP!$B$5))</f>
        <v>REG</v>
      </c>
      <c r="G100" s="2">
        <f t="array" ref="G100">IF($C100="","",INDEX(SchedZone,$C100,MAP!$B$4))</f>
        <v>4</v>
      </c>
      <c r="H100" s="2" t="str">
        <f t="array" ref="H100">IF($C100="","",INDEX(SchedZone,$C100,MAP!$B$10))</f>
        <v>PIT</v>
      </c>
      <c r="I100" s="2" t="str">
        <f t="array" ref="I100">IF($H100="","",IF(COUNTIF(Teams,$H100)&gt;0,$H100,IFERROR(INDEX(LISTS!$D$2:$D$12,MATCH($H100,LISTS!$C$2:$C$12,0)),"⚠ "&amp;$H100)))</f>
        <v>PIT</v>
      </c>
      <c r="J100" s="2" t="str">
        <f t="array" ref="J100">IF($C100="","",INDEX(SchedZone,$C100,MAP!$B$12))</f>
        <v>CLE</v>
      </c>
      <c r="K100" s="2" t="str">
        <f t="array" ref="K100">IF($J100="","",IF(COUNTIF(Teams,$J100)&gt;0,$J100,IFERROR(INDEX(LISTS!$D$2:$D$12,MATCH($J100,LISTS!$C$2:$C$12,0)),"⚠ "&amp;$J100)))</f>
        <v>CLE</v>
      </c>
      <c r="L100" s="2" t="str">
        <f t="array" ref="L100">IF($C100="","",IF(INDEX(SchedZone,$C100,MAP!$B$14)="Neutral","N",IF($B100="HOME","H","A")))</f>
        <v>A</v>
      </c>
      <c r="M100" s="2" t="str">
        <f t="array" ref="M100">IF($C100="","",IF(INDEX(SchedZone,$C100,MAP!$B$11)="","",INDEX(SchedZone,$C100,MAP!$B$11)))</f>
        <v/>
      </c>
      <c r="N100" s="2" t="str">
        <f t="array" ref="N100">IF($C100="","",IF(INDEX(SchedZone,$C100,MAP!$B$13)="","",INDEX(SchedZone,$C100,MAP!$B$13)))</f>
        <v/>
      </c>
      <c r="O100" s="2">
        <f t="array" ref="O100">IF($C100="","",INDEX(SchedZone,$C100,MAP!$B$15))</f>
        <v>4</v>
      </c>
      <c r="P100" s="2" t="str">
        <f>IF($C100="","",IFERROR(MATCH($E100&amp;"|"&amp;$G100&amp;"|"&amp;$I100,StatsKey,0),""))</f>
        <v/>
      </c>
      <c r="Q100" s="2">
        <f t="array" ref="Q100">IF($P100="",0,INDEX(StatsZone,$P100,MAP!$E$9)+INDEX(StatsZone,$P100,MAP!$E$10)+INDEX(StatsZone,$P100,MAP!$E$11))</f>
        <v>0</v>
      </c>
      <c r="R100" s="2">
        <f t="array" ref="R100">IF($P100="",0,INDEX(StatsZone,$P100,MAP!$E$12))</f>
        <v>0</v>
      </c>
      <c r="S100" s="2">
        <f t="array" ref="S100">IF($P100="",0,INDEX(StatsZone,$P100,MAP!$E$13))</f>
        <v>0</v>
      </c>
      <c r="T100" s="2">
        <f t="shared" si="1"/>
        <v>0</v>
      </c>
      <c r="U100" s="2">
        <f t="array" ref="U100">IF($P100="",0,INDEX(StatsZone,$P100,MAP!$E$14)+INDEX(StatsZone,$P100,MAP!$E$15)+INDEX(StatsZone,$P100,MAP!$E$16))</f>
        <v>0</v>
      </c>
      <c r="V100" s="2">
        <f t="shared" si="2"/>
        <v>0</v>
      </c>
      <c r="W100" s="2">
        <f t="shared" si="3"/>
        <v>0</v>
      </c>
      <c r="X100" s="2">
        <f t="shared" si="4"/>
        <v>0</v>
      </c>
      <c r="Y100" s="2">
        <f t="shared" si="5"/>
        <v>0</v>
      </c>
      <c r="Z100" s="2">
        <f t="shared" si="6"/>
        <v>0</v>
      </c>
      <c r="AA100" s="2">
        <f t="shared" si="7"/>
        <v>-1</v>
      </c>
      <c r="AB100" s="2">
        <f>IF(OR($M100="",$N100=""),0,MEDIAN(-MarginCap,MarginCap,($M100-$N100)-$AA100*HFA_Base))</f>
        <v>0</v>
      </c>
      <c r="AC100" s="2">
        <f t="array" ref="AC100">IF(OR($P100="",INDEX($P$3:$P$722,(ROW()+IF(MOD(ROW()-3,2)=0,1,-1))-3+1)=""),0,MEDIAN(-MarginCap,MarginCap,($T100-$W100)-$AA100*HFA_Base))</f>
        <v>0</v>
      </c>
      <c r="AD100" s="2">
        <f t="shared" si="8"/>
        <v>0</v>
      </c>
      <c r="AE100" s="2">
        <f>IF(OR($M100="",$N100=""),0,IF(AND(WEpa&gt;0,$AD100=1),(1-WEpa)*$AB100+WEpa*$AC100,$AB100))</f>
        <v>0</v>
      </c>
      <c r="AF100" s="2">
        <f>IF(AND($C100&lt;&gt;"",$E100=CurrentSeason,$F100="REG",ISNUMBER($G100),$G100&lt;CurrentWeek,AND($M100&lt;&gt;"",$N100&lt;&gt;"")),1,0)</f>
        <v>0</v>
      </c>
      <c r="AG100" s="2">
        <f>IF($AF100=0,0,IF($G100&gt;=CurrentWeek-RecencyWin,RecencyMult,1))</f>
        <v>0</v>
      </c>
      <c r="AH100" s="2">
        <f>IF(AND($C100&lt;&gt;"",$E100=CurrentSeason,$F100="REG",ISNUMBER($G100),$G100&lt;CurrentWeek-1,AND($M100&lt;&gt;"",$N100&lt;&gt;"")),1,0)</f>
        <v>0</v>
      </c>
      <c r="AI100" s="2">
        <f>IF($AH100=0,0,IF($G100&gt;=CurrentWeek-1-RecencyWin,RecencyMult,1))</f>
        <v>0</v>
      </c>
      <c r="AJ100" s="2">
        <f>IF($AF100=0,0,IF($G100&gt;=CurrentWeek-RecencyWin,TotRecency,1))</f>
        <v>0</v>
      </c>
      <c r="AK100" s="2">
        <f t="shared" si="9"/>
        <v>0</v>
      </c>
      <c r="AL100" s="2">
        <f t="shared" si="10"/>
        <v>0</v>
      </c>
      <c r="AM100" s="2" t="str">
        <f t="array" ref="AM100">IF($K100="",0,IFERROR(INDEX(CALC!$F$2:$F$33,MATCH($K100,CALC!$A$2:$A$33,0)),0))</f>
        <v/>
      </c>
      <c r="AN100" s="2" t="str">
        <f t="array" ref="AN100">IF($K100="",0,IFERROR(INDEX(CALC!$I$2:$I$33,MATCH($K100,CALC!$A$2:$A$33,0)),0))</f>
        <v/>
      </c>
      <c r="AO100" s="2" t="str">
        <f t="array" ref="AO100">IF($K100="",0,IFERROR(INDEX(CALC!$L$2:$L$33,MATCH($K100,CALC!$A$2:$A$33,0)),0))</f>
        <v/>
      </c>
      <c r="AP100" s="2" t="str">
        <f t="array" ref="AP100">IF($K100="",0,IFERROR(INDEX(CALC!$T$2:$T$33,MATCH($K100,CALC!$A$2:$A$33,0)),0))</f>
        <v/>
      </c>
      <c r="AQ100" s="2" t="str">
        <f t="array" ref="AQ100">IF($K100="",0,IFERROR(INDEX(CALC!$W$2:$W$33,MATCH($K100,CALC!$A$2:$A$33,0)),0))</f>
        <v/>
      </c>
      <c r="AR100" s="2" t="str">
        <f t="array" ref="AR100">IF($K100="",0,IFERROR(INDEX(CALC!$Z$2:$Z$33,MATCH($K100,CALC!$A$2:$A$33,0)),0))</f>
        <v/>
      </c>
      <c r="AS100" s="2" t="str">
        <f t="array" ref="AS100">IF($K100="",0,IFERROR(INDEX(CALC!$AJ$2:$AJ$33,MATCH($K100,CALC!$A$2:$A$33,0)),0))</f>
        <v/>
      </c>
      <c r="AT100" s="2" t="str">
        <f t="array" ref="AT100">IF($K100="",0,IFERROR(INDEX(CALC!$AI$2:$AI$33,MATCH($K100,CALC!$A$2:$A$33,0)),0))</f>
        <v/>
      </c>
      <c r="AU100" s="2">
        <f t="shared" si="11"/>
        <v>0</v>
      </c>
      <c r="AV100" s="2">
        <f t="shared" si="12"/>
        <v>0</v>
      </c>
    </row>
    <row r="101" ht="15.0" customHeight="1">
      <c r="A101" s="2">
        <v>50.0</v>
      </c>
      <c r="B101" s="2" t="s">
        <v>2365</v>
      </c>
      <c r="C101" s="2">
        <f>IFERROR(MATCH($A101,SchedSeq,0),"")</f>
        <v>335</v>
      </c>
      <c r="D101" s="2" t="str">
        <f t="array" ref="D101">IF($C101="","",INDEX(SchedZone,$C101,MAP!$B$6))</f>
        <v>2026_04_IND_WAS</v>
      </c>
      <c r="E101" s="2">
        <f t="array" ref="E101">IF($C101="","",INDEX(SchedZone,$C101,MAP!$B$3))</f>
        <v>2026</v>
      </c>
      <c r="F101" s="2" t="str">
        <f t="array" ref="F101">IF($C101="","",INDEX(SchedZone,$C101,MAP!$B$5))</f>
        <v>REG</v>
      </c>
      <c r="G101" s="2">
        <f t="array" ref="G101">IF($C101="","",INDEX(SchedZone,$C101,MAP!$B$4))</f>
        <v>4</v>
      </c>
      <c r="H101" s="2" t="str">
        <f t="array" ref="H101">IF($C101="","",INDEX(SchedZone,$C101,MAP!$B$12))</f>
        <v>WAS</v>
      </c>
      <c r="I101" s="2" t="str">
        <f t="array" ref="I101">IF($H101="","",IF(COUNTIF(Teams,$H101)&gt;0,$H101,IFERROR(INDEX(LISTS!$D$2:$D$12,MATCH($H101,LISTS!$C$2:$C$12,0)),"⚠ "&amp;$H101)))</f>
        <v>WAS</v>
      </c>
      <c r="J101" s="2" t="str">
        <f t="array" ref="J101">IF($C101="","",INDEX(SchedZone,$C101,MAP!$B$10))</f>
        <v>IND</v>
      </c>
      <c r="K101" s="2" t="str">
        <f t="array" ref="K101">IF($J101="","",IF(COUNTIF(Teams,$J101)&gt;0,$J101,IFERROR(INDEX(LISTS!$D$2:$D$12,MATCH($J101,LISTS!$C$2:$C$12,0)),"⚠ "&amp;$J101)))</f>
        <v>IND</v>
      </c>
      <c r="L101" s="2" t="str">
        <f t="array" ref="L101">IF($C101="","",IF(INDEX(SchedZone,$C101,MAP!$B$14)="Neutral","N",IF($B101="HOME","H","A")))</f>
        <v>N</v>
      </c>
      <c r="M101" s="2" t="str">
        <f t="array" ref="M101">IF($C101="","",IF(INDEX(SchedZone,$C101,MAP!$B$13)="","",INDEX(SchedZone,$C101,MAP!$B$13)))</f>
        <v/>
      </c>
      <c r="N101" s="2" t="str">
        <f t="array" ref="N101">IF($C101="","",IF(INDEX(SchedZone,$C101,MAP!$B$11)="","",INDEX(SchedZone,$C101,MAP!$B$11)))</f>
        <v/>
      </c>
      <c r="O101" s="2">
        <f t="array" ref="O101">IF($C101="","",INDEX(SchedZone,$C101,MAP!$B$16))</f>
        <v>7</v>
      </c>
      <c r="P101" s="2" t="str">
        <f>IF($C101="","",IFERROR(MATCH($E101&amp;"|"&amp;$G101&amp;"|"&amp;$I101,StatsKey,0),""))</f>
        <v/>
      </c>
      <c r="Q101" s="2">
        <f t="array" ref="Q101">IF($P101="",0,INDEX(StatsZone,$P101,MAP!$E$9)+INDEX(StatsZone,$P101,MAP!$E$10)+INDEX(StatsZone,$P101,MAP!$E$11))</f>
        <v>0</v>
      </c>
      <c r="R101" s="2">
        <f t="array" ref="R101">IF($P101="",0,INDEX(StatsZone,$P101,MAP!$E$12))</f>
        <v>0</v>
      </c>
      <c r="S101" s="2">
        <f t="array" ref="S101">IF($P101="",0,INDEX(StatsZone,$P101,MAP!$E$13))</f>
        <v>0</v>
      </c>
      <c r="T101" s="2">
        <f t="shared" si="1"/>
        <v>0</v>
      </c>
      <c r="U101" s="2">
        <f t="array" ref="U101">IF($P101="",0,INDEX(StatsZone,$P101,MAP!$E$14)+INDEX(StatsZone,$P101,MAP!$E$15)+INDEX(StatsZone,$P101,MAP!$E$16))</f>
        <v>0</v>
      </c>
      <c r="V101" s="2">
        <f t="shared" si="2"/>
        <v>0</v>
      </c>
      <c r="W101" s="2">
        <f t="shared" si="3"/>
        <v>0</v>
      </c>
      <c r="X101" s="2">
        <f t="shared" si="4"/>
        <v>0</v>
      </c>
      <c r="Y101" s="2">
        <f t="shared" si="5"/>
        <v>0</v>
      </c>
      <c r="Z101" s="2">
        <f t="shared" si="6"/>
        <v>0</v>
      </c>
      <c r="AA101" s="2">
        <f t="shared" si="7"/>
        <v>0</v>
      </c>
      <c r="AB101" s="2">
        <f>IF(OR($M101="",$N101=""),0,MEDIAN(-MarginCap,MarginCap,($M101-$N101)-$AA101*HFA_Base))</f>
        <v>0</v>
      </c>
      <c r="AC101" s="2">
        <f t="array" ref="AC101">IF(OR($P101="",INDEX($P$3:$P$722,(ROW()+IF(MOD(ROW()-3,2)=0,1,-1))-3+1)=""),0,MEDIAN(-MarginCap,MarginCap,($T101-$W101)-$AA101*HFA_Base))</f>
        <v>0</v>
      </c>
      <c r="AD101" s="2">
        <f t="shared" si="8"/>
        <v>0</v>
      </c>
      <c r="AE101" s="2">
        <f>IF(OR($M101="",$N101=""),0,IF(AND(WEpa&gt;0,$AD101=1),(1-WEpa)*$AB101+WEpa*$AC101,$AB101))</f>
        <v>0</v>
      </c>
      <c r="AF101" s="2">
        <f>IF(AND($C101&lt;&gt;"",$E101=CurrentSeason,$F101="REG",ISNUMBER($G101),$G101&lt;CurrentWeek,AND($M101&lt;&gt;"",$N101&lt;&gt;"")),1,0)</f>
        <v>0</v>
      </c>
      <c r="AG101" s="2">
        <f>IF($AF101=0,0,IF($G101&gt;=CurrentWeek-RecencyWin,RecencyMult,1))</f>
        <v>0</v>
      </c>
      <c r="AH101" s="2">
        <f>IF(AND($C101&lt;&gt;"",$E101=CurrentSeason,$F101="REG",ISNUMBER($G101),$G101&lt;CurrentWeek-1,AND($M101&lt;&gt;"",$N101&lt;&gt;"")),1,0)</f>
        <v>0</v>
      </c>
      <c r="AI101" s="2">
        <f>IF($AH101=0,0,IF($G101&gt;=CurrentWeek-1-RecencyWin,RecencyMult,1))</f>
        <v>0</v>
      </c>
      <c r="AJ101" s="2">
        <f>IF($AF101=0,0,IF($G101&gt;=CurrentWeek-RecencyWin,TotRecency,1))</f>
        <v>0</v>
      </c>
      <c r="AK101" s="2">
        <f t="shared" si="9"/>
        <v>0</v>
      </c>
      <c r="AL101" s="2">
        <f t="shared" si="10"/>
        <v>0</v>
      </c>
      <c r="AM101" s="2" t="str">
        <f t="array" ref="AM101">IF($K101="",0,IFERROR(INDEX(CALC!$F$2:$F$33,MATCH($K101,CALC!$A$2:$A$33,0)),0))</f>
        <v/>
      </c>
      <c r="AN101" s="2" t="str">
        <f t="array" ref="AN101">IF($K101="",0,IFERROR(INDEX(CALC!$I$2:$I$33,MATCH($K101,CALC!$A$2:$A$33,0)),0))</f>
        <v/>
      </c>
      <c r="AO101" s="2" t="str">
        <f t="array" ref="AO101">IF($K101="",0,IFERROR(INDEX(CALC!$L$2:$L$33,MATCH($K101,CALC!$A$2:$A$33,0)),0))</f>
        <v/>
      </c>
      <c r="AP101" s="2" t="str">
        <f t="array" ref="AP101">IF($K101="",0,IFERROR(INDEX(CALC!$T$2:$T$33,MATCH($K101,CALC!$A$2:$A$33,0)),0))</f>
        <v/>
      </c>
      <c r="AQ101" s="2" t="str">
        <f t="array" ref="AQ101">IF($K101="",0,IFERROR(INDEX(CALC!$W$2:$W$33,MATCH($K101,CALC!$A$2:$A$33,0)),0))</f>
        <v/>
      </c>
      <c r="AR101" s="2" t="str">
        <f t="array" ref="AR101">IF($K101="",0,IFERROR(INDEX(CALC!$Z$2:$Z$33,MATCH($K101,CALC!$A$2:$A$33,0)),0))</f>
        <v/>
      </c>
      <c r="AS101" s="2" t="str">
        <f t="array" ref="AS101">IF($K101="",0,IFERROR(INDEX(CALC!$AJ$2:$AJ$33,MATCH($K101,CALC!$A$2:$A$33,0)),0))</f>
        <v/>
      </c>
      <c r="AT101" s="2" t="str">
        <f t="array" ref="AT101">IF($K101="",0,IFERROR(INDEX(CALC!$AI$2:$AI$33,MATCH($K101,CALC!$A$2:$A$33,0)),0))</f>
        <v/>
      </c>
      <c r="AU101" s="2">
        <f t="shared" si="11"/>
        <v>0</v>
      </c>
      <c r="AV101" s="2">
        <f t="shared" si="12"/>
        <v>0</v>
      </c>
    </row>
    <row r="102" ht="15.0" customHeight="1">
      <c r="A102" s="2">
        <v>50.0</v>
      </c>
      <c r="B102" s="2" t="s">
        <v>2366</v>
      </c>
      <c r="C102" s="2">
        <f>IFERROR(MATCH($A102,SchedSeq,0),"")</f>
        <v>335</v>
      </c>
      <c r="D102" s="2" t="str">
        <f t="array" ref="D102">IF($C102="","",INDEX(SchedZone,$C102,MAP!$B$6))</f>
        <v>2026_04_IND_WAS</v>
      </c>
      <c r="E102" s="2">
        <f t="array" ref="E102">IF($C102="","",INDEX(SchedZone,$C102,MAP!$B$3))</f>
        <v>2026</v>
      </c>
      <c r="F102" s="2" t="str">
        <f t="array" ref="F102">IF($C102="","",INDEX(SchedZone,$C102,MAP!$B$5))</f>
        <v>REG</v>
      </c>
      <c r="G102" s="2">
        <f t="array" ref="G102">IF($C102="","",INDEX(SchedZone,$C102,MAP!$B$4))</f>
        <v>4</v>
      </c>
      <c r="H102" s="2" t="str">
        <f t="array" ref="H102">IF($C102="","",INDEX(SchedZone,$C102,MAP!$B$10))</f>
        <v>IND</v>
      </c>
      <c r="I102" s="2" t="str">
        <f t="array" ref="I102">IF($H102="","",IF(COUNTIF(Teams,$H102)&gt;0,$H102,IFERROR(INDEX(LISTS!$D$2:$D$12,MATCH($H102,LISTS!$C$2:$C$12,0)),"⚠ "&amp;$H102)))</f>
        <v>IND</v>
      </c>
      <c r="J102" s="2" t="str">
        <f t="array" ref="J102">IF($C102="","",INDEX(SchedZone,$C102,MAP!$B$12))</f>
        <v>WAS</v>
      </c>
      <c r="K102" s="2" t="str">
        <f t="array" ref="K102">IF($J102="","",IF(COUNTIF(Teams,$J102)&gt;0,$J102,IFERROR(INDEX(LISTS!$D$2:$D$12,MATCH($J102,LISTS!$C$2:$C$12,0)),"⚠ "&amp;$J102)))</f>
        <v>WAS</v>
      </c>
      <c r="L102" s="2" t="str">
        <f t="array" ref="L102">IF($C102="","",IF(INDEX(SchedZone,$C102,MAP!$B$14)="Neutral","N",IF($B102="HOME","H","A")))</f>
        <v>N</v>
      </c>
      <c r="M102" s="2" t="str">
        <f t="array" ref="M102">IF($C102="","",IF(INDEX(SchedZone,$C102,MAP!$B$11)="","",INDEX(SchedZone,$C102,MAP!$B$11)))</f>
        <v/>
      </c>
      <c r="N102" s="2" t="str">
        <f t="array" ref="N102">IF($C102="","",IF(INDEX(SchedZone,$C102,MAP!$B$13)="","",INDEX(SchedZone,$C102,MAP!$B$13)))</f>
        <v/>
      </c>
      <c r="O102" s="2">
        <f t="array" ref="O102">IF($C102="","",INDEX(SchedZone,$C102,MAP!$B$15))</f>
        <v>7</v>
      </c>
      <c r="P102" s="2" t="str">
        <f>IF($C102="","",IFERROR(MATCH($E102&amp;"|"&amp;$G102&amp;"|"&amp;$I102,StatsKey,0),""))</f>
        <v/>
      </c>
      <c r="Q102" s="2">
        <f t="array" ref="Q102">IF($P102="",0,INDEX(StatsZone,$P102,MAP!$E$9)+INDEX(StatsZone,$P102,MAP!$E$10)+INDEX(StatsZone,$P102,MAP!$E$11))</f>
        <v>0</v>
      </c>
      <c r="R102" s="2">
        <f t="array" ref="R102">IF($P102="",0,INDEX(StatsZone,$P102,MAP!$E$12))</f>
        <v>0</v>
      </c>
      <c r="S102" s="2">
        <f t="array" ref="S102">IF($P102="",0,INDEX(StatsZone,$P102,MAP!$E$13))</f>
        <v>0</v>
      </c>
      <c r="T102" s="2">
        <f t="shared" si="1"/>
        <v>0</v>
      </c>
      <c r="U102" s="2">
        <f t="array" ref="U102">IF($P102="",0,INDEX(StatsZone,$P102,MAP!$E$14)+INDEX(StatsZone,$P102,MAP!$E$15)+INDEX(StatsZone,$P102,MAP!$E$16))</f>
        <v>0</v>
      </c>
      <c r="V102" s="2">
        <f t="shared" si="2"/>
        <v>0</v>
      </c>
      <c r="W102" s="2">
        <f t="shared" si="3"/>
        <v>0</v>
      </c>
      <c r="X102" s="2">
        <f t="shared" si="4"/>
        <v>0</v>
      </c>
      <c r="Y102" s="2">
        <f t="shared" si="5"/>
        <v>0</v>
      </c>
      <c r="Z102" s="2">
        <f t="shared" si="6"/>
        <v>0</v>
      </c>
      <c r="AA102" s="2">
        <f t="shared" si="7"/>
        <v>0</v>
      </c>
      <c r="AB102" s="2">
        <f>IF(OR($M102="",$N102=""),0,MEDIAN(-MarginCap,MarginCap,($M102-$N102)-$AA102*HFA_Base))</f>
        <v>0</v>
      </c>
      <c r="AC102" s="2">
        <f t="array" ref="AC102">IF(OR($P102="",INDEX($P$3:$P$722,(ROW()+IF(MOD(ROW()-3,2)=0,1,-1))-3+1)=""),0,MEDIAN(-MarginCap,MarginCap,($T102-$W102)-$AA102*HFA_Base))</f>
        <v>0</v>
      </c>
      <c r="AD102" s="2">
        <f t="shared" si="8"/>
        <v>0</v>
      </c>
      <c r="AE102" s="2">
        <f>IF(OR($M102="",$N102=""),0,IF(AND(WEpa&gt;0,$AD102=1),(1-WEpa)*$AB102+WEpa*$AC102,$AB102))</f>
        <v>0</v>
      </c>
      <c r="AF102" s="2">
        <f>IF(AND($C102&lt;&gt;"",$E102=CurrentSeason,$F102="REG",ISNUMBER($G102),$G102&lt;CurrentWeek,AND($M102&lt;&gt;"",$N102&lt;&gt;"")),1,0)</f>
        <v>0</v>
      </c>
      <c r="AG102" s="2">
        <f>IF($AF102=0,0,IF($G102&gt;=CurrentWeek-RecencyWin,RecencyMult,1))</f>
        <v>0</v>
      </c>
      <c r="AH102" s="2">
        <f>IF(AND($C102&lt;&gt;"",$E102=CurrentSeason,$F102="REG",ISNUMBER($G102),$G102&lt;CurrentWeek-1,AND($M102&lt;&gt;"",$N102&lt;&gt;"")),1,0)</f>
        <v>0</v>
      </c>
      <c r="AI102" s="2">
        <f>IF($AH102=0,0,IF($G102&gt;=CurrentWeek-1-RecencyWin,RecencyMult,1))</f>
        <v>0</v>
      </c>
      <c r="AJ102" s="2">
        <f>IF($AF102=0,0,IF($G102&gt;=CurrentWeek-RecencyWin,TotRecency,1))</f>
        <v>0</v>
      </c>
      <c r="AK102" s="2">
        <f t="shared" si="9"/>
        <v>0</v>
      </c>
      <c r="AL102" s="2">
        <f t="shared" si="10"/>
        <v>0</v>
      </c>
      <c r="AM102" s="2" t="str">
        <f t="array" ref="AM102">IF($K102="",0,IFERROR(INDEX(CALC!$F$2:$F$33,MATCH($K102,CALC!$A$2:$A$33,0)),0))</f>
        <v/>
      </c>
      <c r="AN102" s="2" t="str">
        <f t="array" ref="AN102">IF($K102="",0,IFERROR(INDEX(CALC!$I$2:$I$33,MATCH($K102,CALC!$A$2:$A$33,0)),0))</f>
        <v/>
      </c>
      <c r="AO102" s="2" t="str">
        <f t="array" ref="AO102">IF($K102="",0,IFERROR(INDEX(CALC!$L$2:$L$33,MATCH($K102,CALC!$A$2:$A$33,0)),0))</f>
        <v/>
      </c>
      <c r="AP102" s="2" t="str">
        <f t="array" ref="AP102">IF($K102="",0,IFERROR(INDEX(CALC!$T$2:$T$33,MATCH($K102,CALC!$A$2:$A$33,0)),0))</f>
        <v/>
      </c>
      <c r="AQ102" s="2" t="str">
        <f t="array" ref="AQ102">IF($K102="",0,IFERROR(INDEX(CALC!$W$2:$W$33,MATCH($K102,CALC!$A$2:$A$33,0)),0))</f>
        <v/>
      </c>
      <c r="AR102" s="2" t="str">
        <f t="array" ref="AR102">IF($K102="",0,IFERROR(INDEX(CALC!$Z$2:$Z$33,MATCH($K102,CALC!$A$2:$A$33,0)),0))</f>
        <v/>
      </c>
      <c r="AS102" s="2" t="str">
        <f t="array" ref="AS102">IF($K102="",0,IFERROR(INDEX(CALC!$AJ$2:$AJ$33,MATCH($K102,CALC!$A$2:$A$33,0)),0))</f>
        <v/>
      </c>
      <c r="AT102" s="2" t="str">
        <f t="array" ref="AT102">IF($K102="",0,IFERROR(INDEX(CALC!$AI$2:$AI$33,MATCH($K102,CALC!$A$2:$A$33,0)),0))</f>
        <v/>
      </c>
      <c r="AU102" s="2">
        <f t="shared" si="11"/>
        <v>0</v>
      </c>
      <c r="AV102" s="2">
        <f t="shared" si="12"/>
        <v>0</v>
      </c>
    </row>
    <row r="103" ht="15.0" customHeight="1">
      <c r="A103" s="2">
        <v>51.0</v>
      </c>
      <c r="B103" s="2" t="s">
        <v>2365</v>
      </c>
      <c r="C103" s="2">
        <f>IFERROR(MATCH($A103,SchedSeq,0),"")</f>
        <v>336</v>
      </c>
      <c r="D103" s="2" t="str">
        <f t="array" ref="D103">IF($C103="","",INDEX(SchedZone,$C103,MAP!$B$6))</f>
        <v>2026_04_TEN_BAL</v>
      </c>
      <c r="E103" s="2">
        <f t="array" ref="E103">IF($C103="","",INDEX(SchedZone,$C103,MAP!$B$3))</f>
        <v>2026</v>
      </c>
      <c r="F103" s="2" t="str">
        <f t="array" ref="F103">IF($C103="","",INDEX(SchedZone,$C103,MAP!$B$5))</f>
        <v>REG</v>
      </c>
      <c r="G103" s="2">
        <f t="array" ref="G103">IF($C103="","",INDEX(SchedZone,$C103,MAP!$B$4))</f>
        <v>4</v>
      </c>
      <c r="H103" s="2" t="str">
        <f t="array" ref="H103">IF($C103="","",INDEX(SchedZone,$C103,MAP!$B$12))</f>
        <v>BAL</v>
      </c>
      <c r="I103" s="2" t="str">
        <f t="array" ref="I103">IF($H103="","",IF(COUNTIF(Teams,$H103)&gt;0,$H103,IFERROR(INDEX(LISTS!$D$2:$D$12,MATCH($H103,LISTS!$C$2:$C$12,0)),"⚠ "&amp;$H103)))</f>
        <v>BAL</v>
      </c>
      <c r="J103" s="2" t="str">
        <f t="array" ref="J103">IF($C103="","",INDEX(SchedZone,$C103,MAP!$B$10))</f>
        <v>TEN</v>
      </c>
      <c r="K103" s="2" t="str">
        <f t="array" ref="K103">IF($J103="","",IF(COUNTIF(Teams,$J103)&gt;0,$J103,IFERROR(INDEX(LISTS!$D$2:$D$12,MATCH($J103,LISTS!$C$2:$C$12,0)),"⚠ "&amp;$J103)))</f>
        <v>TEN</v>
      </c>
      <c r="L103" s="2" t="str">
        <f t="array" ref="L103">IF($C103="","",IF(INDEX(SchedZone,$C103,MAP!$B$14)="Neutral","N",IF($B103="HOME","H","A")))</f>
        <v>H</v>
      </c>
      <c r="M103" s="2" t="str">
        <f t="array" ref="M103">IF($C103="","",IF(INDEX(SchedZone,$C103,MAP!$B$13)="","",INDEX(SchedZone,$C103,MAP!$B$13)))</f>
        <v/>
      </c>
      <c r="N103" s="2" t="str">
        <f t="array" ref="N103">IF($C103="","",IF(INDEX(SchedZone,$C103,MAP!$B$11)="","",INDEX(SchedZone,$C103,MAP!$B$11)))</f>
        <v/>
      </c>
      <c r="O103" s="2">
        <f t="array" ref="O103">IF($C103="","",INDEX(SchedZone,$C103,MAP!$B$16))</f>
        <v>7</v>
      </c>
      <c r="P103" s="2" t="str">
        <f>IF($C103="","",IFERROR(MATCH($E103&amp;"|"&amp;$G103&amp;"|"&amp;$I103,StatsKey,0),""))</f>
        <v/>
      </c>
      <c r="Q103" s="2">
        <f t="array" ref="Q103">IF($P103="",0,INDEX(StatsZone,$P103,MAP!$E$9)+INDEX(StatsZone,$P103,MAP!$E$10)+INDEX(StatsZone,$P103,MAP!$E$11))</f>
        <v>0</v>
      </c>
      <c r="R103" s="2">
        <f t="array" ref="R103">IF($P103="",0,INDEX(StatsZone,$P103,MAP!$E$12))</f>
        <v>0</v>
      </c>
      <c r="S103" s="2">
        <f t="array" ref="S103">IF($P103="",0,INDEX(StatsZone,$P103,MAP!$E$13))</f>
        <v>0</v>
      </c>
      <c r="T103" s="2">
        <f t="shared" si="1"/>
        <v>0</v>
      </c>
      <c r="U103" s="2">
        <f t="array" ref="U103">IF($P103="",0,INDEX(StatsZone,$P103,MAP!$E$14)+INDEX(StatsZone,$P103,MAP!$E$15)+INDEX(StatsZone,$P103,MAP!$E$16))</f>
        <v>0</v>
      </c>
      <c r="V103" s="2">
        <f t="shared" si="2"/>
        <v>0</v>
      </c>
      <c r="W103" s="2">
        <f t="shared" si="3"/>
        <v>0</v>
      </c>
      <c r="X103" s="2">
        <f t="shared" si="4"/>
        <v>0</v>
      </c>
      <c r="Y103" s="2">
        <f t="shared" si="5"/>
        <v>0</v>
      </c>
      <c r="Z103" s="2">
        <f t="shared" si="6"/>
        <v>0</v>
      </c>
      <c r="AA103" s="2">
        <f t="shared" si="7"/>
        <v>1</v>
      </c>
      <c r="AB103" s="2">
        <f>IF(OR($M103="",$N103=""),0,MEDIAN(-MarginCap,MarginCap,($M103-$N103)-$AA103*HFA_Base))</f>
        <v>0</v>
      </c>
      <c r="AC103" s="2">
        <f t="array" ref="AC103">IF(OR($P103="",INDEX($P$3:$P$722,(ROW()+IF(MOD(ROW()-3,2)=0,1,-1))-3+1)=""),0,MEDIAN(-MarginCap,MarginCap,($T103-$W103)-$AA103*HFA_Base))</f>
        <v>0</v>
      </c>
      <c r="AD103" s="2">
        <f t="shared" si="8"/>
        <v>0</v>
      </c>
      <c r="AE103" s="2">
        <f>IF(OR($M103="",$N103=""),0,IF(AND(WEpa&gt;0,$AD103=1),(1-WEpa)*$AB103+WEpa*$AC103,$AB103))</f>
        <v>0</v>
      </c>
      <c r="AF103" s="2">
        <f>IF(AND($C103&lt;&gt;"",$E103=CurrentSeason,$F103="REG",ISNUMBER($G103),$G103&lt;CurrentWeek,AND($M103&lt;&gt;"",$N103&lt;&gt;"")),1,0)</f>
        <v>0</v>
      </c>
      <c r="AG103" s="2">
        <f>IF($AF103=0,0,IF($G103&gt;=CurrentWeek-RecencyWin,RecencyMult,1))</f>
        <v>0</v>
      </c>
      <c r="AH103" s="2">
        <f>IF(AND($C103&lt;&gt;"",$E103=CurrentSeason,$F103="REG",ISNUMBER($G103),$G103&lt;CurrentWeek-1,AND($M103&lt;&gt;"",$N103&lt;&gt;"")),1,0)</f>
        <v>0</v>
      </c>
      <c r="AI103" s="2">
        <f>IF($AH103=0,0,IF($G103&gt;=CurrentWeek-1-RecencyWin,RecencyMult,1))</f>
        <v>0</v>
      </c>
      <c r="AJ103" s="2">
        <f>IF($AF103=0,0,IF($G103&gt;=CurrentWeek-RecencyWin,TotRecency,1))</f>
        <v>0</v>
      </c>
      <c r="AK103" s="2">
        <f t="shared" si="9"/>
        <v>0</v>
      </c>
      <c r="AL103" s="2">
        <f t="shared" si="10"/>
        <v>0</v>
      </c>
      <c r="AM103" s="2" t="str">
        <f t="array" ref="AM103">IF($K103="",0,IFERROR(INDEX(CALC!$F$2:$F$33,MATCH($K103,CALC!$A$2:$A$33,0)),0))</f>
        <v/>
      </c>
      <c r="AN103" s="2" t="str">
        <f t="array" ref="AN103">IF($K103="",0,IFERROR(INDEX(CALC!$I$2:$I$33,MATCH($K103,CALC!$A$2:$A$33,0)),0))</f>
        <v/>
      </c>
      <c r="AO103" s="2" t="str">
        <f t="array" ref="AO103">IF($K103="",0,IFERROR(INDEX(CALC!$L$2:$L$33,MATCH($K103,CALC!$A$2:$A$33,0)),0))</f>
        <v/>
      </c>
      <c r="AP103" s="2" t="str">
        <f t="array" ref="AP103">IF($K103="",0,IFERROR(INDEX(CALC!$T$2:$T$33,MATCH($K103,CALC!$A$2:$A$33,0)),0))</f>
        <v/>
      </c>
      <c r="AQ103" s="2" t="str">
        <f t="array" ref="AQ103">IF($K103="",0,IFERROR(INDEX(CALC!$W$2:$W$33,MATCH($K103,CALC!$A$2:$A$33,0)),0))</f>
        <v/>
      </c>
      <c r="AR103" s="2" t="str">
        <f t="array" ref="AR103">IF($K103="",0,IFERROR(INDEX(CALC!$Z$2:$Z$33,MATCH($K103,CALC!$A$2:$A$33,0)),0))</f>
        <v/>
      </c>
      <c r="AS103" s="2" t="str">
        <f t="array" ref="AS103">IF($K103="",0,IFERROR(INDEX(CALC!$AJ$2:$AJ$33,MATCH($K103,CALC!$A$2:$A$33,0)),0))</f>
        <v/>
      </c>
      <c r="AT103" s="2" t="str">
        <f t="array" ref="AT103">IF($K103="",0,IFERROR(INDEX(CALC!$AI$2:$AI$33,MATCH($K103,CALC!$A$2:$A$33,0)),0))</f>
        <v/>
      </c>
      <c r="AU103" s="2">
        <f t="shared" si="11"/>
        <v>0</v>
      </c>
      <c r="AV103" s="2">
        <f t="shared" si="12"/>
        <v>0</v>
      </c>
    </row>
    <row r="104" ht="15.0" customHeight="1">
      <c r="A104" s="2">
        <v>51.0</v>
      </c>
      <c r="B104" s="2" t="s">
        <v>2366</v>
      </c>
      <c r="C104" s="2">
        <f>IFERROR(MATCH($A104,SchedSeq,0),"")</f>
        <v>336</v>
      </c>
      <c r="D104" s="2" t="str">
        <f t="array" ref="D104">IF($C104="","",INDEX(SchedZone,$C104,MAP!$B$6))</f>
        <v>2026_04_TEN_BAL</v>
      </c>
      <c r="E104" s="2">
        <f t="array" ref="E104">IF($C104="","",INDEX(SchedZone,$C104,MAP!$B$3))</f>
        <v>2026</v>
      </c>
      <c r="F104" s="2" t="str">
        <f t="array" ref="F104">IF($C104="","",INDEX(SchedZone,$C104,MAP!$B$5))</f>
        <v>REG</v>
      </c>
      <c r="G104" s="2">
        <f t="array" ref="G104">IF($C104="","",INDEX(SchedZone,$C104,MAP!$B$4))</f>
        <v>4</v>
      </c>
      <c r="H104" s="2" t="str">
        <f t="array" ref="H104">IF($C104="","",INDEX(SchedZone,$C104,MAP!$B$10))</f>
        <v>TEN</v>
      </c>
      <c r="I104" s="2" t="str">
        <f t="array" ref="I104">IF($H104="","",IF(COUNTIF(Teams,$H104)&gt;0,$H104,IFERROR(INDEX(LISTS!$D$2:$D$12,MATCH($H104,LISTS!$C$2:$C$12,0)),"⚠ "&amp;$H104)))</f>
        <v>TEN</v>
      </c>
      <c r="J104" s="2" t="str">
        <f t="array" ref="J104">IF($C104="","",INDEX(SchedZone,$C104,MAP!$B$12))</f>
        <v>BAL</v>
      </c>
      <c r="K104" s="2" t="str">
        <f t="array" ref="K104">IF($J104="","",IF(COUNTIF(Teams,$J104)&gt;0,$J104,IFERROR(INDEX(LISTS!$D$2:$D$12,MATCH($J104,LISTS!$C$2:$C$12,0)),"⚠ "&amp;$J104)))</f>
        <v>BAL</v>
      </c>
      <c r="L104" s="2" t="str">
        <f t="array" ref="L104">IF($C104="","",IF(INDEX(SchedZone,$C104,MAP!$B$14)="Neutral","N",IF($B104="HOME","H","A")))</f>
        <v>A</v>
      </c>
      <c r="M104" s="2" t="str">
        <f t="array" ref="M104">IF($C104="","",IF(INDEX(SchedZone,$C104,MAP!$B$11)="","",INDEX(SchedZone,$C104,MAP!$B$11)))</f>
        <v/>
      </c>
      <c r="N104" s="2" t="str">
        <f t="array" ref="N104">IF($C104="","",IF(INDEX(SchedZone,$C104,MAP!$B$13)="","",INDEX(SchedZone,$C104,MAP!$B$13)))</f>
        <v/>
      </c>
      <c r="O104" s="2">
        <f t="array" ref="O104">IF($C104="","",INDEX(SchedZone,$C104,MAP!$B$15))</f>
        <v>7</v>
      </c>
      <c r="P104" s="2" t="str">
        <f>IF($C104="","",IFERROR(MATCH($E104&amp;"|"&amp;$G104&amp;"|"&amp;$I104,StatsKey,0),""))</f>
        <v/>
      </c>
      <c r="Q104" s="2">
        <f t="array" ref="Q104">IF($P104="",0,INDEX(StatsZone,$P104,MAP!$E$9)+INDEX(StatsZone,$P104,MAP!$E$10)+INDEX(StatsZone,$P104,MAP!$E$11))</f>
        <v>0</v>
      </c>
      <c r="R104" s="2">
        <f t="array" ref="R104">IF($P104="",0,INDEX(StatsZone,$P104,MAP!$E$12))</f>
        <v>0</v>
      </c>
      <c r="S104" s="2">
        <f t="array" ref="S104">IF($P104="",0,INDEX(StatsZone,$P104,MAP!$E$13))</f>
        <v>0</v>
      </c>
      <c r="T104" s="2">
        <f t="shared" si="1"/>
        <v>0</v>
      </c>
      <c r="U104" s="2">
        <f t="array" ref="U104">IF($P104="",0,INDEX(StatsZone,$P104,MAP!$E$14)+INDEX(StatsZone,$P104,MAP!$E$15)+INDEX(StatsZone,$P104,MAP!$E$16))</f>
        <v>0</v>
      </c>
      <c r="V104" s="2">
        <f t="shared" si="2"/>
        <v>0</v>
      </c>
      <c r="W104" s="2">
        <f t="shared" si="3"/>
        <v>0</v>
      </c>
      <c r="X104" s="2">
        <f t="shared" si="4"/>
        <v>0</v>
      </c>
      <c r="Y104" s="2">
        <f t="shared" si="5"/>
        <v>0</v>
      </c>
      <c r="Z104" s="2">
        <f t="shared" si="6"/>
        <v>0</v>
      </c>
      <c r="AA104" s="2">
        <f t="shared" si="7"/>
        <v>-1</v>
      </c>
      <c r="AB104" s="2">
        <f>IF(OR($M104="",$N104=""),0,MEDIAN(-MarginCap,MarginCap,($M104-$N104)-$AA104*HFA_Base))</f>
        <v>0</v>
      </c>
      <c r="AC104" s="2">
        <f t="array" ref="AC104">IF(OR($P104="",INDEX($P$3:$P$722,(ROW()+IF(MOD(ROW()-3,2)=0,1,-1))-3+1)=""),0,MEDIAN(-MarginCap,MarginCap,($T104-$W104)-$AA104*HFA_Base))</f>
        <v>0</v>
      </c>
      <c r="AD104" s="2">
        <f t="shared" si="8"/>
        <v>0</v>
      </c>
      <c r="AE104" s="2">
        <f>IF(OR($M104="",$N104=""),0,IF(AND(WEpa&gt;0,$AD104=1),(1-WEpa)*$AB104+WEpa*$AC104,$AB104))</f>
        <v>0</v>
      </c>
      <c r="AF104" s="2">
        <f>IF(AND($C104&lt;&gt;"",$E104=CurrentSeason,$F104="REG",ISNUMBER($G104),$G104&lt;CurrentWeek,AND($M104&lt;&gt;"",$N104&lt;&gt;"")),1,0)</f>
        <v>0</v>
      </c>
      <c r="AG104" s="2">
        <f>IF($AF104=0,0,IF($G104&gt;=CurrentWeek-RecencyWin,RecencyMult,1))</f>
        <v>0</v>
      </c>
      <c r="AH104" s="2">
        <f>IF(AND($C104&lt;&gt;"",$E104=CurrentSeason,$F104="REG",ISNUMBER($G104),$G104&lt;CurrentWeek-1,AND($M104&lt;&gt;"",$N104&lt;&gt;"")),1,0)</f>
        <v>0</v>
      </c>
      <c r="AI104" s="2">
        <f>IF($AH104=0,0,IF($G104&gt;=CurrentWeek-1-RecencyWin,RecencyMult,1))</f>
        <v>0</v>
      </c>
      <c r="AJ104" s="2">
        <f>IF($AF104=0,0,IF($G104&gt;=CurrentWeek-RecencyWin,TotRecency,1))</f>
        <v>0</v>
      </c>
      <c r="AK104" s="2">
        <f t="shared" si="9"/>
        <v>0</v>
      </c>
      <c r="AL104" s="2">
        <f t="shared" si="10"/>
        <v>0</v>
      </c>
      <c r="AM104" s="2" t="str">
        <f t="array" ref="AM104">IF($K104="",0,IFERROR(INDEX(CALC!$F$2:$F$33,MATCH($K104,CALC!$A$2:$A$33,0)),0))</f>
        <v/>
      </c>
      <c r="AN104" s="2" t="str">
        <f t="array" ref="AN104">IF($K104="",0,IFERROR(INDEX(CALC!$I$2:$I$33,MATCH($K104,CALC!$A$2:$A$33,0)),0))</f>
        <v/>
      </c>
      <c r="AO104" s="2" t="str">
        <f t="array" ref="AO104">IF($K104="",0,IFERROR(INDEX(CALC!$L$2:$L$33,MATCH($K104,CALC!$A$2:$A$33,0)),0))</f>
        <v/>
      </c>
      <c r="AP104" s="2" t="str">
        <f t="array" ref="AP104">IF($K104="",0,IFERROR(INDEX(CALC!$T$2:$T$33,MATCH($K104,CALC!$A$2:$A$33,0)),0))</f>
        <v/>
      </c>
      <c r="AQ104" s="2" t="str">
        <f t="array" ref="AQ104">IF($K104="",0,IFERROR(INDEX(CALC!$W$2:$W$33,MATCH($K104,CALC!$A$2:$A$33,0)),0))</f>
        <v/>
      </c>
      <c r="AR104" s="2" t="str">
        <f t="array" ref="AR104">IF($K104="",0,IFERROR(INDEX(CALC!$Z$2:$Z$33,MATCH($K104,CALC!$A$2:$A$33,0)),0))</f>
        <v/>
      </c>
      <c r="AS104" s="2" t="str">
        <f t="array" ref="AS104">IF($K104="",0,IFERROR(INDEX(CALC!$AJ$2:$AJ$33,MATCH($K104,CALC!$A$2:$A$33,0)),0))</f>
        <v/>
      </c>
      <c r="AT104" s="2" t="str">
        <f t="array" ref="AT104">IF($K104="",0,IFERROR(INDEX(CALC!$AI$2:$AI$33,MATCH($K104,CALC!$A$2:$A$33,0)),0))</f>
        <v/>
      </c>
      <c r="AU104" s="2">
        <f t="shared" si="11"/>
        <v>0</v>
      </c>
      <c r="AV104" s="2">
        <f t="shared" si="12"/>
        <v>0</v>
      </c>
    </row>
    <row r="105" ht="15.0" customHeight="1">
      <c r="A105" s="2">
        <v>52.0</v>
      </c>
      <c r="B105" s="2" t="s">
        <v>2365</v>
      </c>
      <c r="C105" s="2">
        <f>IFERROR(MATCH($A105,SchedSeq,0),"")</f>
        <v>337</v>
      </c>
      <c r="D105" s="2" t="str">
        <f t="array" ref="D105">IF($C105="","",INDEX(SchedZone,$C105,MAP!$B$6))</f>
        <v>2026_04_NE_BUF</v>
      </c>
      <c r="E105" s="2">
        <f t="array" ref="E105">IF($C105="","",INDEX(SchedZone,$C105,MAP!$B$3))</f>
        <v>2026</v>
      </c>
      <c r="F105" s="2" t="str">
        <f t="array" ref="F105">IF($C105="","",INDEX(SchedZone,$C105,MAP!$B$5))</f>
        <v>REG</v>
      </c>
      <c r="G105" s="2">
        <f t="array" ref="G105">IF($C105="","",INDEX(SchedZone,$C105,MAP!$B$4))</f>
        <v>4</v>
      </c>
      <c r="H105" s="2" t="str">
        <f t="array" ref="H105">IF($C105="","",INDEX(SchedZone,$C105,MAP!$B$12))</f>
        <v>BUF</v>
      </c>
      <c r="I105" s="2" t="str">
        <f t="array" ref="I105">IF($H105="","",IF(COUNTIF(Teams,$H105)&gt;0,$H105,IFERROR(INDEX(LISTS!$D$2:$D$12,MATCH($H105,LISTS!$C$2:$C$12,0)),"⚠ "&amp;$H105)))</f>
        <v>BUF</v>
      </c>
      <c r="J105" s="2" t="str">
        <f t="array" ref="J105">IF($C105="","",INDEX(SchedZone,$C105,MAP!$B$10))</f>
        <v>NE</v>
      </c>
      <c r="K105" s="2" t="str">
        <f t="array" ref="K105">IF($J105="","",IF(COUNTIF(Teams,$J105)&gt;0,$J105,IFERROR(INDEX(LISTS!$D$2:$D$12,MATCH($J105,LISTS!$C$2:$C$12,0)),"⚠ "&amp;$J105)))</f>
        <v>NE</v>
      </c>
      <c r="L105" s="2" t="str">
        <f t="array" ref="L105">IF($C105="","",IF(INDEX(SchedZone,$C105,MAP!$B$14)="Neutral","N",IF($B105="HOME","H","A")))</f>
        <v>H</v>
      </c>
      <c r="M105" s="2" t="str">
        <f t="array" ref="M105">IF($C105="","",IF(INDEX(SchedZone,$C105,MAP!$B$13)="","",INDEX(SchedZone,$C105,MAP!$B$13)))</f>
        <v/>
      </c>
      <c r="N105" s="2" t="str">
        <f t="array" ref="N105">IF($C105="","",IF(INDEX(SchedZone,$C105,MAP!$B$11)="","",INDEX(SchedZone,$C105,MAP!$B$11)))</f>
        <v/>
      </c>
      <c r="O105" s="2">
        <f t="array" ref="O105">IF($C105="","",INDEX(SchedZone,$C105,MAP!$B$16))</f>
        <v>7</v>
      </c>
      <c r="P105" s="2" t="str">
        <f>IF($C105="","",IFERROR(MATCH($E105&amp;"|"&amp;$G105&amp;"|"&amp;$I105,StatsKey,0),""))</f>
        <v/>
      </c>
      <c r="Q105" s="2">
        <f t="array" ref="Q105">IF($P105="",0,INDEX(StatsZone,$P105,MAP!$E$9)+INDEX(StatsZone,$P105,MAP!$E$10)+INDEX(StatsZone,$P105,MAP!$E$11))</f>
        <v>0</v>
      </c>
      <c r="R105" s="2">
        <f t="array" ref="R105">IF($P105="",0,INDEX(StatsZone,$P105,MAP!$E$12))</f>
        <v>0</v>
      </c>
      <c r="S105" s="2">
        <f t="array" ref="S105">IF($P105="",0,INDEX(StatsZone,$P105,MAP!$E$13))</f>
        <v>0</v>
      </c>
      <c r="T105" s="2">
        <f t="shared" si="1"/>
        <v>0</v>
      </c>
      <c r="U105" s="2">
        <f t="array" ref="U105">IF($P105="",0,INDEX(StatsZone,$P105,MAP!$E$14)+INDEX(StatsZone,$P105,MAP!$E$15)+INDEX(StatsZone,$P105,MAP!$E$16))</f>
        <v>0</v>
      </c>
      <c r="V105" s="2">
        <f t="shared" si="2"/>
        <v>0</v>
      </c>
      <c r="W105" s="2">
        <f t="shared" si="3"/>
        <v>0</v>
      </c>
      <c r="X105" s="2">
        <f t="shared" si="4"/>
        <v>0</v>
      </c>
      <c r="Y105" s="2">
        <f t="shared" si="5"/>
        <v>0</v>
      </c>
      <c r="Z105" s="2">
        <f t="shared" si="6"/>
        <v>0</v>
      </c>
      <c r="AA105" s="2">
        <f t="shared" si="7"/>
        <v>1</v>
      </c>
      <c r="AB105" s="2">
        <f>IF(OR($M105="",$N105=""),0,MEDIAN(-MarginCap,MarginCap,($M105-$N105)-$AA105*HFA_Base))</f>
        <v>0</v>
      </c>
      <c r="AC105" s="2">
        <f t="array" ref="AC105">IF(OR($P105="",INDEX($P$3:$P$722,(ROW()+IF(MOD(ROW()-3,2)=0,1,-1))-3+1)=""),0,MEDIAN(-MarginCap,MarginCap,($T105-$W105)-$AA105*HFA_Base))</f>
        <v>0</v>
      </c>
      <c r="AD105" s="2">
        <f t="shared" si="8"/>
        <v>0</v>
      </c>
      <c r="AE105" s="2">
        <f>IF(OR($M105="",$N105=""),0,IF(AND(WEpa&gt;0,$AD105=1),(1-WEpa)*$AB105+WEpa*$AC105,$AB105))</f>
        <v>0</v>
      </c>
      <c r="AF105" s="2">
        <f>IF(AND($C105&lt;&gt;"",$E105=CurrentSeason,$F105="REG",ISNUMBER($G105),$G105&lt;CurrentWeek,AND($M105&lt;&gt;"",$N105&lt;&gt;"")),1,0)</f>
        <v>0</v>
      </c>
      <c r="AG105" s="2">
        <f>IF($AF105=0,0,IF($G105&gt;=CurrentWeek-RecencyWin,RecencyMult,1))</f>
        <v>0</v>
      </c>
      <c r="AH105" s="2">
        <f>IF(AND($C105&lt;&gt;"",$E105=CurrentSeason,$F105="REG",ISNUMBER($G105),$G105&lt;CurrentWeek-1,AND($M105&lt;&gt;"",$N105&lt;&gt;"")),1,0)</f>
        <v>0</v>
      </c>
      <c r="AI105" s="2">
        <f>IF($AH105=0,0,IF($G105&gt;=CurrentWeek-1-RecencyWin,RecencyMult,1))</f>
        <v>0</v>
      </c>
      <c r="AJ105" s="2">
        <f>IF($AF105=0,0,IF($G105&gt;=CurrentWeek-RecencyWin,TotRecency,1))</f>
        <v>0</v>
      </c>
      <c r="AK105" s="2">
        <f t="shared" si="9"/>
        <v>0</v>
      </c>
      <c r="AL105" s="2">
        <f t="shared" si="10"/>
        <v>0</v>
      </c>
      <c r="AM105" s="2" t="str">
        <f t="array" ref="AM105">IF($K105="",0,IFERROR(INDEX(CALC!$F$2:$F$33,MATCH($K105,CALC!$A$2:$A$33,0)),0))</f>
        <v/>
      </c>
      <c r="AN105" s="2" t="str">
        <f t="array" ref="AN105">IF($K105="",0,IFERROR(INDEX(CALC!$I$2:$I$33,MATCH($K105,CALC!$A$2:$A$33,0)),0))</f>
        <v/>
      </c>
      <c r="AO105" s="2" t="str">
        <f t="array" ref="AO105">IF($K105="",0,IFERROR(INDEX(CALC!$L$2:$L$33,MATCH($K105,CALC!$A$2:$A$33,0)),0))</f>
        <v/>
      </c>
      <c r="AP105" s="2" t="str">
        <f t="array" ref="AP105">IF($K105="",0,IFERROR(INDEX(CALC!$T$2:$T$33,MATCH($K105,CALC!$A$2:$A$33,0)),0))</f>
        <v/>
      </c>
      <c r="AQ105" s="2" t="str">
        <f t="array" ref="AQ105">IF($K105="",0,IFERROR(INDEX(CALC!$W$2:$W$33,MATCH($K105,CALC!$A$2:$A$33,0)),0))</f>
        <v/>
      </c>
      <c r="AR105" s="2" t="str">
        <f t="array" ref="AR105">IF($K105="",0,IFERROR(INDEX(CALC!$Z$2:$Z$33,MATCH($K105,CALC!$A$2:$A$33,0)),0))</f>
        <v/>
      </c>
      <c r="AS105" s="2" t="str">
        <f t="array" ref="AS105">IF($K105="",0,IFERROR(INDEX(CALC!$AJ$2:$AJ$33,MATCH($K105,CALC!$A$2:$A$33,0)),0))</f>
        <v/>
      </c>
      <c r="AT105" s="2" t="str">
        <f t="array" ref="AT105">IF($K105="",0,IFERROR(INDEX(CALC!$AI$2:$AI$33,MATCH($K105,CALC!$A$2:$A$33,0)),0))</f>
        <v/>
      </c>
      <c r="AU105" s="2">
        <f t="shared" si="11"/>
        <v>0</v>
      </c>
      <c r="AV105" s="2">
        <f t="shared" si="12"/>
        <v>0</v>
      </c>
    </row>
    <row r="106" ht="15.0" customHeight="1">
      <c r="A106" s="2">
        <v>52.0</v>
      </c>
      <c r="B106" s="2" t="s">
        <v>2366</v>
      </c>
      <c r="C106" s="2">
        <f>IFERROR(MATCH($A106,SchedSeq,0),"")</f>
        <v>337</v>
      </c>
      <c r="D106" s="2" t="str">
        <f t="array" ref="D106">IF($C106="","",INDEX(SchedZone,$C106,MAP!$B$6))</f>
        <v>2026_04_NE_BUF</v>
      </c>
      <c r="E106" s="2">
        <f t="array" ref="E106">IF($C106="","",INDEX(SchedZone,$C106,MAP!$B$3))</f>
        <v>2026</v>
      </c>
      <c r="F106" s="2" t="str">
        <f t="array" ref="F106">IF($C106="","",INDEX(SchedZone,$C106,MAP!$B$5))</f>
        <v>REG</v>
      </c>
      <c r="G106" s="2">
        <f t="array" ref="G106">IF($C106="","",INDEX(SchedZone,$C106,MAP!$B$4))</f>
        <v>4</v>
      </c>
      <c r="H106" s="2" t="str">
        <f t="array" ref="H106">IF($C106="","",INDEX(SchedZone,$C106,MAP!$B$10))</f>
        <v>NE</v>
      </c>
      <c r="I106" s="2" t="str">
        <f t="array" ref="I106">IF($H106="","",IF(COUNTIF(Teams,$H106)&gt;0,$H106,IFERROR(INDEX(LISTS!$D$2:$D$12,MATCH($H106,LISTS!$C$2:$C$12,0)),"⚠ "&amp;$H106)))</f>
        <v>NE</v>
      </c>
      <c r="J106" s="2" t="str">
        <f t="array" ref="J106">IF($C106="","",INDEX(SchedZone,$C106,MAP!$B$12))</f>
        <v>BUF</v>
      </c>
      <c r="K106" s="2" t="str">
        <f t="array" ref="K106">IF($J106="","",IF(COUNTIF(Teams,$J106)&gt;0,$J106,IFERROR(INDEX(LISTS!$D$2:$D$12,MATCH($J106,LISTS!$C$2:$C$12,0)),"⚠ "&amp;$J106)))</f>
        <v>BUF</v>
      </c>
      <c r="L106" s="2" t="str">
        <f t="array" ref="L106">IF($C106="","",IF(INDEX(SchedZone,$C106,MAP!$B$14)="Neutral","N",IF($B106="HOME","H","A")))</f>
        <v>A</v>
      </c>
      <c r="M106" s="2" t="str">
        <f t="array" ref="M106">IF($C106="","",IF(INDEX(SchedZone,$C106,MAP!$B$11)="","",INDEX(SchedZone,$C106,MAP!$B$11)))</f>
        <v/>
      </c>
      <c r="N106" s="2" t="str">
        <f t="array" ref="N106">IF($C106="","",IF(INDEX(SchedZone,$C106,MAP!$B$13)="","",INDEX(SchedZone,$C106,MAP!$B$13)))</f>
        <v/>
      </c>
      <c r="O106" s="2">
        <f t="array" ref="O106">IF($C106="","",INDEX(SchedZone,$C106,MAP!$B$15))</f>
        <v>7</v>
      </c>
      <c r="P106" s="2" t="str">
        <f>IF($C106="","",IFERROR(MATCH($E106&amp;"|"&amp;$G106&amp;"|"&amp;$I106,StatsKey,0),""))</f>
        <v/>
      </c>
      <c r="Q106" s="2">
        <f t="array" ref="Q106">IF($P106="",0,INDEX(StatsZone,$P106,MAP!$E$9)+INDEX(StatsZone,$P106,MAP!$E$10)+INDEX(StatsZone,$P106,MAP!$E$11))</f>
        <v>0</v>
      </c>
      <c r="R106" s="2">
        <f t="array" ref="R106">IF($P106="",0,INDEX(StatsZone,$P106,MAP!$E$12))</f>
        <v>0</v>
      </c>
      <c r="S106" s="2">
        <f t="array" ref="S106">IF($P106="",0,INDEX(StatsZone,$P106,MAP!$E$13))</f>
        <v>0</v>
      </c>
      <c r="T106" s="2">
        <f t="shared" si="1"/>
        <v>0</v>
      </c>
      <c r="U106" s="2">
        <f t="array" ref="U106">IF($P106="",0,INDEX(StatsZone,$P106,MAP!$E$14)+INDEX(StatsZone,$P106,MAP!$E$15)+INDEX(StatsZone,$P106,MAP!$E$16))</f>
        <v>0</v>
      </c>
      <c r="V106" s="2">
        <f t="shared" si="2"/>
        <v>0</v>
      </c>
      <c r="W106" s="2">
        <f t="shared" si="3"/>
        <v>0</v>
      </c>
      <c r="X106" s="2">
        <f t="shared" si="4"/>
        <v>0</v>
      </c>
      <c r="Y106" s="2">
        <f t="shared" si="5"/>
        <v>0</v>
      </c>
      <c r="Z106" s="2">
        <f t="shared" si="6"/>
        <v>0</v>
      </c>
      <c r="AA106" s="2">
        <f t="shared" si="7"/>
        <v>-1</v>
      </c>
      <c r="AB106" s="2">
        <f>IF(OR($M106="",$N106=""),0,MEDIAN(-MarginCap,MarginCap,($M106-$N106)-$AA106*HFA_Base))</f>
        <v>0</v>
      </c>
      <c r="AC106" s="2">
        <f t="array" ref="AC106">IF(OR($P106="",INDEX($P$3:$P$722,(ROW()+IF(MOD(ROW()-3,2)=0,1,-1))-3+1)=""),0,MEDIAN(-MarginCap,MarginCap,($T106-$W106)-$AA106*HFA_Base))</f>
        <v>0</v>
      </c>
      <c r="AD106" s="2">
        <f t="shared" si="8"/>
        <v>0</v>
      </c>
      <c r="AE106" s="2">
        <f>IF(OR($M106="",$N106=""),0,IF(AND(WEpa&gt;0,$AD106=1),(1-WEpa)*$AB106+WEpa*$AC106,$AB106))</f>
        <v>0</v>
      </c>
      <c r="AF106" s="2">
        <f>IF(AND($C106&lt;&gt;"",$E106=CurrentSeason,$F106="REG",ISNUMBER($G106),$G106&lt;CurrentWeek,AND($M106&lt;&gt;"",$N106&lt;&gt;"")),1,0)</f>
        <v>0</v>
      </c>
      <c r="AG106" s="2">
        <f>IF($AF106=0,0,IF($G106&gt;=CurrentWeek-RecencyWin,RecencyMult,1))</f>
        <v>0</v>
      </c>
      <c r="AH106" s="2">
        <f>IF(AND($C106&lt;&gt;"",$E106=CurrentSeason,$F106="REG",ISNUMBER($G106),$G106&lt;CurrentWeek-1,AND($M106&lt;&gt;"",$N106&lt;&gt;"")),1,0)</f>
        <v>0</v>
      </c>
      <c r="AI106" s="2">
        <f>IF($AH106=0,0,IF($G106&gt;=CurrentWeek-1-RecencyWin,RecencyMult,1))</f>
        <v>0</v>
      </c>
      <c r="AJ106" s="2">
        <f>IF($AF106=0,0,IF($G106&gt;=CurrentWeek-RecencyWin,TotRecency,1))</f>
        <v>0</v>
      </c>
      <c r="AK106" s="2">
        <f t="shared" si="9"/>
        <v>0</v>
      </c>
      <c r="AL106" s="2">
        <f t="shared" si="10"/>
        <v>0</v>
      </c>
      <c r="AM106" s="2" t="str">
        <f t="array" ref="AM106">IF($K106="",0,IFERROR(INDEX(CALC!$F$2:$F$33,MATCH($K106,CALC!$A$2:$A$33,0)),0))</f>
        <v/>
      </c>
      <c r="AN106" s="2" t="str">
        <f t="array" ref="AN106">IF($K106="",0,IFERROR(INDEX(CALC!$I$2:$I$33,MATCH($K106,CALC!$A$2:$A$33,0)),0))</f>
        <v/>
      </c>
      <c r="AO106" s="2" t="str">
        <f t="array" ref="AO106">IF($K106="",0,IFERROR(INDEX(CALC!$L$2:$L$33,MATCH($K106,CALC!$A$2:$A$33,0)),0))</f>
        <v/>
      </c>
      <c r="AP106" s="2" t="str">
        <f t="array" ref="AP106">IF($K106="",0,IFERROR(INDEX(CALC!$T$2:$T$33,MATCH($K106,CALC!$A$2:$A$33,0)),0))</f>
        <v/>
      </c>
      <c r="AQ106" s="2" t="str">
        <f t="array" ref="AQ106">IF($K106="",0,IFERROR(INDEX(CALC!$W$2:$W$33,MATCH($K106,CALC!$A$2:$A$33,0)),0))</f>
        <v/>
      </c>
      <c r="AR106" s="2" t="str">
        <f t="array" ref="AR106">IF($K106="",0,IFERROR(INDEX(CALC!$Z$2:$Z$33,MATCH($K106,CALC!$A$2:$A$33,0)),0))</f>
        <v/>
      </c>
      <c r="AS106" s="2" t="str">
        <f t="array" ref="AS106">IF($K106="",0,IFERROR(INDEX(CALC!$AJ$2:$AJ$33,MATCH($K106,CALC!$A$2:$A$33,0)),0))</f>
        <v/>
      </c>
      <c r="AT106" s="2" t="str">
        <f t="array" ref="AT106">IF($K106="",0,IFERROR(INDEX(CALC!$AI$2:$AI$33,MATCH($K106,CALC!$A$2:$A$33,0)),0))</f>
        <v/>
      </c>
      <c r="AU106" s="2">
        <f t="shared" si="11"/>
        <v>0</v>
      </c>
      <c r="AV106" s="2">
        <f t="shared" si="12"/>
        <v>0</v>
      </c>
    </row>
    <row r="107" ht="15.0" customHeight="1">
      <c r="A107" s="2">
        <v>53.0</v>
      </c>
      <c r="B107" s="2" t="s">
        <v>2365</v>
      </c>
      <c r="C107" s="2">
        <f>IFERROR(MATCH($A107,SchedSeq,0),"")</f>
        <v>338</v>
      </c>
      <c r="D107" s="2" t="str">
        <f t="array" ref="D107">IF($C107="","",INDEX(SchedZone,$C107,MAP!$B$6))</f>
        <v>2026_04_NYJ_CHI</v>
      </c>
      <c r="E107" s="2">
        <f t="array" ref="E107">IF($C107="","",INDEX(SchedZone,$C107,MAP!$B$3))</f>
        <v>2026</v>
      </c>
      <c r="F107" s="2" t="str">
        <f t="array" ref="F107">IF($C107="","",INDEX(SchedZone,$C107,MAP!$B$5))</f>
        <v>REG</v>
      </c>
      <c r="G107" s="2">
        <f t="array" ref="G107">IF($C107="","",INDEX(SchedZone,$C107,MAP!$B$4))</f>
        <v>4</v>
      </c>
      <c r="H107" s="2" t="str">
        <f t="array" ref="H107">IF($C107="","",INDEX(SchedZone,$C107,MAP!$B$12))</f>
        <v>CHI</v>
      </c>
      <c r="I107" s="2" t="str">
        <f t="array" ref="I107">IF($H107="","",IF(COUNTIF(Teams,$H107)&gt;0,$H107,IFERROR(INDEX(LISTS!$D$2:$D$12,MATCH($H107,LISTS!$C$2:$C$12,0)),"⚠ "&amp;$H107)))</f>
        <v>CHI</v>
      </c>
      <c r="J107" s="2" t="str">
        <f t="array" ref="J107">IF($C107="","",INDEX(SchedZone,$C107,MAP!$B$10))</f>
        <v>NYJ</v>
      </c>
      <c r="K107" s="2" t="str">
        <f t="array" ref="K107">IF($J107="","",IF(COUNTIF(Teams,$J107)&gt;0,$J107,IFERROR(INDEX(LISTS!$D$2:$D$12,MATCH($J107,LISTS!$C$2:$C$12,0)),"⚠ "&amp;$J107)))</f>
        <v>NYJ</v>
      </c>
      <c r="L107" s="2" t="str">
        <f t="array" ref="L107">IF($C107="","",IF(INDEX(SchedZone,$C107,MAP!$B$14)="Neutral","N",IF($B107="HOME","H","A")))</f>
        <v>H</v>
      </c>
      <c r="M107" s="2" t="str">
        <f t="array" ref="M107">IF($C107="","",IF(INDEX(SchedZone,$C107,MAP!$B$13)="","",INDEX(SchedZone,$C107,MAP!$B$13)))</f>
        <v/>
      </c>
      <c r="N107" s="2" t="str">
        <f t="array" ref="N107">IF($C107="","",IF(INDEX(SchedZone,$C107,MAP!$B$11)="","",INDEX(SchedZone,$C107,MAP!$B$11)))</f>
        <v/>
      </c>
      <c r="O107" s="2">
        <f t="array" ref="O107">IF($C107="","",INDEX(SchedZone,$C107,MAP!$B$16))</f>
        <v>6</v>
      </c>
      <c r="P107" s="2" t="str">
        <f>IF($C107="","",IFERROR(MATCH($E107&amp;"|"&amp;$G107&amp;"|"&amp;$I107,StatsKey,0),""))</f>
        <v/>
      </c>
      <c r="Q107" s="2">
        <f t="array" ref="Q107">IF($P107="",0,INDEX(StatsZone,$P107,MAP!$E$9)+INDEX(StatsZone,$P107,MAP!$E$10)+INDEX(StatsZone,$P107,MAP!$E$11))</f>
        <v>0</v>
      </c>
      <c r="R107" s="2">
        <f t="array" ref="R107">IF($P107="",0,INDEX(StatsZone,$P107,MAP!$E$12))</f>
        <v>0</v>
      </c>
      <c r="S107" s="2">
        <f t="array" ref="S107">IF($P107="",0,INDEX(StatsZone,$P107,MAP!$E$13))</f>
        <v>0</v>
      </c>
      <c r="T107" s="2">
        <f t="shared" si="1"/>
        <v>0</v>
      </c>
      <c r="U107" s="2">
        <f t="array" ref="U107">IF($P107="",0,INDEX(StatsZone,$P107,MAP!$E$14)+INDEX(StatsZone,$P107,MAP!$E$15)+INDEX(StatsZone,$P107,MAP!$E$16))</f>
        <v>0</v>
      </c>
      <c r="V107" s="2">
        <f t="shared" si="2"/>
        <v>0</v>
      </c>
      <c r="W107" s="2">
        <f t="shared" si="3"/>
        <v>0</v>
      </c>
      <c r="X107" s="2">
        <f t="shared" si="4"/>
        <v>0</v>
      </c>
      <c r="Y107" s="2">
        <f t="shared" si="5"/>
        <v>0</v>
      </c>
      <c r="Z107" s="2">
        <f t="shared" si="6"/>
        <v>0</v>
      </c>
      <c r="AA107" s="2">
        <f t="shared" si="7"/>
        <v>1</v>
      </c>
      <c r="AB107" s="2">
        <f>IF(OR($M107="",$N107=""),0,MEDIAN(-MarginCap,MarginCap,($M107-$N107)-$AA107*HFA_Base))</f>
        <v>0</v>
      </c>
      <c r="AC107" s="2">
        <f t="array" ref="AC107">IF(OR($P107="",INDEX($P$3:$P$722,(ROW()+IF(MOD(ROW()-3,2)=0,1,-1))-3+1)=""),0,MEDIAN(-MarginCap,MarginCap,($T107-$W107)-$AA107*HFA_Base))</f>
        <v>0</v>
      </c>
      <c r="AD107" s="2">
        <f t="shared" si="8"/>
        <v>0</v>
      </c>
      <c r="AE107" s="2">
        <f>IF(OR($M107="",$N107=""),0,IF(AND(WEpa&gt;0,$AD107=1),(1-WEpa)*$AB107+WEpa*$AC107,$AB107))</f>
        <v>0</v>
      </c>
      <c r="AF107" s="2">
        <f>IF(AND($C107&lt;&gt;"",$E107=CurrentSeason,$F107="REG",ISNUMBER($G107),$G107&lt;CurrentWeek,AND($M107&lt;&gt;"",$N107&lt;&gt;"")),1,0)</f>
        <v>0</v>
      </c>
      <c r="AG107" s="2">
        <f>IF($AF107=0,0,IF($G107&gt;=CurrentWeek-RecencyWin,RecencyMult,1))</f>
        <v>0</v>
      </c>
      <c r="AH107" s="2">
        <f>IF(AND($C107&lt;&gt;"",$E107=CurrentSeason,$F107="REG",ISNUMBER($G107),$G107&lt;CurrentWeek-1,AND($M107&lt;&gt;"",$N107&lt;&gt;"")),1,0)</f>
        <v>0</v>
      </c>
      <c r="AI107" s="2">
        <f>IF($AH107=0,0,IF($G107&gt;=CurrentWeek-1-RecencyWin,RecencyMult,1))</f>
        <v>0</v>
      </c>
      <c r="AJ107" s="2">
        <f>IF($AF107=0,0,IF($G107&gt;=CurrentWeek-RecencyWin,TotRecency,1))</f>
        <v>0</v>
      </c>
      <c r="AK107" s="2">
        <f t="shared" si="9"/>
        <v>0</v>
      </c>
      <c r="AL107" s="2">
        <f t="shared" si="10"/>
        <v>0</v>
      </c>
      <c r="AM107" s="2" t="str">
        <f t="array" ref="AM107">IF($K107="",0,IFERROR(INDEX(CALC!$F$2:$F$33,MATCH($K107,CALC!$A$2:$A$33,0)),0))</f>
        <v/>
      </c>
      <c r="AN107" s="2" t="str">
        <f t="array" ref="AN107">IF($K107="",0,IFERROR(INDEX(CALC!$I$2:$I$33,MATCH($K107,CALC!$A$2:$A$33,0)),0))</f>
        <v/>
      </c>
      <c r="AO107" s="2" t="str">
        <f t="array" ref="AO107">IF($K107="",0,IFERROR(INDEX(CALC!$L$2:$L$33,MATCH($K107,CALC!$A$2:$A$33,0)),0))</f>
        <v/>
      </c>
      <c r="AP107" s="2" t="str">
        <f t="array" ref="AP107">IF($K107="",0,IFERROR(INDEX(CALC!$T$2:$T$33,MATCH($K107,CALC!$A$2:$A$33,0)),0))</f>
        <v/>
      </c>
      <c r="AQ107" s="2" t="str">
        <f t="array" ref="AQ107">IF($K107="",0,IFERROR(INDEX(CALC!$W$2:$W$33,MATCH($K107,CALC!$A$2:$A$33,0)),0))</f>
        <v/>
      </c>
      <c r="AR107" s="2" t="str">
        <f t="array" ref="AR107">IF($K107="",0,IFERROR(INDEX(CALC!$Z$2:$Z$33,MATCH($K107,CALC!$A$2:$A$33,0)),0))</f>
        <v/>
      </c>
      <c r="AS107" s="2" t="str">
        <f t="array" ref="AS107">IF($K107="",0,IFERROR(INDEX(CALC!$AJ$2:$AJ$33,MATCH($K107,CALC!$A$2:$A$33,0)),0))</f>
        <v/>
      </c>
      <c r="AT107" s="2" t="str">
        <f t="array" ref="AT107">IF($K107="",0,IFERROR(INDEX(CALC!$AI$2:$AI$33,MATCH($K107,CALC!$A$2:$A$33,0)),0))</f>
        <v/>
      </c>
      <c r="AU107" s="2">
        <f t="shared" si="11"/>
        <v>0</v>
      </c>
      <c r="AV107" s="2">
        <f t="shared" si="12"/>
        <v>0</v>
      </c>
    </row>
    <row r="108" ht="15.0" customHeight="1">
      <c r="A108" s="2">
        <v>53.0</v>
      </c>
      <c r="B108" s="2" t="s">
        <v>2366</v>
      </c>
      <c r="C108" s="2">
        <f>IFERROR(MATCH($A108,SchedSeq,0),"")</f>
        <v>338</v>
      </c>
      <c r="D108" s="2" t="str">
        <f t="array" ref="D108">IF($C108="","",INDEX(SchedZone,$C108,MAP!$B$6))</f>
        <v>2026_04_NYJ_CHI</v>
      </c>
      <c r="E108" s="2">
        <f t="array" ref="E108">IF($C108="","",INDEX(SchedZone,$C108,MAP!$B$3))</f>
        <v>2026</v>
      </c>
      <c r="F108" s="2" t="str">
        <f t="array" ref="F108">IF($C108="","",INDEX(SchedZone,$C108,MAP!$B$5))</f>
        <v>REG</v>
      </c>
      <c r="G108" s="2">
        <f t="array" ref="G108">IF($C108="","",INDEX(SchedZone,$C108,MAP!$B$4))</f>
        <v>4</v>
      </c>
      <c r="H108" s="2" t="str">
        <f t="array" ref="H108">IF($C108="","",INDEX(SchedZone,$C108,MAP!$B$10))</f>
        <v>NYJ</v>
      </c>
      <c r="I108" s="2" t="str">
        <f t="array" ref="I108">IF($H108="","",IF(COUNTIF(Teams,$H108)&gt;0,$H108,IFERROR(INDEX(LISTS!$D$2:$D$12,MATCH($H108,LISTS!$C$2:$C$12,0)),"⚠ "&amp;$H108)))</f>
        <v>NYJ</v>
      </c>
      <c r="J108" s="2" t="str">
        <f t="array" ref="J108">IF($C108="","",INDEX(SchedZone,$C108,MAP!$B$12))</f>
        <v>CHI</v>
      </c>
      <c r="K108" s="2" t="str">
        <f t="array" ref="K108">IF($J108="","",IF(COUNTIF(Teams,$J108)&gt;0,$J108,IFERROR(INDEX(LISTS!$D$2:$D$12,MATCH($J108,LISTS!$C$2:$C$12,0)),"⚠ "&amp;$J108)))</f>
        <v>CHI</v>
      </c>
      <c r="L108" s="2" t="str">
        <f t="array" ref="L108">IF($C108="","",IF(INDEX(SchedZone,$C108,MAP!$B$14)="Neutral","N",IF($B108="HOME","H","A")))</f>
        <v>A</v>
      </c>
      <c r="M108" s="2" t="str">
        <f t="array" ref="M108">IF($C108="","",IF(INDEX(SchedZone,$C108,MAP!$B$11)="","",INDEX(SchedZone,$C108,MAP!$B$11)))</f>
        <v/>
      </c>
      <c r="N108" s="2" t="str">
        <f t="array" ref="N108">IF($C108="","",IF(INDEX(SchedZone,$C108,MAP!$B$13)="","",INDEX(SchedZone,$C108,MAP!$B$13)))</f>
        <v/>
      </c>
      <c r="O108" s="2">
        <f t="array" ref="O108">IF($C108="","",INDEX(SchedZone,$C108,MAP!$B$15))</f>
        <v>7</v>
      </c>
      <c r="P108" s="2" t="str">
        <f>IF($C108="","",IFERROR(MATCH($E108&amp;"|"&amp;$G108&amp;"|"&amp;$I108,StatsKey,0),""))</f>
        <v/>
      </c>
      <c r="Q108" s="2">
        <f t="array" ref="Q108">IF($P108="",0,INDEX(StatsZone,$P108,MAP!$E$9)+INDEX(StatsZone,$P108,MAP!$E$10)+INDEX(StatsZone,$P108,MAP!$E$11))</f>
        <v>0</v>
      </c>
      <c r="R108" s="2">
        <f t="array" ref="R108">IF($P108="",0,INDEX(StatsZone,$P108,MAP!$E$12))</f>
        <v>0</v>
      </c>
      <c r="S108" s="2">
        <f t="array" ref="S108">IF($P108="",0,INDEX(StatsZone,$P108,MAP!$E$13))</f>
        <v>0</v>
      </c>
      <c r="T108" s="2">
        <f t="shared" si="1"/>
        <v>0</v>
      </c>
      <c r="U108" s="2">
        <f t="array" ref="U108">IF($P108="",0,INDEX(StatsZone,$P108,MAP!$E$14)+INDEX(StatsZone,$P108,MAP!$E$15)+INDEX(StatsZone,$P108,MAP!$E$16))</f>
        <v>0</v>
      </c>
      <c r="V108" s="2">
        <f t="shared" si="2"/>
        <v>0</v>
      </c>
      <c r="W108" s="2">
        <f t="shared" si="3"/>
        <v>0</v>
      </c>
      <c r="X108" s="2">
        <f t="shared" si="4"/>
        <v>0</v>
      </c>
      <c r="Y108" s="2">
        <f t="shared" si="5"/>
        <v>0</v>
      </c>
      <c r="Z108" s="2">
        <f t="shared" si="6"/>
        <v>0</v>
      </c>
      <c r="AA108" s="2">
        <f t="shared" si="7"/>
        <v>-1</v>
      </c>
      <c r="AB108" s="2">
        <f>IF(OR($M108="",$N108=""),0,MEDIAN(-MarginCap,MarginCap,($M108-$N108)-$AA108*HFA_Base))</f>
        <v>0</v>
      </c>
      <c r="AC108" s="2">
        <f t="array" ref="AC108">IF(OR($P108="",INDEX($P$3:$P$722,(ROW()+IF(MOD(ROW()-3,2)=0,1,-1))-3+1)=""),0,MEDIAN(-MarginCap,MarginCap,($T108-$W108)-$AA108*HFA_Base))</f>
        <v>0</v>
      </c>
      <c r="AD108" s="2">
        <f t="shared" si="8"/>
        <v>0</v>
      </c>
      <c r="AE108" s="2">
        <f>IF(OR($M108="",$N108=""),0,IF(AND(WEpa&gt;0,$AD108=1),(1-WEpa)*$AB108+WEpa*$AC108,$AB108))</f>
        <v>0</v>
      </c>
      <c r="AF108" s="2">
        <f>IF(AND($C108&lt;&gt;"",$E108=CurrentSeason,$F108="REG",ISNUMBER($G108),$G108&lt;CurrentWeek,AND($M108&lt;&gt;"",$N108&lt;&gt;"")),1,0)</f>
        <v>0</v>
      </c>
      <c r="AG108" s="2">
        <f>IF($AF108=0,0,IF($G108&gt;=CurrentWeek-RecencyWin,RecencyMult,1))</f>
        <v>0</v>
      </c>
      <c r="AH108" s="2">
        <f>IF(AND($C108&lt;&gt;"",$E108=CurrentSeason,$F108="REG",ISNUMBER($G108),$G108&lt;CurrentWeek-1,AND($M108&lt;&gt;"",$N108&lt;&gt;"")),1,0)</f>
        <v>0</v>
      </c>
      <c r="AI108" s="2">
        <f>IF($AH108=0,0,IF($G108&gt;=CurrentWeek-1-RecencyWin,RecencyMult,1))</f>
        <v>0</v>
      </c>
      <c r="AJ108" s="2">
        <f>IF($AF108=0,0,IF($G108&gt;=CurrentWeek-RecencyWin,TotRecency,1))</f>
        <v>0</v>
      </c>
      <c r="AK108" s="2">
        <f t="shared" si="9"/>
        <v>0</v>
      </c>
      <c r="AL108" s="2">
        <f t="shared" si="10"/>
        <v>0</v>
      </c>
      <c r="AM108" s="2" t="str">
        <f t="array" ref="AM108">IF($K108="",0,IFERROR(INDEX(CALC!$F$2:$F$33,MATCH($K108,CALC!$A$2:$A$33,0)),0))</f>
        <v/>
      </c>
      <c r="AN108" s="2" t="str">
        <f t="array" ref="AN108">IF($K108="",0,IFERROR(INDEX(CALC!$I$2:$I$33,MATCH($K108,CALC!$A$2:$A$33,0)),0))</f>
        <v/>
      </c>
      <c r="AO108" s="2" t="str">
        <f t="array" ref="AO108">IF($K108="",0,IFERROR(INDEX(CALC!$L$2:$L$33,MATCH($K108,CALC!$A$2:$A$33,0)),0))</f>
        <v/>
      </c>
      <c r="AP108" s="2" t="str">
        <f t="array" ref="AP108">IF($K108="",0,IFERROR(INDEX(CALC!$T$2:$T$33,MATCH($K108,CALC!$A$2:$A$33,0)),0))</f>
        <v/>
      </c>
      <c r="AQ108" s="2" t="str">
        <f t="array" ref="AQ108">IF($K108="",0,IFERROR(INDEX(CALC!$W$2:$W$33,MATCH($K108,CALC!$A$2:$A$33,0)),0))</f>
        <v/>
      </c>
      <c r="AR108" s="2" t="str">
        <f t="array" ref="AR108">IF($K108="",0,IFERROR(INDEX(CALC!$Z$2:$Z$33,MATCH($K108,CALC!$A$2:$A$33,0)),0))</f>
        <v/>
      </c>
      <c r="AS108" s="2" t="str">
        <f t="array" ref="AS108">IF($K108="",0,IFERROR(INDEX(CALC!$AJ$2:$AJ$33,MATCH($K108,CALC!$A$2:$A$33,0)),0))</f>
        <v/>
      </c>
      <c r="AT108" s="2" t="str">
        <f t="array" ref="AT108">IF($K108="",0,IFERROR(INDEX(CALC!$AI$2:$AI$33,MATCH($K108,CALC!$A$2:$A$33,0)),0))</f>
        <v/>
      </c>
      <c r="AU108" s="2">
        <f t="shared" si="11"/>
        <v>0</v>
      </c>
      <c r="AV108" s="2">
        <f t="shared" si="12"/>
        <v>0</v>
      </c>
    </row>
    <row r="109" ht="15.0" customHeight="1">
      <c r="A109" s="2">
        <v>54.0</v>
      </c>
      <c r="B109" s="2" t="s">
        <v>2365</v>
      </c>
      <c r="C109" s="2">
        <f>IFERROR(MATCH($A109,SchedSeq,0),"")</f>
        <v>339</v>
      </c>
      <c r="D109" s="2" t="str">
        <f t="array" ref="D109">IF($C109="","",INDEX(SchedZone,$C109,MAP!$B$6))</f>
        <v>2026_04_JAX_CIN</v>
      </c>
      <c r="E109" s="2">
        <f t="array" ref="E109">IF($C109="","",INDEX(SchedZone,$C109,MAP!$B$3))</f>
        <v>2026</v>
      </c>
      <c r="F109" s="2" t="str">
        <f t="array" ref="F109">IF($C109="","",INDEX(SchedZone,$C109,MAP!$B$5))</f>
        <v>REG</v>
      </c>
      <c r="G109" s="2">
        <f t="array" ref="G109">IF($C109="","",INDEX(SchedZone,$C109,MAP!$B$4))</f>
        <v>4</v>
      </c>
      <c r="H109" s="2" t="str">
        <f t="array" ref="H109">IF($C109="","",INDEX(SchedZone,$C109,MAP!$B$12))</f>
        <v>CIN</v>
      </c>
      <c r="I109" s="2" t="str">
        <f t="array" ref="I109">IF($H109="","",IF(COUNTIF(Teams,$H109)&gt;0,$H109,IFERROR(INDEX(LISTS!$D$2:$D$12,MATCH($H109,LISTS!$C$2:$C$12,0)),"⚠ "&amp;$H109)))</f>
        <v>CIN</v>
      </c>
      <c r="J109" s="2" t="str">
        <f t="array" ref="J109">IF($C109="","",INDEX(SchedZone,$C109,MAP!$B$10))</f>
        <v>JAX</v>
      </c>
      <c r="K109" s="2" t="str">
        <f t="array" ref="K109">IF($J109="","",IF(COUNTIF(Teams,$J109)&gt;0,$J109,IFERROR(INDEX(LISTS!$D$2:$D$12,MATCH($J109,LISTS!$C$2:$C$12,0)),"⚠ "&amp;$J109)))</f>
        <v>JAX</v>
      </c>
      <c r="L109" s="2" t="str">
        <f t="array" ref="L109">IF($C109="","",IF(INDEX(SchedZone,$C109,MAP!$B$14)="Neutral","N",IF($B109="HOME","H","A")))</f>
        <v>H</v>
      </c>
      <c r="M109" s="2" t="str">
        <f t="array" ref="M109">IF($C109="","",IF(INDEX(SchedZone,$C109,MAP!$B$13)="","",INDEX(SchedZone,$C109,MAP!$B$13)))</f>
        <v/>
      </c>
      <c r="N109" s="2" t="str">
        <f t="array" ref="N109">IF($C109="","",IF(INDEX(SchedZone,$C109,MAP!$B$11)="","",INDEX(SchedZone,$C109,MAP!$B$11)))</f>
        <v/>
      </c>
      <c r="O109" s="2">
        <f t="array" ref="O109">IF($C109="","",INDEX(SchedZone,$C109,MAP!$B$16))</f>
        <v>7</v>
      </c>
      <c r="P109" s="2" t="str">
        <f>IF($C109="","",IFERROR(MATCH($E109&amp;"|"&amp;$G109&amp;"|"&amp;$I109,StatsKey,0),""))</f>
        <v/>
      </c>
      <c r="Q109" s="2">
        <f t="array" ref="Q109">IF($P109="",0,INDEX(StatsZone,$P109,MAP!$E$9)+INDEX(StatsZone,$P109,MAP!$E$10)+INDEX(StatsZone,$P109,MAP!$E$11))</f>
        <v>0</v>
      </c>
      <c r="R109" s="2">
        <f t="array" ref="R109">IF($P109="",0,INDEX(StatsZone,$P109,MAP!$E$12))</f>
        <v>0</v>
      </c>
      <c r="S109" s="2">
        <f t="array" ref="S109">IF($P109="",0,INDEX(StatsZone,$P109,MAP!$E$13))</f>
        <v>0</v>
      </c>
      <c r="T109" s="2">
        <f t="shared" si="1"/>
        <v>0</v>
      </c>
      <c r="U109" s="2">
        <f t="array" ref="U109">IF($P109="",0,INDEX(StatsZone,$P109,MAP!$E$14)+INDEX(StatsZone,$P109,MAP!$E$15)+INDEX(StatsZone,$P109,MAP!$E$16))</f>
        <v>0</v>
      </c>
      <c r="V109" s="2">
        <f t="shared" si="2"/>
        <v>0</v>
      </c>
      <c r="W109" s="2">
        <f t="shared" si="3"/>
        <v>0</v>
      </c>
      <c r="X109" s="2">
        <f t="shared" si="4"/>
        <v>0</v>
      </c>
      <c r="Y109" s="2">
        <f t="shared" si="5"/>
        <v>0</v>
      </c>
      <c r="Z109" s="2">
        <f t="shared" si="6"/>
        <v>0</v>
      </c>
      <c r="AA109" s="2">
        <f t="shared" si="7"/>
        <v>1</v>
      </c>
      <c r="AB109" s="2">
        <f>IF(OR($M109="",$N109=""),0,MEDIAN(-MarginCap,MarginCap,($M109-$N109)-$AA109*HFA_Base))</f>
        <v>0</v>
      </c>
      <c r="AC109" s="2">
        <f t="array" ref="AC109">IF(OR($P109="",INDEX($P$3:$P$722,(ROW()+IF(MOD(ROW()-3,2)=0,1,-1))-3+1)=""),0,MEDIAN(-MarginCap,MarginCap,($T109-$W109)-$AA109*HFA_Base))</f>
        <v>0</v>
      </c>
      <c r="AD109" s="2">
        <f t="shared" si="8"/>
        <v>0</v>
      </c>
      <c r="AE109" s="2">
        <f>IF(OR($M109="",$N109=""),0,IF(AND(WEpa&gt;0,$AD109=1),(1-WEpa)*$AB109+WEpa*$AC109,$AB109))</f>
        <v>0</v>
      </c>
      <c r="AF109" s="2">
        <f>IF(AND($C109&lt;&gt;"",$E109=CurrentSeason,$F109="REG",ISNUMBER($G109),$G109&lt;CurrentWeek,AND($M109&lt;&gt;"",$N109&lt;&gt;"")),1,0)</f>
        <v>0</v>
      </c>
      <c r="AG109" s="2">
        <f>IF($AF109=0,0,IF($G109&gt;=CurrentWeek-RecencyWin,RecencyMult,1))</f>
        <v>0</v>
      </c>
      <c r="AH109" s="2">
        <f>IF(AND($C109&lt;&gt;"",$E109=CurrentSeason,$F109="REG",ISNUMBER($G109),$G109&lt;CurrentWeek-1,AND($M109&lt;&gt;"",$N109&lt;&gt;"")),1,0)</f>
        <v>0</v>
      </c>
      <c r="AI109" s="2">
        <f>IF($AH109=0,0,IF($G109&gt;=CurrentWeek-1-RecencyWin,RecencyMult,1))</f>
        <v>0</v>
      </c>
      <c r="AJ109" s="2">
        <f>IF($AF109=0,0,IF($G109&gt;=CurrentWeek-RecencyWin,TotRecency,1))</f>
        <v>0</v>
      </c>
      <c r="AK109" s="2">
        <f t="shared" si="9"/>
        <v>0</v>
      </c>
      <c r="AL109" s="2">
        <f t="shared" si="10"/>
        <v>0</v>
      </c>
      <c r="AM109" s="2" t="str">
        <f t="array" ref="AM109">IF($K109="",0,IFERROR(INDEX(CALC!$F$2:$F$33,MATCH($K109,CALC!$A$2:$A$33,0)),0))</f>
        <v/>
      </c>
      <c r="AN109" s="2" t="str">
        <f t="array" ref="AN109">IF($K109="",0,IFERROR(INDEX(CALC!$I$2:$I$33,MATCH($K109,CALC!$A$2:$A$33,0)),0))</f>
        <v/>
      </c>
      <c r="AO109" s="2" t="str">
        <f t="array" ref="AO109">IF($K109="",0,IFERROR(INDEX(CALC!$L$2:$L$33,MATCH($K109,CALC!$A$2:$A$33,0)),0))</f>
        <v/>
      </c>
      <c r="AP109" s="2" t="str">
        <f t="array" ref="AP109">IF($K109="",0,IFERROR(INDEX(CALC!$T$2:$T$33,MATCH($K109,CALC!$A$2:$A$33,0)),0))</f>
        <v/>
      </c>
      <c r="AQ109" s="2" t="str">
        <f t="array" ref="AQ109">IF($K109="",0,IFERROR(INDEX(CALC!$W$2:$W$33,MATCH($K109,CALC!$A$2:$A$33,0)),0))</f>
        <v/>
      </c>
      <c r="AR109" s="2" t="str">
        <f t="array" ref="AR109">IF($K109="",0,IFERROR(INDEX(CALC!$Z$2:$Z$33,MATCH($K109,CALC!$A$2:$A$33,0)),0))</f>
        <v/>
      </c>
      <c r="AS109" s="2" t="str">
        <f t="array" ref="AS109">IF($K109="",0,IFERROR(INDEX(CALC!$AJ$2:$AJ$33,MATCH($K109,CALC!$A$2:$A$33,0)),0))</f>
        <v/>
      </c>
      <c r="AT109" s="2" t="str">
        <f t="array" ref="AT109">IF($K109="",0,IFERROR(INDEX(CALC!$AI$2:$AI$33,MATCH($K109,CALC!$A$2:$A$33,0)),0))</f>
        <v/>
      </c>
      <c r="AU109" s="2">
        <f t="shared" si="11"/>
        <v>0</v>
      </c>
      <c r="AV109" s="2">
        <f t="shared" si="12"/>
        <v>0</v>
      </c>
    </row>
    <row r="110" ht="15.0" customHeight="1">
      <c r="A110" s="2">
        <v>54.0</v>
      </c>
      <c r="B110" s="2" t="s">
        <v>2366</v>
      </c>
      <c r="C110" s="2">
        <f>IFERROR(MATCH($A110,SchedSeq,0),"")</f>
        <v>339</v>
      </c>
      <c r="D110" s="2" t="str">
        <f t="array" ref="D110">IF($C110="","",INDEX(SchedZone,$C110,MAP!$B$6))</f>
        <v>2026_04_JAX_CIN</v>
      </c>
      <c r="E110" s="2">
        <f t="array" ref="E110">IF($C110="","",INDEX(SchedZone,$C110,MAP!$B$3))</f>
        <v>2026</v>
      </c>
      <c r="F110" s="2" t="str">
        <f t="array" ref="F110">IF($C110="","",INDEX(SchedZone,$C110,MAP!$B$5))</f>
        <v>REG</v>
      </c>
      <c r="G110" s="2">
        <f t="array" ref="G110">IF($C110="","",INDEX(SchedZone,$C110,MAP!$B$4))</f>
        <v>4</v>
      </c>
      <c r="H110" s="2" t="str">
        <f t="array" ref="H110">IF($C110="","",INDEX(SchedZone,$C110,MAP!$B$10))</f>
        <v>JAX</v>
      </c>
      <c r="I110" s="2" t="str">
        <f t="array" ref="I110">IF($H110="","",IF(COUNTIF(Teams,$H110)&gt;0,$H110,IFERROR(INDEX(LISTS!$D$2:$D$12,MATCH($H110,LISTS!$C$2:$C$12,0)),"⚠ "&amp;$H110)))</f>
        <v>JAX</v>
      </c>
      <c r="J110" s="2" t="str">
        <f t="array" ref="J110">IF($C110="","",INDEX(SchedZone,$C110,MAP!$B$12))</f>
        <v>CIN</v>
      </c>
      <c r="K110" s="2" t="str">
        <f t="array" ref="K110">IF($J110="","",IF(COUNTIF(Teams,$J110)&gt;0,$J110,IFERROR(INDEX(LISTS!$D$2:$D$12,MATCH($J110,LISTS!$C$2:$C$12,0)),"⚠ "&amp;$J110)))</f>
        <v>CIN</v>
      </c>
      <c r="L110" s="2" t="str">
        <f t="array" ref="L110">IF($C110="","",IF(INDEX(SchedZone,$C110,MAP!$B$14)="Neutral","N",IF($B110="HOME","H","A")))</f>
        <v>A</v>
      </c>
      <c r="M110" s="2" t="str">
        <f t="array" ref="M110">IF($C110="","",IF(INDEX(SchedZone,$C110,MAP!$B$11)="","",INDEX(SchedZone,$C110,MAP!$B$11)))</f>
        <v/>
      </c>
      <c r="N110" s="2" t="str">
        <f t="array" ref="N110">IF($C110="","",IF(INDEX(SchedZone,$C110,MAP!$B$13)="","",INDEX(SchedZone,$C110,MAP!$B$13)))</f>
        <v/>
      </c>
      <c r="O110" s="2">
        <f t="array" ref="O110">IF($C110="","",INDEX(SchedZone,$C110,MAP!$B$15))</f>
        <v>7</v>
      </c>
      <c r="P110" s="2" t="str">
        <f>IF($C110="","",IFERROR(MATCH($E110&amp;"|"&amp;$G110&amp;"|"&amp;$I110,StatsKey,0),""))</f>
        <v/>
      </c>
      <c r="Q110" s="2">
        <f t="array" ref="Q110">IF($P110="",0,INDEX(StatsZone,$P110,MAP!$E$9)+INDEX(StatsZone,$P110,MAP!$E$10)+INDEX(StatsZone,$P110,MAP!$E$11))</f>
        <v>0</v>
      </c>
      <c r="R110" s="2">
        <f t="array" ref="R110">IF($P110="",0,INDEX(StatsZone,$P110,MAP!$E$12))</f>
        <v>0</v>
      </c>
      <c r="S110" s="2">
        <f t="array" ref="S110">IF($P110="",0,INDEX(StatsZone,$P110,MAP!$E$13))</f>
        <v>0</v>
      </c>
      <c r="T110" s="2">
        <f t="shared" si="1"/>
        <v>0</v>
      </c>
      <c r="U110" s="2">
        <f t="array" ref="U110">IF($P110="",0,INDEX(StatsZone,$P110,MAP!$E$14)+INDEX(StatsZone,$P110,MAP!$E$15)+INDEX(StatsZone,$P110,MAP!$E$16))</f>
        <v>0</v>
      </c>
      <c r="V110" s="2">
        <f t="shared" si="2"/>
        <v>0</v>
      </c>
      <c r="W110" s="2">
        <f t="shared" si="3"/>
        <v>0</v>
      </c>
      <c r="X110" s="2">
        <f t="shared" si="4"/>
        <v>0</v>
      </c>
      <c r="Y110" s="2">
        <f t="shared" si="5"/>
        <v>0</v>
      </c>
      <c r="Z110" s="2">
        <f t="shared" si="6"/>
        <v>0</v>
      </c>
      <c r="AA110" s="2">
        <f t="shared" si="7"/>
        <v>-1</v>
      </c>
      <c r="AB110" s="2">
        <f>IF(OR($M110="",$N110=""),0,MEDIAN(-MarginCap,MarginCap,($M110-$N110)-$AA110*HFA_Base))</f>
        <v>0</v>
      </c>
      <c r="AC110" s="2">
        <f t="array" ref="AC110">IF(OR($P110="",INDEX($P$3:$P$722,(ROW()+IF(MOD(ROW()-3,2)=0,1,-1))-3+1)=""),0,MEDIAN(-MarginCap,MarginCap,($T110-$W110)-$AA110*HFA_Base))</f>
        <v>0</v>
      </c>
      <c r="AD110" s="2">
        <f t="shared" si="8"/>
        <v>0</v>
      </c>
      <c r="AE110" s="2">
        <f>IF(OR($M110="",$N110=""),0,IF(AND(WEpa&gt;0,$AD110=1),(1-WEpa)*$AB110+WEpa*$AC110,$AB110))</f>
        <v>0</v>
      </c>
      <c r="AF110" s="2">
        <f>IF(AND($C110&lt;&gt;"",$E110=CurrentSeason,$F110="REG",ISNUMBER($G110),$G110&lt;CurrentWeek,AND($M110&lt;&gt;"",$N110&lt;&gt;"")),1,0)</f>
        <v>0</v>
      </c>
      <c r="AG110" s="2">
        <f>IF($AF110=0,0,IF($G110&gt;=CurrentWeek-RecencyWin,RecencyMult,1))</f>
        <v>0</v>
      </c>
      <c r="AH110" s="2">
        <f>IF(AND($C110&lt;&gt;"",$E110=CurrentSeason,$F110="REG",ISNUMBER($G110),$G110&lt;CurrentWeek-1,AND($M110&lt;&gt;"",$N110&lt;&gt;"")),1,0)</f>
        <v>0</v>
      </c>
      <c r="AI110" s="2">
        <f>IF($AH110=0,0,IF($G110&gt;=CurrentWeek-1-RecencyWin,RecencyMult,1))</f>
        <v>0</v>
      </c>
      <c r="AJ110" s="2">
        <f>IF($AF110=0,0,IF($G110&gt;=CurrentWeek-RecencyWin,TotRecency,1))</f>
        <v>0</v>
      </c>
      <c r="AK110" s="2">
        <f t="shared" si="9"/>
        <v>0</v>
      </c>
      <c r="AL110" s="2">
        <f t="shared" si="10"/>
        <v>0</v>
      </c>
      <c r="AM110" s="2" t="str">
        <f t="array" ref="AM110">IF($K110="",0,IFERROR(INDEX(CALC!$F$2:$F$33,MATCH($K110,CALC!$A$2:$A$33,0)),0))</f>
        <v/>
      </c>
      <c r="AN110" s="2" t="str">
        <f t="array" ref="AN110">IF($K110="",0,IFERROR(INDEX(CALC!$I$2:$I$33,MATCH($K110,CALC!$A$2:$A$33,0)),0))</f>
        <v/>
      </c>
      <c r="AO110" s="2" t="str">
        <f t="array" ref="AO110">IF($K110="",0,IFERROR(INDEX(CALC!$L$2:$L$33,MATCH($K110,CALC!$A$2:$A$33,0)),0))</f>
        <v/>
      </c>
      <c r="AP110" s="2" t="str">
        <f t="array" ref="AP110">IF($K110="",0,IFERROR(INDEX(CALC!$T$2:$T$33,MATCH($K110,CALC!$A$2:$A$33,0)),0))</f>
        <v/>
      </c>
      <c r="AQ110" s="2" t="str">
        <f t="array" ref="AQ110">IF($K110="",0,IFERROR(INDEX(CALC!$W$2:$W$33,MATCH($K110,CALC!$A$2:$A$33,0)),0))</f>
        <v/>
      </c>
      <c r="AR110" s="2" t="str">
        <f t="array" ref="AR110">IF($K110="",0,IFERROR(INDEX(CALC!$Z$2:$Z$33,MATCH($K110,CALC!$A$2:$A$33,0)),0))</f>
        <v/>
      </c>
      <c r="AS110" s="2" t="str">
        <f t="array" ref="AS110">IF($K110="",0,IFERROR(INDEX(CALC!$AJ$2:$AJ$33,MATCH($K110,CALC!$A$2:$A$33,0)),0))</f>
        <v/>
      </c>
      <c r="AT110" s="2" t="str">
        <f t="array" ref="AT110">IF($K110="",0,IFERROR(INDEX(CALC!$AI$2:$AI$33,MATCH($K110,CALC!$A$2:$A$33,0)),0))</f>
        <v/>
      </c>
      <c r="AU110" s="2">
        <f t="shared" si="11"/>
        <v>0</v>
      </c>
      <c r="AV110" s="2">
        <f t="shared" si="12"/>
        <v>0</v>
      </c>
    </row>
    <row r="111" ht="15.0" customHeight="1">
      <c r="A111" s="2">
        <v>55.0</v>
      </c>
      <c r="B111" s="2" t="s">
        <v>2365</v>
      </c>
      <c r="C111" s="2">
        <f>IFERROR(MATCH($A111,SchedSeq,0),"")</f>
        <v>340</v>
      </c>
      <c r="D111" s="2" t="str">
        <f t="array" ref="D111">IF($C111="","",INDEX(SchedZone,$C111,MAP!$B$6))</f>
        <v>2026_04_DAL_HOU</v>
      </c>
      <c r="E111" s="2">
        <f t="array" ref="E111">IF($C111="","",INDEX(SchedZone,$C111,MAP!$B$3))</f>
        <v>2026</v>
      </c>
      <c r="F111" s="2" t="str">
        <f t="array" ref="F111">IF($C111="","",INDEX(SchedZone,$C111,MAP!$B$5))</f>
        <v>REG</v>
      </c>
      <c r="G111" s="2">
        <f t="array" ref="G111">IF($C111="","",INDEX(SchedZone,$C111,MAP!$B$4))</f>
        <v>4</v>
      </c>
      <c r="H111" s="2" t="str">
        <f t="array" ref="H111">IF($C111="","",INDEX(SchedZone,$C111,MAP!$B$12))</f>
        <v>HOU</v>
      </c>
      <c r="I111" s="2" t="str">
        <f t="array" ref="I111">IF($H111="","",IF(COUNTIF(Teams,$H111)&gt;0,$H111,IFERROR(INDEX(LISTS!$D$2:$D$12,MATCH($H111,LISTS!$C$2:$C$12,0)),"⚠ "&amp;$H111)))</f>
        <v>HOU</v>
      </c>
      <c r="J111" s="2" t="str">
        <f t="array" ref="J111">IF($C111="","",INDEX(SchedZone,$C111,MAP!$B$10))</f>
        <v>DAL</v>
      </c>
      <c r="K111" s="2" t="str">
        <f t="array" ref="K111">IF($J111="","",IF(COUNTIF(Teams,$J111)&gt;0,$J111,IFERROR(INDEX(LISTS!$D$2:$D$12,MATCH($J111,LISTS!$C$2:$C$12,0)),"⚠ "&amp;$J111)))</f>
        <v>DAL</v>
      </c>
      <c r="L111" s="2" t="str">
        <f t="array" ref="L111">IF($C111="","",IF(INDEX(SchedZone,$C111,MAP!$B$14)="Neutral","N",IF($B111="HOME","H","A")))</f>
        <v>H</v>
      </c>
      <c r="M111" s="2" t="str">
        <f t="array" ref="M111">IF($C111="","",IF(INDEX(SchedZone,$C111,MAP!$B$13)="","",INDEX(SchedZone,$C111,MAP!$B$13)))</f>
        <v/>
      </c>
      <c r="N111" s="2" t="str">
        <f t="array" ref="N111">IF($C111="","",IF(INDEX(SchedZone,$C111,MAP!$B$11)="","",INDEX(SchedZone,$C111,MAP!$B$11)))</f>
        <v/>
      </c>
      <c r="O111" s="2">
        <f t="array" ref="O111">IF($C111="","",INDEX(SchedZone,$C111,MAP!$B$16))</f>
        <v>7</v>
      </c>
      <c r="P111" s="2" t="str">
        <f>IF($C111="","",IFERROR(MATCH($E111&amp;"|"&amp;$G111&amp;"|"&amp;$I111,StatsKey,0),""))</f>
        <v/>
      </c>
      <c r="Q111" s="2">
        <f t="array" ref="Q111">IF($P111="",0,INDEX(StatsZone,$P111,MAP!$E$9)+INDEX(StatsZone,$P111,MAP!$E$10)+INDEX(StatsZone,$P111,MAP!$E$11))</f>
        <v>0</v>
      </c>
      <c r="R111" s="2">
        <f t="array" ref="R111">IF($P111="",0,INDEX(StatsZone,$P111,MAP!$E$12))</f>
        <v>0</v>
      </c>
      <c r="S111" s="2">
        <f t="array" ref="S111">IF($P111="",0,INDEX(StatsZone,$P111,MAP!$E$13))</f>
        <v>0</v>
      </c>
      <c r="T111" s="2">
        <f t="shared" si="1"/>
        <v>0</v>
      </c>
      <c r="U111" s="2">
        <f t="array" ref="U111">IF($P111="",0,INDEX(StatsZone,$P111,MAP!$E$14)+INDEX(StatsZone,$P111,MAP!$E$15)+INDEX(StatsZone,$P111,MAP!$E$16))</f>
        <v>0</v>
      </c>
      <c r="V111" s="2">
        <f t="shared" si="2"/>
        <v>0</v>
      </c>
      <c r="W111" s="2">
        <f t="shared" si="3"/>
        <v>0</v>
      </c>
      <c r="X111" s="2">
        <f t="shared" si="4"/>
        <v>0</v>
      </c>
      <c r="Y111" s="2">
        <f t="shared" si="5"/>
        <v>0</v>
      </c>
      <c r="Z111" s="2">
        <f t="shared" si="6"/>
        <v>0</v>
      </c>
      <c r="AA111" s="2">
        <f t="shared" si="7"/>
        <v>1</v>
      </c>
      <c r="AB111" s="2">
        <f>IF(OR($M111="",$N111=""),0,MEDIAN(-MarginCap,MarginCap,($M111-$N111)-$AA111*HFA_Base))</f>
        <v>0</v>
      </c>
      <c r="AC111" s="2">
        <f t="array" ref="AC111">IF(OR($P111="",INDEX($P$3:$P$722,(ROW()+IF(MOD(ROW()-3,2)=0,1,-1))-3+1)=""),0,MEDIAN(-MarginCap,MarginCap,($T111-$W111)-$AA111*HFA_Base))</f>
        <v>0</v>
      </c>
      <c r="AD111" s="2">
        <f t="shared" si="8"/>
        <v>0</v>
      </c>
      <c r="AE111" s="2">
        <f>IF(OR($M111="",$N111=""),0,IF(AND(WEpa&gt;0,$AD111=1),(1-WEpa)*$AB111+WEpa*$AC111,$AB111))</f>
        <v>0</v>
      </c>
      <c r="AF111" s="2">
        <f>IF(AND($C111&lt;&gt;"",$E111=CurrentSeason,$F111="REG",ISNUMBER($G111),$G111&lt;CurrentWeek,AND($M111&lt;&gt;"",$N111&lt;&gt;"")),1,0)</f>
        <v>0</v>
      </c>
      <c r="AG111" s="2">
        <f>IF($AF111=0,0,IF($G111&gt;=CurrentWeek-RecencyWin,RecencyMult,1))</f>
        <v>0</v>
      </c>
      <c r="AH111" s="2">
        <f>IF(AND($C111&lt;&gt;"",$E111=CurrentSeason,$F111="REG",ISNUMBER($G111),$G111&lt;CurrentWeek-1,AND($M111&lt;&gt;"",$N111&lt;&gt;"")),1,0)</f>
        <v>0</v>
      </c>
      <c r="AI111" s="2">
        <f>IF($AH111=0,0,IF($G111&gt;=CurrentWeek-1-RecencyWin,RecencyMult,1))</f>
        <v>0</v>
      </c>
      <c r="AJ111" s="2">
        <f>IF($AF111=0,0,IF($G111&gt;=CurrentWeek-RecencyWin,TotRecency,1))</f>
        <v>0</v>
      </c>
      <c r="AK111" s="2">
        <f t="shared" si="9"/>
        <v>0</v>
      </c>
      <c r="AL111" s="2">
        <f t="shared" si="10"/>
        <v>0</v>
      </c>
      <c r="AM111" s="2" t="str">
        <f t="array" ref="AM111">IF($K111="",0,IFERROR(INDEX(CALC!$F$2:$F$33,MATCH($K111,CALC!$A$2:$A$33,0)),0))</f>
        <v/>
      </c>
      <c r="AN111" s="2" t="str">
        <f t="array" ref="AN111">IF($K111="",0,IFERROR(INDEX(CALC!$I$2:$I$33,MATCH($K111,CALC!$A$2:$A$33,0)),0))</f>
        <v/>
      </c>
      <c r="AO111" s="2" t="str">
        <f t="array" ref="AO111">IF($K111="",0,IFERROR(INDEX(CALC!$L$2:$L$33,MATCH($K111,CALC!$A$2:$A$33,0)),0))</f>
        <v/>
      </c>
      <c r="AP111" s="2" t="str">
        <f t="array" ref="AP111">IF($K111="",0,IFERROR(INDEX(CALC!$T$2:$T$33,MATCH($K111,CALC!$A$2:$A$33,0)),0))</f>
        <v/>
      </c>
      <c r="AQ111" s="2" t="str">
        <f t="array" ref="AQ111">IF($K111="",0,IFERROR(INDEX(CALC!$W$2:$W$33,MATCH($K111,CALC!$A$2:$A$33,0)),0))</f>
        <v/>
      </c>
      <c r="AR111" s="2" t="str">
        <f t="array" ref="AR111">IF($K111="",0,IFERROR(INDEX(CALC!$Z$2:$Z$33,MATCH($K111,CALC!$A$2:$A$33,0)),0))</f>
        <v/>
      </c>
      <c r="AS111" s="2" t="str">
        <f t="array" ref="AS111">IF($K111="",0,IFERROR(INDEX(CALC!$AJ$2:$AJ$33,MATCH($K111,CALC!$A$2:$A$33,0)),0))</f>
        <v/>
      </c>
      <c r="AT111" s="2" t="str">
        <f t="array" ref="AT111">IF($K111="",0,IFERROR(INDEX(CALC!$AI$2:$AI$33,MATCH($K111,CALC!$A$2:$A$33,0)),0))</f>
        <v/>
      </c>
      <c r="AU111" s="2">
        <f t="shared" si="11"/>
        <v>0</v>
      </c>
      <c r="AV111" s="2">
        <f t="shared" si="12"/>
        <v>0</v>
      </c>
    </row>
    <row r="112" ht="15.0" customHeight="1">
      <c r="A112" s="2">
        <v>55.0</v>
      </c>
      <c r="B112" s="2" t="s">
        <v>2366</v>
      </c>
      <c r="C112" s="2">
        <f>IFERROR(MATCH($A112,SchedSeq,0),"")</f>
        <v>340</v>
      </c>
      <c r="D112" s="2" t="str">
        <f t="array" ref="D112">IF($C112="","",INDEX(SchedZone,$C112,MAP!$B$6))</f>
        <v>2026_04_DAL_HOU</v>
      </c>
      <c r="E112" s="2">
        <f t="array" ref="E112">IF($C112="","",INDEX(SchedZone,$C112,MAP!$B$3))</f>
        <v>2026</v>
      </c>
      <c r="F112" s="2" t="str">
        <f t="array" ref="F112">IF($C112="","",INDEX(SchedZone,$C112,MAP!$B$5))</f>
        <v>REG</v>
      </c>
      <c r="G112" s="2">
        <f t="array" ref="G112">IF($C112="","",INDEX(SchedZone,$C112,MAP!$B$4))</f>
        <v>4</v>
      </c>
      <c r="H112" s="2" t="str">
        <f t="array" ref="H112">IF($C112="","",INDEX(SchedZone,$C112,MAP!$B$10))</f>
        <v>DAL</v>
      </c>
      <c r="I112" s="2" t="str">
        <f t="array" ref="I112">IF($H112="","",IF(COUNTIF(Teams,$H112)&gt;0,$H112,IFERROR(INDEX(LISTS!$D$2:$D$12,MATCH($H112,LISTS!$C$2:$C$12,0)),"⚠ "&amp;$H112)))</f>
        <v>DAL</v>
      </c>
      <c r="J112" s="2" t="str">
        <f t="array" ref="J112">IF($C112="","",INDEX(SchedZone,$C112,MAP!$B$12))</f>
        <v>HOU</v>
      </c>
      <c r="K112" s="2" t="str">
        <f t="array" ref="K112">IF($J112="","",IF(COUNTIF(Teams,$J112)&gt;0,$J112,IFERROR(INDEX(LISTS!$D$2:$D$12,MATCH($J112,LISTS!$C$2:$C$12,0)),"⚠ "&amp;$J112)))</f>
        <v>HOU</v>
      </c>
      <c r="L112" s="2" t="str">
        <f t="array" ref="L112">IF($C112="","",IF(INDEX(SchedZone,$C112,MAP!$B$14)="Neutral","N",IF($B112="HOME","H","A")))</f>
        <v>A</v>
      </c>
      <c r="M112" s="2" t="str">
        <f t="array" ref="M112">IF($C112="","",IF(INDEX(SchedZone,$C112,MAP!$B$11)="","",INDEX(SchedZone,$C112,MAP!$B$11)))</f>
        <v/>
      </c>
      <c r="N112" s="2" t="str">
        <f t="array" ref="N112">IF($C112="","",IF(INDEX(SchedZone,$C112,MAP!$B$13)="","",INDEX(SchedZone,$C112,MAP!$B$13)))</f>
        <v/>
      </c>
      <c r="O112" s="2">
        <f t="array" ref="O112">IF($C112="","",INDEX(SchedZone,$C112,MAP!$B$15))</f>
        <v>7</v>
      </c>
      <c r="P112" s="2" t="str">
        <f>IF($C112="","",IFERROR(MATCH($E112&amp;"|"&amp;$G112&amp;"|"&amp;$I112,StatsKey,0),""))</f>
        <v/>
      </c>
      <c r="Q112" s="2">
        <f t="array" ref="Q112">IF($P112="",0,INDEX(StatsZone,$P112,MAP!$E$9)+INDEX(StatsZone,$P112,MAP!$E$10)+INDEX(StatsZone,$P112,MAP!$E$11))</f>
        <v>0</v>
      </c>
      <c r="R112" s="2">
        <f t="array" ref="R112">IF($P112="",0,INDEX(StatsZone,$P112,MAP!$E$12))</f>
        <v>0</v>
      </c>
      <c r="S112" s="2">
        <f t="array" ref="S112">IF($P112="",0,INDEX(StatsZone,$P112,MAP!$E$13))</f>
        <v>0</v>
      </c>
      <c r="T112" s="2">
        <f t="shared" si="1"/>
        <v>0</v>
      </c>
      <c r="U112" s="2">
        <f t="array" ref="U112">IF($P112="",0,INDEX(StatsZone,$P112,MAP!$E$14)+INDEX(StatsZone,$P112,MAP!$E$15)+INDEX(StatsZone,$P112,MAP!$E$16))</f>
        <v>0</v>
      </c>
      <c r="V112" s="2">
        <f t="shared" si="2"/>
        <v>0</v>
      </c>
      <c r="W112" s="2">
        <f t="shared" si="3"/>
        <v>0</v>
      </c>
      <c r="X112" s="2">
        <f t="shared" si="4"/>
        <v>0</v>
      </c>
      <c r="Y112" s="2">
        <f t="shared" si="5"/>
        <v>0</v>
      </c>
      <c r="Z112" s="2">
        <f t="shared" si="6"/>
        <v>0</v>
      </c>
      <c r="AA112" s="2">
        <f t="shared" si="7"/>
        <v>-1</v>
      </c>
      <c r="AB112" s="2">
        <f>IF(OR($M112="",$N112=""),0,MEDIAN(-MarginCap,MarginCap,($M112-$N112)-$AA112*HFA_Base))</f>
        <v>0</v>
      </c>
      <c r="AC112" s="2">
        <f t="array" ref="AC112">IF(OR($P112="",INDEX($P$3:$P$722,(ROW()+IF(MOD(ROW()-3,2)=0,1,-1))-3+1)=""),0,MEDIAN(-MarginCap,MarginCap,($T112-$W112)-$AA112*HFA_Base))</f>
        <v>0</v>
      </c>
      <c r="AD112" s="2">
        <f t="shared" si="8"/>
        <v>0</v>
      </c>
      <c r="AE112" s="2">
        <f>IF(OR($M112="",$N112=""),0,IF(AND(WEpa&gt;0,$AD112=1),(1-WEpa)*$AB112+WEpa*$AC112,$AB112))</f>
        <v>0</v>
      </c>
      <c r="AF112" s="2">
        <f>IF(AND($C112&lt;&gt;"",$E112=CurrentSeason,$F112="REG",ISNUMBER($G112),$G112&lt;CurrentWeek,AND($M112&lt;&gt;"",$N112&lt;&gt;"")),1,0)</f>
        <v>0</v>
      </c>
      <c r="AG112" s="2">
        <f>IF($AF112=0,0,IF($G112&gt;=CurrentWeek-RecencyWin,RecencyMult,1))</f>
        <v>0</v>
      </c>
      <c r="AH112" s="2">
        <f>IF(AND($C112&lt;&gt;"",$E112=CurrentSeason,$F112="REG",ISNUMBER($G112),$G112&lt;CurrentWeek-1,AND($M112&lt;&gt;"",$N112&lt;&gt;"")),1,0)</f>
        <v>0</v>
      </c>
      <c r="AI112" s="2">
        <f>IF($AH112=0,0,IF($G112&gt;=CurrentWeek-1-RecencyWin,RecencyMult,1))</f>
        <v>0</v>
      </c>
      <c r="AJ112" s="2">
        <f>IF($AF112=0,0,IF($G112&gt;=CurrentWeek-RecencyWin,TotRecency,1))</f>
        <v>0</v>
      </c>
      <c r="AK112" s="2">
        <f t="shared" si="9"/>
        <v>0</v>
      </c>
      <c r="AL112" s="2">
        <f t="shared" si="10"/>
        <v>0</v>
      </c>
      <c r="AM112" s="2" t="str">
        <f t="array" ref="AM112">IF($K112="",0,IFERROR(INDEX(CALC!$F$2:$F$33,MATCH($K112,CALC!$A$2:$A$33,0)),0))</f>
        <v/>
      </c>
      <c r="AN112" s="2" t="str">
        <f t="array" ref="AN112">IF($K112="",0,IFERROR(INDEX(CALC!$I$2:$I$33,MATCH($K112,CALC!$A$2:$A$33,0)),0))</f>
        <v/>
      </c>
      <c r="AO112" s="2" t="str">
        <f t="array" ref="AO112">IF($K112="",0,IFERROR(INDEX(CALC!$L$2:$L$33,MATCH($K112,CALC!$A$2:$A$33,0)),0))</f>
        <v/>
      </c>
      <c r="AP112" s="2" t="str">
        <f t="array" ref="AP112">IF($K112="",0,IFERROR(INDEX(CALC!$T$2:$T$33,MATCH($K112,CALC!$A$2:$A$33,0)),0))</f>
        <v/>
      </c>
      <c r="AQ112" s="2" t="str">
        <f t="array" ref="AQ112">IF($K112="",0,IFERROR(INDEX(CALC!$W$2:$W$33,MATCH($K112,CALC!$A$2:$A$33,0)),0))</f>
        <v/>
      </c>
      <c r="AR112" s="2" t="str">
        <f t="array" ref="AR112">IF($K112="",0,IFERROR(INDEX(CALC!$Z$2:$Z$33,MATCH($K112,CALC!$A$2:$A$33,0)),0))</f>
        <v/>
      </c>
      <c r="AS112" s="2" t="str">
        <f t="array" ref="AS112">IF($K112="",0,IFERROR(INDEX(CALC!$AJ$2:$AJ$33,MATCH($K112,CALC!$A$2:$A$33,0)),0))</f>
        <v/>
      </c>
      <c r="AT112" s="2" t="str">
        <f t="array" ref="AT112">IF($K112="",0,IFERROR(INDEX(CALC!$AI$2:$AI$33,MATCH($K112,CALC!$A$2:$A$33,0)),0))</f>
        <v/>
      </c>
      <c r="AU112" s="2">
        <f t="shared" si="11"/>
        <v>0</v>
      </c>
      <c r="AV112" s="2">
        <f t="shared" si="12"/>
        <v>0</v>
      </c>
    </row>
    <row r="113" ht="15.0" customHeight="1">
      <c r="A113" s="2">
        <v>56.0</v>
      </c>
      <c r="B113" s="2" t="s">
        <v>2365</v>
      </c>
      <c r="C113" s="2">
        <f>IFERROR(MATCH($A113,SchedSeq,0),"")</f>
        <v>341</v>
      </c>
      <c r="D113" s="2" t="str">
        <f t="array" ref="D113">IF($C113="","",INDEX(SchedZone,$C113,MAP!$B$6))</f>
        <v>2026_04_ARI_NYG</v>
      </c>
      <c r="E113" s="2">
        <f t="array" ref="E113">IF($C113="","",INDEX(SchedZone,$C113,MAP!$B$3))</f>
        <v>2026</v>
      </c>
      <c r="F113" s="2" t="str">
        <f t="array" ref="F113">IF($C113="","",INDEX(SchedZone,$C113,MAP!$B$5))</f>
        <v>REG</v>
      </c>
      <c r="G113" s="2">
        <f t="array" ref="G113">IF($C113="","",INDEX(SchedZone,$C113,MAP!$B$4))</f>
        <v>4</v>
      </c>
      <c r="H113" s="2" t="str">
        <f t="array" ref="H113">IF($C113="","",INDEX(SchedZone,$C113,MAP!$B$12))</f>
        <v>NYG</v>
      </c>
      <c r="I113" s="2" t="str">
        <f t="array" ref="I113">IF($H113="","",IF(COUNTIF(Teams,$H113)&gt;0,$H113,IFERROR(INDEX(LISTS!$D$2:$D$12,MATCH($H113,LISTS!$C$2:$C$12,0)),"⚠ "&amp;$H113)))</f>
        <v>NYG</v>
      </c>
      <c r="J113" s="2" t="str">
        <f t="array" ref="J113">IF($C113="","",INDEX(SchedZone,$C113,MAP!$B$10))</f>
        <v>ARI</v>
      </c>
      <c r="K113" s="2" t="str">
        <f t="array" ref="K113">IF($J113="","",IF(COUNTIF(Teams,$J113)&gt;0,$J113,IFERROR(INDEX(LISTS!$D$2:$D$12,MATCH($J113,LISTS!$C$2:$C$12,0)),"⚠ "&amp;$J113)))</f>
        <v>ARI</v>
      </c>
      <c r="L113" s="2" t="str">
        <f t="array" ref="L113">IF($C113="","",IF(INDEX(SchedZone,$C113,MAP!$B$14)="Neutral","N",IF($B113="HOME","H","A")))</f>
        <v>H</v>
      </c>
      <c r="M113" s="2" t="str">
        <f t="array" ref="M113">IF($C113="","",IF(INDEX(SchedZone,$C113,MAP!$B$13)="","",INDEX(SchedZone,$C113,MAP!$B$13)))</f>
        <v/>
      </c>
      <c r="N113" s="2" t="str">
        <f t="array" ref="N113">IF($C113="","",IF(INDEX(SchedZone,$C113,MAP!$B$11)="","",INDEX(SchedZone,$C113,MAP!$B$11)))</f>
        <v/>
      </c>
      <c r="O113" s="2">
        <f t="array" ref="O113">IF($C113="","",INDEX(SchedZone,$C113,MAP!$B$16))</f>
        <v>7</v>
      </c>
      <c r="P113" s="2" t="str">
        <f>IF($C113="","",IFERROR(MATCH($E113&amp;"|"&amp;$G113&amp;"|"&amp;$I113,StatsKey,0),""))</f>
        <v/>
      </c>
      <c r="Q113" s="2">
        <f t="array" ref="Q113">IF($P113="",0,INDEX(StatsZone,$P113,MAP!$E$9)+INDEX(StatsZone,$P113,MAP!$E$10)+INDEX(StatsZone,$P113,MAP!$E$11))</f>
        <v>0</v>
      </c>
      <c r="R113" s="2">
        <f t="array" ref="R113">IF($P113="",0,INDEX(StatsZone,$P113,MAP!$E$12))</f>
        <v>0</v>
      </c>
      <c r="S113" s="2">
        <f t="array" ref="S113">IF($P113="",0,INDEX(StatsZone,$P113,MAP!$E$13))</f>
        <v>0</v>
      </c>
      <c r="T113" s="2">
        <f t="shared" si="1"/>
        <v>0</v>
      </c>
      <c r="U113" s="2">
        <f t="array" ref="U113">IF($P113="",0,INDEX(StatsZone,$P113,MAP!$E$14)+INDEX(StatsZone,$P113,MAP!$E$15)+INDEX(StatsZone,$P113,MAP!$E$16))</f>
        <v>0</v>
      </c>
      <c r="V113" s="2">
        <f t="shared" si="2"/>
        <v>0</v>
      </c>
      <c r="W113" s="2">
        <f t="shared" si="3"/>
        <v>0</v>
      </c>
      <c r="X113" s="2">
        <f t="shared" si="4"/>
        <v>0</v>
      </c>
      <c r="Y113" s="2">
        <f t="shared" si="5"/>
        <v>0</v>
      </c>
      <c r="Z113" s="2">
        <f t="shared" si="6"/>
        <v>0</v>
      </c>
      <c r="AA113" s="2">
        <f t="shared" si="7"/>
        <v>1</v>
      </c>
      <c r="AB113" s="2">
        <f>IF(OR($M113="",$N113=""),0,MEDIAN(-MarginCap,MarginCap,($M113-$N113)-$AA113*HFA_Base))</f>
        <v>0</v>
      </c>
      <c r="AC113" s="2">
        <f t="array" ref="AC113">IF(OR($P113="",INDEX($P$3:$P$722,(ROW()+IF(MOD(ROW()-3,2)=0,1,-1))-3+1)=""),0,MEDIAN(-MarginCap,MarginCap,($T113-$W113)-$AA113*HFA_Base))</f>
        <v>0</v>
      </c>
      <c r="AD113" s="2">
        <f t="shared" si="8"/>
        <v>0</v>
      </c>
      <c r="AE113" s="2">
        <f>IF(OR($M113="",$N113=""),0,IF(AND(WEpa&gt;0,$AD113=1),(1-WEpa)*$AB113+WEpa*$AC113,$AB113))</f>
        <v>0</v>
      </c>
      <c r="AF113" s="2">
        <f>IF(AND($C113&lt;&gt;"",$E113=CurrentSeason,$F113="REG",ISNUMBER($G113),$G113&lt;CurrentWeek,AND($M113&lt;&gt;"",$N113&lt;&gt;"")),1,0)</f>
        <v>0</v>
      </c>
      <c r="AG113" s="2">
        <f>IF($AF113=0,0,IF($G113&gt;=CurrentWeek-RecencyWin,RecencyMult,1))</f>
        <v>0</v>
      </c>
      <c r="AH113" s="2">
        <f>IF(AND($C113&lt;&gt;"",$E113=CurrentSeason,$F113="REG",ISNUMBER($G113),$G113&lt;CurrentWeek-1,AND($M113&lt;&gt;"",$N113&lt;&gt;"")),1,0)</f>
        <v>0</v>
      </c>
      <c r="AI113" s="2">
        <f>IF($AH113=0,0,IF($G113&gt;=CurrentWeek-1-RecencyWin,RecencyMult,1))</f>
        <v>0</v>
      </c>
      <c r="AJ113" s="2">
        <f>IF($AF113=0,0,IF($G113&gt;=CurrentWeek-RecencyWin,TotRecency,1))</f>
        <v>0</v>
      </c>
      <c r="AK113" s="2">
        <f t="shared" si="9"/>
        <v>0</v>
      </c>
      <c r="AL113" s="2">
        <f t="shared" si="10"/>
        <v>0</v>
      </c>
      <c r="AM113" s="2" t="str">
        <f t="array" ref="AM113">IF($K113="",0,IFERROR(INDEX(CALC!$F$2:$F$33,MATCH($K113,CALC!$A$2:$A$33,0)),0))</f>
        <v/>
      </c>
      <c r="AN113" s="2" t="str">
        <f t="array" ref="AN113">IF($K113="",0,IFERROR(INDEX(CALC!$I$2:$I$33,MATCH($K113,CALC!$A$2:$A$33,0)),0))</f>
        <v/>
      </c>
      <c r="AO113" s="2" t="str">
        <f t="array" ref="AO113">IF($K113="",0,IFERROR(INDEX(CALC!$L$2:$L$33,MATCH($K113,CALC!$A$2:$A$33,0)),0))</f>
        <v/>
      </c>
      <c r="AP113" s="2" t="str">
        <f t="array" ref="AP113">IF($K113="",0,IFERROR(INDEX(CALC!$T$2:$T$33,MATCH($K113,CALC!$A$2:$A$33,0)),0))</f>
        <v/>
      </c>
      <c r="AQ113" s="2" t="str">
        <f t="array" ref="AQ113">IF($K113="",0,IFERROR(INDEX(CALC!$W$2:$W$33,MATCH($K113,CALC!$A$2:$A$33,0)),0))</f>
        <v/>
      </c>
      <c r="AR113" s="2" t="str">
        <f t="array" ref="AR113">IF($K113="",0,IFERROR(INDEX(CALC!$Z$2:$Z$33,MATCH($K113,CALC!$A$2:$A$33,0)),0))</f>
        <v/>
      </c>
      <c r="AS113" s="2" t="str">
        <f t="array" ref="AS113">IF($K113="",0,IFERROR(INDEX(CALC!$AJ$2:$AJ$33,MATCH($K113,CALC!$A$2:$A$33,0)),0))</f>
        <v/>
      </c>
      <c r="AT113" s="2" t="str">
        <f t="array" ref="AT113">IF($K113="",0,IFERROR(INDEX(CALC!$AI$2:$AI$33,MATCH($K113,CALC!$A$2:$A$33,0)),0))</f>
        <v/>
      </c>
      <c r="AU113" s="2">
        <f t="shared" si="11"/>
        <v>0</v>
      </c>
      <c r="AV113" s="2">
        <f t="shared" si="12"/>
        <v>0</v>
      </c>
    </row>
    <row r="114" ht="15.0" customHeight="1">
      <c r="A114" s="2">
        <v>56.0</v>
      </c>
      <c r="B114" s="2" t="s">
        <v>2366</v>
      </c>
      <c r="C114" s="2">
        <f>IFERROR(MATCH($A114,SchedSeq,0),"")</f>
        <v>341</v>
      </c>
      <c r="D114" s="2" t="str">
        <f t="array" ref="D114">IF($C114="","",INDEX(SchedZone,$C114,MAP!$B$6))</f>
        <v>2026_04_ARI_NYG</v>
      </c>
      <c r="E114" s="2">
        <f t="array" ref="E114">IF($C114="","",INDEX(SchedZone,$C114,MAP!$B$3))</f>
        <v>2026</v>
      </c>
      <c r="F114" s="2" t="str">
        <f t="array" ref="F114">IF($C114="","",INDEX(SchedZone,$C114,MAP!$B$5))</f>
        <v>REG</v>
      </c>
      <c r="G114" s="2">
        <f t="array" ref="G114">IF($C114="","",INDEX(SchedZone,$C114,MAP!$B$4))</f>
        <v>4</v>
      </c>
      <c r="H114" s="2" t="str">
        <f t="array" ref="H114">IF($C114="","",INDEX(SchedZone,$C114,MAP!$B$10))</f>
        <v>ARI</v>
      </c>
      <c r="I114" s="2" t="str">
        <f t="array" ref="I114">IF($H114="","",IF(COUNTIF(Teams,$H114)&gt;0,$H114,IFERROR(INDEX(LISTS!$D$2:$D$12,MATCH($H114,LISTS!$C$2:$C$12,0)),"⚠ "&amp;$H114)))</f>
        <v>ARI</v>
      </c>
      <c r="J114" s="2" t="str">
        <f t="array" ref="J114">IF($C114="","",INDEX(SchedZone,$C114,MAP!$B$12))</f>
        <v>NYG</v>
      </c>
      <c r="K114" s="2" t="str">
        <f t="array" ref="K114">IF($J114="","",IF(COUNTIF(Teams,$J114)&gt;0,$J114,IFERROR(INDEX(LISTS!$D$2:$D$12,MATCH($J114,LISTS!$C$2:$C$12,0)),"⚠ "&amp;$J114)))</f>
        <v>NYG</v>
      </c>
      <c r="L114" s="2" t="str">
        <f t="array" ref="L114">IF($C114="","",IF(INDEX(SchedZone,$C114,MAP!$B$14)="Neutral","N",IF($B114="HOME","H","A")))</f>
        <v>A</v>
      </c>
      <c r="M114" s="2" t="str">
        <f t="array" ref="M114">IF($C114="","",IF(INDEX(SchedZone,$C114,MAP!$B$11)="","",INDEX(SchedZone,$C114,MAP!$B$11)))</f>
        <v/>
      </c>
      <c r="N114" s="2" t="str">
        <f t="array" ref="N114">IF($C114="","",IF(INDEX(SchedZone,$C114,MAP!$B$13)="","",INDEX(SchedZone,$C114,MAP!$B$13)))</f>
        <v/>
      </c>
      <c r="O114" s="2">
        <f t="array" ref="O114">IF($C114="","",INDEX(SchedZone,$C114,MAP!$B$15))</f>
        <v>7</v>
      </c>
      <c r="P114" s="2" t="str">
        <f>IF($C114="","",IFERROR(MATCH($E114&amp;"|"&amp;$G114&amp;"|"&amp;$I114,StatsKey,0),""))</f>
        <v/>
      </c>
      <c r="Q114" s="2">
        <f t="array" ref="Q114">IF($P114="",0,INDEX(StatsZone,$P114,MAP!$E$9)+INDEX(StatsZone,$P114,MAP!$E$10)+INDEX(StatsZone,$P114,MAP!$E$11))</f>
        <v>0</v>
      </c>
      <c r="R114" s="2">
        <f t="array" ref="R114">IF($P114="",0,INDEX(StatsZone,$P114,MAP!$E$12))</f>
        <v>0</v>
      </c>
      <c r="S114" s="2">
        <f t="array" ref="S114">IF($P114="",0,INDEX(StatsZone,$P114,MAP!$E$13))</f>
        <v>0</v>
      </c>
      <c r="T114" s="2">
        <f t="shared" si="1"/>
        <v>0</v>
      </c>
      <c r="U114" s="2">
        <f t="array" ref="U114">IF($P114="",0,INDEX(StatsZone,$P114,MAP!$E$14)+INDEX(StatsZone,$P114,MAP!$E$15)+INDEX(StatsZone,$P114,MAP!$E$16))</f>
        <v>0</v>
      </c>
      <c r="V114" s="2">
        <f t="shared" si="2"/>
        <v>0</v>
      </c>
      <c r="W114" s="2">
        <f t="shared" si="3"/>
        <v>0</v>
      </c>
      <c r="X114" s="2">
        <f t="shared" si="4"/>
        <v>0</v>
      </c>
      <c r="Y114" s="2">
        <f t="shared" si="5"/>
        <v>0</v>
      </c>
      <c r="Z114" s="2">
        <f t="shared" si="6"/>
        <v>0</v>
      </c>
      <c r="AA114" s="2">
        <f t="shared" si="7"/>
        <v>-1</v>
      </c>
      <c r="AB114" s="2">
        <f>IF(OR($M114="",$N114=""),0,MEDIAN(-MarginCap,MarginCap,($M114-$N114)-$AA114*HFA_Base))</f>
        <v>0</v>
      </c>
      <c r="AC114" s="2">
        <f t="array" ref="AC114">IF(OR($P114="",INDEX($P$3:$P$722,(ROW()+IF(MOD(ROW()-3,2)=0,1,-1))-3+1)=""),0,MEDIAN(-MarginCap,MarginCap,($T114-$W114)-$AA114*HFA_Base))</f>
        <v>0</v>
      </c>
      <c r="AD114" s="2">
        <f t="shared" si="8"/>
        <v>0</v>
      </c>
      <c r="AE114" s="2">
        <f>IF(OR($M114="",$N114=""),0,IF(AND(WEpa&gt;0,$AD114=1),(1-WEpa)*$AB114+WEpa*$AC114,$AB114))</f>
        <v>0</v>
      </c>
      <c r="AF114" s="2">
        <f>IF(AND($C114&lt;&gt;"",$E114=CurrentSeason,$F114="REG",ISNUMBER($G114),$G114&lt;CurrentWeek,AND($M114&lt;&gt;"",$N114&lt;&gt;"")),1,0)</f>
        <v>0</v>
      </c>
      <c r="AG114" s="2">
        <f>IF($AF114=0,0,IF($G114&gt;=CurrentWeek-RecencyWin,RecencyMult,1))</f>
        <v>0</v>
      </c>
      <c r="AH114" s="2">
        <f>IF(AND($C114&lt;&gt;"",$E114=CurrentSeason,$F114="REG",ISNUMBER($G114),$G114&lt;CurrentWeek-1,AND($M114&lt;&gt;"",$N114&lt;&gt;"")),1,0)</f>
        <v>0</v>
      </c>
      <c r="AI114" s="2">
        <f>IF($AH114=0,0,IF($G114&gt;=CurrentWeek-1-RecencyWin,RecencyMult,1))</f>
        <v>0</v>
      </c>
      <c r="AJ114" s="2">
        <f>IF($AF114=0,0,IF($G114&gt;=CurrentWeek-RecencyWin,TotRecency,1))</f>
        <v>0</v>
      </c>
      <c r="AK114" s="2">
        <f t="shared" si="9"/>
        <v>0</v>
      </c>
      <c r="AL114" s="2">
        <f t="shared" si="10"/>
        <v>0</v>
      </c>
      <c r="AM114" s="2" t="str">
        <f t="array" ref="AM114">IF($K114="",0,IFERROR(INDEX(CALC!$F$2:$F$33,MATCH($K114,CALC!$A$2:$A$33,0)),0))</f>
        <v/>
      </c>
      <c r="AN114" s="2" t="str">
        <f t="array" ref="AN114">IF($K114="",0,IFERROR(INDEX(CALC!$I$2:$I$33,MATCH($K114,CALC!$A$2:$A$33,0)),0))</f>
        <v/>
      </c>
      <c r="AO114" s="2" t="str">
        <f t="array" ref="AO114">IF($K114="",0,IFERROR(INDEX(CALC!$L$2:$L$33,MATCH($K114,CALC!$A$2:$A$33,0)),0))</f>
        <v/>
      </c>
      <c r="AP114" s="2" t="str">
        <f t="array" ref="AP114">IF($K114="",0,IFERROR(INDEX(CALC!$T$2:$T$33,MATCH($K114,CALC!$A$2:$A$33,0)),0))</f>
        <v/>
      </c>
      <c r="AQ114" s="2" t="str">
        <f t="array" ref="AQ114">IF($K114="",0,IFERROR(INDEX(CALC!$W$2:$W$33,MATCH($K114,CALC!$A$2:$A$33,0)),0))</f>
        <v/>
      </c>
      <c r="AR114" s="2" t="str">
        <f t="array" ref="AR114">IF($K114="",0,IFERROR(INDEX(CALC!$Z$2:$Z$33,MATCH($K114,CALC!$A$2:$A$33,0)),0))</f>
        <v/>
      </c>
      <c r="AS114" s="2" t="str">
        <f t="array" ref="AS114">IF($K114="",0,IFERROR(INDEX(CALC!$AJ$2:$AJ$33,MATCH($K114,CALC!$A$2:$A$33,0)),0))</f>
        <v/>
      </c>
      <c r="AT114" s="2" t="str">
        <f t="array" ref="AT114">IF($K114="",0,IFERROR(INDEX(CALC!$AI$2:$AI$33,MATCH($K114,CALC!$A$2:$A$33,0)),0))</f>
        <v/>
      </c>
      <c r="AU114" s="2">
        <f t="shared" si="11"/>
        <v>0</v>
      </c>
      <c r="AV114" s="2">
        <f t="shared" si="12"/>
        <v>0</v>
      </c>
    </row>
    <row r="115" ht="15.0" customHeight="1">
      <c r="A115" s="2">
        <v>57.0</v>
      </c>
      <c r="B115" s="2" t="s">
        <v>2365</v>
      </c>
      <c r="C115" s="2">
        <f>IFERROR(MATCH($A115,SchedSeq,0),"")</f>
        <v>342</v>
      </c>
      <c r="D115" s="2" t="str">
        <f t="array" ref="D115">IF($C115="","",INDEX(SchedZone,$C115,MAP!$B$6))</f>
        <v>2026_04_LA_PHI</v>
      </c>
      <c r="E115" s="2">
        <f t="array" ref="E115">IF($C115="","",INDEX(SchedZone,$C115,MAP!$B$3))</f>
        <v>2026</v>
      </c>
      <c r="F115" s="2" t="str">
        <f t="array" ref="F115">IF($C115="","",INDEX(SchedZone,$C115,MAP!$B$5))</f>
        <v>REG</v>
      </c>
      <c r="G115" s="2">
        <f t="array" ref="G115">IF($C115="","",INDEX(SchedZone,$C115,MAP!$B$4))</f>
        <v>4</v>
      </c>
      <c r="H115" s="2" t="str">
        <f t="array" ref="H115">IF($C115="","",INDEX(SchedZone,$C115,MAP!$B$12))</f>
        <v>PHI</v>
      </c>
      <c r="I115" s="2" t="str">
        <f t="array" ref="I115">IF($H115="","",IF(COUNTIF(Teams,$H115)&gt;0,$H115,IFERROR(INDEX(LISTS!$D$2:$D$12,MATCH($H115,LISTS!$C$2:$C$12,0)),"⚠ "&amp;$H115)))</f>
        <v>PHI</v>
      </c>
      <c r="J115" s="2" t="str">
        <f t="array" ref="J115">IF($C115="","",INDEX(SchedZone,$C115,MAP!$B$10))</f>
        <v>LA</v>
      </c>
      <c r="K115" s="2" t="str">
        <f t="array" ref="K115">IF($J115="","",IF(COUNTIF(Teams,$J115)&gt;0,$J115,IFERROR(INDEX(LISTS!$D$2:$D$12,MATCH($J115,LISTS!$C$2:$C$12,0)),"⚠ "&amp;$J115)))</f>
        <v>LA</v>
      </c>
      <c r="L115" s="2" t="str">
        <f t="array" ref="L115">IF($C115="","",IF(INDEX(SchedZone,$C115,MAP!$B$14)="Neutral","N",IF($B115="HOME","H","A")))</f>
        <v>H</v>
      </c>
      <c r="M115" s="2" t="str">
        <f t="array" ref="M115">IF($C115="","",IF(INDEX(SchedZone,$C115,MAP!$B$13)="","",INDEX(SchedZone,$C115,MAP!$B$13)))</f>
        <v/>
      </c>
      <c r="N115" s="2" t="str">
        <f t="array" ref="N115">IF($C115="","",IF(INDEX(SchedZone,$C115,MAP!$B$11)="","",INDEX(SchedZone,$C115,MAP!$B$11)))</f>
        <v/>
      </c>
      <c r="O115" s="2">
        <f t="array" ref="O115">IF($C115="","",INDEX(SchedZone,$C115,MAP!$B$16))</f>
        <v>6</v>
      </c>
      <c r="P115" s="2" t="str">
        <f>IF($C115="","",IFERROR(MATCH($E115&amp;"|"&amp;$G115&amp;"|"&amp;$I115,StatsKey,0),""))</f>
        <v/>
      </c>
      <c r="Q115" s="2">
        <f t="array" ref="Q115">IF($P115="",0,INDEX(StatsZone,$P115,MAP!$E$9)+INDEX(StatsZone,$P115,MAP!$E$10)+INDEX(StatsZone,$P115,MAP!$E$11))</f>
        <v>0</v>
      </c>
      <c r="R115" s="2">
        <f t="array" ref="R115">IF($P115="",0,INDEX(StatsZone,$P115,MAP!$E$12))</f>
        <v>0</v>
      </c>
      <c r="S115" s="2">
        <f t="array" ref="S115">IF($P115="",0,INDEX(StatsZone,$P115,MAP!$E$13))</f>
        <v>0</v>
      </c>
      <c r="T115" s="2">
        <f t="shared" si="1"/>
        <v>0</v>
      </c>
      <c r="U115" s="2">
        <f t="array" ref="U115">IF($P115="",0,INDEX(StatsZone,$P115,MAP!$E$14)+INDEX(StatsZone,$P115,MAP!$E$15)+INDEX(StatsZone,$P115,MAP!$E$16))</f>
        <v>0</v>
      </c>
      <c r="V115" s="2">
        <f t="shared" si="2"/>
        <v>0</v>
      </c>
      <c r="W115" s="2">
        <f t="shared" si="3"/>
        <v>0</v>
      </c>
      <c r="X115" s="2">
        <f t="shared" si="4"/>
        <v>0</v>
      </c>
      <c r="Y115" s="2">
        <f t="shared" si="5"/>
        <v>0</v>
      </c>
      <c r="Z115" s="2">
        <f t="shared" si="6"/>
        <v>0</v>
      </c>
      <c r="AA115" s="2">
        <f t="shared" si="7"/>
        <v>1</v>
      </c>
      <c r="AB115" s="2">
        <f>IF(OR($M115="",$N115=""),0,MEDIAN(-MarginCap,MarginCap,($M115-$N115)-$AA115*HFA_Base))</f>
        <v>0</v>
      </c>
      <c r="AC115" s="2">
        <f t="array" ref="AC115">IF(OR($P115="",INDEX($P$3:$P$722,(ROW()+IF(MOD(ROW()-3,2)=0,1,-1))-3+1)=""),0,MEDIAN(-MarginCap,MarginCap,($T115-$W115)-$AA115*HFA_Base))</f>
        <v>0</v>
      </c>
      <c r="AD115" s="2">
        <f t="shared" si="8"/>
        <v>0</v>
      </c>
      <c r="AE115" s="2">
        <f>IF(OR($M115="",$N115=""),0,IF(AND(WEpa&gt;0,$AD115=1),(1-WEpa)*$AB115+WEpa*$AC115,$AB115))</f>
        <v>0</v>
      </c>
      <c r="AF115" s="2">
        <f>IF(AND($C115&lt;&gt;"",$E115=CurrentSeason,$F115="REG",ISNUMBER($G115),$G115&lt;CurrentWeek,AND($M115&lt;&gt;"",$N115&lt;&gt;"")),1,0)</f>
        <v>0</v>
      </c>
      <c r="AG115" s="2">
        <f>IF($AF115=0,0,IF($G115&gt;=CurrentWeek-RecencyWin,RecencyMult,1))</f>
        <v>0</v>
      </c>
      <c r="AH115" s="2">
        <f>IF(AND($C115&lt;&gt;"",$E115=CurrentSeason,$F115="REG",ISNUMBER($G115),$G115&lt;CurrentWeek-1,AND($M115&lt;&gt;"",$N115&lt;&gt;"")),1,0)</f>
        <v>0</v>
      </c>
      <c r="AI115" s="2">
        <f>IF($AH115=0,0,IF($G115&gt;=CurrentWeek-1-RecencyWin,RecencyMult,1))</f>
        <v>0</v>
      </c>
      <c r="AJ115" s="2">
        <f>IF($AF115=0,0,IF($G115&gt;=CurrentWeek-RecencyWin,TotRecency,1))</f>
        <v>0</v>
      </c>
      <c r="AK115" s="2">
        <f t="shared" si="9"/>
        <v>0</v>
      </c>
      <c r="AL115" s="2">
        <f t="shared" si="10"/>
        <v>0</v>
      </c>
      <c r="AM115" s="2" t="str">
        <f t="array" ref="AM115">IF($K115="",0,IFERROR(INDEX(CALC!$F$2:$F$33,MATCH($K115,CALC!$A$2:$A$33,0)),0))</f>
        <v/>
      </c>
      <c r="AN115" s="2" t="str">
        <f t="array" ref="AN115">IF($K115="",0,IFERROR(INDEX(CALC!$I$2:$I$33,MATCH($K115,CALC!$A$2:$A$33,0)),0))</f>
        <v/>
      </c>
      <c r="AO115" s="2" t="str">
        <f t="array" ref="AO115">IF($K115="",0,IFERROR(INDEX(CALC!$L$2:$L$33,MATCH($K115,CALC!$A$2:$A$33,0)),0))</f>
        <v/>
      </c>
      <c r="AP115" s="2" t="str">
        <f t="array" ref="AP115">IF($K115="",0,IFERROR(INDEX(CALC!$T$2:$T$33,MATCH($K115,CALC!$A$2:$A$33,0)),0))</f>
        <v/>
      </c>
      <c r="AQ115" s="2" t="str">
        <f t="array" ref="AQ115">IF($K115="",0,IFERROR(INDEX(CALC!$W$2:$W$33,MATCH($K115,CALC!$A$2:$A$33,0)),0))</f>
        <v/>
      </c>
      <c r="AR115" s="2" t="str">
        <f t="array" ref="AR115">IF($K115="",0,IFERROR(INDEX(CALC!$Z$2:$Z$33,MATCH($K115,CALC!$A$2:$A$33,0)),0))</f>
        <v/>
      </c>
      <c r="AS115" s="2" t="str">
        <f t="array" ref="AS115">IF($K115="",0,IFERROR(INDEX(CALC!$AJ$2:$AJ$33,MATCH($K115,CALC!$A$2:$A$33,0)),0))</f>
        <v/>
      </c>
      <c r="AT115" s="2" t="str">
        <f t="array" ref="AT115">IF($K115="",0,IFERROR(INDEX(CALC!$AI$2:$AI$33,MATCH($K115,CALC!$A$2:$A$33,0)),0))</f>
        <v/>
      </c>
      <c r="AU115" s="2">
        <f t="shared" si="11"/>
        <v>0</v>
      </c>
      <c r="AV115" s="2">
        <f t="shared" si="12"/>
        <v>0</v>
      </c>
    </row>
    <row r="116" ht="15.0" customHeight="1">
      <c r="A116" s="2">
        <v>57.0</v>
      </c>
      <c r="B116" s="2" t="s">
        <v>2366</v>
      </c>
      <c r="C116" s="2">
        <f>IFERROR(MATCH($A116,SchedSeq,0),"")</f>
        <v>342</v>
      </c>
      <c r="D116" s="2" t="str">
        <f t="array" ref="D116">IF($C116="","",INDEX(SchedZone,$C116,MAP!$B$6))</f>
        <v>2026_04_LA_PHI</v>
      </c>
      <c r="E116" s="2">
        <f t="array" ref="E116">IF($C116="","",INDEX(SchedZone,$C116,MAP!$B$3))</f>
        <v>2026</v>
      </c>
      <c r="F116" s="2" t="str">
        <f t="array" ref="F116">IF($C116="","",INDEX(SchedZone,$C116,MAP!$B$5))</f>
        <v>REG</v>
      </c>
      <c r="G116" s="2">
        <f t="array" ref="G116">IF($C116="","",INDEX(SchedZone,$C116,MAP!$B$4))</f>
        <v>4</v>
      </c>
      <c r="H116" s="2" t="str">
        <f t="array" ref="H116">IF($C116="","",INDEX(SchedZone,$C116,MAP!$B$10))</f>
        <v>LA</v>
      </c>
      <c r="I116" s="2" t="str">
        <f t="array" ref="I116">IF($H116="","",IF(COUNTIF(Teams,$H116)&gt;0,$H116,IFERROR(INDEX(LISTS!$D$2:$D$12,MATCH($H116,LISTS!$C$2:$C$12,0)),"⚠ "&amp;$H116)))</f>
        <v>LA</v>
      </c>
      <c r="J116" s="2" t="str">
        <f t="array" ref="J116">IF($C116="","",INDEX(SchedZone,$C116,MAP!$B$12))</f>
        <v>PHI</v>
      </c>
      <c r="K116" s="2" t="str">
        <f t="array" ref="K116">IF($J116="","",IF(COUNTIF(Teams,$J116)&gt;0,$J116,IFERROR(INDEX(LISTS!$D$2:$D$12,MATCH($J116,LISTS!$C$2:$C$12,0)),"⚠ "&amp;$J116)))</f>
        <v>PHI</v>
      </c>
      <c r="L116" s="2" t="str">
        <f t="array" ref="L116">IF($C116="","",IF(INDEX(SchedZone,$C116,MAP!$B$14)="Neutral","N",IF($B116="HOME","H","A")))</f>
        <v>A</v>
      </c>
      <c r="M116" s="2" t="str">
        <f t="array" ref="M116">IF($C116="","",IF(INDEX(SchedZone,$C116,MAP!$B$11)="","",INDEX(SchedZone,$C116,MAP!$B$11)))</f>
        <v/>
      </c>
      <c r="N116" s="2" t="str">
        <f t="array" ref="N116">IF($C116="","",IF(INDEX(SchedZone,$C116,MAP!$B$13)="","",INDEX(SchedZone,$C116,MAP!$B$13)))</f>
        <v/>
      </c>
      <c r="O116" s="2">
        <f t="array" ref="O116">IF($C116="","",INDEX(SchedZone,$C116,MAP!$B$15))</f>
        <v>7</v>
      </c>
      <c r="P116" s="2" t="str">
        <f>IF($C116="","",IFERROR(MATCH($E116&amp;"|"&amp;$G116&amp;"|"&amp;$I116,StatsKey,0),""))</f>
        <v/>
      </c>
      <c r="Q116" s="2">
        <f t="array" ref="Q116">IF($P116="",0,INDEX(StatsZone,$P116,MAP!$E$9)+INDEX(StatsZone,$P116,MAP!$E$10)+INDEX(StatsZone,$P116,MAP!$E$11))</f>
        <v>0</v>
      </c>
      <c r="R116" s="2">
        <f t="array" ref="R116">IF($P116="",0,INDEX(StatsZone,$P116,MAP!$E$12))</f>
        <v>0</v>
      </c>
      <c r="S116" s="2">
        <f t="array" ref="S116">IF($P116="",0,INDEX(StatsZone,$P116,MAP!$E$13))</f>
        <v>0</v>
      </c>
      <c r="T116" s="2">
        <f t="shared" si="1"/>
        <v>0</v>
      </c>
      <c r="U116" s="2">
        <f t="array" ref="U116">IF($P116="",0,INDEX(StatsZone,$P116,MAP!$E$14)+INDEX(StatsZone,$P116,MAP!$E$15)+INDEX(StatsZone,$P116,MAP!$E$16))</f>
        <v>0</v>
      </c>
      <c r="V116" s="2">
        <f t="shared" si="2"/>
        <v>0</v>
      </c>
      <c r="W116" s="2">
        <f t="shared" si="3"/>
        <v>0</v>
      </c>
      <c r="X116" s="2">
        <f t="shared" si="4"/>
        <v>0</v>
      </c>
      <c r="Y116" s="2">
        <f t="shared" si="5"/>
        <v>0</v>
      </c>
      <c r="Z116" s="2">
        <f t="shared" si="6"/>
        <v>0</v>
      </c>
      <c r="AA116" s="2">
        <f t="shared" si="7"/>
        <v>-1</v>
      </c>
      <c r="AB116" s="2">
        <f>IF(OR($M116="",$N116=""),0,MEDIAN(-MarginCap,MarginCap,($M116-$N116)-$AA116*HFA_Base))</f>
        <v>0</v>
      </c>
      <c r="AC116" s="2">
        <f t="array" ref="AC116">IF(OR($P116="",INDEX($P$3:$P$722,(ROW()+IF(MOD(ROW()-3,2)=0,1,-1))-3+1)=""),0,MEDIAN(-MarginCap,MarginCap,($T116-$W116)-$AA116*HFA_Base))</f>
        <v>0</v>
      </c>
      <c r="AD116" s="2">
        <f t="shared" si="8"/>
        <v>0</v>
      </c>
      <c r="AE116" s="2">
        <f>IF(OR($M116="",$N116=""),0,IF(AND(WEpa&gt;0,$AD116=1),(1-WEpa)*$AB116+WEpa*$AC116,$AB116))</f>
        <v>0</v>
      </c>
      <c r="AF116" s="2">
        <f>IF(AND($C116&lt;&gt;"",$E116=CurrentSeason,$F116="REG",ISNUMBER($G116),$G116&lt;CurrentWeek,AND($M116&lt;&gt;"",$N116&lt;&gt;"")),1,0)</f>
        <v>0</v>
      </c>
      <c r="AG116" s="2">
        <f>IF($AF116=0,0,IF($G116&gt;=CurrentWeek-RecencyWin,RecencyMult,1))</f>
        <v>0</v>
      </c>
      <c r="AH116" s="2">
        <f>IF(AND($C116&lt;&gt;"",$E116=CurrentSeason,$F116="REG",ISNUMBER($G116),$G116&lt;CurrentWeek-1,AND($M116&lt;&gt;"",$N116&lt;&gt;"")),1,0)</f>
        <v>0</v>
      </c>
      <c r="AI116" s="2">
        <f>IF($AH116=0,0,IF($G116&gt;=CurrentWeek-1-RecencyWin,RecencyMult,1))</f>
        <v>0</v>
      </c>
      <c r="AJ116" s="2">
        <f>IF($AF116=0,0,IF($G116&gt;=CurrentWeek-RecencyWin,TotRecency,1))</f>
        <v>0</v>
      </c>
      <c r="AK116" s="2">
        <f t="shared" si="9"/>
        <v>0</v>
      </c>
      <c r="AL116" s="2">
        <f t="shared" si="10"/>
        <v>0</v>
      </c>
      <c r="AM116" s="2" t="str">
        <f t="array" ref="AM116">IF($K116="",0,IFERROR(INDEX(CALC!$F$2:$F$33,MATCH($K116,CALC!$A$2:$A$33,0)),0))</f>
        <v/>
      </c>
      <c r="AN116" s="2" t="str">
        <f t="array" ref="AN116">IF($K116="",0,IFERROR(INDEX(CALC!$I$2:$I$33,MATCH($K116,CALC!$A$2:$A$33,0)),0))</f>
        <v/>
      </c>
      <c r="AO116" s="2" t="str">
        <f t="array" ref="AO116">IF($K116="",0,IFERROR(INDEX(CALC!$L$2:$L$33,MATCH($K116,CALC!$A$2:$A$33,0)),0))</f>
        <v/>
      </c>
      <c r="AP116" s="2" t="str">
        <f t="array" ref="AP116">IF($K116="",0,IFERROR(INDEX(CALC!$T$2:$T$33,MATCH($K116,CALC!$A$2:$A$33,0)),0))</f>
        <v/>
      </c>
      <c r="AQ116" s="2" t="str">
        <f t="array" ref="AQ116">IF($K116="",0,IFERROR(INDEX(CALC!$W$2:$W$33,MATCH($K116,CALC!$A$2:$A$33,0)),0))</f>
        <v/>
      </c>
      <c r="AR116" s="2" t="str">
        <f t="array" ref="AR116">IF($K116="",0,IFERROR(INDEX(CALC!$Z$2:$Z$33,MATCH($K116,CALC!$A$2:$A$33,0)),0))</f>
        <v/>
      </c>
      <c r="AS116" s="2" t="str">
        <f t="array" ref="AS116">IF($K116="",0,IFERROR(INDEX(CALC!$AJ$2:$AJ$33,MATCH($K116,CALC!$A$2:$A$33,0)),0))</f>
        <v/>
      </c>
      <c r="AT116" s="2" t="str">
        <f t="array" ref="AT116">IF($K116="",0,IFERROR(INDEX(CALC!$AI$2:$AI$33,MATCH($K116,CALC!$A$2:$A$33,0)),0))</f>
        <v/>
      </c>
      <c r="AU116" s="2">
        <f t="shared" si="11"/>
        <v>0</v>
      </c>
      <c r="AV116" s="2">
        <f t="shared" si="12"/>
        <v>0</v>
      </c>
    </row>
    <row r="117" ht="15.0" customHeight="1">
      <c r="A117" s="2">
        <v>58.0</v>
      </c>
      <c r="B117" s="2" t="s">
        <v>2365</v>
      </c>
      <c r="C117" s="2">
        <f>IFERROR(MATCH($A117,SchedSeq,0),"")</f>
        <v>343</v>
      </c>
      <c r="D117" s="2" t="str">
        <f t="array" ref="D117">IF($C117="","",INDEX(SchedZone,$C117,MAP!$B$6))</f>
        <v>2026_04_GB_TB</v>
      </c>
      <c r="E117" s="2">
        <f t="array" ref="E117">IF($C117="","",INDEX(SchedZone,$C117,MAP!$B$3))</f>
        <v>2026</v>
      </c>
      <c r="F117" s="2" t="str">
        <f t="array" ref="F117">IF($C117="","",INDEX(SchedZone,$C117,MAP!$B$5))</f>
        <v>REG</v>
      </c>
      <c r="G117" s="2">
        <f t="array" ref="G117">IF($C117="","",INDEX(SchedZone,$C117,MAP!$B$4))</f>
        <v>4</v>
      </c>
      <c r="H117" s="2" t="str">
        <f t="array" ref="H117">IF($C117="","",INDEX(SchedZone,$C117,MAP!$B$12))</f>
        <v>TB</v>
      </c>
      <c r="I117" s="2" t="str">
        <f t="array" ref="I117">IF($H117="","",IF(COUNTIF(Teams,$H117)&gt;0,$H117,IFERROR(INDEX(LISTS!$D$2:$D$12,MATCH($H117,LISTS!$C$2:$C$12,0)),"⚠ "&amp;$H117)))</f>
        <v>TB</v>
      </c>
      <c r="J117" s="2" t="str">
        <f t="array" ref="J117">IF($C117="","",INDEX(SchedZone,$C117,MAP!$B$10))</f>
        <v>GB</v>
      </c>
      <c r="K117" s="2" t="str">
        <f t="array" ref="K117">IF($J117="","",IF(COUNTIF(Teams,$J117)&gt;0,$J117,IFERROR(INDEX(LISTS!$D$2:$D$12,MATCH($J117,LISTS!$C$2:$C$12,0)),"⚠ "&amp;$J117)))</f>
        <v>GB</v>
      </c>
      <c r="L117" s="2" t="str">
        <f t="array" ref="L117">IF($C117="","",IF(INDEX(SchedZone,$C117,MAP!$B$14)="Neutral","N",IF($B117="HOME","H","A")))</f>
        <v>H</v>
      </c>
      <c r="M117" s="2" t="str">
        <f t="array" ref="M117">IF($C117="","",IF(INDEX(SchedZone,$C117,MAP!$B$13)="","",INDEX(SchedZone,$C117,MAP!$B$13)))</f>
        <v/>
      </c>
      <c r="N117" s="2" t="str">
        <f t="array" ref="N117">IF($C117="","",IF(INDEX(SchedZone,$C117,MAP!$B$11)="","",INDEX(SchedZone,$C117,MAP!$B$11)))</f>
        <v/>
      </c>
      <c r="O117" s="2">
        <f t="array" ref="O117">IF($C117="","",INDEX(SchedZone,$C117,MAP!$B$16))</f>
        <v>7</v>
      </c>
      <c r="P117" s="2" t="str">
        <f>IF($C117="","",IFERROR(MATCH($E117&amp;"|"&amp;$G117&amp;"|"&amp;$I117,StatsKey,0),""))</f>
        <v/>
      </c>
      <c r="Q117" s="2">
        <f t="array" ref="Q117">IF($P117="",0,INDEX(StatsZone,$P117,MAP!$E$9)+INDEX(StatsZone,$P117,MAP!$E$10)+INDEX(StatsZone,$P117,MAP!$E$11))</f>
        <v>0</v>
      </c>
      <c r="R117" s="2">
        <f t="array" ref="R117">IF($P117="",0,INDEX(StatsZone,$P117,MAP!$E$12))</f>
        <v>0</v>
      </c>
      <c r="S117" s="2">
        <f t="array" ref="S117">IF($P117="",0,INDEX(StatsZone,$P117,MAP!$E$13))</f>
        <v>0</v>
      </c>
      <c r="T117" s="2">
        <f t="shared" si="1"/>
        <v>0</v>
      </c>
      <c r="U117" s="2">
        <f t="array" ref="U117">IF($P117="",0,INDEX(StatsZone,$P117,MAP!$E$14)+INDEX(StatsZone,$P117,MAP!$E$15)+INDEX(StatsZone,$P117,MAP!$E$16))</f>
        <v>0</v>
      </c>
      <c r="V117" s="2">
        <f t="shared" si="2"/>
        <v>0</v>
      </c>
      <c r="W117" s="2">
        <f t="shared" si="3"/>
        <v>0</v>
      </c>
      <c r="X117" s="2">
        <f t="shared" si="4"/>
        <v>0</v>
      </c>
      <c r="Y117" s="2">
        <f t="shared" si="5"/>
        <v>0</v>
      </c>
      <c r="Z117" s="2">
        <f t="shared" si="6"/>
        <v>0</v>
      </c>
      <c r="AA117" s="2">
        <f t="shared" si="7"/>
        <v>1</v>
      </c>
      <c r="AB117" s="2">
        <f>IF(OR($M117="",$N117=""),0,MEDIAN(-MarginCap,MarginCap,($M117-$N117)-$AA117*HFA_Base))</f>
        <v>0</v>
      </c>
      <c r="AC117" s="2">
        <f t="array" ref="AC117">IF(OR($P117="",INDEX($P$3:$P$722,(ROW()+IF(MOD(ROW()-3,2)=0,1,-1))-3+1)=""),0,MEDIAN(-MarginCap,MarginCap,($T117-$W117)-$AA117*HFA_Base))</f>
        <v>0</v>
      </c>
      <c r="AD117" s="2">
        <f t="shared" si="8"/>
        <v>0</v>
      </c>
      <c r="AE117" s="2">
        <f>IF(OR($M117="",$N117=""),0,IF(AND(WEpa&gt;0,$AD117=1),(1-WEpa)*$AB117+WEpa*$AC117,$AB117))</f>
        <v>0</v>
      </c>
      <c r="AF117" s="2">
        <f>IF(AND($C117&lt;&gt;"",$E117=CurrentSeason,$F117="REG",ISNUMBER($G117),$G117&lt;CurrentWeek,AND($M117&lt;&gt;"",$N117&lt;&gt;"")),1,0)</f>
        <v>0</v>
      </c>
      <c r="AG117" s="2">
        <f>IF($AF117=0,0,IF($G117&gt;=CurrentWeek-RecencyWin,RecencyMult,1))</f>
        <v>0</v>
      </c>
      <c r="AH117" s="2">
        <f>IF(AND($C117&lt;&gt;"",$E117=CurrentSeason,$F117="REG",ISNUMBER($G117),$G117&lt;CurrentWeek-1,AND($M117&lt;&gt;"",$N117&lt;&gt;"")),1,0)</f>
        <v>0</v>
      </c>
      <c r="AI117" s="2">
        <f>IF($AH117=0,0,IF($G117&gt;=CurrentWeek-1-RecencyWin,RecencyMult,1))</f>
        <v>0</v>
      </c>
      <c r="AJ117" s="2">
        <f>IF($AF117=0,0,IF($G117&gt;=CurrentWeek-RecencyWin,TotRecency,1))</f>
        <v>0</v>
      </c>
      <c r="AK117" s="2">
        <f t="shared" si="9"/>
        <v>0</v>
      </c>
      <c r="AL117" s="2">
        <f t="shared" si="10"/>
        <v>0</v>
      </c>
      <c r="AM117" s="2" t="str">
        <f t="array" ref="AM117">IF($K117="",0,IFERROR(INDEX(CALC!$F$2:$F$33,MATCH($K117,CALC!$A$2:$A$33,0)),0))</f>
        <v/>
      </c>
      <c r="AN117" s="2" t="str">
        <f t="array" ref="AN117">IF($K117="",0,IFERROR(INDEX(CALC!$I$2:$I$33,MATCH($K117,CALC!$A$2:$A$33,0)),0))</f>
        <v/>
      </c>
      <c r="AO117" s="2" t="str">
        <f t="array" ref="AO117">IF($K117="",0,IFERROR(INDEX(CALC!$L$2:$L$33,MATCH($K117,CALC!$A$2:$A$33,0)),0))</f>
        <v/>
      </c>
      <c r="AP117" s="2" t="str">
        <f t="array" ref="AP117">IF($K117="",0,IFERROR(INDEX(CALC!$T$2:$T$33,MATCH($K117,CALC!$A$2:$A$33,0)),0))</f>
        <v/>
      </c>
      <c r="AQ117" s="2" t="str">
        <f t="array" ref="AQ117">IF($K117="",0,IFERROR(INDEX(CALC!$W$2:$W$33,MATCH($K117,CALC!$A$2:$A$33,0)),0))</f>
        <v/>
      </c>
      <c r="AR117" s="2" t="str">
        <f t="array" ref="AR117">IF($K117="",0,IFERROR(INDEX(CALC!$Z$2:$Z$33,MATCH($K117,CALC!$A$2:$A$33,0)),0))</f>
        <v/>
      </c>
      <c r="AS117" s="2" t="str">
        <f t="array" ref="AS117">IF($K117="",0,IFERROR(INDEX(CALC!$AJ$2:$AJ$33,MATCH($K117,CALC!$A$2:$A$33,0)),0))</f>
        <v/>
      </c>
      <c r="AT117" s="2" t="str">
        <f t="array" ref="AT117">IF($K117="",0,IFERROR(INDEX(CALC!$AI$2:$AI$33,MATCH($K117,CALC!$A$2:$A$33,0)),0))</f>
        <v/>
      </c>
      <c r="AU117" s="2">
        <f t="shared" si="11"/>
        <v>0</v>
      </c>
      <c r="AV117" s="2">
        <f t="shared" si="12"/>
        <v>0</v>
      </c>
    </row>
    <row r="118" ht="15.0" customHeight="1">
      <c r="A118" s="2">
        <v>58.0</v>
      </c>
      <c r="B118" s="2" t="s">
        <v>2366</v>
      </c>
      <c r="C118" s="2">
        <f>IFERROR(MATCH($A118,SchedSeq,0),"")</f>
        <v>343</v>
      </c>
      <c r="D118" s="2" t="str">
        <f t="array" ref="D118">IF($C118="","",INDEX(SchedZone,$C118,MAP!$B$6))</f>
        <v>2026_04_GB_TB</v>
      </c>
      <c r="E118" s="2">
        <f t="array" ref="E118">IF($C118="","",INDEX(SchedZone,$C118,MAP!$B$3))</f>
        <v>2026</v>
      </c>
      <c r="F118" s="2" t="str">
        <f t="array" ref="F118">IF($C118="","",INDEX(SchedZone,$C118,MAP!$B$5))</f>
        <v>REG</v>
      </c>
      <c r="G118" s="2">
        <f t="array" ref="G118">IF($C118="","",INDEX(SchedZone,$C118,MAP!$B$4))</f>
        <v>4</v>
      </c>
      <c r="H118" s="2" t="str">
        <f t="array" ref="H118">IF($C118="","",INDEX(SchedZone,$C118,MAP!$B$10))</f>
        <v>GB</v>
      </c>
      <c r="I118" s="2" t="str">
        <f t="array" ref="I118">IF($H118="","",IF(COUNTIF(Teams,$H118)&gt;0,$H118,IFERROR(INDEX(LISTS!$D$2:$D$12,MATCH($H118,LISTS!$C$2:$C$12,0)),"⚠ "&amp;$H118)))</f>
        <v>GB</v>
      </c>
      <c r="J118" s="2" t="str">
        <f t="array" ref="J118">IF($C118="","",INDEX(SchedZone,$C118,MAP!$B$12))</f>
        <v>TB</v>
      </c>
      <c r="K118" s="2" t="str">
        <f t="array" ref="K118">IF($J118="","",IF(COUNTIF(Teams,$J118)&gt;0,$J118,IFERROR(INDEX(LISTS!$D$2:$D$12,MATCH($J118,LISTS!$C$2:$C$12,0)),"⚠ "&amp;$J118)))</f>
        <v>TB</v>
      </c>
      <c r="L118" s="2" t="str">
        <f t="array" ref="L118">IF($C118="","",IF(INDEX(SchedZone,$C118,MAP!$B$14)="Neutral","N",IF($B118="HOME","H","A")))</f>
        <v>A</v>
      </c>
      <c r="M118" s="2" t="str">
        <f t="array" ref="M118">IF($C118="","",IF(INDEX(SchedZone,$C118,MAP!$B$11)="","",INDEX(SchedZone,$C118,MAP!$B$11)))</f>
        <v/>
      </c>
      <c r="N118" s="2" t="str">
        <f t="array" ref="N118">IF($C118="","",IF(INDEX(SchedZone,$C118,MAP!$B$13)="","",INDEX(SchedZone,$C118,MAP!$B$13)))</f>
        <v/>
      </c>
      <c r="O118" s="2">
        <f t="array" ref="O118">IF($C118="","",INDEX(SchedZone,$C118,MAP!$B$15))</f>
        <v>10</v>
      </c>
      <c r="P118" s="2" t="str">
        <f>IF($C118="","",IFERROR(MATCH($E118&amp;"|"&amp;$G118&amp;"|"&amp;$I118,StatsKey,0),""))</f>
        <v/>
      </c>
      <c r="Q118" s="2">
        <f t="array" ref="Q118">IF($P118="",0,INDEX(StatsZone,$P118,MAP!$E$9)+INDEX(StatsZone,$P118,MAP!$E$10)+INDEX(StatsZone,$P118,MAP!$E$11))</f>
        <v>0</v>
      </c>
      <c r="R118" s="2">
        <f t="array" ref="R118">IF($P118="",0,INDEX(StatsZone,$P118,MAP!$E$12))</f>
        <v>0</v>
      </c>
      <c r="S118" s="2">
        <f t="array" ref="S118">IF($P118="",0,INDEX(StatsZone,$P118,MAP!$E$13))</f>
        <v>0</v>
      </c>
      <c r="T118" s="2">
        <f t="shared" si="1"/>
        <v>0</v>
      </c>
      <c r="U118" s="2">
        <f t="array" ref="U118">IF($P118="",0,INDEX(StatsZone,$P118,MAP!$E$14)+INDEX(StatsZone,$P118,MAP!$E$15)+INDEX(StatsZone,$P118,MAP!$E$16))</f>
        <v>0</v>
      </c>
      <c r="V118" s="2">
        <f t="shared" si="2"/>
        <v>0</v>
      </c>
      <c r="W118" s="2">
        <f t="shared" si="3"/>
        <v>0</v>
      </c>
      <c r="X118" s="2">
        <f t="shared" si="4"/>
        <v>0</v>
      </c>
      <c r="Y118" s="2">
        <f t="shared" si="5"/>
        <v>0</v>
      </c>
      <c r="Z118" s="2">
        <f t="shared" si="6"/>
        <v>0</v>
      </c>
      <c r="AA118" s="2">
        <f t="shared" si="7"/>
        <v>-1</v>
      </c>
      <c r="AB118" s="2">
        <f>IF(OR($M118="",$N118=""),0,MEDIAN(-MarginCap,MarginCap,($M118-$N118)-$AA118*HFA_Base))</f>
        <v>0</v>
      </c>
      <c r="AC118" s="2">
        <f t="array" ref="AC118">IF(OR($P118="",INDEX($P$3:$P$722,(ROW()+IF(MOD(ROW()-3,2)=0,1,-1))-3+1)=""),0,MEDIAN(-MarginCap,MarginCap,($T118-$W118)-$AA118*HFA_Base))</f>
        <v>0</v>
      </c>
      <c r="AD118" s="2">
        <f t="shared" si="8"/>
        <v>0</v>
      </c>
      <c r="AE118" s="2">
        <f>IF(OR($M118="",$N118=""),0,IF(AND(WEpa&gt;0,$AD118=1),(1-WEpa)*$AB118+WEpa*$AC118,$AB118))</f>
        <v>0</v>
      </c>
      <c r="AF118" s="2">
        <f>IF(AND($C118&lt;&gt;"",$E118=CurrentSeason,$F118="REG",ISNUMBER($G118),$G118&lt;CurrentWeek,AND($M118&lt;&gt;"",$N118&lt;&gt;"")),1,0)</f>
        <v>0</v>
      </c>
      <c r="AG118" s="2">
        <f>IF($AF118=0,0,IF($G118&gt;=CurrentWeek-RecencyWin,RecencyMult,1))</f>
        <v>0</v>
      </c>
      <c r="AH118" s="2">
        <f>IF(AND($C118&lt;&gt;"",$E118=CurrentSeason,$F118="REG",ISNUMBER($G118),$G118&lt;CurrentWeek-1,AND($M118&lt;&gt;"",$N118&lt;&gt;"")),1,0)</f>
        <v>0</v>
      </c>
      <c r="AI118" s="2">
        <f>IF($AH118=0,0,IF($G118&gt;=CurrentWeek-1-RecencyWin,RecencyMult,1))</f>
        <v>0</v>
      </c>
      <c r="AJ118" s="2">
        <f>IF($AF118=0,0,IF($G118&gt;=CurrentWeek-RecencyWin,TotRecency,1))</f>
        <v>0</v>
      </c>
      <c r="AK118" s="2">
        <f t="shared" si="9"/>
        <v>0</v>
      </c>
      <c r="AL118" s="2">
        <f t="shared" si="10"/>
        <v>0</v>
      </c>
      <c r="AM118" s="2" t="str">
        <f t="array" ref="AM118">IF($K118="",0,IFERROR(INDEX(CALC!$F$2:$F$33,MATCH($K118,CALC!$A$2:$A$33,0)),0))</f>
        <v/>
      </c>
      <c r="AN118" s="2" t="str">
        <f t="array" ref="AN118">IF($K118="",0,IFERROR(INDEX(CALC!$I$2:$I$33,MATCH($K118,CALC!$A$2:$A$33,0)),0))</f>
        <v/>
      </c>
      <c r="AO118" s="2" t="str">
        <f t="array" ref="AO118">IF($K118="",0,IFERROR(INDEX(CALC!$L$2:$L$33,MATCH($K118,CALC!$A$2:$A$33,0)),0))</f>
        <v/>
      </c>
      <c r="AP118" s="2" t="str">
        <f t="array" ref="AP118">IF($K118="",0,IFERROR(INDEX(CALC!$T$2:$T$33,MATCH($K118,CALC!$A$2:$A$33,0)),0))</f>
        <v/>
      </c>
      <c r="AQ118" s="2" t="str">
        <f t="array" ref="AQ118">IF($K118="",0,IFERROR(INDEX(CALC!$W$2:$W$33,MATCH($K118,CALC!$A$2:$A$33,0)),0))</f>
        <v/>
      </c>
      <c r="AR118" s="2" t="str">
        <f t="array" ref="AR118">IF($K118="",0,IFERROR(INDEX(CALC!$Z$2:$Z$33,MATCH($K118,CALC!$A$2:$A$33,0)),0))</f>
        <v/>
      </c>
      <c r="AS118" s="2" t="str">
        <f t="array" ref="AS118">IF($K118="",0,IFERROR(INDEX(CALC!$AJ$2:$AJ$33,MATCH($K118,CALC!$A$2:$A$33,0)),0))</f>
        <v/>
      </c>
      <c r="AT118" s="2" t="str">
        <f t="array" ref="AT118">IF($K118="",0,IFERROR(INDEX(CALC!$AI$2:$AI$33,MATCH($K118,CALC!$A$2:$A$33,0)),0))</f>
        <v/>
      </c>
      <c r="AU118" s="2">
        <f t="shared" si="11"/>
        <v>0</v>
      </c>
      <c r="AV118" s="2">
        <f t="shared" si="12"/>
        <v>0</v>
      </c>
    </row>
    <row r="119" ht="15.0" customHeight="1">
      <c r="A119" s="2">
        <v>59.0</v>
      </c>
      <c r="B119" s="2" t="s">
        <v>2365</v>
      </c>
      <c r="C119" s="2">
        <f>IFERROR(MATCH($A119,SchedSeq,0),"")</f>
        <v>344</v>
      </c>
      <c r="D119" s="2" t="str">
        <f t="array" ref="D119">IF($C119="","",INDEX(SchedZone,$C119,MAP!$B$6))</f>
        <v>2026_04_MIA_MIN</v>
      </c>
      <c r="E119" s="2">
        <f t="array" ref="E119">IF($C119="","",INDEX(SchedZone,$C119,MAP!$B$3))</f>
        <v>2026</v>
      </c>
      <c r="F119" s="2" t="str">
        <f t="array" ref="F119">IF($C119="","",INDEX(SchedZone,$C119,MAP!$B$5))</f>
        <v>REG</v>
      </c>
      <c r="G119" s="2">
        <f t="array" ref="G119">IF($C119="","",INDEX(SchedZone,$C119,MAP!$B$4))</f>
        <v>4</v>
      </c>
      <c r="H119" s="2" t="str">
        <f t="array" ref="H119">IF($C119="","",INDEX(SchedZone,$C119,MAP!$B$12))</f>
        <v>MIN</v>
      </c>
      <c r="I119" s="2" t="str">
        <f t="array" ref="I119">IF($H119="","",IF(COUNTIF(Teams,$H119)&gt;0,$H119,IFERROR(INDEX(LISTS!$D$2:$D$12,MATCH($H119,LISTS!$C$2:$C$12,0)),"⚠ "&amp;$H119)))</f>
        <v>MIN</v>
      </c>
      <c r="J119" s="2" t="str">
        <f t="array" ref="J119">IF($C119="","",INDEX(SchedZone,$C119,MAP!$B$10))</f>
        <v>MIA</v>
      </c>
      <c r="K119" s="2" t="str">
        <f t="array" ref="K119">IF($J119="","",IF(COUNTIF(Teams,$J119)&gt;0,$J119,IFERROR(INDEX(LISTS!$D$2:$D$12,MATCH($J119,LISTS!$C$2:$C$12,0)),"⚠ "&amp;$J119)))</f>
        <v>MIA</v>
      </c>
      <c r="L119" s="2" t="str">
        <f t="array" ref="L119">IF($C119="","",IF(INDEX(SchedZone,$C119,MAP!$B$14)="Neutral","N",IF($B119="HOME","H","A")))</f>
        <v>H</v>
      </c>
      <c r="M119" s="2" t="str">
        <f t="array" ref="M119">IF($C119="","",IF(INDEX(SchedZone,$C119,MAP!$B$13)="","",INDEX(SchedZone,$C119,MAP!$B$13)))</f>
        <v/>
      </c>
      <c r="N119" s="2" t="str">
        <f t="array" ref="N119">IF($C119="","",IF(INDEX(SchedZone,$C119,MAP!$B$11)="","",INDEX(SchedZone,$C119,MAP!$B$11)))</f>
        <v/>
      </c>
      <c r="O119" s="2">
        <f t="array" ref="O119">IF($C119="","",INDEX(SchedZone,$C119,MAP!$B$16))</f>
        <v>7</v>
      </c>
      <c r="P119" s="2" t="str">
        <f>IF($C119="","",IFERROR(MATCH($E119&amp;"|"&amp;$G119&amp;"|"&amp;$I119,StatsKey,0),""))</f>
        <v/>
      </c>
      <c r="Q119" s="2">
        <f t="array" ref="Q119">IF($P119="",0,INDEX(StatsZone,$P119,MAP!$E$9)+INDEX(StatsZone,$P119,MAP!$E$10)+INDEX(StatsZone,$P119,MAP!$E$11))</f>
        <v>0</v>
      </c>
      <c r="R119" s="2">
        <f t="array" ref="R119">IF($P119="",0,INDEX(StatsZone,$P119,MAP!$E$12))</f>
        <v>0</v>
      </c>
      <c r="S119" s="2">
        <f t="array" ref="S119">IF($P119="",0,INDEX(StatsZone,$P119,MAP!$E$13))</f>
        <v>0</v>
      </c>
      <c r="T119" s="2">
        <f t="shared" si="1"/>
        <v>0</v>
      </c>
      <c r="U119" s="2">
        <f t="array" ref="U119">IF($P119="",0,INDEX(StatsZone,$P119,MAP!$E$14)+INDEX(StatsZone,$P119,MAP!$E$15)+INDEX(StatsZone,$P119,MAP!$E$16))</f>
        <v>0</v>
      </c>
      <c r="V119" s="2">
        <f t="shared" si="2"/>
        <v>0</v>
      </c>
      <c r="W119" s="2">
        <f t="shared" si="3"/>
        <v>0</v>
      </c>
      <c r="X119" s="2">
        <f t="shared" si="4"/>
        <v>0</v>
      </c>
      <c r="Y119" s="2">
        <f t="shared" si="5"/>
        <v>0</v>
      </c>
      <c r="Z119" s="2">
        <f t="shared" si="6"/>
        <v>0</v>
      </c>
      <c r="AA119" s="2">
        <f t="shared" si="7"/>
        <v>1</v>
      </c>
      <c r="AB119" s="2">
        <f>IF(OR($M119="",$N119=""),0,MEDIAN(-MarginCap,MarginCap,($M119-$N119)-$AA119*HFA_Base))</f>
        <v>0</v>
      </c>
      <c r="AC119" s="2">
        <f t="array" ref="AC119">IF(OR($P119="",INDEX($P$3:$P$722,(ROW()+IF(MOD(ROW()-3,2)=0,1,-1))-3+1)=""),0,MEDIAN(-MarginCap,MarginCap,($T119-$W119)-$AA119*HFA_Base))</f>
        <v>0</v>
      </c>
      <c r="AD119" s="2">
        <f t="shared" si="8"/>
        <v>0</v>
      </c>
      <c r="AE119" s="2">
        <f>IF(OR($M119="",$N119=""),0,IF(AND(WEpa&gt;0,$AD119=1),(1-WEpa)*$AB119+WEpa*$AC119,$AB119))</f>
        <v>0</v>
      </c>
      <c r="AF119" s="2">
        <f>IF(AND($C119&lt;&gt;"",$E119=CurrentSeason,$F119="REG",ISNUMBER($G119),$G119&lt;CurrentWeek,AND($M119&lt;&gt;"",$N119&lt;&gt;"")),1,0)</f>
        <v>0</v>
      </c>
      <c r="AG119" s="2">
        <f>IF($AF119=0,0,IF($G119&gt;=CurrentWeek-RecencyWin,RecencyMult,1))</f>
        <v>0</v>
      </c>
      <c r="AH119" s="2">
        <f>IF(AND($C119&lt;&gt;"",$E119=CurrentSeason,$F119="REG",ISNUMBER($G119),$G119&lt;CurrentWeek-1,AND($M119&lt;&gt;"",$N119&lt;&gt;"")),1,0)</f>
        <v>0</v>
      </c>
      <c r="AI119" s="2">
        <f>IF($AH119=0,0,IF($G119&gt;=CurrentWeek-1-RecencyWin,RecencyMult,1))</f>
        <v>0</v>
      </c>
      <c r="AJ119" s="2">
        <f>IF($AF119=0,0,IF($G119&gt;=CurrentWeek-RecencyWin,TotRecency,1))</f>
        <v>0</v>
      </c>
      <c r="AK119" s="2">
        <f t="shared" si="9"/>
        <v>0</v>
      </c>
      <c r="AL119" s="2">
        <f t="shared" si="10"/>
        <v>0</v>
      </c>
      <c r="AM119" s="2" t="str">
        <f t="array" ref="AM119">IF($K119="",0,IFERROR(INDEX(CALC!$F$2:$F$33,MATCH($K119,CALC!$A$2:$A$33,0)),0))</f>
        <v/>
      </c>
      <c r="AN119" s="2" t="str">
        <f t="array" ref="AN119">IF($K119="",0,IFERROR(INDEX(CALC!$I$2:$I$33,MATCH($K119,CALC!$A$2:$A$33,0)),0))</f>
        <v/>
      </c>
      <c r="AO119" s="2" t="str">
        <f t="array" ref="AO119">IF($K119="",0,IFERROR(INDEX(CALC!$L$2:$L$33,MATCH($K119,CALC!$A$2:$A$33,0)),0))</f>
        <v/>
      </c>
      <c r="AP119" s="2" t="str">
        <f t="array" ref="AP119">IF($K119="",0,IFERROR(INDEX(CALC!$T$2:$T$33,MATCH($K119,CALC!$A$2:$A$33,0)),0))</f>
        <v/>
      </c>
      <c r="AQ119" s="2" t="str">
        <f t="array" ref="AQ119">IF($K119="",0,IFERROR(INDEX(CALC!$W$2:$W$33,MATCH($K119,CALC!$A$2:$A$33,0)),0))</f>
        <v/>
      </c>
      <c r="AR119" s="2" t="str">
        <f t="array" ref="AR119">IF($K119="",0,IFERROR(INDEX(CALC!$Z$2:$Z$33,MATCH($K119,CALC!$A$2:$A$33,0)),0))</f>
        <v/>
      </c>
      <c r="AS119" s="2" t="str">
        <f t="array" ref="AS119">IF($K119="",0,IFERROR(INDEX(CALC!$AJ$2:$AJ$33,MATCH($K119,CALC!$A$2:$A$33,0)),0))</f>
        <v/>
      </c>
      <c r="AT119" s="2" t="str">
        <f t="array" ref="AT119">IF($K119="",0,IFERROR(INDEX(CALC!$AI$2:$AI$33,MATCH($K119,CALC!$A$2:$A$33,0)),0))</f>
        <v/>
      </c>
      <c r="AU119" s="2">
        <f t="shared" si="11"/>
        <v>0</v>
      </c>
      <c r="AV119" s="2">
        <f t="shared" si="12"/>
        <v>0</v>
      </c>
    </row>
    <row r="120" ht="15.0" customHeight="1">
      <c r="A120" s="2">
        <v>59.0</v>
      </c>
      <c r="B120" s="2" t="s">
        <v>2366</v>
      </c>
      <c r="C120" s="2">
        <f>IFERROR(MATCH($A120,SchedSeq,0),"")</f>
        <v>344</v>
      </c>
      <c r="D120" s="2" t="str">
        <f t="array" ref="D120">IF($C120="","",INDEX(SchedZone,$C120,MAP!$B$6))</f>
        <v>2026_04_MIA_MIN</v>
      </c>
      <c r="E120" s="2">
        <f t="array" ref="E120">IF($C120="","",INDEX(SchedZone,$C120,MAP!$B$3))</f>
        <v>2026</v>
      </c>
      <c r="F120" s="2" t="str">
        <f t="array" ref="F120">IF($C120="","",INDEX(SchedZone,$C120,MAP!$B$5))</f>
        <v>REG</v>
      </c>
      <c r="G120" s="2">
        <f t="array" ref="G120">IF($C120="","",INDEX(SchedZone,$C120,MAP!$B$4))</f>
        <v>4</v>
      </c>
      <c r="H120" s="2" t="str">
        <f t="array" ref="H120">IF($C120="","",INDEX(SchedZone,$C120,MAP!$B$10))</f>
        <v>MIA</v>
      </c>
      <c r="I120" s="2" t="str">
        <f t="array" ref="I120">IF($H120="","",IF(COUNTIF(Teams,$H120)&gt;0,$H120,IFERROR(INDEX(LISTS!$D$2:$D$12,MATCH($H120,LISTS!$C$2:$C$12,0)),"⚠ "&amp;$H120)))</f>
        <v>MIA</v>
      </c>
      <c r="J120" s="2" t="str">
        <f t="array" ref="J120">IF($C120="","",INDEX(SchedZone,$C120,MAP!$B$12))</f>
        <v>MIN</v>
      </c>
      <c r="K120" s="2" t="str">
        <f t="array" ref="K120">IF($J120="","",IF(COUNTIF(Teams,$J120)&gt;0,$J120,IFERROR(INDEX(LISTS!$D$2:$D$12,MATCH($J120,LISTS!$C$2:$C$12,0)),"⚠ "&amp;$J120)))</f>
        <v>MIN</v>
      </c>
      <c r="L120" s="2" t="str">
        <f t="array" ref="L120">IF($C120="","",IF(INDEX(SchedZone,$C120,MAP!$B$14)="Neutral","N",IF($B120="HOME","H","A")))</f>
        <v>A</v>
      </c>
      <c r="M120" s="2" t="str">
        <f t="array" ref="M120">IF($C120="","",IF(INDEX(SchedZone,$C120,MAP!$B$11)="","",INDEX(SchedZone,$C120,MAP!$B$11)))</f>
        <v/>
      </c>
      <c r="N120" s="2" t="str">
        <f t="array" ref="N120">IF($C120="","",IF(INDEX(SchedZone,$C120,MAP!$B$13)="","",INDEX(SchedZone,$C120,MAP!$B$13)))</f>
        <v/>
      </c>
      <c r="O120" s="2">
        <f t="array" ref="O120">IF($C120="","",INDEX(SchedZone,$C120,MAP!$B$15))</f>
        <v>7</v>
      </c>
      <c r="P120" s="2" t="str">
        <f>IF($C120="","",IFERROR(MATCH($E120&amp;"|"&amp;$G120&amp;"|"&amp;$I120,StatsKey,0),""))</f>
        <v/>
      </c>
      <c r="Q120" s="2">
        <f t="array" ref="Q120">IF($P120="",0,INDEX(StatsZone,$P120,MAP!$E$9)+INDEX(StatsZone,$P120,MAP!$E$10)+INDEX(StatsZone,$P120,MAP!$E$11))</f>
        <v>0</v>
      </c>
      <c r="R120" s="2">
        <f t="array" ref="R120">IF($P120="",0,INDEX(StatsZone,$P120,MAP!$E$12))</f>
        <v>0</v>
      </c>
      <c r="S120" s="2">
        <f t="array" ref="S120">IF($P120="",0,INDEX(StatsZone,$P120,MAP!$E$13))</f>
        <v>0</v>
      </c>
      <c r="T120" s="2">
        <f t="shared" si="1"/>
        <v>0</v>
      </c>
      <c r="U120" s="2">
        <f t="array" ref="U120">IF($P120="",0,INDEX(StatsZone,$P120,MAP!$E$14)+INDEX(StatsZone,$P120,MAP!$E$15)+INDEX(StatsZone,$P120,MAP!$E$16))</f>
        <v>0</v>
      </c>
      <c r="V120" s="2">
        <f t="shared" si="2"/>
        <v>0</v>
      </c>
      <c r="W120" s="2">
        <f t="shared" si="3"/>
        <v>0</v>
      </c>
      <c r="X120" s="2">
        <f t="shared" si="4"/>
        <v>0</v>
      </c>
      <c r="Y120" s="2">
        <f t="shared" si="5"/>
        <v>0</v>
      </c>
      <c r="Z120" s="2">
        <f t="shared" si="6"/>
        <v>0</v>
      </c>
      <c r="AA120" s="2">
        <f t="shared" si="7"/>
        <v>-1</v>
      </c>
      <c r="AB120" s="2">
        <f>IF(OR($M120="",$N120=""),0,MEDIAN(-MarginCap,MarginCap,($M120-$N120)-$AA120*HFA_Base))</f>
        <v>0</v>
      </c>
      <c r="AC120" s="2">
        <f t="array" ref="AC120">IF(OR($P120="",INDEX($P$3:$P$722,(ROW()+IF(MOD(ROW()-3,2)=0,1,-1))-3+1)=""),0,MEDIAN(-MarginCap,MarginCap,($T120-$W120)-$AA120*HFA_Base))</f>
        <v>0</v>
      </c>
      <c r="AD120" s="2">
        <f t="shared" si="8"/>
        <v>0</v>
      </c>
      <c r="AE120" s="2">
        <f>IF(OR($M120="",$N120=""),0,IF(AND(WEpa&gt;0,$AD120=1),(1-WEpa)*$AB120+WEpa*$AC120,$AB120))</f>
        <v>0</v>
      </c>
      <c r="AF120" s="2">
        <f>IF(AND($C120&lt;&gt;"",$E120=CurrentSeason,$F120="REG",ISNUMBER($G120),$G120&lt;CurrentWeek,AND($M120&lt;&gt;"",$N120&lt;&gt;"")),1,0)</f>
        <v>0</v>
      </c>
      <c r="AG120" s="2">
        <f>IF($AF120=0,0,IF($G120&gt;=CurrentWeek-RecencyWin,RecencyMult,1))</f>
        <v>0</v>
      </c>
      <c r="AH120" s="2">
        <f>IF(AND($C120&lt;&gt;"",$E120=CurrentSeason,$F120="REG",ISNUMBER($G120),$G120&lt;CurrentWeek-1,AND($M120&lt;&gt;"",$N120&lt;&gt;"")),1,0)</f>
        <v>0</v>
      </c>
      <c r="AI120" s="2">
        <f>IF($AH120=0,0,IF($G120&gt;=CurrentWeek-1-RecencyWin,RecencyMult,1))</f>
        <v>0</v>
      </c>
      <c r="AJ120" s="2">
        <f>IF($AF120=0,0,IF($G120&gt;=CurrentWeek-RecencyWin,TotRecency,1))</f>
        <v>0</v>
      </c>
      <c r="AK120" s="2">
        <f t="shared" si="9"/>
        <v>0</v>
      </c>
      <c r="AL120" s="2">
        <f t="shared" si="10"/>
        <v>0</v>
      </c>
      <c r="AM120" s="2" t="str">
        <f t="array" ref="AM120">IF($K120="",0,IFERROR(INDEX(CALC!$F$2:$F$33,MATCH($K120,CALC!$A$2:$A$33,0)),0))</f>
        <v/>
      </c>
      <c r="AN120" s="2" t="str">
        <f t="array" ref="AN120">IF($K120="",0,IFERROR(INDEX(CALC!$I$2:$I$33,MATCH($K120,CALC!$A$2:$A$33,0)),0))</f>
        <v/>
      </c>
      <c r="AO120" s="2" t="str">
        <f t="array" ref="AO120">IF($K120="",0,IFERROR(INDEX(CALC!$L$2:$L$33,MATCH($K120,CALC!$A$2:$A$33,0)),0))</f>
        <v/>
      </c>
      <c r="AP120" s="2" t="str">
        <f t="array" ref="AP120">IF($K120="",0,IFERROR(INDEX(CALC!$T$2:$T$33,MATCH($K120,CALC!$A$2:$A$33,0)),0))</f>
        <v/>
      </c>
      <c r="AQ120" s="2" t="str">
        <f t="array" ref="AQ120">IF($K120="",0,IFERROR(INDEX(CALC!$W$2:$W$33,MATCH($K120,CALC!$A$2:$A$33,0)),0))</f>
        <v/>
      </c>
      <c r="AR120" s="2" t="str">
        <f t="array" ref="AR120">IF($K120="",0,IFERROR(INDEX(CALC!$Z$2:$Z$33,MATCH($K120,CALC!$A$2:$A$33,0)),0))</f>
        <v/>
      </c>
      <c r="AS120" s="2" t="str">
        <f t="array" ref="AS120">IF($K120="",0,IFERROR(INDEX(CALC!$AJ$2:$AJ$33,MATCH($K120,CALC!$A$2:$A$33,0)),0))</f>
        <v/>
      </c>
      <c r="AT120" s="2" t="str">
        <f t="array" ref="AT120">IF($K120="",0,IFERROR(INDEX(CALC!$AI$2:$AI$33,MATCH($K120,CALC!$A$2:$A$33,0)),0))</f>
        <v/>
      </c>
      <c r="AU120" s="2">
        <f t="shared" si="11"/>
        <v>0</v>
      </c>
      <c r="AV120" s="2">
        <f t="shared" si="12"/>
        <v>0</v>
      </c>
    </row>
    <row r="121" ht="15.0" customHeight="1">
      <c r="A121" s="2">
        <v>60.0</v>
      </c>
      <c r="B121" s="2" t="s">
        <v>2365</v>
      </c>
      <c r="C121" s="2">
        <f>IFERROR(MATCH($A121,SchedSeq,0),"")</f>
        <v>345</v>
      </c>
      <c r="D121" s="2" t="str">
        <f t="array" ref="D121">IF($C121="","",INDEX(SchedZone,$C121,MAP!$B$6))</f>
        <v>2026_04_KC_LV</v>
      </c>
      <c r="E121" s="2">
        <f t="array" ref="E121">IF($C121="","",INDEX(SchedZone,$C121,MAP!$B$3))</f>
        <v>2026</v>
      </c>
      <c r="F121" s="2" t="str">
        <f t="array" ref="F121">IF($C121="","",INDEX(SchedZone,$C121,MAP!$B$5))</f>
        <v>REG</v>
      </c>
      <c r="G121" s="2">
        <f t="array" ref="G121">IF($C121="","",INDEX(SchedZone,$C121,MAP!$B$4))</f>
        <v>4</v>
      </c>
      <c r="H121" s="2" t="str">
        <f t="array" ref="H121">IF($C121="","",INDEX(SchedZone,$C121,MAP!$B$12))</f>
        <v>LV</v>
      </c>
      <c r="I121" s="2" t="str">
        <f t="array" ref="I121">IF($H121="","",IF(COUNTIF(Teams,$H121)&gt;0,$H121,IFERROR(INDEX(LISTS!$D$2:$D$12,MATCH($H121,LISTS!$C$2:$C$12,0)),"⚠ "&amp;$H121)))</f>
        <v>LV</v>
      </c>
      <c r="J121" s="2" t="str">
        <f t="array" ref="J121">IF($C121="","",INDEX(SchedZone,$C121,MAP!$B$10))</f>
        <v>KC</v>
      </c>
      <c r="K121" s="2" t="str">
        <f t="array" ref="K121">IF($J121="","",IF(COUNTIF(Teams,$J121)&gt;0,$J121,IFERROR(INDEX(LISTS!$D$2:$D$12,MATCH($J121,LISTS!$C$2:$C$12,0)),"⚠ "&amp;$J121)))</f>
        <v>KC</v>
      </c>
      <c r="L121" s="2" t="str">
        <f t="array" ref="L121">IF($C121="","",IF(INDEX(SchedZone,$C121,MAP!$B$14)="Neutral","N",IF($B121="HOME","H","A")))</f>
        <v>H</v>
      </c>
      <c r="M121" s="2" t="str">
        <f t="array" ref="M121">IF($C121="","",IF(INDEX(SchedZone,$C121,MAP!$B$13)="","",INDEX(SchedZone,$C121,MAP!$B$13)))</f>
        <v/>
      </c>
      <c r="N121" s="2" t="str">
        <f t="array" ref="N121">IF($C121="","",IF(INDEX(SchedZone,$C121,MAP!$B$11)="","",INDEX(SchedZone,$C121,MAP!$B$11)))</f>
        <v/>
      </c>
      <c r="O121" s="2">
        <f t="array" ref="O121">IF($C121="","",INDEX(SchedZone,$C121,MAP!$B$16))</f>
        <v>7</v>
      </c>
      <c r="P121" s="2" t="str">
        <f>IF($C121="","",IFERROR(MATCH($E121&amp;"|"&amp;$G121&amp;"|"&amp;$I121,StatsKey,0),""))</f>
        <v/>
      </c>
      <c r="Q121" s="2">
        <f t="array" ref="Q121">IF($P121="",0,INDEX(StatsZone,$P121,MAP!$E$9)+INDEX(StatsZone,$P121,MAP!$E$10)+INDEX(StatsZone,$P121,MAP!$E$11))</f>
        <v>0</v>
      </c>
      <c r="R121" s="2">
        <f t="array" ref="R121">IF($P121="",0,INDEX(StatsZone,$P121,MAP!$E$12))</f>
        <v>0</v>
      </c>
      <c r="S121" s="2">
        <f t="array" ref="S121">IF($P121="",0,INDEX(StatsZone,$P121,MAP!$E$13))</f>
        <v>0</v>
      </c>
      <c r="T121" s="2">
        <f t="shared" si="1"/>
        <v>0</v>
      </c>
      <c r="U121" s="2">
        <f t="array" ref="U121">IF($P121="",0,INDEX(StatsZone,$P121,MAP!$E$14)+INDEX(StatsZone,$P121,MAP!$E$15)+INDEX(StatsZone,$P121,MAP!$E$16))</f>
        <v>0</v>
      </c>
      <c r="V121" s="2">
        <f t="shared" si="2"/>
        <v>0</v>
      </c>
      <c r="W121" s="2">
        <f t="shared" si="3"/>
        <v>0</v>
      </c>
      <c r="X121" s="2">
        <f t="shared" si="4"/>
        <v>0</v>
      </c>
      <c r="Y121" s="2">
        <f t="shared" si="5"/>
        <v>0</v>
      </c>
      <c r="Z121" s="2">
        <f t="shared" si="6"/>
        <v>0</v>
      </c>
      <c r="AA121" s="2">
        <f t="shared" si="7"/>
        <v>1</v>
      </c>
      <c r="AB121" s="2">
        <f>IF(OR($M121="",$N121=""),0,MEDIAN(-MarginCap,MarginCap,($M121-$N121)-$AA121*HFA_Base))</f>
        <v>0</v>
      </c>
      <c r="AC121" s="2">
        <f t="array" ref="AC121">IF(OR($P121="",INDEX($P$3:$P$722,(ROW()+IF(MOD(ROW()-3,2)=0,1,-1))-3+1)=""),0,MEDIAN(-MarginCap,MarginCap,($T121-$W121)-$AA121*HFA_Base))</f>
        <v>0</v>
      </c>
      <c r="AD121" s="2">
        <f t="shared" si="8"/>
        <v>0</v>
      </c>
      <c r="AE121" s="2">
        <f>IF(OR($M121="",$N121=""),0,IF(AND(WEpa&gt;0,$AD121=1),(1-WEpa)*$AB121+WEpa*$AC121,$AB121))</f>
        <v>0</v>
      </c>
      <c r="AF121" s="2">
        <f>IF(AND($C121&lt;&gt;"",$E121=CurrentSeason,$F121="REG",ISNUMBER($G121),$G121&lt;CurrentWeek,AND($M121&lt;&gt;"",$N121&lt;&gt;"")),1,0)</f>
        <v>0</v>
      </c>
      <c r="AG121" s="2">
        <f>IF($AF121=0,0,IF($G121&gt;=CurrentWeek-RecencyWin,RecencyMult,1))</f>
        <v>0</v>
      </c>
      <c r="AH121" s="2">
        <f>IF(AND($C121&lt;&gt;"",$E121=CurrentSeason,$F121="REG",ISNUMBER($G121),$G121&lt;CurrentWeek-1,AND($M121&lt;&gt;"",$N121&lt;&gt;"")),1,0)</f>
        <v>0</v>
      </c>
      <c r="AI121" s="2">
        <f>IF($AH121=0,0,IF($G121&gt;=CurrentWeek-1-RecencyWin,RecencyMult,1))</f>
        <v>0</v>
      </c>
      <c r="AJ121" s="2">
        <f>IF($AF121=0,0,IF($G121&gt;=CurrentWeek-RecencyWin,TotRecency,1))</f>
        <v>0</v>
      </c>
      <c r="AK121" s="2">
        <f t="shared" si="9"/>
        <v>0</v>
      </c>
      <c r="AL121" s="2">
        <f t="shared" si="10"/>
        <v>0</v>
      </c>
      <c r="AM121" s="2" t="str">
        <f t="array" ref="AM121">IF($K121="",0,IFERROR(INDEX(CALC!$F$2:$F$33,MATCH($K121,CALC!$A$2:$A$33,0)),0))</f>
        <v/>
      </c>
      <c r="AN121" s="2" t="str">
        <f t="array" ref="AN121">IF($K121="",0,IFERROR(INDEX(CALC!$I$2:$I$33,MATCH($K121,CALC!$A$2:$A$33,0)),0))</f>
        <v/>
      </c>
      <c r="AO121" s="2" t="str">
        <f t="array" ref="AO121">IF($K121="",0,IFERROR(INDEX(CALC!$L$2:$L$33,MATCH($K121,CALC!$A$2:$A$33,0)),0))</f>
        <v/>
      </c>
      <c r="AP121" s="2" t="str">
        <f t="array" ref="AP121">IF($K121="",0,IFERROR(INDEX(CALC!$T$2:$T$33,MATCH($K121,CALC!$A$2:$A$33,0)),0))</f>
        <v/>
      </c>
      <c r="AQ121" s="2" t="str">
        <f t="array" ref="AQ121">IF($K121="",0,IFERROR(INDEX(CALC!$W$2:$W$33,MATCH($K121,CALC!$A$2:$A$33,0)),0))</f>
        <v/>
      </c>
      <c r="AR121" s="2" t="str">
        <f t="array" ref="AR121">IF($K121="",0,IFERROR(INDEX(CALC!$Z$2:$Z$33,MATCH($K121,CALC!$A$2:$A$33,0)),0))</f>
        <v/>
      </c>
      <c r="AS121" s="2" t="str">
        <f t="array" ref="AS121">IF($K121="",0,IFERROR(INDEX(CALC!$AJ$2:$AJ$33,MATCH($K121,CALC!$A$2:$A$33,0)),0))</f>
        <v/>
      </c>
      <c r="AT121" s="2" t="str">
        <f t="array" ref="AT121">IF($K121="",0,IFERROR(INDEX(CALC!$AI$2:$AI$33,MATCH($K121,CALC!$A$2:$A$33,0)),0))</f>
        <v/>
      </c>
      <c r="AU121" s="2">
        <f t="shared" si="11"/>
        <v>0</v>
      </c>
      <c r="AV121" s="2">
        <f t="shared" si="12"/>
        <v>0</v>
      </c>
    </row>
    <row r="122" ht="15.0" customHeight="1">
      <c r="A122" s="2">
        <v>60.0</v>
      </c>
      <c r="B122" s="2" t="s">
        <v>2366</v>
      </c>
      <c r="C122" s="2">
        <f>IFERROR(MATCH($A122,SchedSeq,0),"")</f>
        <v>345</v>
      </c>
      <c r="D122" s="2" t="str">
        <f t="array" ref="D122">IF($C122="","",INDEX(SchedZone,$C122,MAP!$B$6))</f>
        <v>2026_04_KC_LV</v>
      </c>
      <c r="E122" s="2">
        <f t="array" ref="E122">IF($C122="","",INDEX(SchedZone,$C122,MAP!$B$3))</f>
        <v>2026</v>
      </c>
      <c r="F122" s="2" t="str">
        <f t="array" ref="F122">IF($C122="","",INDEX(SchedZone,$C122,MAP!$B$5))</f>
        <v>REG</v>
      </c>
      <c r="G122" s="2">
        <f t="array" ref="G122">IF($C122="","",INDEX(SchedZone,$C122,MAP!$B$4))</f>
        <v>4</v>
      </c>
      <c r="H122" s="2" t="str">
        <f t="array" ref="H122">IF($C122="","",INDEX(SchedZone,$C122,MAP!$B$10))</f>
        <v>KC</v>
      </c>
      <c r="I122" s="2" t="str">
        <f t="array" ref="I122">IF($H122="","",IF(COUNTIF(Teams,$H122)&gt;0,$H122,IFERROR(INDEX(LISTS!$D$2:$D$12,MATCH($H122,LISTS!$C$2:$C$12,0)),"⚠ "&amp;$H122)))</f>
        <v>KC</v>
      </c>
      <c r="J122" s="2" t="str">
        <f t="array" ref="J122">IF($C122="","",INDEX(SchedZone,$C122,MAP!$B$12))</f>
        <v>LV</v>
      </c>
      <c r="K122" s="2" t="str">
        <f t="array" ref="K122">IF($J122="","",IF(COUNTIF(Teams,$J122)&gt;0,$J122,IFERROR(INDEX(LISTS!$D$2:$D$12,MATCH($J122,LISTS!$C$2:$C$12,0)),"⚠ "&amp;$J122)))</f>
        <v>LV</v>
      </c>
      <c r="L122" s="2" t="str">
        <f t="array" ref="L122">IF($C122="","",IF(INDEX(SchedZone,$C122,MAP!$B$14)="Neutral","N",IF($B122="HOME","H","A")))</f>
        <v>A</v>
      </c>
      <c r="M122" s="2" t="str">
        <f t="array" ref="M122">IF($C122="","",IF(INDEX(SchedZone,$C122,MAP!$B$11)="","",INDEX(SchedZone,$C122,MAP!$B$11)))</f>
        <v/>
      </c>
      <c r="N122" s="2" t="str">
        <f t="array" ref="N122">IF($C122="","",IF(INDEX(SchedZone,$C122,MAP!$B$13)="","",INDEX(SchedZone,$C122,MAP!$B$13)))</f>
        <v/>
      </c>
      <c r="O122" s="2">
        <f t="array" ref="O122">IF($C122="","",INDEX(SchedZone,$C122,MAP!$B$15))</f>
        <v>7</v>
      </c>
      <c r="P122" s="2" t="str">
        <f>IF($C122="","",IFERROR(MATCH($E122&amp;"|"&amp;$G122&amp;"|"&amp;$I122,StatsKey,0),""))</f>
        <v/>
      </c>
      <c r="Q122" s="2">
        <f t="array" ref="Q122">IF($P122="",0,INDEX(StatsZone,$P122,MAP!$E$9)+INDEX(StatsZone,$P122,MAP!$E$10)+INDEX(StatsZone,$P122,MAP!$E$11))</f>
        <v>0</v>
      </c>
      <c r="R122" s="2">
        <f t="array" ref="R122">IF($P122="",0,INDEX(StatsZone,$P122,MAP!$E$12))</f>
        <v>0</v>
      </c>
      <c r="S122" s="2">
        <f t="array" ref="S122">IF($P122="",0,INDEX(StatsZone,$P122,MAP!$E$13))</f>
        <v>0</v>
      </c>
      <c r="T122" s="2">
        <f t="shared" si="1"/>
        <v>0</v>
      </c>
      <c r="U122" s="2">
        <f t="array" ref="U122">IF($P122="",0,INDEX(StatsZone,$P122,MAP!$E$14)+INDEX(StatsZone,$P122,MAP!$E$15)+INDEX(StatsZone,$P122,MAP!$E$16))</f>
        <v>0</v>
      </c>
      <c r="V122" s="2">
        <f t="shared" si="2"/>
        <v>0</v>
      </c>
      <c r="W122" s="2">
        <f t="shared" si="3"/>
        <v>0</v>
      </c>
      <c r="X122" s="2">
        <f t="shared" si="4"/>
        <v>0</v>
      </c>
      <c r="Y122" s="2">
        <f t="shared" si="5"/>
        <v>0</v>
      </c>
      <c r="Z122" s="2">
        <f t="shared" si="6"/>
        <v>0</v>
      </c>
      <c r="AA122" s="2">
        <f t="shared" si="7"/>
        <v>-1</v>
      </c>
      <c r="AB122" s="2">
        <f>IF(OR($M122="",$N122=""),0,MEDIAN(-MarginCap,MarginCap,($M122-$N122)-$AA122*HFA_Base))</f>
        <v>0</v>
      </c>
      <c r="AC122" s="2">
        <f t="array" ref="AC122">IF(OR($P122="",INDEX($P$3:$P$722,(ROW()+IF(MOD(ROW()-3,2)=0,1,-1))-3+1)=""),0,MEDIAN(-MarginCap,MarginCap,($T122-$W122)-$AA122*HFA_Base))</f>
        <v>0</v>
      </c>
      <c r="AD122" s="2">
        <f t="shared" si="8"/>
        <v>0</v>
      </c>
      <c r="AE122" s="2">
        <f>IF(OR($M122="",$N122=""),0,IF(AND(WEpa&gt;0,$AD122=1),(1-WEpa)*$AB122+WEpa*$AC122,$AB122))</f>
        <v>0</v>
      </c>
      <c r="AF122" s="2">
        <f>IF(AND($C122&lt;&gt;"",$E122=CurrentSeason,$F122="REG",ISNUMBER($G122),$G122&lt;CurrentWeek,AND($M122&lt;&gt;"",$N122&lt;&gt;"")),1,0)</f>
        <v>0</v>
      </c>
      <c r="AG122" s="2">
        <f>IF($AF122=0,0,IF($G122&gt;=CurrentWeek-RecencyWin,RecencyMult,1))</f>
        <v>0</v>
      </c>
      <c r="AH122" s="2">
        <f>IF(AND($C122&lt;&gt;"",$E122=CurrentSeason,$F122="REG",ISNUMBER($G122),$G122&lt;CurrentWeek-1,AND($M122&lt;&gt;"",$N122&lt;&gt;"")),1,0)</f>
        <v>0</v>
      </c>
      <c r="AI122" s="2">
        <f>IF($AH122=0,0,IF($G122&gt;=CurrentWeek-1-RecencyWin,RecencyMult,1))</f>
        <v>0</v>
      </c>
      <c r="AJ122" s="2">
        <f>IF($AF122=0,0,IF($G122&gt;=CurrentWeek-RecencyWin,TotRecency,1))</f>
        <v>0</v>
      </c>
      <c r="AK122" s="2">
        <f t="shared" si="9"/>
        <v>0</v>
      </c>
      <c r="AL122" s="2">
        <f t="shared" si="10"/>
        <v>0</v>
      </c>
      <c r="AM122" s="2" t="str">
        <f t="array" ref="AM122">IF($K122="",0,IFERROR(INDEX(CALC!$F$2:$F$33,MATCH($K122,CALC!$A$2:$A$33,0)),0))</f>
        <v/>
      </c>
      <c r="AN122" s="2" t="str">
        <f t="array" ref="AN122">IF($K122="",0,IFERROR(INDEX(CALC!$I$2:$I$33,MATCH($K122,CALC!$A$2:$A$33,0)),0))</f>
        <v/>
      </c>
      <c r="AO122" s="2" t="str">
        <f t="array" ref="AO122">IF($K122="",0,IFERROR(INDEX(CALC!$L$2:$L$33,MATCH($K122,CALC!$A$2:$A$33,0)),0))</f>
        <v/>
      </c>
      <c r="AP122" s="2" t="str">
        <f t="array" ref="AP122">IF($K122="",0,IFERROR(INDEX(CALC!$T$2:$T$33,MATCH($K122,CALC!$A$2:$A$33,0)),0))</f>
        <v/>
      </c>
      <c r="AQ122" s="2" t="str">
        <f t="array" ref="AQ122">IF($K122="",0,IFERROR(INDEX(CALC!$W$2:$W$33,MATCH($K122,CALC!$A$2:$A$33,0)),0))</f>
        <v/>
      </c>
      <c r="AR122" s="2" t="str">
        <f t="array" ref="AR122">IF($K122="",0,IFERROR(INDEX(CALC!$Z$2:$Z$33,MATCH($K122,CALC!$A$2:$A$33,0)),0))</f>
        <v/>
      </c>
      <c r="AS122" s="2" t="str">
        <f t="array" ref="AS122">IF($K122="",0,IFERROR(INDEX(CALC!$AJ$2:$AJ$33,MATCH($K122,CALC!$A$2:$A$33,0)),0))</f>
        <v/>
      </c>
      <c r="AT122" s="2" t="str">
        <f t="array" ref="AT122">IF($K122="",0,IFERROR(INDEX(CALC!$AI$2:$AI$33,MATCH($K122,CALC!$A$2:$A$33,0)),0))</f>
        <v/>
      </c>
      <c r="AU122" s="2">
        <f t="shared" si="11"/>
        <v>0</v>
      </c>
      <c r="AV122" s="2">
        <f t="shared" si="12"/>
        <v>0</v>
      </c>
    </row>
    <row r="123" ht="15.0" customHeight="1">
      <c r="A123" s="2">
        <v>61.0</v>
      </c>
      <c r="B123" s="2" t="s">
        <v>2365</v>
      </c>
      <c r="C123" s="2">
        <f>IFERROR(MATCH($A123,SchedSeq,0),"")</f>
        <v>346</v>
      </c>
      <c r="D123" s="2" t="str">
        <f t="array" ref="D123">IF($C123="","",INDEX(SchedZone,$C123,MAP!$B$6))</f>
        <v>2026_04_LAC_SEA</v>
      </c>
      <c r="E123" s="2">
        <f t="array" ref="E123">IF($C123="","",INDEX(SchedZone,$C123,MAP!$B$3))</f>
        <v>2026</v>
      </c>
      <c r="F123" s="2" t="str">
        <f t="array" ref="F123">IF($C123="","",INDEX(SchedZone,$C123,MAP!$B$5))</f>
        <v>REG</v>
      </c>
      <c r="G123" s="2">
        <f t="array" ref="G123">IF($C123="","",INDEX(SchedZone,$C123,MAP!$B$4))</f>
        <v>4</v>
      </c>
      <c r="H123" s="2" t="str">
        <f t="array" ref="H123">IF($C123="","",INDEX(SchedZone,$C123,MAP!$B$12))</f>
        <v>SEA</v>
      </c>
      <c r="I123" s="2" t="str">
        <f t="array" ref="I123">IF($H123="","",IF(COUNTIF(Teams,$H123)&gt;0,$H123,IFERROR(INDEX(LISTS!$D$2:$D$12,MATCH($H123,LISTS!$C$2:$C$12,0)),"⚠ "&amp;$H123)))</f>
        <v>SEA</v>
      </c>
      <c r="J123" s="2" t="str">
        <f t="array" ref="J123">IF($C123="","",INDEX(SchedZone,$C123,MAP!$B$10))</f>
        <v>LAC</v>
      </c>
      <c r="K123" s="2" t="str">
        <f t="array" ref="K123">IF($J123="","",IF(COUNTIF(Teams,$J123)&gt;0,$J123,IFERROR(INDEX(LISTS!$D$2:$D$12,MATCH($J123,LISTS!$C$2:$C$12,0)),"⚠ "&amp;$J123)))</f>
        <v>LAC</v>
      </c>
      <c r="L123" s="2" t="str">
        <f t="array" ref="L123">IF($C123="","",IF(INDEX(SchedZone,$C123,MAP!$B$14)="Neutral","N",IF($B123="HOME","H","A")))</f>
        <v>H</v>
      </c>
      <c r="M123" s="2" t="str">
        <f t="array" ref="M123">IF($C123="","",IF(INDEX(SchedZone,$C123,MAP!$B$13)="","",INDEX(SchedZone,$C123,MAP!$B$13)))</f>
        <v/>
      </c>
      <c r="N123" s="2" t="str">
        <f t="array" ref="N123">IF($C123="","",IF(INDEX(SchedZone,$C123,MAP!$B$11)="","",INDEX(SchedZone,$C123,MAP!$B$11)))</f>
        <v/>
      </c>
      <c r="O123" s="2">
        <f t="array" ref="O123">IF($C123="","",INDEX(SchedZone,$C123,MAP!$B$16))</f>
        <v>7</v>
      </c>
      <c r="P123" s="2" t="str">
        <f>IF($C123="","",IFERROR(MATCH($E123&amp;"|"&amp;$G123&amp;"|"&amp;$I123,StatsKey,0),""))</f>
        <v/>
      </c>
      <c r="Q123" s="2">
        <f t="array" ref="Q123">IF($P123="",0,INDEX(StatsZone,$P123,MAP!$E$9)+INDEX(StatsZone,$P123,MAP!$E$10)+INDEX(StatsZone,$P123,MAP!$E$11))</f>
        <v>0</v>
      </c>
      <c r="R123" s="2">
        <f t="array" ref="R123">IF($P123="",0,INDEX(StatsZone,$P123,MAP!$E$12))</f>
        <v>0</v>
      </c>
      <c r="S123" s="2">
        <f t="array" ref="S123">IF($P123="",0,INDEX(StatsZone,$P123,MAP!$E$13))</f>
        <v>0</v>
      </c>
      <c r="T123" s="2">
        <f t="shared" si="1"/>
        <v>0</v>
      </c>
      <c r="U123" s="2">
        <f t="array" ref="U123">IF($P123="",0,INDEX(StatsZone,$P123,MAP!$E$14)+INDEX(StatsZone,$P123,MAP!$E$15)+INDEX(StatsZone,$P123,MAP!$E$16))</f>
        <v>0</v>
      </c>
      <c r="V123" s="2">
        <f t="shared" si="2"/>
        <v>0</v>
      </c>
      <c r="W123" s="2">
        <f t="shared" si="3"/>
        <v>0</v>
      </c>
      <c r="X123" s="2">
        <f t="shared" si="4"/>
        <v>0</v>
      </c>
      <c r="Y123" s="2">
        <f t="shared" si="5"/>
        <v>0</v>
      </c>
      <c r="Z123" s="2">
        <f t="shared" si="6"/>
        <v>0</v>
      </c>
      <c r="AA123" s="2">
        <f t="shared" si="7"/>
        <v>1</v>
      </c>
      <c r="AB123" s="2">
        <f>IF(OR($M123="",$N123=""),0,MEDIAN(-MarginCap,MarginCap,($M123-$N123)-$AA123*HFA_Base))</f>
        <v>0</v>
      </c>
      <c r="AC123" s="2">
        <f t="array" ref="AC123">IF(OR($P123="",INDEX($P$3:$P$722,(ROW()+IF(MOD(ROW()-3,2)=0,1,-1))-3+1)=""),0,MEDIAN(-MarginCap,MarginCap,($T123-$W123)-$AA123*HFA_Base))</f>
        <v>0</v>
      </c>
      <c r="AD123" s="2">
        <f t="shared" si="8"/>
        <v>0</v>
      </c>
      <c r="AE123" s="2">
        <f>IF(OR($M123="",$N123=""),0,IF(AND(WEpa&gt;0,$AD123=1),(1-WEpa)*$AB123+WEpa*$AC123,$AB123))</f>
        <v>0</v>
      </c>
      <c r="AF123" s="2">
        <f>IF(AND($C123&lt;&gt;"",$E123=CurrentSeason,$F123="REG",ISNUMBER($G123),$G123&lt;CurrentWeek,AND($M123&lt;&gt;"",$N123&lt;&gt;"")),1,0)</f>
        <v>0</v>
      </c>
      <c r="AG123" s="2">
        <f>IF($AF123=0,0,IF($G123&gt;=CurrentWeek-RecencyWin,RecencyMult,1))</f>
        <v>0</v>
      </c>
      <c r="AH123" s="2">
        <f>IF(AND($C123&lt;&gt;"",$E123=CurrentSeason,$F123="REG",ISNUMBER($G123),$G123&lt;CurrentWeek-1,AND($M123&lt;&gt;"",$N123&lt;&gt;"")),1,0)</f>
        <v>0</v>
      </c>
      <c r="AI123" s="2">
        <f>IF($AH123=0,0,IF($G123&gt;=CurrentWeek-1-RecencyWin,RecencyMult,1))</f>
        <v>0</v>
      </c>
      <c r="AJ123" s="2">
        <f>IF($AF123=0,0,IF($G123&gt;=CurrentWeek-RecencyWin,TotRecency,1))</f>
        <v>0</v>
      </c>
      <c r="AK123" s="2">
        <f t="shared" si="9"/>
        <v>0</v>
      </c>
      <c r="AL123" s="2">
        <f t="shared" si="10"/>
        <v>0</v>
      </c>
      <c r="AM123" s="2" t="str">
        <f t="array" ref="AM123">IF($K123="",0,IFERROR(INDEX(CALC!$F$2:$F$33,MATCH($K123,CALC!$A$2:$A$33,0)),0))</f>
        <v/>
      </c>
      <c r="AN123" s="2" t="str">
        <f t="array" ref="AN123">IF($K123="",0,IFERROR(INDEX(CALC!$I$2:$I$33,MATCH($K123,CALC!$A$2:$A$33,0)),0))</f>
        <v/>
      </c>
      <c r="AO123" s="2" t="str">
        <f t="array" ref="AO123">IF($K123="",0,IFERROR(INDEX(CALC!$L$2:$L$33,MATCH($K123,CALC!$A$2:$A$33,0)),0))</f>
        <v/>
      </c>
      <c r="AP123" s="2" t="str">
        <f t="array" ref="AP123">IF($K123="",0,IFERROR(INDEX(CALC!$T$2:$T$33,MATCH($K123,CALC!$A$2:$A$33,0)),0))</f>
        <v/>
      </c>
      <c r="AQ123" s="2" t="str">
        <f t="array" ref="AQ123">IF($K123="",0,IFERROR(INDEX(CALC!$W$2:$W$33,MATCH($K123,CALC!$A$2:$A$33,0)),0))</f>
        <v/>
      </c>
      <c r="AR123" s="2" t="str">
        <f t="array" ref="AR123">IF($K123="",0,IFERROR(INDEX(CALC!$Z$2:$Z$33,MATCH($K123,CALC!$A$2:$A$33,0)),0))</f>
        <v/>
      </c>
      <c r="AS123" s="2" t="str">
        <f t="array" ref="AS123">IF($K123="",0,IFERROR(INDEX(CALC!$AJ$2:$AJ$33,MATCH($K123,CALC!$A$2:$A$33,0)),0))</f>
        <v/>
      </c>
      <c r="AT123" s="2" t="str">
        <f t="array" ref="AT123">IF($K123="",0,IFERROR(INDEX(CALC!$AI$2:$AI$33,MATCH($K123,CALC!$A$2:$A$33,0)),0))</f>
        <v/>
      </c>
      <c r="AU123" s="2">
        <f t="shared" si="11"/>
        <v>0</v>
      </c>
      <c r="AV123" s="2">
        <f t="shared" si="12"/>
        <v>0</v>
      </c>
    </row>
    <row r="124" ht="15.0" customHeight="1">
      <c r="A124" s="2">
        <v>61.0</v>
      </c>
      <c r="B124" s="2" t="s">
        <v>2366</v>
      </c>
      <c r="C124" s="2">
        <f>IFERROR(MATCH($A124,SchedSeq,0),"")</f>
        <v>346</v>
      </c>
      <c r="D124" s="2" t="str">
        <f t="array" ref="D124">IF($C124="","",INDEX(SchedZone,$C124,MAP!$B$6))</f>
        <v>2026_04_LAC_SEA</v>
      </c>
      <c r="E124" s="2">
        <f t="array" ref="E124">IF($C124="","",INDEX(SchedZone,$C124,MAP!$B$3))</f>
        <v>2026</v>
      </c>
      <c r="F124" s="2" t="str">
        <f t="array" ref="F124">IF($C124="","",INDEX(SchedZone,$C124,MAP!$B$5))</f>
        <v>REG</v>
      </c>
      <c r="G124" s="2">
        <f t="array" ref="G124">IF($C124="","",INDEX(SchedZone,$C124,MAP!$B$4))</f>
        <v>4</v>
      </c>
      <c r="H124" s="2" t="str">
        <f t="array" ref="H124">IF($C124="","",INDEX(SchedZone,$C124,MAP!$B$10))</f>
        <v>LAC</v>
      </c>
      <c r="I124" s="2" t="str">
        <f t="array" ref="I124">IF($H124="","",IF(COUNTIF(Teams,$H124)&gt;0,$H124,IFERROR(INDEX(LISTS!$D$2:$D$12,MATCH($H124,LISTS!$C$2:$C$12,0)),"⚠ "&amp;$H124)))</f>
        <v>LAC</v>
      </c>
      <c r="J124" s="2" t="str">
        <f t="array" ref="J124">IF($C124="","",INDEX(SchedZone,$C124,MAP!$B$12))</f>
        <v>SEA</v>
      </c>
      <c r="K124" s="2" t="str">
        <f t="array" ref="K124">IF($J124="","",IF(COUNTIF(Teams,$J124)&gt;0,$J124,IFERROR(INDEX(LISTS!$D$2:$D$12,MATCH($J124,LISTS!$C$2:$C$12,0)),"⚠ "&amp;$J124)))</f>
        <v>SEA</v>
      </c>
      <c r="L124" s="2" t="str">
        <f t="array" ref="L124">IF($C124="","",IF(INDEX(SchedZone,$C124,MAP!$B$14)="Neutral","N",IF($B124="HOME","H","A")))</f>
        <v>A</v>
      </c>
      <c r="M124" s="2" t="str">
        <f t="array" ref="M124">IF($C124="","",IF(INDEX(SchedZone,$C124,MAP!$B$11)="","",INDEX(SchedZone,$C124,MAP!$B$11)))</f>
        <v/>
      </c>
      <c r="N124" s="2" t="str">
        <f t="array" ref="N124">IF($C124="","",IF(INDEX(SchedZone,$C124,MAP!$B$13)="","",INDEX(SchedZone,$C124,MAP!$B$13)))</f>
        <v/>
      </c>
      <c r="O124" s="2">
        <f t="array" ref="O124">IF($C124="","",INDEX(SchedZone,$C124,MAP!$B$15))</f>
        <v>7</v>
      </c>
      <c r="P124" s="2" t="str">
        <f>IF($C124="","",IFERROR(MATCH($E124&amp;"|"&amp;$G124&amp;"|"&amp;$I124,StatsKey,0),""))</f>
        <v/>
      </c>
      <c r="Q124" s="2">
        <f t="array" ref="Q124">IF($P124="",0,INDEX(StatsZone,$P124,MAP!$E$9)+INDEX(StatsZone,$P124,MAP!$E$10)+INDEX(StatsZone,$P124,MAP!$E$11))</f>
        <v>0</v>
      </c>
      <c r="R124" s="2">
        <f t="array" ref="R124">IF($P124="",0,INDEX(StatsZone,$P124,MAP!$E$12))</f>
        <v>0</v>
      </c>
      <c r="S124" s="2">
        <f t="array" ref="S124">IF($P124="",0,INDEX(StatsZone,$P124,MAP!$E$13))</f>
        <v>0</v>
      </c>
      <c r="T124" s="2">
        <f t="shared" si="1"/>
        <v>0</v>
      </c>
      <c r="U124" s="2">
        <f t="array" ref="U124">IF($P124="",0,INDEX(StatsZone,$P124,MAP!$E$14)+INDEX(StatsZone,$P124,MAP!$E$15)+INDEX(StatsZone,$P124,MAP!$E$16))</f>
        <v>0</v>
      </c>
      <c r="V124" s="2">
        <f t="shared" si="2"/>
        <v>0</v>
      </c>
      <c r="W124" s="2">
        <f t="shared" si="3"/>
        <v>0</v>
      </c>
      <c r="X124" s="2">
        <f t="shared" si="4"/>
        <v>0</v>
      </c>
      <c r="Y124" s="2">
        <f t="shared" si="5"/>
        <v>0</v>
      </c>
      <c r="Z124" s="2">
        <f t="shared" si="6"/>
        <v>0</v>
      </c>
      <c r="AA124" s="2">
        <f t="shared" si="7"/>
        <v>-1</v>
      </c>
      <c r="AB124" s="2">
        <f>IF(OR($M124="",$N124=""),0,MEDIAN(-MarginCap,MarginCap,($M124-$N124)-$AA124*HFA_Base))</f>
        <v>0</v>
      </c>
      <c r="AC124" s="2">
        <f t="array" ref="AC124">IF(OR($P124="",INDEX($P$3:$P$722,(ROW()+IF(MOD(ROW()-3,2)=0,1,-1))-3+1)=""),0,MEDIAN(-MarginCap,MarginCap,($T124-$W124)-$AA124*HFA_Base))</f>
        <v>0</v>
      </c>
      <c r="AD124" s="2">
        <f t="shared" si="8"/>
        <v>0</v>
      </c>
      <c r="AE124" s="2">
        <f>IF(OR($M124="",$N124=""),0,IF(AND(WEpa&gt;0,$AD124=1),(1-WEpa)*$AB124+WEpa*$AC124,$AB124))</f>
        <v>0</v>
      </c>
      <c r="AF124" s="2">
        <f>IF(AND($C124&lt;&gt;"",$E124=CurrentSeason,$F124="REG",ISNUMBER($G124),$G124&lt;CurrentWeek,AND($M124&lt;&gt;"",$N124&lt;&gt;"")),1,0)</f>
        <v>0</v>
      </c>
      <c r="AG124" s="2">
        <f>IF($AF124=0,0,IF($G124&gt;=CurrentWeek-RecencyWin,RecencyMult,1))</f>
        <v>0</v>
      </c>
      <c r="AH124" s="2">
        <f>IF(AND($C124&lt;&gt;"",$E124=CurrentSeason,$F124="REG",ISNUMBER($G124),$G124&lt;CurrentWeek-1,AND($M124&lt;&gt;"",$N124&lt;&gt;"")),1,0)</f>
        <v>0</v>
      </c>
      <c r="AI124" s="2">
        <f>IF($AH124=0,0,IF($G124&gt;=CurrentWeek-1-RecencyWin,RecencyMult,1))</f>
        <v>0</v>
      </c>
      <c r="AJ124" s="2">
        <f>IF($AF124=0,0,IF($G124&gt;=CurrentWeek-RecencyWin,TotRecency,1))</f>
        <v>0</v>
      </c>
      <c r="AK124" s="2">
        <f t="shared" si="9"/>
        <v>0</v>
      </c>
      <c r="AL124" s="2">
        <f t="shared" si="10"/>
        <v>0</v>
      </c>
      <c r="AM124" s="2" t="str">
        <f t="array" ref="AM124">IF($K124="",0,IFERROR(INDEX(CALC!$F$2:$F$33,MATCH($K124,CALC!$A$2:$A$33,0)),0))</f>
        <v/>
      </c>
      <c r="AN124" s="2" t="str">
        <f t="array" ref="AN124">IF($K124="",0,IFERROR(INDEX(CALC!$I$2:$I$33,MATCH($K124,CALC!$A$2:$A$33,0)),0))</f>
        <v/>
      </c>
      <c r="AO124" s="2" t="str">
        <f t="array" ref="AO124">IF($K124="",0,IFERROR(INDEX(CALC!$L$2:$L$33,MATCH($K124,CALC!$A$2:$A$33,0)),0))</f>
        <v/>
      </c>
      <c r="AP124" s="2" t="str">
        <f t="array" ref="AP124">IF($K124="",0,IFERROR(INDEX(CALC!$T$2:$T$33,MATCH($K124,CALC!$A$2:$A$33,0)),0))</f>
        <v/>
      </c>
      <c r="AQ124" s="2" t="str">
        <f t="array" ref="AQ124">IF($K124="",0,IFERROR(INDEX(CALC!$W$2:$W$33,MATCH($K124,CALC!$A$2:$A$33,0)),0))</f>
        <v/>
      </c>
      <c r="AR124" s="2" t="str">
        <f t="array" ref="AR124">IF($K124="",0,IFERROR(INDEX(CALC!$Z$2:$Z$33,MATCH($K124,CALC!$A$2:$A$33,0)),0))</f>
        <v/>
      </c>
      <c r="AS124" s="2" t="str">
        <f t="array" ref="AS124">IF($K124="",0,IFERROR(INDEX(CALC!$AJ$2:$AJ$33,MATCH($K124,CALC!$A$2:$A$33,0)),0))</f>
        <v/>
      </c>
      <c r="AT124" s="2" t="str">
        <f t="array" ref="AT124">IF($K124="",0,IFERROR(INDEX(CALC!$AI$2:$AI$33,MATCH($K124,CALC!$A$2:$A$33,0)),0))</f>
        <v/>
      </c>
      <c r="AU124" s="2">
        <f t="shared" si="11"/>
        <v>0</v>
      </c>
      <c r="AV124" s="2">
        <f t="shared" si="12"/>
        <v>0</v>
      </c>
    </row>
    <row r="125" ht="15.0" customHeight="1">
      <c r="A125" s="2">
        <v>62.0</v>
      </c>
      <c r="B125" s="2" t="s">
        <v>2365</v>
      </c>
      <c r="C125" s="2">
        <f>IFERROR(MATCH($A125,SchedSeq,0),"")</f>
        <v>347</v>
      </c>
      <c r="D125" s="2" t="str">
        <f t="array" ref="D125">IF($C125="","",INDEX(SchedZone,$C125,MAP!$B$6))</f>
        <v>2026_04_DEN_SF</v>
      </c>
      <c r="E125" s="2">
        <f t="array" ref="E125">IF($C125="","",INDEX(SchedZone,$C125,MAP!$B$3))</f>
        <v>2026</v>
      </c>
      <c r="F125" s="2" t="str">
        <f t="array" ref="F125">IF($C125="","",INDEX(SchedZone,$C125,MAP!$B$5))</f>
        <v>REG</v>
      </c>
      <c r="G125" s="2">
        <f t="array" ref="G125">IF($C125="","",INDEX(SchedZone,$C125,MAP!$B$4))</f>
        <v>4</v>
      </c>
      <c r="H125" s="2" t="str">
        <f t="array" ref="H125">IF($C125="","",INDEX(SchedZone,$C125,MAP!$B$12))</f>
        <v>SF</v>
      </c>
      <c r="I125" s="2" t="str">
        <f t="array" ref="I125">IF($H125="","",IF(COUNTIF(Teams,$H125)&gt;0,$H125,IFERROR(INDEX(LISTS!$D$2:$D$12,MATCH($H125,LISTS!$C$2:$C$12,0)),"⚠ "&amp;$H125)))</f>
        <v>SF</v>
      </c>
      <c r="J125" s="2" t="str">
        <f t="array" ref="J125">IF($C125="","",INDEX(SchedZone,$C125,MAP!$B$10))</f>
        <v>DEN</v>
      </c>
      <c r="K125" s="2" t="str">
        <f t="array" ref="K125">IF($J125="","",IF(COUNTIF(Teams,$J125)&gt;0,$J125,IFERROR(INDEX(LISTS!$D$2:$D$12,MATCH($J125,LISTS!$C$2:$C$12,0)),"⚠ "&amp;$J125)))</f>
        <v>DEN</v>
      </c>
      <c r="L125" s="2" t="str">
        <f t="array" ref="L125">IF($C125="","",IF(INDEX(SchedZone,$C125,MAP!$B$14)="Neutral","N",IF($B125="HOME","H","A")))</f>
        <v>H</v>
      </c>
      <c r="M125" s="2" t="str">
        <f t="array" ref="M125">IF($C125="","",IF(INDEX(SchedZone,$C125,MAP!$B$13)="","",INDEX(SchedZone,$C125,MAP!$B$13)))</f>
        <v/>
      </c>
      <c r="N125" s="2" t="str">
        <f t="array" ref="N125">IF($C125="","",IF(INDEX(SchedZone,$C125,MAP!$B$11)="","",INDEX(SchedZone,$C125,MAP!$B$11)))</f>
        <v/>
      </c>
      <c r="O125" s="2">
        <f t="array" ref="O125">IF($C125="","",INDEX(SchedZone,$C125,MAP!$B$16))</f>
        <v>7</v>
      </c>
      <c r="P125" s="2" t="str">
        <f>IF($C125="","",IFERROR(MATCH($E125&amp;"|"&amp;$G125&amp;"|"&amp;$I125,StatsKey,0),""))</f>
        <v/>
      </c>
      <c r="Q125" s="2">
        <f t="array" ref="Q125">IF($P125="",0,INDEX(StatsZone,$P125,MAP!$E$9)+INDEX(StatsZone,$P125,MAP!$E$10)+INDEX(StatsZone,$P125,MAP!$E$11))</f>
        <v>0</v>
      </c>
      <c r="R125" s="2">
        <f t="array" ref="R125">IF($P125="",0,INDEX(StatsZone,$P125,MAP!$E$12))</f>
        <v>0</v>
      </c>
      <c r="S125" s="2">
        <f t="array" ref="S125">IF($P125="",0,INDEX(StatsZone,$P125,MAP!$E$13))</f>
        <v>0</v>
      </c>
      <c r="T125" s="2">
        <f t="shared" si="1"/>
        <v>0</v>
      </c>
      <c r="U125" s="2">
        <f t="array" ref="U125">IF($P125="",0,INDEX(StatsZone,$P125,MAP!$E$14)+INDEX(StatsZone,$P125,MAP!$E$15)+INDEX(StatsZone,$P125,MAP!$E$16))</f>
        <v>0</v>
      </c>
      <c r="V125" s="2">
        <f t="shared" si="2"/>
        <v>0</v>
      </c>
      <c r="W125" s="2">
        <f t="shared" si="3"/>
        <v>0</v>
      </c>
      <c r="X125" s="2">
        <f t="shared" si="4"/>
        <v>0</v>
      </c>
      <c r="Y125" s="2">
        <f t="shared" si="5"/>
        <v>0</v>
      </c>
      <c r="Z125" s="2">
        <f t="shared" si="6"/>
        <v>0</v>
      </c>
      <c r="AA125" s="2">
        <f t="shared" si="7"/>
        <v>1</v>
      </c>
      <c r="AB125" s="2">
        <f>IF(OR($M125="",$N125=""),0,MEDIAN(-MarginCap,MarginCap,($M125-$N125)-$AA125*HFA_Base))</f>
        <v>0</v>
      </c>
      <c r="AC125" s="2">
        <f t="array" ref="AC125">IF(OR($P125="",INDEX($P$3:$P$722,(ROW()+IF(MOD(ROW()-3,2)=0,1,-1))-3+1)=""),0,MEDIAN(-MarginCap,MarginCap,($T125-$W125)-$AA125*HFA_Base))</f>
        <v>0</v>
      </c>
      <c r="AD125" s="2">
        <f t="shared" si="8"/>
        <v>0</v>
      </c>
      <c r="AE125" s="2">
        <f>IF(OR($M125="",$N125=""),0,IF(AND(WEpa&gt;0,$AD125=1),(1-WEpa)*$AB125+WEpa*$AC125,$AB125))</f>
        <v>0</v>
      </c>
      <c r="AF125" s="2">
        <f>IF(AND($C125&lt;&gt;"",$E125=CurrentSeason,$F125="REG",ISNUMBER($G125),$G125&lt;CurrentWeek,AND($M125&lt;&gt;"",$N125&lt;&gt;"")),1,0)</f>
        <v>0</v>
      </c>
      <c r="AG125" s="2">
        <f>IF($AF125=0,0,IF($G125&gt;=CurrentWeek-RecencyWin,RecencyMult,1))</f>
        <v>0</v>
      </c>
      <c r="AH125" s="2">
        <f>IF(AND($C125&lt;&gt;"",$E125=CurrentSeason,$F125="REG",ISNUMBER($G125),$G125&lt;CurrentWeek-1,AND($M125&lt;&gt;"",$N125&lt;&gt;"")),1,0)</f>
        <v>0</v>
      </c>
      <c r="AI125" s="2">
        <f>IF($AH125=0,0,IF($G125&gt;=CurrentWeek-1-RecencyWin,RecencyMult,1))</f>
        <v>0</v>
      </c>
      <c r="AJ125" s="2">
        <f>IF($AF125=0,0,IF($G125&gt;=CurrentWeek-RecencyWin,TotRecency,1))</f>
        <v>0</v>
      </c>
      <c r="AK125" s="2">
        <f t="shared" si="9"/>
        <v>0</v>
      </c>
      <c r="AL125" s="2">
        <f t="shared" si="10"/>
        <v>0</v>
      </c>
      <c r="AM125" s="2" t="str">
        <f t="array" ref="AM125">IF($K125="",0,IFERROR(INDEX(CALC!$F$2:$F$33,MATCH($K125,CALC!$A$2:$A$33,0)),0))</f>
        <v/>
      </c>
      <c r="AN125" s="2" t="str">
        <f t="array" ref="AN125">IF($K125="",0,IFERROR(INDEX(CALC!$I$2:$I$33,MATCH($K125,CALC!$A$2:$A$33,0)),0))</f>
        <v/>
      </c>
      <c r="AO125" s="2" t="str">
        <f t="array" ref="AO125">IF($K125="",0,IFERROR(INDEX(CALC!$L$2:$L$33,MATCH($K125,CALC!$A$2:$A$33,0)),0))</f>
        <v/>
      </c>
      <c r="AP125" s="2" t="str">
        <f t="array" ref="AP125">IF($K125="",0,IFERROR(INDEX(CALC!$T$2:$T$33,MATCH($K125,CALC!$A$2:$A$33,0)),0))</f>
        <v/>
      </c>
      <c r="AQ125" s="2" t="str">
        <f t="array" ref="AQ125">IF($K125="",0,IFERROR(INDEX(CALC!$W$2:$W$33,MATCH($K125,CALC!$A$2:$A$33,0)),0))</f>
        <v/>
      </c>
      <c r="AR125" s="2" t="str">
        <f t="array" ref="AR125">IF($K125="",0,IFERROR(INDEX(CALC!$Z$2:$Z$33,MATCH($K125,CALC!$A$2:$A$33,0)),0))</f>
        <v/>
      </c>
      <c r="AS125" s="2" t="str">
        <f t="array" ref="AS125">IF($K125="",0,IFERROR(INDEX(CALC!$AJ$2:$AJ$33,MATCH($K125,CALC!$A$2:$A$33,0)),0))</f>
        <v/>
      </c>
      <c r="AT125" s="2" t="str">
        <f t="array" ref="AT125">IF($K125="",0,IFERROR(INDEX(CALC!$AI$2:$AI$33,MATCH($K125,CALC!$A$2:$A$33,0)),0))</f>
        <v/>
      </c>
      <c r="AU125" s="2">
        <f t="shared" si="11"/>
        <v>0</v>
      </c>
      <c r="AV125" s="2">
        <f t="shared" si="12"/>
        <v>0</v>
      </c>
    </row>
    <row r="126" ht="15.0" customHeight="1">
      <c r="A126" s="2">
        <v>62.0</v>
      </c>
      <c r="B126" s="2" t="s">
        <v>2366</v>
      </c>
      <c r="C126" s="2">
        <f>IFERROR(MATCH($A126,SchedSeq,0),"")</f>
        <v>347</v>
      </c>
      <c r="D126" s="2" t="str">
        <f t="array" ref="D126">IF($C126="","",INDEX(SchedZone,$C126,MAP!$B$6))</f>
        <v>2026_04_DEN_SF</v>
      </c>
      <c r="E126" s="2">
        <f t="array" ref="E126">IF($C126="","",INDEX(SchedZone,$C126,MAP!$B$3))</f>
        <v>2026</v>
      </c>
      <c r="F126" s="2" t="str">
        <f t="array" ref="F126">IF($C126="","",INDEX(SchedZone,$C126,MAP!$B$5))</f>
        <v>REG</v>
      </c>
      <c r="G126" s="2">
        <f t="array" ref="G126">IF($C126="","",INDEX(SchedZone,$C126,MAP!$B$4))</f>
        <v>4</v>
      </c>
      <c r="H126" s="2" t="str">
        <f t="array" ref="H126">IF($C126="","",INDEX(SchedZone,$C126,MAP!$B$10))</f>
        <v>DEN</v>
      </c>
      <c r="I126" s="2" t="str">
        <f t="array" ref="I126">IF($H126="","",IF(COUNTIF(Teams,$H126)&gt;0,$H126,IFERROR(INDEX(LISTS!$D$2:$D$12,MATCH($H126,LISTS!$C$2:$C$12,0)),"⚠ "&amp;$H126)))</f>
        <v>DEN</v>
      </c>
      <c r="J126" s="2" t="str">
        <f t="array" ref="J126">IF($C126="","",INDEX(SchedZone,$C126,MAP!$B$12))</f>
        <v>SF</v>
      </c>
      <c r="K126" s="2" t="str">
        <f t="array" ref="K126">IF($J126="","",IF(COUNTIF(Teams,$J126)&gt;0,$J126,IFERROR(INDEX(LISTS!$D$2:$D$12,MATCH($J126,LISTS!$C$2:$C$12,0)),"⚠ "&amp;$J126)))</f>
        <v>SF</v>
      </c>
      <c r="L126" s="2" t="str">
        <f t="array" ref="L126">IF($C126="","",IF(INDEX(SchedZone,$C126,MAP!$B$14)="Neutral","N",IF($B126="HOME","H","A")))</f>
        <v>A</v>
      </c>
      <c r="M126" s="2" t="str">
        <f t="array" ref="M126">IF($C126="","",IF(INDEX(SchedZone,$C126,MAP!$B$11)="","",INDEX(SchedZone,$C126,MAP!$B$11)))</f>
        <v/>
      </c>
      <c r="N126" s="2" t="str">
        <f t="array" ref="N126">IF($C126="","",IF(INDEX(SchedZone,$C126,MAP!$B$13)="","",INDEX(SchedZone,$C126,MAP!$B$13)))</f>
        <v/>
      </c>
      <c r="O126" s="2">
        <f t="array" ref="O126">IF($C126="","",INDEX(SchedZone,$C126,MAP!$B$15))</f>
        <v>7</v>
      </c>
      <c r="P126" s="2" t="str">
        <f>IF($C126="","",IFERROR(MATCH($E126&amp;"|"&amp;$G126&amp;"|"&amp;$I126,StatsKey,0),""))</f>
        <v/>
      </c>
      <c r="Q126" s="2">
        <f t="array" ref="Q126">IF($P126="",0,INDEX(StatsZone,$P126,MAP!$E$9)+INDEX(StatsZone,$P126,MAP!$E$10)+INDEX(StatsZone,$P126,MAP!$E$11))</f>
        <v>0</v>
      </c>
      <c r="R126" s="2">
        <f t="array" ref="R126">IF($P126="",0,INDEX(StatsZone,$P126,MAP!$E$12))</f>
        <v>0</v>
      </c>
      <c r="S126" s="2">
        <f t="array" ref="S126">IF($P126="",0,INDEX(StatsZone,$P126,MAP!$E$13))</f>
        <v>0</v>
      </c>
      <c r="T126" s="2">
        <f t="shared" si="1"/>
        <v>0</v>
      </c>
      <c r="U126" s="2">
        <f t="array" ref="U126">IF($P126="",0,INDEX(StatsZone,$P126,MAP!$E$14)+INDEX(StatsZone,$P126,MAP!$E$15)+INDEX(StatsZone,$P126,MAP!$E$16))</f>
        <v>0</v>
      </c>
      <c r="V126" s="2">
        <f t="shared" si="2"/>
        <v>0</v>
      </c>
      <c r="W126" s="2">
        <f t="shared" si="3"/>
        <v>0</v>
      </c>
      <c r="X126" s="2">
        <f t="shared" si="4"/>
        <v>0</v>
      </c>
      <c r="Y126" s="2">
        <f t="shared" si="5"/>
        <v>0</v>
      </c>
      <c r="Z126" s="2">
        <f t="shared" si="6"/>
        <v>0</v>
      </c>
      <c r="AA126" s="2">
        <f t="shared" si="7"/>
        <v>-1</v>
      </c>
      <c r="AB126" s="2">
        <f>IF(OR($M126="",$N126=""),0,MEDIAN(-MarginCap,MarginCap,($M126-$N126)-$AA126*HFA_Base))</f>
        <v>0</v>
      </c>
      <c r="AC126" s="2">
        <f t="array" ref="AC126">IF(OR($P126="",INDEX($P$3:$P$722,(ROW()+IF(MOD(ROW()-3,2)=0,1,-1))-3+1)=""),0,MEDIAN(-MarginCap,MarginCap,($T126-$W126)-$AA126*HFA_Base))</f>
        <v>0</v>
      </c>
      <c r="AD126" s="2">
        <f t="shared" si="8"/>
        <v>0</v>
      </c>
      <c r="AE126" s="2">
        <f>IF(OR($M126="",$N126=""),0,IF(AND(WEpa&gt;0,$AD126=1),(1-WEpa)*$AB126+WEpa*$AC126,$AB126))</f>
        <v>0</v>
      </c>
      <c r="AF126" s="2">
        <f>IF(AND($C126&lt;&gt;"",$E126=CurrentSeason,$F126="REG",ISNUMBER($G126),$G126&lt;CurrentWeek,AND($M126&lt;&gt;"",$N126&lt;&gt;"")),1,0)</f>
        <v>0</v>
      </c>
      <c r="AG126" s="2">
        <f>IF($AF126=0,0,IF($G126&gt;=CurrentWeek-RecencyWin,RecencyMult,1))</f>
        <v>0</v>
      </c>
      <c r="AH126" s="2">
        <f>IF(AND($C126&lt;&gt;"",$E126=CurrentSeason,$F126="REG",ISNUMBER($G126),$G126&lt;CurrentWeek-1,AND($M126&lt;&gt;"",$N126&lt;&gt;"")),1,0)</f>
        <v>0</v>
      </c>
      <c r="AI126" s="2">
        <f>IF($AH126=0,0,IF($G126&gt;=CurrentWeek-1-RecencyWin,RecencyMult,1))</f>
        <v>0</v>
      </c>
      <c r="AJ126" s="2">
        <f>IF($AF126=0,0,IF($G126&gt;=CurrentWeek-RecencyWin,TotRecency,1))</f>
        <v>0</v>
      </c>
      <c r="AK126" s="2">
        <f t="shared" si="9"/>
        <v>0</v>
      </c>
      <c r="AL126" s="2">
        <f t="shared" si="10"/>
        <v>0</v>
      </c>
      <c r="AM126" s="2" t="str">
        <f t="array" ref="AM126">IF($K126="",0,IFERROR(INDEX(CALC!$F$2:$F$33,MATCH($K126,CALC!$A$2:$A$33,0)),0))</f>
        <v/>
      </c>
      <c r="AN126" s="2" t="str">
        <f t="array" ref="AN126">IF($K126="",0,IFERROR(INDEX(CALC!$I$2:$I$33,MATCH($K126,CALC!$A$2:$A$33,0)),0))</f>
        <v/>
      </c>
      <c r="AO126" s="2" t="str">
        <f t="array" ref="AO126">IF($K126="",0,IFERROR(INDEX(CALC!$L$2:$L$33,MATCH($K126,CALC!$A$2:$A$33,0)),0))</f>
        <v/>
      </c>
      <c r="AP126" s="2" t="str">
        <f t="array" ref="AP126">IF($K126="",0,IFERROR(INDEX(CALC!$T$2:$T$33,MATCH($K126,CALC!$A$2:$A$33,0)),0))</f>
        <v/>
      </c>
      <c r="AQ126" s="2" t="str">
        <f t="array" ref="AQ126">IF($K126="",0,IFERROR(INDEX(CALC!$W$2:$W$33,MATCH($K126,CALC!$A$2:$A$33,0)),0))</f>
        <v/>
      </c>
      <c r="AR126" s="2" t="str">
        <f t="array" ref="AR126">IF($K126="",0,IFERROR(INDEX(CALC!$Z$2:$Z$33,MATCH($K126,CALC!$A$2:$A$33,0)),0))</f>
        <v/>
      </c>
      <c r="AS126" s="2" t="str">
        <f t="array" ref="AS126">IF($K126="",0,IFERROR(INDEX(CALC!$AJ$2:$AJ$33,MATCH($K126,CALC!$A$2:$A$33,0)),0))</f>
        <v/>
      </c>
      <c r="AT126" s="2" t="str">
        <f t="array" ref="AT126">IF($K126="",0,IFERROR(INDEX(CALC!$AI$2:$AI$33,MATCH($K126,CALC!$A$2:$A$33,0)),0))</f>
        <v/>
      </c>
      <c r="AU126" s="2">
        <f t="shared" si="11"/>
        <v>0</v>
      </c>
      <c r="AV126" s="2">
        <f t="shared" si="12"/>
        <v>0</v>
      </c>
    </row>
    <row r="127" ht="15.0" customHeight="1">
      <c r="A127" s="2">
        <v>63.0</v>
      </c>
      <c r="B127" s="2" t="s">
        <v>2365</v>
      </c>
      <c r="C127" s="2">
        <f>IFERROR(MATCH($A127,SchedSeq,0),"")</f>
        <v>348</v>
      </c>
      <c r="D127" s="2" t="str">
        <f t="array" ref="D127">IF($C127="","",INDEX(SchedZone,$C127,MAP!$B$6))</f>
        <v>2026_04_DET_CAR</v>
      </c>
      <c r="E127" s="2">
        <f t="array" ref="E127">IF($C127="","",INDEX(SchedZone,$C127,MAP!$B$3))</f>
        <v>2026</v>
      </c>
      <c r="F127" s="2" t="str">
        <f t="array" ref="F127">IF($C127="","",INDEX(SchedZone,$C127,MAP!$B$5))</f>
        <v>REG</v>
      </c>
      <c r="G127" s="2">
        <f t="array" ref="G127">IF($C127="","",INDEX(SchedZone,$C127,MAP!$B$4))</f>
        <v>4</v>
      </c>
      <c r="H127" s="2" t="str">
        <f t="array" ref="H127">IF($C127="","",INDEX(SchedZone,$C127,MAP!$B$12))</f>
        <v>CAR</v>
      </c>
      <c r="I127" s="2" t="str">
        <f t="array" ref="I127">IF($H127="","",IF(COUNTIF(Teams,$H127)&gt;0,$H127,IFERROR(INDEX(LISTS!$D$2:$D$12,MATCH($H127,LISTS!$C$2:$C$12,0)),"⚠ "&amp;$H127)))</f>
        <v>CAR</v>
      </c>
      <c r="J127" s="2" t="str">
        <f t="array" ref="J127">IF($C127="","",INDEX(SchedZone,$C127,MAP!$B$10))</f>
        <v>DET</v>
      </c>
      <c r="K127" s="2" t="str">
        <f t="array" ref="K127">IF($J127="","",IF(COUNTIF(Teams,$J127)&gt;0,$J127,IFERROR(INDEX(LISTS!$D$2:$D$12,MATCH($J127,LISTS!$C$2:$C$12,0)),"⚠ "&amp;$J127)))</f>
        <v>DET</v>
      </c>
      <c r="L127" s="2" t="str">
        <f t="array" ref="L127">IF($C127="","",IF(INDEX(SchedZone,$C127,MAP!$B$14)="Neutral","N",IF($B127="HOME","H","A")))</f>
        <v>H</v>
      </c>
      <c r="M127" s="2" t="str">
        <f t="array" ref="M127">IF($C127="","",IF(INDEX(SchedZone,$C127,MAP!$B$13)="","",INDEX(SchedZone,$C127,MAP!$B$13)))</f>
        <v/>
      </c>
      <c r="N127" s="2" t="str">
        <f t="array" ref="N127">IF($C127="","",IF(INDEX(SchedZone,$C127,MAP!$B$11)="","",INDEX(SchedZone,$C127,MAP!$B$11)))</f>
        <v/>
      </c>
      <c r="O127" s="2">
        <f t="array" ref="O127">IF($C127="","",INDEX(SchedZone,$C127,MAP!$B$16))</f>
        <v>7</v>
      </c>
      <c r="P127" s="2" t="str">
        <f>IF($C127="","",IFERROR(MATCH($E127&amp;"|"&amp;$G127&amp;"|"&amp;$I127,StatsKey,0),""))</f>
        <v/>
      </c>
      <c r="Q127" s="2">
        <f t="array" ref="Q127">IF($P127="",0,INDEX(StatsZone,$P127,MAP!$E$9)+INDEX(StatsZone,$P127,MAP!$E$10)+INDEX(StatsZone,$P127,MAP!$E$11))</f>
        <v>0</v>
      </c>
      <c r="R127" s="2">
        <f t="array" ref="R127">IF($P127="",0,INDEX(StatsZone,$P127,MAP!$E$12))</f>
        <v>0</v>
      </c>
      <c r="S127" s="2">
        <f t="array" ref="S127">IF($P127="",0,INDEX(StatsZone,$P127,MAP!$E$13))</f>
        <v>0</v>
      </c>
      <c r="T127" s="2">
        <f t="shared" si="1"/>
        <v>0</v>
      </c>
      <c r="U127" s="2">
        <f t="array" ref="U127">IF($P127="",0,INDEX(StatsZone,$P127,MAP!$E$14)+INDEX(StatsZone,$P127,MAP!$E$15)+INDEX(StatsZone,$P127,MAP!$E$16))</f>
        <v>0</v>
      </c>
      <c r="V127" s="2">
        <f t="shared" si="2"/>
        <v>0</v>
      </c>
      <c r="W127" s="2">
        <f t="shared" si="3"/>
        <v>0</v>
      </c>
      <c r="X127" s="2">
        <f t="shared" si="4"/>
        <v>0</v>
      </c>
      <c r="Y127" s="2">
        <f t="shared" si="5"/>
        <v>0</v>
      </c>
      <c r="Z127" s="2">
        <f t="shared" si="6"/>
        <v>0</v>
      </c>
      <c r="AA127" s="2">
        <f t="shared" si="7"/>
        <v>1</v>
      </c>
      <c r="AB127" s="2">
        <f>IF(OR($M127="",$N127=""),0,MEDIAN(-MarginCap,MarginCap,($M127-$N127)-$AA127*HFA_Base))</f>
        <v>0</v>
      </c>
      <c r="AC127" s="2">
        <f t="array" ref="AC127">IF(OR($P127="",INDEX($P$3:$P$722,(ROW()+IF(MOD(ROW()-3,2)=0,1,-1))-3+1)=""),0,MEDIAN(-MarginCap,MarginCap,($T127-$W127)-$AA127*HFA_Base))</f>
        <v>0</v>
      </c>
      <c r="AD127" s="2">
        <f t="shared" si="8"/>
        <v>0</v>
      </c>
      <c r="AE127" s="2">
        <f>IF(OR($M127="",$N127=""),0,IF(AND(WEpa&gt;0,$AD127=1),(1-WEpa)*$AB127+WEpa*$AC127,$AB127))</f>
        <v>0</v>
      </c>
      <c r="AF127" s="2">
        <f>IF(AND($C127&lt;&gt;"",$E127=CurrentSeason,$F127="REG",ISNUMBER($G127),$G127&lt;CurrentWeek,AND($M127&lt;&gt;"",$N127&lt;&gt;"")),1,0)</f>
        <v>0</v>
      </c>
      <c r="AG127" s="2">
        <f>IF($AF127=0,0,IF($G127&gt;=CurrentWeek-RecencyWin,RecencyMult,1))</f>
        <v>0</v>
      </c>
      <c r="AH127" s="2">
        <f>IF(AND($C127&lt;&gt;"",$E127=CurrentSeason,$F127="REG",ISNUMBER($G127),$G127&lt;CurrentWeek-1,AND($M127&lt;&gt;"",$N127&lt;&gt;"")),1,0)</f>
        <v>0</v>
      </c>
      <c r="AI127" s="2">
        <f>IF($AH127=0,0,IF($G127&gt;=CurrentWeek-1-RecencyWin,RecencyMult,1))</f>
        <v>0</v>
      </c>
      <c r="AJ127" s="2">
        <f>IF($AF127=0,0,IF($G127&gt;=CurrentWeek-RecencyWin,TotRecency,1))</f>
        <v>0</v>
      </c>
      <c r="AK127" s="2">
        <f t="shared" si="9"/>
        <v>0</v>
      </c>
      <c r="AL127" s="2">
        <f t="shared" si="10"/>
        <v>0</v>
      </c>
      <c r="AM127" s="2" t="str">
        <f t="array" ref="AM127">IF($K127="",0,IFERROR(INDEX(CALC!$F$2:$F$33,MATCH($K127,CALC!$A$2:$A$33,0)),0))</f>
        <v/>
      </c>
      <c r="AN127" s="2" t="str">
        <f t="array" ref="AN127">IF($K127="",0,IFERROR(INDEX(CALC!$I$2:$I$33,MATCH($K127,CALC!$A$2:$A$33,0)),0))</f>
        <v/>
      </c>
      <c r="AO127" s="2" t="str">
        <f t="array" ref="AO127">IF($K127="",0,IFERROR(INDEX(CALC!$L$2:$L$33,MATCH($K127,CALC!$A$2:$A$33,0)),0))</f>
        <v/>
      </c>
      <c r="AP127" s="2" t="str">
        <f t="array" ref="AP127">IF($K127="",0,IFERROR(INDEX(CALC!$T$2:$T$33,MATCH($K127,CALC!$A$2:$A$33,0)),0))</f>
        <v/>
      </c>
      <c r="AQ127" s="2" t="str">
        <f t="array" ref="AQ127">IF($K127="",0,IFERROR(INDEX(CALC!$W$2:$W$33,MATCH($K127,CALC!$A$2:$A$33,0)),0))</f>
        <v/>
      </c>
      <c r="AR127" s="2" t="str">
        <f t="array" ref="AR127">IF($K127="",0,IFERROR(INDEX(CALC!$Z$2:$Z$33,MATCH($K127,CALC!$A$2:$A$33,0)),0))</f>
        <v/>
      </c>
      <c r="AS127" s="2" t="str">
        <f t="array" ref="AS127">IF($K127="",0,IFERROR(INDEX(CALC!$AJ$2:$AJ$33,MATCH($K127,CALC!$A$2:$A$33,0)),0))</f>
        <v/>
      </c>
      <c r="AT127" s="2" t="str">
        <f t="array" ref="AT127">IF($K127="",0,IFERROR(INDEX(CALC!$AI$2:$AI$33,MATCH($K127,CALC!$A$2:$A$33,0)),0))</f>
        <v/>
      </c>
      <c r="AU127" s="2">
        <f t="shared" si="11"/>
        <v>0</v>
      </c>
      <c r="AV127" s="2">
        <f t="shared" si="12"/>
        <v>0</v>
      </c>
    </row>
    <row r="128" ht="15.0" customHeight="1">
      <c r="A128" s="2">
        <v>63.0</v>
      </c>
      <c r="B128" s="2" t="s">
        <v>2366</v>
      </c>
      <c r="C128" s="2">
        <f>IFERROR(MATCH($A128,SchedSeq,0),"")</f>
        <v>348</v>
      </c>
      <c r="D128" s="2" t="str">
        <f t="array" ref="D128">IF($C128="","",INDEX(SchedZone,$C128,MAP!$B$6))</f>
        <v>2026_04_DET_CAR</v>
      </c>
      <c r="E128" s="2">
        <f t="array" ref="E128">IF($C128="","",INDEX(SchedZone,$C128,MAP!$B$3))</f>
        <v>2026</v>
      </c>
      <c r="F128" s="2" t="str">
        <f t="array" ref="F128">IF($C128="","",INDEX(SchedZone,$C128,MAP!$B$5))</f>
        <v>REG</v>
      </c>
      <c r="G128" s="2">
        <f t="array" ref="G128">IF($C128="","",INDEX(SchedZone,$C128,MAP!$B$4))</f>
        <v>4</v>
      </c>
      <c r="H128" s="2" t="str">
        <f t="array" ref="H128">IF($C128="","",INDEX(SchedZone,$C128,MAP!$B$10))</f>
        <v>DET</v>
      </c>
      <c r="I128" s="2" t="str">
        <f t="array" ref="I128">IF($H128="","",IF(COUNTIF(Teams,$H128)&gt;0,$H128,IFERROR(INDEX(LISTS!$D$2:$D$12,MATCH($H128,LISTS!$C$2:$C$12,0)),"⚠ "&amp;$H128)))</f>
        <v>DET</v>
      </c>
      <c r="J128" s="2" t="str">
        <f t="array" ref="J128">IF($C128="","",INDEX(SchedZone,$C128,MAP!$B$12))</f>
        <v>CAR</v>
      </c>
      <c r="K128" s="2" t="str">
        <f t="array" ref="K128">IF($J128="","",IF(COUNTIF(Teams,$J128)&gt;0,$J128,IFERROR(INDEX(LISTS!$D$2:$D$12,MATCH($J128,LISTS!$C$2:$C$12,0)),"⚠ "&amp;$J128)))</f>
        <v>CAR</v>
      </c>
      <c r="L128" s="2" t="str">
        <f t="array" ref="L128">IF($C128="","",IF(INDEX(SchedZone,$C128,MAP!$B$14)="Neutral","N",IF($B128="HOME","H","A")))</f>
        <v>A</v>
      </c>
      <c r="M128" s="2" t="str">
        <f t="array" ref="M128">IF($C128="","",IF(INDEX(SchedZone,$C128,MAP!$B$11)="","",INDEX(SchedZone,$C128,MAP!$B$11)))</f>
        <v/>
      </c>
      <c r="N128" s="2" t="str">
        <f t="array" ref="N128">IF($C128="","",IF(INDEX(SchedZone,$C128,MAP!$B$13)="","",INDEX(SchedZone,$C128,MAP!$B$13)))</f>
        <v/>
      </c>
      <c r="O128" s="2">
        <f t="array" ref="O128">IF($C128="","",INDEX(SchedZone,$C128,MAP!$B$15))</f>
        <v>7</v>
      </c>
      <c r="P128" s="2" t="str">
        <f>IF($C128="","",IFERROR(MATCH($E128&amp;"|"&amp;$G128&amp;"|"&amp;$I128,StatsKey,0),""))</f>
        <v/>
      </c>
      <c r="Q128" s="2">
        <f t="array" ref="Q128">IF($P128="",0,INDEX(StatsZone,$P128,MAP!$E$9)+INDEX(StatsZone,$P128,MAP!$E$10)+INDEX(StatsZone,$P128,MAP!$E$11))</f>
        <v>0</v>
      </c>
      <c r="R128" s="2">
        <f t="array" ref="R128">IF($P128="",0,INDEX(StatsZone,$P128,MAP!$E$12))</f>
        <v>0</v>
      </c>
      <c r="S128" s="2">
        <f t="array" ref="S128">IF($P128="",0,INDEX(StatsZone,$P128,MAP!$E$13))</f>
        <v>0</v>
      </c>
      <c r="T128" s="2">
        <f t="shared" si="1"/>
        <v>0</v>
      </c>
      <c r="U128" s="2">
        <f t="array" ref="U128">IF($P128="",0,INDEX(StatsZone,$P128,MAP!$E$14)+INDEX(StatsZone,$P128,MAP!$E$15)+INDEX(StatsZone,$P128,MAP!$E$16))</f>
        <v>0</v>
      </c>
      <c r="V128" s="2">
        <f t="shared" si="2"/>
        <v>0</v>
      </c>
      <c r="W128" s="2">
        <f t="shared" si="3"/>
        <v>0</v>
      </c>
      <c r="X128" s="2">
        <f t="shared" si="4"/>
        <v>0</v>
      </c>
      <c r="Y128" s="2">
        <f t="shared" si="5"/>
        <v>0</v>
      </c>
      <c r="Z128" s="2">
        <f t="shared" si="6"/>
        <v>0</v>
      </c>
      <c r="AA128" s="2">
        <f t="shared" si="7"/>
        <v>-1</v>
      </c>
      <c r="AB128" s="2">
        <f>IF(OR($M128="",$N128=""),0,MEDIAN(-MarginCap,MarginCap,($M128-$N128)-$AA128*HFA_Base))</f>
        <v>0</v>
      </c>
      <c r="AC128" s="2">
        <f t="array" ref="AC128">IF(OR($P128="",INDEX($P$3:$P$722,(ROW()+IF(MOD(ROW()-3,2)=0,1,-1))-3+1)=""),0,MEDIAN(-MarginCap,MarginCap,($T128-$W128)-$AA128*HFA_Base))</f>
        <v>0</v>
      </c>
      <c r="AD128" s="2">
        <f t="shared" si="8"/>
        <v>0</v>
      </c>
      <c r="AE128" s="2">
        <f>IF(OR($M128="",$N128=""),0,IF(AND(WEpa&gt;0,$AD128=1),(1-WEpa)*$AB128+WEpa*$AC128,$AB128))</f>
        <v>0</v>
      </c>
      <c r="AF128" s="2">
        <f>IF(AND($C128&lt;&gt;"",$E128=CurrentSeason,$F128="REG",ISNUMBER($G128),$G128&lt;CurrentWeek,AND($M128&lt;&gt;"",$N128&lt;&gt;"")),1,0)</f>
        <v>0</v>
      </c>
      <c r="AG128" s="2">
        <f>IF($AF128=0,0,IF($G128&gt;=CurrentWeek-RecencyWin,RecencyMult,1))</f>
        <v>0</v>
      </c>
      <c r="AH128" s="2">
        <f>IF(AND($C128&lt;&gt;"",$E128=CurrentSeason,$F128="REG",ISNUMBER($G128),$G128&lt;CurrentWeek-1,AND($M128&lt;&gt;"",$N128&lt;&gt;"")),1,0)</f>
        <v>0</v>
      </c>
      <c r="AI128" s="2">
        <f>IF($AH128=0,0,IF($G128&gt;=CurrentWeek-1-RecencyWin,RecencyMult,1))</f>
        <v>0</v>
      </c>
      <c r="AJ128" s="2">
        <f>IF($AF128=0,0,IF($G128&gt;=CurrentWeek-RecencyWin,TotRecency,1))</f>
        <v>0</v>
      </c>
      <c r="AK128" s="2">
        <f t="shared" si="9"/>
        <v>0</v>
      </c>
      <c r="AL128" s="2">
        <f t="shared" si="10"/>
        <v>0</v>
      </c>
      <c r="AM128" s="2" t="str">
        <f t="array" ref="AM128">IF($K128="",0,IFERROR(INDEX(CALC!$F$2:$F$33,MATCH($K128,CALC!$A$2:$A$33,0)),0))</f>
        <v/>
      </c>
      <c r="AN128" s="2" t="str">
        <f t="array" ref="AN128">IF($K128="",0,IFERROR(INDEX(CALC!$I$2:$I$33,MATCH($K128,CALC!$A$2:$A$33,0)),0))</f>
        <v/>
      </c>
      <c r="AO128" s="2" t="str">
        <f t="array" ref="AO128">IF($K128="",0,IFERROR(INDEX(CALC!$L$2:$L$33,MATCH($K128,CALC!$A$2:$A$33,0)),0))</f>
        <v/>
      </c>
      <c r="AP128" s="2" t="str">
        <f t="array" ref="AP128">IF($K128="",0,IFERROR(INDEX(CALC!$T$2:$T$33,MATCH($K128,CALC!$A$2:$A$33,0)),0))</f>
        <v/>
      </c>
      <c r="AQ128" s="2" t="str">
        <f t="array" ref="AQ128">IF($K128="",0,IFERROR(INDEX(CALC!$W$2:$W$33,MATCH($K128,CALC!$A$2:$A$33,0)),0))</f>
        <v/>
      </c>
      <c r="AR128" s="2" t="str">
        <f t="array" ref="AR128">IF($K128="",0,IFERROR(INDEX(CALC!$Z$2:$Z$33,MATCH($K128,CALC!$A$2:$A$33,0)),0))</f>
        <v/>
      </c>
      <c r="AS128" s="2" t="str">
        <f t="array" ref="AS128">IF($K128="",0,IFERROR(INDEX(CALC!$AJ$2:$AJ$33,MATCH($K128,CALC!$A$2:$A$33,0)),0))</f>
        <v/>
      </c>
      <c r="AT128" s="2" t="str">
        <f t="array" ref="AT128">IF($K128="",0,IFERROR(INDEX(CALC!$AI$2:$AI$33,MATCH($K128,CALC!$A$2:$A$33,0)),0))</f>
        <v/>
      </c>
      <c r="AU128" s="2">
        <f t="shared" si="11"/>
        <v>0</v>
      </c>
      <c r="AV128" s="2">
        <f t="shared" si="12"/>
        <v>0</v>
      </c>
    </row>
    <row r="129" ht="15.0" customHeight="1">
      <c r="A129" s="2">
        <v>64.0</v>
      </c>
      <c r="B129" s="2" t="s">
        <v>2365</v>
      </c>
      <c r="C129" s="2">
        <f>IFERROR(MATCH($A129,SchedSeq,0),"")</f>
        <v>349</v>
      </c>
      <c r="D129" s="2" t="str">
        <f t="array" ref="D129">IF($C129="","",INDEX(SchedZone,$C129,MAP!$B$6))</f>
        <v>2026_04_ATL_NO</v>
      </c>
      <c r="E129" s="2">
        <f t="array" ref="E129">IF($C129="","",INDEX(SchedZone,$C129,MAP!$B$3))</f>
        <v>2026</v>
      </c>
      <c r="F129" s="2" t="str">
        <f t="array" ref="F129">IF($C129="","",INDEX(SchedZone,$C129,MAP!$B$5))</f>
        <v>REG</v>
      </c>
      <c r="G129" s="2">
        <f t="array" ref="G129">IF($C129="","",INDEX(SchedZone,$C129,MAP!$B$4))</f>
        <v>4</v>
      </c>
      <c r="H129" s="2" t="str">
        <f t="array" ref="H129">IF($C129="","",INDEX(SchedZone,$C129,MAP!$B$12))</f>
        <v>NO</v>
      </c>
      <c r="I129" s="2" t="str">
        <f t="array" ref="I129">IF($H129="","",IF(COUNTIF(Teams,$H129)&gt;0,$H129,IFERROR(INDEX(LISTS!$D$2:$D$12,MATCH($H129,LISTS!$C$2:$C$12,0)),"⚠ "&amp;$H129)))</f>
        <v>NO</v>
      </c>
      <c r="J129" s="2" t="str">
        <f t="array" ref="J129">IF($C129="","",INDEX(SchedZone,$C129,MAP!$B$10))</f>
        <v>ATL</v>
      </c>
      <c r="K129" s="2" t="str">
        <f t="array" ref="K129">IF($J129="","",IF(COUNTIF(Teams,$J129)&gt;0,$J129,IFERROR(INDEX(LISTS!$D$2:$D$12,MATCH($J129,LISTS!$C$2:$C$12,0)),"⚠ "&amp;$J129)))</f>
        <v>ATL</v>
      </c>
      <c r="L129" s="2" t="str">
        <f t="array" ref="L129">IF($C129="","",IF(INDEX(SchedZone,$C129,MAP!$B$14)="Neutral","N",IF($B129="HOME","H","A")))</f>
        <v>H</v>
      </c>
      <c r="M129" s="2" t="str">
        <f t="array" ref="M129">IF($C129="","",IF(INDEX(SchedZone,$C129,MAP!$B$13)="","",INDEX(SchedZone,$C129,MAP!$B$13)))</f>
        <v/>
      </c>
      <c r="N129" s="2" t="str">
        <f t="array" ref="N129">IF($C129="","",IF(INDEX(SchedZone,$C129,MAP!$B$11)="","",INDEX(SchedZone,$C129,MAP!$B$11)))</f>
        <v/>
      </c>
      <c r="O129" s="2">
        <f t="array" ref="O129">IF($C129="","",INDEX(SchedZone,$C129,MAP!$B$16))</f>
        <v>8</v>
      </c>
      <c r="P129" s="2" t="str">
        <f>IF($C129="","",IFERROR(MATCH($E129&amp;"|"&amp;$G129&amp;"|"&amp;$I129,StatsKey,0),""))</f>
        <v/>
      </c>
      <c r="Q129" s="2">
        <f t="array" ref="Q129">IF($P129="",0,INDEX(StatsZone,$P129,MAP!$E$9)+INDEX(StatsZone,$P129,MAP!$E$10)+INDEX(StatsZone,$P129,MAP!$E$11))</f>
        <v>0</v>
      </c>
      <c r="R129" s="2">
        <f t="array" ref="R129">IF($P129="",0,INDEX(StatsZone,$P129,MAP!$E$12))</f>
        <v>0</v>
      </c>
      <c r="S129" s="2">
        <f t="array" ref="S129">IF($P129="",0,INDEX(StatsZone,$P129,MAP!$E$13))</f>
        <v>0</v>
      </c>
      <c r="T129" s="2">
        <f t="shared" si="1"/>
        <v>0</v>
      </c>
      <c r="U129" s="2">
        <f t="array" ref="U129">IF($P129="",0,INDEX(StatsZone,$P129,MAP!$E$14)+INDEX(StatsZone,$P129,MAP!$E$15)+INDEX(StatsZone,$P129,MAP!$E$16))</f>
        <v>0</v>
      </c>
      <c r="V129" s="2">
        <f t="shared" si="2"/>
        <v>0</v>
      </c>
      <c r="W129" s="2">
        <f t="shared" si="3"/>
        <v>0</v>
      </c>
      <c r="X129" s="2">
        <f t="shared" si="4"/>
        <v>0</v>
      </c>
      <c r="Y129" s="2">
        <f t="shared" si="5"/>
        <v>0</v>
      </c>
      <c r="Z129" s="2">
        <f t="shared" si="6"/>
        <v>0</v>
      </c>
      <c r="AA129" s="2">
        <f t="shared" si="7"/>
        <v>1</v>
      </c>
      <c r="AB129" s="2">
        <f>IF(OR($M129="",$N129=""),0,MEDIAN(-MarginCap,MarginCap,($M129-$N129)-$AA129*HFA_Base))</f>
        <v>0</v>
      </c>
      <c r="AC129" s="2">
        <f t="array" ref="AC129">IF(OR($P129="",INDEX($P$3:$P$722,(ROW()+IF(MOD(ROW()-3,2)=0,1,-1))-3+1)=""),0,MEDIAN(-MarginCap,MarginCap,($T129-$W129)-$AA129*HFA_Base))</f>
        <v>0</v>
      </c>
      <c r="AD129" s="2">
        <f t="shared" si="8"/>
        <v>0</v>
      </c>
      <c r="AE129" s="2">
        <f>IF(OR($M129="",$N129=""),0,IF(AND(WEpa&gt;0,$AD129=1),(1-WEpa)*$AB129+WEpa*$AC129,$AB129))</f>
        <v>0</v>
      </c>
      <c r="AF129" s="2">
        <f>IF(AND($C129&lt;&gt;"",$E129=CurrentSeason,$F129="REG",ISNUMBER($G129),$G129&lt;CurrentWeek,AND($M129&lt;&gt;"",$N129&lt;&gt;"")),1,0)</f>
        <v>0</v>
      </c>
      <c r="AG129" s="2">
        <f>IF($AF129=0,0,IF($G129&gt;=CurrentWeek-RecencyWin,RecencyMult,1))</f>
        <v>0</v>
      </c>
      <c r="AH129" s="2">
        <f>IF(AND($C129&lt;&gt;"",$E129=CurrentSeason,$F129="REG",ISNUMBER($G129),$G129&lt;CurrentWeek-1,AND($M129&lt;&gt;"",$N129&lt;&gt;"")),1,0)</f>
        <v>0</v>
      </c>
      <c r="AI129" s="2">
        <f>IF($AH129=0,0,IF($G129&gt;=CurrentWeek-1-RecencyWin,RecencyMult,1))</f>
        <v>0</v>
      </c>
      <c r="AJ129" s="2">
        <f>IF($AF129=0,0,IF($G129&gt;=CurrentWeek-RecencyWin,TotRecency,1))</f>
        <v>0</v>
      </c>
      <c r="AK129" s="2">
        <f t="shared" si="9"/>
        <v>0</v>
      </c>
      <c r="AL129" s="2">
        <f t="shared" si="10"/>
        <v>0</v>
      </c>
      <c r="AM129" s="2" t="str">
        <f t="array" ref="AM129">IF($K129="",0,IFERROR(INDEX(CALC!$F$2:$F$33,MATCH($K129,CALC!$A$2:$A$33,0)),0))</f>
        <v/>
      </c>
      <c r="AN129" s="2" t="str">
        <f t="array" ref="AN129">IF($K129="",0,IFERROR(INDEX(CALC!$I$2:$I$33,MATCH($K129,CALC!$A$2:$A$33,0)),0))</f>
        <v/>
      </c>
      <c r="AO129" s="2" t="str">
        <f t="array" ref="AO129">IF($K129="",0,IFERROR(INDEX(CALC!$L$2:$L$33,MATCH($K129,CALC!$A$2:$A$33,0)),0))</f>
        <v/>
      </c>
      <c r="AP129" s="2" t="str">
        <f t="array" ref="AP129">IF($K129="",0,IFERROR(INDEX(CALC!$T$2:$T$33,MATCH($K129,CALC!$A$2:$A$33,0)),0))</f>
        <v/>
      </c>
      <c r="AQ129" s="2" t="str">
        <f t="array" ref="AQ129">IF($K129="",0,IFERROR(INDEX(CALC!$W$2:$W$33,MATCH($K129,CALC!$A$2:$A$33,0)),0))</f>
        <v/>
      </c>
      <c r="AR129" s="2" t="str">
        <f t="array" ref="AR129">IF($K129="",0,IFERROR(INDEX(CALC!$Z$2:$Z$33,MATCH($K129,CALC!$A$2:$A$33,0)),0))</f>
        <v/>
      </c>
      <c r="AS129" s="2" t="str">
        <f t="array" ref="AS129">IF($K129="",0,IFERROR(INDEX(CALC!$AJ$2:$AJ$33,MATCH($K129,CALC!$A$2:$A$33,0)),0))</f>
        <v/>
      </c>
      <c r="AT129" s="2" t="str">
        <f t="array" ref="AT129">IF($K129="",0,IFERROR(INDEX(CALC!$AI$2:$AI$33,MATCH($K129,CALC!$A$2:$A$33,0)),0))</f>
        <v/>
      </c>
      <c r="AU129" s="2">
        <f t="shared" si="11"/>
        <v>0</v>
      </c>
      <c r="AV129" s="2">
        <f t="shared" si="12"/>
        <v>0</v>
      </c>
    </row>
    <row r="130" ht="15.0" customHeight="1">
      <c r="A130" s="2">
        <v>64.0</v>
      </c>
      <c r="B130" s="2" t="s">
        <v>2366</v>
      </c>
      <c r="C130" s="2">
        <f>IFERROR(MATCH($A130,SchedSeq,0),"")</f>
        <v>349</v>
      </c>
      <c r="D130" s="2" t="str">
        <f t="array" ref="D130">IF($C130="","",INDEX(SchedZone,$C130,MAP!$B$6))</f>
        <v>2026_04_ATL_NO</v>
      </c>
      <c r="E130" s="2">
        <f t="array" ref="E130">IF($C130="","",INDEX(SchedZone,$C130,MAP!$B$3))</f>
        <v>2026</v>
      </c>
      <c r="F130" s="2" t="str">
        <f t="array" ref="F130">IF($C130="","",INDEX(SchedZone,$C130,MAP!$B$5))</f>
        <v>REG</v>
      </c>
      <c r="G130" s="2">
        <f t="array" ref="G130">IF($C130="","",INDEX(SchedZone,$C130,MAP!$B$4))</f>
        <v>4</v>
      </c>
      <c r="H130" s="2" t="str">
        <f t="array" ref="H130">IF($C130="","",INDEX(SchedZone,$C130,MAP!$B$10))</f>
        <v>ATL</v>
      </c>
      <c r="I130" s="2" t="str">
        <f t="array" ref="I130">IF($H130="","",IF(COUNTIF(Teams,$H130)&gt;0,$H130,IFERROR(INDEX(LISTS!$D$2:$D$12,MATCH($H130,LISTS!$C$2:$C$12,0)),"⚠ "&amp;$H130)))</f>
        <v>ATL</v>
      </c>
      <c r="J130" s="2" t="str">
        <f t="array" ref="J130">IF($C130="","",INDEX(SchedZone,$C130,MAP!$B$12))</f>
        <v>NO</v>
      </c>
      <c r="K130" s="2" t="str">
        <f t="array" ref="K130">IF($J130="","",IF(COUNTIF(Teams,$J130)&gt;0,$J130,IFERROR(INDEX(LISTS!$D$2:$D$12,MATCH($J130,LISTS!$C$2:$C$12,0)),"⚠ "&amp;$J130)))</f>
        <v>NO</v>
      </c>
      <c r="L130" s="2" t="str">
        <f t="array" ref="L130">IF($C130="","",IF(INDEX(SchedZone,$C130,MAP!$B$14)="Neutral","N",IF($B130="HOME","H","A")))</f>
        <v>A</v>
      </c>
      <c r="M130" s="2" t="str">
        <f t="array" ref="M130">IF($C130="","",IF(INDEX(SchedZone,$C130,MAP!$B$11)="","",INDEX(SchedZone,$C130,MAP!$B$11)))</f>
        <v/>
      </c>
      <c r="N130" s="2" t="str">
        <f t="array" ref="N130">IF($C130="","",IF(INDEX(SchedZone,$C130,MAP!$B$13)="","",INDEX(SchedZone,$C130,MAP!$B$13)))</f>
        <v/>
      </c>
      <c r="O130" s="2">
        <f t="array" ref="O130">IF($C130="","",INDEX(SchedZone,$C130,MAP!$B$15))</f>
        <v>11</v>
      </c>
      <c r="P130" s="2" t="str">
        <f>IF($C130="","",IFERROR(MATCH($E130&amp;"|"&amp;$G130&amp;"|"&amp;$I130,StatsKey,0),""))</f>
        <v/>
      </c>
      <c r="Q130" s="2">
        <f t="array" ref="Q130">IF($P130="",0,INDEX(StatsZone,$P130,MAP!$E$9)+INDEX(StatsZone,$P130,MAP!$E$10)+INDEX(StatsZone,$P130,MAP!$E$11))</f>
        <v>0</v>
      </c>
      <c r="R130" s="2">
        <f t="array" ref="R130">IF($P130="",0,INDEX(StatsZone,$P130,MAP!$E$12))</f>
        <v>0</v>
      </c>
      <c r="S130" s="2">
        <f t="array" ref="S130">IF($P130="",0,INDEX(StatsZone,$P130,MAP!$E$13))</f>
        <v>0</v>
      </c>
      <c r="T130" s="2">
        <f t="shared" si="1"/>
        <v>0</v>
      </c>
      <c r="U130" s="2">
        <f t="array" ref="U130">IF($P130="",0,INDEX(StatsZone,$P130,MAP!$E$14)+INDEX(StatsZone,$P130,MAP!$E$15)+INDEX(StatsZone,$P130,MAP!$E$16))</f>
        <v>0</v>
      </c>
      <c r="V130" s="2">
        <f t="shared" si="2"/>
        <v>0</v>
      </c>
      <c r="W130" s="2">
        <f t="shared" si="3"/>
        <v>0</v>
      </c>
      <c r="X130" s="2">
        <f t="shared" si="4"/>
        <v>0</v>
      </c>
      <c r="Y130" s="2">
        <f t="shared" si="5"/>
        <v>0</v>
      </c>
      <c r="Z130" s="2">
        <f t="shared" si="6"/>
        <v>0</v>
      </c>
      <c r="AA130" s="2">
        <f t="shared" si="7"/>
        <v>-1</v>
      </c>
      <c r="AB130" s="2">
        <f>IF(OR($M130="",$N130=""),0,MEDIAN(-MarginCap,MarginCap,($M130-$N130)-$AA130*HFA_Base))</f>
        <v>0</v>
      </c>
      <c r="AC130" s="2">
        <f t="array" ref="AC130">IF(OR($P130="",INDEX($P$3:$P$722,(ROW()+IF(MOD(ROW()-3,2)=0,1,-1))-3+1)=""),0,MEDIAN(-MarginCap,MarginCap,($T130-$W130)-$AA130*HFA_Base))</f>
        <v>0</v>
      </c>
      <c r="AD130" s="2">
        <f t="shared" si="8"/>
        <v>0</v>
      </c>
      <c r="AE130" s="2">
        <f>IF(OR($M130="",$N130=""),0,IF(AND(WEpa&gt;0,$AD130=1),(1-WEpa)*$AB130+WEpa*$AC130,$AB130))</f>
        <v>0</v>
      </c>
      <c r="AF130" s="2">
        <f>IF(AND($C130&lt;&gt;"",$E130=CurrentSeason,$F130="REG",ISNUMBER($G130),$G130&lt;CurrentWeek,AND($M130&lt;&gt;"",$N130&lt;&gt;"")),1,0)</f>
        <v>0</v>
      </c>
      <c r="AG130" s="2">
        <f>IF($AF130=0,0,IF($G130&gt;=CurrentWeek-RecencyWin,RecencyMult,1))</f>
        <v>0</v>
      </c>
      <c r="AH130" s="2">
        <f>IF(AND($C130&lt;&gt;"",$E130=CurrentSeason,$F130="REG",ISNUMBER($G130),$G130&lt;CurrentWeek-1,AND($M130&lt;&gt;"",$N130&lt;&gt;"")),1,0)</f>
        <v>0</v>
      </c>
      <c r="AI130" s="2">
        <f>IF($AH130=0,0,IF($G130&gt;=CurrentWeek-1-RecencyWin,RecencyMult,1))</f>
        <v>0</v>
      </c>
      <c r="AJ130" s="2">
        <f>IF($AF130=0,0,IF($G130&gt;=CurrentWeek-RecencyWin,TotRecency,1))</f>
        <v>0</v>
      </c>
      <c r="AK130" s="2">
        <f t="shared" si="9"/>
        <v>0</v>
      </c>
      <c r="AL130" s="2">
        <f t="shared" si="10"/>
        <v>0</v>
      </c>
      <c r="AM130" s="2" t="str">
        <f t="array" ref="AM130">IF($K130="",0,IFERROR(INDEX(CALC!$F$2:$F$33,MATCH($K130,CALC!$A$2:$A$33,0)),0))</f>
        <v/>
      </c>
      <c r="AN130" s="2" t="str">
        <f t="array" ref="AN130">IF($K130="",0,IFERROR(INDEX(CALC!$I$2:$I$33,MATCH($K130,CALC!$A$2:$A$33,0)),0))</f>
        <v/>
      </c>
      <c r="AO130" s="2" t="str">
        <f t="array" ref="AO130">IF($K130="",0,IFERROR(INDEX(CALC!$L$2:$L$33,MATCH($K130,CALC!$A$2:$A$33,0)),0))</f>
        <v/>
      </c>
      <c r="AP130" s="2" t="str">
        <f t="array" ref="AP130">IF($K130="",0,IFERROR(INDEX(CALC!$T$2:$T$33,MATCH($K130,CALC!$A$2:$A$33,0)),0))</f>
        <v/>
      </c>
      <c r="AQ130" s="2" t="str">
        <f t="array" ref="AQ130">IF($K130="",0,IFERROR(INDEX(CALC!$W$2:$W$33,MATCH($K130,CALC!$A$2:$A$33,0)),0))</f>
        <v/>
      </c>
      <c r="AR130" s="2" t="str">
        <f t="array" ref="AR130">IF($K130="",0,IFERROR(INDEX(CALC!$Z$2:$Z$33,MATCH($K130,CALC!$A$2:$A$33,0)),0))</f>
        <v/>
      </c>
      <c r="AS130" s="2" t="str">
        <f t="array" ref="AS130">IF($K130="",0,IFERROR(INDEX(CALC!$AJ$2:$AJ$33,MATCH($K130,CALC!$A$2:$A$33,0)),0))</f>
        <v/>
      </c>
      <c r="AT130" s="2" t="str">
        <f t="array" ref="AT130">IF($K130="",0,IFERROR(INDEX(CALC!$AI$2:$AI$33,MATCH($K130,CALC!$A$2:$A$33,0)),0))</f>
        <v/>
      </c>
      <c r="AU130" s="2">
        <f t="shared" si="11"/>
        <v>0</v>
      </c>
      <c r="AV130" s="2">
        <f t="shared" si="12"/>
        <v>0</v>
      </c>
    </row>
    <row r="131" ht="15.0" customHeight="1">
      <c r="A131" s="2">
        <v>65.0</v>
      </c>
      <c r="B131" s="2" t="s">
        <v>2365</v>
      </c>
      <c r="C131" s="2">
        <f>IFERROR(MATCH($A131,SchedSeq,0),"")</f>
        <v>350</v>
      </c>
      <c r="D131" s="2" t="str">
        <f t="array" ref="D131">IF($C131="","",INDEX(SchedZone,$C131,MAP!$B$6))</f>
        <v>2026_05_TB_DAL</v>
      </c>
      <c r="E131" s="2">
        <f t="array" ref="E131">IF($C131="","",INDEX(SchedZone,$C131,MAP!$B$3))</f>
        <v>2026</v>
      </c>
      <c r="F131" s="2" t="str">
        <f t="array" ref="F131">IF($C131="","",INDEX(SchedZone,$C131,MAP!$B$5))</f>
        <v>REG</v>
      </c>
      <c r="G131" s="2">
        <f t="array" ref="G131">IF($C131="","",INDEX(SchedZone,$C131,MAP!$B$4))</f>
        <v>5</v>
      </c>
      <c r="H131" s="2" t="str">
        <f t="array" ref="H131">IF($C131="","",INDEX(SchedZone,$C131,MAP!$B$12))</f>
        <v>DAL</v>
      </c>
      <c r="I131" s="2" t="str">
        <f t="array" ref="I131">IF($H131="","",IF(COUNTIF(Teams,$H131)&gt;0,$H131,IFERROR(INDEX(LISTS!$D$2:$D$12,MATCH($H131,LISTS!$C$2:$C$12,0)),"⚠ "&amp;$H131)))</f>
        <v>DAL</v>
      </c>
      <c r="J131" s="2" t="str">
        <f t="array" ref="J131">IF($C131="","",INDEX(SchedZone,$C131,MAP!$B$10))</f>
        <v>TB</v>
      </c>
      <c r="K131" s="2" t="str">
        <f t="array" ref="K131">IF($J131="","",IF(COUNTIF(Teams,$J131)&gt;0,$J131,IFERROR(INDEX(LISTS!$D$2:$D$12,MATCH($J131,LISTS!$C$2:$C$12,0)),"⚠ "&amp;$J131)))</f>
        <v>TB</v>
      </c>
      <c r="L131" s="2" t="str">
        <f t="array" ref="L131">IF($C131="","",IF(INDEX(SchedZone,$C131,MAP!$B$14)="Neutral","N",IF($B131="HOME","H","A")))</f>
        <v>H</v>
      </c>
      <c r="M131" s="2" t="str">
        <f t="array" ref="M131">IF($C131="","",IF(INDEX(SchedZone,$C131,MAP!$B$13)="","",INDEX(SchedZone,$C131,MAP!$B$13)))</f>
        <v/>
      </c>
      <c r="N131" s="2" t="str">
        <f t="array" ref="N131">IF($C131="","",IF(INDEX(SchedZone,$C131,MAP!$B$11)="","",INDEX(SchedZone,$C131,MAP!$B$11)))</f>
        <v/>
      </c>
      <c r="O131" s="2">
        <f t="array" ref="O131">IF($C131="","",INDEX(SchedZone,$C131,MAP!$B$16))</f>
        <v>4</v>
      </c>
      <c r="P131" s="2" t="str">
        <f>IF($C131="","",IFERROR(MATCH($E131&amp;"|"&amp;$G131&amp;"|"&amp;$I131,StatsKey,0),""))</f>
        <v/>
      </c>
      <c r="Q131" s="2">
        <f t="array" ref="Q131">IF($P131="",0,INDEX(StatsZone,$P131,MAP!$E$9)+INDEX(StatsZone,$P131,MAP!$E$10)+INDEX(StatsZone,$P131,MAP!$E$11))</f>
        <v>0</v>
      </c>
      <c r="R131" s="2">
        <f t="array" ref="R131">IF($P131="",0,INDEX(StatsZone,$P131,MAP!$E$12))</f>
        <v>0</v>
      </c>
      <c r="S131" s="2">
        <f t="array" ref="S131">IF($P131="",0,INDEX(StatsZone,$P131,MAP!$E$13))</f>
        <v>0</v>
      </c>
      <c r="T131" s="2">
        <f t="shared" si="1"/>
        <v>0</v>
      </c>
      <c r="U131" s="2">
        <f t="array" ref="U131">IF($P131="",0,INDEX(StatsZone,$P131,MAP!$E$14)+INDEX(StatsZone,$P131,MAP!$E$15)+INDEX(StatsZone,$P131,MAP!$E$16))</f>
        <v>0</v>
      </c>
      <c r="V131" s="2">
        <f t="shared" si="2"/>
        <v>0</v>
      </c>
      <c r="W131" s="2">
        <f t="shared" si="3"/>
        <v>0</v>
      </c>
      <c r="X131" s="2">
        <f t="shared" si="4"/>
        <v>0</v>
      </c>
      <c r="Y131" s="2">
        <f t="shared" si="5"/>
        <v>0</v>
      </c>
      <c r="Z131" s="2">
        <f t="shared" si="6"/>
        <v>0</v>
      </c>
      <c r="AA131" s="2">
        <f t="shared" si="7"/>
        <v>1</v>
      </c>
      <c r="AB131" s="2">
        <f>IF(OR($M131="",$N131=""),0,MEDIAN(-MarginCap,MarginCap,($M131-$N131)-$AA131*HFA_Base))</f>
        <v>0</v>
      </c>
      <c r="AC131" s="2">
        <f t="array" ref="AC131">IF(OR($P131="",INDEX($P$3:$P$722,(ROW()+IF(MOD(ROW()-3,2)=0,1,-1))-3+1)=""),0,MEDIAN(-MarginCap,MarginCap,($T131-$W131)-$AA131*HFA_Base))</f>
        <v>0</v>
      </c>
      <c r="AD131" s="2">
        <f t="shared" si="8"/>
        <v>0</v>
      </c>
      <c r="AE131" s="2">
        <f>IF(OR($M131="",$N131=""),0,IF(AND(WEpa&gt;0,$AD131=1),(1-WEpa)*$AB131+WEpa*$AC131,$AB131))</f>
        <v>0</v>
      </c>
      <c r="AF131" s="2">
        <f>IF(AND($C131&lt;&gt;"",$E131=CurrentSeason,$F131="REG",ISNUMBER($G131),$G131&lt;CurrentWeek,AND($M131&lt;&gt;"",$N131&lt;&gt;"")),1,0)</f>
        <v>0</v>
      </c>
      <c r="AG131" s="2">
        <f>IF($AF131=0,0,IF($G131&gt;=CurrentWeek-RecencyWin,RecencyMult,1))</f>
        <v>0</v>
      </c>
      <c r="AH131" s="2">
        <f>IF(AND($C131&lt;&gt;"",$E131=CurrentSeason,$F131="REG",ISNUMBER($G131),$G131&lt;CurrentWeek-1,AND($M131&lt;&gt;"",$N131&lt;&gt;"")),1,0)</f>
        <v>0</v>
      </c>
      <c r="AI131" s="2">
        <f>IF($AH131=0,0,IF($G131&gt;=CurrentWeek-1-RecencyWin,RecencyMult,1))</f>
        <v>0</v>
      </c>
      <c r="AJ131" s="2">
        <f>IF($AF131=0,0,IF($G131&gt;=CurrentWeek-RecencyWin,TotRecency,1))</f>
        <v>0</v>
      </c>
      <c r="AK131" s="2">
        <f t="shared" si="9"/>
        <v>0</v>
      </c>
      <c r="AL131" s="2">
        <f t="shared" si="10"/>
        <v>0</v>
      </c>
      <c r="AM131" s="2" t="str">
        <f t="array" ref="AM131">IF($K131="",0,IFERROR(INDEX(CALC!$F$2:$F$33,MATCH($K131,CALC!$A$2:$A$33,0)),0))</f>
        <v/>
      </c>
      <c r="AN131" s="2" t="str">
        <f t="array" ref="AN131">IF($K131="",0,IFERROR(INDEX(CALC!$I$2:$I$33,MATCH($K131,CALC!$A$2:$A$33,0)),0))</f>
        <v/>
      </c>
      <c r="AO131" s="2" t="str">
        <f t="array" ref="AO131">IF($K131="",0,IFERROR(INDEX(CALC!$L$2:$L$33,MATCH($K131,CALC!$A$2:$A$33,0)),0))</f>
        <v/>
      </c>
      <c r="AP131" s="2" t="str">
        <f t="array" ref="AP131">IF($K131="",0,IFERROR(INDEX(CALC!$T$2:$T$33,MATCH($K131,CALC!$A$2:$A$33,0)),0))</f>
        <v/>
      </c>
      <c r="AQ131" s="2" t="str">
        <f t="array" ref="AQ131">IF($K131="",0,IFERROR(INDEX(CALC!$W$2:$W$33,MATCH($K131,CALC!$A$2:$A$33,0)),0))</f>
        <v/>
      </c>
      <c r="AR131" s="2" t="str">
        <f t="array" ref="AR131">IF($K131="",0,IFERROR(INDEX(CALC!$Z$2:$Z$33,MATCH($K131,CALC!$A$2:$A$33,0)),0))</f>
        <v/>
      </c>
      <c r="AS131" s="2" t="str">
        <f t="array" ref="AS131">IF($K131="",0,IFERROR(INDEX(CALC!$AJ$2:$AJ$33,MATCH($K131,CALC!$A$2:$A$33,0)),0))</f>
        <v/>
      </c>
      <c r="AT131" s="2" t="str">
        <f t="array" ref="AT131">IF($K131="",0,IFERROR(INDEX(CALC!$AI$2:$AI$33,MATCH($K131,CALC!$A$2:$A$33,0)),0))</f>
        <v/>
      </c>
      <c r="AU131" s="2">
        <f t="shared" si="11"/>
        <v>0</v>
      </c>
      <c r="AV131" s="2">
        <f t="shared" si="12"/>
        <v>0</v>
      </c>
    </row>
    <row r="132" ht="15.0" customHeight="1">
      <c r="A132" s="2">
        <v>65.0</v>
      </c>
      <c r="B132" s="2" t="s">
        <v>2366</v>
      </c>
      <c r="C132" s="2">
        <f>IFERROR(MATCH($A132,SchedSeq,0),"")</f>
        <v>350</v>
      </c>
      <c r="D132" s="2" t="str">
        <f t="array" ref="D132">IF($C132="","",INDEX(SchedZone,$C132,MAP!$B$6))</f>
        <v>2026_05_TB_DAL</v>
      </c>
      <c r="E132" s="2">
        <f t="array" ref="E132">IF($C132="","",INDEX(SchedZone,$C132,MAP!$B$3))</f>
        <v>2026</v>
      </c>
      <c r="F132" s="2" t="str">
        <f t="array" ref="F132">IF($C132="","",INDEX(SchedZone,$C132,MAP!$B$5))</f>
        <v>REG</v>
      </c>
      <c r="G132" s="2">
        <f t="array" ref="G132">IF($C132="","",INDEX(SchedZone,$C132,MAP!$B$4))</f>
        <v>5</v>
      </c>
      <c r="H132" s="2" t="str">
        <f t="array" ref="H132">IF($C132="","",INDEX(SchedZone,$C132,MAP!$B$10))</f>
        <v>TB</v>
      </c>
      <c r="I132" s="2" t="str">
        <f t="array" ref="I132">IF($H132="","",IF(COUNTIF(Teams,$H132)&gt;0,$H132,IFERROR(INDEX(LISTS!$D$2:$D$12,MATCH($H132,LISTS!$C$2:$C$12,0)),"⚠ "&amp;$H132)))</f>
        <v>TB</v>
      </c>
      <c r="J132" s="2" t="str">
        <f t="array" ref="J132">IF($C132="","",INDEX(SchedZone,$C132,MAP!$B$12))</f>
        <v>DAL</v>
      </c>
      <c r="K132" s="2" t="str">
        <f t="array" ref="K132">IF($J132="","",IF(COUNTIF(Teams,$J132)&gt;0,$J132,IFERROR(INDEX(LISTS!$D$2:$D$12,MATCH($J132,LISTS!$C$2:$C$12,0)),"⚠ "&amp;$J132)))</f>
        <v>DAL</v>
      </c>
      <c r="L132" s="2" t="str">
        <f t="array" ref="L132">IF($C132="","",IF(INDEX(SchedZone,$C132,MAP!$B$14)="Neutral","N",IF($B132="HOME","H","A")))</f>
        <v>A</v>
      </c>
      <c r="M132" s="2" t="str">
        <f t="array" ref="M132">IF($C132="","",IF(INDEX(SchedZone,$C132,MAP!$B$11)="","",INDEX(SchedZone,$C132,MAP!$B$11)))</f>
        <v/>
      </c>
      <c r="N132" s="2" t="str">
        <f t="array" ref="N132">IF($C132="","",IF(INDEX(SchedZone,$C132,MAP!$B$13)="","",INDEX(SchedZone,$C132,MAP!$B$13)))</f>
        <v/>
      </c>
      <c r="O132" s="2">
        <f t="array" ref="O132">IF($C132="","",INDEX(SchedZone,$C132,MAP!$B$15))</f>
        <v>4</v>
      </c>
      <c r="P132" s="2" t="str">
        <f>IF($C132="","",IFERROR(MATCH($E132&amp;"|"&amp;$G132&amp;"|"&amp;$I132,StatsKey,0),""))</f>
        <v/>
      </c>
      <c r="Q132" s="2">
        <f t="array" ref="Q132">IF($P132="",0,INDEX(StatsZone,$P132,MAP!$E$9)+INDEX(StatsZone,$P132,MAP!$E$10)+INDEX(StatsZone,$P132,MAP!$E$11))</f>
        <v>0</v>
      </c>
      <c r="R132" s="2">
        <f t="array" ref="R132">IF($P132="",0,INDEX(StatsZone,$P132,MAP!$E$12))</f>
        <v>0</v>
      </c>
      <c r="S132" s="2">
        <f t="array" ref="S132">IF($P132="",0,INDEX(StatsZone,$P132,MAP!$E$13))</f>
        <v>0</v>
      </c>
      <c r="T132" s="2">
        <f t="shared" si="1"/>
        <v>0</v>
      </c>
      <c r="U132" s="2">
        <f t="array" ref="U132">IF($P132="",0,INDEX(StatsZone,$P132,MAP!$E$14)+INDEX(StatsZone,$P132,MAP!$E$15)+INDEX(StatsZone,$P132,MAP!$E$16))</f>
        <v>0</v>
      </c>
      <c r="V132" s="2">
        <f t="shared" si="2"/>
        <v>0</v>
      </c>
      <c r="W132" s="2">
        <f t="shared" si="3"/>
        <v>0</v>
      </c>
      <c r="X132" s="2">
        <f t="shared" si="4"/>
        <v>0</v>
      </c>
      <c r="Y132" s="2">
        <f t="shared" si="5"/>
        <v>0</v>
      </c>
      <c r="Z132" s="2">
        <f t="shared" si="6"/>
        <v>0</v>
      </c>
      <c r="AA132" s="2">
        <f t="shared" si="7"/>
        <v>-1</v>
      </c>
      <c r="AB132" s="2">
        <f>IF(OR($M132="",$N132=""),0,MEDIAN(-MarginCap,MarginCap,($M132-$N132)-$AA132*HFA_Base))</f>
        <v>0</v>
      </c>
      <c r="AC132" s="2">
        <f t="array" ref="AC132">IF(OR($P132="",INDEX($P$3:$P$722,(ROW()+IF(MOD(ROW()-3,2)=0,1,-1))-3+1)=""),0,MEDIAN(-MarginCap,MarginCap,($T132-$W132)-$AA132*HFA_Base))</f>
        <v>0</v>
      </c>
      <c r="AD132" s="2">
        <f t="shared" si="8"/>
        <v>0</v>
      </c>
      <c r="AE132" s="2">
        <f>IF(OR($M132="",$N132=""),0,IF(AND(WEpa&gt;0,$AD132=1),(1-WEpa)*$AB132+WEpa*$AC132,$AB132))</f>
        <v>0</v>
      </c>
      <c r="AF132" s="2">
        <f>IF(AND($C132&lt;&gt;"",$E132=CurrentSeason,$F132="REG",ISNUMBER($G132),$G132&lt;CurrentWeek,AND($M132&lt;&gt;"",$N132&lt;&gt;"")),1,0)</f>
        <v>0</v>
      </c>
      <c r="AG132" s="2">
        <f>IF($AF132=0,0,IF($G132&gt;=CurrentWeek-RecencyWin,RecencyMult,1))</f>
        <v>0</v>
      </c>
      <c r="AH132" s="2">
        <f>IF(AND($C132&lt;&gt;"",$E132=CurrentSeason,$F132="REG",ISNUMBER($G132),$G132&lt;CurrentWeek-1,AND($M132&lt;&gt;"",$N132&lt;&gt;"")),1,0)</f>
        <v>0</v>
      </c>
      <c r="AI132" s="2">
        <f>IF($AH132=0,0,IF($G132&gt;=CurrentWeek-1-RecencyWin,RecencyMult,1))</f>
        <v>0</v>
      </c>
      <c r="AJ132" s="2">
        <f>IF($AF132=0,0,IF($G132&gt;=CurrentWeek-RecencyWin,TotRecency,1))</f>
        <v>0</v>
      </c>
      <c r="AK132" s="2">
        <f t="shared" si="9"/>
        <v>0</v>
      </c>
      <c r="AL132" s="2">
        <f t="shared" si="10"/>
        <v>0</v>
      </c>
      <c r="AM132" s="2" t="str">
        <f t="array" ref="AM132">IF($K132="",0,IFERROR(INDEX(CALC!$F$2:$F$33,MATCH($K132,CALC!$A$2:$A$33,0)),0))</f>
        <v/>
      </c>
      <c r="AN132" s="2" t="str">
        <f t="array" ref="AN132">IF($K132="",0,IFERROR(INDEX(CALC!$I$2:$I$33,MATCH($K132,CALC!$A$2:$A$33,0)),0))</f>
        <v/>
      </c>
      <c r="AO132" s="2" t="str">
        <f t="array" ref="AO132">IF($K132="",0,IFERROR(INDEX(CALC!$L$2:$L$33,MATCH($K132,CALC!$A$2:$A$33,0)),0))</f>
        <v/>
      </c>
      <c r="AP132" s="2" t="str">
        <f t="array" ref="AP132">IF($K132="",0,IFERROR(INDEX(CALC!$T$2:$T$33,MATCH($K132,CALC!$A$2:$A$33,0)),0))</f>
        <v/>
      </c>
      <c r="AQ132" s="2" t="str">
        <f t="array" ref="AQ132">IF($K132="",0,IFERROR(INDEX(CALC!$W$2:$W$33,MATCH($K132,CALC!$A$2:$A$33,0)),0))</f>
        <v/>
      </c>
      <c r="AR132" s="2" t="str">
        <f t="array" ref="AR132">IF($K132="",0,IFERROR(INDEX(CALC!$Z$2:$Z$33,MATCH($K132,CALC!$A$2:$A$33,0)),0))</f>
        <v/>
      </c>
      <c r="AS132" s="2" t="str">
        <f t="array" ref="AS132">IF($K132="",0,IFERROR(INDEX(CALC!$AJ$2:$AJ$33,MATCH($K132,CALC!$A$2:$A$33,0)),0))</f>
        <v/>
      </c>
      <c r="AT132" s="2" t="str">
        <f t="array" ref="AT132">IF($K132="",0,IFERROR(INDEX(CALC!$AI$2:$AI$33,MATCH($K132,CALC!$A$2:$A$33,0)),0))</f>
        <v/>
      </c>
      <c r="AU132" s="2">
        <f t="shared" si="11"/>
        <v>0</v>
      </c>
      <c r="AV132" s="2">
        <f t="shared" si="12"/>
        <v>0</v>
      </c>
    </row>
    <row r="133" ht="15.0" customHeight="1">
      <c r="A133" s="2">
        <v>66.0</v>
      </c>
      <c r="B133" s="2" t="s">
        <v>2365</v>
      </c>
      <c r="C133" s="2">
        <f>IFERROR(MATCH($A133,SchedSeq,0),"")</f>
        <v>351</v>
      </c>
      <c r="D133" s="2" t="str">
        <f t="array" ref="D133">IF($C133="","",INDEX(SchedZone,$C133,MAP!$B$6))</f>
        <v>2026_05_PHI_JAX</v>
      </c>
      <c r="E133" s="2">
        <f t="array" ref="E133">IF($C133="","",INDEX(SchedZone,$C133,MAP!$B$3))</f>
        <v>2026</v>
      </c>
      <c r="F133" s="2" t="str">
        <f t="array" ref="F133">IF($C133="","",INDEX(SchedZone,$C133,MAP!$B$5))</f>
        <v>REG</v>
      </c>
      <c r="G133" s="2">
        <f t="array" ref="G133">IF($C133="","",INDEX(SchedZone,$C133,MAP!$B$4))</f>
        <v>5</v>
      </c>
      <c r="H133" s="2" t="str">
        <f t="array" ref="H133">IF($C133="","",INDEX(SchedZone,$C133,MAP!$B$12))</f>
        <v>JAX</v>
      </c>
      <c r="I133" s="2" t="str">
        <f t="array" ref="I133">IF($H133="","",IF(COUNTIF(Teams,$H133)&gt;0,$H133,IFERROR(INDEX(LISTS!$D$2:$D$12,MATCH($H133,LISTS!$C$2:$C$12,0)),"⚠ "&amp;$H133)))</f>
        <v>JAX</v>
      </c>
      <c r="J133" s="2" t="str">
        <f t="array" ref="J133">IF($C133="","",INDEX(SchedZone,$C133,MAP!$B$10))</f>
        <v>PHI</v>
      </c>
      <c r="K133" s="2" t="str">
        <f t="array" ref="K133">IF($J133="","",IF(COUNTIF(Teams,$J133)&gt;0,$J133,IFERROR(INDEX(LISTS!$D$2:$D$12,MATCH($J133,LISTS!$C$2:$C$12,0)),"⚠ "&amp;$J133)))</f>
        <v>PHI</v>
      </c>
      <c r="L133" s="2" t="str">
        <f t="array" ref="L133">IF($C133="","",IF(INDEX(SchedZone,$C133,MAP!$B$14)="Neutral","N",IF($B133="HOME","H","A")))</f>
        <v>H</v>
      </c>
      <c r="M133" s="2" t="str">
        <f t="array" ref="M133">IF($C133="","",IF(INDEX(SchedZone,$C133,MAP!$B$13)="","",INDEX(SchedZone,$C133,MAP!$B$13)))</f>
        <v/>
      </c>
      <c r="N133" s="2" t="str">
        <f t="array" ref="N133">IF($C133="","",IF(INDEX(SchedZone,$C133,MAP!$B$11)="","",INDEX(SchedZone,$C133,MAP!$B$11)))</f>
        <v/>
      </c>
      <c r="O133" s="2">
        <f t="array" ref="O133">IF($C133="","",INDEX(SchedZone,$C133,MAP!$B$16))</f>
        <v>7</v>
      </c>
      <c r="P133" s="2" t="str">
        <f>IF($C133="","",IFERROR(MATCH($E133&amp;"|"&amp;$G133&amp;"|"&amp;$I133,StatsKey,0),""))</f>
        <v/>
      </c>
      <c r="Q133" s="2">
        <f t="array" ref="Q133">IF($P133="",0,INDEX(StatsZone,$P133,MAP!$E$9)+INDEX(StatsZone,$P133,MAP!$E$10)+INDEX(StatsZone,$P133,MAP!$E$11))</f>
        <v>0</v>
      </c>
      <c r="R133" s="2">
        <f t="array" ref="R133">IF($P133="",0,INDEX(StatsZone,$P133,MAP!$E$12))</f>
        <v>0</v>
      </c>
      <c r="S133" s="2">
        <f t="array" ref="S133">IF($P133="",0,INDEX(StatsZone,$P133,MAP!$E$13))</f>
        <v>0</v>
      </c>
      <c r="T133" s="2">
        <f t="shared" si="1"/>
        <v>0</v>
      </c>
      <c r="U133" s="2">
        <f t="array" ref="U133">IF($P133="",0,INDEX(StatsZone,$P133,MAP!$E$14)+INDEX(StatsZone,$P133,MAP!$E$15)+INDEX(StatsZone,$P133,MAP!$E$16))</f>
        <v>0</v>
      </c>
      <c r="V133" s="2">
        <f t="shared" si="2"/>
        <v>0</v>
      </c>
      <c r="W133" s="2">
        <f t="shared" si="3"/>
        <v>0</v>
      </c>
      <c r="X133" s="2">
        <f t="shared" si="4"/>
        <v>0</v>
      </c>
      <c r="Y133" s="2">
        <f t="shared" si="5"/>
        <v>0</v>
      </c>
      <c r="Z133" s="2">
        <f t="shared" si="6"/>
        <v>0</v>
      </c>
      <c r="AA133" s="2">
        <f t="shared" si="7"/>
        <v>1</v>
      </c>
      <c r="AB133" s="2">
        <f>IF(OR($M133="",$N133=""),0,MEDIAN(-MarginCap,MarginCap,($M133-$N133)-$AA133*HFA_Base))</f>
        <v>0</v>
      </c>
      <c r="AC133" s="2">
        <f t="array" ref="AC133">IF(OR($P133="",INDEX($P$3:$P$722,(ROW()+IF(MOD(ROW()-3,2)=0,1,-1))-3+1)=""),0,MEDIAN(-MarginCap,MarginCap,($T133-$W133)-$AA133*HFA_Base))</f>
        <v>0</v>
      </c>
      <c r="AD133" s="2">
        <f t="shared" si="8"/>
        <v>0</v>
      </c>
      <c r="AE133" s="2">
        <f>IF(OR($M133="",$N133=""),0,IF(AND(WEpa&gt;0,$AD133=1),(1-WEpa)*$AB133+WEpa*$AC133,$AB133))</f>
        <v>0</v>
      </c>
      <c r="AF133" s="2">
        <f>IF(AND($C133&lt;&gt;"",$E133=CurrentSeason,$F133="REG",ISNUMBER($G133),$G133&lt;CurrentWeek,AND($M133&lt;&gt;"",$N133&lt;&gt;"")),1,0)</f>
        <v>0</v>
      </c>
      <c r="AG133" s="2">
        <f>IF($AF133=0,0,IF($G133&gt;=CurrentWeek-RecencyWin,RecencyMult,1))</f>
        <v>0</v>
      </c>
      <c r="AH133" s="2">
        <f>IF(AND($C133&lt;&gt;"",$E133=CurrentSeason,$F133="REG",ISNUMBER($G133),$G133&lt;CurrentWeek-1,AND($M133&lt;&gt;"",$N133&lt;&gt;"")),1,0)</f>
        <v>0</v>
      </c>
      <c r="AI133" s="2">
        <f>IF($AH133=0,0,IF($G133&gt;=CurrentWeek-1-RecencyWin,RecencyMult,1))</f>
        <v>0</v>
      </c>
      <c r="AJ133" s="2">
        <f>IF($AF133=0,0,IF($G133&gt;=CurrentWeek-RecencyWin,TotRecency,1))</f>
        <v>0</v>
      </c>
      <c r="AK133" s="2">
        <f t="shared" si="9"/>
        <v>0</v>
      </c>
      <c r="AL133" s="2">
        <f t="shared" si="10"/>
        <v>0</v>
      </c>
      <c r="AM133" s="2" t="str">
        <f t="array" ref="AM133">IF($K133="",0,IFERROR(INDEX(CALC!$F$2:$F$33,MATCH($K133,CALC!$A$2:$A$33,0)),0))</f>
        <v/>
      </c>
      <c r="AN133" s="2" t="str">
        <f t="array" ref="AN133">IF($K133="",0,IFERROR(INDEX(CALC!$I$2:$I$33,MATCH($K133,CALC!$A$2:$A$33,0)),0))</f>
        <v/>
      </c>
      <c r="AO133" s="2" t="str">
        <f t="array" ref="AO133">IF($K133="",0,IFERROR(INDEX(CALC!$L$2:$L$33,MATCH($K133,CALC!$A$2:$A$33,0)),0))</f>
        <v/>
      </c>
      <c r="AP133" s="2" t="str">
        <f t="array" ref="AP133">IF($K133="",0,IFERROR(INDEX(CALC!$T$2:$T$33,MATCH($K133,CALC!$A$2:$A$33,0)),0))</f>
        <v/>
      </c>
      <c r="AQ133" s="2" t="str">
        <f t="array" ref="AQ133">IF($K133="",0,IFERROR(INDEX(CALC!$W$2:$W$33,MATCH($K133,CALC!$A$2:$A$33,0)),0))</f>
        <v/>
      </c>
      <c r="AR133" s="2" t="str">
        <f t="array" ref="AR133">IF($K133="",0,IFERROR(INDEX(CALC!$Z$2:$Z$33,MATCH($K133,CALC!$A$2:$A$33,0)),0))</f>
        <v/>
      </c>
      <c r="AS133" s="2" t="str">
        <f t="array" ref="AS133">IF($K133="",0,IFERROR(INDEX(CALC!$AJ$2:$AJ$33,MATCH($K133,CALC!$A$2:$A$33,0)),0))</f>
        <v/>
      </c>
      <c r="AT133" s="2" t="str">
        <f t="array" ref="AT133">IF($K133="",0,IFERROR(INDEX(CALC!$AI$2:$AI$33,MATCH($K133,CALC!$A$2:$A$33,0)),0))</f>
        <v/>
      </c>
      <c r="AU133" s="2">
        <f t="shared" si="11"/>
        <v>0</v>
      </c>
      <c r="AV133" s="2">
        <f t="shared" si="12"/>
        <v>0</v>
      </c>
    </row>
    <row r="134" ht="15.0" customHeight="1">
      <c r="A134" s="2">
        <v>66.0</v>
      </c>
      <c r="B134" s="2" t="s">
        <v>2366</v>
      </c>
      <c r="C134" s="2">
        <f>IFERROR(MATCH($A134,SchedSeq,0),"")</f>
        <v>351</v>
      </c>
      <c r="D134" s="2" t="str">
        <f t="array" ref="D134">IF($C134="","",INDEX(SchedZone,$C134,MAP!$B$6))</f>
        <v>2026_05_PHI_JAX</v>
      </c>
      <c r="E134" s="2">
        <f t="array" ref="E134">IF($C134="","",INDEX(SchedZone,$C134,MAP!$B$3))</f>
        <v>2026</v>
      </c>
      <c r="F134" s="2" t="str">
        <f t="array" ref="F134">IF($C134="","",INDEX(SchedZone,$C134,MAP!$B$5))</f>
        <v>REG</v>
      </c>
      <c r="G134" s="2">
        <f t="array" ref="G134">IF($C134="","",INDEX(SchedZone,$C134,MAP!$B$4))</f>
        <v>5</v>
      </c>
      <c r="H134" s="2" t="str">
        <f t="array" ref="H134">IF($C134="","",INDEX(SchedZone,$C134,MAP!$B$10))</f>
        <v>PHI</v>
      </c>
      <c r="I134" s="2" t="str">
        <f t="array" ref="I134">IF($H134="","",IF(COUNTIF(Teams,$H134)&gt;0,$H134,IFERROR(INDEX(LISTS!$D$2:$D$12,MATCH($H134,LISTS!$C$2:$C$12,0)),"⚠ "&amp;$H134)))</f>
        <v>PHI</v>
      </c>
      <c r="J134" s="2" t="str">
        <f t="array" ref="J134">IF($C134="","",INDEX(SchedZone,$C134,MAP!$B$12))</f>
        <v>JAX</v>
      </c>
      <c r="K134" s="2" t="str">
        <f t="array" ref="K134">IF($J134="","",IF(COUNTIF(Teams,$J134)&gt;0,$J134,IFERROR(INDEX(LISTS!$D$2:$D$12,MATCH($J134,LISTS!$C$2:$C$12,0)),"⚠ "&amp;$J134)))</f>
        <v>JAX</v>
      </c>
      <c r="L134" s="2" t="str">
        <f t="array" ref="L134">IF($C134="","",IF(INDEX(SchedZone,$C134,MAP!$B$14)="Neutral","N",IF($B134="HOME","H","A")))</f>
        <v>A</v>
      </c>
      <c r="M134" s="2" t="str">
        <f t="array" ref="M134">IF($C134="","",IF(INDEX(SchedZone,$C134,MAP!$B$11)="","",INDEX(SchedZone,$C134,MAP!$B$11)))</f>
        <v/>
      </c>
      <c r="N134" s="2" t="str">
        <f t="array" ref="N134">IF($C134="","",IF(INDEX(SchedZone,$C134,MAP!$B$13)="","",INDEX(SchedZone,$C134,MAP!$B$13)))</f>
        <v/>
      </c>
      <c r="O134" s="2">
        <f t="array" ref="O134">IF($C134="","",INDEX(SchedZone,$C134,MAP!$B$15))</f>
        <v>7</v>
      </c>
      <c r="P134" s="2" t="str">
        <f>IF($C134="","",IFERROR(MATCH($E134&amp;"|"&amp;$G134&amp;"|"&amp;$I134,StatsKey,0),""))</f>
        <v/>
      </c>
      <c r="Q134" s="2">
        <f t="array" ref="Q134">IF($P134="",0,INDEX(StatsZone,$P134,MAP!$E$9)+INDEX(StatsZone,$P134,MAP!$E$10)+INDEX(StatsZone,$P134,MAP!$E$11))</f>
        <v>0</v>
      </c>
      <c r="R134" s="2">
        <f t="array" ref="R134">IF($P134="",0,INDEX(StatsZone,$P134,MAP!$E$12))</f>
        <v>0</v>
      </c>
      <c r="S134" s="2">
        <f t="array" ref="S134">IF($P134="",0,INDEX(StatsZone,$P134,MAP!$E$13))</f>
        <v>0</v>
      </c>
      <c r="T134" s="2">
        <f t="shared" si="1"/>
        <v>0</v>
      </c>
      <c r="U134" s="2">
        <f t="array" ref="U134">IF($P134="",0,INDEX(StatsZone,$P134,MAP!$E$14)+INDEX(StatsZone,$P134,MAP!$E$15)+INDEX(StatsZone,$P134,MAP!$E$16))</f>
        <v>0</v>
      </c>
      <c r="V134" s="2">
        <f t="shared" si="2"/>
        <v>0</v>
      </c>
      <c r="W134" s="2">
        <f t="shared" si="3"/>
        <v>0</v>
      </c>
      <c r="X134" s="2">
        <f t="shared" si="4"/>
        <v>0</v>
      </c>
      <c r="Y134" s="2">
        <f t="shared" si="5"/>
        <v>0</v>
      </c>
      <c r="Z134" s="2">
        <f t="shared" si="6"/>
        <v>0</v>
      </c>
      <c r="AA134" s="2">
        <f t="shared" si="7"/>
        <v>-1</v>
      </c>
      <c r="AB134" s="2">
        <f>IF(OR($M134="",$N134=""),0,MEDIAN(-MarginCap,MarginCap,($M134-$N134)-$AA134*HFA_Base))</f>
        <v>0</v>
      </c>
      <c r="AC134" s="2">
        <f t="array" ref="AC134">IF(OR($P134="",INDEX($P$3:$P$722,(ROW()+IF(MOD(ROW()-3,2)=0,1,-1))-3+1)=""),0,MEDIAN(-MarginCap,MarginCap,($T134-$W134)-$AA134*HFA_Base))</f>
        <v>0</v>
      </c>
      <c r="AD134" s="2">
        <f t="shared" si="8"/>
        <v>0</v>
      </c>
      <c r="AE134" s="2">
        <f>IF(OR($M134="",$N134=""),0,IF(AND(WEpa&gt;0,$AD134=1),(1-WEpa)*$AB134+WEpa*$AC134,$AB134))</f>
        <v>0</v>
      </c>
      <c r="AF134" s="2">
        <f>IF(AND($C134&lt;&gt;"",$E134=CurrentSeason,$F134="REG",ISNUMBER($G134),$G134&lt;CurrentWeek,AND($M134&lt;&gt;"",$N134&lt;&gt;"")),1,0)</f>
        <v>0</v>
      </c>
      <c r="AG134" s="2">
        <f>IF($AF134=0,0,IF($G134&gt;=CurrentWeek-RecencyWin,RecencyMult,1))</f>
        <v>0</v>
      </c>
      <c r="AH134" s="2">
        <f>IF(AND($C134&lt;&gt;"",$E134=CurrentSeason,$F134="REG",ISNUMBER($G134),$G134&lt;CurrentWeek-1,AND($M134&lt;&gt;"",$N134&lt;&gt;"")),1,0)</f>
        <v>0</v>
      </c>
      <c r="AI134" s="2">
        <f>IF($AH134=0,0,IF($G134&gt;=CurrentWeek-1-RecencyWin,RecencyMult,1))</f>
        <v>0</v>
      </c>
      <c r="AJ134" s="2">
        <f>IF($AF134=0,0,IF($G134&gt;=CurrentWeek-RecencyWin,TotRecency,1))</f>
        <v>0</v>
      </c>
      <c r="AK134" s="2">
        <f t="shared" si="9"/>
        <v>0</v>
      </c>
      <c r="AL134" s="2">
        <f t="shared" si="10"/>
        <v>0</v>
      </c>
      <c r="AM134" s="2" t="str">
        <f t="array" ref="AM134">IF($K134="",0,IFERROR(INDEX(CALC!$F$2:$F$33,MATCH($K134,CALC!$A$2:$A$33,0)),0))</f>
        <v/>
      </c>
      <c r="AN134" s="2" t="str">
        <f t="array" ref="AN134">IF($K134="",0,IFERROR(INDEX(CALC!$I$2:$I$33,MATCH($K134,CALC!$A$2:$A$33,0)),0))</f>
        <v/>
      </c>
      <c r="AO134" s="2" t="str">
        <f t="array" ref="AO134">IF($K134="",0,IFERROR(INDEX(CALC!$L$2:$L$33,MATCH($K134,CALC!$A$2:$A$33,0)),0))</f>
        <v/>
      </c>
      <c r="AP134" s="2" t="str">
        <f t="array" ref="AP134">IF($K134="",0,IFERROR(INDEX(CALC!$T$2:$T$33,MATCH($K134,CALC!$A$2:$A$33,0)),0))</f>
        <v/>
      </c>
      <c r="AQ134" s="2" t="str">
        <f t="array" ref="AQ134">IF($K134="",0,IFERROR(INDEX(CALC!$W$2:$W$33,MATCH($K134,CALC!$A$2:$A$33,0)),0))</f>
        <v/>
      </c>
      <c r="AR134" s="2" t="str">
        <f t="array" ref="AR134">IF($K134="",0,IFERROR(INDEX(CALC!$Z$2:$Z$33,MATCH($K134,CALC!$A$2:$A$33,0)),0))</f>
        <v/>
      </c>
      <c r="AS134" s="2" t="str">
        <f t="array" ref="AS134">IF($K134="",0,IFERROR(INDEX(CALC!$AJ$2:$AJ$33,MATCH($K134,CALC!$A$2:$A$33,0)),0))</f>
        <v/>
      </c>
      <c r="AT134" s="2" t="str">
        <f t="array" ref="AT134">IF($K134="",0,IFERROR(INDEX(CALC!$AI$2:$AI$33,MATCH($K134,CALC!$A$2:$A$33,0)),0))</f>
        <v/>
      </c>
      <c r="AU134" s="2">
        <f t="shared" si="11"/>
        <v>0</v>
      </c>
      <c r="AV134" s="2">
        <f t="shared" si="12"/>
        <v>0</v>
      </c>
    </row>
    <row r="135" ht="15.0" customHeight="1">
      <c r="A135" s="2">
        <v>67.0</v>
      </c>
      <c r="B135" s="2" t="s">
        <v>2365</v>
      </c>
      <c r="C135" s="2">
        <f>IFERROR(MATCH($A135,SchedSeq,0),"")</f>
        <v>352</v>
      </c>
      <c r="D135" s="2" t="str">
        <f t="array" ref="D135">IF($C135="","",INDEX(SchedZone,$C135,MAP!$B$6))</f>
        <v>2026_05_CIN_MIA</v>
      </c>
      <c r="E135" s="2">
        <f t="array" ref="E135">IF($C135="","",INDEX(SchedZone,$C135,MAP!$B$3))</f>
        <v>2026</v>
      </c>
      <c r="F135" s="2" t="str">
        <f t="array" ref="F135">IF($C135="","",INDEX(SchedZone,$C135,MAP!$B$5))</f>
        <v>REG</v>
      </c>
      <c r="G135" s="2">
        <f t="array" ref="G135">IF($C135="","",INDEX(SchedZone,$C135,MAP!$B$4))</f>
        <v>5</v>
      </c>
      <c r="H135" s="2" t="str">
        <f t="array" ref="H135">IF($C135="","",INDEX(SchedZone,$C135,MAP!$B$12))</f>
        <v>MIA</v>
      </c>
      <c r="I135" s="2" t="str">
        <f t="array" ref="I135">IF($H135="","",IF(COUNTIF(Teams,$H135)&gt;0,$H135,IFERROR(INDEX(LISTS!$D$2:$D$12,MATCH($H135,LISTS!$C$2:$C$12,0)),"⚠ "&amp;$H135)))</f>
        <v>MIA</v>
      </c>
      <c r="J135" s="2" t="str">
        <f t="array" ref="J135">IF($C135="","",INDEX(SchedZone,$C135,MAP!$B$10))</f>
        <v>CIN</v>
      </c>
      <c r="K135" s="2" t="str">
        <f t="array" ref="K135">IF($J135="","",IF(COUNTIF(Teams,$J135)&gt;0,$J135,IFERROR(INDEX(LISTS!$D$2:$D$12,MATCH($J135,LISTS!$C$2:$C$12,0)),"⚠ "&amp;$J135)))</f>
        <v>CIN</v>
      </c>
      <c r="L135" s="2" t="str">
        <f t="array" ref="L135">IF($C135="","",IF(INDEX(SchedZone,$C135,MAP!$B$14)="Neutral","N",IF($B135="HOME","H","A")))</f>
        <v>H</v>
      </c>
      <c r="M135" s="2" t="str">
        <f t="array" ref="M135">IF($C135="","",IF(INDEX(SchedZone,$C135,MAP!$B$13)="","",INDEX(SchedZone,$C135,MAP!$B$13)))</f>
        <v/>
      </c>
      <c r="N135" s="2" t="str">
        <f t="array" ref="N135">IF($C135="","",IF(INDEX(SchedZone,$C135,MAP!$B$11)="","",INDEX(SchedZone,$C135,MAP!$B$11)))</f>
        <v/>
      </c>
      <c r="O135" s="2">
        <f t="array" ref="O135">IF($C135="","",INDEX(SchedZone,$C135,MAP!$B$16))</f>
        <v>7</v>
      </c>
      <c r="P135" s="2" t="str">
        <f>IF($C135="","",IFERROR(MATCH($E135&amp;"|"&amp;$G135&amp;"|"&amp;$I135,StatsKey,0),""))</f>
        <v/>
      </c>
      <c r="Q135" s="2">
        <f t="array" ref="Q135">IF($P135="",0,INDEX(StatsZone,$P135,MAP!$E$9)+INDEX(StatsZone,$P135,MAP!$E$10)+INDEX(StatsZone,$P135,MAP!$E$11))</f>
        <v>0</v>
      </c>
      <c r="R135" s="2">
        <f t="array" ref="R135">IF($P135="",0,INDEX(StatsZone,$P135,MAP!$E$12))</f>
        <v>0</v>
      </c>
      <c r="S135" s="2">
        <f t="array" ref="S135">IF($P135="",0,INDEX(StatsZone,$P135,MAP!$E$13))</f>
        <v>0</v>
      </c>
      <c r="T135" s="2">
        <f t="shared" si="1"/>
        <v>0</v>
      </c>
      <c r="U135" s="2">
        <f t="array" ref="U135">IF($P135="",0,INDEX(StatsZone,$P135,MAP!$E$14)+INDEX(StatsZone,$P135,MAP!$E$15)+INDEX(StatsZone,$P135,MAP!$E$16))</f>
        <v>0</v>
      </c>
      <c r="V135" s="2">
        <f t="shared" si="2"/>
        <v>0</v>
      </c>
      <c r="W135" s="2">
        <f t="shared" si="3"/>
        <v>0</v>
      </c>
      <c r="X135" s="2">
        <f t="shared" si="4"/>
        <v>0</v>
      </c>
      <c r="Y135" s="2">
        <f t="shared" si="5"/>
        <v>0</v>
      </c>
      <c r="Z135" s="2">
        <f t="shared" si="6"/>
        <v>0</v>
      </c>
      <c r="AA135" s="2">
        <f t="shared" si="7"/>
        <v>1</v>
      </c>
      <c r="AB135" s="2">
        <f>IF(OR($M135="",$N135=""),0,MEDIAN(-MarginCap,MarginCap,($M135-$N135)-$AA135*HFA_Base))</f>
        <v>0</v>
      </c>
      <c r="AC135" s="2">
        <f t="array" ref="AC135">IF(OR($P135="",INDEX($P$3:$P$722,(ROW()+IF(MOD(ROW()-3,2)=0,1,-1))-3+1)=""),0,MEDIAN(-MarginCap,MarginCap,($T135-$W135)-$AA135*HFA_Base))</f>
        <v>0</v>
      </c>
      <c r="AD135" s="2">
        <f t="shared" si="8"/>
        <v>0</v>
      </c>
      <c r="AE135" s="2">
        <f>IF(OR($M135="",$N135=""),0,IF(AND(WEpa&gt;0,$AD135=1),(1-WEpa)*$AB135+WEpa*$AC135,$AB135))</f>
        <v>0</v>
      </c>
      <c r="AF135" s="2">
        <f>IF(AND($C135&lt;&gt;"",$E135=CurrentSeason,$F135="REG",ISNUMBER($G135),$G135&lt;CurrentWeek,AND($M135&lt;&gt;"",$N135&lt;&gt;"")),1,0)</f>
        <v>0</v>
      </c>
      <c r="AG135" s="2">
        <f>IF($AF135=0,0,IF($G135&gt;=CurrentWeek-RecencyWin,RecencyMult,1))</f>
        <v>0</v>
      </c>
      <c r="AH135" s="2">
        <f>IF(AND($C135&lt;&gt;"",$E135=CurrentSeason,$F135="REG",ISNUMBER($G135),$G135&lt;CurrentWeek-1,AND($M135&lt;&gt;"",$N135&lt;&gt;"")),1,0)</f>
        <v>0</v>
      </c>
      <c r="AI135" s="2">
        <f>IF($AH135=0,0,IF($G135&gt;=CurrentWeek-1-RecencyWin,RecencyMult,1))</f>
        <v>0</v>
      </c>
      <c r="AJ135" s="2">
        <f>IF($AF135=0,0,IF($G135&gt;=CurrentWeek-RecencyWin,TotRecency,1))</f>
        <v>0</v>
      </c>
      <c r="AK135" s="2">
        <f t="shared" si="9"/>
        <v>0</v>
      </c>
      <c r="AL135" s="2">
        <f t="shared" si="10"/>
        <v>0</v>
      </c>
      <c r="AM135" s="2" t="str">
        <f t="array" ref="AM135">IF($K135="",0,IFERROR(INDEX(CALC!$F$2:$F$33,MATCH($K135,CALC!$A$2:$A$33,0)),0))</f>
        <v/>
      </c>
      <c r="AN135" s="2" t="str">
        <f t="array" ref="AN135">IF($K135="",0,IFERROR(INDEX(CALC!$I$2:$I$33,MATCH($K135,CALC!$A$2:$A$33,0)),0))</f>
        <v/>
      </c>
      <c r="AO135" s="2" t="str">
        <f t="array" ref="AO135">IF($K135="",0,IFERROR(INDEX(CALC!$L$2:$L$33,MATCH($K135,CALC!$A$2:$A$33,0)),0))</f>
        <v/>
      </c>
      <c r="AP135" s="2" t="str">
        <f t="array" ref="AP135">IF($K135="",0,IFERROR(INDEX(CALC!$T$2:$T$33,MATCH($K135,CALC!$A$2:$A$33,0)),0))</f>
        <v/>
      </c>
      <c r="AQ135" s="2" t="str">
        <f t="array" ref="AQ135">IF($K135="",0,IFERROR(INDEX(CALC!$W$2:$W$33,MATCH($K135,CALC!$A$2:$A$33,0)),0))</f>
        <v/>
      </c>
      <c r="AR135" s="2" t="str">
        <f t="array" ref="AR135">IF($K135="",0,IFERROR(INDEX(CALC!$Z$2:$Z$33,MATCH($K135,CALC!$A$2:$A$33,0)),0))</f>
        <v/>
      </c>
      <c r="AS135" s="2" t="str">
        <f t="array" ref="AS135">IF($K135="",0,IFERROR(INDEX(CALC!$AJ$2:$AJ$33,MATCH($K135,CALC!$A$2:$A$33,0)),0))</f>
        <v/>
      </c>
      <c r="AT135" s="2" t="str">
        <f t="array" ref="AT135">IF($K135="",0,IFERROR(INDEX(CALC!$AI$2:$AI$33,MATCH($K135,CALC!$A$2:$A$33,0)),0))</f>
        <v/>
      </c>
      <c r="AU135" s="2">
        <f t="shared" si="11"/>
        <v>0</v>
      </c>
      <c r="AV135" s="2">
        <f t="shared" si="12"/>
        <v>0</v>
      </c>
    </row>
    <row r="136" ht="15.0" customHeight="1">
      <c r="A136" s="2">
        <v>67.0</v>
      </c>
      <c r="B136" s="2" t="s">
        <v>2366</v>
      </c>
      <c r="C136" s="2">
        <f>IFERROR(MATCH($A136,SchedSeq,0),"")</f>
        <v>352</v>
      </c>
      <c r="D136" s="2" t="str">
        <f t="array" ref="D136">IF($C136="","",INDEX(SchedZone,$C136,MAP!$B$6))</f>
        <v>2026_05_CIN_MIA</v>
      </c>
      <c r="E136" s="2">
        <f t="array" ref="E136">IF($C136="","",INDEX(SchedZone,$C136,MAP!$B$3))</f>
        <v>2026</v>
      </c>
      <c r="F136" s="2" t="str">
        <f t="array" ref="F136">IF($C136="","",INDEX(SchedZone,$C136,MAP!$B$5))</f>
        <v>REG</v>
      </c>
      <c r="G136" s="2">
        <f t="array" ref="G136">IF($C136="","",INDEX(SchedZone,$C136,MAP!$B$4))</f>
        <v>5</v>
      </c>
      <c r="H136" s="2" t="str">
        <f t="array" ref="H136">IF($C136="","",INDEX(SchedZone,$C136,MAP!$B$10))</f>
        <v>CIN</v>
      </c>
      <c r="I136" s="2" t="str">
        <f t="array" ref="I136">IF($H136="","",IF(COUNTIF(Teams,$H136)&gt;0,$H136,IFERROR(INDEX(LISTS!$D$2:$D$12,MATCH($H136,LISTS!$C$2:$C$12,0)),"⚠ "&amp;$H136)))</f>
        <v>CIN</v>
      </c>
      <c r="J136" s="2" t="str">
        <f t="array" ref="J136">IF($C136="","",INDEX(SchedZone,$C136,MAP!$B$12))</f>
        <v>MIA</v>
      </c>
      <c r="K136" s="2" t="str">
        <f t="array" ref="K136">IF($J136="","",IF(COUNTIF(Teams,$J136)&gt;0,$J136,IFERROR(INDEX(LISTS!$D$2:$D$12,MATCH($J136,LISTS!$C$2:$C$12,0)),"⚠ "&amp;$J136)))</f>
        <v>MIA</v>
      </c>
      <c r="L136" s="2" t="str">
        <f t="array" ref="L136">IF($C136="","",IF(INDEX(SchedZone,$C136,MAP!$B$14)="Neutral","N",IF($B136="HOME","H","A")))</f>
        <v>A</v>
      </c>
      <c r="M136" s="2" t="str">
        <f t="array" ref="M136">IF($C136="","",IF(INDEX(SchedZone,$C136,MAP!$B$11)="","",INDEX(SchedZone,$C136,MAP!$B$11)))</f>
        <v/>
      </c>
      <c r="N136" s="2" t="str">
        <f t="array" ref="N136">IF($C136="","",IF(INDEX(SchedZone,$C136,MAP!$B$13)="","",INDEX(SchedZone,$C136,MAP!$B$13)))</f>
        <v/>
      </c>
      <c r="O136" s="2">
        <f t="array" ref="O136">IF($C136="","",INDEX(SchedZone,$C136,MAP!$B$15))</f>
        <v>7</v>
      </c>
      <c r="P136" s="2" t="str">
        <f>IF($C136="","",IFERROR(MATCH($E136&amp;"|"&amp;$G136&amp;"|"&amp;$I136,StatsKey,0),""))</f>
        <v/>
      </c>
      <c r="Q136" s="2">
        <f t="array" ref="Q136">IF($P136="",0,INDEX(StatsZone,$P136,MAP!$E$9)+INDEX(StatsZone,$P136,MAP!$E$10)+INDEX(StatsZone,$P136,MAP!$E$11))</f>
        <v>0</v>
      </c>
      <c r="R136" s="2">
        <f t="array" ref="R136">IF($P136="",0,INDEX(StatsZone,$P136,MAP!$E$12))</f>
        <v>0</v>
      </c>
      <c r="S136" s="2">
        <f t="array" ref="S136">IF($P136="",0,INDEX(StatsZone,$P136,MAP!$E$13))</f>
        <v>0</v>
      </c>
      <c r="T136" s="2">
        <f t="shared" si="1"/>
        <v>0</v>
      </c>
      <c r="U136" s="2">
        <f t="array" ref="U136">IF($P136="",0,INDEX(StatsZone,$P136,MAP!$E$14)+INDEX(StatsZone,$P136,MAP!$E$15)+INDEX(StatsZone,$P136,MAP!$E$16))</f>
        <v>0</v>
      </c>
      <c r="V136" s="2">
        <f t="shared" si="2"/>
        <v>0</v>
      </c>
      <c r="W136" s="2">
        <f t="shared" si="3"/>
        <v>0</v>
      </c>
      <c r="X136" s="2">
        <f t="shared" si="4"/>
        <v>0</v>
      </c>
      <c r="Y136" s="2">
        <f t="shared" si="5"/>
        <v>0</v>
      </c>
      <c r="Z136" s="2">
        <f t="shared" si="6"/>
        <v>0</v>
      </c>
      <c r="AA136" s="2">
        <f t="shared" si="7"/>
        <v>-1</v>
      </c>
      <c r="AB136" s="2">
        <f>IF(OR($M136="",$N136=""),0,MEDIAN(-MarginCap,MarginCap,($M136-$N136)-$AA136*HFA_Base))</f>
        <v>0</v>
      </c>
      <c r="AC136" s="2">
        <f t="array" ref="AC136">IF(OR($P136="",INDEX($P$3:$P$722,(ROW()+IF(MOD(ROW()-3,2)=0,1,-1))-3+1)=""),0,MEDIAN(-MarginCap,MarginCap,($T136-$W136)-$AA136*HFA_Base))</f>
        <v>0</v>
      </c>
      <c r="AD136" s="2">
        <f t="shared" si="8"/>
        <v>0</v>
      </c>
      <c r="AE136" s="2">
        <f>IF(OR($M136="",$N136=""),0,IF(AND(WEpa&gt;0,$AD136=1),(1-WEpa)*$AB136+WEpa*$AC136,$AB136))</f>
        <v>0</v>
      </c>
      <c r="AF136" s="2">
        <f>IF(AND($C136&lt;&gt;"",$E136=CurrentSeason,$F136="REG",ISNUMBER($G136),$G136&lt;CurrentWeek,AND($M136&lt;&gt;"",$N136&lt;&gt;"")),1,0)</f>
        <v>0</v>
      </c>
      <c r="AG136" s="2">
        <f>IF($AF136=0,0,IF($G136&gt;=CurrentWeek-RecencyWin,RecencyMult,1))</f>
        <v>0</v>
      </c>
      <c r="AH136" s="2">
        <f>IF(AND($C136&lt;&gt;"",$E136=CurrentSeason,$F136="REG",ISNUMBER($G136),$G136&lt;CurrentWeek-1,AND($M136&lt;&gt;"",$N136&lt;&gt;"")),1,0)</f>
        <v>0</v>
      </c>
      <c r="AI136" s="2">
        <f>IF($AH136=0,0,IF($G136&gt;=CurrentWeek-1-RecencyWin,RecencyMult,1))</f>
        <v>0</v>
      </c>
      <c r="AJ136" s="2">
        <f>IF($AF136=0,0,IF($G136&gt;=CurrentWeek-RecencyWin,TotRecency,1))</f>
        <v>0</v>
      </c>
      <c r="AK136" s="2">
        <f t="shared" si="9"/>
        <v>0</v>
      </c>
      <c r="AL136" s="2">
        <f t="shared" si="10"/>
        <v>0</v>
      </c>
      <c r="AM136" s="2" t="str">
        <f t="array" ref="AM136">IF($K136="",0,IFERROR(INDEX(CALC!$F$2:$F$33,MATCH($K136,CALC!$A$2:$A$33,0)),0))</f>
        <v/>
      </c>
      <c r="AN136" s="2" t="str">
        <f t="array" ref="AN136">IF($K136="",0,IFERROR(INDEX(CALC!$I$2:$I$33,MATCH($K136,CALC!$A$2:$A$33,0)),0))</f>
        <v/>
      </c>
      <c r="AO136" s="2" t="str">
        <f t="array" ref="AO136">IF($K136="",0,IFERROR(INDEX(CALC!$L$2:$L$33,MATCH($K136,CALC!$A$2:$A$33,0)),0))</f>
        <v/>
      </c>
      <c r="AP136" s="2" t="str">
        <f t="array" ref="AP136">IF($K136="",0,IFERROR(INDEX(CALC!$T$2:$T$33,MATCH($K136,CALC!$A$2:$A$33,0)),0))</f>
        <v/>
      </c>
      <c r="AQ136" s="2" t="str">
        <f t="array" ref="AQ136">IF($K136="",0,IFERROR(INDEX(CALC!$W$2:$W$33,MATCH($K136,CALC!$A$2:$A$33,0)),0))</f>
        <v/>
      </c>
      <c r="AR136" s="2" t="str">
        <f t="array" ref="AR136">IF($K136="",0,IFERROR(INDEX(CALC!$Z$2:$Z$33,MATCH($K136,CALC!$A$2:$A$33,0)),0))</f>
        <v/>
      </c>
      <c r="AS136" s="2" t="str">
        <f t="array" ref="AS136">IF($K136="",0,IFERROR(INDEX(CALC!$AJ$2:$AJ$33,MATCH($K136,CALC!$A$2:$A$33,0)),0))</f>
        <v/>
      </c>
      <c r="AT136" s="2" t="str">
        <f t="array" ref="AT136">IF($K136="",0,IFERROR(INDEX(CALC!$AI$2:$AI$33,MATCH($K136,CALC!$A$2:$A$33,0)),0))</f>
        <v/>
      </c>
      <c r="AU136" s="2">
        <f t="shared" si="11"/>
        <v>0</v>
      </c>
      <c r="AV136" s="2">
        <f t="shared" si="12"/>
        <v>0</v>
      </c>
    </row>
    <row r="137" ht="15.0" customHeight="1">
      <c r="A137" s="2">
        <v>68.0</v>
      </c>
      <c r="B137" s="2" t="s">
        <v>2365</v>
      </c>
      <c r="C137" s="2">
        <f>IFERROR(MATCH($A137,SchedSeq,0),"")</f>
        <v>353</v>
      </c>
      <c r="D137" s="2" t="str">
        <f t="array" ref="D137">IF($C137="","",INDEX(SchedZone,$C137,MAP!$B$6))</f>
        <v>2026_05_LV_NE</v>
      </c>
      <c r="E137" s="2">
        <f t="array" ref="E137">IF($C137="","",INDEX(SchedZone,$C137,MAP!$B$3))</f>
        <v>2026</v>
      </c>
      <c r="F137" s="2" t="str">
        <f t="array" ref="F137">IF($C137="","",INDEX(SchedZone,$C137,MAP!$B$5))</f>
        <v>REG</v>
      </c>
      <c r="G137" s="2">
        <f t="array" ref="G137">IF($C137="","",INDEX(SchedZone,$C137,MAP!$B$4))</f>
        <v>5</v>
      </c>
      <c r="H137" s="2" t="str">
        <f t="array" ref="H137">IF($C137="","",INDEX(SchedZone,$C137,MAP!$B$12))</f>
        <v>NE</v>
      </c>
      <c r="I137" s="2" t="str">
        <f t="array" ref="I137">IF($H137="","",IF(COUNTIF(Teams,$H137)&gt;0,$H137,IFERROR(INDEX(LISTS!$D$2:$D$12,MATCH($H137,LISTS!$C$2:$C$12,0)),"⚠ "&amp;$H137)))</f>
        <v>NE</v>
      </c>
      <c r="J137" s="2" t="str">
        <f t="array" ref="J137">IF($C137="","",INDEX(SchedZone,$C137,MAP!$B$10))</f>
        <v>LV</v>
      </c>
      <c r="K137" s="2" t="str">
        <f t="array" ref="K137">IF($J137="","",IF(COUNTIF(Teams,$J137)&gt;0,$J137,IFERROR(INDEX(LISTS!$D$2:$D$12,MATCH($J137,LISTS!$C$2:$C$12,0)),"⚠ "&amp;$J137)))</f>
        <v>LV</v>
      </c>
      <c r="L137" s="2" t="str">
        <f t="array" ref="L137">IF($C137="","",IF(INDEX(SchedZone,$C137,MAP!$B$14)="Neutral","N",IF($B137="HOME","H","A")))</f>
        <v>H</v>
      </c>
      <c r="M137" s="2" t="str">
        <f t="array" ref="M137">IF($C137="","",IF(INDEX(SchedZone,$C137,MAP!$B$13)="","",INDEX(SchedZone,$C137,MAP!$B$13)))</f>
        <v/>
      </c>
      <c r="N137" s="2" t="str">
        <f t="array" ref="N137">IF($C137="","",IF(INDEX(SchedZone,$C137,MAP!$B$11)="","",INDEX(SchedZone,$C137,MAP!$B$11)))</f>
        <v/>
      </c>
      <c r="O137" s="2">
        <f t="array" ref="O137">IF($C137="","",INDEX(SchedZone,$C137,MAP!$B$16))</f>
        <v>7</v>
      </c>
      <c r="P137" s="2" t="str">
        <f>IF($C137="","",IFERROR(MATCH($E137&amp;"|"&amp;$G137&amp;"|"&amp;$I137,StatsKey,0),""))</f>
        <v/>
      </c>
      <c r="Q137" s="2">
        <f t="array" ref="Q137">IF($P137="",0,INDEX(StatsZone,$P137,MAP!$E$9)+INDEX(StatsZone,$P137,MAP!$E$10)+INDEX(StatsZone,$P137,MAP!$E$11))</f>
        <v>0</v>
      </c>
      <c r="R137" s="2">
        <f t="array" ref="R137">IF($P137="",0,INDEX(StatsZone,$P137,MAP!$E$12))</f>
        <v>0</v>
      </c>
      <c r="S137" s="2">
        <f t="array" ref="S137">IF($P137="",0,INDEX(StatsZone,$P137,MAP!$E$13))</f>
        <v>0</v>
      </c>
      <c r="T137" s="2">
        <f t="shared" si="1"/>
        <v>0</v>
      </c>
      <c r="U137" s="2">
        <f t="array" ref="U137">IF($P137="",0,INDEX(StatsZone,$P137,MAP!$E$14)+INDEX(StatsZone,$P137,MAP!$E$15)+INDEX(StatsZone,$P137,MAP!$E$16))</f>
        <v>0</v>
      </c>
      <c r="V137" s="2">
        <f t="shared" si="2"/>
        <v>0</v>
      </c>
      <c r="W137" s="2">
        <f t="shared" si="3"/>
        <v>0</v>
      </c>
      <c r="X137" s="2">
        <f t="shared" si="4"/>
        <v>0</v>
      </c>
      <c r="Y137" s="2">
        <f t="shared" si="5"/>
        <v>0</v>
      </c>
      <c r="Z137" s="2">
        <f t="shared" si="6"/>
        <v>0</v>
      </c>
      <c r="AA137" s="2">
        <f t="shared" si="7"/>
        <v>1</v>
      </c>
      <c r="AB137" s="2">
        <f>IF(OR($M137="",$N137=""),0,MEDIAN(-MarginCap,MarginCap,($M137-$N137)-$AA137*HFA_Base))</f>
        <v>0</v>
      </c>
      <c r="AC137" s="2">
        <f t="array" ref="AC137">IF(OR($P137="",INDEX($P$3:$P$722,(ROW()+IF(MOD(ROW()-3,2)=0,1,-1))-3+1)=""),0,MEDIAN(-MarginCap,MarginCap,($T137-$W137)-$AA137*HFA_Base))</f>
        <v>0</v>
      </c>
      <c r="AD137" s="2">
        <f t="shared" si="8"/>
        <v>0</v>
      </c>
      <c r="AE137" s="2">
        <f>IF(OR($M137="",$N137=""),0,IF(AND(WEpa&gt;0,$AD137=1),(1-WEpa)*$AB137+WEpa*$AC137,$AB137))</f>
        <v>0</v>
      </c>
      <c r="AF137" s="2">
        <f>IF(AND($C137&lt;&gt;"",$E137=CurrentSeason,$F137="REG",ISNUMBER($G137),$G137&lt;CurrentWeek,AND($M137&lt;&gt;"",$N137&lt;&gt;"")),1,0)</f>
        <v>0</v>
      </c>
      <c r="AG137" s="2">
        <f>IF($AF137=0,0,IF($G137&gt;=CurrentWeek-RecencyWin,RecencyMult,1))</f>
        <v>0</v>
      </c>
      <c r="AH137" s="2">
        <f>IF(AND($C137&lt;&gt;"",$E137=CurrentSeason,$F137="REG",ISNUMBER($G137),$G137&lt;CurrentWeek-1,AND($M137&lt;&gt;"",$N137&lt;&gt;"")),1,0)</f>
        <v>0</v>
      </c>
      <c r="AI137" s="2">
        <f>IF($AH137=0,0,IF($G137&gt;=CurrentWeek-1-RecencyWin,RecencyMult,1))</f>
        <v>0</v>
      </c>
      <c r="AJ137" s="2">
        <f>IF($AF137=0,0,IF($G137&gt;=CurrentWeek-RecencyWin,TotRecency,1))</f>
        <v>0</v>
      </c>
      <c r="AK137" s="2">
        <f t="shared" si="9"/>
        <v>0</v>
      </c>
      <c r="AL137" s="2">
        <f t="shared" si="10"/>
        <v>0</v>
      </c>
      <c r="AM137" s="2" t="str">
        <f t="array" ref="AM137">IF($K137="",0,IFERROR(INDEX(CALC!$F$2:$F$33,MATCH($K137,CALC!$A$2:$A$33,0)),0))</f>
        <v/>
      </c>
      <c r="AN137" s="2" t="str">
        <f t="array" ref="AN137">IF($K137="",0,IFERROR(INDEX(CALC!$I$2:$I$33,MATCH($K137,CALC!$A$2:$A$33,0)),0))</f>
        <v/>
      </c>
      <c r="AO137" s="2" t="str">
        <f t="array" ref="AO137">IF($K137="",0,IFERROR(INDEX(CALC!$L$2:$L$33,MATCH($K137,CALC!$A$2:$A$33,0)),0))</f>
        <v/>
      </c>
      <c r="AP137" s="2" t="str">
        <f t="array" ref="AP137">IF($K137="",0,IFERROR(INDEX(CALC!$T$2:$T$33,MATCH($K137,CALC!$A$2:$A$33,0)),0))</f>
        <v/>
      </c>
      <c r="AQ137" s="2" t="str">
        <f t="array" ref="AQ137">IF($K137="",0,IFERROR(INDEX(CALC!$W$2:$W$33,MATCH($K137,CALC!$A$2:$A$33,0)),0))</f>
        <v/>
      </c>
      <c r="AR137" s="2" t="str">
        <f t="array" ref="AR137">IF($K137="",0,IFERROR(INDEX(CALC!$Z$2:$Z$33,MATCH($K137,CALC!$A$2:$A$33,0)),0))</f>
        <v/>
      </c>
      <c r="AS137" s="2" t="str">
        <f t="array" ref="AS137">IF($K137="",0,IFERROR(INDEX(CALC!$AJ$2:$AJ$33,MATCH($K137,CALC!$A$2:$A$33,0)),0))</f>
        <v/>
      </c>
      <c r="AT137" s="2" t="str">
        <f t="array" ref="AT137">IF($K137="",0,IFERROR(INDEX(CALC!$AI$2:$AI$33,MATCH($K137,CALC!$A$2:$A$33,0)),0))</f>
        <v/>
      </c>
      <c r="AU137" s="2">
        <f t="shared" si="11"/>
        <v>0</v>
      </c>
      <c r="AV137" s="2">
        <f t="shared" si="12"/>
        <v>0</v>
      </c>
    </row>
    <row r="138" ht="15.0" customHeight="1">
      <c r="A138" s="2">
        <v>68.0</v>
      </c>
      <c r="B138" s="2" t="s">
        <v>2366</v>
      </c>
      <c r="C138" s="2">
        <f>IFERROR(MATCH($A138,SchedSeq,0),"")</f>
        <v>353</v>
      </c>
      <c r="D138" s="2" t="str">
        <f t="array" ref="D138">IF($C138="","",INDEX(SchedZone,$C138,MAP!$B$6))</f>
        <v>2026_05_LV_NE</v>
      </c>
      <c r="E138" s="2">
        <f t="array" ref="E138">IF($C138="","",INDEX(SchedZone,$C138,MAP!$B$3))</f>
        <v>2026</v>
      </c>
      <c r="F138" s="2" t="str">
        <f t="array" ref="F138">IF($C138="","",INDEX(SchedZone,$C138,MAP!$B$5))</f>
        <v>REG</v>
      </c>
      <c r="G138" s="2">
        <f t="array" ref="G138">IF($C138="","",INDEX(SchedZone,$C138,MAP!$B$4))</f>
        <v>5</v>
      </c>
      <c r="H138" s="2" t="str">
        <f t="array" ref="H138">IF($C138="","",INDEX(SchedZone,$C138,MAP!$B$10))</f>
        <v>LV</v>
      </c>
      <c r="I138" s="2" t="str">
        <f t="array" ref="I138">IF($H138="","",IF(COUNTIF(Teams,$H138)&gt;0,$H138,IFERROR(INDEX(LISTS!$D$2:$D$12,MATCH($H138,LISTS!$C$2:$C$12,0)),"⚠ "&amp;$H138)))</f>
        <v>LV</v>
      </c>
      <c r="J138" s="2" t="str">
        <f t="array" ref="J138">IF($C138="","",INDEX(SchedZone,$C138,MAP!$B$12))</f>
        <v>NE</v>
      </c>
      <c r="K138" s="2" t="str">
        <f t="array" ref="K138">IF($J138="","",IF(COUNTIF(Teams,$J138)&gt;0,$J138,IFERROR(INDEX(LISTS!$D$2:$D$12,MATCH($J138,LISTS!$C$2:$C$12,0)),"⚠ "&amp;$J138)))</f>
        <v>NE</v>
      </c>
      <c r="L138" s="2" t="str">
        <f t="array" ref="L138">IF($C138="","",IF(INDEX(SchedZone,$C138,MAP!$B$14)="Neutral","N",IF($B138="HOME","H","A")))</f>
        <v>A</v>
      </c>
      <c r="M138" s="2" t="str">
        <f t="array" ref="M138">IF($C138="","",IF(INDEX(SchedZone,$C138,MAP!$B$11)="","",INDEX(SchedZone,$C138,MAP!$B$11)))</f>
        <v/>
      </c>
      <c r="N138" s="2" t="str">
        <f t="array" ref="N138">IF($C138="","",IF(INDEX(SchedZone,$C138,MAP!$B$13)="","",INDEX(SchedZone,$C138,MAP!$B$13)))</f>
        <v/>
      </c>
      <c r="O138" s="2">
        <f t="array" ref="O138">IF($C138="","",INDEX(SchedZone,$C138,MAP!$B$15))</f>
        <v>7</v>
      </c>
      <c r="P138" s="2" t="str">
        <f>IF($C138="","",IFERROR(MATCH($E138&amp;"|"&amp;$G138&amp;"|"&amp;$I138,StatsKey,0),""))</f>
        <v/>
      </c>
      <c r="Q138" s="2">
        <f t="array" ref="Q138">IF($P138="",0,INDEX(StatsZone,$P138,MAP!$E$9)+INDEX(StatsZone,$P138,MAP!$E$10)+INDEX(StatsZone,$P138,MAP!$E$11))</f>
        <v>0</v>
      </c>
      <c r="R138" s="2">
        <f t="array" ref="R138">IF($P138="",0,INDEX(StatsZone,$P138,MAP!$E$12))</f>
        <v>0</v>
      </c>
      <c r="S138" s="2">
        <f t="array" ref="S138">IF($P138="",0,INDEX(StatsZone,$P138,MAP!$E$13))</f>
        <v>0</v>
      </c>
      <c r="T138" s="2">
        <f t="shared" si="1"/>
        <v>0</v>
      </c>
      <c r="U138" s="2">
        <f t="array" ref="U138">IF($P138="",0,INDEX(StatsZone,$P138,MAP!$E$14)+INDEX(StatsZone,$P138,MAP!$E$15)+INDEX(StatsZone,$P138,MAP!$E$16))</f>
        <v>0</v>
      </c>
      <c r="V138" s="2">
        <f t="shared" si="2"/>
        <v>0</v>
      </c>
      <c r="W138" s="2">
        <f t="shared" si="3"/>
        <v>0</v>
      </c>
      <c r="X138" s="2">
        <f t="shared" si="4"/>
        <v>0</v>
      </c>
      <c r="Y138" s="2">
        <f t="shared" si="5"/>
        <v>0</v>
      </c>
      <c r="Z138" s="2">
        <f t="shared" si="6"/>
        <v>0</v>
      </c>
      <c r="AA138" s="2">
        <f t="shared" si="7"/>
        <v>-1</v>
      </c>
      <c r="AB138" s="2">
        <f>IF(OR($M138="",$N138=""),0,MEDIAN(-MarginCap,MarginCap,($M138-$N138)-$AA138*HFA_Base))</f>
        <v>0</v>
      </c>
      <c r="AC138" s="2">
        <f t="array" ref="AC138">IF(OR($P138="",INDEX($P$3:$P$722,(ROW()+IF(MOD(ROW()-3,2)=0,1,-1))-3+1)=""),0,MEDIAN(-MarginCap,MarginCap,($T138-$W138)-$AA138*HFA_Base))</f>
        <v>0</v>
      </c>
      <c r="AD138" s="2">
        <f t="shared" si="8"/>
        <v>0</v>
      </c>
      <c r="AE138" s="2">
        <f>IF(OR($M138="",$N138=""),0,IF(AND(WEpa&gt;0,$AD138=1),(1-WEpa)*$AB138+WEpa*$AC138,$AB138))</f>
        <v>0</v>
      </c>
      <c r="AF138" s="2">
        <f>IF(AND($C138&lt;&gt;"",$E138=CurrentSeason,$F138="REG",ISNUMBER($G138),$G138&lt;CurrentWeek,AND($M138&lt;&gt;"",$N138&lt;&gt;"")),1,0)</f>
        <v>0</v>
      </c>
      <c r="AG138" s="2">
        <f>IF($AF138=0,0,IF($G138&gt;=CurrentWeek-RecencyWin,RecencyMult,1))</f>
        <v>0</v>
      </c>
      <c r="AH138" s="2">
        <f>IF(AND($C138&lt;&gt;"",$E138=CurrentSeason,$F138="REG",ISNUMBER($G138),$G138&lt;CurrentWeek-1,AND($M138&lt;&gt;"",$N138&lt;&gt;"")),1,0)</f>
        <v>0</v>
      </c>
      <c r="AI138" s="2">
        <f>IF($AH138=0,0,IF($G138&gt;=CurrentWeek-1-RecencyWin,RecencyMult,1))</f>
        <v>0</v>
      </c>
      <c r="AJ138" s="2">
        <f>IF($AF138=0,0,IF($G138&gt;=CurrentWeek-RecencyWin,TotRecency,1))</f>
        <v>0</v>
      </c>
      <c r="AK138" s="2">
        <f t="shared" si="9"/>
        <v>0</v>
      </c>
      <c r="AL138" s="2">
        <f t="shared" si="10"/>
        <v>0</v>
      </c>
      <c r="AM138" s="2" t="str">
        <f t="array" ref="AM138">IF($K138="",0,IFERROR(INDEX(CALC!$F$2:$F$33,MATCH($K138,CALC!$A$2:$A$33,0)),0))</f>
        <v/>
      </c>
      <c r="AN138" s="2" t="str">
        <f t="array" ref="AN138">IF($K138="",0,IFERROR(INDEX(CALC!$I$2:$I$33,MATCH($K138,CALC!$A$2:$A$33,0)),0))</f>
        <v/>
      </c>
      <c r="AO138" s="2" t="str">
        <f t="array" ref="AO138">IF($K138="",0,IFERROR(INDEX(CALC!$L$2:$L$33,MATCH($K138,CALC!$A$2:$A$33,0)),0))</f>
        <v/>
      </c>
      <c r="AP138" s="2" t="str">
        <f t="array" ref="AP138">IF($K138="",0,IFERROR(INDEX(CALC!$T$2:$T$33,MATCH($K138,CALC!$A$2:$A$33,0)),0))</f>
        <v/>
      </c>
      <c r="AQ138" s="2" t="str">
        <f t="array" ref="AQ138">IF($K138="",0,IFERROR(INDEX(CALC!$W$2:$W$33,MATCH($K138,CALC!$A$2:$A$33,0)),0))</f>
        <v/>
      </c>
      <c r="AR138" s="2" t="str">
        <f t="array" ref="AR138">IF($K138="",0,IFERROR(INDEX(CALC!$Z$2:$Z$33,MATCH($K138,CALC!$A$2:$A$33,0)),0))</f>
        <v/>
      </c>
      <c r="AS138" s="2" t="str">
        <f t="array" ref="AS138">IF($K138="",0,IFERROR(INDEX(CALC!$AJ$2:$AJ$33,MATCH($K138,CALC!$A$2:$A$33,0)),0))</f>
        <v/>
      </c>
      <c r="AT138" s="2" t="str">
        <f t="array" ref="AT138">IF($K138="",0,IFERROR(INDEX(CALC!$AI$2:$AI$33,MATCH($K138,CALC!$A$2:$A$33,0)),0))</f>
        <v/>
      </c>
      <c r="AU138" s="2">
        <f t="shared" si="11"/>
        <v>0</v>
      </c>
      <c r="AV138" s="2">
        <f t="shared" si="12"/>
        <v>0</v>
      </c>
    </row>
    <row r="139" ht="15.0" customHeight="1">
      <c r="A139" s="2">
        <v>69.0</v>
      </c>
      <c r="B139" s="2" t="s">
        <v>2365</v>
      </c>
      <c r="C139" s="2">
        <f>IFERROR(MATCH($A139,SchedSeq,0),"")</f>
        <v>354</v>
      </c>
      <c r="D139" s="2" t="str">
        <f t="array" ref="D139">IF($C139="","",INDEX(SchedZone,$C139,MAP!$B$6))</f>
        <v>2026_05_MIN_NO</v>
      </c>
      <c r="E139" s="2">
        <f t="array" ref="E139">IF($C139="","",INDEX(SchedZone,$C139,MAP!$B$3))</f>
        <v>2026</v>
      </c>
      <c r="F139" s="2" t="str">
        <f t="array" ref="F139">IF($C139="","",INDEX(SchedZone,$C139,MAP!$B$5))</f>
        <v>REG</v>
      </c>
      <c r="G139" s="2">
        <f t="array" ref="G139">IF($C139="","",INDEX(SchedZone,$C139,MAP!$B$4))</f>
        <v>5</v>
      </c>
      <c r="H139" s="2" t="str">
        <f t="array" ref="H139">IF($C139="","",INDEX(SchedZone,$C139,MAP!$B$12))</f>
        <v>NO</v>
      </c>
      <c r="I139" s="2" t="str">
        <f t="array" ref="I139">IF($H139="","",IF(COUNTIF(Teams,$H139)&gt;0,$H139,IFERROR(INDEX(LISTS!$D$2:$D$12,MATCH($H139,LISTS!$C$2:$C$12,0)),"⚠ "&amp;$H139)))</f>
        <v>NO</v>
      </c>
      <c r="J139" s="2" t="str">
        <f t="array" ref="J139">IF($C139="","",INDEX(SchedZone,$C139,MAP!$B$10))</f>
        <v>MIN</v>
      </c>
      <c r="K139" s="2" t="str">
        <f t="array" ref="K139">IF($J139="","",IF(COUNTIF(Teams,$J139)&gt;0,$J139,IFERROR(INDEX(LISTS!$D$2:$D$12,MATCH($J139,LISTS!$C$2:$C$12,0)),"⚠ "&amp;$J139)))</f>
        <v>MIN</v>
      </c>
      <c r="L139" s="2" t="str">
        <f t="array" ref="L139">IF($C139="","",IF(INDEX(SchedZone,$C139,MAP!$B$14)="Neutral","N",IF($B139="HOME","H","A")))</f>
        <v>H</v>
      </c>
      <c r="M139" s="2" t="str">
        <f t="array" ref="M139">IF($C139="","",IF(INDEX(SchedZone,$C139,MAP!$B$13)="","",INDEX(SchedZone,$C139,MAP!$B$13)))</f>
        <v/>
      </c>
      <c r="N139" s="2" t="str">
        <f t="array" ref="N139">IF($C139="","",IF(INDEX(SchedZone,$C139,MAP!$B$11)="","",INDEX(SchedZone,$C139,MAP!$B$11)))</f>
        <v/>
      </c>
      <c r="O139" s="2">
        <f t="array" ref="O139">IF($C139="","",INDEX(SchedZone,$C139,MAP!$B$16))</f>
        <v>6</v>
      </c>
      <c r="P139" s="2" t="str">
        <f>IF($C139="","",IFERROR(MATCH($E139&amp;"|"&amp;$G139&amp;"|"&amp;$I139,StatsKey,0),""))</f>
        <v/>
      </c>
      <c r="Q139" s="2">
        <f t="array" ref="Q139">IF($P139="",0,INDEX(StatsZone,$P139,MAP!$E$9)+INDEX(StatsZone,$P139,MAP!$E$10)+INDEX(StatsZone,$P139,MAP!$E$11))</f>
        <v>0</v>
      </c>
      <c r="R139" s="2">
        <f t="array" ref="R139">IF($P139="",0,INDEX(StatsZone,$P139,MAP!$E$12))</f>
        <v>0</v>
      </c>
      <c r="S139" s="2">
        <f t="array" ref="S139">IF($P139="",0,INDEX(StatsZone,$P139,MAP!$E$13))</f>
        <v>0</v>
      </c>
      <c r="T139" s="2">
        <f t="shared" si="1"/>
        <v>0</v>
      </c>
      <c r="U139" s="2">
        <f t="array" ref="U139">IF($P139="",0,INDEX(StatsZone,$P139,MAP!$E$14)+INDEX(StatsZone,$P139,MAP!$E$15)+INDEX(StatsZone,$P139,MAP!$E$16))</f>
        <v>0</v>
      </c>
      <c r="V139" s="2">
        <f t="shared" si="2"/>
        <v>0</v>
      </c>
      <c r="W139" s="2">
        <f t="shared" si="3"/>
        <v>0</v>
      </c>
      <c r="X139" s="2">
        <f t="shared" si="4"/>
        <v>0</v>
      </c>
      <c r="Y139" s="2">
        <f t="shared" si="5"/>
        <v>0</v>
      </c>
      <c r="Z139" s="2">
        <f t="shared" si="6"/>
        <v>0</v>
      </c>
      <c r="AA139" s="2">
        <f t="shared" si="7"/>
        <v>1</v>
      </c>
      <c r="AB139" s="2">
        <f>IF(OR($M139="",$N139=""),0,MEDIAN(-MarginCap,MarginCap,($M139-$N139)-$AA139*HFA_Base))</f>
        <v>0</v>
      </c>
      <c r="AC139" s="2">
        <f t="array" ref="AC139">IF(OR($P139="",INDEX($P$3:$P$722,(ROW()+IF(MOD(ROW()-3,2)=0,1,-1))-3+1)=""),0,MEDIAN(-MarginCap,MarginCap,($T139-$W139)-$AA139*HFA_Base))</f>
        <v>0</v>
      </c>
      <c r="AD139" s="2">
        <f t="shared" si="8"/>
        <v>0</v>
      </c>
      <c r="AE139" s="2">
        <f>IF(OR($M139="",$N139=""),0,IF(AND(WEpa&gt;0,$AD139=1),(1-WEpa)*$AB139+WEpa*$AC139,$AB139))</f>
        <v>0</v>
      </c>
      <c r="AF139" s="2">
        <f>IF(AND($C139&lt;&gt;"",$E139=CurrentSeason,$F139="REG",ISNUMBER($G139),$G139&lt;CurrentWeek,AND($M139&lt;&gt;"",$N139&lt;&gt;"")),1,0)</f>
        <v>0</v>
      </c>
      <c r="AG139" s="2">
        <f>IF($AF139=0,0,IF($G139&gt;=CurrentWeek-RecencyWin,RecencyMult,1))</f>
        <v>0</v>
      </c>
      <c r="AH139" s="2">
        <f>IF(AND($C139&lt;&gt;"",$E139=CurrentSeason,$F139="REG",ISNUMBER($G139),$G139&lt;CurrentWeek-1,AND($M139&lt;&gt;"",$N139&lt;&gt;"")),1,0)</f>
        <v>0</v>
      </c>
      <c r="AI139" s="2">
        <f>IF($AH139=0,0,IF($G139&gt;=CurrentWeek-1-RecencyWin,RecencyMult,1))</f>
        <v>0</v>
      </c>
      <c r="AJ139" s="2">
        <f>IF($AF139=0,0,IF($G139&gt;=CurrentWeek-RecencyWin,TotRecency,1))</f>
        <v>0</v>
      </c>
      <c r="AK139" s="2">
        <f t="shared" si="9"/>
        <v>0</v>
      </c>
      <c r="AL139" s="2">
        <f t="shared" si="10"/>
        <v>0</v>
      </c>
      <c r="AM139" s="2" t="str">
        <f t="array" ref="AM139">IF($K139="",0,IFERROR(INDEX(CALC!$F$2:$F$33,MATCH($K139,CALC!$A$2:$A$33,0)),0))</f>
        <v/>
      </c>
      <c r="AN139" s="2" t="str">
        <f t="array" ref="AN139">IF($K139="",0,IFERROR(INDEX(CALC!$I$2:$I$33,MATCH($K139,CALC!$A$2:$A$33,0)),0))</f>
        <v/>
      </c>
      <c r="AO139" s="2" t="str">
        <f t="array" ref="AO139">IF($K139="",0,IFERROR(INDEX(CALC!$L$2:$L$33,MATCH($K139,CALC!$A$2:$A$33,0)),0))</f>
        <v/>
      </c>
      <c r="AP139" s="2" t="str">
        <f t="array" ref="AP139">IF($K139="",0,IFERROR(INDEX(CALC!$T$2:$T$33,MATCH($K139,CALC!$A$2:$A$33,0)),0))</f>
        <v/>
      </c>
      <c r="AQ139" s="2" t="str">
        <f t="array" ref="AQ139">IF($K139="",0,IFERROR(INDEX(CALC!$W$2:$W$33,MATCH($K139,CALC!$A$2:$A$33,0)),0))</f>
        <v/>
      </c>
      <c r="AR139" s="2" t="str">
        <f t="array" ref="AR139">IF($K139="",0,IFERROR(INDEX(CALC!$Z$2:$Z$33,MATCH($K139,CALC!$A$2:$A$33,0)),0))</f>
        <v/>
      </c>
      <c r="AS139" s="2" t="str">
        <f t="array" ref="AS139">IF($K139="",0,IFERROR(INDEX(CALC!$AJ$2:$AJ$33,MATCH($K139,CALC!$A$2:$A$33,0)),0))</f>
        <v/>
      </c>
      <c r="AT139" s="2" t="str">
        <f t="array" ref="AT139">IF($K139="",0,IFERROR(INDEX(CALC!$AI$2:$AI$33,MATCH($K139,CALC!$A$2:$A$33,0)),0))</f>
        <v/>
      </c>
      <c r="AU139" s="2">
        <f t="shared" si="11"/>
        <v>0</v>
      </c>
      <c r="AV139" s="2">
        <f t="shared" si="12"/>
        <v>0</v>
      </c>
    </row>
    <row r="140" ht="15.0" customHeight="1">
      <c r="A140" s="2">
        <v>69.0</v>
      </c>
      <c r="B140" s="2" t="s">
        <v>2366</v>
      </c>
      <c r="C140" s="2">
        <f>IFERROR(MATCH($A140,SchedSeq,0),"")</f>
        <v>354</v>
      </c>
      <c r="D140" s="2" t="str">
        <f t="array" ref="D140">IF($C140="","",INDEX(SchedZone,$C140,MAP!$B$6))</f>
        <v>2026_05_MIN_NO</v>
      </c>
      <c r="E140" s="2">
        <f t="array" ref="E140">IF($C140="","",INDEX(SchedZone,$C140,MAP!$B$3))</f>
        <v>2026</v>
      </c>
      <c r="F140" s="2" t="str">
        <f t="array" ref="F140">IF($C140="","",INDEX(SchedZone,$C140,MAP!$B$5))</f>
        <v>REG</v>
      </c>
      <c r="G140" s="2">
        <f t="array" ref="G140">IF($C140="","",INDEX(SchedZone,$C140,MAP!$B$4))</f>
        <v>5</v>
      </c>
      <c r="H140" s="2" t="str">
        <f t="array" ref="H140">IF($C140="","",INDEX(SchedZone,$C140,MAP!$B$10))</f>
        <v>MIN</v>
      </c>
      <c r="I140" s="2" t="str">
        <f t="array" ref="I140">IF($H140="","",IF(COUNTIF(Teams,$H140)&gt;0,$H140,IFERROR(INDEX(LISTS!$D$2:$D$12,MATCH($H140,LISTS!$C$2:$C$12,0)),"⚠ "&amp;$H140)))</f>
        <v>MIN</v>
      </c>
      <c r="J140" s="2" t="str">
        <f t="array" ref="J140">IF($C140="","",INDEX(SchedZone,$C140,MAP!$B$12))</f>
        <v>NO</v>
      </c>
      <c r="K140" s="2" t="str">
        <f t="array" ref="K140">IF($J140="","",IF(COUNTIF(Teams,$J140)&gt;0,$J140,IFERROR(INDEX(LISTS!$D$2:$D$12,MATCH($J140,LISTS!$C$2:$C$12,0)),"⚠ "&amp;$J140)))</f>
        <v>NO</v>
      </c>
      <c r="L140" s="2" t="str">
        <f t="array" ref="L140">IF($C140="","",IF(INDEX(SchedZone,$C140,MAP!$B$14)="Neutral","N",IF($B140="HOME","H","A")))</f>
        <v>A</v>
      </c>
      <c r="M140" s="2" t="str">
        <f t="array" ref="M140">IF($C140="","",IF(INDEX(SchedZone,$C140,MAP!$B$11)="","",INDEX(SchedZone,$C140,MAP!$B$11)))</f>
        <v/>
      </c>
      <c r="N140" s="2" t="str">
        <f t="array" ref="N140">IF($C140="","",IF(INDEX(SchedZone,$C140,MAP!$B$13)="","",INDEX(SchedZone,$C140,MAP!$B$13)))</f>
        <v/>
      </c>
      <c r="O140" s="2">
        <f t="array" ref="O140">IF($C140="","",INDEX(SchedZone,$C140,MAP!$B$15))</f>
        <v>7</v>
      </c>
      <c r="P140" s="2" t="str">
        <f>IF($C140="","",IFERROR(MATCH($E140&amp;"|"&amp;$G140&amp;"|"&amp;$I140,StatsKey,0),""))</f>
        <v/>
      </c>
      <c r="Q140" s="2">
        <f t="array" ref="Q140">IF($P140="",0,INDEX(StatsZone,$P140,MAP!$E$9)+INDEX(StatsZone,$P140,MAP!$E$10)+INDEX(StatsZone,$P140,MAP!$E$11))</f>
        <v>0</v>
      </c>
      <c r="R140" s="2">
        <f t="array" ref="R140">IF($P140="",0,INDEX(StatsZone,$P140,MAP!$E$12))</f>
        <v>0</v>
      </c>
      <c r="S140" s="2">
        <f t="array" ref="S140">IF($P140="",0,INDEX(StatsZone,$P140,MAP!$E$13))</f>
        <v>0</v>
      </c>
      <c r="T140" s="2">
        <f t="shared" si="1"/>
        <v>0</v>
      </c>
      <c r="U140" s="2">
        <f t="array" ref="U140">IF($P140="",0,INDEX(StatsZone,$P140,MAP!$E$14)+INDEX(StatsZone,$P140,MAP!$E$15)+INDEX(StatsZone,$P140,MAP!$E$16))</f>
        <v>0</v>
      </c>
      <c r="V140" s="2">
        <f t="shared" si="2"/>
        <v>0</v>
      </c>
      <c r="W140" s="2">
        <f t="shared" si="3"/>
        <v>0</v>
      </c>
      <c r="X140" s="2">
        <f t="shared" si="4"/>
        <v>0</v>
      </c>
      <c r="Y140" s="2">
        <f t="shared" si="5"/>
        <v>0</v>
      </c>
      <c r="Z140" s="2">
        <f t="shared" si="6"/>
        <v>0</v>
      </c>
      <c r="AA140" s="2">
        <f t="shared" si="7"/>
        <v>-1</v>
      </c>
      <c r="AB140" s="2">
        <f>IF(OR($M140="",$N140=""),0,MEDIAN(-MarginCap,MarginCap,($M140-$N140)-$AA140*HFA_Base))</f>
        <v>0</v>
      </c>
      <c r="AC140" s="2">
        <f t="array" ref="AC140">IF(OR($P140="",INDEX($P$3:$P$722,(ROW()+IF(MOD(ROW()-3,2)=0,1,-1))-3+1)=""),0,MEDIAN(-MarginCap,MarginCap,($T140-$W140)-$AA140*HFA_Base))</f>
        <v>0</v>
      </c>
      <c r="AD140" s="2">
        <f t="shared" si="8"/>
        <v>0</v>
      </c>
      <c r="AE140" s="2">
        <f>IF(OR($M140="",$N140=""),0,IF(AND(WEpa&gt;0,$AD140=1),(1-WEpa)*$AB140+WEpa*$AC140,$AB140))</f>
        <v>0</v>
      </c>
      <c r="AF140" s="2">
        <f>IF(AND($C140&lt;&gt;"",$E140=CurrentSeason,$F140="REG",ISNUMBER($G140),$G140&lt;CurrentWeek,AND($M140&lt;&gt;"",$N140&lt;&gt;"")),1,0)</f>
        <v>0</v>
      </c>
      <c r="AG140" s="2">
        <f>IF($AF140=0,0,IF($G140&gt;=CurrentWeek-RecencyWin,RecencyMult,1))</f>
        <v>0</v>
      </c>
      <c r="AH140" s="2">
        <f>IF(AND($C140&lt;&gt;"",$E140=CurrentSeason,$F140="REG",ISNUMBER($G140),$G140&lt;CurrentWeek-1,AND($M140&lt;&gt;"",$N140&lt;&gt;"")),1,0)</f>
        <v>0</v>
      </c>
      <c r="AI140" s="2">
        <f>IF($AH140=0,0,IF($G140&gt;=CurrentWeek-1-RecencyWin,RecencyMult,1))</f>
        <v>0</v>
      </c>
      <c r="AJ140" s="2">
        <f>IF($AF140=0,0,IF($G140&gt;=CurrentWeek-RecencyWin,TotRecency,1))</f>
        <v>0</v>
      </c>
      <c r="AK140" s="2">
        <f t="shared" si="9"/>
        <v>0</v>
      </c>
      <c r="AL140" s="2">
        <f t="shared" si="10"/>
        <v>0</v>
      </c>
      <c r="AM140" s="2" t="str">
        <f t="array" ref="AM140">IF($K140="",0,IFERROR(INDEX(CALC!$F$2:$F$33,MATCH($K140,CALC!$A$2:$A$33,0)),0))</f>
        <v/>
      </c>
      <c r="AN140" s="2" t="str">
        <f t="array" ref="AN140">IF($K140="",0,IFERROR(INDEX(CALC!$I$2:$I$33,MATCH($K140,CALC!$A$2:$A$33,0)),0))</f>
        <v/>
      </c>
      <c r="AO140" s="2" t="str">
        <f t="array" ref="AO140">IF($K140="",0,IFERROR(INDEX(CALC!$L$2:$L$33,MATCH($K140,CALC!$A$2:$A$33,0)),0))</f>
        <v/>
      </c>
      <c r="AP140" s="2" t="str">
        <f t="array" ref="AP140">IF($K140="",0,IFERROR(INDEX(CALC!$T$2:$T$33,MATCH($K140,CALC!$A$2:$A$33,0)),0))</f>
        <v/>
      </c>
      <c r="AQ140" s="2" t="str">
        <f t="array" ref="AQ140">IF($K140="",0,IFERROR(INDEX(CALC!$W$2:$W$33,MATCH($K140,CALC!$A$2:$A$33,0)),0))</f>
        <v/>
      </c>
      <c r="AR140" s="2" t="str">
        <f t="array" ref="AR140">IF($K140="",0,IFERROR(INDEX(CALC!$Z$2:$Z$33,MATCH($K140,CALC!$A$2:$A$33,0)),0))</f>
        <v/>
      </c>
      <c r="AS140" s="2" t="str">
        <f t="array" ref="AS140">IF($K140="",0,IFERROR(INDEX(CALC!$AJ$2:$AJ$33,MATCH($K140,CALC!$A$2:$A$33,0)),0))</f>
        <v/>
      </c>
      <c r="AT140" s="2" t="str">
        <f t="array" ref="AT140">IF($K140="",0,IFERROR(INDEX(CALC!$AI$2:$AI$33,MATCH($K140,CALC!$A$2:$A$33,0)),0))</f>
        <v/>
      </c>
      <c r="AU140" s="2">
        <f t="shared" si="11"/>
        <v>0</v>
      </c>
      <c r="AV140" s="2">
        <f t="shared" si="12"/>
        <v>0</v>
      </c>
    </row>
    <row r="141" ht="15.0" customHeight="1">
      <c r="A141" s="2">
        <v>70.0</v>
      </c>
      <c r="B141" s="2" t="s">
        <v>2365</v>
      </c>
      <c r="C141" s="2">
        <f>IFERROR(MATCH($A141,SchedSeq,0),"")</f>
        <v>355</v>
      </c>
      <c r="D141" s="2" t="str">
        <f t="array" ref="D141">IF($C141="","",INDEX(SchedZone,$C141,MAP!$B$6))</f>
        <v>2026_05_CLE_NYJ</v>
      </c>
      <c r="E141" s="2">
        <f t="array" ref="E141">IF($C141="","",INDEX(SchedZone,$C141,MAP!$B$3))</f>
        <v>2026</v>
      </c>
      <c r="F141" s="2" t="str">
        <f t="array" ref="F141">IF($C141="","",INDEX(SchedZone,$C141,MAP!$B$5))</f>
        <v>REG</v>
      </c>
      <c r="G141" s="2">
        <f t="array" ref="G141">IF($C141="","",INDEX(SchedZone,$C141,MAP!$B$4))</f>
        <v>5</v>
      </c>
      <c r="H141" s="2" t="str">
        <f t="array" ref="H141">IF($C141="","",INDEX(SchedZone,$C141,MAP!$B$12))</f>
        <v>NYJ</v>
      </c>
      <c r="I141" s="2" t="str">
        <f t="array" ref="I141">IF($H141="","",IF(COUNTIF(Teams,$H141)&gt;0,$H141,IFERROR(INDEX(LISTS!$D$2:$D$12,MATCH($H141,LISTS!$C$2:$C$12,0)),"⚠ "&amp;$H141)))</f>
        <v>NYJ</v>
      </c>
      <c r="J141" s="2" t="str">
        <f t="array" ref="J141">IF($C141="","",INDEX(SchedZone,$C141,MAP!$B$10))</f>
        <v>CLE</v>
      </c>
      <c r="K141" s="2" t="str">
        <f t="array" ref="K141">IF($J141="","",IF(COUNTIF(Teams,$J141)&gt;0,$J141,IFERROR(INDEX(LISTS!$D$2:$D$12,MATCH($J141,LISTS!$C$2:$C$12,0)),"⚠ "&amp;$J141)))</f>
        <v>CLE</v>
      </c>
      <c r="L141" s="2" t="str">
        <f t="array" ref="L141">IF($C141="","",IF(INDEX(SchedZone,$C141,MAP!$B$14)="Neutral","N",IF($B141="HOME","H","A")))</f>
        <v>H</v>
      </c>
      <c r="M141" s="2" t="str">
        <f t="array" ref="M141">IF($C141="","",IF(INDEX(SchedZone,$C141,MAP!$B$13)="","",INDEX(SchedZone,$C141,MAP!$B$13)))</f>
        <v/>
      </c>
      <c r="N141" s="2" t="str">
        <f t="array" ref="N141">IF($C141="","",IF(INDEX(SchedZone,$C141,MAP!$B$11)="","",INDEX(SchedZone,$C141,MAP!$B$11)))</f>
        <v/>
      </c>
      <c r="O141" s="2">
        <f t="array" ref="O141">IF($C141="","",INDEX(SchedZone,$C141,MAP!$B$16))</f>
        <v>7</v>
      </c>
      <c r="P141" s="2" t="str">
        <f>IF($C141="","",IFERROR(MATCH($E141&amp;"|"&amp;$G141&amp;"|"&amp;$I141,StatsKey,0),""))</f>
        <v/>
      </c>
      <c r="Q141" s="2">
        <f t="array" ref="Q141">IF($P141="",0,INDEX(StatsZone,$P141,MAP!$E$9)+INDEX(StatsZone,$P141,MAP!$E$10)+INDEX(StatsZone,$P141,MAP!$E$11))</f>
        <v>0</v>
      </c>
      <c r="R141" s="2">
        <f t="array" ref="R141">IF($P141="",0,INDEX(StatsZone,$P141,MAP!$E$12))</f>
        <v>0</v>
      </c>
      <c r="S141" s="2">
        <f t="array" ref="S141">IF($P141="",0,INDEX(StatsZone,$P141,MAP!$E$13))</f>
        <v>0</v>
      </c>
      <c r="T141" s="2">
        <f t="shared" si="1"/>
        <v>0</v>
      </c>
      <c r="U141" s="2">
        <f t="array" ref="U141">IF($P141="",0,INDEX(StatsZone,$P141,MAP!$E$14)+INDEX(StatsZone,$P141,MAP!$E$15)+INDEX(StatsZone,$P141,MAP!$E$16))</f>
        <v>0</v>
      </c>
      <c r="V141" s="2">
        <f t="shared" si="2"/>
        <v>0</v>
      </c>
      <c r="W141" s="2">
        <f t="shared" si="3"/>
        <v>0</v>
      </c>
      <c r="X141" s="2">
        <f t="shared" si="4"/>
        <v>0</v>
      </c>
      <c r="Y141" s="2">
        <f t="shared" si="5"/>
        <v>0</v>
      </c>
      <c r="Z141" s="2">
        <f t="shared" si="6"/>
        <v>0</v>
      </c>
      <c r="AA141" s="2">
        <f t="shared" si="7"/>
        <v>1</v>
      </c>
      <c r="AB141" s="2">
        <f>IF(OR($M141="",$N141=""),0,MEDIAN(-MarginCap,MarginCap,($M141-$N141)-$AA141*HFA_Base))</f>
        <v>0</v>
      </c>
      <c r="AC141" s="2">
        <f t="array" ref="AC141">IF(OR($P141="",INDEX($P$3:$P$722,(ROW()+IF(MOD(ROW()-3,2)=0,1,-1))-3+1)=""),0,MEDIAN(-MarginCap,MarginCap,($T141-$W141)-$AA141*HFA_Base))</f>
        <v>0</v>
      </c>
      <c r="AD141" s="2">
        <f t="shared" si="8"/>
        <v>0</v>
      </c>
      <c r="AE141" s="2">
        <f>IF(OR($M141="",$N141=""),0,IF(AND(WEpa&gt;0,$AD141=1),(1-WEpa)*$AB141+WEpa*$AC141,$AB141))</f>
        <v>0</v>
      </c>
      <c r="AF141" s="2">
        <f>IF(AND($C141&lt;&gt;"",$E141=CurrentSeason,$F141="REG",ISNUMBER($G141),$G141&lt;CurrentWeek,AND($M141&lt;&gt;"",$N141&lt;&gt;"")),1,0)</f>
        <v>0</v>
      </c>
      <c r="AG141" s="2">
        <f>IF($AF141=0,0,IF($G141&gt;=CurrentWeek-RecencyWin,RecencyMult,1))</f>
        <v>0</v>
      </c>
      <c r="AH141" s="2">
        <f>IF(AND($C141&lt;&gt;"",$E141=CurrentSeason,$F141="REG",ISNUMBER($G141),$G141&lt;CurrentWeek-1,AND($M141&lt;&gt;"",$N141&lt;&gt;"")),1,0)</f>
        <v>0</v>
      </c>
      <c r="AI141" s="2">
        <f>IF($AH141=0,0,IF($G141&gt;=CurrentWeek-1-RecencyWin,RecencyMult,1))</f>
        <v>0</v>
      </c>
      <c r="AJ141" s="2">
        <f>IF($AF141=0,0,IF($G141&gt;=CurrentWeek-RecencyWin,TotRecency,1))</f>
        <v>0</v>
      </c>
      <c r="AK141" s="2">
        <f t="shared" si="9"/>
        <v>0</v>
      </c>
      <c r="AL141" s="2">
        <f t="shared" si="10"/>
        <v>0</v>
      </c>
      <c r="AM141" s="2" t="str">
        <f t="array" ref="AM141">IF($K141="",0,IFERROR(INDEX(CALC!$F$2:$F$33,MATCH($K141,CALC!$A$2:$A$33,0)),0))</f>
        <v/>
      </c>
      <c r="AN141" s="2" t="str">
        <f t="array" ref="AN141">IF($K141="",0,IFERROR(INDEX(CALC!$I$2:$I$33,MATCH($K141,CALC!$A$2:$A$33,0)),0))</f>
        <v/>
      </c>
      <c r="AO141" s="2" t="str">
        <f t="array" ref="AO141">IF($K141="",0,IFERROR(INDEX(CALC!$L$2:$L$33,MATCH($K141,CALC!$A$2:$A$33,0)),0))</f>
        <v/>
      </c>
      <c r="AP141" s="2" t="str">
        <f t="array" ref="AP141">IF($K141="",0,IFERROR(INDEX(CALC!$T$2:$T$33,MATCH($K141,CALC!$A$2:$A$33,0)),0))</f>
        <v/>
      </c>
      <c r="AQ141" s="2" t="str">
        <f t="array" ref="AQ141">IF($K141="",0,IFERROR(INDEX(CALC!$W$2:$W$33,MATCH($K141,CALC!$A$2:$A$33,0)),0))</f>
        <v/>
      </c>
      <c r="AR141" s="2" t="str">
        <f t="array" ref="AR141">IF($K141="",0,IFERROR(INDEX(CALC!$Z$2:$Z$33,MATCH($K141,CALC!$A$2:$A$33,0)),0))</f>
        <v/>
      </c>
      <c r="AS141" s="2" t="str">
        <f t="array" ref="AS141">IF($K141="",0,IFERROR(INDEX(CALC!$AJ$2:$AJ$33,MATCH($K141,CALC!$A$2:$A$33,0)),0))</f>
        <v/>
      </c>
      <c r="AT141" s="2" t="str">
        <f t="array" ref="AT141">IF($K141="",0,IFERROR(INDEX(CALC!$AI$2:$AI$33,MATCH($K141,CALC!$A$2:$A$33,0)),0))</f>
        <v/>
      </c>
      <c r="AU141" s="2">
        <f t="shared" si="11"/>
        <v>0</v>
      </c>
      <c r="AV141" s="2">
        <f t="shared" si="12"/>
        <v>0</v>
      </c>
    </row>
    <row r="142" ht="15.0" customHeight="1">
      <c r="A142" s="2">
        <v>70.0</v>
      </c>
      <c r="B142" s="2" t="s">
        <v>2366</v>
      </c>
      <c r="C142" s="2">
        <f>IFERROR(MATCH($A142,SchedSeq,0),"")</f>
        <v>355</v>
      </c>
      <c r="D142" s="2" t="str">
        <f t="array" ref="D142">IF($C142="","",INDEX(SchedZone,$C142,MAP!$B$6))</f>
        <v>2026_05_CLE_NYJ</v>
      </c>
      <c r="E142" s="2">
        <f t="array" ref="E142">IF($C142="","",INDEX(SchedZone,$C142,MAP!$B$3))</f>
        <v>2026</v>
      </c>
      <c r="F142" s="2" t="str">
        <f t="array" ref="F142">IF($C142="","",INDEX(SchedZone,$C142,MAP!$B$5))</f>
        <v>REG</v>
      </c>
      <c r="G142" s="2">
        <f t="array" ref="G142">IF($C142="","",INDEX(SchedZone,$C142,MAP!$B$4))</f>
        <v>5</v>
      </c>
      <c r="H142" s="2" t="str">
        <f t="array" ref="H142">IF($C142="","",INDEX(SchedZone,$C142,MAP!$B$10))</f>
        <v>CLE</v>
      </c>
      <c r="I142" s="2" t="str">
        <f t="array" ref="I142">IF($H142="","",IF(COUNTIF(Teams,$H142)&gt;0,$H142,IFERROR(INDEX(LISTS!$D$2:$D$12,MATCH($H142,LISTS!$C$2:$C$12,0)),"⚠ "&amp;$H142)))</f>
        <v>CLE</v>
      </c>
      <c r="J142" s="2" t="str">
        <f t="array" ref="J142">IF($C142="","",INDEX(SchedZone,$C142,MAP!$B$12))</f>
        <v>NYJ</v>
      </c>
      <c r="K142" s="2" t="str">
        <f t="array" ref="K142">IF($J142="","",IF(COUNTIF(Teams,$J142)&gt;0,$J142,IFERROR(INDEX(LISTS!$D$2:$D$12,MATCH($J142,LISTS!$C$2:$C$12,0)),"⚠ "&amp;$J142)))</f>
        <v>NYJ</v>
      </c>
      <c r="L142" s="2" t="str">
        <f t="array" ref="L142">IF($C142="","",IF(INDEX(SchedZone,$C142,MAP!$B$14)="Neutral","N",IF($B142="HOME","H","A")))</f>
        <v>A</v>
      </c>
      <c r="M142" s="2" t="str">
        <f t="array" ref="M142">IF($C142="","",IF(INDEX(SchedZone,$C142,MAP!$B$11)="","",INDEX(SchedZone,$C142,MAP!$B$11)))</f>
        <v/>
      </c>
      <c r="N142" s="2" t="str">
        <f t="array" ref="N142">IF($C142="","",IF(INDEX(SchedZone,$C142,MAP!$B$13)="","",INDEX(SchedZone,$C142,MAP!$B$13)))</f>
        <v/>
      </c>
      <c r="O142" s="2">
        <f t="array" ref="O142">IF($C142="","",INDEX(SchedZone,$C142,MAP!$B$15))</f>
        <v>10</v>
      </c>
      <c r="P142" s="2" t="str">
        <f>IF($C142="","",IFERROR(MATCH($E142&amp;"|"&amp;$G142&amp;"|"&amp;$I142,StatsKey,0),""))</f>
        <v/>
      </c>
      <c r="Q142" s="2">
        <f t="array" ref="Q142">IF($P142="",0,INDEX(StatsZone,$P142,MAP!$E$9)+INDEX(StatsZone,$P142,MAP!$E$10)+INDEX(StatsZone,$P142,MAP!$E$11))</f>
        <v>0</v>
      </c>
      <c r="R142" s="2">
        <f t="array" ref="R142">IF($P142="",0,INDEX(StatsZone,$P142,MAP!$E$12))</f>
        <v>0</v>
      </c>
      <c r="S142" s="2">
        <f t="array" ref="S142">IF($P142="",0,INDEX(StatsZone,$P142,MAP!$E$13))</f>
        <v>0</v>
      </c>
      <c r="T142" s="2">
        <f t="shared" si="1"/>
        <v>0</v>
      </c>
      <c r="U142" s="2">
        <f t="array" ref="U142">IF($P142="",0,INDEX(StatsZone,$P142,MAP!$E$14)+INDEX(StatsZone,$P142,MAP!$E$15)+INDEX(StatsZone,$P142,MAP!$E$16))</f>
        <v>0</v>
      </c>
      <c r="V142" s="2">
        <f t="shared" si="2"/>
        <v>0</v>
      </c>
      <c r="W142" s="2">
        <f t="shared" si="3"/>
        <v>0</v>
      </c>
      <c r="X142" s="2">
        <f t="shared" si="4"/>
        <v>0</v>
      </c>
      <c r="Y142" s="2">
        <f t="shared" si="5"/>
        <v>0</v>
      </c>
      <c r="Z142" s="2">
        <f t="shared" si="6"/>
        <v>0</v>
      </c>
      <c r="AA142" s="2">
        <f t="shared" si="7"/>
        <v>-1</v>
      </c>
      <c r="AB142" s="2">
        <f>IF(OR($M142="",$N142=""),0,MEDIAN(-MarginCap,MarginCap,($M142-$N142)-$AA142*HFA_Base))</f>
        <v>0</v>
      </c>
      <c r="AC142" s="2">
        <f t="array" ref="AC142">IF(OR($P142="",INDEX($P$3:$P$722,(ROW()+IF(MOD(ROW()-3,2)=0,1,-1))-3+1)=""),0,MEDIAN(-MarginCap,MarginCap,($T142-$W142)-$AA142*HFA_Base))</f>
        <v>0</v>
      </c>
      <c r="AD142" s="2">
        <f t="shared" si="8"/>
        <v>0</v>
      </c>
      <c r="AE142" s="2">
        <f>IF(OR($M142="",$N142=""),0,IF(AND(WEpa&gt;0,$AD142=1),(1-WEpa)*$AB142+WEpa*$AC142,$AB142))</f>
        <v>0</v>
      </c>
      <c r="AF142" s="2">
        <f>IF(AND($C142&lt;&gt;"",$E142=CurrentSeason,$F142="REG",ISNUMBER($G142),$G142&lt;CurrentWeek,AND($M142&lt;&gt;"",$N142&lt;&gt;"")),1,0)</f>
        <v>0</v>
      </c>
      <c r="AG142" s="2">
        <f>IF($AF142=0,0,IF($G142&gt;=CurrentWeek-RecencyWin,RecencyMult,1))</f>
        <v>0</v>
      </c>
      <c r="AH142" s="2">
        <f>IF(AND($C142&lt;&gt;"",$E142=CurrentSeason,$F142="REG",ISNUMBER($G142),$G142&lt;CurrentWeek-1,AND($M142&lt;&gt;"",$N142&lt;&gt;"")),1,0)</f>
        <v>0</v>
      </c>
      <c r="AI142" s="2">
        <f>IF($AH142=0,0,IF($G142&gt;=CurrentWeek-1-RecencyWin,RecencyMult,1))</f>
        <v>0</v>
      </c>
      <c r="AJ142" s="2">
        <f>IF($AF142=0,0,IF($G142&gt;=CurrentWeek-RecencyWin,TotRecency,1))</f>
        <v>0</v>
      </c>
      <c r="AK142" s="2">
        <f t="shared" si="9"/>
        <v>0</v>
      </c>
      <c r="AL142" s="2">
        <f t="shared" si="10"/>
        <v>0</v>
      </c>
      <c r="AM142" s="2" t="str">
        <f t="array" ref="AM142">IF($K142="",0,IFERROR(INDEX(CALC!$F$2:$F$33,MATCH($K142,CALC!$A$2:$A$33,0)),0))</f>
        <v/>
      </c>
      <c r="AN142" s="2" t="str">
        <f t="array" ref="AN142">IF($K142="",0,IFERROR(INDEX(CALC!$I$2:$I$33,MATCH($K142,CALC!$A$2:$A$33,0)),0))</f>
        <v/>
      </c>
      <c r="AO142" s="2" t="str">
        <f t="array" ref="AO142">IF($K142="",0,IFERROR(INDEX(CALC!$L$2:$L$33,MATCH($K142,CALC!$A$2:$A$33,0)),0))</f>
        <v/>
      </c>
      <c r="AP142" s="2" t="str">
        <f t="array" ref="AP142">IF($K142="",0,IFERROR(INDEX(CALC!$T$2:$T$33,MATCH($K142,CALC!$A$2:$A$33,0)),0))</f>
        <v/>
      </c>
      <c r="AQ142" s="2" t="str">
        <f t="array" ref="AQ142">IF($K142="",0,IFERROR(INDEX(CALC!$W$2:$W$33,MATCH($K142,CALC!$A$2:$A$33,0)),0))</f>
        <v/>
      </c>
      <c r="AR142" s="2" t="str">
        <f t="array" ref="AR142">IF($K142="",0,IFERROR(INDEX(CALC!$Z$2:$Z$33,MATCH($K142,CALC!$A$2:$A$33,0)),0))</f>
        <v/>
      </c>
      <c r="AS142" s="2" t="str">
        <f t="array" ref="AS142">IF($K142="",0,IFERROR(INDEX(CALC!$AJ$2:$AJ$33,MATCH($K142,CALC!$A$2:$A$33,0)),0))</f>
        <v/>
      </c>
      <c r="AT142" s="2" t="str">
        <f t="array" ref="AT142">IF($K142="",0,IFERROR(INDEX(CALC!$AI$2:$AI$33,MATCH($K142,CALC!$A$2:$A$33,0)),0))</f>
        <v/>
      </c>
      <c r="AU142" s="2">
        <f t="shared" si="11"/>
        <v>0</v>
      </c>
      <c r="AV142" s="2">
        <f t="shared" si="12"/>
        <v>0</v>
      </c>
    </row>
    <row r="143" ht="15.0" customHeight="1">
      <c r="A143" s="2">
        <v>71.0</v>
      </c>
      <c r="B143" s="2" t="s">
        <v>2365</v>
      </c>
      <c r="C143" s="2">
        <f>IFERROR(MATCH($A143,SchedSeq,0),"")</f>
        <v>356</v>
      </c>
      <c r="D143" s="2" t="str">
        <f t="array" ref="D143">IF($C143="","",INDEX(SchedZone,$C143,MAP!$B$6))</f>
        <v>2026_05_IND_PIT</v>
      </c>
      <c r="E143" s="2">
        <f t="array" ref="E143">IF($C143="","",INDEX(SchedZone,$C143,MAP!$B$3))</f>
        <v>2026</v>
      </c>
      <c r="F143" s="2" t="str">
        <f t="array" ref="F143">IF($C143="","",INDEX(SchedZone,$C143,MAP!$B$5))</f>
        <v>REG</v>
      </c>
      <c r="G143" s="2">
        <f t="array" ref="G143">IF($C143="","",INDEX(SchedZone,$C143,MAP!$B$4))</f>
        <v>5</v>
      </c>
      <c r="H143" s="2" t="str">
        <f t="array" ref="H143">IF($C143="","",INDEX(SchedZone,$C143,MAP!$B$12))</f>
        <v>PIT</v>
      </c>
      <c r="I143" s="2" t="str">
        <f t="array" ref="I143">IF($H143="","",IF(COUNTIF(Teams,$H143)&gt;0,$H143,IFERROR(INDEX(LISTS!$D$2:$D$12,MATCH($H143,LISTS!$C$2:$C$12,0)),"⚠ "&amp;$H143)))</f>
        <v>PIT</v>
      </c>
      <c r="J143" s="2" t="str">
        <f t="array" ref="J143">IF($C143="","",INDEX(SchedZone,$C143,MAP!$B$10))</f>
        <v>IND</v>
      </c>
      <c r="K143" s="2" t="str">
        <f t="array" ref="K143">IF($J143="","",IF(COUNTIF(Teams,$J143)&gt;0,$J143,IFERROR(INDEX(LISTS!$D$2:$D$12,MATCH($J143,LISTS!$C$2:$C$12,0)),"⚠ "&amp;$J143)))</f>
        <v>IND</v>
      </c>
      <c r="L143" s="2" t="str">
        <f t="array" ref="L143">IF($C143="","",IF(INDEX(SchedZone,$C143,MAP!$B$14)="Neutral","N",IF($B143="HOME","H","A")))</f>
        <v>H</v>
      </c>
      <c r="M143" s="2" t="str">
        <f t="array" ref="M143">IF($C143="","",IF(INDEX(SchedZone,$C143,MAP!$B$13)="","",INDEX(SchedZone,$C143,MAP!$B$13)))</f>
        <v/>
      </c>
      <c r="N143" s="2" t="str">
        <f t="array" ref="N143">IF($C143="","",IF(INDEX(SchedZone,$C143,MAP!$B$11)="","",INDEX(SchedZone,$C143,MAP!$B$11)))</f>
        <v/>
      </c>
      <c r="O143" s="2">
        <f t="array" ref="O143">IF($C143="","",INDEX(SchedZone,$C143,MAP!$B$16))</f>
        <v>10</v>
      </c>
      <c r="P143" s="2" t="str">
        <f>IF($C143="","",IFERROR(MATCH($E143&amp;"|"&amp;$G143&amp;"|"&amp;$I143,StatsKey,0),""))</f>
        <v/>
      </c>
      <c r="Q143" s="2">
        <f t="array" ref="Q143">IF($P143="",0,INDEX(StatsZone,$P143,MAP!$E$9)+INDEX(StatsZone,$P143,MAP!$E$10)+INDEX(StatsZone,$P143,MAP!$E$11))</f>
        <v>0</v>
      </c>
      <c r="R143" s="2">
        <f t="array" ref="R143">IF($P143="",0,INDEX(StatsZone,$P143,MAP!$E$12))</f>
        <v>0</v>
      </c>
      <c r="S143" s="2">
        <f t="array" ref="S143">IF($P143="",0,INDEX(StatsZone,$P143,MAP!$E$13))</f>
        <v>0</v>
      </c>
      <c r="T143" s="2">
        <f t="shared" si="1"/>
        <v>0</v>
      </c>
      <c r="U143" s="2">
        <f t="array" ref="U143">IF($P143="",0,INDEX(StatsZone,$P143,MAP!$E$14)+INDEX(StatsZone,$P143,MAP!$E$15)+INDEX(StatsZone,$P143,MAP!$E$16))</f>
        <v>0</v>
      </c>
      <c r="V143" s="2">
        <f t="shared" si="2"/>
        <v>0</v>
      </c>
      <c r="W143" s="2">
        <f t="shared" si="3"/>
        <v>0</v>
      </c>
      <c r="X143" s="2">
        <f t="shared" si="4"/>
        <v>0</v>
      </c>
      <c r="Y143" s="2">
        <f t="shared" si="5"/>
        <v>0</v>
      </c>
      <c r="Z143" s="2">
        <f t="shared" si="6"/>
        <v>0</v>
      </c>
      <c r="AA143" s="2">
        <f t="shared" si="7"/>
        <v>1</v>
      </c>
      <c r="AB143" s="2">
        <f>IF(OR($M143="",$N143=""),0,MEDIAN(-MarginCap,MarginCap,($M143-$N143)-$AA143*HFA_Base))</f>
        <v>0</v>
      </c>
      <c r="AC143" s="2">
        <f t="array" ref="AC143">IF(OR($P143="",INDEX($P$3:$P$722,(ROW()+IF(MOD(ROW()-3,2)=0,1,-1))-3+1)=""),0,MEDIAN(-MarginCap,MarginCap,($T143-$W143)-$AA143*HFA_Base))</f>
        <v>0</v>
      </c>
      <c r="AD143" s="2">
        <f t="shared" si="8"/>
        <v>0</v>
      </c>
      <c r="AE143" s="2">
        <f>IF(OR($M143="",$N143=""),0,IF(AND(WEpa&gt;0,$AD143=1),(1-WEpa)*$AB143+WEpa*$AC143,$AB143))</f>
        <v>0</v>
      </c>
      <c r="AF143" s="2">
        <f>IF(AND($C143&lt;&gt;"",$E143=CurrentSeason,$F143="REG",ISNUMBER($G143),$G143&lt;CurrentWeek,AND($M143&lt;&gt;"",$N143&lt;&gt;"")),1,0)</f>
        <v>0</v>
      </c>
      <c r="AG143" s="2">
        <f>IF($AF143=0,0,IF($G143&gt;=CurrentWeek-RecencyWin,RecencyMult,1))</f>
        <v>0</v>
      </c>
      <c r="AH143" s="2">
        <f>IF(AND($C143&lt;&gt;"",$E143=CurrentSeason,$F143="REG",ISNUMBER($G143),$G143&lt;CurrentWeek-1,AND($M143&lt;&gt;"",$N143&lt;&gt;"")),1,0)</f>
        <v>0</v>
      </c>
      <c r="AI143" s="2">
        <f>IF($AH143=0,0,IF($G143&gt;=CurrentWeek-1-RecencyWin,RecencyMult,1))</f>
        <v>0</v>
      </c>
      <c r="AJ143" s="2">
        <f>IF($AF143=0,0,IF($G143&gt;=CurrentWeek-RecencyWin,TotRecency,1))</f>
        <v>0</v>
      </c>
      <c r="AK143" s="2">
        <f t="shared" si="9"/>
        <v>0</v>
      </c>
      <c r="AL143" s="2">
        <f t="shared" si="10"/>
        <v>0</v>
      </c>
      <c r="AM143" s="2" t="str">
        <f t="array" ref="AM143">IF($K143="",0,IFERROR(INDEX(CALC!$F$2:$F$33,MATCH($K143,CALC!$A$2:$A$33,0)),0))</f>
        <v/>
      </c>
      <c r="AN143" s="2" t="str">
        <f t="array" ref="AN143">IF($K143="",0,IFERROR(INDEX(CALC!$I$2:$I$33,MATCH($K143,CALC!$A$2:$A$33,0)),0))</f>
        <v/>
      </c>
      <c r="AO143" s="2" t="str">
        <f t="array" ref="AO143">IF($K143="",0,IFERROR(INDEX(CALC!$L$2:$L$33,MATCH($K143,CALC!$A$2:$A$33,0)),0))</f>
        <v/>
      </c>
      <c r="AP143" s="2" t="str">
        <f t="array" ref="AP143">IF($K143="",0,IFERROR(INDEX(CALC!$T$2:$T$33,MATCH($K143,CALC!$A$2:$A$33,0)),0))</f>
        <v/>
      </c>
      <c r="AQ143" s="2" t="str">
        <f t="array" ref="AQ143">IF($K143="",0,IFERROR(INDEX(CALC!$W$2:$W$33,MATCH($K143,CALC!$A$2:$A$33,0)),0))</f>
        <v/>
      </c>
      <c r="AR143" s="2" t="str">
        <f t="array" ref="AR143">IF($K143="",0,IFERROR(INDEX(CALC!$Z$2:$Z$33,MATCH($K143,CALC!$A$2:$A$33,0)),0))</f>
        <v/>
      </c>
      <c r="AS143" s="2" t="str">
        <f t="array" ref="AS143">IF($K143="",0,IFERROR(INDEX(CALC!$AJ$2:$AJ$33,MATCH($K143,CALC!$A$2:$A$33,0)),0))</f>
        <v/>
      </c>
      <c r="AT143" s="2" t="str">
        <f t="array" ref="AT143">IF($K143="",0,IFERROR(INDEX(CALC!$AI$2:$AI$33,MATCH($K143,CALC!$A$2:$A$33,0)),0))</f>
        <v/>
      </c>
      <c r="AU143" s="2">
        <f t="shared" si="11"/>
        <v>0</v>
      </c>
      <c r="AV143" s="2">
        <f t="shared" si="12"/>
        <v>0</v>
      </c>
    </row>
    <row r="144" ht="15.0" customHeight="1">
      <c r="A144" s="2">
        <v>71.0</v>
      </c>
      <c r="B144" s="2" t="s">
        <v>2366</v>
      </c>
      <c r="C144" s="2">
        <f>IFERROR(MATCH($A144,SchedSeq,0),"")</f>
        <v>356</v>
      </c>
      <c r="D144" s="2" t="str">
        <f t="array" ref="D144">IF($C144="","",INDEX(SchedZone,$C144,MAP!$B$6))</f>
        <v>2026_05_IND_PIT</v>
      </c>
      <c r="E144" s="2">
        <f t="array" ref="E144">IF($C144="","",INDEX(SchedZone,$C144,MAP!$B$3))</f>
        <v>2026</v>
      </c>
      <c r="F144" s="2" t="str">
        <f t="array" ref="F144">IF($C144="","",INDEX(SchedZone,$C144,MAP!$B$5))</f>
        <v>REG</v>
      </c>
      <c r="G144" s="2">
        <f t="array" ref="G144">IF($C144="","",INDEX(SchedZone,$C144,MAP!$B$4))</f>
        <v>5</v>
      </c>
      <c r="H144" s="2" t="str">
        <f t="array" ref="H144">IF($C144="","",INDEX(SchedZone,$C144,MAP!$B$10))</f>
        <v>IND</v>
      </c>
      <c r="I144" s="2" t="str">
        <f t="array" ref="I144">IF($H144="","",IF(COUNTIF(Teams,$H144)&gt;0,$H144,IFERROR(INDEX(LISTS!$D$2:$D$12,MATCH($H144,LISTS!$C$2:$C$12,0)),"⚠ "&amp;$H144)))</f>
        <v>IND</v>
      </c>
      <c r="J144" s="2" t="str">
        <f t="array" ref="J144">IF($C144="","",INDEX(SchedZone,$C144,MAP!$B$12))</f>
        <v>PIT</v>
      </c>
      <c r="K144" s="2" t="str">
        <f t="array" ref="K144">IF($J144="","",IF(COUNTIF(Teams,$J144)&gt;0,$J144,IFERROR(INDEX(LISTS!$D$2:$D$12,MATCH($J144,LISTS!$C$2:$C$12,0)),"⚠ "&amp;$J144)))</f>
        <v>PIT</v>
      </c>
      <c r="L144" s="2" t="str">
        <f t="array" ref="L144">IF($C144="","",IF(INDEX(SchedZone,$C144,MAP!$B$14)="Neutral","N",IF($B144="HOME","H","A")))</f>
        <v>A</v>
      </c>
      <c r="M144" s="2" t="str">
        <f t="array" ref="M144">IF($C144="","",IF(INDEX(SchedZone,$C144,MAP!$B$11)="","",INDEX(SchedZone,$C144,MAP!$B$11)))</f>
        <v/>
      </c>
      <c r="N144" s="2" t="str">
        <f t="array" ref="N144">IF($C144="","",IF(INDEX(SchedZone,$C144,MAP!$B$13)="","",INDEX(SchedZone,$C144,MAP!$B$13)))</f>
        <v/>
      </c>
      <c r="O144" s="2">
        <f t="array" ref="O144">IF($C144="","",INDEX(SchedZone,$C144,MAP!$B$15))</f>
        <v>7</v>
      </c>
      <c r="P144" s="2" t="str">
        <f>IF($C144="","",IFERROR(MATCH($E144&amp;"|"&amp;$G144&amp;"|"&amp;$I144,StatsKey,0),""))</f>
        <v/>
      </c>
      <c r="Q144" s="2">
        <f t="array" ref="Q144">IF($P144="",0,INDEX(StatsZone,$P144,MAP!$E$9)+INDEX(StatsZone,$P144,MAP!$E$10)+INDEX(StatsZone,$P144,MAP!$E$11))</f>
        <v>0</v>
      </c>
      <c r="R144" s="2">
        <f t="array" ref="R144">IF($P144="",0,INDEX(StatsZone,$P144,MAP!$E$12))</f>
        <v>0</v>
      </c>
      <c r="S144" s="2">
        <f t="array" ref="S144">IF($P144="",0,INDEX(StatsZone,$P144,MAP!$E$13))</f>
        <v>0</v>
      </c>
      <c r="T144" s="2">
        <f t="shared" si="1"/>
        <v>0</v>
      </c>
      <c r="U144" s="2">
        <f t="array" ref="U144">IF($P144="",0,INDEX(StatsZone,$P144,MAP!$E$14)+INDEX(StatsZone,$P144,MAP!$E$15)+INDEX(StatsZone,$P144,MAP!$E$16))</f>
        <v>0</v>
      </c>
      <c r="V144" s="2">
        <f t="shared" si="2"/>
        <v>0</v>
      </c>
      <c r="W144" s="2">
        <f t="shared" si="3"/>
        <v>0</v>
      </c>
      <c r="X144" s="2">
        <f t="shared" si="4"/>
        <v>0</v>
      </c>
      <c r="Y144" s="2">
        <f t="shared" si="5"/>
        <v>0</v>
      </c>
      <c r="Z144" s="2">
        <f t="shared" si="6"/>
        <v>0</v>
      </c>
      <c r="AA144" s="2">
        <f t="shared" si="7"/>
        <v>-1</v>
      </c>
      <c r="AB144" s="2">
        <f>IF(OR($M144="",$N144=""),0,MEDIAN(-MarginCap,MarginCap,($M144-$N144)-$AA144*HFA_Base))</f>
        <v>0</v>
      </c>
      <c r="AC144" s="2">
        <f t="array" ref="AC144">IF(OR($P144="",INDEX($P$3:$P$722,(ROW()+IF(MOD(ROW()-3,2)=0,1,-1))-3+1)=""),0,MEDIAN(-MarginCap,MarginCap,($T144-$W144)-$AA144*HFA_Base))</f>
        <v>0</v>
      </c>
      <c r="AD144" s="2">
        <f t="shared" si="8"/>
        <v>0</v>
      </c>
      <c r="AE144" s="2">
        <f>IF(OR($M144="",$N144=""),0,IF(AND(WEpa&gt;0,$AD144=1),(1-WEpa)*$AB144+WEpa*$AC144,$AB144))</f>
        <v>0</v>
      </c>
      <c r="AF144" s="2">
        <f>IF(AND($C144&lt;&gt;"",$E144=CurrentSeason,$F144="REG",ISNUMBER($G144),$G144&lt;CurrentWeek,AND($M144&lt;&gt;"",$N144&lt;&gt;"")),1,0)</f>
        <v>0</v>
      </c>
      <c r="AG144" s="2">
        <f>IF($AF144=0,0,IF($G144&gt;=CurrentWeek-RecencyWin,RecencyMult,1))</f>
        <v>0</v>
      </c>
      <c r="AH144" s="2">
        <f>IF(AND($C144&lt;&gt;"",$E144=CurrentSeason,$F144="REG",ISNUMBER($G144),$G144&lt;CurrentWeek-1,AND($M144&lt;&gt;"",$N144&lt;&gt;"")),1,0)</f>
        <v>0</v>
      </c>
      <c r="AI144" s="2">
        <f>IF($AH144=0,0,IF($G144&gt;=CurrentWeek-1-RecencyWin,RecencyMult,1))</f>
        <v>0</v>
      </c>
      <c r="AJ144" s="2">
        <f>IF($AF144=0,0,IF($G144&gt;=CurrentWeek-RecencyWin,TotRecency,1))</f>
        <v>0</v>
      </c>
      <c r="AK144" s="2">
        <f t="shared" si="9"/>
        <v>0</v>
      </c>
      <c r="AL144" s="2">
        <f t="shared" si="10"/>
        <v>0</v>
      </c>
      <c r="AM144" s="2" t="str">
        <f t="array" ref="AM144">IF($K144="",0,IFERROR(INDEX(CALC!$F$2:$F$33,MATCH($K144,CALC!$A$2:$A$33,0)),0))</f>
        <v/>
      </c>
      <c r="AN144" s="2" t="str">
        <f t="array" ref="AN144">IF($K144="",0,IFERROR(INDEX(CALC!$I$2:$I$33,MATCH($K144,CALC!$A$2:$A$33,0)),0))</f>
        <v/>
      </c>
      <c r="AO144" s="2" t="str">
        <f t="array" ref="AO144">IF($K144="",0,IFERROR(INDEX(CALC!$L$2:$L$33,MATCH($K144,CALC!$A$2:$A$33,0)),0))</f>
        <v/>
      </c>
      <c r="AP144" s="2" t="str">
        <f t="array" ref="AP144">IF($K144="",0,IFERROR(INDEX(CALC!$T$2:$T$33,MATCH($K144,CALC!$A$2:$A$33,0)),0))</f>
        <v/>
      </c>
      <c r="AQ144" s="2" t="str">
        <f t="array" ref="AQ144">IF($K144="",0,IFERROR(INDEX(CALC!$W$2:$W$33,MATCH($K144,CALC!$A$2:$A$33,0)),0))</f>
        <v/>
      </c>
      <c r="AR144" s="2" t="str">
        <f t="array" ref="AR144">IF($K144="",0,IFERROR(INDEX(CALC!$Z$2:$Z$33,MATCH($K144,CALC!$A$2:$A$33,0)),0))</f>
        <v/>
      </c>
      <c r="AS144" s="2" t="str">
        <f t="array" ref="AS144">IF($K144="",0,IFERROR(INDEX(CALC!$AJ$2:$AJ$33,MATCH($K144,CALC!$A$2:$A$33,0)),0))</f>
        <v/>
      </c>
      <c r="AT144" s="2" t="str">
        <f t="array" ref="AT144">IF($K144="",0,IFERROR(INDEX(CALC!$AI$2:$AI$33,MATCH($K144,CALC!$A$2:$A$33,0)),0))</f>
        <v/>
      </c>
      <c r="AU144" s="2">
        <f t="shared" si="11"/>
        <v>0</v>
      </c>
      <c r="AV144" s="2">
        <f t="shared" si="12"/>
        <v>0</v>
      </c>
    </row>
    <row r="145" ht="15.0" customHeight="1">
      <c r="A145" s="2">
        <v>72.0</v>
      </c>
      <c r="B145" s="2" t="s">
        <v>2365</v>
      </c>
      <c r="C145" s="2">
        <f>IFERROR(MATCH($A145,SchedSeq,0),"")</f>
        <v>357</v>
      </c>
      <c r="D145" s="2" t="str">
        <f t="array" ref="D145">IF($C145="","",INDEX(SchedZone,$C145,MAP!$B$6))</f>
        <v>2026_05_HOU_TEN</v>
      </c>
      <c r="E145" s="2">
        <f t="array" ref="E145">IF($C145="","",INDEX(SchedZone,$C145,MAP!$B$3))</f>
        <v>2026</v>
      </c>
      <c r="F145" s="2" t="str">
        <f t="array" ref="F145">IF($C145="","",INDEX(SchedZone,$C145,MAP!$B$5))</f>
        <v>REG</v>
      </c>
      <c r="G145" s="2">
        <f t="array" ref="G145">IF($C145="","",INDEX(SchedZone,$C145,MAP!$B$4))</f>
        <v>5</v>
      </c>
      <c r="H145" s="2" t="str">
        <f t="array" ref="H145">IF($C145="","",INDEX(SchedZone,$C145,MAP!$B$12))</f>
        <v>TEN</v>
      </c>
      <c r="I145" s="2" t="str">
        <f t="array" ref="I145">IF($H145="","",IF(COUNTIF(Teams,$H145)&gt;0,$H145,IFERROR(INDEX(LISTS!$D$2:$D$12,MATCH($H145,LISTS!$C$2:$C$12,0)),"⚠ "&amp;$H145)))</f>
        <v>TEN</v>
      </c>
      <c r="J145" s="2" t="str">
        <f t="array" ref="J145">IF($C145="","",INDEX(SchedZone,$C145,MAP!$B$10))</f>
        <v>HOU</v>
      </c>
      <c r="K145" s="2" t="str">
        <f t="array" ref="K145">IF($J145="","",IF(COUNTIF(Teams,$J145)&gt;0,$J145,IFERROR(INDEX(LISTS!$D$2:$D$12,MATCH($J145,LISTS!$C$2:$C$12,0)),"⚠ "&amp;$J145)))</f>
        <v>HOU</v>
      </c>
      <c r="L145" s="2" t="str">
        <f t="array" ref="L145">IF($C145="","",IF(INDEX(SchedZone,$C145,MAP!$B$14)="Neutral","N",IF($B145="HOME","H","A")))</f>
        <v>H</v>
      </c>
      <c r="M145" s="2" t="str">
        <f t="array" ref="M145">IF($C145="","",IF(INDEX(SchedZone,$C145,MAP!$B$13)="","",INDEX(SchedZone,$C145,MAP!$B$13)))</f>
        <v/>
      </c>
      <c r="N145" s="2" t="str">
        <f t="array" ref="N145">IF($C145="","",IF(INDEX(SchedZone,$C145,MAP!$B$11)="","",INDEX(SchedZone,$C145,MAP!$B$11)))</f>
        <v/>
      </c>
      <c r="O145" s="2">
        <f t="array" ref="O145">IF($C145="","",INDEX(SchedZone,$C145,MAP!$B$16))</f>
        <v>7</v>
      </c>
      <c r="P145" s="2" t="str">
        <f>IF($C145="","",IFERROR(MATCH($E145&amp;"|"&amp;$G145&amp;"|"&amp;$I145,StatsKey,0),""))</f>
        <v/>
      </c>
      <c r="Q145" s="2">
        <f t="array" ref="Q145">IF($P145="",0,INDEX(StatsZone,$P145,MAP!$E$9)+INDEX(StatsZone,$P145,MAP!$E$10)+INDEX(StatsZone,$P145,MAP!$E$11))</f>
        <v>0</v>
      </c>
      <c r="R145" s="2">
        <f t="array" ref="R145">IF($P145="",0,INDEX(StatsZone,$P145,MAP!$E$12))</f>
        <v>0</v>
      </c>
      <c r="S145" s="2">
        <f t="array" ref="S145">IF($P145="",0,INDEX(StatsZone,$P145,MAP!$E$13))</f>
        <v>0</v>
      </c>
      <c r="T145" s="2">
        <f t="shared" si="1"/>
        <v>0</v>
      </c>
      <c r="U145" s="2">
        <f t="array" ref="U145">IF($P145="",0,INDEX(StatsZone,$P145,MAP!$E$14)+INDEX(StatsZone,$P145,MAP!$E$15)+INDEX(StatsZone,$P145,MAP!$E$16))</f>
        <v>0</v>
      </c>
      <c r="V145" s="2">
        <f t="shared" si="2"/>
        <v>0</v>
      </c>
      <c r="W145" s="2">
        <f t="shared" si="3"/>
        <v>0</v>
      </c>
      <c r="X145" s="2">
        <f t="shared" si="4"/>
        <v>0</v>
      </c>
      <c r="Y145" s="2">
        <f t="shared" si="5"/>
        <v>0</v>
      </c>
      <c r="Z145" s="2">
        <f t="shared" si="6"/>
        <v>0</v>
      </c>
      <c r="AA145" s="2">
        <f t="shared" si="7"/>
        <v>1</v>
      </c>
      <c r="AB145" s="2">
        <f>IF(OR($M145="",$N145=""),0,MEDIAN(-MarginCap,MarginCap,($M145-$N145)-$AA145*HFA_Base))</f>
        <v>0</v>
      </c>
      <c r="AC145" s="2">
        <f t="array" ref="AC145">IF(OR($P145="",INDEX($P$3:$P$722,(ROW()+IF(MOD(ROW()-3,2)=0,1,-1))-3+1)=""),0,MEDIAN(-MarginCap,MarginCap,($T145-$W145)-$AA145*HFA_Base))</f>
        <v>0</v>
      </c>
      <c r="AD145" s="2">
        <f t="shared" si="8"/>
        <v>0</v>
      </c>
      <c r="AE145" s="2">
        <f>IF(OR($M145="",$N145=""),0,IF(AND(WEpa&gt;0,$AD145=1),(1-WEpa)*$AB145+WEpa*$AC145,$AB145))</f>
        <v>0</v>
      </c>
      <c r="AF145" s="2">
        <f>IF(AND($C145&lt;&gt;"",$E145=CurrentSeason,$F145="REG",ISNUMBER($G145),$G145&lt;CurrentWeek,AND($M145&lt;&gt;"",$N145&lt;&gt;"")),1,0)</f>
        <v>0</v>
      </c>
      <c r="AG145" s="2">
        <f>IF($AF145=0,0,IF($G145&gt;=CurrentWeek-RecencyWin,RecencyMult,1))</f>
        <v>0</v>
      </c>
      <c r="AH145" s="2">
        <f>IF(AND($C145&lt;&gt;"",$E145=CurrentSeason,$F145="REG",ISNUMBER($G145),$G145&lt;CurrentWeek-1,AND($M145&lt;&gt;"",$N145&lt;&gt;"")),1,0)</f>
        <v>0</v>
      </c>
      <c r="AI145" s="2">
        <f>IF($AH145=0,0,IF($G145&gt;=CurrentWeek-1-RecencyWin,RecencyMult,1))</f>
        <v>0</v>
      </c>
      <c r="AJ145" s="2">
        <f>IF($AF145=0,0,IF($G145&gt;=CurrentWeek-RecencyWin,TotRecency,1))</f>
        <v>0</v>
      </c>
      <c r="AK145" s="2">
        <f t="shared" si="9"/>
        <v>0</v>
      </c>
      <c r="AL145" s="2">
        <f t="shared" si="10"/>
        <v>0</v>
      </c>
      <c r="AM145" s="2" t="str">
        <f t="array" ref="AM145">IF($K145="",0,IFERROR(INDEX(CALC!$F$2:$F$33,MATCH($K145,CALC!$A$2:$A$33,0)),0))</f>
        <v/>
      </c>
      <c r="AN145" s="2" t="str">
        <f t="array" ref="AN145">IF($K145="",0,IFERROR(INDEX(CALC!$I$2:$I$33,MATCH($K145,CALC!$A$2:$A$33,0)),0))</f>
        <v/>
      </c>
      <c r="AO145" s="2" t="str">
        <f t="array" ref="AO145">IF($K145="",0,IFERROR(INDEX(CALC!$L$2:$L$33,MATCH($K145,CALC!$A$2:$A$33,0)),0))</f>
        <v/>
      </c>
      <c r="AP145" s="2" t="str">
        <f t="array" ref="AP145">IF($K145="",0,IFERROR(INDEX(CALC!$T$2:$T$33,MATCH($K145,CALC!$A$2:$A$33,0)),0))</f>
        <v/>
      </c>
      <c r="AQ145" s="2" t="str">
        <f t="array" ref="AQ145">IF($K145="",0,IFERROR(INDEX(CALC!$W$2:$W$33,MATCH($K145,CALC!$A$2:$A$33,0)),0))</f>
        <v/>
      </c>
      <c r="AR145" s="2" t="str">
        <f t="array" ref="AR145">IF($K145="",0,IFERROR(INDEX(CALC!$Z$2:$Z$33,MATCH($K145,CALC!$A$2:$A$33,0)),0))</f>
        <v/>
      </c>
      <c r="AS145" s="2" t="str">
        <f t="array" ref="AS145">IF($K145="",0,IFERROR(INDEX(CALC!$AJ$2:$AJ$33,MATCH($K145,CALC!$A$2:$A$33,0)),0))</f>
        <v/>
      </c>
      <c r="AT145" s="2" t="str">
        <f t="array" ref="AT145">IF($K145="",0,IFERROR(INDEX(CALC!$AI$2:$AI$33,MATCH($K145,CALC!$A$2:$A$33,0)),0))</f>
        <v/>
      </c>
      <c r="AU145" s="2">
        <f t="shared" si="11"/>
        <v>0</v>
      </c>
      <c r="AV145" s="2">
        <f t="shared" si="12"/>
        <v>0</v>
      </c>
    </row>
    <row r="146" ht="15.0" customHeight="1">
      <c r="A146" s="2">
        <v>72.0</v>
      </c>
      <c r="B146" s="2" t="s">
        <v>2366</v>
      </c>
      <c r="C146" s="2">
        <f>IFERROR(MATCH($A146,SchedSeq,0),"")</f>
        <v>357</v>
      </c>
      <c r="D146" s="2" t="str">
        <f t="array" ref="D146">IF($C146="","",INDEX(SchedZone,$C146,MAP!$B$6))</f>
        <v>2026_05_HOU_TEN</v>
      </c>
      <c r="E146" s="2">
        <f t="array" ref="E146">IF($C146="","",INDEX(SchedZone,$C146,MAP!$B$3))</f>
        <v>2026</v>
      </c>
      <c r="F146" s="2" t="str">
        <f t="array" ref="F146">IF($C146="","",INDEX(SchedZone,$C146,MAP!$B$5))</f>
        <v>REG</v>
      </c>
      <c r="G146" s="2">
        <f t="array" ref="G146">IF($C146="","",INDEX(SchedZone,$C146,MAP!$B$4))</f>
        <v>5</v>
      </c>
      <c r="H146" s="2" t="str">
        <f t="array" ref="H146">IF($C146="","",INDEX(SchedZone,$C146,MAP!$B$10))</f>
        <v>HOU</v>
      </c>
      <c r="I146" s="2" t="str">
        <f t="array" ref="I146">IF($H146="","",IF(COUNTIF(Teams,$H146)&gt;0,$H146,IFERROR(INDEX(LISTS!$D$2:$D$12,MATCH($H146,LISTS!$C$2:$C$12,0)),"⚠ "&amp;$H146)))</f>
        <v>HOU</v>
      </c>
      <c r="J146" s="2" t="str">
        <f t="array" ref="J146">IF($C146="","",INDEX(SchedZone,$C146,MAP!$B$12))</f>
        <v>TEN</v>
      </c>
      <c r="K146" s="2" t="str">
        <f t="array" ref="K146">IF($J146="","",IF(COUNTIF(Teams,$J146)&gt;0,$J146,IFERROR(INDEX(LISTS!$D$2:$D$12,MATCH($J146,LISTS!$C$2:$C$12,0)),"⚠ "&amp;$J146)))</f>
        <v>TEN</v>
      </c>
      <c r="L146" s="2" t="str">
        <f t="array" ref="L146">IF($C146="","",IF(INDEX(SchedZone,$C146,MAP!$B$14)="Neutral","N",IF($B146="HOME","H","A")))</f>
        <v>A</v>
      </c>
      <c r="M146" s="2" t="str">
        <f t="array" ref="M146">IF($C146="","",IF(INDEX(SchedZone,$C146,MAP!$B$11)="","",INDEX(SchedZone,$C146,MAP!$B$11)))</f>
        <v/>
      </c>
      <c r="N146" s="2" t="str">
        <f t="array" ref="N146">IF($C146="","",IF(INDEX(SchedZone,$C146,MAP!$B$13)="","",INDEX(SchedZone,$C146,MAP!$B$13)))</f>
        <v/>
      </c>
      <c r="O146" s="2">
        <f t="array" ref="O146">IF($C146="","",INDEX(SchedZone,$C146,MAP!$B$15))</f>
        <v>7</v>
      </c>
      <c r="P146" s="2" t="str">
        <f>IF($C146="","",IFERROR(MATCH($E146&amp;"|"&amp;$G146&amp;"|"&amp;$I146,StatsKey,0),""))</f>
        <v/>
      </c>
      <c r="Q146" s="2">
        <f t="array" ref="Q146">IF($P146="",0,INDEX(StatsZone,$P146,MAP!$E$9)+INDEX(StatsZone,$P146,MAP!$E$10)+INDEX(StatsZone,$P146,MAP!$E$11))</f>
        <v>0</v>
      </c>
      <c r="R146" s="2">
        <f t="array" ref="R146">IF($P146="",0,INDEX(StatsZone,$P146,MAP!$E$12))</f>
        <v>0</v>
      </c>
      <c r="S146" s="2">
        <f t="array" ref="S146">IF($P146="",0,INDEX(StatsZone,$P146,MAP!$E$13))</f>
        <v>0</v>
      </c>
      <c r="T146" s="2">
        <f t="shared" si="1"/>
        <v>0</v>
      </c>
      <c r="U146" s="2">
        <f t="array" ref="U146">IF($P146="",0,INDEX(StatsZone,$P146,MAP!$E$14)+INDEX(StatsZone,$P146,MAP!$E$15)+INDEX(StatsZone,$P146,MAP!$E$16))</f>
        <v>0</v>
      </c>
      <c r="V146" s="2">
        <f t="shared" si="2"/>
        <v>0</v>
      </c>
      <c r="W146" s="2">
        <f t="shared" si="3"/>
        <v>0</v>
      </c>
      <c r="X146" s="2">
        <f t="shared" si="4"/>
        <v>0</v>
      </c>
      <c r="Y146" s="2">
        <f t="shared" si="5"/>
        <v>0</v>
      </c>
      <c r="Z146" s="2">
        <f t="shared" si="6"/>
        <v>0</v>
      </c>
      <c r="AA146" s="2">
        <f t="shared" si="7"/>
        <v>-1</v>
      </c>
      <c r="AB146" s="2">
        <f>IF(OR($M146="",$N146=""),0,MEDIAN(-MarginCap,MarginCap,($M146-$N146)-$AA146*HFA_Base))</f>
        <v>0</v>
      </c>
      <c r="AC146" s="2">
        <f t="array" ref="AC146">IF(OR($P146="",INDEX($P$3:$P$722,(ROW()+IF(MOD(ROW()-3,2)=0,1,-1))-3+1)=""),0,MEDIAN(-MarginCap,MarginCap,($T146-$W146)-$AA146*HFA_Base))</f>
        <v>0</v>
      </c>
      <c r="AD146" s="2">
        <f t="shared" si="8"/>
        <v>0</v>
      </c>
      <c r="AE146" s="2">
        <f>IF(OR($M146="",$N146=""),0,IF(AND(WEpa&gt;0,$AD146=1),(1-WEpa)*$AB146+WEpa*$AC146,$AB146))</f>
        <v>0</v>
      </c>
      <c r="AF146" s="2">
        <f>IF(AND($C146&lt;&gt;"",$E146=CurrentSeason,$F146="REG",ISNUMBER($G146),$G146&lt;CurrentWeek,AND($M146&lt;&gt;"",$N146&lt;&gt;"")),1,0)</f>
        <v>0</v>
      </c>
      <c r="AG146" s="2">
        <f>IF($AF146=0,0,IF($G146&gt;=CurrentWeek-RecencyWin,RecencyMult,1))</f>
        <v>0</v>
      </c>
      <c r="AH146" s="2">
        <f>IF(AND($C146&lt;&gt;"",$E146=CurrentSeason,$F146="REG",ISNUMBER($G146),$G146&lt;CurrentWeek-1,AND($M146&lt;&gt;"",$N146&lt;&gt;"")),1,0)</f>
        <v>0</v>
      </c>
      <c r="AI146" s="2">
        <f>IF($AH146=0,0,IF($G146&gt;=CurrentWeek-1-RecencyWin,RecencyMult,1))</f>
        <v>0</v>
      </c>
      <c r="AJ146" s="2">
        <f>IF($AF146=0,0,IF($G146&gt;=CurrentWeek-RecencyWin,TotRecency,1))</f>
        <v>0</v>
      </c>
      <c r="AK146" s="2">
        <f t="shared" si="9"/>
        <v>0</v>
      </c>
      <c r="AL146" s="2">
        <f t="shared" si="10"/>
        <v>0</v>
      </c>
      <c r="AM146" s="2" t="str">
        <f t="array" ref="AM146">IF($K146="",0,IFERROR(INDEX(CALC!$F$2:$F$33,MATCH($K146,CALC!$A$2:$A$33,0)),0))</f>
        <v/>
      </c>
      <c r="AN146" s="2" t="str">
        <f t="array" ref="AN146">IF($K146="",0,IFERROR(INDEX(CALC!$I$2:$I$33,MATCH($K146,CALC!$A$2:$A$33,0)),0))</f>
        <v/>
      </c>
      <c r="AO146" s="2" t="str">
        <f t="array" ref="AO146">IF($K146="",0,IFERROR(INDEX(CALC!$L$2:$L$33,MATCH($K146,CALC!$A$2:$A$33,0)),0))</f>
        <v/>
      </c>
      <c r="AP146" s="2" t="str">
        <f t="array" ref="AP146">IF($K146="",0,IFERROR(INDEX(CALC!$T$2:$T$33,MATCH($K146,CALC!$A$2:$A$33,0)),0))</f>
        <v/>
      </c>
      <c r="AQ146" s="2" t="str">
        <f t="array" ref="AQ146">IF($K146="",0,IFERROR(INDEX(CALC!$W$2:$W$33,MATCH($K146,CALC!$A$2:$A$33,0)),0))</f>
        <v/>
      </c>
      <c r="AR146" s="2" t="str">
        <f t="array" ref="AR146">IF($K146="",0,IFERROR(INDEX(CALC!$Z$2:$Z$33,MATCH($K146,CALC!$A$2:$A$33,0)),0))</f>
        <v/>
      </c>
      <c r="AS146" s="2" t="str">
        <f t="array" ref="AS146">IF($K146="",0,IFERROR(INDEX(CALC!$AJ$2:$AJ$33,MATCH($K146,CALC!$A$2:$A$33,0)),0))</f>
        <v/>
      </c>
      <c r="AT146" s="2" t="str">
        <f t="array" ref="AT146">IF($K146="",0,IFERROR(INDEX(CALC!$AI$2:$AI$33,MATCH($K146,CALC!$A$2:$A$33,0)),0))</f>
        <v/>
      </c>
      <c r="AU146" s="2">
        <f t="shared" si="11"/>
        <v>0</v>
      </c>
      <c r="AV146" s="2">
        <f t="shared" si="12"/>
        <v>0</v>
      </c>
    </row>
    <row r="147" ht="15.0" customHeight="1">
      <c r="A147" s="2">
        <v>73.0</v>
      </c>
      <c r="B147" s="2" t="s">
        <v>2365</v>
      </c>
      <c r="C147" s="2">
        <f>IFERROR(MATCH($A147,SchedSeq,0),"")</f>
        <v>358</v>
      </c>
      <c r="D147" s="2" t="str">
        <f t="array" ref="D147">IF($C147="","",INDEX(SchedZone,$C147,MAP!$B$6))</f>
        <v>2026_05_NYG_WAS</v>
      </c>
      <c r="E147" s="2">
        <f t="array" ref="E147">IF($C147="","",INDEX(SchedZone,$C147,MAP!$B$3))</f>
        <v>2026</v>
      </c>
      <c r="F147" s="2" t="str">
        <f t="array" ref="F147">IF($C147="","",INDEX(SchedZone,$C147,MAP!$B$5))</f>
        <v>REG</v>
      </c>
      <c r="G147" s="2">
        <f t="array" ref="G147">IF($C147="","",INDEX(SchedZone,$C147,MAP!$B$4))</f>
        <v>5</v>
      </c>
      <c r="H147" s="2" t="str">
        <f t="array" ref="H147">IF($C147="","",INDEX(SchedZone,$C147,MAP!$B$12))</f>
        <v>WAS</v>
      </c>
      <c r="I147" s="2" t="str">
        <f t="array" ref="I147">IF($H147="","",IF(COUNTIF(Teams,$H147)&gt;0,$H147,IFERROR(INDEX(LISTS!$D$2:$D$12,MATCH($H147,LISTS!$C$2:$C$12,0)),"⚠ "&amp;$H147)))</f>
        <v>WAS</v>
      </c>
      <c r="J147" s="2" t="str">
        <f t="array" ref="J147">IF($C147="","",INDEX(SchedZone,$C147,MAP!$B$10))</f>
        <v>NYG</v>
      </c>
      <c r="K147" s="2" t="str">
        <f t="array" ref="K147">IF($J147="","",IF(COUNTIF(Teams,$J147)&gt;0,$J147,IFERROR(INDEX(LISTS!$D$2:$D$12,MATCH($J147,LISTS!$C$2:$C$12,0)),"⚠ "&amp;$J147)))</f>
        <v>NYG</v>
      </c>
      <c r="L147" s="2" t="str">
        <f t="array" ref="L147">IF($C147="","",IF(INDEX(SchedZone,$C147,MAP!$B$14)="Neutral","N",IF($B147="HOME","H","A")))</f>
        <v>H</v>
      </c>
      <c r="M147" s="2" t="str">
        <f t="array" ref="M147">IF($C147="","",IF(INDEX(SchedZone,$C147,MAP!$B$13)="","",INDEX(SchedZone,$C147,MAP!$B$13)))</f>
        <v/>
      </c>
      <c r="N147" s="2" t="str">
        <f t="array" ref="N147">IF($C147="","",IF(INDEX(SchedZone,$C147,MAP!$B$11)="","",INDEX(SchedZone,$C147,MAP!$B$11)))</f>
        <v/>
      </c>
      <c r="O147" s="2">
        <f t="array" ref="O147">IF($C147="","",INDEX(SchedZone,$C147,MAP!$B$16))</f>
        <v>7</v>
      </c>
      <c r="P147" s="2" t="str">
        <f>IF($C147="","",IFERROR(MATCH($E147&amp;"|"&amp;$G147&amp;"|"&amp;$I147,StatsKey,0),""))</f>
        <v/>
      </c>
      <c r="Q147" s="2">
        <f t="array" ref="Q147">IF($P147="",0,INDEX(StatsZone,$P147,MAP!$E$9)+INDEX(StatsZone,$P147,MAP!$E$10)+INDEX(StatsZone,$P147,MAP!$E$11))</f>
        <v>0</v>
      </c>
      <c r="R147" s="2">
        <f t="array" ref="R147">IF($P147="",0,INDEX(StatsZone,$P147,MAP!$E$12))</f>
        <v>0</v>
      </c>
      <c r="S147" s="2">
        <f t="array" ref="S147">IF($P147="",0,INDEX(StatsZone,$P147,MAP!$E$13))</f>
        <v>0</v>
      </c>
      <c r="T147" s="2">
        <f t="shared" si="1"/>
        <v>0</v>
      </c>
      <c r="U147" s="2">
        <f t="array" ref="U147">IF($P147="",0,INDEX(StatsZone,$P147,MAP!$E$14)+INDEX(StatsZone,$P147,MAP!$E$15)+INDEX(StatsZone,$P147,MAP!$E$16))</f>
        <v>0</v>
      </c>
      <c r="V147" s="2">
        <f t="shared" si="2"/>
        <v>0</v>
      </c>
      <c r="W147" s="2">
        <f t="shared" si="3"/>
        <v>0</v>
      </c>
      <c r="X147" s="2">
        <f t="shared" si="4"/>
        <v>0</v>
      </c>
      <c r="Y147" s="2">
        <f t="shared" si="5"/>
        <v>0</v>
      </c>
      <c r="Z147" s="2">
        <f t="shared" si="6"/>
        <v>0</v>
      </c>
      <c r="AA147" s="2">
        <f t="shared" si="7"/>
        <v>1</v>
      </c>
      <c r="AB147" s="2">
        <f>IF(OR($M147="",$N147=""),0,MEDIAN(-MarginCap,MarginCap,($M147-$N147)-$AA147*HFA_Base))</f>
        <v>0</v>
      </c>
      <c r="AC147" s="2">
        <f t="array" ref="AC147">IF(OR($P147="",INDEX($P$3:$P$722,(ROW()+IF(MOD(ROW()-3,2)=0,1,-1))-3+1)=""),0,MEDIAN(-MarginCap,MarginCap,($T147-$W147)-$AA147*HFA_Base))</f>
        <v>0</v>
      </c>
      <c r="AD147" s="2">
        <f t="shared" si="8"/>
        <v>0</v>
      </c>
      <c r="AE147" s="2">
        <f>IF(OR($M147="",$N147=""),0,IF(AND(WEpa&gt;0,$AD147=1),(1-WEpa)*$AB147+WEpa*$AC147,$AB147))</f>
        <v>0</v>
      </c>
      <c r="AF147" s="2">
        <f>IF(AND($C147&lt;&gt;"",$E147=CurrentSeason,$F147="REG",ISNUMBER($G147),$G147&lt;CurrentWeek,AND($M147&lt;&gt;"",$N147&lt;&gt;"")),1,0)</f>
        <v>0</v>
      </c>
      <c r="AG147" s="2">
        <f>IF($AF147=0,0,IF($G147&gt;=CurrentWeek-RecencyWin,RecencyMult,1))</f>
        <v>0</v>
      </c>
      <c r="AH147" s="2">
        <f>IF(AND($C147&lt;&gt;"",$E147=CurrentSeason,$F147="REG",ISNUMBER($G147),$G147&lt;CurrentWeek-1,AND($M147&lt;&gt;"",$N147&lt;&gt;"")),1,0)</f>
        <v>0</v>
      </c>
      <c r="AI147" s="2">
        <f>IF($AH147=0,0,IF($G147&gt;=CurrentWeek-1-RecencyWin,RecencyMult,1))</f>
        <v>0</v>
      </c>
      <c r="AJ147" s="2">
        <f>IF($AF147=0,0,IF($G147&gt;=CurrentWeek-RecencyWin,TotRecency,1))</f>
        <v>0</v>
      </c>
      <c r="AK147" s="2">
        <f t="shared" si="9"/>
        <v>0</v>
      </c>
      <c r="AL147" s="2">
        <f t="shared" si="10"/>
        <v>0</v>
      </c>
      <c r="AM147" s="2" t="str">
        <f t="array" ref="AM147">IF($K147="",0,IFERROR(INDEX(CALC!$F$2:$F$33,MATCH($K147,CALC!$A$2:$A$33,0)),0))</f>
        <v/>
      </c>
      <c r="AN147" s="2" t="str">
        <f t="array" ref="AN147">IF($K147="",0,IFERROR(INDEX(CALC!$I$2:$I$33,MATCH($K147,CALC!$A$2:$A$33,0)),0))</f>
        <v/>
      </c>
      <c r="AO147" s="2" t="str">
        <f t="array" ref="AO147">IF($K147="",0,IFERROR(INDEX(CALC!$L$2:$L$33,MATCH($K147,CALC!$A$2:$A$33,0)),0))</f>
        <v/>
      </c>
      <c r="AP147" s="2" t="str">
        <f t="array" ref="AP147">IF($K147="",0,IFERROR(INDEX(CALC!$T$2:$T$33,MATCH($K147,CALC!$A$2:$A$33,0)),0))</f>
        <v/>
      </c>
      <c r="AQ147" s="2" t="str">
        <f t="array" ref="AQ147">IF($K147="",0,IFERROR(INDEX(CALC!$W$2:$W$33,MATCH($K147,CALC!$A$2:$A$33,0)),0))</f>
        <v/>
      </c>
      <c r="AR147" s="2" t="str">
        <f t="array" ref="AR147">IF($K147="",0,IFERROR(INDEX(CALC!$Z$2:$Z$33,MATCH($K147,CALC!$A$2:$A$33,0)),0))</f>
        <v/>
      </c>
      <c r="AS147" s="2" t="str">
        <f t="array" ref="AS147">IF($K147="",0,IFERROR(INDEX(CALC!$AJ$2:$AJ$33,MATCH($K147,CALC!$A$2:$A$33,0)),0))</f>
        <v/>
      </c>
      <c r="AT147" s="2" t="str">
        <f t="array" ref="AT147">IF($K147="",0,IFERROR(INDEX(CALC!$AI$2:$AI$33,MATCH($K147,CALC!$A$2:$A$33,0)),0))</f>
        <v/>
      </c>
      <c r="AU147" s="2">
        <f t="shared" si="11"/>
        <v>0</v>
      </c>
      <c r="AV147" s="2">
        <f t="shared" si="12"/>
        <v>0</v>
      </c>
    </row>
    <row r="148" ht="15.0" customHeight="1">
      <c r="A148" s="2">
        <v>73.0</v>
      </c>
      <c r="B148" s="2" t="s">
        <v>2366</v>
      </c>
      <c r="C148" s="2">
        <f>IFERROR(MATCH($A148,SchedSeq,0),"")</f>
        <v>358</v>
      </c>
      <c r="D148" s="2" t="str">
        <f t="array" ref="D148">IF($C148="","",INDEX(SchedZone,$C148,MAP!$B$6))</f>
        <v>2026_05_NYG_WAS</v>
      </c>
      <c r="E148" s="2">
        <f t="array" ref="E148">IF($C148="","",INDEX(SchedZone,$C148,MAP!$B$3))</f>
        <v>2026</v>
      </c>
      <c r="F148" s="2" t="str">
        <f t="array" ref="F148">IF($C148="","",INDEX(SchedZone,$C148,MAP!$B$5))</f>
        <v>REG</v>
      </c>
      <c r="G148" s="2">
        <f t="array" ref="G148">IF($C148="","",INDEX(SchedZone,$C148,MAP!$B$4))</f>
        <v>5</v>
      </c>
      <c r="H148" s="2" t="str">
        <f t="array" ref="H148">IF($C148="","",INDEX(SchedZone,$C148,MAP!$B$10))</f>
        <v>NYG</v>
      </c>
      <c r="I148" s="2" t="str">
        <f t="array" ref="I148">IF($H148="","",IF(COUNTIF(Teams,$H148)&gt;0,$H148,IFERROR(INDEX(LISTS!$D$2:$D$12,MATCH($H148,LISTS!$C$2:$C$12,0)),"⚠ "&amp;$H148)))</f>
        <v>NYG</v>
      </c>
      <c r="J148" s="2" t="str">
        <f t="array" ref="J148">IF($C148="","",INDEX(SchedZone,$C148,MAP!$B$12))</f>
        <v>WAS</v>
      </c>
      <c r="K148" s="2" t="str">
        <f t="array" ref="K148">IF($J148="","",IF(COUNTIF(Teams,$J148)&gt;0,$J148,IFERROR(INDEX(LISTS!$D$2:$D$12,MATCH($J148,LISTS!$C$2:$C$12,0)),"⚠ "&amp;$J148)))</f>
        <v>WAS</v>
      </c>
      <c r="L148" s="2" t="str">
        <f t="array" ref="L148">IF($C148="","",IF(INDEX(SchedZone,$C148,MAP!$B$14)="Neutral","N",IF($B148="HOME","H","A")))</f>
        <v>A</v>
      </c>
      <c r="M148" s="2" t="str">
        <f t="array" ref="M148">IF($C148="","",IF(INDEX(SchedZone,$C148,MAP!$B$11)="","",INDEX(SchedZone,$C148,MAP!$B$11)))</f>
        <v/>
      </c>
      <c r="N148" s="2" t="str">
        <f t="array" ref="N148">IF($C148="","",IF(INDEX(SchedZone,$C148,MAP!$B$13)="","",INDEX(SchedZone,$C148,MAP!$B$13)))</f>
        <v/>
      </c>
      <c r="O148" s="2">
        <f t="array" ref="O148">IF($C148="","",INDEX(SchedZone,$C148,MAP!$B$15))</f>
        <v>7</v>
      </c>
      <c r="P148" s="2" t="str">
        <f>IF($C148="","",IFERROR(MATCH($E148&amp;"|"&amp;$G148&amp;"|"&amp;$I148,StatsKey,0),""))</f>
        <v/>
      </c>
      <c r="Q148" s="2">
        <f t="array" ref="Q148">IF($P148="",0,INDEX(StatsZone,$P148,MAP!$E$9)+INDEX(StatsZone,$P148,MAP!$E$10)+INDEX(StatsZone,$P148,MAP!$E$11))</f>
        <v>0</v>
      </c>
      <c r="R148" s="2">
        <f t="array" ref="R148">IF($P148="",0,INDEX(StatsZone,$P148,MAP!$E$12))</f>
        <v>0</v>
      </c>
      <c r="S148" s="2">
        <f t="array" ref="S148">IF($P148="",0,INDEX(StatsZone,$P148,MAP!$E$13))</f>
        <v>0</v>
      </c>
      <c r="T148" s="2">
        <f t="shared" si="1"/>
        <v>0</v>
      </c>
      <c r="U148" s="2">
        <f t="array" ref="U148">IF($P148="",0,INDEX(StatsZone,$P148,MAP!$E$14)+INDEX(StatsZone,$P148,MAP!$E$15)+INDEX(StatsZone,$P148,MAP!$E$16))</f>
        <v>0</v>
      </c>
      <c r="V148" s="2">
        <f t="shared" si="2"/>
        <v>0</v>
      </c>
      <c r="W148" s="2">
        <f t="shared" si="3"/>
        <v>0</v>
      </c>
      <c r="X148" s="2">
        <f t="shared" si="4"/>
        <v>0</v>
      </c>
      <c r="Y148" s="2">
        <f t="shared" si="5"/>
        <v>0</v>
      </c>
      <c r="Z148" s="2">
        <f t="shared" si="6"/>
        <v>0</v>
      </c>
      <c r="AA148" s="2">
        <f t="shared" si="7"/>
        <v>-1</v>
      </c>
      <c r="AB148" s="2">
        <f>IF(OR($M148="",$N148=""),0,MEDIAN(-MarginCap,MarginCap,($M148-$N148)-$AA148*HFA_Base))</f>
        <v>0</v>
      </c>
      <c r="AC148" s="2">
        <f t="array" ref="AC148">IF(OR($P148="",INDEX($P$3:$P$722,(ROW()+IF(MOD(ROW()-3,2)=0,1,-1))-3+1)=""),0,MEDIAN(-MarginCap,MarginCap,($T148-$W148)-$AA148*HFA_Base))</f>
        <v>0</v>
      </c>
      <c r="AD148" s="2">
        <f t="shared" si="8"/>
        <v>0</v>
      </c>
      <c r="AE148" s="2">
        <f>IF(OR($M148="",$N148=""),0,IF(AND(WEpa&gt;0,$AD148=1),(1-WEpa)*$AB148+WEpa*$AC148,$AB148))</f>
        <v>0</v>
      </c>
      <c r="AF148" s="2">
        <f>IF(AND($C148&lt;&gt;"",$E148=CurrentSeason,$F148="REG",ISNUMBER($G148),$G148&lt;CurrentWeek,AND($M148&lt;&gt;"",$N148&lt;&gt;"")),1,0)</f>
        <v>0</v>
      </c>
      <c r="AG148" s="2">
        <f>IF($AF148=0,0,IF($G148&gt;=CurrentWeek-RecencyWin,RecencyMult,1))</f>
        <v>0</v>
      </c>
      <c r="AH148" s="2">
        <f>IF(AND($C148&lt;&gt;"",$E148=CurrentSeason,$F148="REG",ISNUMBER($G148),$G148&lt;CurrentWeek-1,AND($M148&lt;&gt;"",$N148&lt;&gt;"")),1,0)</f>
        <v>0</v>
      </c>
      <c r="AI148" s="2">
        <f>IF($AH148=0,0,IF($G148&gt;=CurrentWeek-1-RecencyWin,RecencyMult,1))</f>
        <v>0</v>
      </c>
      <c r="AJ148" s="2">
        <f>IF($AF148=0,0,IF($G148&gt;=CurrentWeek-RecencyWin,TotRecency,1))</f>
        <v>0</v>
      </c>
      <c r="AK148" s="2">
        <f t="shared" si="9"/>
        <v>0</v>
      </c>
      <c r="AL148" s="2">
        <f t="shared" si="10"/>
        <v>0</v>
      </c>
      <c r="AM148" s="2" t="str">
        <f t="array" ref="AM148">IF($K148="",0,IFERROR(INDEX(CALC!$F$2:$F$33,MATCH($K148,CALC!$A$2:$A$33,0)),0))</f>
        <v/>
      </c>
      <c r="AN148" s="2" t="str">
        <f t="array" ref="AN148">IF($K148="",0,IFERROR(INDEX(CALC!$I$2:$I$33,MATCH($K148,CALC!$A$2:$A$33,0)),0))</f>
        <v/>
      </c>
      <c r="AO148" s="2" t="str">
        <f t="array" ref="AO148">IF($K148="",0,IFERROR(INDEX(CALC!$L$2:$L$33,MATCH($K148,CALC!$A$2:$A$33,0)),0))</f>
        <v/>
      </c>
      <c r="AP148" s="2" t="str">
        <f t="array" ref="AP148">IF($K148="",0,IFERROR(INDEX(CALC!$T$2:$T$33,MATCH($K148,CALC!$A$2:$A$33,0)),0))</f>
        <v/>
      </c>
      <c r="AQ148" s="2" t="str">
        <f t="array" ref="AQ148">IF($K148="",0,IFERROR(INDEX(CALC!$W$2:$W$33,MATCH($K148,CALC!$A$2:$A$33,0)),0))</f>
        <v/>
      </c>
      <c r="AR148" s="2" t="str">
        <f t="array" ref="AR148">IF($K148="",0,IFERROR(INDEX(CALC!$Z$2:$Z$33,MATCH($K148,CALC!$A$2:$A$33,0)),0))</f>
        <v/>
      </c>
      <c r="AS148" s="2" t="str">
        <f t="array" ref="AS148">IF($K148="",0,IFERROR(INDEX(CALC!$AJ$2:$AJ$33,MATCH($K148,CALC!$A$2:$A$33,0)),0))</f>
        <v/>
      </c>
      <c r="AT148" s="2" t="str">
        <f t="array" ref="AT148">IF($K148="",0,IFERROR(INDEX(CALC!$AI$2:$AI$33,MATCH($K148,CALC!$A$2:$A$33,0)),0))</f>
        <v/>
      </c>
      <c r="AU148" s="2">
        <f t="shared" si="11"/>
        <v>0</v>
      </c>
      <c r="AV148" s="2">
        <f t="shared" si="12"/>
        <v>0</v>
      </c>
    </row>
    <row r="149" ht="15.0" customHeight="1">
      <c r="A149" s="2">
        <v>74.0</v>
      </c>
      <c r="B149" s="2" t="s">
        <v>2365</v>
      </c>
      <c r="C149" s="2">
        <f>IFERROR(MATCH($A149,SchedSeq,0),"")</f>
        <v>359</v>
      </c>
      <c r="D149" s="2" t="str">
        <f t="array" ref="D149">IF($C149="","",INDEX(SchedZone,$C149,MAP!$B$6))</f>
        <v>2026_05_DEN_LAC</v>
      </c>
      <c r="E149" s="2">
        <f t="array" ref="E149">IF($C149="","",INDEX(SchedZone,$C149,MAP!$B$3))</f>
        <v>2026</v>
      </c>
      <c r="F149" s="2" t="str">
        <f t="array" ref="F149">IF($C149="","",INDEX(SchedZone,$C149,MAP!$B$5))</f>
        <v>REG</v>
      </c>
      <c r="G149" s="2">
        <f t="array" ref="G149">IF($C149="","",INDEX(SchedZone,$C149,MAP!$B$4))</f>
        <v>5</v>
      </c>
      <c r="H149" s="2" t="str">
        <f t="array" ref="H149">IF($C149="","",INDEX(SchedZone,$C149,MAP!$B$12))</f>
        <v>LAC</v>
      </c>
      <c r="I149" s="2" t="str">
        <f t="array" ref="I149">IF($H149="","",IF(COUNTIF(Teams,$H149)&gt;0,$H149,IFERROR(INDEX(LISTS!$D$2:$D$12,MATCH($H149,LISTS!$C$2:$C$12,0)),"⚠ "&amp;$H149)))</f>
        <v>LAC</v>
      </c>
      <c r="J149" s="2" t="str">
        <f t="array" ref="J149">IF($C149="","",INDEX(SchedZone,$C149,MAP!$B$10))</f>
        <v>DEN</v>
      </c>
      <c r="K149" s="2" t="str">
        <f t="array" ref="K149">IF($J149="","",IF(COUNTIF(Teams,$J149)&gt;0,$J149,IFERROR(INDEX(LISTS!$D$2:$D$12,MATCH($J149,LISTS!$C$2:$C$12,0)),"⚠ "&amp;$J149)))</f>
        <v>DEN</v>
      </c>
      <c r="L149" s="2" t="str">
        <f t="array" ref="L149">IF($C149="","",IF(INDEX(SchedZone,$C149,MAP!$B$14)="Neutral","N",IF($B149="HOME","H","A")))</f>
        <v>H</v>
      </c>
      <c r="M149" s="2" t="str">
        <f t="array" ref="M149">IF($C149="","",IF(INDEX(SchedZone,$C149,MAP!$B$13)="","",INDEX(SchedZone,$C149,MAP!$B$13)))</f>
        <v/>
      </c>
      <c r="N149" s="2" t="str">
        <f t="array" ref="N149">IF($C149="","",IF(INDEX(SchedZone,$C149,MAP!$B$11)="","",INDEX(SchedZone,$C149,MAP!$B$11)))</f>
        <v/>
      </c>
      <c r="O149" s="2">
        <f t="array" ref="O149">IF($C149="","",INDEX(SchedZone,$C149,MAP!$B$16))</f>
        <v>7</v>
      </c>
      <c r="P149" s="2" t="str">
        <f>IF($C149="","",IFERROR(MATCH($E149&amp;"|"&amp;$G149&amp;"|"&amp;$I149,StatsKey,0),""))</f>
        <v/>
      </c>
      <c r="Q149" s="2">
        <f t="array" ref="Q149">IF($P149="",0,INDEX(StatsZone,$P149,MAP!$E$9)+INDEX(StatsZone,$P149,MAP!$E$10)+INDEX(StatsZone,$P149,MAP!$E$11))</f>
        <v>0</v>
      </c>
      <c r="R149" s="2">
        <f t="array" ref="R149">IF($P149="",0,INDEX(StatsZone,$P149,MAP!$E$12))</f>
        <v>0</v>
      </c>
      <c r="S149" s="2">
        <f t="array" ref="S149">IF($P149="",0,INDEX(StatsZone,$P149,MAP!$E$13))</f>
        <v>0</v>
      </c>
      <c r="T149" s="2">
        <f t="shared" si="1"/>
        <v>0</v>
      </c>
      <c r="U149" s="2">
        <f t="array" ref="U149">IF($P149="",0,INDEX(StatsZone,$P149,MAP!$E$14)+INDEX(StatsZone,$P149,MAP!$E$15)+INDEX(StatsZone,$P149,MAP!$E$16))</f>
        <v>0</v>
      </c>
      <c r="V149" s="2">
        <f t="shared" si="2"/>
        <v>0</v>
      </c>
      <c r="W149" s="2">
        <f t="shared" si="3"/>
        <v>0</v>
      </c>
      <c r="X149" s="2">
        <f t="shared" si="4"/>
        <v>0</v>
      </c>
      <c r="Y149" s="2">
        <f t="shared" si="5"/>
        <v>0</v>
      </c>
      <c r="Z149" s="2">
        <f t="shared" si="6"/>
        <v>0</v>
      </c>
      <c r="AA149" s="2">
        <f t="shared" si="7"/>
        <v>1</v>
      </c>
      <c r="AB149" s="2">
        <f>IF(OR($M149="",$N149=""),0,MEDIAN(-MarginCap,MarginCap,($M149-$N149)-$AA149*HFA_Base))</f>
        <v>0</v>
      </c>
      <c r="AC149" s="2">
        <f t="array" ref="AC149">IF(OR($P149="",INDEX($P$3:$P$722,(ROW()+IF(MOD(ROW()-3,2)=0,1,-1))-3+1)=""),0,MEDIAN(-MarginCap,MarginCap,($T149-$W149)-$AA149*HFA_Base))</f>
        <v>0</v>
      </c>
      <c r="AD149" s="2">
        <f t="shared" si="8"/>
        <v>0</v>
      </c>
      <c r="AE149" s="2">
        <f>IF(OR($M149="",$N149=""),0,IF(AND(WEpa&gt;0,$AD149=1),(1-WEpa)*$AB149+WEpa*$AC149,$AB149))</f>
        <v>0</v>
      </c>
      <c r="AF149" s="2">
        <f>IF(AND($C149&lt;&gt;"",$E149=CurrentSeason,$F149="REG",ISNUMBER($G149),$G149&lt;CurrentWeek,AND($M149&lt;&gt;"",$N149&lt;&gt;"")),1,0)</f>
        <v>0</v>
      </c>
      <c r="AG149" s="2">
        <f>IF($AF149=0,0,IF($G149&gt;=CurrentWeek-RecencyWin,RecencyMult,1))</f>
        <v>0</v>
      </c>
      <c r="AH149" s="2">
        <f>IF(AND($C149&lt;&gt;"",$E149=CurrentSeason,$F149="REG",ISNUMBER($G149),$G149&lt;CurrentWeek-1,AND($M149&lt;&gt;"",$N149&lt;&gt;"")),1,0)</f>
        <v>0</v>
      </c>
      <c r="AI149" s="2">
        <f>IF($AH149=0,0,IF($G149&gt;=CurrentWeek-1-RecencyWin,RecencyMult,1))</f>
        <v>0</v>
      </c>
      <c r="AJ149" s="2">
        <f>IF($AF149=0,0,IF($G149&gt;=CurrentWeek-RecencyWin,TotRecency,1))</f>
        <v>0</v>
      </c>
      <c r="AK149" s="2">
        <f t="shared" si="9"/>
        <v>0</v>
      </c>
      <c r="AL149" s="2">
        <f t="shared" si="10"/>
        <v>0</v>
      </c>
      <c r="AM149" s="2" t="str">
        <f t="array" ref="AM149">IF($K149="",0,IFERROR(INDEX(CALC!$F$2:$F$33,MATCH($K149,CALC!$A$2:$A$33,0)),0))</f>
        <v/>
      </c>
      <c r="AN149" s="2" t="str">
        <f t="array" ref="AN149">IF($K149="",0,IFERROR(INDEX(CALC!$I$2:$I$33,MATCH($K149,CALC!$A$2:$A$33,0)),0))</f>
        <v/>
      </c>
      <c r="AO149" s="2" t="str">
        <f t="array" ref="AO149">IF($K149="",0,IFERROR(INDEX(CALC!$L$2:$L$33,MATCH($K149,CALC!$A$2:$A$33,0)),0))</f>
        <v/>
      </c>
      <c r="AP149" s="2" t="str">
        <f t="array" ref="AP149">IF($K149="",0,IFERROR(INDEX(CALC!$T$2:$T$33,MATCH($K149,CALC!$A$2:$A$33,0)),0))</f>
        <v/>
      </c>
      <c r="AQ149" s="2" t="str">
        <f t="array" ref="AQ149">IF($K149="",0,IFERROR(INDEX(CALC!$W$2:$W$33,MATCH($K149,CALC!$A$2:$A$33,0)),0))</f>
        <v/>
      </c>
      <c r="AR149" s="2" t="str">
        <f t="array" ref="AR149">IF($K149="",0,IFERROR(INDEX(CALC!$Z$2:$Z$33,MATCH($K149,CALC!$A$2:$A$33,0)),0))</f>
        <v/>
      </c>
      <c r="AS149" s="2" t="str">
        <f t="array" ref="AS149">IF($K149="",0,IFERROR(INDEX(CALC!$AJ$2:$AJ$33,MATCH($K149,CALC!$A$2:$A$33,0)),0))</f>
        <v/>
      </c>
      <c r="AT149" s="2" t="str">
        <f t="array" ref="AT149">IF($K149="",0,IFERROR(INDEX(CALC!$AI$2:$AI$33,MATCH($K149,CALC!$A$2:$A$33,0)),0))</f>
        <v/>
      </c>
      <c r="AU149" s="2">
        <f t="shared" si="11"/>
        <v>0</v>
      </c>
      <c r="AV149" s="2">
        <f t="shared" si="12"/>
        <v>0</v>
      </c>
    </row>
    <row r="150" ht="15.0" customHeight="1">
      <c r="A150" s="2">
        <v>74.0</v>
      </c>
      <c r="B150" s="2" t="s">
        <v>2366</v>
      </c>
      <c r="C150" s="2">
        <f>IFERROR(MATCH($A150,SchedSeq,0),"")</f>
        <v>359</v>
      </c>
      <c r="D150" s="2" t="str">
        <f t="array" ref="D150">IF($C150="","",INDEX(SchedZone,$C150,MAP!$B$6))</f>
        <v>2026_05_DEN_LAC</v>
      </c>
      <c r="E150" s="2">
        <f t="array" ref="E150">IF($C150="","",INDEX(SchedZone,$C150,MAP!$B$3))</f>
        <v>2026</v>
      </c>
      <c r="F150" s="2" t="str">
        <f t="array" ref="F150">IF($C150="","",INDEX(SchedZone,$C150,MAP!$B$5))</f>
        <v>REG</v>
      </c>
      <c r="G150" s="2">
        <f t="array" ref="G150">IF($C150="","",INDEX(SchedZone,$C150,MAP!$B$4))</f>
        <v>5</v>
      </c>
      <c r="H150" s="2" t="str">
        <f t="array" ref="H150">IF($C150="","",INDEX(SchedZone,$C150,MAP!$B$10))</f>
        <v>DEN</v>
      </c>
      <c r="I150" s="2" t="str">
        <f t="array" ref="I150">IF($H150="","",IF(COUNTIF(Teams,$H150)&gt;0,$H150,IFERROR(INDEX(LISTS!$D$2:$D$12,MATCH($H150,LISTS!$C$2:$C$12,0)),"⚠ "&amp;$H150)))</f>
        <v>DEN</v>
      </c>
      <c r="J150" s="2" t="str">
        <f t="array" ref="J150">IF($C150="","",INDEX(SchedZone,$C150,MAP!$B$12))</f>
        <v>LAC</v>
      </c>
      <c r="K150" s="2" t="str">
        <f t="array" ref="K150">IF($J150="","",IF(COUNTIF(Teams,$J150)&gt;0,$J150,IFERROR(INDEX(LISTS!$D$2:$D$12,MATCH($J150,LISTS!$C$2:$C$12,0)),"⚠ "&amp;$J150)))</f>
        <v>LAC</v>
      </c>
      <c r="L150" s="2" t="str">
        <f t="array" ref="L150">IF($C150="","",IF(INDEX(SchedZone,$C150,MAP!$B$14)="Neutral","N",IF($B150="HOME","H","A")))</f>
        <v>A</v>
      </c>
      <c r="M150" s="2" t="str">
        <f t="array" ref="M150">IF($C150="","",IF(INDEX(SchedZone,$C150,MAP!$B$11)="","",INDEX(SchedZone,$C150,MAP!$B$11)))</f>
        <v/>
      </c>
      <c r="N150" s="2" t="str">
        <f t="array" ref="N150">IF($C150="","",IF(INDEX(SchedZone,$C150,MAP!$B$13)="","",INDEX(SchedZone,$C150,MAP!$B$13)))</f>
        <v/>
      </c>
      <c r="O150" s="2">
        <f t="array" ref="O150">IF($C150="","",INDEX(SchedZone,$C150,MAP!$B$15))</f>
        <v>7</v>
      </c>
      <c r="P150" s="2" t="str">
        <f>IF($C150="","",IFERROR(MATCH($E150&amp;"|"&amp;$G150&amp;"|"&amp;$I150,StatsKey,0),""))</f>
        <v/>
      </c>
      <c r="Q150" s="2">
        <f t="array" ref="Q150">IF($P150="",0,INDEX(StatsZone,$P150,MAP!$E$9)+INDEX(StatsZone,$P150,MAP!$E$10)+INDEX(StatsZone,$P150,MAP!$E$11))</f>
        <v>0</v>
      </c>
      <c r="R150" s="2">
        <f t="array" ref="R150">IF($P150="",0,INDEX(StatsZone,$P150,MAP!$E$12))</f>
        <v>0</v>
      </c>
      <c r="S150" s="2">
        <f t="array" ref="S150">IF($P150="",0,INDEX(StatsZone,$P150,MAP!$E$13))</f>
        <v>0</v>
      </c>
      <c r="T150" s="2">
        <f t="shared" si="1"/>
        <v>0</v>
      </c>
      <c r="U150" s="2">
        <f t="array" ref="U150">IF($P150="",0,INDEX(StatsZone,$P150,MAP!$E$14)+INDEX(StatsZone,$P150,MAP!$E$15)+INDEX(StatsZone,$P150,MAP!$E$16))</f>
        <v>0</v>
      </c>
      <c r="V150" s="2">
        <f t="shared" si="2"/>
        <v>0</v>
      </c>
      <c r="W150" s="2">
        <f t="shared" si="3"/>
        <v>0</v>
      </c>
      <c r="X150" s="2">
        <f t="shared" si="4"/>
        <v>0</v>
      </c>
      <c r="Y150" s="2">
        <f t="shared" si="5"/>
        <v>0</v>
      </c>
      <c r="Z150" s="2">
        <f t="shared" si="6"/>
        <v>0</v>
      </c>
      <c r="AA150" s="2">
        <f t="shared" si="7"/>
        <v>-1</v>
      </c>
      <c r="AB150" s="2">
        <f>IF(OR($M150="",$N150=""),0,MEDIAN(-MarginCap,MarginCap,($M150-$N150)-$AA150*HFA_Base))</f>
        <v>0</v>
      </c>
      <c r="AC150" s="2">
        <f t="array" ref="AC150">IF(OR($P150="",INDEX($P$3:$P$722,(ROW()+IF(MOD(ROW()-3,2)=0,1,-1))-3+1)=""),0,MEDIAN(-MarginCap,MarginCap,($T150-$W150)-$AA150*HFA_Base))</f>
        <v>0</v>
      </c>
      <c r="AD150" s="2">
        <f t="shared" si="8"/>
        <v>0</v>
      </c>
      <c r="AE150" s="2">
        <f>IF(OR($M150="",$N150=""),0,IF(AND(WEpa&gt;0,$AD150=1),(1-WEpa)*$AB150+WEpa*$AC150,$AB150))</f>
        <v>0</v>
      </c>
      <c r="AF150" s="2">
        <f>IF(AND($C150&lt;&gt;"",$E150=CurrentSeason,$F150="REG",ISNUMBER($G150),$G150&lt;CurrentWeek,AND($M150&lt;&gt;"",$N150&lt;&gt;"")),1,0)</f>
        <v>0</v>
      </c>
      <c r="AG150" s="2">
        <f>IF($AF150=0,0,IF($G150&gt;=CurrentWeek-RecencyWin,RecencyMult,1))</f>
        <v>0</v>
      </c>
      <c r="AH150" s="2">
        <f>IF(AND($C150&lt;&gt;"",$E150=CurrentSeason,$F150="REG",ISNUMBER($G150),$G150&lt;CurrentWeek-1,AND($M150&lt;&gt;"",$N150&lt;&gt;"")),1,0)</f>
        <v>0</v>
      </c>
      <c r="AI150" s="2">
        <f>IF($AH150=0,0,IF($G150&gt;=CurrentWeek-1-RecencyWin,RecencyMult,1))</f>
        <v>0</v>
      </c>
      <c r="AJ150" s="2">
        <f>IF($AF150=0,0,IF($G150&gt;=CurrentWeek-RecencyWin,TotRecency,1))</f>
        <v>0</v>
      </c>
      <c r="AK150" s="2">
        <f t="shared" si="9"/>
        <v>0</v>
      </c>
      <c r="AL150" s="2">
        <f t="shared" si="10"/>
        <v>0</v>
      </c>
      <c r="AM150" s="2" t="str">
        <f t="array" ref="AM150">IF($K150="",0,IFERROR(INDEX(CALC!$F$2:$F$33,MATCH($K150,CALC!$A$2:$A$33,0)),0))</f>
        <v/>
      </c>
      <c r="AN150" s="2" t="str">
        <f t="array" ref="AN150">IF($K150="",0,IFERROR(INDEX(CALC!$I$2:$I$33,MATCH($K150,CALC!$A$2:$A$33,0)),0))</f>
        <v/>
      </c>
      <c r="AO150" s="2" t="str">
        <f t="array" ref="AO150">IF($K150="",0,IFERROR(INDEX(CALC!$L$2:$L$33,MATCH($K150,CALC!$A$2:$A$33,0)),0))</f>
        <v/>
      </c>
      <c r="AP150" s="2" t="str">
        <f t="array" ref="AP150">IF($K150="",0,IFERROR(INDEX(CALC!$T$2:$T$33,MATCH($K150,CALC!$A$2:$A$33,0)),0))</f>
        <v/>
      </c>
      <c r="AQ150" s="2" t="str">
        <f t="array" ref="AQ150">IF($K150="",0,IFERROR(INDEX(CALC!$W$2:$W$33,MATCH($K150,CALC!$A$2:$A$33,0)),0))</f>
        <v/>
      </c>
      <c r="AR150" s="2" t="str">
        <f t="array" ref="AR150">IF($K150="",0,IFERROR(INDEX(CALC!$Z$2:$Z$33,MATCH($K150,CALC!$A$2:$A$33,0)),0))</f>
        <v/>
      </c>
      <c r="AS150" s="2" t="str">
        <f t="array" ref="AS150">IF($K150="",0,IFERROR(INDEX(CALC!$AJ$2:$AJ$33,MATCH($K150,CALC!$A$2:$A$33,0)),0))</f>
        <v/>
      </c>
      <c r="AT150" s="2" t="str">
        <f t="array" ref="AT150">IF($K150="",0,IFERROR(INDEX(CALC!$AI$2:$AI$33,MATCH($K150,CALC!$A$2:$A$33,0)),0))</f>
        <v/>
      </c>
      <c r="AU150" s="2">
        <f t="shared" si="11"/>
        <v>0</v>
      </c>
      <c r="AV150" s="2">
        <f t="shared" si="12"/>
        <v>0</v>
      </c>
    </row>
    <row r="151" ht="15.0" customHeight="1">
      <c r="A151" s="2">
        <v>75.0</v>
      </c>
      <c r="B151" s="2" t="s">
        <v>2365</v>
      </c>
      <c r="C151" s="2">
        <f>IFERROR(MATCH($A151,SchedSeq,0),"")</f>
        <v>360</v>
      </c>
      <c r="D151" s="2" t="str">
        <f t="array" ref="D151">IF($C151="","",INDEX(SchedZone,$C151,MAP!$B$6))</f>
        <v>2026_05_DET_ARI</v>
      </c>
      <c r="E151" s="2">
        <f t="array" ref="E151">IF($C151="","",INDEX(SchedZone,$C151,MAP!$B$3))</f>
        <v>2026</v>
      </c>
      <c r="F151" s="2" t="str">
        <f t="array" ref="F151">IF($C151="","",INDEX(SchedZone,$C151,MAP!$B$5))</f>
        <v>REG</v>
      </c>
      <c r="G151" s="2">
        <f t="array" ref="G151">IF($C151="","",INDEX(SchedZone,$C151,MAP!$B$4))</f>
        <v>5</v>
      </c>
      <c r="H151" s="2" t="str">
        <f t="array" ref="H151">IF($C151="","",INDEX(SchedZone,$C151,MAP!$B$12))</f>
        <v>ARI</v>
      </c>
      <c r="I151" s="2" t="str">
        <f t="array" ref="I151">IF($H151="","",IF(COUNTIF(Teams,$H151)&gt;0,$H151,IFERROR(INDEX(LISTS!$D$2:$D$12,MATCH($H151,LISTS!$C$2:$C$12,0)),"⚠ "&amp;$H151)))</f>
        <v>ARI</v>
      </c>
      <c r="J151" s="2" t="str">
        <f t="array" ref="J151">IF($C151="","",INDEX(SchedZone,$C151,MAP!$B$10))</f>
        <v>DET</v>
      </c>
      <c r="K151" s="2" t="str">
        <f t="array" ref="K151">IF($J151="","",IF(COUNTIF(Teams,$J151)&gt;0,$J151,IFERROR(INDEX(LISTS!$D$2:$D$12,MATCH($J151,LISTS!$C$2:$C$12,0)),"⚠ "&amp;$J151)))</f>
        <v>DET</v>
      </c>
      <c r="L151" s="2" t="str">
        <f t="array" ref="L151">IF($C151="","",IF(INDEX(SchedZone,$C151,MAP!$B$14)="Neutral","N",IF($B151="HOME","H","A")))</f>
        <v>H</v>
      </c>
      <c r="M151" s="2" t="str">
        <f t="array" ref="M151">IF($C151="","",IF(INDEX(SchedZone,$C151,MAP!$B$13)="","",INDEX(SchedZone,$C151,MAP!$B$13)))</f>
        <v/>
      </c>
      <c r="N151" s="2" t="str">
        <f t="array" ref="N151">IF($C151="","",IF(INDEX(SchedZone,$C151,MAP!$B$11)="","",INDEX(SchedZone,$C151,MAP!$B$11)))</f>
        <v/>
      </c>
      <c r="O151" s="2">
        <f t="array" ref="O151">IF($C151="","",INDEX(SchedZone,$C151,MAP!$B$16))</f>
        <v>7</v>
      </c>
      <c r="P151" s="2" t="str">
        <f>IF($C151="","",IFERROR(MATCH($E151&amp;"|"&amp;$G151&amp;"|"&amp;$I151,StatsKey,0),""))</f>
        <v/>
      </c>
      <c r="Q151" s="2">
        <f t="array" ref="Q151">IF($P151="",0,INDEX(StatsZone,$P151,MAP!$E$9)+INDEX(StatsZone,$P151,MAP!$E$10)+INDEX(StatsZone,$P151,MAP!$E$11))</f>
        <v>0</v>
      </c>
      <c r="R151" s="2">
        <f t="array" ref="R151">IF($P151="",0,INDEX(StatsZone,$P151,MAP!$E$12))</f>
        <v>0</v>
      </c>
      <c r="S151" s="2">
        <f t="array" ref="S151">IF($P151="",0,INDEX(StatsZone,$P151,MAP!$E$13))</f>
        <v>0</v>
      </c>
      <c r="T151" s="2">
        <f t="shared" si="1"/>
        <v>0</v>
      </c>
      <c r="U151" s="2">
        <f t="array" ref="U151">IF($P151="",0,INDEX(StatsZone,$P151,MAP!$E$14)+INDEX(StatsZone,$P151,MAP!$E$15)+INDEX(StatsZone,$P151,MAP!$E$16))</f>
        <v>0</v>
      </c>
      <c r="V151" s="2">
        <f t="shared" si="2"/>
        <v>0</v>
      </c>
      <c r="W151" s="2">
        <f t="shared" si="3"/>
        <v>0</v>
      </c>
      <c r="X151" s="2">
        <f t="shared" si="4"/>
        <v>0</v>
      </c>
      <c r="Y151" s="2">
        <f t="shared" si="5"/>
        <v>0</v>
      </c>
      <c r="Z151" s="2">
        <f t="shared" si="6"/>
        <v>0</v>
      </c>
      <c r="AA151" s="2">
        <f t="shared" si="7"/>
        <v>1</v>
      </c>
      <c r="AB151" s="2">
        <f>IF(OR($M151="",$N151=""),0,MEDIAN(-MarginCap,MarginCap,($M151-$N151)-$AA151*HFA_Base))</f>
        <v>0</v>
      </c>
      <c r="AC151" s="2">
        <f t="array" ref="AC151">IF(OR($P151="",INDEX($P$3:$P$722,(ROW()+IF(MOD(ROW()-3,2)=0,1,-1))-3+1)=""),0,MEDIAN(-MarginCap,MarginCap,($T151-$W151)-$AA151*HFA_Base))</f>
        <v>0</v>
      </c>
      <c r="AD151" s="2">
        <f t="shared" si="8"/>
        <v>0</v>
      </c>
      <c r="AE151" s="2">
        <f>IF(OR($M151="",$N151=""),0,IF(AND(WEpa&gt;0,$AD151=1),(1-WEpa)*$AB151+WEpa*$AC151,$AB151))</f>
        <v>0</v>
      </c>
      <c r="AF151" s="2">
        <f>IF(AND($C151&lt;&gt;"",$E151=CurrentSeason,$F151="REG",ISNUMBER($G151),$G151&lt;CurrentWeek,AND($M151&lt;&gt;"",$N151&lt;&gt;"")),1,0)</f>
        <v>0</v>
      </c>
      <c r="AG151" s="2">
        <f>IF($AF151=0,0,IF($G151&gt;=CurrentWeek-RecencyWin,RecencyMult,1))</f>
        <v>0</v>
      </c>
      <c r="AH151" s="2">
        <f>IF(AND($C151&lt;&gt;"",$E151=CurrentSeason,$F151="REG",ISNUMBER($G151),$G151&lt;CurrentWeek-1,AND($M151&lt;&gt;"",$N151&lt;&gt;"")),1,0)</f>
        <v>0</v>
      </c>
      <c r="AI151" s="2">
        <f>IF($AH151=0,0,IF($G151&gt;=CurrentWeek-1-RecencyWin,RecencyMult,1))</f>
        <v>0</v>
      </c>
      <c r="AJ151" s="2">
        <f>IF($AF151=0,0,IF($G151&gt;=CurrentWeek-RecencyWin,TotRecency,1))</f>
        <v>0</v>
      </c>
      <c r="AK151" s="2">
        <f t="shared" si="9"/>
        <v>0</v>
      </c>
      <c r="AL151" s="2">
        <f t="shared" si="10"/>
        <v>0</v>
      </c>
      <c r="AM151" s="2" t="str">
        <f t="array" ref="AM151">IF($K151="",0,IFERROR(INDEX(CALC!$F$2:$F$33,MATCH($K151,CALC!$A$2:$A$33,0)),0))</f>
        <v/>
      </c>
      <c r="AN151" s="2" t="str">
        <f t="array" ref="AN151">IF($K151="",0,IFERROR(INDEX(CALC!$I$2:$I$33,MATCH($K151,CALC!$A$2:$A$33,0)),0))</f>
        <v/>
      </c>
      <c r="AO151" s="2" t="str">
        <f t="array" ref="AO151">IF($K151="",0,IFERROR(INDEX(CALC!$L$2:$L$33,MATCH($K151,CALC!$A$2:$A$33,0)),0))</f>
        <v/>
      </c>
      <c r="AP151" s="2" t="str">
        <f t="array" ref="AP151">IF($K151="",0,IFERROR(INDEX(CALC!$T$2:$T$33,MATCH($K151,CALC!$A$2:$A$33,0)),0))</f>
        <v/>
      </c>
      <c r="AQ151" s="2" t="str">
        <f t="array" ref="AQ151">IF($K151="",0,IFERROR(INDEX(CALC!$W$2:$W$33,MATCH($K151,CALC!$A$2:$A$33,0)),0))</f>
        <v/>
      </c>
      <c r="AR151" s="2" t="str">
        <f t="array" ref="AR151">IF($K151="",0,IFERROR(INDEX(CALC!$Z$2:$Z$33,MATCH($K151,CALC!$A$2:$A$33,0)),0))</f>
        <v/>
      </c>
      <c r="AS151" s="2" t="str">
        <f t="array" ref="AS151">IF($K151="",0,IFERROR(INDEX(CALC!$AJ$2:$AJ$33,MATCH($K151,CALC!$A$2:$A$33,0)),0))</f>
        <v/>
      </c>
      <c r="AT151" s="2" t="str">
        <f t="array" ref="AT151">IF($K151="",0,IFERROR(INDEX(CALC!$AI$2:$AI$33,MATCH($K151,CALC!$A$2:$A$33,0)),0))</f>
        <v/>
      </c>
      <c r="AU151" s="2">
        <f t="shared" si="11"/>
        <v>0</v>
      </c>
      <c r="AV151" s="2">
        <f t="shared" si="12"/>
        <v>0</v>
      </c>
    </row>
    <row r="152" ht="15.0" customHeight="1">
      <c r="A152" s="2">
        <v>75.0</v>
      </c>
      <c r="B152" s="2" t="s">
        <v>2366</v>
      </c>
      <c r="C152" s="2">
        <f>IFERROR(MATCH($A152,SchedSeq,0),"")</f>
        <v>360</v>
      </c>
      <c r="D152" s="2" t="str">
        <f t="array" ref="D152">IF($C152="","",INDEX(SchedZone,$C152,MAP!$B$6))</f>
        <v>2026_05_DET_ARI</v>
      </c>
      <c r="E152" s="2">
        <f t="array" ref="E152">IF($C152="","",INDEX(SchedZone,$C152,MAP!$B$3))</f>
        <v>2026</v>
      </c>
      <c r="F152" s="2" t="str">
        <f t="array" ref="F152">IF($C152="","",INDEX(SchedZone,$C152,MAP!$B$5))</f>
        <v>REG</v>
      </c>
      <c r="G152" s="2">
        <f t="array" ref="G152">IF($C152="","",INDEX(SchedZone,$C152,MAP!$B$4))</f>
        <v>5</v>
      </c>
      <c r="H152" s="2" t="str">
        <f t="array" ref="H152">IF($C152="","",INDEX(SchedZone,$C152,MAP!$B$10))</f>
        <v>DET</v>
      </c>
      <c r="I152" s="2" t="str">
        <f t="array" ref="I152">IF($H152="","",IF(COUNTIF(Teams,$H152)&gt;0,$H152,IFERROR(INDEX(LISTS!$D$2:$D$12,MATCH($H152,LISTS!$C$2:$C$12,0)),"⚠ "&amp;$H152)))</f>
        <v>DET</v>
      </c>
      <c r="J152" s="2" t="str">
        <f t="array" ref="J152">IF($C152="","",INDEX(SchedZone,$C152,MAP!$B$12))</f>
        <v>ARI</v>
      </c>
      <c r="K152" s="2" t="str">
        <f t="array" ref="K152">IF($J152="","",IF(COUNTIF(Teams,$J152)&gt;0,$J152,IFERROR(INDEX(LISTS!$D$2:$D$12,MATCH($J152,LISTS!$C$2:$C$12,0)),"⚠ "&amp;$J152)))</f>
        <v>ARI</v>
      </c>
      <c r="L152" s="2" t="str">
        <f t="array" ref="L152">IF($C152="","",IF(INDEX(SchedZone,$C152,MAP!$B$14)="Neutral","N",IF($B152="HOME","H","A")))</f>
        <v>A</v>
      </c>
      <c r="M152" s="2" t="str">
        <f t="array" ref="M152">IF($C152="","",IF(INDEX(SchedZone,$C152,MAP!$B$11)="","",INDEX(SchedZone,$C152,MAP!$B$11)))</f>
        <v/>
      </c>
      <c r="N152" s="2" t="str">
        <f t="array" ref="N152">IF($C152="","",IF(INDEX(SchedZone,$C152,MAP!$B$13)="","",INDEX(SchedZone,$C152,MAP!$B$13)))</f>
        <v/>
      </c>
      <c r="O152" s="2">
        <f t="array" ref="O152">IF($C152="","",INDEX(SchedZone,$C152,MAP!$B$15))</f>
        <v>7</v>
      </c>
      <c r="P152" s="2" t="str">
        <f>IF($C152="","",IFERROR(MATCH($E152&amp;"|"&amp;$G152&amp;"|"&amp;$I152,StatsKey,0),""))</f>
        <v/>
      </c>
      <c r="Q152" s="2">
        <f t="array" ref="Q152">IF($P152="",0,INDEX(StatsZone,$P152,MAP!$E$9)+INDEX(StatsZone,$P152,MAP!$E$10)+INDEX(StatsZone,$P152,MAP!$E$11))</f>
        <v>0</v>
      </c>
      <c r="R152" s="2">
        <f t="array" ref="R152">IF($P152="",0,INDEX(StatsZone,$P152,MAP!$E$12))</f>
        <v>0</v>
      </c>
      <c r="S152" s="2">
        <f t="array" ref="S152">IF($P152="",0,INDEX(StatsZone,$P152,MAP!$E$13))</f>
        <v>0</v>
      </c>
      <c r="T152" s="2">
        <f t="shared" si="1"/>
        <v>0</v>
      </c>
      <c r="U152" s="2">
        <f t="array" ref="U152">IF($P152="",0,INDEX(StatsZone,$P152,MAP!$E$14)+INDEX(StatsZone,$P152,MAP!$E$15)+INDEX(StatsZone,$P152,MAP!$E$16))</f>
        <v>0</v>
      </c>
      <c r="V152" s="2">
        <f t="shared" si="2"/>
        <v>0</v>
      </c>
      <c r="W152" s="2">
        <f t="shared" si="3"/>
        <v>0</v>
      </c>
      <c r="X152" s="2">
        <f t="shared" si="4"/>
        <v>0</v>
      </c>
      <c r="Y152" s="2">
        <f t="shared" si="5"/>
        <v>0</v>
      </c>
      <c r="Z152" s="2">
        <f t="shared" si="6"/>
        <v>0</v>
      </c>
      <c r="AA152" s="2">
        <f t="shared" si="7"/>
        <v>-1</v>
      </c>
      <c r="AB152" s="2">
        <f>IF(OR($M152="",$N152=""),0,MEDIAN(-MarginCap,MarginCap,($M152-$N152)-$AA152*HFA_Base))</f>
        <v>0</v>
      </c>
      <c r="AC152" s="2">
        <f t="array" ref="AC152">IF(OR($P152="",INDEX($P$3:$P$722,(ROW()+IF(MOD(ROW()-3,2)=0,1,-1))-3+1)=""),0,MEDIAN(-MarginCap,MarginCap,($T152-$W152)-$AA152*HFA_Base))</f>
        <v>0</v>
      </c>
      <c r="AD152" s="2">
        <f t="shared" si="8"/>
        <v>0</v>
      </c>
      <c r="AE152" s="2">
        <f>IF(OR($M152="",$N152=""),0,IF(AND(WEpa&gt;0,$AD152=1),(1-WEpa)*$AB152+WEpa*$AC152,$AB152))</f>
        <v>0</v>
      </c>
      <c r="AF152" s="2">
        <f>IF(AND($C152&lt;&gt;"",$E152=CurrentSeason,$F152="REG",ISNUMBER($G152),$G152&lt;CurrentWeek,AND($M152&lt;&gt;"",$N152&lt;&gt;"")),1,0)</f>
        <v>0</v>
      </c>
      <c r="AG152" s="2">
        <f>IF($AF152=0,0,IF($G152&gt;=CurrentWeek-RecencyWin,RecencyMult,1))</f>
        <v>0</v>
      </c>
      <c r="AH152" s="2">
        <f>IF(AND($C152&lt;&gt;"",$E152=CurrentSeason,$F152="REG",ISNUMBER($G152),$G152&lt;CurrentWeek-1,AND($M152&lt;&gt;"",$N152&lt;&gt;"")),1,0)</f>
        <v>0</v>
      </c>
      <c r="AI152" s="2">
        <f>IF($AH152=0,0,IF($G152&gt;=CurrentWeek-1-RecencyWin,RecencyMult,1))</f>
        <v>0</v>
      </c>
      <c r="AJ152" s="2">
        <f>IF($AF152=0,0,IF($G152&gt;=CurrentWeek-RecencyWin,TotRecency,1))</f>
        <v>0</v>
      </c>
      <c r="AK152" s="2">
        <f t="shared" si="9"/>
        <v>0</v>
      </c>
      <c r="AL152" s="2">
        <f t="shared" si="10"/>
        <v>0</v>
      </c>
      <c r="AM152" s="2" t="str">
        <f t="array" ref="AM152">IF($K152="",0,IFERROR(INDEX(CALC!$F$2:$F$33,MATCH($K152,CALC!$A$2:$A$33,0)),0))</f>
        <v/>
      </c>
      <c r="AN152" s="2" t="str">
        <f t="array" ref="AN152">IF($K152="",0,IFERROR(INDEX(CALC!$I$2:$I$33,MATCH($K152,CALC!$A$2:$A$33,0)),0))</f>
        <v/>
      </c>
      <c r="AO152" s="2" t="str">
        <f t="array" ref="AO152">IF($K152="",0,IFERROR(INDEX(CALC!$L$2:$L$33,MATCH($K152,CALC!$A$2:$A$33,0)),0))</f>
        <v/>
      </c>
      <c r="AP152" s="2" t="str">
        <f t="array" ref="AP152">IF($K152="",0,IFERROR(INDEX(CALC!$T$2:$T$33,MATCH($K152,CALC!$A$2:$A$33,0)),0))</f>
        <v/>
      </c>
      <c r="AQ152" s="2" t="str">
        <f t="array" ref="AQ152">IF($K152="",0,IFERROR(INDEX(CALC!$W$2:$W$33,MATCH($K152,CALC!$A$2:$A$33,0)),0))</f>
        <v/>
      </c>
      <c r="AR152" s="2" t="str">
        <f t="array" ref="AR152">IF($K152="",0,IFERROR(INDEX(CALC!$Z$2:$Z$33,MATCH($K152,CALC!$A$2:$A$33,0)),0))</f>
        <v/>
      </c>
      <c r="AS152" s="2" t="str">
        <f t="array" ref="AS152">IF($K152="",0,IFERROR(INDEX(CALC!$AJ$2:$AJ$33,MATCH($K152,CALC!$A$2:$A$33,0)),0))</f>
        <v/>
      </c>
      <c r="AT152" s="2" t="str">
        <f t="array" ref="AT152">IF($K152="",0,IFERROR(INDEX(CALC!$AI$2:$AI$33,MATCH($K152,CALC!$A$2:$A$33,0)),0))</f>
        <v/>
      </c>
      <c r="AU152" s="2">
        <f t="shared" si="11"/>
        <v>0</v>
      </c>
      <c r="AV152" s="2">
        <f t="shared" si="12"/>
        <v>0</v>
      </c>
    </row>
    <row r="153" ht="15.0" customHeight="1">
      <c r="A153" s="2">
        <v>76.0</v>
      </c>
      <c r="B153" s="2" t="s">
        <v>2365</v>
      </c>
      <c r="C153" s="2">
        <f>IFERROR(MATCH($A153,SchedSeq,0),"")</f>
        <v>361</v>
      </c>
      <c r="D153" s="2" t="str">
        <f t="array" ref="D153">IF($C153="","",INDEX(SchedZone,$C153,MAP!$B$6))</f>
        <v>2026_05_CHI_GB</v>
      </c>
      <c r="E153" s="2">
        <f t="array" ref="E153">IF($C153="","",INDEX(SchedZone,$C153,MAP!$B$3))</f>
        <v>2026</v>
      </c>
      <c r="F153" s="2" t="str">
        <f t="array" ref="F153">IF($C153="","",INDEX(SchedZone,$C153,MAP!$B$5))</f>
        <v>REG</v>
      </c>
      <c r="G153" s="2">
        <f t="array" ref="G153">IF($C153="","",INDEX(SchedZone,$C153,MAP!$B$4))</f>
        <v>5</v>
      </c>
      <c r="H153" s="2" t="str">
        <f t="array" ref="H153">IF($C153="","",INDEX(SchedZone,$C153,MAP!$B$12))</f>
        <v>GB</v>
      </c>
      <c r="I153" s="2" t="str">
        <f t="array" ref="I153">IF($H153="","",IF(COUNTIF(Teams,$H153)&gt;0,$H153,IFERROR(INDEX(LISTS!$D$2:$D$12,MATCH($H153,LISTS!$C$2:$C$12,0)),"⚠ "&amp;$H153)))</f>
        <v>GB</v>
      </c>
      <c r="J153" s="2" t="str">
        <f t="array" ref="J153">IF($C153="","",INDEX(SchedZone,$C153,MAP!$B$10))</f>
        <v>CHI</v>
      </c>
      <c r="K153" s="2" t="str">
        <f t="array" ref="K153">IF($J153="","",IF(COUNTIF(Teams,$J153)&gt;0,$J153,IFERROR(INDEX(LISTS!$D$2:$D$12,MATCH($J153,LISTS!$C$2:$C$12,0)),"⚠ "&amp;$J153)))</f>
        <v>CHI</v>
      </c>
      <c r="L153" s="2" t="str">
        <f t="array" ref="L153">IF($C153="","",IF(INDEX(SchedZone,$C153,MAP!$B$14)="Neutral","N",IF($B153="HOME","H","A")))</f>
        <v>H</v>
      </c>
      <c r="M153" s="2" t="str">
        <f t="array" ref="M153">IF($C153="","",IF(INDEX(SchedZone,$C153,MAP!$B$13)="","",INDEX(SchedZone,$C153,MAP!$B$13)))</f>
        <v/>
      </c>
      <c r="N153" s="2" t="str">
        <f t="array" ref="N153">IF($C153="","",IF(INDEX(SchedZone,$C153,MAP!$B$11)="","",INDEX(SchedZone,$C153,MAP!$B$11)))</f>
        <v/>
      </c>
      <c r="O153" s="2">
        <f t="array" ref="O153">IF($C153="","",INDEX(SchedZone,$C153,MAP!$B$16))</f>
        <v>7</v>
      </c>
      <c r="P153" s="2" t="str">
        <f>IF($C153="","",IFERROR(MATCH($E153&amp;"|"&amp;$G153&amp;"|"&amp;$I153,StatsKey,0),""))</f>
        <v/>
      </c>
      <c r="Q153" s="2">
        <f t="array" ref="Q153">IF($P153="",0,INDEX(StatsZone,$P153,MAP!$E$9)+INDEX(StatsZone,$P153,MAP!$E$10)+INDEX(StatsZone,$P153,MAP!$E$11))</f>
        <v>0</v>
      </c>
      <c r="R153" s="2">
        <f t="array" ref="R153">IF($P153="",0,INDEX(StatsZone,$P153,MAP!$E$12))</f>
        <v>0</v>
      </c>
      <c r="S153" s="2">
        <f t="array" ref="S153">IF($P153="",0,INDEX(StatsZone,$P153,MAP!$E$13))</f>
        <v>0</v>
      </c>
      <c r="T153" s="2">
        <f t="shared" si="1"/>
        <v>0</v>
      </c>
      <c r="U153" s="2">
        <f t="array" ref="U153">IF($P153="",0,INDEX(StatsZone,$P153,MAP!$E$14)+INDEX(StatsZone,$P153,MAP!$E$15)+INDEX(StatsZone,$P153,MAP!$E$16))</f>
        <v>0</v>
      </c>
      <c r="V153" s="2">
        <f t="shared" si="2"/>
        <v>0</v>
      </c>
      <c r="W153" s="2">
        <f t="shared" si="3"/>
        <v>0</v>
      </c>
      <c r="X153" s="2">
        <f t="shared" si="4"/>
        <v>0</v>
      </c>
      <c r="Y153" s="2">
        <f t="shared" si="5"/>
        <v>0</v>
      </c>
      <c r="Z153" s="2">
        <f t="shared" si="6"/>
        <v>0</v>
      </c>
      <c r="AA153" s="2">
        <f t="shared" si="7"/>
        <v>1</v>
      </c>
      <c r="AB153" s="2">
        <f>IF(OR($M153="",$N153=""),0,MEDIAN(-MarginCap,MarginCap,($M153-$N153)-$AA153*HFA_Base))</f>
        <v>0</v>
      </c>
      <c r="AC153" s="2">
        <f t="array" ref="AC153">IF(OR($P153="",INDEX($P$3:$P$722,(ROW()+IF(MOD(ROW()-3,2)=0,1,-1))-3+1)=""),0,MEDIAN(-MarginCap,MarginCap,($T153-$W153)-$AA153*HFA_Base))</f>
        <v>0</v>
      </c>
      <c r="AD153" s="2">
        <f t="shared" si="8"/>
        <v>0</v>
      </c>
      <c r="AE153" s="2">
        <f>IF(OR($M153="",$N153=""),0,IF(AND(WEpa&gt;0,$AD153=1),(1-WEpa)*$AB153+WEpa*$AC153,$AB153))</f>
        <v>0</v>
      </c>
      <c r="AF153" s="2">
        <f>IF(AND($C153&lt;&gt;"",$E153=CurrentSeason,$F153="REG",ISNUMBER($G153),$G153&lt;CurrentWeek,AND($M153&lt;&gt;"",$N153&lt;&gt;"")),1,0)</f>
        <v>0</v>
      </c>
      <c r="AG153" s="2">
        <f>IF($AF153=0,0,IF($G153&gt;=CurrentWeek-RecencyWin,RecencyMult,1))</f>
        <v>0</v>
      </c>
      <c r="AH153" s="2">
        <f>IF(AND($C153&lt;&gt;"",$E153=CurrentSeason,$F153="REG",ISNUMBER($G153),$G153&lt;CurrentWeek-1,AND($M153&lt;&gt;"",$N153&lt;&gt;"")),1,0)</f>
        <v>0</v>
      </c>
      <c r="AI153" s="2">
        <f>IF($AH153=0,0,IF($G153&gt;=CurrentWeek-1-RecencyWin,RecencyMult,1))</f>
        <v>0</v>
      </c>
      <c r="AJ153" s="2">
        <f>IF($AF153=0,0,IF($G153&gt;=CurrentWeek-RecencyWin,TotRecency,1))</f>
        <v>0</v>
      </c>
      <c r="AK153" s="2">
        <f t="shared" si="9"/>
        <v>0</v>
      </c>
      <c r="AL153" s="2">
        <f t="shared" si="10"/>
        <v>0</v>
      </c>
      <c r="AM153" s="2" t="str">
        <f t="array" ref="AM153">IF($K153="",0,IFERROR(INDEX(CALC!$F$2:$F$33,MATCH($K153,CALC!$A$2:$A$33,0)),0))</f>
        <v/>
      </c>
      <c r="AN153" s="2" t="str">
        <f t="array" ref="AN153">IF($K153="",0,IFERROR(INDEX(CALC!$I$2:$I$33,MATCH($K153,CALC!$A$2:$A$33,0)),0))</f>
        <v/>
      </c>
      <c r="AO153" s="2" t="str">
        <f t="array" ref="AO153">IF($K153="",0,IFERROR(INDEX(CALC!$L$2:$L$33,MATCH($K153,CALC!$A$2:$A$33,0)),0))</f>
        <v/>
      </c>
      <c r="AP153" s="2" t="str">
        <f t="array" ref="AP153">IF($K153="",0,IFERROR(INDEX(CALC!$T$2:$T$33,MATCH($K153,CALC!$A$2:$A$33,0)),0))</f>
        <v/>
      </c>
      <c r="AQ153" s="2" t="str">
        <f t="array" ref="AQ153">IF($K153="",0,IFERROR(INDEX(CALC!$W$2:$W$33,MATCH($K153,CALC!$A$2:$A$33,0)),0))</f>
        <v/>
      </c>
      <c r="AR153" s="2" t="str">
        <f t="array" ref="AR153">IF($K153="",0,IFERROR(INDEX(CALC!$Z$2:$Z$33,MATCH($K153,CALC!$A$2:$A$33,0)),0))</f>
        <v/>
      </c>
      <c r="AS153" s="2" t="str">
        <f t="array" ref="AS153">IF($K153="",0,IFERROR(INDEX(CALC!$AJ$2:$AJ$33,MATCH($K153,CALC!$A$2:$A$33,0)),0))</f>
        <v/>
      </c>
      <c r="AT153" s="2" t="str">
        <f t="array" ref="AT153">IF($K153="",0,IFERROR(INDEX(CALC!$AI$2:$AI$33,MATCH($K153,CALC!$A$2:$A$33,0)),0))</f>
        <v/>
      </c>
      <c r="AU153" s="2">
        <f t="shared" si="11"/>
        <v>0</v>
      </c>
      <c r="AV153" s="2">
        <f t="shared" si="12"/>
        <v>0</v>
      </c>
    </row>
    <row r="154" ht="15.0" customHeight="1">
      <c r="A154" s="2">
        <v>76.0</v>
      </c>
      <c r="B154" s="2" t="s">
        <v>2366</v>
      </c>
      <c r="C154" s="2">
        <f>IFERROR(MATCH($A154,SchedSeq,0),"")</f>
        <v>361</v>
      </c>
      <c r="D154" s="2" t="str">
        <f t="array" ref="D154">IF($C154="","",INDEX(SchedZone,$C154,MAP!$B$6))</f>
        <v>2026_05_CHI_GB</v>
      </c>
      <c r="E154" s="2">
        <f t="array" ref="E154">IF($C154="","",INDEX(SchedZone,$C154,MAP!$B$3))</f>
        <v>2026</v>
      </c>
      <c r="F154" s="2" t="str">
        <f t="array" ref="F154">IF($C154="","",INDEX(SchedZone,$C154,MAP!$B$5))</f>
        <v>REG</v>
      </c>
      <c r="G154" s="2">
        <f t="array" ref="G154">IF($C154="","",INDEX(SchedZone,$C154,MAP!$B$4))</f>
        <v>5</v>
      </c>
      <c r="H154" s="2" t="str">
        <f t="array" ref="H154">IF($C154="","",INDEX(SchedZone,$C154,MAP!$B$10))</f>
        <v>CHI</v>
      </c>
      <c r="I154" s="2" t="str">
        <f t="array" ref="I154">IF($H154="","",IF(COUNTIF(Teams,$H154)&gt;0,$H154,IFERROR(INDEX(LISTS!$D$2:$D$12,MATCH($H154,LISTS!$C$2:$C$12,0)),"⚠ "&amp;$H154)))</f>
        <v>CHI</v>
      </c>
      <c r="J154" s="2" t="str">
        <f t="array" ref="J154">IF($C154="","",INDEX(SchedZone,$C154,MAP!$B$12))</f>
        <v>GB</v>
      </c>
      <c r="K154" s="2" t="str">
        <f t="array" ref="K154">IF($J154="","",IF(COUNTIF(Teams,$J154)&gt;0,$J154,IFERROR(INDEX(LISTS!$D$2:$D$12,MATCH($J154,LISTS!$C$2:$C$12,0)),"⚠ "&amp;$J154)))</f>
        <v>GB</v>
      </c>
      <c r="L154" s="2" t="str">
        <f t="array" ref="L154">IF($C154="","",IF(INDEX(SchedZone,$C154,MAP!$B$14)="Neutral","N",IF($B154="HOME","H","A")))</f>
        <v>A</v>
      </c>
      <c r="M154" s="2" t="str">
        <f t="array" ref="M154">IF($C154="","",IF(INDEX(SchedZone,$C154,MAP!$B$11)="","",INDEX(SchedZone,$C154,MAP!$B$11)))</f>
        <v/>
      </c>
      <c r="N154" s="2" t="str">
        <f t="array" ref="N154">IF($C154="","",IF(INDEX(SchedZone,$C154,MAP!$B$13)="","",INDEX(SchedZone,$C154,MAP!$B$13)))</f>
        <v/>
      </c>
      <c r="O154" s="2">
        <f t="array" ref="O154">IF($C154="","",INDEX(SchedZone,$C154,MAP!$B$15))</f>
        <v>7</v>
      </c>
      <c r="P154" s="2" t="str">
        <f>IF($C154="","",IFERROR(MATCH($E154&amp;"|"&amp;$G154&amp;"|"&amp;$I154,StatsKey,0),""))</f>
        <v/>
      </c>
      <c r="Q154" s="2">
        <f t="array" ref="Q154">IF($P154="",0,INDEX(StatsZone,$P154,MAP!$E$9)+INDEX(StatsZone,$P154,MAP!$E$10)+INDEX(StatsZone,$P154,MAP!$E$11))</f>
        <v>0</v>
      </c>
      <c r="R154" s="2">
        <f t="array" ref="R154">IF($P154="",0,INDEX(StatsZone,$P154,MAP!$E$12))</f>
        <v>0</v>
      </c>
      <c r="S154" s="2">
        <f t="array" ref="S154">IF($P154="",0,INDEX(StatsZone,$P154,MAP!$E$13))</f>
        <v>0</v>
      </c>
      <c r="T154" s="2">
        <f t="shared" si="1"/>
        <v>0</v>
      </c>
      <c r="U154" s="2">
        <f t="array" ref="U154">IF($P154="",0,INDEX(StatsZone,$P154,MAP!$E$14)+INDEX(StatsZone,$P154,MAP!$E$15)+INDEX(StatsZone,$P154,MAP!$E$16))</f>
        <v>0</v>
      </c>
      <c r="V154" s="2">
        <f t="shared" si="2"/>
        <v>0</v>
      </c>
      <c r="W154" s="2">
        <f t="shared" si="3"/>
        <v>0</v>
      </c>
      <c r="X154" s="2">
        <f t="shared" si="4"/>
        <v>0</v>
      </c>
      <c r="Y154" s="2">
        <f t="shared" si="5"/>
        <v>0</v>
      </c>
      <c r="Z154" s="2">
        <f t="shared" si="6"/>
        <v>0</v>
      </c>
      <c r="AA154" s="2">
        <f t="shared" si="7"/>
        <v>-1</v>
      </c>
      <c r="AB154" s="2">
        <f>IF(OR($M154="",$N154=""),0,MEDIAN(-MarginCap,MarginCap,($M154-$N154)-$AA154*HFA_Base))</f>
        <v>0</v>
      </c>
      <c r="AC154" s="2">
        <f t="array" ref="AC154">IF(OR($P154="",INDEX($P$3:$P$722,(ROW()+IF(MOD(ROW()-3,2)=0,1,-1))-3+1)=""),0,MEDIAN(-MarginCap,MarginCap,($T154-$W154)-$AA154*HFA_Base))</f>
        <v>0</v>
      </c>
      <c r="AD154" s="2">
        <f t="shared" si="8"/>
        <v>0</v>
      </c>
      <c r="AE154" s="2">
        <f>IF(OR($M154="",$N154=""),0,IF(AND(WEpa&gt;0,$AD154=1),(1-WEpa)*$AB154+WEpa*$AC154,$AB154))</f>
        <v>0</v>
      </c>
      <c r="AF154" s="2">
        <f>IF(AND($C154&lt;&gt;"",$E154=CurrentSeason,$F154="REG",ISNUMBER($G154),$G154&lt;CurrentWeek,AND($M154&lt;&gt;"",$N154&lt;&gt;"")),1,0)</f>
        <v>0</v>
      </c>
      <c r="AG154" s="2">
        <f>IF($AF154=0,0,IF($G154&gt;=CurrentWeek-RecencyWin,RecencyMult,1))</f>
        <v>0</v>
      </c>
      <c r="AH154" s="2">
        <f>IF(AND($C154&lt;&gt;"",$E154=CurrentSeason,$F154="REG",ISNUMBER($G154),$G154&lt;CurrentWeek-1,AND($M154&lt;&gt;"",$N154&lt;&gt;"")),1,0)</f>
        <v>0</v>
      </c>
      <c r="AI154" s="2">
        <f>IF($AH154=0,0,IF($G154&gt;=CurrentWeek-1-RecencyWin,RecencyMult,1))</f>
        <v>0</v>
      </c>
      <c r="AJ154" s="2">
        <f>IF($AF154=0,0,IF($G154&gt;=CurrentWeek-RecencyWin,TotRecency,1))</f>
        <v>0</v>
      </c>
      <c r="AK154" s="2">
        <f t="shared" si="9"/>
        <v>0</v>
      </c>
      <c r="AL154" s="2">
        <f t="shared" si="10"/>
        <v>0</v>
      </c>
      <c r="AM154" s="2" t="str">
        <f t="array" ref="AM154">IF($K154="",0,IFERROR(INDEX(CALC!$F$2:$F$33,MATCH($K154,CALC!$A$2:$A$33,0)),0))</f>
        <v/>
      </c>
      <c r="AN154" s="2" t="str">
        <f t="array" ref="AN154">IF($K154="",0,IFERROR(INDEX(CALC!$I$2:$I$33,MATCH($K154,CALC!$A$2:$A$33,0)),0))</f>
        <v/>
      </c>
      <c r="AO154" s="2" t="str">
        <f t="array" ref="AO154">IF($K154="",0,IFERROR(INDEX(CALC!$L$2:$L$33,MATCH($K154,CALC!$A$2:$A$33,0)),0))</f>
        <v/>
      </c>
      <c r="AP154" s="2" t="str">
        <f t="array" ref="AP154">IF($K154="",0,IFERROR(INDEX(CALC!$T$2:$T$33,MATCH($K154,CALC!$A$2:$A$33,0)),0))</f>
        <v/>
      </c>
      <c r="AQ154" s="2" t="str">
        <f t="array" ref="AQ154">IF($K154="",0,IFERROR(INDEX(CALC!$W$2:$W$33,MATCH($K154,CALC!$A$2:$A$33,0)),0))</f>
        <v/>
      </c>
      <c r="AR154" s="2" t="str">
        <f t="array" ref="AR154">IF($K154="",0,IFERROR(INDEX(CALC!$Z$2:$Z$33,MATCH($K154,CALC!$A$2:$A$33,0)),0))</f>
        <v/>
      </c>
      <c r="AS154" s="2" t="str">
        <f t="array" ref="AS154">IF($K154="",0,IFERROR(INDEX(CALC!$AJ$2:$AJ$33,MATCH($K154,CALC!$A$2:$A$33,0)),0))</f>
        <v/>
      </c>
      <c r="AT154" s="2" t="str">
        <f t="array" ref="AT154">IF($K154="",0,IFERROR(INDEX(CALC!$AI$2:$AI$33,MATCH($K154,CALC!$A$2:$A$33,0)),0))</f>
        <v/>
      </c>
      <c r="AU154" s="2">
        <f t="shared" si="11"/>
        <v>0</v>
      </c>
      <c r="AV154" s="2">
        <f t="shared" si="12"/>
        <v>0</v>
      </c>
    </row>
    <row r="155" ht="15.0" customHeight="1">
      <c r="A155" s="2">
        <v>77.0</v>
      </c>
      <c r="B155" s="2" t="s">
        <v>2365</v>
      </c>
      <c r="C155" s="2">
        <f>IFERROR(MATCH($A155,SchedSeq,0),"")</f>
        <v>362</v>
      </c>
      <c r="D155" s="2" t="str">
        <f t="array" ref="D155">IF($C155="","",INDEX(SchedZone,$C155,MAP!$B$6))</f>
        <v>2026_05_SF_SEA</v>
      </c>
      <c r="E155" s="2">
        <f t="array" ref="E155">IF($C155="","",INDEX(SchedZone,$C155,MAP!$B$3))</f>
        <v>2026</v>
      </c>
      <c r="F155" s="2" t="str">
        <f t="array" ref="F155">IF($C155="","",INDEX(SchedZone,$C155,MAP!$B$5))</f>
        <v>REG</v>
      </c>
      <c r="G155" s="2">
        <f t="array" ref="G155">IF($C155="","",INDEX(SchedZone,$C155,MAP!$B$4))</f>
        <v>5</v>
      </c>
      <c r="H155" s="2" t="str">
        <f t="array" ref="H155">IF($C155="","",INDEX(SchedZone,$C155,MAP!$B$12))</f>
        <v>SEA</v>
      </c>
      <c r="I155" s="2" t="str">
        <f t="array" ref="I155">IF($H155="","",IF(COUNTIF(Teams,$H155)&gt;0,$H155,IFERROR(INDEX(LISTS!$D$2:$D$12,MATCH($H155,LISTS!$C$2:$C$12,0)),"⚠ "&amp;$H155)))</f>
        <v>SEA</v>
      </c>
      <c r="J155" s="2" t="str">
        <f t="array" ref="J155">IF($C155="","",INDEX(SchedZone,$C155,MAP!$B$10))</f>
        <v>SF</v>
      </c>
      <c r="K155" s="2" t="str">
        <f t="array" ref="K155">IF($J155="","",IF(COUNTIF(Teams,$J155)&gt;0,$J155,IFERROR(INDEX(LISTS!$D$2:$D$12,MATCH($J155,LISTS!$C$2:$C$12,0)),"⚠ "&amp;$J155)))</f>
        <v>SF</v>
      </c>
      <c r="L155" s="2" t="str">
        <f t="array" ref="L155">IF($C155="","",IF(INDEX(SchedZone,$C155,MAP!$B$14)="Neutral","N",IF($B155="HOME","H","A")))</f>
        <v>H</v>
      </c>
      <c r="M155" s="2" t="str">
        <f t="array" ref="M155">IF($C155="","",IF(INDEX(SchedZone,$C155,MAP!$B$13)="","",INDEX(SchedZone,$C155,MAP!$B$13)))</f>
        <v/>
      </c>
      <c r="N155" s="2" t="str">
        <f t="array" ref="N155">IF($C155="","",IF(INDEX(SchedZone,$C155,MAP!$B$11)="","",INDEX(SchedZone,$C155,MAP!$B$11)))</f>
        <v/>
      </c>
      <c r="O155" s="2">
        <f t="array" ref="O155">IF($C155="","",INDEX(SchedZone,$C155,MAP!$B$16))</f>
        <v>7</v>
      </c>
      <c r="P155" s="2" t="str">
        <f>IF($C155="","",IFERROR(MATCH($E155&amp;"|"&amp;$G155&amp;"|"&amp;$I155,StatsKey,0),""))</f>
        <v/>
      </c>
      <c r="Q155" s="2">
        <f t="array" ref="Q155">IF($P155="",0,INDEX(StatsZone,$P155,MAP!$E$9)+INDEX(StatsZone,$P155,MAP!$E$10)+INDEX(StatsZone,$P155,MAP!$E$11))</f>
        <v>0</v>
      </c>
      <c r="R155" s="2">
        <f t="array" ref="R155">IF($P155="",0,INDEX(StatsZone,$P155,MAP!$E$12))</f>
        <v>0</v>
      </c>
      <c r="S155" s="2">
        <f t="array" ref="S155">IF($P155="",0,INDEX(StatsZone,$P155,MAP!$E$13))</f>
        <v>0</v>
      </c>
      <c r="T155" s="2">
        <f t="shared" si="1"/>
        <v>0</v>
      </c>
      <c r="U155" s="2">
        <f t="array" ref="U155">IF($P155="",0,INDEX(StatsZone,$P155,MAP!$E$14)+INDEX(StatsZone,$P155,MAP!$E$15)+INDEX(StatsZone,$P155,MAP!$E$16))</f>
        <v>0</v>
      </c>
      <c r="V155" s="2">
        <f t="shared" si="2"/>
        <v>0</v>
      </c>
      <c r="W155" s="2">
        <f t="shared" si="3"/>
        <v>0</v>
      </c>
      <c r="X155" s="2">
        <f t="shared" si="4"/>
        <v>0</v>
      </c>
      <c r="Y155" s="2">
        <f t="shared" si="5"/>
        <v>0</v>
      </c>
      <c r="Z155" s="2">
        <f t="shared" si="6"/>
        <v>0</v>
      </c>
      <c r="AA155" s="2">
        <f t="shared" si="7"/>
        <v>1</v>
      </c>
      <c r="AB155" s="2">
        <f>IF(OR($M155="",$N155=""),0,MEDIAN(-MarginCap,MarginCap,($M155-$N155)-$AA155*HFA_Base))</f>
        <v>0</v>
      </c>
      <c r="AC155" s="2">
        <f t="array" ref="AC155">IF(OR($P155="",INDEX($P$3:$P$722,(ROW()+IF(MOD(ROW()-3,2)=0,1,-1))-3+1)=""),0,MEDIAN(-MarginCap,MarginCap,($T155-$W155)-$AA155*HFA_Base))</f>
        <v>0</v>
      </c>
      <c r="AD155" s="2">
        <f t="shared" si="8"/>
        <v>0</v>
      </c>
      <c r="AE155" s="2">
        <f>IF(OR($M155="",$N155=""),0,IF(AND(WEpa&gt;0,$AD155=1),(1-WEpa)*$AB155+WEpa*$AC155,$AB155))</f>
        <v>0</v>
      </c>
      <c r="AF155" s="2">
        <f>IF(AND($C155&lt;&gt;"",$E155=CurrentSeason,$F155="REG",ISNUMBER($G155),$G155&lt;CurrentWeek,AND($M155&lt;&gt;"",$N155&lt;&gt;"")),1,0)</f>
        <v>0</v>
      </c>
      <c r="AG155" s="2">
        <f>IF($AF155=0,0,IF($G155&gt;=CurrentWeek-RecencyWin,RecencyMult,1))</f>
        <v>0</v>
      </c>
      <c r="AH155" s="2">
        <f>IF(AND($C155&lt;&gt;"",$E155=CurrentSeason,$F155="REG",ISNUMBER($G155),$G155&lt;CurrentWeek-1,AND($M155&lt;&gt;"",$N155&lt;&gt;"")),1,0)</f>
        <v>0</v>
      </c>
      <c r="AI155" s="2">
        <f>IF($AH155=0,0,IF($G155&gt;=CurrentWeek-1-RecencyWin,RecencyMult,1))</f>
        <v>0</v>
      </c>
      <c r="AJ155" s="2">
        <f>IF($AF155=0,0,IF($G155&gt;=CurrentWeek-RecencyWin,TotRecency,1))</f>
        <v>0</v>
      </c>
      <c r="AK155" s="2">
        <f t="shared" si="9"/>
        <v>0</v>
      </c>
      <c r="AL155" s="2">
        <f t="shared" si="10"/>
        <v>0</v>
      </c>
      <c r="AM155" s="2" t="str">
        <f t="array" ref="AM155">IF($K155="",0,IFERROR(INDEX(CALC!$F$2:$F$33,MATCH($K155,CALC!$A$2:$A$33,0)),0))</f>
        <v/>
      </c>
      <c r="AN155" s="2" t="str">
        <f t="array" ref="AN155">IF($K155="",0,IFERROR(INDEX(CALC!$I$2:$I$33,MATCH($K155,CALC!$A$2:$A$33,0)),0))</f>
        <v/>
      </c>
      <c r="AO155" s="2" t="str">
        <f t="array" ref="AO155">IF($K155="",0,IFERROR(INDEX(CALC!$L$2:$L$33,MATCH($K155,CALC!$A$2:$A$33,0)),0))</f>
        <v/>
      </c>
      <c r="AP155" s="2" t="str">
        <f t="array" ref="AP155">IF($K155="",0,IFERROR(INDEX(CALC!$T$2:$T$33,MATCH($K155,CALC!$A$2:$A$33,0)),0))</f>
        <v/>
      </c>
      <c r="AQ155" s="2" t="str">
        <f t="array" ref="AQ155">IF($K155="",0,IFERROR(INDEX(CALC!$W$2:$W$33,MATCH($K155,CALC!$A$2:$A$33,0)),0))</f>
        <v/>
      </c>
      <c r="AR155" s="2" t="str">
        <f t="array" ref="AR155">IF($K155="",0,IFERROR(INDEX(CALC!$Z$2:$Z$33,MATCH($K155,CALC!$A$2:$A$33,0)),0))</f>
        <v/>
      </c>
      <c r="AS155" s="2" t="str">
        <f t="array" ref="AS155">IF($K155="",0,IFERROR(INDEX(CALC!$AJ$2:$AJ$33,MATCH($K155,CALC!$A$2:$A$33,0)),0))</f>
        <v/>
      </c>
      <c r="AT155" s="2" t="str">
        <f t="array" ref="AT155">IF($K155="",0,IFERROR(INDEX(CALC!$AI$2:$AI$33,MATCH($K155,CALC!$A$2:$A$33,0)),0))</f>
        <v/>
      </c>
      <c r="AU155" s="2">
        <f t="shared" si="11"/>
        <v>0</v>
      </c>
      <c r="AV155" s="2">
        <f t="shared" si="12"/>
        <v>0</v>
      </c>
    </row>
    <row r="156" ht="15.0" customHeight="1">
      <c r="A156" s="2">
        <v>77.0</v>
      </c>
      <c r="B156" s="2" t="s">
        <v>2366</v>
      </c>
      <c r="C156" s="2">
        <f>IFERROR(MATCH($A156,SchedSeq,0),"")</f>
        <v>362</v>
      </c>
      <c r="D156" s="2" t="str">
        <f t="array" ref="D156">IF($C156="","",INDEX(SchedZone,$C156,MAP!$B$6))</f>
        <v>2026_05_SF_SEA</v>
      </c>
      <c r="E156" s="2">
        <f t="array" ref="E156">IF($C156="","",INDEX(SchedZone,$C156,MAP!$B$3))</f>
        <v>2026</v>
      </c>
      <c r="F156" s="2" t="str">
        <f t="array" ref="F156">IF($C156="","",INDEX(SchedZone,$C156,MAP!$B$5))</f>
        <v>REG</v>
      </c>
      <c r="G156" s="2">
        <f t="array" ref="G156">IF($C156="","",INDEX(SchedZone,$C156,MAP!$B$4))</f>
        <v>5</v>
      </c>
      <c r="H156" s="2" t="str">
        <f t="array" ref="H156">IF($C156="","",INDEX(SchedZone,$C156,MAP!$B$10))</f>
        <v>SF</v>
      </c>
      <c r="I156" s="2" t="str">
        <f t="array" ref="I156">IF($H156="","",IF(COUNTIF(Teams,$H156)&gt;0,$H156,IFERROR(INDEX(LISTS!$D$2:$D$12,MATCH($H156,LISTS!$C$2:$C$12,0)),"⚠ "&amp;$H156)))</f>
        <v>SF</v>
      </c>
      <c r="J156" s="2" t="str">
        <f t="array" ref="J156">IF($C156="","",INDEX(SchedZone,$C156,MAP!$B$12))</f>
        <v>SEA</v>
      </c>
      <c r="K156" s="2" t="str">
        <f t="array" ref="K156">IF($J156="","",IF(COUNTIF(Teams,$J156)&gt;0,$J156,IFERROR(INDEX(LISTS!$D$2:$D$12,MATCH($J156,LISTS!$C$2:$C$12,0)),"⚠ "&amp;$J156)))</f>
        <v>SEA</v>
      </c>
      <c r="L156" s="2" t="str">
        <f t="array" ref="L156">IF($C156="","",IF(INDEX(SchedZone,$C156,MAP!$B$14)="Neutral","N",IF($B156="HOME","H","A")))</f>
        <v>A</v>
      </c>
      <c r="M156" s="2" t="str">
        <f t="array" ref="M156">IF($C156="","",IF(INDEX(SchedZone,$C156,MAP!$B$11)="","",INDEX(SchedZone,$C156,MAP!$B$11)))</f>
        <v/>
      </c>
      <c r="N156" s="2" t="str">
        <f t="array" ref="N156">IF($C156="","",IF(INDEX(SchedZone,$C156,MAP!$B$13)="","",INDEX(SchedZone,$C156,MAP!$B$13)))</f>
        <v/>
      </c>
      <c r="O156" s="2">
        <f t="array" ref="O156">IF($C156="","",INDEX(SchedZone,$C156,MAP!$B$15))</f>
        <v>7</v>
      </c>
      <c r="P156" s="2" t="str">
        <f>IF($C156="","",IFERROR(MATCH($E156&amp;"|"&amp;$G156&amp;"|"&amp;$I156,StatsKey,0),""))</f>
        <v/>
      </c>
      <c r="Q156" s="2">
        <f t="array" ref="Q156">IF($P156="",0,INDEX(StatsZone,$P156,MAP!$E$9)+INDEX(StatsZone,$P156,MAP!$E$10)+INDEX(StatsZone,$P156,MAP!$E$11))</f>
        <v>0</v>
      </c>
      <c r="R156" s="2">
        <f t="array" ref="R156">IF($P156="",0,INDEX(StatsZone,$P156,MAP!$E$12))</f>
        <v>0</v>
      </c>
      <c r="S156" s="2">
        <f t="array" ref="S156">IF($P156="",0,INDEX(StatsZone,$P156,MAP!$E$13))</f>
        <v>0</v>
      </c>
      <c r="T156" s="2">
        <f t="shared" si="1"/>
        <v>0</v>
      </c>
      <c r="U156" s="2">
        <f t="array" ref="U156">IF($P156="",0,INDEX(StatsZone,$P156,MAP!$E$14)+INDEX(StatsZone,$P156,MAP!$E$15)+INDEX(StatsZone,$P156,MAP!$E$16))</f>
        <v>0</v>
      </c>
      <c r="V156" s="2">
        <f t="shared" si="2"/>
        <v>0</v>
      </c>
      <c r="W156" s="2">
        <f t="shared" si="3"/>
        <v>0</v>
      </c>
      <c r="X156" s="2">
        <f t="shared" si="4"/>
        <v>0</v>
      </c>
      <c r="Y156" s="2">
        <f t="shared" si="5"/>
        <v>0</v>
      </c>
      <c r="Z156" s="2">
        <f t="shared" si="6"/>
        <v>0</v>
      </c>
      <c r="AA156" s="2">
        <f t="shared" si="7"/>
        <v>-1</v>
      </c>
      <c r="AB156" s="2">
        <f>IF(OR($M156="",$N156=""),0,MEDIAN(-MarginCap,MarginCap,($M156-$N156)-$AA156*HFA_Base))</f>
        <v>0</v>
      </c>
      <c r="AC156" s="2">
        <f t="array" ref="AC156">IF(OR($P156="",INDEX($P$3:$P$722,(ROW()+IF(MOD(ROW()-3,2)=0,1,-1))-3+1)=""),0,MEDIAN(-MarginCap,MarginCap,($T156-$W156)-$AA156*HFA_Base))</f>
        <v>0</v>
      </c>
      <c r="AD156" s="2">
        <f t="shared" si="8"/>
        <v>0</v>
      </c>
      <c r="AE156" s="2">
        <f>IF(OR($M156="",$N156=""),0,IF(AND(WEpa&gt;0,$AD156=1),(1-WEpa)*$AB156+WEpa*$AC156,$AB156))</f>
        <v>0</v>
      </c>
      <c r="AF156" s="2">
        <f>IF(AND($C156&lt;&gt;"",$E156=CurrentSeason,$F156="REG",ISNUMBER($G156),$G156&lt;CurrentWeek,AND($M156&lt;&gt;"",$N156&lt;&gt;"")),1,0)</f>
        <v>0</v>
      </c>
      <c r="AG156" s="2">
        <f>IF($AF156=0,0,IF($G156&gt;=CurrentWeek-RecencyWin,RecencyMult,1))</f>
        <v>0</v>
      </c>
      <c r="AH156" s="2">
        <f>IF(AND($C156&lt;&gt;"",$E156=CurrentSeason,$F156="REG",ISNUMBER($G156),$G156&lt;CurrentWeek-1,AND($M156&lt;&gt;"",$N156&lt;&gt;"")),1,0)</f>
        <v>0</v>
      </c>
      <c r="AI156" s="2">
        <f>IF($AH156=0,0,IF($G156&gt;=CurrentWeek-1-RecencyWin,RecencyMult,1))</f>
        <v>0</v>
      </c>
      <c r="AJ156" s="2">
        <f>IF($AF156=0,0,IF($G156&gt;=CurrentWeek-RecencyWin,TotRecency,1))</f>
        <v>0</v>
      </c>
      <c r="AK156" s="2">
        <f t="shared" si="9"/>
        <v>0</v>
      </c>
      <c r="AL156" s="2">
        <f t="shared" si="10"/>
        <v>0</v>
      </c>
      <c r="AM156" s="2" t="str">
        <f t="array" ref="AM156">IF($K156="",0,IFERROR(INDEX(CALC!$F$2:$F$33,MATCH($K156,CALC!$A$2:$A$33,0)),0))</f>
        <v/>
      </c>
      <c r="AN156" s="2" t="str">
        <f t="array" ref="AN156">IF($K156="",0,IFERROR(INDEX(CALC!$I$2:$I$33,MATCH($K156,CALC!$A$2:$A$33,0)),0))</f>
        <v/>
      </c>
      <c r="AO156" s="2" t="str">
        <f t="array" ref="AO156">IF($K156="",0,IFERROR(INDEX(CALC!$L$2:$L$33,MATCH($K156,CALC!$A$2:$A$33,0)),0))</f>
        <v/>
      </c>
      <c r="AP156" s="2" t="str">
        <f t="array" ref="AP156">IF($K156="",0,IFERROR(INDEX(CALC!$T$2:$T$33,MATCH($K156,CALC!$A$2:$A$33,0)),0))</f>
        <v/>
      </c>
      <c r="AQ156" s="2" t="str">
        <f t="array" ref="AQ156">IF($K156="",0,IFERROR(INDEX(CALC!$W$2:$W$33,MATCH($K156,CALC!$A$2:$A$33,0)),0))</f>
        <v/>
      </c>
      <c r="AR156" s="2" t="str">
        <f t="array" ref="AR156">IF($K156="",0,IFERROR(INDEX(CALC!$Z$2:$Z$33,MATCH($K156,CALC!$A$2:$A$33,0)),0))</f>
        <v/>
      </c>
      <c r="AS156" s="2" t="str">
        <f t="array" ref="AS156">IF($K156="",0,IFERROR(INDEX(CALC!$AJ$2:$AJ$33,MATCH($K156,CALC!$A$2:$A$33,0)),0))</f>
        <v/>
      </c>
      <c r="AT156" s="2" t="str">
        <f t="array" ref="AT156">IF($K156="",0,IFERROR(INDEX(CALC!$AI$2:$AI$33,MATCH($K156,CALC!$A$2:$A$33,0)),0))</f>
        <v/>
      </c>
      <c r="AU156" s="2">
        <f t="shared" si="11"/>
        <v>0</v>
      </c>
      <c r="AV156" s="2">
        <f t="shared" si="12"/>
        <v>0</v>
      </c>
    </row>
    <row r="157" ht="15.0" customHeight="1">
      <c r="A157" s="2">
        <v>78.0</v>
      </c>
      <c r="B157" s="2" t="s">
        <v>2365</v>
      </c>
      <c r="C157" s="2">
        <f>IFERROR(MATCH($A157,SchedSeq,0),"")</f>
        <v>363</v>
      </c>
      <c r="D157" s="2" t="str">
        <f t="array" ref="D157">IF($C157="","",INDEX(SchedZone,$C157,MAP!$B$6))</f>
        <v>2026_05_BAL_ATL</v>
      </c>
      <c r="E157" s="2">
        <f t="array" ref="E157">IF($C157="","",INDEX(SchedZone,$C157,MAP!$B$3))</f>
        <v>2026</v>
      </c>
      <c r="F157" s="2" t="str">
        <f t="array" ref="F157">IF($C157="","",INDEX(SchedZone,$C157,MAP!$B$5))</f>
        <v>REG</v>
      </c>
      <c r="G157" s="2">
        <f t="array" ref="G157">IF($C157="","",INDEX(SchedZone,$C157,MAP!$B$4))</f>
        <v>5</v>
      </c>
      <c r="H157" s="2" t="str">
        <f t="array" ref="H157">IF($C157="","",INDEX(SchedZone,$C157,MAP!$B$12))</f>
        <v>ATL</v>
      </c>
      <c r="I157" s="2" t="str">
        <f t="array" ref="I157">IF($H157="","",IF(COUNTIF(Teams,$H157)&gt;0,$H157,IFERROR(INDEX(LISTS!$D$2:$D$12,MATCH($H157,LISTS!$C$2:$C$12,0)),"⚠ "&amp;$H157)))</f>
        <v>ATL</v>
      </c>
      <c r="J157" s="2" t="str">
        <f t="array" ref="J157">IF($C157="","",INDEX(SchedZone,$C157,MAP!$B$10))</f>
        <v>BAL</v>
      </c>
      <c r="K157" s="2" t="str">
        <f t="array" ref="K157">IF($J157="","",IF(COUNTIF(Teams,$J157)&gt;0,$J157,IFERROR(INDEX(LISTS!$D$2:$D$12,MATCH($J157,LISTS!$C$2:$C$12,0)),"⚠ "&amp;$J157)))</f>
        <v>BAL</v>
      </c>
      <c r="L157" s="2" t="str">
        <f t="array" ref="L157">IF($C157="","",IF(INDEX(SchedZone,$C157,MAP!$B$14)="Neutral","N",IF($B157="HOME","H","A")))</f>
        <v>H</v>
      </c>
      <c r="M157" s="2" t="str">
        <f t="array" ref="M157">IF($C157="","",IF(INDEX(SchedZone,$C157,MAP!$B$13)="","",INDEX(SchedZone,$C157,MAP!$B$13)))</f>
        <v/>
      </c>
      <c r="N157" s="2" t="str">
        <f t="array" ref="N157">IF($C157="","",IF(INDEX(SchedZone,$C157,MAP!$B$11)="","",INDEX(SchedZone,$C157,MAP!$B$11)))</f>
        <v/>
      </c>
      <c r="O157" s="2">
        <f t="array" ref="O157">IF($C157="","",INDEX(SchedZone,$C157,MAP!$B$16))</f>
        <v>6</v>
      </c>
      <c r="P157" s="2" t="str">
        <f>IF($C157="","",IFERROR(MATCH($E157&amp;"|"&amp;$G157&amp;"|"&amp;$I157,StatsKey,0),""))</f>
        <v/>
      </c>
      <c r="Q157" s="2">
        <f t="array" ref="Q157">IF($P157="",0,INDEX(StatsZone,$P157,MAP!$E$9)+INDEX(StatsZone,$P157,MAP!$E$10)+INDEX(StatsZone,$P157,MAP!$E$11))</f>
        <v>0</v>
      </c>
      <c r="R157" s="2">
        <f t="array" ref="R157">IF($P157="",0,INDEX(StatsZone,$P157,MAP!$E$12))</f>
        <v>0</v>
      </c>
      <c r="S157" s="2">
        <f t="array" ref="S157">IF($P157="",0,INDEX(StatsZone,$P157,MAP!$E$13))</f>
        <v>0</v>
      </c>
      <c r="T157" s="2">
        <f t="shared" si="1"/>
        <v>0</v>
      </c>
      <c r="U157" s="2">
        <f t="array" ref="U157">IF($P157="",0,INDEX(StatsZone,$P157,MAP!$E$14)+INDEX(StatsZone,$P157,MAP!$E$15)+INDEX(StatsZone,$P157,MAP!$E$16))</f>
        <v>0</v>
      </c>
      <c r="V157" s="2">
        <f t="shared" si="2"/>
        <v>0</v>
      </c>
      <c r="W157" s="2">
        <f t="shared" si="3"/>
        <v>0</v>
      </c>
      <c r="X157" s="2">
        <f t="shared" si="4"/>
        <v>0</v>
      </c>
      <c r="Y157" s="2">
        <f t="shared" si="5"/>
        <v>0</v>
      </c>
      <c r="Z157" s="2">
        <f t="shared" si="6"/>
        <v>0</v>
      </c>
      <c r="AA157" s="2">
        <f t="shared" si="7"/>
        <v>1</v>
      </c>
      <c r="AB157" s="2">
        <f>IF(OR($M157="",$N157=""),0,MEDIAN(-MarginCap,MarginCap,($M157-$N157)-$AA157*HFA_Base))</f>
        <v>0</v>
      </c>
      <c r="AC157" s="2">
        <f t="array" ref="AC157">IF(OR($P157="",INDEX($P$3:$P$722,(ROW()+IF(MOD(ROW()-3,2)=0,1,-1))-3+1)=""),0,MEDIAN(-MarginCap,MarginCap,($T157-$W157)-$AA157*HFA_Base))</f>
        <v>0</v>
      </c>
      <c r="AD157" s="2">
        <f t="shared" si="8"/>
        <v>0</v>
      </c>
      <c r="AE157" s="2">
        <f>IF(OR($M157="",$N157=""),0,IF(AND(WEpa&gt;0,$AD157=1),(1-WEpa)*$AB157+WEpa*$AC157,$AB157))</f>
        <v>0</v>
      </c>
      <c r="AF157" s="2">
        <f>IF(AND($C157&lt;&gt;"",$E157=CurrentSeason,$F157="REG",ISNUMBER($G157),$G157&lt;CurrentWeek,AND($M157&lt;&gt;"",$N157&lt;&gt;"")),1,0)</f>
        <v>0</v>
      </c>
      <c r="AG157" s="2">
        <f>IF($AF157=0,0,IF($G157&gt;=CurrentWeek-RecencyWin,RecencyMult,1))</f>
        <v>0</v>
      </c>
      <c r="AH157" s="2">
        <f>IF(AND($C157&lt;&gt;"",$E157=CurrentSeason,$F157="REG",ISNUMBER($G157),$G157&lt;CurrentWeek-1,AND($M157&lt;&gt;"",$N157&lt;&gt;"")),1,0)</f>
        <v>0</v>
      </c>
      <c r="AI157" s="2">
        <f>IF($AH157=0,0,IF($G157&gt;=CurrentWeek-1-RecencyWin,RecencyMult,1))</f>
        <v>0</v>
      </c>
      <c r="AJ157" s="2">
        <f>IF($AF157=0,0,IF($G157&gt;=CurrentWeek-RecencyWin,TotRecency,1))</f>
        <v>0</v>
      </c>
      <c r="AK157" s="2">
        <f t="shared" si="9"/>
        <v>0</v>
      </c>
      <c r="AL157" s="2">
        <f t="shared" si="10"/>
        <v>0</v>
      </c>
      <c r="AM157" s="2" t="str">
        <f t="array" ref="AM157">IF($K157="",0,IFERROR(INDEX(CALC!$F$2:$F$33,MATCH($K157,CALC!$A$2:$A$33,0)),0))</f>
        <v/>
      </c>
      <c r="AN157" s="2" t="str">
        <f t="array" ref="AN157">IF($K157="",0,IFERROR(INDEX(CALC!$I$2:$I$33,MATCH($K157,CALC!$A$2:$A$33,0)),0))</f>
        <v/>
      </c>
      <c r="AO157" s="2" t="str">
        <f t="array" ref="AO157">IF($K157="",0,IFERROR(INDEX(CALC!$L$2:$L$33,MATCH($K157,CALC!$A$2:$A$33,0)),0))</f>
        <v/>
      </c>
      <c r="AP157" s="2" t="str">
        <f t="array" ref="AP157">IF($K157="",0,IFERROR(INDEX(CALC!$T$2:$T$33,MATCH($K157,CALC!$A$2:$A$33,0)),0))</f>
        <v/>
      </c>
      <c r="AQ157" s="2" t="str">
        <f t="array" ref="AQ157">IF($K157="",0,IFERROR(INDEX(CALC!$W$2:$W$33,MATCH($K157,CALC!$A$2:$A$33,0)),0))</f>
        <v/>
      </c>
      <c r="AR157" s="2" t="str">
        <f t="array" ref="AR157">IF($K157="",0,IFERROR(INDEX(CALC!$Z$2:$Z$33,MATCH($K157,CALC!$A$2:$A$33,0)),0))</f>
        <v/>
      </c>
      <c r="AS157" s="2" t="str">
        <f t="array" ref="AS157">IF($K157="",0,IFERROR(INDEX(CALC!$AJ$2:$AJ$33,MATCH($K157,CALC!$A$2:$A$33,0)),0))</f>
        <v/>
      </c>
      <c r="AT157" s="2" t="str">
        <f t="array" ref="AT157">IF($K157="",0,IFERROR(INDEX(CALC!$AI$2:$AI$33,MATCH($K157,CALC!$A$2:$A$33,0)),0))</f>
        <v/>
      </c>
      <c r="AU157" s="2">
        <f t="shared" si="11"/>
        <v>0</v>
      </c>
      <c r="AV157" s="2">
        <f t="shared" si="12"/>
        <v>0</v>
      </c>
    </row>
    <row r="158" ht="15.0" customHeight="1">
      <c r="A158" s="2">
        <v>78.0</v>
      </c>
      <c r="B158" s="2" t="s">
        <v>2366</v>
      </c>
      <c r="C158" s="2">
        <f>IFERROR(MATCH($A158,SchedSeq,0),"")</f>
        <v>363</v>
      </c>
      <c r="D158" s="2" t="str">
        <f t="array" ref="D158">IF($C158="","",INDEX(SchedZone,$C158,MAP!$B$6))</f>
        <v>2026_05_BAL_ATL</v>
      </c>
      <c r="E158" s="2">
        <f t="array" ref="E158">IF($C158="","",INDEX(SchedZone,$C158,MAP!$B$3))</f>
        <v>2026</v>
      </c>
      <c r="F158" s="2" t="str">
        <f t="array" ref="F158">IF($C158="","",INDEX(SchedZone,$C158,MAP!$B$5))</f>
        <v>REG</v>
      </c>
      <c r="G158" s="2">
        <f t="array" ref="G158">IF($C158="","",INDEX(SchedZone,$C158,MAP!$B$4))</f>
        <v>5</v>
      </c>
      <c r="H158" s="2" t="str">
        <f t="array" ref="H158">IF($C158="","",INDEX(SchedZone,$C158,MAP!$B$10))</f>
        <v>BAL</v>
      </c>
      <c r="I158" s="2" t="str">
        <f t="array" ref="I158">IF($H158="","",IF(COUNTIF(Teams,$H158)&gt;0,$H158,IFERROR(INDEX(LISTS!$D$2:$D$12,MATCH($H158,LISTS!$C$2:$C$12,0)),"⚠ "&amp;$H158)))</f>
        <v>BAL</v>
      </c>
      <c r="J158" s="2" t="str">
        <f t="array" ref="J158">IF($C158="","",INDEX(SchedZone,$C158,MAP!$B$12))</f>
        <v>ATL</v>
      </c>
      <c r="K158" s="2" t="str">
        <f t="array" ref="K158">IF($J158="","",IF(COUNTIF(Teams,$J158)&gt;0,$J158,IFERROR(INDEX(LISTS!$D$2:$D$12,MATCH($J158,LISTS!$C$2:$C$12,0)),"⚠ "&amp;$J158)))</f>
        <v>ATL</v>
      </c>
      <c r="L158" s="2" t="str">
        <f t="array" ref="L158">IF($C158="","",IF(INDEX(SchedZone,$C158,MAP!$B$14)="Neutral","N",IF($B158="HOME","H","A")))</f>
        <v>A</v>
      </c>
      <c r="M158" s="2" t="str">
        <f t="array" ref="M158">IF($C158="","",IF(INDEX(SchedZone,$C158,MAP!$B$11)="","",INDEX(SchedZone,$C158,MAP!$B$11)))</f>
        <v/>
      </c>
      <c r="N158" s="2" t="str">
        <f t="array" ref="N158">IF($C158="","",IF(INDEX(SchedZone,$C158,MAP!$B$13)="","",INDEX(SchedZone,$C158,MAP!$B$13)))</f>
        <v/>
      </c>
      <c r="O158" s="2">
        <f t="array" ref="O158">IF($C158="","",INDEX(SchedZone,$C158,MAP!$B$15))</f>
        <v>7</v>
      </c>
      <c r="P158" s="2" t="str">
        <f>IF($C158="","",IFERROR(MATCH($E158&amp;"|"&amp;$G158&amp;"|"&amp;$I158,StatsKey,0),""))</f>
        <v/>
      </c>
      <c r="Q158" s="2">
        <f t="array" ref="Q158">IF($P158="",0,INDEX(StatsZone,$P158,MAP!$E$9)+INDEX(StatsZone,$P158,MAP!$E$10)+INDEX(StatsZone,$P158,MAP!$E$11))</f>
        <v>0</v>
      </c>
      <c r="R158" s="2">
        <f t="array" ref="R158">IF($P158="",0,INDEX(StatsZone,$P158,MAP!$E$12))</f>
        <v>0</v>
      </c>
      <c r="S158" s="2">
        <f t="array" ref="S158">IF($P158="",0,INDEX(StatsZone,$P158,MAP!$E$13))</f>
        <v>0</v>
      </c>
      <c r="T158" s="2">
        <f t="shared" si="1"/>
        <v>0</v>
      </c>
      <c r="U158" s="2">
        <f t="array" ref="U158">IF($P158="",0,INDEX(StatsZone,$P158,MAP!$E$14)+INDEX(StatsZone,$P158,MAP!$E$15)+INDEX(StatsZone,$P158,MAP!$E$16))</f>
        <v>0</v>
      </c>
      <c r="V158" s="2">
        <f t="shared" si="2"/>
        <v>0</v>
      </c>
      <c r="W158" s="2">
        <f t="shared" si="3"/>
        <v>0</v>
      </c>
      <c r="X158" s="2">
        <f t="shared" si="4"/>
        <v>0</v>
      </c>
      <c r="Y158" s="2">
        <f t="shared" si="5"/>
        <v>0</v>
      </c>
      <c r="Z158" s="2">
        <f t="shared" si="6"/>
        <v>0</v>
      </c>
      <c r="AA158" s="2">
        <f t="shared" si="7"/>
        <v>-1</v>
      </c>
      <c r="AB158" s="2">
        <f>IF(OR($M158="",$N158=""),0,MEDIAN(-MarginCap,MarginCap,($M158-$N158)-$AA158*HFA_Base))</f>
        <v>0</v>
      </c>
      <c r="AC158" s="2">
        <f t="array" ref="AC158">IF(OR($P158="",INDEX($P$3:$P$722,(ROW()+IF(MOD(ROW()-3,2)=0,1,-1))-3+1)=""),0,MEDIAN(-MarginCap,MarginCap,($T158-$W158)-$AA158*HFA_Base))</f>
        <v>0</v>
      </c>
      <c r="AD158" s="2">
        <f t="shared" si="8"/>
        <v>0</v>
      </c>
      <c r="AE158" s="2">
        <f>IF(OR($M158="",$N158=""),0,IF(AND(WEpa&gt;0,$AD158=1),(1-WEpa)*$AB158+WEpa*$AC158,$AB158))</f>
        <v>0</v>
      </c>
      <c r="AF158" s="2">
        <f>IF(AND($C158&lt;&gt;"",$E158=CurrentSeason,$F158="REG",ISNUMBER($G158),$G158&lt;CurrentWeek,AND($M158&lt;&gt;"",$N158&lt;&gt;"")),1,0)</f>
        <v>0</v>
      </c>
      <c r="AG158" s="2">
        <f>IF($AF158=0,0,IF($G158&gt;=CurrentWeek-RecencyWin,RecencyMult,1))</f>
        <v>0</v>
      </c>
      <c r="AH158" s="2">
        <f>IF(AND($C158&lt;&gt;"",$E158=CurrentSeason,$F158="REG",ISNUMBER($G158),$G158&lt;CurrentWeek-1,AND($M158&lt;&gt;"",$N158&lt;&gt;"")),1,0)</f>
        <v>0</v>
      </c>
      <c r="AI158" s="2">
        <f>IF($AH158=0,0,IF($G158&gt;=CurrentWeek-1-RecencyWin,RecencyMult,1))</f>
        <v>0</v>
      </c>
      <c r="AJ158" s="2">
        <f>IF($AF158=0,0,IF($G158&gt;=CurrentWeek-RecencyWin,TotRecency,1))</f>
        <v>0</v>
      </c>
      <c r="AK158" s="2">
        <f t="shared" si="9"/>
        <v>0</v>
      </c>
      <c r="AL158" s="2">
        <f t="shared" si="10"/>
        <v>0</v>
      </c>
      <c r="AM158" s="2" t="str">
        <f t="array" ref="AM158">IF($K158="",0,IFERROR(INDEX(CALC!$F$2:$F$33,MATCH($K158,CALC!$A$2:$A$33,0)),0))</f>
        <v/>
      </c>
      <c r="AN158" s="2" t="str">
        <f t="array" ref="AN158">IF($K158="",0,IFERROR(INDEX(CALC!$I$2:$I$33,MATCH($K158,CALC!$A$2:$A$33,0)),0))</f>
        <v/>
      </c>
      <c r="AO158" s="2" t="str">
        <f t="array" ref="AO158">IF($K158="",0,IFERROR(INDEX(CALC!$L$2:$L$33,MATCH($K158,CALC!$A$2:$A$33,0)),0))</f>
        <v/>
      </c>
      <c r="AP158" s="2" t="str">
        <f t="array" ref="AP158">IF($K158="",0,IFERROR(INDEX(CALC!$T$2:$T$33,MATCH($K158,CALC!$A$2:$A$33,0)),0))</f>
        <v/>
      </c>
      <c r="AQ158" s="2" t="str">
        <f t="array" ref="AQ158">IF($K158="",0,IFERROR(INDEX(CALC!$W$2:$W$33,MATCH($K158,CALC!$A$2:$A$33,0)),0))</f>
        <v/>
      </c>
      <c r="AR158" s="2" t="str">
        <f t="array" ref="AR158">IF($K158="",0,IFERROR(INDEX(CALC!$Z$2:$Z$33,MATCH($K158,CALC!$A$2:$A$33,0)),0))</f>
        <v/>
      </c>
      <c r="AS158" s="2" t="str">
        <f t="array" ref="AS158">IF($K158="",0,IFERROR(INDEX(CALC!$AJ$2:$AJ$33,MATCH($K158,CALC!$A$2:$A$33,0)),0))</f>
        <v/>
      </c>
      <c r="AT158" s="2" t="str">
        <f t="array" ref="AT158">IF($K158="",0,IFERROR(INDEX(CALC!$AI$2:$AI$33,MATCH($K158,CALC!$A$2:$A$33,0)),0))</f>
        <v/>
      </c>
      <c r="AU158" s="2">
        <f t="shared" si="11"/>
        <v>0</v>
      </c>
      <c r="AV158" s="2">
        <f t="shared" si="12"/>
        <v>0</v>
      </c>
    </row>
    <row r="159" ht="15.0" customHeight="1">
      <c r="A159" s="2">
        <v>79.0</v>
      </c>
      <c r="B159" s="2" t="s">
        <v>2365</v>
      </c>
      <c r="C159" s="2">
        <f>IFERROR(MATCH($A159,SchedSeq,0),"")</f>
        <v>364</v>
      </c>
      <c r="D159" s="2" t="str">
        <f t="array" ref="D159">IF($C159="","",INDEX(SchedZone,$C159,MAP!$B$6))</f>
        <v>2026_05_BUF_LA</v>
      </c>
      <c r="E159" s="2">
        <f t="array" ref="E159">IF($C159="","",INDEX(SchedZone,$C159,MAP!$B$3))</f>
        <v>2026</v>
      </c>
      <c r="F159" s="2" t="str">
        <f t="array" ref="F159">IF($C159="","",INDEX(SchedZone,$C159,MAP!$B$5))</f>
        <v>REG</v>
      </c>
      <c r="G159" s="2">
        <f t="array" ref="G159">IF($C159="","",INDEX(SchedZone,$C159,MAP!$B$4))</f>
        <v>5</v>
      </c>
      <c r="H159" s="2" t="str">
        <f t="array" ref="H159">IF($C159="","",INDEX(SchedZone,$C159,MAP!$B$12))</f>
        <v>LA</v>
      </c>
      <c r="I159" s="2" t="str">
        <f t="array" ref="I159">IF($H159="","",IF(COUNTIF(Teams,$H159)&gt;0,$H159,IFERROR(INDEX(LISTS!$D$2:$D$12,MATCH($H159,LISTS!$C$2:$C$12,0)),"⚠ "&amp;$H159)))</f>
        <v>LA</v>
      </c>
      <c r="J159" s="2" t="str">
        <f t="array" ref="J159">IF($C159="","",INDEX(SchedZone,$C159,MAP!$B$10))</f>
        <v>BUF</v>
      </c>
      <c r="K159" s="2" t="str">
        <f t="array" ref="K159">IF($J159="","",IF(COUNTIF(Teams,$J159)&gt;0,$J159,IFERROR(INDEX(LISTS!$D$2:$D$12,MATCH($J159,LISTS!$C$2:$C$12,0)),"⚠ "&amp;$J159)))</f>
        <v>BUF</v>
      </c>
      <c r="L159" s="2" t="str">
        <f t="array" ref="L159">IF($C159="","",IF(INDEX(SchedZone,$C159,MAP!$B$14)="Neutral","N",IF($B159="HOME","H","A")))</f>
        <v>H</v>
      </c>
      <c r="M159" s="2" t="str">
        <f t="array" ref="M159">IF($C159="","",IF(INDEX(SchedZone,$C159,MAP!$B$13)="","",INDEX(SchedZone,$C159,MAP!$B$13)))</f>
        <v/>
      </c>
      <c r="N159" s="2" t="str">
        <f t="array" ref="N159">IF($C159="","",IF(INDEX(SchedZone,$C159,MAP!$B$11)="","",INDEX(SchedZone,$C159,MAP!$B$11)))</f>
        <v/>
      </c>
      <c r="O159" s="2">
        <f t="array" ref="O159">IF($C159="","",INDEX(SchedZone,$C159,MAP!$B$16))</f>
        <v>8</v>
      </c>
      <c r="P159" s="2" t="str">
        <f>IF($C159="","",IFERROR(MATCH($E159&amp;"|"&amp;$G159&amp;"|"&amp;$I159,StatsKey,0),""))</f>
        <v/>
      </c>
      <c r="Q159" s="2">
        <f t="array" ref="Q159">IF($P159="",0,INDEX(StatsZone,$P159,MAP!$E$9)+INDEX(StatsZone,$P159,MAP!$E$10)+INDEX(StatsZone,$P159,MAP!$E$11))</f>
        <v>0</v>
      </c>
      <c r="R159" s="2">
        <f t="array" ref="R159">IF($P159="",0,INDEX(StatsZone,$P159,MAP!$E$12))</f>
        <v>0</v>
      </c>
      <c r="S159" s="2">
        <f t="array" ref="S159">IF($P159="",0,INDEX(StatsZone,$P159,MAP!$E$13))</f>
        <v>0</v>
      </c>
      <c r="T159" s="2">
        <f t="shared" si="1"/>
        <v>0</v>
      </c>
      <c r="U159" s="2">
        <f t="array" ref="U159">IF($P159="",0,INDEX(StatsZone,$P159,MAP!$E$14)+INDEX(StatsZone,$P159,MAP!$E$15)+INDEX(StatsZone,$P159,MAP!$E$16))</f>
        <v>0</v>
      </c>
      <c r="V159" s="2">
        <f t="shared" si="2"/>
        <v>0</v>
      </c>
      <c r="W159" s="2">
        <f t="shared" si="3"/>
        <v>0</v>
      </c>
      <c r="X159" s="2">
        <f t="shared" si="4"/>
        <v>0</v>
      </c>
      <c r="Y159" s="2">
        <f t="shared" si="5"/>
        <v>0</v>
      </c>
      <c r="Z159" s="2">
        <f t="shared" si="6"/>
        <v>0</v>
      </c>
      <c r="AA159" s="2">
        <f t="shared" si="7"/>
        <v>1</v>
      </c>
      <c r="AB159" s="2">
        <f>IF(OR($M159="",$N159=""),0,MEDIAN(-MarginCap,MarginCap,($M159-$N159)-$AA159*HFA_Base))</f>
        <v>0</v>
      </c>
      <c r="AC159" s="2">
        <f t="array" ref="AC159">IF(OR($P159="",INDEX($P$3:$P$722,(ROW()+IF(MOD(ROW()-3,2)=0,1,-1))-3+1)=""),0,MEDIAN(-MarginCap,MarginCap,($T159-$W159)-$AA159*HFA_Base))</f>
        <v>0</v>
      </c>
      <c r="AD159" s="2">
        <f t="shared" si="8"/>
        <v>0</v>
      </c>
      <c r="AE159" s="2">
        <f>IF(OR($M159="",$N159=""),0,IF(AND(WEpa&gt;0,$AD159=1),(1-WEpa)*$AB159+WEpa*$AC159,$AB159))</f>
        <v>0</v>
      </c>
      <c r="AF159" s="2">
        <f>IF(AND($C159&lt;&gt;"",$E159=CurrentSeason,$F159="REG",ISNUMBER($G159),$G159&lt;CurrentWeek,AND($M159&lt;&gt;"",$N159&lt;&gt;"")),1,0)</f>
        <v>0</v>
      </c>
      <c r="AG159" s="2">
        <f>IF($AF159=0,0,IF($G159&gt;=CurrentWeek-RecencyWin,RecencyMult,1))</f>
        <v>0</v>
      </c>
      <c r="AH159" s="2">
        <f>IF(AND($C159&lt;&gt;"",$E159=CurrentSeason,$F159="REG",ISNUMBER($G159),$G159&lt;CurrentWeek-1,AND($M159&lt;&gt;"",$N159&lt;&gt;"")),1,0)</f>
        <v>0</v>
      </c>
      <c r="AI159" s="2">
        <f>IF($AH159=0,0,IF($G159&gt;=CurrentWeek-1-RecencyWin,RecencyMult,1))</f>
        <v>0</v>
      </c>
      <c r="AJ159" s="2">
        <f>IF($AF159=0,0,IF($G159&gt;=CurrentWeek-RecencyWin,TotRecency,1))</f>
        <v>0</v>
      </c>
      <c r="AK159" s="2">
        <f t="shared" si="9"/>
        <v>0</v>
      </c>
      <c r="AL159" s="2">
        <f t="shared" si="10"/>
        <v>0</v>
      </c>
      <c r="AM159" s="2" t="str">
        <f t="array" ref="AM159">IF($K159="",0,IFERROR(INDEX(CALC!$F$2:$F$33,MATCH($K159,CALC!$A$2:$A$33,0)),0))</f>
        <v/>
      </c>
      <c r="AN159" s="2" t="str">
        <f t="array" ref="AN159">IF($K159="",0,IFERROR(INDEX(CALC!$I$2:$I$33,MATCH($K159,CALC!$A$2:$A$33,0)),0))</f>
        <v/>
      </c>
      <c r="AO159" s="2" t="str">
        <f t="array" ref="AO159">IF($K159="",0,IFERROR(INDEX(CALC!$L$2:$L$33,MATCH($K159,CALC!$A$2:$A$33,0)),0))</f>
        <v/>
      </c>
      <c r="AP159" s="2" t="str">
        <f t="array" ref="AP159">IF($K159="",0,IFERROR(INDEX(CALC!$T$2:$T$33,MATCH($K159,CALC!$A$2:$A$33,0)),0))</f>
        <v/>
      </c>
      <c r="AQ159" s="2" t="str">
        <f t="array" ref="AQ159">IF($K159="",0,IFERROR(INDEX(CALC!$W$2:$W$33,MATCH($K159,CALC!$A$2:$A$33,0)),0))</f>
        <v/>
      </c>
      <c r="AR159" s="2" t="str">
        <f t="array" ref="AR159">IF($K159="",0,IFERROR(INDEX(CALC!$Z$2:$Z$33,MATCH($K159,CALC!$A$2:$A$33,0)),0))</f>
        <v/>
      </c>
      <c r="AS159" s="2" t="str">
        <f t="array" ref="AS159">IF($K159="",0,IFERROR(INDEX(CALC!$AJ$2:$AJ$33,MATCH($K159,CALC!$A$2:$A$33,0)),0))</f>
        <v/>
      </c>
      <c r="AT159" s="2" t="str">
        <f t="array" ref="AT159">IF($K159="",0,IFERROR(INDEX(CALC!$AI$2:$AI$33,MATCH($K159,CALC!$A$2:$A$33,0)),0))</f>
        <v/>
      </c>
      <c r="AU159" s="2">
        <f t="shared" si="11"/>
        <v>0</v>
      </c>
      <c r="AV159" s="2">
        <f t="shared" si="12"/>
        <v>0</v>
      </c>
    </row>
    <row r="160" ht="15.0" customHeight="1">
      <c r="A160" s="2">
        <v>79.0</v>
      </c>
      <c r="B160" s="2" t="s">
        <v>2366</v>
      </c>
      <c r="C160" s="2">
        <f>IFERROR(MATCH($A160,SchedSeq,0),"")</f>
        <v>364</v>
      </c>
      <c r="D160" s="2" t="str">
        <f t="array" ref="D160">IF($C160="","",INDEX(SchedZone,$C160,MAP!$B$6))</f>
        <v>2026_05_BUF_LA</v>
      </c>
      <c r="E160" s="2">
        <f t="array" ref="E160">IF($C160="","",INDEX(SchedZone,$C160,MAP!$B$3))</f>
        <v>2026</v>
      </c>
      <c r="F160" s="2" t="str">
        <f t="array" ref="F160">IF($C160="","",INDEX(SchedZone,$C160,MAP!$B$5))</f>
        <v>REG</v>
      </c>
      <c r="G160" s="2">
        <f t="array" ref="G160">IF($C160="","",INDEX(SchedZone,$C160,MAP!$B$4))</f>
        <v>5</v>
      </c>
      <c r="H160" s="2" t="str">
        <f t="array" ref="H160">IF($C160="","",INDEX(SchedZone,$C160,MAP!$B$10))</f>
        <v>BUF</v>
      </c>
      <c r="I160" s="2" t="str">
        <f t="array" ref="I160">IF($H160="","",IF(COUNTIF(Teams,$H160)&gt;0,$H160,IFERROR(INDEX(LISTS!$D$2:$D$12,MATCH($H160,LISTS!$C$2:$C$12,0)),"⚠ "&amp;$H160)))</f>
        <v>BUF</v>
      </c>
      <c r="J160" s="2" t="str">
        <f t="array" ref="J160">IF($C160="","",INDEX(SchedZone,$C160,MAP!$B$12))</f>
        <v>LA</v>
      </c>
      <c r="K160" s="2" t="str">
        <f t="array" ref="K160">IF($J160="","",IF(COUNTIF(Teams,$J160)&gt;0,$J160,IFERROR(INDEX(LISTS!$D$2:$D$12,MATCH($J160,LISTS!$C$2:$C$12,0)),"⚠ "&amp;$J160)))</f>
        <v>LA</v>
      </c>
      <c r="L160" s="2" t="str">
        <f t="array" ref="L160">IF($C160="","",IF(INDEX(SchedZone,$C160,MAP!$B$14)="Neutral","N",IF($B160="HOME","H","A")))</f>
        <v>A</v>
      </c>
      <c r="M160" s="2" t="str">
        <f t="array" ref="M160">IF($C160="","",IF(INDEX(SchedZone,$C160,MAP!$B$11)="","",INDEX(SchedZone,$C160,MAP!$B$11)))</f>
        <v/>
      </c>
      <c r="N160" s="2" t="str">
        <f t="array" ref="N160">IF($C160="","",IF(INDEX(SchedZone,$C160,MAP!$B$13)="","",INDEX(SchedZone,$C160,MAP!$B$13)))</f>
        <v/>
      </c>
      <c r="O160" s="2">
        <f t="array" ref="O160">IF($C160="","",INDEX(SchedZone,$C160,MAP!$B$15))</f>
        <v>8</v>
      </c>
      <c r="P160" s="2" t="str">
        <f>IF($C160="","",IFERROR(MATCH($E160&amp;"|"&amp;$G160&amp;"|"&amp;$I160,StatsKey,0),""))</f>
        <v/>
      </c>
      <c r="Q160" s="2">
        <f t="array" ref="Q160">IF($P160="",0,INDEX(StatsZone,$P160,MAP!$E$9)+INDEX(StatsZone,$P160,MAP!$E$10)+INDEX(StatsZone,$P160,MAP!$E$11))</f>
        <v>0</v>
      </c>
      <c r="R160" s="2">
        <f t="array" ref="R160">IF($P160="",0,INDEX(StatsZone,$P160,MAP!$E$12))</f>
        <v>0</v>
      </c>
      <c r="S160" s="2">
        <f t="array" ref="S160">IF($P160="",0,INDEX(StatsZone,$P160,MAP!$E$13))</f>
        <v>0</v>
      </c>
      <c r="T160" s="2">
        <f t="shared" si="1"/>
        <v>0</v>
      </c>
      <c r="U160" s="2">
        <f t="array" ref="U160">IF($P160="",0,INDEX(StatsZone,$P160,MAP!$E$14)+INDEX(StatsZone,$P160,MAP!$E$15)+INDEX(StatsZone,$P160,MAP!$E$16))</f>
        <v>0</v>
      </c>
      <c r="V160" s="2">
        <f t="shared" si="2"/>
        <v>0</v>
      </c>
      <c r="W160" s="2">
        <f t="shared" si="3"/>
        <v>0</v>
      </c>
      <c r="X160" s="2">
        <f t="shared" si="4"/>
        <v>0</v>
      </c>
      <c r="Y160" s="2">
        <f t="shared" si="5"/>
        <v>0</v>
      </c>
      <c r="Z160" s="2">
        <f t="shared" si="6"/>
        <v>0</v>
      </c>
      <c r="AA160" s="2">
        <f t="shared" si="7"/>
        <v>-1</v>
      </c>
      <c r="AB160" s="2">
        <f>IF(OR($M160="",$N160=""),0,MEDIAN(-MarginCap,MarginCap,($M160-$N160)-$AA160*HFA_Base))</f>
        <v>0</v>
      </c>
      <c r="AC160" s="2">
        <f t="array" ref="AC160">IF(OR($P160="",INDEX($P$3:$P$722,(ROW()+IF(MOD(ROW()-3,2)=0,1,-1))-3+1)=""),0,MEDIAN(-MarginCap,MarginCap,($T160-$W160)-$AA160*HFA_Base))</f>
        <v>0</v>
      </c>
      <c r="AD160" s="2">
        <f t="shared" si="8"/>
        <v>0</v>
      </c>
      <c r="AE160" s="2">
        <f>IF(OR($M160="",$N160=""),0,IF(AND(WEpa&gt;0,$AD160=1),(1-WEpa)*$AB160+WEpa*$AC160,$AB160))</f>
        <v>0</v>
      </c>
      <c r="AF160" s="2">
        <f>IF(AND($C160&lt;&gt;"",$E160=CurrentSeason,$F160="REG",ISNUMBER($G160),$G160&lt;CurrentWeek,AND($M160&lt;&gt;"",$N160&lt;&gt;"")),1,0)</f>
        <v>0</v>
      </c>
      <c r="AG160" s="2">
        <f>IF($AF160=0,0,IF($G160&gt;=CurrentWeek-RecencyWin,RecencyMult,1))</f>
        <v>0</v>
      </c>
      <c r="AH160" s="2">
        <f>IF(AND($C160&lt;&gt;"",$E160=CurrentSeason,$F160="REG",ISNUMBER($G160),$G160&lt;CurrentWeek-1,AND($M160&lt;&gt;"",$N160&lt;&gt;"")),1,0)</f>
        <v>0</v>
      </c>
      <c r="AI160" s="2">
        <f>IF($AH160=0,0,IF($G160&gt;=CurrentWeek-1-RecencyWin,RecencyMult,1))</f>
        <v>0</v>
      </c>
      <c r="AJ160" s="2">
        <f>IF($AF160=0,0,IF($G160&gt;=CurrentWeek-RecencyWin,TotRecency,1))</f>
        <v>0</v>
      </c>
      <c r="AK160" s="2">
        <f t="shared" si="9"/>
        <v>0</v>
      </c>
      <c r="AL160" s="2">
        <f t="shared" si="10"/>
        <v>0</v>
      </c>
      <c r="AM160" s="2" t="str">
        <f t="array" ref="AM160">IF($K160="",0,IFERROR(INDEX(CALC!$F$2:$F$33,MATCH($K160,CALC!$A$2:$A$33,0)),0))</f>
        <v/>
      </c>
      <c r="AN160" s="2" t="str">
        <f t="array" ref="AN160">IF($K160="",0,IFERROR(INDEX(CALC!$I$2:$I$33,MATCH($K160,CALC!$A$2:$A$33,0)),0))</f>
        <v/>
      </c>
      <c r="AO160" s="2" t="str">
        <f t="array" ref="AO160">IF($K160="",0,IFERROR(INDEX(CALC!$L$2:$L$33,MATCH($K160,CALC!$A$2:$A$33,0)),0))</f>
        <v/>
      </c>
      <c r="AP160" s="2" t="str">
        <f t="array" ref="AP160">IF($K160="",0,IFERROR(INDEX(CALC!$T$2:$T$33,MATCH($K160,CALC!$A$2:$A$33,0)),0))</f>
        <v/>
      </c>
      <c r="AQ160" s="2" t="str">
        <f t="array" ref="AQ160">IF($K160="",0,IFERROR(INDEX(CALC!$W$2:$W$33,MATCH($K160,CALC!$A$2:$A$33,0)),0))</f>
        <v/>
      </c>
      <c r="AR160" s="2" t="str">
        <f t="array" ref="AR160">IF($K160="",0,IFERROR(INDEX(CALC!$Z$2:$Z$33,MATCH($K160,CALC!$A$2:$A$33,0)),0))</f>
        <v/>
      </c>
      <c r="AS160" s="2" t="str">
        <f t="array" ref="AS160">IF($K160="",0,IFERROR(INDEX(CALC!$AJ$2:$AJ$33,MATCH($K160,CALC!$A$2:$A$33,0)),0))</f>
        <v/>
      </c>
      <c r="AT160" s="2" t="str">
        <f t="array" ref="AT160">IF($K160="",0,IFERROR(INDEX(CALC!$AI$2:$AI$33,MATCH($K160,CALC!$A$2:$A$33,0)),0))</f>
        <v/>
      </c>
      <c r="AU160" s="2">
        <f t="shared" si="11"/>
        <v>0</v>
      </c>
      <c r="AV160" s="2">
        <f t="shared" si="12"/>
        <v>0</v>
      </c>
    </row>
    <row r="161" ht="15.0" customHeight="1">
      <c r="A161" s="2">
        <v>80.0</v>
      </c>
      <c r="B161" s="2" t="s">
        <v>2365</v>
      </c>
      <c r="C161" s="2">
        <f>IFERROR(MATCH($A161,SchedSeq,0),"")</f>
        <v>365</v>
      </c>
      <c r="D161" s="2" t="str">
        <f t="array" ref="D161">IF($C161="","",INDEX(SchedZone,$C161,MAP!$B$6))</f>
        <v>2026_06_SEA_DEN</v>
      </c>
      <c r="E161" s="2">
        <f t="array" ref="E161">IF($C161="","",INDEX(SchedZone,$C161,MAP!$B$3))</f>
        <v>2026</v>
      </c>
      <c r="F161" s="2" t="str">
        <f t="array" ref="F161">IF($C161="","",INDEX(SchedZone,$C161,MAP!$B$5))</f>
        <v>REG</v>
      </c>
      <c r="G161" s="2">
        <f t="array" ref="G161">IF($C161="","",INDEX(SchedZone,$C161,MAP!$B$4))</f>
        <v>6</v>
      </c>
      <c r="H161" s="2" t="str">
        <f t="array" ref="H161">IF($C161="","",INDEX(SchedZone,$C161,MAP!$B$12))</f>
        <v>DEN</v>
      </c>
      <c r="I161" s="2" t="str">
        <f t="array" ref="I161">IF($H161="","",IF(COUNTIF(Teams,$H161)&gt;0,$H161,IFERROR(INDEX(LISTS!$D$2:$D$12,MATCH($H161,LISTS!$C$2:$C$12,0)),"⚠ "&amp;$H161)))</f>
        <v>DEN</v>
      </c>
      <c r="J161" s="2" t="str">
        <f t="array" ref="J161">IF($C161="","",INDEX(SchedZone,$C161,MAP!$B$10))</f>
        <v>SEA</v>
      </c>
      <c r="K161" s="2" t="str">
        <f t="array" ref="K161">IF($J161="","",IF(COUNTIF(Teams,$J161)&gt;0,$J161,IFERROR(INDEX(LISTS!$D$2:$D$12,MATCH($J161,LISTS!$C$2:$C$12,0)),"⚠ "&amp;$J161)))</f>
        <v>SEA</v>
      </c>
      <c r="L161" s="2" t="str">
        <f t="array" ref="L161">IF($C161="","",IF(INDEX(SchedZone,$C161,MAP!$B$14)="Neutral","N",IF($B161="HOME","H","A")))</f>
        <v>H</v>
      </c>
      <c r="M161" s="2" t="str">
        <f t="array" ref="M161">IF($C161="","",IF(INDEX(SchedZone,$C161,MAP!$B$13)="","",INDEX(SchedZone,$C161,MAP!$B$13)))</f>
        <v/>
      </c>
      <c r="N161" s="2" t="str">
        <f t="array" ref="N161">IF($C161="","",IF(INDEX(SchedZone,$C161,MAP!$B$11)="","",INDEX(SchedZone,$C161,MAP!$B$11)))</f>
        <v/>
      </c>
      <c r="O161" s="2">
        <f t="array" ref="O161">IF($C161="","",INDEX(SchedZone,$C161,MAP!$B$16))</f>
        <v>4</v>
      </c>
      <c r="P161" s="2" t="str">
        <f>IF($C161="","",IFERROR(MATCH($E161&amp;"|"&amp;$G161&amp;"|"&amp;$I161,StatsKey,0),""))</f>
        <v/>
      </c>
      <c r="Q161" s="2">
        <f t="array" ref="Q161">IF($P161="",0,INDEX(StatsZone,$P161,MAP!$E$9)+INDEX(StatsZone,$P161,MAP!$E$10)+INDEX(StatsZone,$P161,MAP!$E$11))</f>
        <v>0</v>
      </c>
      <c r="R161" s="2">
        <f t="array" ref="R161">IF($P161="",0,INDEX(StatsZone,$P161,MAP!$E$12))</f>
        <v>0</v>
      </c>
      <c r="S161" s="2">
        <f t="array" ref="S161">IF($P161="",0,INDEX(StatsZone,$P161,MAP!$E$13))</f>
        <v>0</v>
      </c>
      <c r="T161" s="2">
        <f t="shared" si="1"/>
        <v>0</v>
      </c>
      <c r="U161" s="2">
        <f t="array" ref="U161">IF($P161="",0,INDEX(StatsZone,$P161,MAP!$E$14)+INDEX(StatsZone,$P161,MAP!$E$15)+INDEX(StatsZone,$P161,MAP!$E$16))</f>
        <v>0</v>
      </c>
      <c r="V161" s="2">
        <f t="shared" si="2"/>
        <v>0</v>
      </c>
      <c r="W161" s="2">
        <f t="shared" si="3"/>
        <v>0</v>
      </c>
      <c r="X161" s="2">
        <f t="shared" si="4"/>
        <v>0</v>
      </c>
      <c r="Y161" s="2">
        <f t="shared" si="5"/>
        <v>0</v>
      </c>
      <c r="Z161" s="2">
        <f t="shared" si="6"/>
        <v>0</v>
      </c>
      <c r="AA161" s="2">
        <f t="shared" si="7"/>
        <v>1</v>
      </c>
      <c r="AB161" s="2">
        <f>IF(OR($M161="",$N161=""),0,MEDIAN(-MarginCap,MarginCap,($M161-$N161)-$AA161*HFA_Base))</f>
        <v>0</v>
      </c>
      <c r="AC161" s="2">
        <f t="array" ref="AC161">IF(OR($P161="",INDEX($P$3:$P$722,(ROW()+IF(MOD(ROW()-3,2)=0,1,-1))-3+1)=""),0,MEDIAN(-MarginCap,MarginCap,($T161-$W161)-$AA161*HFA_Base))</f>
        <v>0</v>
      </c>
      <c r="AD161" s="2">
        <f t="shared" si="8"/>
        <v>0</v>
      </c>
      <c r="AE161" s="2">
        <f>IF(OR($M161="",$N161=""),0,IF(AND(WEpa&gt;0,$AD161=1),(1-WEpa)*$AB161+WEpa*$AC161,$AB161))</f>
        <v>0</v>
      </c>
      <c r="AF161" s="2">
        <f>IF(AND($C161&lt;&gt;"",$E161=CurrentSeason,$F161="REG",ISNUMBER($G161),$G161&lt;CurrentWeek,AND($M161&lt;&gt;"",$N161&lt;&gt;"")),1,0)</f>
        <v>0</v>
      </c>
      <c r="AG161" s="2">
        <f>IF($AF161=0,0,IF($G161&gt;=CurrentWeek-RecencyWin,RecencyMult,1))</f>
        <v>0</v>
      </c>
      <c r="AH161" s="2">
        <f>IF(AND($C161&lt;&gt;"",$E161=CurrentSeason,$F161="REG",ISNUMBER($G161),$G161&lt;CurrentWeek-1,AND($M161&lt;&gt;"",$N161&lt;&gt;"")),1,0)</f>
        <v>0</v>
      </c>
      <c r="AI161" s="2">
        <f>IF($AH161=0,0,IF($G161&gt;=CurrentWeek-1-RecencyWin,RecencyMult,1))</f>
        <v>0</v>
      </c>
      <c r="AJ161" s="2">
        <f>IF($AF161=0,0,IF($G161&gt;=CurrentWeek-RecencyWin,TotRecency,1))</f>
        <v>0</v>
      </c>
      <c r="AK161" s="2">
        <f t="shared" si="9"/>
        <v>0</v>
      </c>
      <c r="AL161" s="2">
        <f t="shared" si="10"/>
        <v>0</v>
      </c>
      <c r="AM161" s="2" t="str">
        <f t="array" ref="AM161">IF($K161="",0,IFERROR(INDEX(CALC!$F$2:$F$33,MATCH($K161,CALC!$A$2:$A$33,0)),0))</f>
        <v/>
      </c>
      <c r="AN161" s="2" t="str">
        <f t="array" ref="AN161">IF($K161="",0,IFERROR(INDEX(CALC!$I$2:$I$33,MATCH($K161,CALC!$A$2:$A$33,0)),0))</f>
        <v/>
      </c>
      <c r="AO161" s="2" t="str">
        <f t="array" ref="AO161">IF($K161="",0,IFERROR(INDEX(CALC!$L$2:$L$33,MATCH($K161,CALC!$A$2:$A$33,0)),0))</f>
        <v/>
      </c>
      <c r="AP161" s="2" t="str">
        <f t="array" ref="AP161">IF($K161="",0,IFERROR(INDEX(CALC!$T$2:$T$33,MATCH($K161,CALC!$A$2:$A$33,0)),0))</f>
        <v/>
      </c>
      <c r="AQ161" s="2" t="str">
        <f t="array" ref="AQ161">IF($K161="",0,IFERROR(INDEX(CALC!$W$2:$W$33,MATCH($K161,CALC!$A$2:$A$33,0)),0))</f>
        <v/>
      </c>
      <c r="AR161" s="2" t="str">
        <f t="array" ref="AR161">IF($K161="",0,IFERROR(INDEX(CALC!$Z$2:$Z$33,MATCH($K161,CALC!$A$2:$A$33,0)),0))</f>
        <v/>
      </c>
      <c r="AS161" s="2" t="str">
        <f t="array" ref="AS161">IF($K161="",0,IFERROR(INDEX(CALC!$AJ$2:$AJ$33,MATCH($K161,CALC!$A$2:$A$33,0)),0))</f>
        <v/>
      </c>
      <c r="AT161" s="2" t="str">
        <f t="array" ref="AT161">IF($K161="",0,IFERROR(INDEX(CALC!$AI$2:$AI$33,MATCH($K161,CALC!$A$2:$A$33,0)),0))</f>
        <v/>
      </c>
      <c r="AU161" s="2">
        <f t="shared" si="11"/>
        <v>0</v>
      </c>
      <c r="AV161" s="2">
        <f t="shared" si="12"/>
        <v>0</v>
      </c>
    </row>
    <row r="162" ht="15.0" customHeight="1">
      <c r="A162" s="2">
        <v>80.0</v>
      </c>
      <c r="B162" s="2" t="s">
        <v>2366</v>
      </c>
      <c r="C162" s="2">
        <f>IFERROR(MATCH($A162,SchedSeq,0),"")</f>
        <v>365</v>
      </c>
      <c r="D162" s="2" t="str">
        <f t="array" ref="D162">IF($C162="","",INDEX(SchedZone,$C162,MAP!$B$6))</f>
        <v>2026_06_SEA_DEN</v>
      </c>
      <c r="E162" s="2">
        <f t="array" ref="E162">IF($C162="","",INDEX(SchedZone,$C162,MAP!$B$3))</f>
        <v>2026</v>
      </c>
      <c r="F162" s="2" t="str">
        <f t="array" ref="F162">IF($C162="","",INDEX(SchedZone,$C162,MAP!$B$5))</f>
        <v>REG</v>
      </c>
      <c r="G162" s="2">
        <f t="array" ref="G162">IF($C162="","",INDEX(SchedZone,$C162,MAP!$B$4))</f>
        <v>6</v>
      </c>
      <c r="H162" s="2" t="str">
        <f t="array" ref="H162">IF($C162="","",INDEX(SchedZone,$C162,MAP!$B$10))</f>
        <v>SEA</v>
      </c>
      <c r="I162" s="2" t="str">
        <f t="array" ref="I162">IF($H162="","",IF(COUNTIF(Teams,$H162)&gt;0,$H162,IFERROR(INDEX(LISTS!$D$2:$D$12,MATCH($H162,LISTS!$C$2:$C$12,0)),"⚠ "&amp;$H162)))</f>
        <v>SEA</v>
      </c>
      <c r="J162" s="2" t="str">
        <f t="array" ref="J162">IF($C162="","",INDEX(SchedZone,$C162,MAP!$B$12))</f>
        <v>DEN</v>
      </c>
      <c r="K162" s="2" t="str">
        <f t="array" ref="K162">IF($J162="","",IF(COUNTIF(Teams,$J162)&gt;0,$J162,IFERROR(INDEX(LISTS!$D$2:$D$12,MATCH($J162,LISTS!$C$2:$C$12,0)),"⚠ "&amp;$J162)))</f>
        <v>DEN</v>
      </c>
      <c r="L162" s="2" t="str">
        <f t="array" ref="L162">IF($C162="","",IF(INDEX(SchedZone,$C162,MAP!$B$14)="Neutral","N",IF($B162="HOME","H","A")))</f>
        <v>A</v>
      </c>
      <c r="M162" s="2" t="str">
        <f t="array" ref="M162">IF($C162="","",IF(INDEX(SchedZone,$C162,MAP!$B$11)="","",INDEX(SchedZone,$C162,MAP!$B$11)))</f>
        <v/>
      </c>
      <c r="N162" s="2" t="str">
        <f t="array" ref="N162">IF($C162="","",IF(INDEX(SchedZone,$C162,MAP!$B$13)="","",INDEX(SchedZone,$C162,MAP!$B$13)))</f>
        <v/>
      </c>
      <c r="O162" s="2">
        <f t="array" ref="O162">IF($C162="","",INDEX(SchedZone,$C162,MAP!$B$15))</f>
        <v>4</v>
      </c>
      <c r="P162" s="2" t="str">
        <f>IF($C162="","",IFERROR(MATCH($E162&amp;"|"&amp;$G162&amp;"|"&amp;$I162,StatsKey,0),""))</f>
        <v/>
      </c>
      <c r="Q162" s="2">
        <f t="array" ref="Q162">IF($P162="",0,INDEX(StatsZone,$P162,MAP!$E$9)+INDEX(StatsZone,$P162,MAP!$E$10)+INDEX(StatsZone,$P162,MAP!$E$11))</f>
        <v>0</v>
      </c>
      <c r="R162" s="2">
        <f t="array" ref="R162">IF($P162="",0,INDEX(StatsZone,$P162,MAP!$E$12))</f>
        <v>0</v>
      </c>
      <c r="S162" s="2">
        <f t="array" ref="S162">IF($P162="",0,INDEX(StatsZone,$P162,MAP!$E$13))</f>
        <v>0</v>
      </c>
      <c r="T162" s="2">
        <f t="shared" si="1"/>
        <v>0</v>
      </c>
      <c r="U162" s="2">
        <f t="array" ref="U162">IF($P162="",0,INDEX(StatsZone,$P162,MAP!$E$14)+INDEX(StatsZone,$P162,MAP!$E$15)+INDEX(StatsZone,$P162,MAP!$E$16))</f>
        <v>0</v>
      </c>
      <c r="V162" s="2">
        <f t="shared" si="2"/>
        <v>0</v>
      </c>
      <c r="W162" s="2">
        <f t="shared" si="3"/>
        <v>0</v>
      </c>
      <c r="X162" s="2">
        <f t="shared" si="4"/>
        <v>0</v>
      </c>
      <c r="Y162" s="2">
        <f t="shared" si="5"/>
        <v>0</v>
      </c>
      <c r="Z162" s="2">
        <f t="shared" si="6"/>
        <v>0</v>
      </c>
      <c r="AA162" s="2">
        <f t="shared" si="7"/>
        <v>-1</v>
      </c>
      <c r="AB162" s="2">
        <f>IF(OR($M162="",$N162=""),0,MEDIAN(-MarginCap,MarginCap,($M162-$N162)-$AA162*HFA_Base))</f>
        <v>0</v>
      </c>
      <c r="AC162" s="2">
        <f t="array" ref="AC162">IF(OR($P162="",INDEX($P$3:$P$722,(ROW()+IF(MOD(ROW()-3,2)=0,1,-1))-3+1)=""),0,MEDIAN(-MarginCap,MarginCap,($T162-$W162)-$AA162*HFA_Base))</f>
        <v>0</v>
      </c>
      <c r="AD162" s="2">
        <f t="shared" si="8"/>
        <v>0</v>
      </c>
      <c r="AE162" s="2">
        <f>IF(OR($M162="",$N162=""),0,IF(AND(WEpa&gt;0,$AD162=1),(1-WEpa)*$AB162+WEpa*$AC162,$AB162))</f>
        <v>0</v>
      </c>
      <c r="AF162" s="2">
        <f>IF(AND($C162&lt;&gt;"",$E162=CurrentSeason,$F162="REG",ISNUMBER($G162),$G162&lt;CurrentWeek,AND($M162&lt;&gt;"",$N162&lt;&gt;"")),1,0)</f>
        <v>0</v>
      </c>
      <c r="AG162" s="2">
        <f>IF($AF162=0,0,IF($G162&gt;=CurrentWeek-RecencyWin,RecencyMult,1))</f>
        <v>0</v>
      </c>
      <c r="AH162" s="2">
        <f>IF(AND($C162&lt;&gt;"",$E162=CurrentSeason,$F162="REG",ISNUMBER($G162),$G162&lt;CurrentWeek-1,AND($M162&lt;&gt;"",$N162&lt;&gt;"")),1,0)</f>
        <v>0</v>
      </c>
      <c r="AI162" s="2">
        <f>IF($AH162=0,0,IF($G162&gt;=CurrentWeek-1-RecencyWin,RecencyMult,1))</f>
        <v>0</v>
      </c>
      <c r="AJ162" s="2">
        <f>IF($AF162=0,0,IF($G162&gt;=CurrentWeek-RecencyWin,TotRecency,1))</f>
        <v>0</v>
      </c>
      <c r="AK162" s="2">
        <f t="shared" si="9"/>
        <v>0</v>
      </c>
      <c r="AL162" s="2">
        <f t="shared" si="10"/>
        <v>0</v>
      </c>
      <c r="AM162" s="2" t="str">
        <f t="array" ref="AM162">IF($K162="",0,IFERROR(INDEX(CALC!$F$2:$F$33,MATCH($K162,CALC!$A$2:$A$33,0)),0))</f>
        <v/>
      </c>
      <c r="AN162" s="2" t="str">
        <f t="array" ref="AN162">IF($K162="",0,IFERROR(INDEX(CALC!$I$2:$I$33,MATCH($K162,CALC!$A$2:$A$33,0)),0))</f>
        <v/>
      </c>
      <c r="AO162" s="2" t="str">
        <f t="array" ref="AO162">IF($K162="",0,IFERROR(INDEX(CALC!$L$2:$L$33,MATCH($K162,CALC!$A$2:$A$33,0)),0))</f>
        <v/>
      </c>
      <c r="AP162" s="2" t="str">
        <f t="array" ref="AP162">IF($K162="",0,IFERROR(INDEX(CALC!$T$2:$T$33,MATCH($K162,CALC!$A$2:$A$33,0)),0))</f>
        <v/>
      </c>
      <c r="AQ162" s="2" t="str">
        <f t="array" ref="AQ162">IF($K162="",0,IFERROR(INDEX(CALC!$W$2:$W$33,MATCH($K162,CALC!$A$2:$A$33,0)),0))</f>
        <v/>
      </c>
      <c r="AR162" s="2" t="str">
        <f t="array" ref="AR162">IF($K162="",0,IFERROR(INDEX(CALC!$Z$2:$Z$33,MATCH($K162,CALC!$A$2:$A$33,0)),0))</f>
        <v/>
      </c>
      <c r="AS162" s="2" t="str">
        <f t="array" ref="AS162">IF($K162="",0,IFERROR(INDEX(CALC!$AJ$2:$AJ$33,MATCH($K162,CALC!$A$2:$A$33,0)),0))</f>
        <v/>
      </c>
      <c r="AT162" s="2" t="str">
        <f t="array" ref="AT162">IF($K162="",0,IFERROR(INDEX(CALC!$AI$2:$AI$33,MATCH($K162,CALC!$A$2:$A$33,0)),0))</f>
        <v/>
      </c>
      <c r="AU162" s="2">
        <f t="shared" si="11"/>
        <v>0</v>
      </c>
      <c r="AV162" s="2">
        <f t="shared" si="12"/>
        <v>0</v>
      </c>
    </row>
    <row r="163" ht="15.0" customHeight="1">
      <c r="A163" s="2">
        <v>81.0</v>
      </c>
      <c r="B163" s="2" t="s">
        <v>2365</v>
      </c>
      <c r="C163" s="2">
        <f>IFERROR(MATCH($A163,SchedSeq,0),"")</f>
        <v>366</v>
      </c>
      <c r="D163" s="2" t="str">
        <f t="array" ref="D163">IF($C163="","",INDEX(SchedZone,$C163,MAP!$B$6))</f>
        <v>2026_06_HOU_JAX</v>
      </c>
      <c r="E163" s="2">
        <f t="array" ref="E163">IF($C163="","",INDEX(SchedZone,$C163,MAP!$B$3))</f>
        <v>2026</v>
      </c>
      <c r="F163" s="2" t="str">
        <f t="array" ref="F163">IF($C163="","",INDEX(SchedZone,$C163,MAP!$B$5))</f>
        <v>REG</v>
      </c>
      <c r="G163" s="2">
        <f t="array" ref="G163">IF($C163="","",INDEX(SchedZone,$C163,MAP!$B$4))</f>
        <v>6</v>
      </c>
      <c r="H163" s="2" t="str">
        <f t="array" ref="H163">IF($C163="","",INDEX(SchedZone,$C163,MAP!$B$12))</f>
        <v>JAX</v>
      </c>
      <c r="I163" s="2" t="str">
        <f t="array" ref="I163">IF($H163="","",IF(COUNTIF(Teams,$H163)&gt;0,$H163,IFERROR(INDEX(LISTS!$D$2:$D$12,MATCH($H163,LISTS!$C$2:$C$12,0)),"⚠ "&amp;$H163)))</f>
        <v>JAX</v>
      </c>
      <c r="J163" s="2" t="str">
        <f t="array" ref="J163">IF($C163="","",INDEX(SchedZone,$C163,MAP!$B$10))</f>
        <v>HOU</v>
      </c>
      <c r="K163" s="2" t="str">
        <f t="array" ref="K163">IF($J163="","",IF(COUNTIF(Teams,$J163)&gt;0,$J163,IFERROR(INDEX(LISTS!$D$2:$D$12,MATCH($J163,LISTS!$C$2:$C$12,0)),"⚠ "&amp;$J163)))</f>
        <v>HOU</v>
      </c>
      <c r="L163" s="2" t="str">
        <f t="array" ref="L163">IF($C163="","",IF(INDEX(SchedZone,$C163,MAP!$B$14)="Neutral","N",IF($B163="HOME","H","A")))</f>
        <v>N</v>
      </c>
      <c r="M163" s="2" t="str">
        <f t="array" ref="M163">IF($C163="","",IF(INDEX(SchedZone,$C163,MAP!$B$13)="","",INDEX(SchedZone,$C163,MAP!$B$13)))</f>
        <v/>
      </c>
      <c r="N163" s="2" t="str">
        <f t="array" ref="N163">IF($C163="","",IF(INDEX(SchedZone,$C163,MAP!$B$11)="","",INDEX(SchedZone,$C163,MAP!$B$11)))</f>
        <v/>
      </c>
      <c r="O163" s="2">
        <f t="array" ref="O163">IF($C163="","",INDEX(SchedZone,$C163,MAP!$B$16))</f>
        <v>7</v>
      </c>
      <c r="P163" s="2" t="str">
        <f>IF($C163="","",IFERROR(MATCH($E163&amp;"|"&amp;$G163&amp;"|"&amp;$I163,StatsKey,0),""))</f>
        <v/>
      </c>
      <c r="Q163" s="2">
        <f t="array" ref="Q163">IF($P163="",0,INDEX(StatsZone,$P163,MAP!$E$9)+INDEX(StatsZone,$P163,MAP!$E$10)+INDEX(StatsZone,$P163,MAP!$E$11))</f>
        <v>0</v>
      </c>
      <c r="R163" s="2">
        <f t="array" ref="R163">IF($P163="",0,INDEX(StatsZone,$P163,MAP!$E$12))</f>
        <v>0</v>
      </c>
      <c r="S163" s="2">
        <f t="array" ref="S163">IF($P163="",0,INDEX(StatsZone,$P163,MAP!$E$13))</f>
        <v>0</v>
      </c>
      <c r="T163" s="2">
        <f t="shared" si="1"/>
        <v>0</v>
      </c>
      <c r="U163" s="2">
        <f t="array" ref="U163">IF($P163="",0,INDEX(StatsZone,$P163,MAP!$E$14)+INDEX(StatsZone,$P163,MAP!$E$15)+INDEX(StatsZone,$P163,MAP!$E$16))</f>
        <v>0</v>
      </c>
      <c r="V163" s="2">
        <f t="shared" si="2"/>
        <v>0</v>
      </c>
      <c r="W163" s="2">
        <f t="shared" si="3"/>
        <v>0</v>
      </c>
      <c r="X163" s="2">
        <f t="shared" si="4"/>
        <v>0</v>
      </c>
      <c r="Y163" s="2">
        <f t="shared" si="5"/>
        <v>0</v>
      </c>
      <c r="Z163" s="2">
        <f t="shared" si="6"/>
        <v>0</v>
      </c>
      <c r="AA163" s="2">
        <f t="shared" si="7"/>
        <v>0</v>
      </c>
      <c r="AB163" s="2">
        <f>IF(OR($M163="",$N163=""),0,MEDIAN(-MarginCap,MarginCap,($M163-$N163)-$AA163*HFA_Base))</f>
        <v>0</v>
      </c>
      <c r="AC163" s="2">
        <f t="array" ref="AC163">IF(OR($P163="",INDEX($P$3:$P$722,(ROW()+IF(MOD(ROW()-3,2)=0,1,-1))-3+1)=""),0,MEDIAN(-MarginCap,MarginCap,($T163-$W163)-$AA163*HFA_Base))</f>
        <v>0</v>
      </c>
      <c r="AD163" s="2">
        <f t="shared" si="8"/>
        <v>0</v>
      </c>
      <c r="AE163" s="2">
        <f>IF(OR($M163="",$N163=""),0,IF(AND(WEpa&gt;0,$AD163=1),(1-WEpa)*$AB163+WEpa*$AC163,$AB163))</f>
        <v>0</v>
      </c>
      <c r="AF163" s="2">
        <f>IF(AND($C163&lt;&gt;"",$E163=CurrentSeason,$F163="REG",ISNUMBER($G163),$G163&lt;CurrentWeek,AND($M163&lt;&gt;"",$N163&lt;&gt;"")),1,0)</f>
        <v>0</v>
      </c>
      <c r="AG163" s="2">
        <f>IF($AF163=0,0,IF($G163&gt;=CurrentWeek-RecencyWin,RecencyMult,1))</f>
        <v>0</v>
      </c>
      <c r="AH163" s="2">
        <f>IF(AND($C163&lt;&gt;"",$E163=CurrentSeason,$F163="REG",ISNUMBER($G163),$G163&lt;CurrentWeek-1,AND($M163&lt;&gt;"",$N163&lt;&gt;"")),1,0)</f>
        <v>0</v>
      </c>
      <c r="AI163" s="2">
        <f>IF($AH163=0,0,IF($G163&gt;=CurrentWeek-1-RecencyWin,RecencyMult,1))</f>
        <v>0</v>
      </c>
      <c r="AJ163" s="2">
        <f>IF($AF163=0,0,IF($G163&gt;=CurrentWeek-RecencyWin,TotRecency,1))</f>
        <v>0</v>
      </c>
      <c r="AK163" s="2">
        <f t="shared" si="9"/>
        <v>0</v>
      </c>
      <c r="AL163" s="2">
        <f t="shared" si="10"/>
        <v>0</v>
      </c>
      <c r="AM163" s="2" t="str">
        <f t="array" ref="AM163">IF($K163="",0,IFERROR(INDEX(CALC!$F$2:$F$33,MATCH($K163,CALC!$A$2:$A$33,0)),0))</f>
        <v/>
      </c>
      <c r="AN163" s="2" t="str">
        <f t="array" ref="AN163">IF($K163="",0,IFERROR(INDEX(CALC!$I$2:$I$33,MATCH($K163,CALC!$A$2:$A$33,0)),0))</f>
        <v/>
      </c>
      <c r="AO163" s="2" t="str">
        <f t="array" ref="AO163">IF($K163="",0,IFERROR(INDEX(CALC!$L$2:$L$33,MATCH($K163,CALC!$A$2:$A$33,0)),0))</f>
        <v/>
      </c>
      <c r="AP163" s="2" t="str">
        <f t="array" ref="AP163">IF($K163="",0,IFERROR(INDEX(CALC!$T$2:$T$33,MATCH($K163,CALC!$A$2:$A$33,0)),0))</f>
        <v/>
      </c>
      <c r="AQ163" s="2" t="str">
        <f t="array" ref="AQ163">IF($K163="",0,IFERROR(INDEX(CALC!$W$2:$W$33,MATCH($K163,CALC!$A$2:$A$33,0)),0))</f>
        <v/>
      </c>
      <c r="AR163" s="2" t="str">
        <f t="array" ref="AR163">IF($K163="",0,IFERROR(INDEX(CALC!$Z$2:$Z$33,MATCH($K163,CALC!$A$2:$A$33,0)),0))</f>
        <v/>
      </c>
      <c r="AS163" s="2" t="str">
        <f t="array" ref="AS163">IF($K163="",0,IFERROR(INDEX(CALC!$AJ$2:$AJ$33,MATCH($K163,CALC!$A$2:$A$33,0)),0))</f>
        <v/>
      </c>
      <c r="AT163" s="2" t="str">
        <f t="array" ref="AT163">IF($K163="",0,IFERROR(INDEX(CALC!$AI$2:$AI$33,MATCH($K163,CALC!$A$2:$A$33,0)),0))</f>
        <v/>
      </c>
      <c r="AU163" s="2">
        <f t="shared" si="11"/>
        <v>0</v>
      </c>
      <c r="AV163" s="2">
        <f t="shared" si="12"/>
        <v>0</v>
      </c>
    </row>
    <row r="164" ht="15.0" customHeight="1">
      <c r="A164" s="2">
        <v>81.0</v>
      </c>
      <c r="B164" s="2" t="s">
        <v>2366</v>
      </c>
      <c r="C164" s="2">
        <f>IFERROR(MATCH($A164,SchedSeq,0),"")</f>
        <v>366</v>
      </c>
      <c r="D164" s="2" t="str">
        <f t="array" ref="D164">IF($C164="","",INDEX(SchedZone,$C164,MAP!$B$6))</f>
        <v>2026_06_HOU_JAX</v>
      </c>
      <c r="E164" s="2">
        <f t="array" ref="E164">IF($C164="","",INDEX(SchedZone,$C164,MAP!$B$3))</f>
        <v>2026</v>
      </c>
      <c r="F164" s="2" t="str">
        <f t="array" ref="F164">IF($C164="","",INDEX(SchedZone,$C164,MAP!$B$5))</f>
        <v>REG</v>
      </c>
      <c r="G164" s="2">
        <f t="array" ref="G164">IF($C164="","",INDEX(SchedZone,$C164,MAP!$B$4))</f>
        <v>6</v>
      </c>
      <c r="H164" s="2" t="str">
        <f t="array" ref="H164">IF($C164="","",INDEX(SchedZone,$C164,MAP!$B$10))</f>
        <v>HOU</v>
      </c>
      <c r="I164" s="2" t="str">
        <f t="array" ref="I164">IF($H164="","",IF(COUNTIF(Teams,$H164)&gt;0,$H164,IFERROR(INDEX(LISTS!$D$2:$D$12,MATCH($H164,LISTS!$C$2:$C$12,0)),"⚠ "&amp;$H164)))</f>
        <v>HOU</v>
      </c>
      <c r="J164" s="2" t="str">
        <f t="array" ref="J164">IF($C164="","",INDEX(SchedZone,$C164,MAP!$B$12))</f>
        <v>JAX</v>
      </c>
      <c r="K164" s="2" t="str">
        <f t="array" ref="K164">IF($J164="","",IF(COUNTIF(Teams,$J164)&gt;0,$J164,IFERROR(INDEX(LISTS!$D$2:$D$12,MATCH($J164,LISTS!$C$2:$C$12,0)),"⚠ "&amp;$J164)))</f>
        <v>JAX</v>
      </c>
      <c r="L164" s="2" t="str">
        <f t="array" ref="L164">IF($C164="","",IF(INDEX(SchedZone,$C164,MAP!$B$14)="Neutral","N",IF($B164="HOME","H","A")))</f>
        <v>N</v>
      </c>
      <c r="M164" s="2" t="str">
        <f t="array" ref="M164">IF($C164="","",IF(INDEX(SchedZone,$C164,MAP!$B$11)="","",INDEX(SchedZone,$C164,MAP!$B$11)))</f>
        <v/>
      </c>
      <c r="N164" s="2" t="str">
        <f t="array" ref="N164">IF($C164="","",IF(INDEX(SchedZone,$C164,MAP!$B$13)="","",INDEX(SchedZone,$C164,MAP!$B$13)))</f>
        <v/>
      </c>
      <c r="O164" s="2">
        <f t="array" ref="O164">IF($C164="","",INDEX(SchedZone,$C164,MAP!$B$15))</f>
        <v>7</v>
      </c>
      <c r="P164" s="2" t="str">
        <f>IF($C164="","",IFERROR(MATCH($E164&amp;"|"&amp;$G164&amp;"|"&amp;$I164,StatsKey,0),""))</f>
        <v/>
      </c>
      <c r="Q164" s="2">
        <f t="array" ref="Q164">IF($P164="",0,INDEX(StatsZone,$P164,MAP!$E$9)+INDEX(StatsZone,$P164,MAP!$E$10)+INDEX(StatsZone,$P164,MAP!$E$11))</f>
        <v>0</v>
      </c>
      <c r="R164" s="2">
        <f t="array" ref="R164">IF($P164="",0,INDEX(StatsZone,$P164,MAP!$E$12))</f>
        <v>0</v>
      </c>
      <c r="S164" s="2">
        <f t="array" ref="S164">IF($P164="",0,INDEX(StatsZone,$P164,MAP!$E$13))</f>
        <v>0</v>
      </c>
      <c r="T164" s="2">
        <f t="shared" si="1"/>
        <v>0</v>
      </c>
      <c r="U164" s="2">
        <f t="array" ref="U164">IF($P164="",0,INDEX(StatsZone,$P164,MAP!$E$14)+INDEX(StatsZone,$P164,MAP!$E$15)+INDEX(StatsZone,$P164,MAP!$E$16))</f>
        <v>0</v>
      </c>
      <c r="V164" s="2">
        <f t="shared" si="2"/>
        <v>0</v>
      </c>
      <c r="W164" s="2">
        <f t="shared" si="3"/>
        <v>0</v>
      </c>
      <c r="X164" s="2">
        <f t="shared" si="4"/>
        <v>0</v>
      </c>
      <c r="Y164" s="2">
        <f t="shared" si="5"/>
        <v>0</v>
      </c>
      <c r="Z164" s="2">
        <f t="shared" si="6"/>
        <v>0</v>
      </c>
      <c r="AA164" s="2">
        <f t="shared" si="7"/>
        <v>0</v>
      </c>
      <c r="AB164" s="2">
        <f>IF(OR($M164="",$N164=""),0,MEDIAN(-MarginCap,MarginCap,($M164-$N164)-$AA164*HFA_Base))</f>
        <v>0</v>
      </c>
      <c r="AC164" s="2">
        <f t="array" ref="AC164">IF(OR($P164="",INDEX($P$3:$P$722,(ROW()+IF(MOD(ROW()-3,2)=0,1,-1))-3+1)=""),0,MEDIAN(-MarginCap,MarginCap,($T164-$W164)-$AA164*HFA_Base))</f>
        <v>0</v>
      </c>
      <c r="AD164" s="2">
        <f t="shared" si="8"/>
        <v>0</v>
      </c>
      <c r="AE164" s="2">
        <f>IF(OR($M164="",$N164=""),0,IF(AND(WEpa&gt;0,$AD164=1),(1-WEpa)*$AB164+WEpa*$AC164,$AB164))</f>
        <v>0</v>
      </c>
      <c r="AF164" s="2">
        <f>IF(AND($C164&lt;&gt;"",$E164=CurrentSeason,$F164="REG",ISNUMBER($G164),$G164&lt;CurrentWeek,AND($M164&lt;&gt;"",$N164&lt;&gt;"")),1,0)</f>
        <v>0</v>
      </c>
      <c r="AG164" s="2">
        <f>IF($AF164=0,0,IF($G164&gt;=CurrentWeek-RecencyWin,RecencyMult,1))</f>
        <v>0</v>
      </c>
      <c r="AH164" s="2">
        <f>IF(AND($C164&lt;&gt;"",$E164=CurrentSeason,$F164="REG",ISNUMBER($G164),$G164&lt;CurrentWeek-1,AND($M164&lt;&gt;"",$N164&lt;&gt;"")),1,0)</f>
        <v>0</v>
      </c>
      <c r="AI164" s="2">
        <f>IF($AH164=0,0,IF($G164&gt;=CurrentWeek-1-RecencyWin,RecencyMult,1))</f>
        <v>0</v>
      </c>
      <c r="AJ164" s="2">
        <f>IF($AF164=0,0,IF($G164&gt;=CurrentWeek-RecencyWin,TotRecency,1))</f>
        <v>0</v>
      </c>
      <c r="AK164" s="2">
        <f t="shared" si="9"/>
        <v>0</v>
      </c>
      <c r="AL164" s="2">
        <f t="shared" si="10"/>
        <v>0</v>
      </c>
      <c r="AM164" s="2" t="str">
        <f t="array" ref="AM164">IF($K164="",0,IFERROR(INDEX(CALC!$F$2:$F$33,MATCH($K164,CALC!$A$2:$A$33,0)),0))</f>
        <v/>
      </c>
      <c r="AN164" s="2" t="str">
        <f t="array" ref="AN164">IF($K164="",0,IFERROR(INDEX(CALC!$I$2:$I$33,MATCH($K164,CALC!$A$2:$A$33,0)),0))</f>
        <v/>
      </c>
      <c r="AO164" s="2" t="str">
        <f t="array" ref="AO164">IF($K164="",0,IFERROR(INDEX(CALC!$L$2:$L$33,MATCH($K164,CALC!$A$2:$A$33,0)),0))</f>
        <v/>
      </c>
      <c r="AP164" s="2" t="str">
        <f t="array" ref="AP164">IF($K164="",0,IFERROR(INDEX(CALC!$T$2:$T$33,MATCH($K164,CALC!$A$2:$A$33,0)),0))</f>
        <v/>
      </c>
      <c r="AQ164" s="2" t="str">
        <f t="array" ref="AQ164">IF($K164="",0,IFERROR(INDEX(CALC!$W$2:$W$33,MATCH($K164,CALC!$A$2:$A$33,0)),0))</f>
        <v/>
      </c>
      <c r="AR164" s="2" t="str">
        <f t="array" ref="AR164">IF($K164="",0,IFERROR(INDEX(CALC!$Z$2:$Z$33,MATCH($K164,CALC!$A$2:$A$33,0)),0))</f>
        <v/>
      </c>
      <c r="AS164" s="2" t="str">
        <f t="array" ref="AS164">IF($K164="",0,IFERROR(INDEX(CALC!$AJ$2:$AJ$33,MATCH($K164,CALC!$A$2:$A$33,0)),0))</f>
        <v/>
      </c>
      <c r="AT164" s="2" t="str">
        <f t="array" ref="AT164">IF($K164="",0,IFERROR(INDEX(CALC!$AI$2:$AI$33,MATCH($K164,CALC!$A$2:$A$33,0)),0))</f>
        <v/>
      </c>
      <c r="AU164" s="2">
        <f t="shared" si="11"/>
        <v>0</v>
      </c>
      <c r="AV164" s="2">
        <f t="shared" si="12"/>
        <v>0</v>
      </c>
    </row>
    <row r="165" ht="15.0" customHeight="1">
      <c r="A165" s="2">
        <v>82.0</v>
      </c>
      <c r="B165" s="2" t="s">
        <v>2365</v>
      </c>
      <c r="C165" s="2">
        <f>IFERROR(MATCH($A165,SchedSeq,0),"")</f>
        <v>367</v>
      </c>
      <c r="D165" s="2" t="str">
        <f t="array" ref="D165">IF($C165="","",INDEX(SchedZone,$C165,MAP!$B$6))</f>
        <v>2026_06_CHI_ATL</v>
      </c>
      <c r="E165" s="2">
        <f t="array" ref="E165">IF($C165="","",INDEX(SchedZone,$C165,MAP!$B$3))</f>
        <v>2026</v>
      </c>
      <c r="F165" s="2" t="str">
        <f t="array" ref="F165">IF($C165="","",INDEX(SchedZone,$C165,MAP!$B$5))</f>
        <v>REG</v>
      </c>
      <c r="G165" s="2">
        <f t="array" ref="G165">IF($C165="","",INDEX(SchedZone,$C165,MAP!$B$4))</f>
        <v>6</v>
      </c>
      <c r="H165" s="2" t="str">
        <f t="array" ref="H165">IF($C165="","",INDEX(SchedZone,$C165,MAP!$B$12))</f>
        <v>ATL</v>
      </c>
      <c r="I165" s="2" t="str">
        <f t="array" ref="I165">IF($H165="","",IF(COUNTIF(Teams,$H165)&gt;0,$H165,IFERROR(INDEX(LISTS!$D$2:$D$12,MATCH($H165,LISTS!$C$2:$C$12,0)),"⚠ "&amp;$H165)))</f>
        <v>ATL</v>
      </c>
      <c r="J165" s="2" t="str">
        <f t="array" ref="J165">IF($C165="","",INDEX(SchedZone,$C165,MAP!$B$10))</f>
        <v>CHI</v>
      </c>
      <c r="K165" s="2" t="str">
        <f t="array" ref="K165">IF($J165="","",IF(COUNTIF(Teams,$J165)&gt;0,$J165,IFERROR(INDEX(LISTS!$D$2:$D$12,MATCH($J165,LISTS!$C$2:$C$12,0)),"⚠ "&amp;$J165)))</f>
        <v>CHI</v>
      </c>
      <c r="L165" s="2" t="str">
        <f t="array" ref="L165">IF($C165="","",IF(INDEX(SchedZone,$C165,MAP!$B$14)="Neutral","N",IF($B165="HOME","H","A")))</f>
        <v>H</v>
      </c>
      <c r="M165" s="2" t="str">
        <f t="array" ref="M165">IF($C165="","",IF(INDEX(SchedZone,$C165,MAP!$B$13)="","",INDEX(SchedZone,$C165,MAP!$B$13)))</f>
        <v/>
      </c>
      <c r="N165" s="2" t="str">
        <f t="array" ref="N165">IF($C165="","",IF(INDEX(SchedZone,$C165,MAP!$B$11)="","",INDEX(SchedZone,$C165,MAP!$B$11)))</f>
        <v/>
      </c>
      <c r="O165" s="2">
        <f t="array" ref="O165">IF($C165="","",INDEX(SchedZone,$C165,MAP!$B$16))</f>
        <v>7</v>
      </c>
      <c r="P165" s="2" t="str">
        <f>IF($C165="","",IFERROR(MATCH($E165&amp;"|"&amp;$G165&amp;"|"&amp;$I165,StatsKey,0),""))</f>
        <v/>
      </c>
      <c r="Q165" s="2">
        <f t="array" ref="Q165">IF($P165="",0,INDEX(StatsZone,$P165,MAP!$E$9)+INDEX(StatsZone,$P165,MAP!$E$10)+INDEX(StatsZone,$P165,MAP!$E$11))</f>
        <v>0</v>
      </c>
      <c r="R165" s="2">
        <f t="array" ref="R165">IF($P165="",0,INDEX(StatsZone,$P165,MAP!$E$12))</f>
        <v>0</v>
      </c>
      <c r="S165" s="2">
        <f t="array" ref="S165">IF($P165="",0,INDEX(StatsZone,$P165,MAP!$E$13))</f>
        <v>0</v>
      </c>
      <c r="T165" s="2">
        <f t="shared" si="1"/>
        <v>0</v>
      </c>
      <c r="U165" s="2">
        <f t="array" ref="U165">IF($P165="",0,INDEX(StatsZone,$P165,MAP!$E$14)+INDEX(StatsZone,$P165,MAP!$E$15)+INDEX(StatsZone,$P165,MAP!$E$16))</f>
        <v>0</v>
      </c>
      <c r="V165" s="2">
        <f t="shared" si="2"/>
        <v>0</v>
      </c>
      <c r="W165" s="2">
        <f t="shared" si="3"/>
        <v>0</v>
      </c>
      <c r="X165" s="2">
        <f t="shared" si="4"/>
        <v>0</v>
      </c>
      <c r="Y165" s="2">
        <f t="shared" si="5"/>
        <v>0</v>
      </c>
      <c r="Z165" s="2">
        <f t="shared" si="6"/>
        <v>0</v>
      </c>
      <c r="AA165" s="2">
        <f t="shared" si="7"/>
        <v>1</v>
      </c>
      <c r="AB165" s="2">
        <f>IF(OR($M165="",$N165=""),0,MEDIAN(-MarginCap,MarginCap,($M165-$N165)-$AA165*HFA_Base))</f>
        <v>0</v>
      </c>
      <c r="AC165" s="2">
        <f t="array" ref="AC165">IF(OR($P165="",INDEX($P$3:$P$722,(ROW()+IF(MOD(ROW()-3,2)=0,1,-1))-3+1)=""),0,MEDIAN(-MarginCap,MarginCap,($T165-$W165)-$AA165*HFA_Base))</f>
        <v>0</v>
      </c>
      <c r="AD165" s="2">
        <f t="shared" si="8"/>
        <v>0</v>
      </c>
      <c r="AE165" s="2">
        <f>IF(OR($M165="",$N165=""),0,IF(AND(WEpa&gt;0,$AD165=1),(1-WEpa)*$AB165+WEpa*$AC165,$AB165))</f>
        <v>0</v>
      </c>
      <c r="AF165" s="2">
        <f>IF(AND($C165&lt;&gt;"",$E165=CurrentSeason,$F165="REG",ISNUMBER($G165),$G165&lt;CurrentWeek,AND($M165&lt;&gt;"",$N165&lt;&gt;"")),1,0)</f>
        <v>0</v>
      </c>
      <c r="AG165" s="2">
        <f>IF($AF165=0,0,IF($G165&gt;=CurrentWeek-RecencyWin,RecencyMult,1))</f>
        <v>0</v>
      </c>
      <c r="AH165" s="2">
        <f>IF(AND($C165&lt;&gt;"",$E165=CurrentSeason,$F165="REG",ISNUMBER($G165),$G165&lt;CurrentWeek-1,AND($M165&lt;&gt;"",$N165&lt;&gt;"")),1,0)</f>
        <v>0</v>
      </c>
      <c r="AI165" s="2">
        <f>IF($AH165=0,0,IF($G165&gt;=CurrentWeek-1-RecencyWin,RecencyMult,1))</f>
        <v>0</v>
      </c>
      <c r="AJ165" s="2">
        <f>IF($AF165=0,0,IF($G165&gt;=CurrentWeek-RecencyWin,TotRecency,1))</f>
        <v>0</v>
      </c>
      <c r="AK165" s="2">
        <f t="shared" si="9"/>
        <v>0</v>
      </c>
      <c r="AL165" s="2">
        <f t="shared" si="10"/>
        <v>0</v>
      </c>
      <c r="AM165" s="2" t="str">
        <f t="array" ref="AM165">IF($K165="",0,IFERROR(INDEX(CALC!$F$2:$F$33,MATCH($K165,CALC!$A$2:$A$33,0)),0))</f>
        <v/>
      </c>
      <c r="AN165" s="2" t="str">
        <f t="array" ref="AN165">IF($K165="",0,IFERROR(INDEX(CALC!$I$2:$I$33,MATCH($K165,CALC!$A$2:$A$33,0)),0))</f>
        <v/>
      </c>
      <c r="AO165" s="2" t="str">
        <f t="array" ref="AO165">IF($K165="",0,IFERROR(INDEX(CALC!$L$2:$L$33,MATCH($K165,CALC!$A$2:$A$33,0)),0))</f>
        <v/>
      </c>
      <c r="AP165" s="2" t="str">
        <f t="array" ref="AP165">IF($K165="",0,IFERROR(INDEX(CALC!$T$2:$T$33,MATCH($K165,CALC!$A$2:$A$33,0)),0))</f>
        <v/>
      </c>
      <c r="AQ165" s="2" t="str">
        <f t="array" ref="AQ165">IF($K165="",0,IFERROR(INDEX(CALC!$W$2:$W$33,MATCH($K165,CALC!$A$2:$A$33,0)),0))</f>
        <v/>
      </c>
      <c r="AR165" s="2" t="str">
        <f t="array" ref="AR165">IF($K165="",0,IFERROR(INDEX(CALC!$Z$2:$Z$33,MATCH($K165,CALC!$A$2:$A$33,0)),0))</f>
        <v/>
      </c>
      <c r="AS165" s="2" t="str">
        <f t="array" ref="AS165">IF($K165="",0,IFERROR(INDEX(CALC!$AJ$2:$AJ$33,MATCH($K165,CALC!$A$2:$A$33,0)),0))</f>
        <v/>
      </c>
      <c r="AT165" s="2" t="str">
        <f t="array" ref="AT165">IF($K165="",0,IFERROR(INDEX(CALC!$AI$2:$AI$33,MATCH($K165,CALC!$A$2:$A$33,0)),0))</f>
        <v/>
      </c>
      <c r="AU165" s="2">
        <f t="shared" si="11"/>
        <v>0</v>
      </c>
      <c r="AV165" s="2">
        <f t="shared" si="12"/>
        <v>0</v>
      </c>
    </row>
    <row r="166" ht="15.0" customHeight="1">
      <c r="A166" s="2">
        <v>82.0</v>
      </c>
      <c r="B166" s="2" t="s">
        <v>2366</v>
      </c>
      <c r="C166" s="2">
        <f>IFERROR(MATCH($A166,SchedSeq,0),"")</f>
        <v>367</v>
      </c>
      <c r="D166" s="2" t="str">
        <f t="array" ref="D166">IF($C166="","",INDEX(SchedZone,$C166,MAP!$B$6))</f>
        <v>2026_06_CHI_ATL</v>
      </c>
      <c r="E166" s="2">
        <f t="array" ref="E166">IF($C166="","",INDEX(SchedZone,$C166,MAP!$B$3))</f>
        <v>2026</v>
      </c>
      <c r="F166" s="2" t="str">
        <f t="array" ref="F166">IF($C166="","",INDEX(SchedZone,$C166,MAP!$B$5))</f>
        <v>REG</v>
      </c>
      <c r="G166" s="2">
        <f t="array" ref="G166">IF($C166="","",INDEX(SchedZone,$C166,MAP!$B$4))</f>
        <v>6</v>
      </c>
      <c r="H166" s="2" t="str">
        <f t="array" ref="H166">IF($C166="","",INDEX(SchedZone,$C166,MAP!$B$10))</f>
        <v>CHI</v>
      </c>
      <c r="I166" s="2" t="str">
        <f t="array" ref="I166">IF($H166="","",IF(COUNTIF(Teams,$H166)&gt;0,$H166,IFERROR(INDEX(LISTS!$D$2:$D$12,MATCH($H166,LISTS!$C$2:$C$12,0)),"⚠ "&amp;$H166)))</f>
        <v>CHI</v>
      </c>
      <c r="J166" s="2" t="str">
        <f t="array" ref="J166">IF($C166="","",INDEX(SchedZone,$C166,MAP!$B$12))</f>
        <v>ATL</v>
      </c>
      <c r="K166" s="2" t="str">
        <f t="array" ref="K166">IF($J166="","",IF(COUNTIF(Teams,$J166)&gt;0,$J166,IFERROR(INDEX(LISTS!$D$2:$D$12,MATCH($J166,LISTS!$C$2:$C$12,0)),"⚠ "&amp;$J166)))</f>
        <v>ATL</v>
      </c>
      <c r="L166" s="2" t="str">
        <f t="array" ref="L166">IF($C166="","",IF(INDEX(SchedZone,$C166,MAP!$B$14)="Neutral","N",IF($B166="HOME","H","A")))</f>
        <v>A</v>
      </c>
      <c r="M166" s="2" t="str">
        <f t="array" ref="M166">IF($C166="","",IF(INDEX(SchedZone,$C166,MAP!$B$11)="","",INDEX(SchedZone,$C166,MAP!$B$11)))</f>
        <v/>
      </c>
      <c r="N166" s="2" t="str">
        <f t="array" ref="N166">IF($C166="","",IF(INDEX(SchedZone,$C166,MAP!$B$13)="","",INDEX(SchedZone,$C166,MAP!$B$13)))</f>
        <v/>
      </c>
      <c r="O166" s="2">
        <f t="array" ref="O166">IF($C166="","",INDEX(SchedZone,$C166,MAP!$B$15))</f>
        <v>7</v>
      </c>
      <c r="P166" s="2" t="str">
        <f>IF($C166="","",IFERROR(MATCH($E166&amp;"|"&amp;$G166&amp;"|"&amp;$I166,StatsKey,0),""))</f>
        <v/>
      </c>
      <c r="Q166" s="2">
        <f t="array" ref="Q166">IF($P166="",0,INDEX(StatsZone,$P166,MAP!$E$9)+INDEX(StatsZone,$P166,MAP!$E$10)+INDEX(StatsZone,$P166,MAP!$E$11))</f>
        <v>0</v>
      </c>
      <c r="R166" s="2">
        <f t="array" ref="R166">IF($P166="",0,INDEX(StatsZone,$P166,MAP!$E$12))</f>
        <v>0</v>
      </c>
      <c r="S166" s="2">
        <f t="array" ref="S166">IF($P166="",0,INDEX(StatsZone,$P166,MAP!$E$13))</f>
        <v>0</v>
      </c>
      <c r="T166" s="2">
        <f t="shared" si="1"/>
        <v>0</v>
      </c>
      <c r="U166" s="2">
        <f t="array" ref="U166">IF($P166="",0,INDEX(StatsZone,$P166,MAP!$E$14)+INDEX(StatsZone,$P166,MAP!$E$15)+INDEX(StatsZone,$P166,MAP!$E$16))</f>
        <v>0</v>
      </c>
      <c r="V166" s="2">
        <f t="shared" si="2"/>
        <v>0</v>
      </c>
      <c r="W166" s="2">
        <f t="shared" si="3"/>
        <v>0</v>
      </c>
      <c r="X166" s="2">
        <f t="shared" si="4"/>
        <v>0</v>
      </c>
      <c r="Y166" s="2">
        <f t="shared" si="5"/>
        <v>0</v>
      </c>
      <c r="Z166" s="2">
        <f t="shared" si="6"/>
        <v>0</v>
      </c>
      <c r="AA166" s="2">
        <f t="shared" si="7"/>
        <v>-1</v>
      </c>
      <c r="AB166" s="2">
        <f>IF(OR($M166="",$N166=""),0,MEDIAN(-MarginCap,MarginCap,($M166-$N166)-$AA166*HFA_Base))</f>
        <v>0</v>
      </c>
      <c r="AC166" s="2">
        <f t="array" ref="AC166">IF(OR($P166="",INDEX($P$3:$P$722,(ROW()+IF(MOD(ROW()-3,2)=0,1,-1))-3+1)=""),0,MEDIAN(-MarginCap,MarginCap,($T166-$W166)-$AA166*HFA_Base))</f>
        <v>0</v>
      </c>
      <c r="AD166" s="2">
        <f t="shared" si="8"/>
        <v>0</v>
      </c>
      <c r="AE166" s="2">
        <f>IF(OR($M166="",$N166=""),0,IF(AND(WEpa&gt;0,$AD166=1),(1-WEpa)*$AB166+WEpa*$AC166,$AB166))</f>
        <v>0</v>
      </c>
      <c r="AF166" s="2">
        <f>IF(AND($C166&lt;&gt;"",$E166=CurrentSeason,$F166="REG",ISNUMBER($G166),$G166&lt;CurrentWeek,AND($M166&lt;&gt;"",$N166&lt;&gt;"")),1,0)</f>
        <v>0</v>
      </c>
      <c r="AG166" s="2">
        <f>IF($AF166=0,0,IF($G166&gt;=CurrentWeek-RecencyWin,RecencyMult,1))</f>
        <v>0</v>
      </c>
      <c r="AH166" s="2">
        <f>IF(AND($C166&lt;&gt;"",$E166=CurrentSeason,$F166="REG",ISNUMBER($G166),$G166&lt;CurrentWeek-1,AND($M166&lt;&gt;"",$N166&lt;&gt;"")),1,0)</f>
        <v>0</v>
      </c>
      <c r="AI166" s="2">
        <f>IF($AH166=0,0,IF($G166&gt;=CurrentWeek-1-RecencyWin,RecencyMult,1))</f>
        <v>0</v>
      </c>
      <c r="AJ166" s="2">
        <f>IF($AF166=0,0,IF($G166&gt;=CurrentWeek-RecencyWin,TotRecency,1))</f>
        <v>0</v>
      </c>
      <c r="AK166" s="2">
        <f t="shared" si="9"/>
        <v>0</v>
      </c>
      <c r="AL166" s="2">
        <f t="shared" si="10"/>
        <v>0</v>
      </c>
      <c r="AM166" s="2" t="str">
        <f t="array" ref="AM166">IF($K166="",0,IFERROR(INDEX(CALC!$F$2:$F$33,MATCH($K166,CALC!$A$2:$A$33,0)),0))</f>
        <v/>
      </c>
      <c r="AN166" s="2" t="str">
        <f t="array" ref="AN166">IF($K166="",0,IFERROR(INDEX(CALC!$I$2:$I$33,MATCH($K166,CALC!$A$2:$A$33,0)),0))</f>
        <v/>
      </c>
      <c r="AO166" s="2" t="str">
        <f t="array" ref="AO166">IF($K166="",0,IFERROR(INDEX(CALC!$L$2:$L$33,MATCH($K166,CALC!$A$2:$A$33,0)),0))</f>
        <v/>
      </c>
      <c r="AP166" s="2" t="str">
        <f t="array" ref="AP166">IF($K166="",0,IFERROR(INDEX(CALC!$T$2:$T$33,MATCH($K166,CALC!$A$2:$A$33,0)),0))</f>
        <v/>
      </c>
      <c r="AQ166" s="2" t="str">
        <f t="array" ref="AQ166">IF($K166="",0,IFERROR(INDEX(CALC!$W$2:$W$33,MATCH($K166,CALC!$A$2:$A$33,0)),0))</f>
        <v/>
      </c>
      <c r="AR166" s="2" t="str">
        <f t="array" ref="AR166">IF($K166="",0,IFERROR(INDEX(CALC!$Z$2:$Z$33,MATCH($K166,CALC!$A$2:$A$33,0)),0))</f>
        <v/>
      </c>
      <c r="AS166" s="2" t="str">
        <f t="array" ref="AS166">IF($K166="",0,IFERROR(INDEX(CALC!$AJ$2:$AJ$33,MATCH($K166,CALC!$A$2:$A$33,0)),0))</f>
        <v/>
      </c>
      <c r="AT166" s="2" t="str">
        <f t="array" ref="AT166">IF($K166="",0,IFERROR(INDEX(CALC!$AI$2:$AI$33,MATCH($K166,CALC!$A$2:$A$33,0)),0))</f>
        <v/>
      </c>
      <c r="AU166" s="2">
        <f t="shared" si="11"/>
        <v>0</v>
      </c>
      <c r="AV166" s="2">
        <f t="shared" si="12"/>
        <v>0</v>
      </c>
    </row>
    <row r="167" ht="15.0" customHeight="1">
      <c r="A167" s="2">
        <v>83.0</v>
      </c>
      <c r="B167" s="2" t="s">
        <v>2365</v>
      </c>
      <c r="C167" s="2">
        <f>IFERROR(MATCH($A167,SchedSeq,0),"")</f>
        <v>368</v>
      </c>
      <c r="D167" s="2" t="str">
        <f t="array" ref="D167">IF($C167="","",INDEX(SchedZone,$C167,MAP!$B$6))</f>
        <v>2026_06_BAL_CLE</v>
      </c>
      <c r="E167" s="2">
        <f t="array" ref="E167">IF($C167="","",INDEX(SchedZone,$C167,MAP!$B$3))</f>
        <v>2026</v>
      </c>
      <c r="F167" s="2" t="str">
        <f t="array" ref="F167">IF($C167="","",INDEX(SchedZone,$C167,MAP!$B$5))</f>
        <v>REG</v>
      </c>
      <c r="G167" s="2">
        <f t="array" ref="G167">IF($C167="","",INDEX(SchedZone,$C167,MAP!$B$4))</f>
        <v>6</v>
      </c>
      <c r="H167" s="2" t="str">
        <f t="array" ref="H167">IF($C167="","",INDEX(SchedZone,$C167,MAP!$B$12))</f>
        <v>CLE</v>
      </c>
      <c r="I167" s="2" t="str">
        <f t="array" ref="I167">IF($H167="","",IF(COUNTIF(Teams,$H167)&gt;0,$H167,IFERROR(INDEX(LISTS!$D$2:$D$12,MATCH($H167,LISTS!$C$2:$C$12,0)),"⚠ "&amp;$H167)))</f>
        <v>CLE</v>
      </c>
      <c r="J167" s="2" t="str">
        <f t="array" ref="J167">IF($C167="","",INDEX(SchedZone,$C167,MAP!$B$10))</f>
        <v>BAL</v>
      </c>
      <c r="K167" s="2" t="str">
        <f t="array" ref="K167">IF($J167="","",IF(COUNTIF(Teams,$J167)&gt;0,$J167,IFERROR(INDEX(LISTS!$D$2:$D$12,MATCH($J167,LISTS!$C$2:$C$12,0)),"⚠ "&amp;$J167)))</f>
        <v>BAL</v>
      </c>
      <c r="L167" s="2" t="str">
        <f t="array" ref="L167">IF($C167="","",IF(INDEX(SchedZone,$C167,MAP!$B$14)="Neutral","N",IF($B167="HOME","H","A")))</f>
        <v>H</v>
      </c>
      <c r="M167" s="2" t="str">
        <f t="array" ref="M167">IF($C167="","",IF(INDEX(SchedZone,$C167,MAP!$B$13)="","",INDEX(SchedZone,$C167,MAP!$B$13)))</f>
        <v/>
      </c>
      <c r="N167" s="2" t="str">
        <f t="array" ref="N167">IF($C167="","",IF(INDEX(SchedZone,$C167,MAP!$B$11)="","",INDEX(SchedZone,$C167,MAP!$B$11)))</f>
        <v/>
      </c>
      <c r="O167" s="2">
        <f t="array" ref="O167">IF($C167="","",INDEX(SchedZone,$C167,MAP!$B$16))</f>
        <v>7</v>
      </c>
      <c r="P167" s="2" t="str">
        <f>IF($C167="","",IFERROR(MATCH($E167&amp;"|"&amp;$G167&amp;"|"&amp;$I167,StatsKey,0),""))</f>
        <v/>
      </c>
      <c r="Q167" s="2">
        <f t="array" ref="Q167">IF($P167="",0,INDEX(StatsZone,$P167,MAP!$E$9)+INDEX(StatsZone,$P167,MAP!$E$10)+INDEX(StatsZone,$P167,MAP!$E$11))</f>
        <v>0</v>
      </c>
      <c r="R167" s="2">
        <f t="array" ref="R167">IF($P167="",0,INDEX(StatsZone,$P167,MAP!$E$12))</f>
        <v>0</v>
      </c>
      <c r="S167" s="2">
        <f t="array" ref="S167">IF($P167="",0,INDEX(StatsZone,$P167,MAP!$E$13))</f>
        <v>0</v>
      </c>
      <c r="T167" s="2">
        <f t="shared" si="1"/>
        <v>0</v>
      </c>
      <c r="U167" s="2">
        <f t="array" ref="U167">IF($P167="",0,INDEX(StatsZone,$P167,MAP!$E$14)+INDEX(StatsZone,$P167,MAP!$E$15)+INDEX(StatsZone,$P167,MAP!$E$16))</f>
        <v>0</v>
      </c>
      <c r="V167" s="2">
        <f t="shared" si="2"/>
        <v>0</v>
      </c>
      <c r="W167" s="2">
        <f t="shared" si="3"/>
        <v>0</v>
      </c>
      <c r="X167" s="2">
        <f t="shared" si="4"/>
        <v>0</v>
      </c>
      <c r="Y167" s="2">
        <f t="shared" si="5"/>
        <v>0</v>
      </c>
      <c r="Z167" s="2">
        <f t="shared" si="6"/>
        <v>0</v>
      </c>
      <c r="AA167" s="2">
        <f t="shared" si="7"/>
        <v>1</v>
      </c>
      <c r="AB167" s="2">
        <f>IF(OR($M167="",$N167=""),0,MEDIAN(-MarginCap,MarginCap,($M167-$N167)-$AA167*HFA_Base))</f>
        <v>0</v>
      </c>
      <c r="AC167" s="2">
        <f t="array" ref="AC167">IF(OR($P167="",INDEX($P$3:$P$722,(ROW()+IF(MOD(ROW()-3,2)=0,1,-1))-3+1)=""),0,MEDIAN(-MarginCap,MarginCap,($T167-$W167)-$AA167*HFA_Base))</f>
        <v>0</v>
      </c>
      <c r="AD167" s="2">
        <f t="shared" si="8"/>
        <v>0</v>
      </c>
      <c r="AE167" s="2">
        <f>IF(OR($M167="",$N167=""),0,IF(AND(WEpa&gt;0,$AD167=1),(1-WEpa)*$AB167+WEpa*$AC167,$AB167))</f>
        <v>0</v>
      </c>
      <c r="AF167" s="2">
        <f>IF(AND($C167&lt;&gt;"",$E167=CurrentSeason,$F167="REG",ISNUMBER($G167),$G167&lt;CurrentWeek,AND($M167&lt;&gt;"",$N167&lt;&gt;"")),1,0)</f>
        <v>0</v>
      </c>
      <c r="AG167" s="2">
        <f>IF($AF167=0,0,IF($G167&gt;=CurrentWeek-RecencyWin,RecencyMult,1))</f>
        <v>0</v>
      </c>
      <c r="AH167" s="2">
        <f>IF(AND($C167&lt;&gt;"",$E167=CurrentSeason,$F167="REG",ISNUMBER($G167),$G167&lt;CurrentWeek-1,AND($M167&lt;&gt;"",$N167&lt;&gt;"")),1,0)</f>
        <v>0</v>
      </c>
      <c r="AI167" s="2">
        <f>IF($AH167=0,0,IF($G167&gt;=CurrentWeek-1-RecencyWin,RecencyMult,1))</f>
        <v>0</v>
      </c>
      <c r="AJ167" s="2">
        <f>IF($AF167=0,0,IF($G167&gt;=CurrentWeek-RecencyWin,TotRecency,1))</f>
        <v>0</v>
      </c>
      <c r="AK167" s="2">
        <f t="shared" si="9"/>
        <v>0</v>
      </c>
      <c r="AL167" s="2">
        <f t="shared" si="10"/>
        <v>0</v>
      </c>
      <c r="AM167" s="2" t="str">
        <f t="array" ref="AM167">IF($K167="",0,IFERROR(INDEX(CALC!$F$2:$F$33,MATCH($K167,CALC!$A$2:$A$33,0)),0))</f>
        <v/>
      </c>
      <c r="AN167" s="2" t="str">
        <f t="array" ref="AN167">IF($K167="",0,IFERROR(INDEX(CALC!$I$2:$I$33,MATCH($K167,CALC!$A$2:$A$33,0)),0))</f>
        <v/>
      </c>
      <c r="AO167" s="2" t="str">
        <f t="array" ref="AO167">IF($K167="",0,IFERROR(INDEX(CALC!$L$2:$L$33,MATCH($K167,CALC!$A$2:$A$33,0)),0))</f>
        <v/>
      </c>
      <c r="AP167" s="2" t="str">
        <f t="array" ref="AP167">IF($K167="",0,IFERROR(INDEX(CALC!$T$2:$T$33,MATCH($K167,CALC!$A$2:$A$33,0)),0))</f>
        <v/>
      </c>
      <c r="AQ167" s="2" t="str">
        <f t="array" ref="AQ167">IF($K167="",0,IFERROR(INDEX(CALC!$W$2:$W$33,MATCH($K167,CALC!$A$2:$A$33,0)),0))</f>
        <v/>
      </c>
      <c r="AR167" s="2" t="str">
        <f t="array" ref="AR167">IF($K167="",0,IFERROR(INDEX(CALC!$Z$2:$Z$33,MATCH($K167,CALC!$A$2:$A$33,0)),0))</f>
        <v/>
      </c>
      <c r="AS167" s="2" t="str">
        <f t="array" ref="AS167">IF($K167="",0,IFERROR(INDEX(CALC!$AJ$2:$AJ$33,MATCH($K167,CALC!$A$2:$A$33,0)),0))</f>
        <v/>
      </c>
      <c r="AT167" s="2" t="str">
        <f t="array" ref="AT167">IF($K167="",0,IFERROR(INDEX(CALC!$AI$2:$AI$33,MATCH($K167,CALC!$A$2:$A$33,0)),0))</f>
        <v/>
      </c>
      <c r="AU167" s="2">
        <f t="shared" si="11"/>
        <v>0</v>
      </c>
      <c r="AV167" s="2">
        <f t="shared" si="12"/>
        <v>0</v>
      </c>
    </row>
    <row r="168" ht="15.0" customHeight="1">
      <c r="A168" s="2">
        <v>83.0</v>
      </c>
      <c r="B168" s="2" t="s">
        <v>2366</v>
      </c>
      <c r="C168" s="2">
        <f>IFERROR(MATCH($A168,SchedSeq,0),"")</f>
        <v>368</v>
      </c>
      <c r="D168" s="2" t="str">
        <f t="array" ref="D168">IF($C168="","",INDEX(SchedZone,$C168,MAP!$B$6))</f>
        <v>2026_06_BAL_CLE</v>
      </c>
      <c r="E168" s="2">
        <f t="array" ref="E168">IF($C168="","",INDEX(SchedZone,$C168,MAP!$B$3))</f>
        <v>2026</v>
      </c>
      <c r="F168" s="2" t="str">
        <f t="array" ref="F168">IF($C168="","",INDEX(SchedZone,$C168,MAP!$B$5))</f>
        <v>REG</v>
      </c>
      <c r="G168" s="2">
        <f t="array" ref="G168">IF($C168="","",INDEX(SchedZone,$C168,MAP!$B$4))</f>
        <v>6</v>
      </c>
      <c r="H168" s="2" t="str">
        <f t="array" ref="H168">IF($C168="","",INDEX(SchedZone,$C168,MAP!$B$10))</f>
        <v>BAL</v>
      </c>
      <c r="I168" s="2" t="str">
        <f t="array" ref="I168">IF($H168="","",IF(COUNTIF(Teams,$H168)&gt;0,$H168,IFERROR(INDEX(LISTS!$D$2:$D$12,MATCH($H168,LISTS!$C$2:$C$12,0)),"⚠ "&amp;$H168)))</f>
        <v>BAL</v>
      </c>
      <c r="J168" s="2" t="str">
        <f t="array" ref="J168">IF($C168="","",INDEX(SchedZone,$C168,MAP!$B$12))</f>
        <v>CLE</v>
      </c>
      <c r="K168" s="2" t="str">
        <f t="array" ref="K168">IF($J168="","",IF(COUNTIF(Teams,$J168)&gt;0,$J168,IFERROR(INDEX(LISTS!$D$2:$D$12,MATCH($J168,LISTS!$C$2:$C$12,0)),"⚠ "&amp;$J168)))</f>
        <v>CLE</v>
      </c>
      <c r="L168" s="2" t="str">
        <f t="array" ref="L168">IF($C168="","",IF(INDEX(SchedZone,$C168,MAP!$B$14)="Neutral","N",IF($B168="HOME","H","A")))</f>
        <v>A</v>
      </c>
      <c r="M168" s="2" t="str">
        <f t="array" ref="M168">IF($C168="","",IF(INDEX(SchedZone,$C168,MAP!$B$11)="","",INDEX(SchedZone,$C168,MAP!$B$11)))</f>
        <v/>
      </c>
      <c r="N168" s="2" t="str">
        <f t="array" ref="N168">IF($C168="","",IF(INDEX(SchedZone,$C168,MAP!$B$13)="","",INDEX(SchedZone,$C168,MAP!$B$13)))</f>
        <v/>
      </c>
      <c r="O168" s="2">
        <f t="array" ref="O168">IF($C168="","",INDEX(SchedZone,$C168,MAP!$B$15))</f>
        <v>7</v>
      </c>
      <c r="P168" s="2" t="str">
        <f>IF($C168="","",IFERROR(MATCH($E168&amp;"|"&amp;$G168&amp;"|"&amp;$I168,StatsKey,0),""))</f>
        <v/>
      </c>
      <c r="Q168" s="2">
        <f t="array" ref="Q168">IF($P168="",0,INDEX(StatsZone,$P168,MAP!$E$9)+INDEX(StatsZone,$P168,MAP!$E$10)+INDEX(StatsZone,$P168,MAP!$E$11))</f>
        <v>0</v>
      </c>
      <c r="R168" s="2">
        <f t="array" ref="R168">IF($P168="",0,INDEX(StatsZone,$P168,MAP!$E$12))</f>
        <v>0</v>
      </c>
      <c r="S168" s="2">
        <f t="array" ref="S168">IF($P168="",0,INDEX(StatsZone,$P168,MAP!$E$13))</f>
        <v>0</v>
      </c>
      <c r="T168" s="2">
        <f t="shared" si="1"/>
        <v>0</v>
      </c>
      <c r="U168" s="2">
        <f t="array" ref="U168">IF($P168="",0,INDEX(StatsZone,$P168,MAP!$E$14)+INDEX(StatsZone,$P168,MAP!$E$15)+INDEX(StatsZone,$P168,MAP!$E$16))</f>
        <v>0</v>
      </c>
      <c r="V168" s="2">
        <f t="shared" si="2"/>
        <v>0</v>
      </c>
      <c r="W168" s="2">
        <f t="shared" si="3"/>
        <v>0</v>
      </c>
      <c r="X168" s="2">
        <f t="shared" si="4"/>
        <v>0</v>
      </c>
      <c r="Y168" s="2">
        <f t="shared" si="5"/>
        <v>0</v>
      </c>
      <c r="Z168" s="2">
        <f t="shared" si="6"/>
        <v>0</v>
      </c>
      <c r="AA168" s="2">
        <f t="shared" si="7"/>
        <v>-1</v>
      </c>
      <c r="AB168" s="2">
        <f>IF(OR($M168="",$N168=""),0,MEDIAN(-MarginCap,MarginCap,($M168-$N168)-$AA168*HFA_Base))</f>
        <v>0</v>
      </c>
      <c r="AC168" s="2">
        <f t="array" ref="AC168">IF(OR($P168="",INDEX($P$3:$P$722,(ROW()+IF(MOD(ROW()-3,2)=0,1,-1))-3+1)=""),0,MEDIAN(-MarginCap,MarginCap,($T168-$W168)-$AA168*HFA_Base))</f>
        <v>0</v>
      </c>
      <c r="AD168" s="2">
        <f t="shared" si="8"/>
        <v>0</v>
      </c>
      <c r="AE168" s="2">
        <f>IF(OR($M168="",$N168=""),0,IF(AND(WEpa&gt;0,$AD168=1),(1-WEpa)*$AB168+WEpa*$AC168,$AB168))</f>
        <v>0</v>
      </c>
      <c r="AF168" s="2">
        <f>IF(AND($C168&lt;&gt;"",$E168=CurrentSeason,$F168="REG",ISNUMBER($G168),$G168&lt;CurrentWeek,AND($M168&lt;&gt;"",$N168&lt;&gt;"")),1,0)</f>
        <v>0</v>
      </c>
      <c r="AG168" s="2">
        <f>IF($AF168=0,0,IF($G168&gt;=CurrentWeek-RecencyWin,RecencyMult,1))</f>
        <v>0</v>
      </c>
      <c r="AH168" s="2">
        <f>IF(AND($C168&lt;&gt;"",$E168=CurrentSeason,$F168="REG",ISNUMBER($G168),$G168&lt;CurrentWeek-1,AND($M168&lt;&gt;"",$N168&lt;&gt;"")),1,0)</f>
        <v>0</v>
      </c>
      <c r="AI168" s="2">
        <f>IF($AH168=0,0,IF($G168&gt;=CurrentWeek-1-RecencyWin,RecencyMult,1))</f>
        <v>0</v>
      </c>
      <c r="AJ168" s="2">
        <f>IF($AF168=0,0,IF($G168&gt;=CurrentWeek-RecencyWin,TotRecency,1))</f>
        <v>0</v>
      </c>
      <c r="AK168" s="2">
        <f t="shared" si="9"/>
        <v>0</v>
      </c>
      <c r="AL168" s="2">
        <f t="shared" si="10"/>
        <v>0</v>
      </c>
      <c r="AM168" s="2" t="str">
        <f t="array" ref="AM168">IF($K168="",0,IFERROR(INDEX(CALC!$F$2:$F$33,MATCH($K168,CALC!$A$2:$A$33,0)),0))</f>
        <v/>
      </c>
      <c r="AN168" s="2" t="str">
        <f t="array" ref="AN168">IF($K168="",0,IFERROR(INDEX(CALC!$I$2:$I$33,MATCH($K168,CALC!$A$2:$A$33,0)),0))</f>
        <v/>
      </c>
      <c r="AO168" s="2" t="str">
        <f t="array" ref="AO168">IF($K168="",0,IFERROR(INDEX(CALC!$L$2:$L$33,MATCH($K168,CALC!$A$2:$A$33,0)),0))</f>
        <v/>
      </c>
      <c r="AP168" s="2" t="str">
        <f t="array" ref="AP168">IF($K168="",0,IFERROR(INDEX(CALC!$T$2:$T$33,MATCH($K168,CALC!$A$2:$A$33,0)),0))</f>
        <v/>
      </c>
      <c r="AQ168" s="2" t="str">
        <f t="array" ref="AQ168">IF($K168="",0,IFERROR(INDEX(CALC!$W$2:$W$33,MATCH($K168,CALC!$A$2:$A$33,0)),0))</f>
        <v/>
      </c>
      <c r="AR168" s="2" t="str">
        <f t="array" ref="AR168">IF($K168="",0,IFERROR(INDEX(CALC!$Z$2:$Z$33,MATCH($K168,CALC!$A$2:$A$33,0)),0))</f>
        <v/>
      </c>
      <c r="AS168" s="2" t="str">
        <f t="array" ref="AS168">IF($K168="",0,IFERROR(INDEX(CALC!$AJ$2:$AJ$33,MATCH($K168,CALC!$A$2:$A$33,0)),0))</f>
        <v/>
      </c>
      <c r="AT168" s="2" t="str">
        <f t="array" ref="AT168">IF($K168="",0,IFERROR(INDEX(CALC!$AI$2:$AI$33,MATCH($K168,CALC!$A$2:$A$33,0)),0))</f>
        <v/>
      </c>
      <c r="AU168" s="2">
        <f t="shared" si="11"/>
        <v>0</v>
      </c>
      <c r="AV168" s="2">
        <f t="shared" si="12"/>
        <v>0</v>
      </c>
    </row>
    <row r="169" ht="15.0" customHeight="1">
      <c r="A169" s="2">
        <v>84.0</v>
      </c>
      <c r="B169" s="2" t="s">
        <v>2365</v>
      </c>
      <c r="C169" s="2">
        <f>IFERROR(MATCH($A169,SchedSeq,0),"")</f>
        <v>369</v>
      </c>
      <c r="D169" s="2" t="str">
        <f t="array" ref="D169">IF($C169="","",INDEX(SchedZone,$C169,MAP!$B$6))</f>
        <v>2026_06_TEN_IND</v>
      </c>
      <c r="E169" s="2">
        <f t="array" ref="E169">IF($C169="","",INDEX(SchedZone,$C169,MAP!$B$3))</f>
        <v>2026</v>
      </c>
      <c r="F169" s="2" t="str">
        <f t="array" ref="F169">IF($C169="","",INDEX(SchedZone,$C169,MAP!$B$5))</f>
        <v>REG</v>
      </c>
      <c r="G169" s="2">
        <f t="array" ref="G169">IF($C169="","",INDEX(SchedZone,$C169,MAP!$B$4))</f>
        <v>6</v>
      </c>
      <c r="H169" s="2" t="str">
        <f t="array" ref="H169">IF($C169="","",INDEX(SchedZone,$C169,MAP!$B$12))</f>
        <v>IND</v>
      </c>
      <c r="I169" s="2" t="str">
        <f t="array" ref="I169">IF($H169="","",IF(COUNTIF(Teams,$H169)&gt;0,$H169,IFERROR(INDEX(LISTS!$D$2:$D$12,MATCH($H169,LISTS!$C$2:$C$12,0)),"⚠ "&amp;$H169)))</f>
        <v>IND</v>
      </c>
      <c r="J169" s="2" t="str">
        <f t="array" ref="J169">IF($C169="","",INDEX(SchedZone,$C169,MAP!$B$10))</f>
        <v>TEN</v>
      </c>
      <c r="K169" s="2" t="str">
        <f t="array" ref="K169">IF($J169="","",IF(COUNTIF(Teams,$J169)&gt;0,$J169,IFERROR(INDEX(LISTS!$D$2:$D$12,MATCH($J169,LISTS!$C$2:$C$12,0)),"⚠ "&amp;$J169)))</f>
        <v>TEN</v>
      </c>
      <c r="L169" s="2" t="str">
        <f t="array" ref="L169">IF($C169="","",IF(INDEX(SchedZone,$C169,MAP!$B$14)="Neutral","N",IF($B169="HOME","H","A")))</f>
        <v>H</v>
      </c>
      <c r="M169" s="2" t="str">
        <f t="array" ref="M169">IF($C169="","",IF(INDEX(SchedZone,$C169,MAP!$B$13)="","",INDEX(SchedZone,$C169,MAP!$B$13)))</f>
        <v/>
      </c>
      <c r="N169" s="2" t="str">
        <f t="array" ref="N169">IF($C169="","",IF(INDEX(SchedZone,$C169,MAP!$B$11)="","",INDEX(SchedZone,$C169,MAP!$B$11)))</f>
        <v/>
      </c>
      <c r="O169" s="2">
        <f t="array" ref="O169">IF($C169="","",INDEX(SchedZone,$C169,MAP!$B$16))</f>
        <v>7</v>
      </c>
      <c r="P169" s="2" t="str">
        <f>IF($C169="","",IFERROR(MATCH($E169&amp;"|"&amp;$G169&amp;"|"&amp;$I169,StatsKey,0),""))</f>
        <v/>
      </c>
      <c r="Q169" s="2">
        <f t="array" ref="Q169">IF($P169="",0,INDEX(StatsZone,$P169,MAP!$E$9)+INDEX(StatsZone,$P169,MAP!$E$10)+INDEX(StatsZone,$P169,MAP!$E$11))</f>
        <v>0</v>
      </c>
      <c r="R169" s="2">
        <f t="array" ref="R169">IF($P169="",0,INDEX(StatsZone,$P169,MAP!$E$12))</f>
        <v>0</v>
      </c>
      <c r="S169" s="2">
        <f t="array" ref="S169">IF($P169="",0,INDEX(StatsZone,$P169,MAP!$E$13))</f>
        <v>0</v>
      </c>
      <c r="T169" s="2">
        <f t="shared" si="1"/>
        <v>0</v>
      </c>
      <c r="U169" s="2">
        <f t="array" ref="U169">IF($P169="",0,INDEX(StatsZone,$P169,MAP!$E$14)+INDEX(StatsZone,$P169,MAP!$E$15)+INDEX(StatsZone,$P169,MAP!$E$16))</f>
        <v>0</v>
      </c>
      <c r="V169" s="2">
        <f t="shared" si="2"/>
        <v>0</v>
      </c>
      <c r="W169" s="2">
        <f t="shared" si="3"/>
        <v>0</v>
      </c>
      <c r="X169" s="2">
        <f t="shared" si="4"/>
        <v>0</v>
      </c>
      <c r="Y169" s="2">
        <f t="shared" si="5"/>
        <v>0</v>
      </c>
      <c r="Z169" s="2">
        <f t="shared" si="6"/>
        <v>0</v>
      </c>
      <c r="AA169" s="2">
        <f t="shared" si="7"/>
        <v>1</v>
      </c>
      <c r="AB169" s="2">
        <f>IF(OR($M169="",$N169=""),0,MEDIAN(-MarginCap,MarginCap,($M169-$N169)-$AA169*HFA_Base))</f>
        <v>0</v>
      </c>
      <c r="AC169" s="2">
        <f t="array" ref="AC169">IF(OR($P169="",INDEX($P$3:$P$722,(ROW()+IF(MOD(ROW()-3,2)=0,1,-1))-3+1)=""),0,MEDIAN(-MarginCap,MarginCap,($T169-$W169)-$AA169*HFA_Base))</f>
        <v>0</v>
      </c>
      <c r="AD169" s="2">
        <f t="shared" si="8"/>
        <v>0</v>
      </c>
      <c r="AE169" s="2">
        <f>IF(OR($M169="",$N169=""),0,IF(AND(WEpa&gt;0,$AD169=1),(1-WEpa)*$AB169+WEpa*$AC169,$AB169))</f>
        <v>0</v>
      </c>
      <c r="AF169" s="2">
        <f>IF(AND($C169&lt;&gt;"",$E169=CurrentSeason,$F169="REG",ISNUMBER($G169),$G169&lt;CurrentWeek,AND($M169&lt;&gt;"",$N169&lt;&gt;"")),1,0)</f>
        <v>0</v>
      </c>
      <c r="AG169" s="2">
        <f>IF($AF169=0,0,IF($G169&gt;=CurrentWeek-RecencyWin,RecencyMult,1))</f>
        <v>0</v>
      </c>
      <c r="AH169" s="2">
        <f>IF(AND($C169&lt;&gt;"",$E169=CurrentSeason,$F169="REG",ISNUMBER($G169),$G169&lt;CurrentWeek-1,AND($M169&lt;&gt;"",$N169&lt;&gt;"")),1,0)</f>
        <v>0</v>
      </c>
      <c r="AI169" s="2">
        <f>IF($AH169=0,0,IF($G169&gt;=CurrentWeek-1-RecencyWin,RecencyMult,1))</f>
        <v>0</v>
      </c>
      <c r="AJ169" s="2">
        <f>IF($AF169=0,0,IF($G169&gt;=CurrentWeek-RecencyWin,TotRecency,1))</f>
        <v>0</v>
      </c>
      <c r="AK169" s="2">
        <f t="shared" si="9"/>
        <v>0</v>
      </c>
      <c r="AL169" s="2">
        <f t="shared" si="10"/>
        <v>0</v>
      </c>
      <c r="AM169" s="2" t="str">
        <f t="array" ref="AM169">IF($K169="",0,IFERROR(INDEX(CALC!$F$2:$F$33,MATCH($K169,CALC!$A$2:$A$33,0)),0))</f>
        <v/>
      </c>
      <c r="AN169" s="2" t="str">
        <f t="array" ref="AN169">IF($K169="",0,IFERROR(INDEX(CALC!$I$2:$I$33,MATCH($K169,CALC!$A$2:$A$33,0)),0))</f>
        <v/>
      </c>
      <c r="AO169" s="2" t="str">
        <f t="array" ref="AO169">IF($K169="",0,IFERROR(INDEX(CALC!$L$2:$L$33,MATCH($K169,CALC!$A$2:$A$33,0)),0))</f>
        <v/>
      </c>
      <c r="AP169" s="2" t="str">
        <f t="array" ref="AP169">IF($K169="",0,IFERROR(INDEX(CALC!$T$2:$T$33,MATCH($K169,CALC!$A$2:$A$33,0)),0))</f>
        <v/>
      </c>
      <c r="AQ169" s="2" t="str">
        <f t="array" ref="AQ169">IF($K169="",0,IFERROR(INDEX(CALC!$W$2:$W$33,MATCH($K169,CALC!$A$2:$A$33,0)),0))</f>
        <v/>
      </c>
      <c r="AR169" s="2" t="str">
        <f t="array" ref="AR169">IF($K169="",0,IFERROR(INDEX(CALC!$Z$2:$Z$33,MATCH($K169,CALC!$A$2:$A$33,0)),0))</f>
        <v/>
      </c>
      <c r="AS169" s="2" t="str">
        <f t="array" ref="AS169">IF($K169="",0,IFERROR(INDEX(CALC!$AJ$2:$AJ$33,MATCH($K169,CALC!$A$2:$A$33,0)),0))</f>
        <v/>
      </c>
      <c r="AT169" s="2" t="str">
        <f t="array" ref="AT169">IF($K169="",0,IFERROR(INDEX(CALC!$AI$2:$AI$33,MATCH($K169,CALC!$A$2:$A$33,0)),0))</f>
        <v/>
      </c>
      <c r="AU169" s="2">
        <f t="shared" si="11"/>
        <v>0</v>
      </c>
      <c r="AV169" s="2">
        <f t="shared" si="12"/>
        <v>0</v>
      </c>
    </row>
    <row r="170" ht="15.0" customHeight="1">
      <c r="A170" s="2">
        <v>84.0</v>
      </c>
      <c r="B170" s="2" t="s">
        <v>2366</v>
      </c>
      <c r="C170" s="2">
        <f>IFERROR(MATCH($A170,SchedSeq,0),"")</f>
        <v>369</v>
      </c>
      <c r="D170" s="2" t="str">
        <f t="array" ref="D170">IF($C170="","",INDEX(SchedZone,$C170,MAP!$B$6))</f>
        <v>2026_06_TEN_IND</v>
      </c>
      <c r="E170" s="2">
        <f t="array" ref="E170">IF($C170="","",INDEX(SchedZone,$C170,MAP!$B$3))</f>
        <v>2026</v>
      </c>
      <c r="F170" s="2" t="str">
        <f t="array" ref="F170">IF($C170="","",INDEX(SchedZone,$C170,MAP!$B$5))</f>
        <v>REG</v>
      </c>
      <c r="G170" s="2">
        <f t="array" ref="G170">IF($C170="","",INDEX(SchedZone,$C170,MAP!$B$4))</f>
        <v>6</v>
      </c>
      <c r="H170" s="2" t="str">
        <f t="array" ref="H170">IF($C170="","",INDEX(SchedZone,$C170,MAP!$B$10))</f>
        <v>TEN</v>
      </c>
      <c r="I170" s="2" t="str">
        <f t="array" ref="I170">IF($H170="","",IF(COUNTIF(Teams,$H170)&gt;0,$H170,IFERROR(INDEX(LISTS!$D$2:$D$12,MATCH($H170,LISTS!$C$2:$C$12,0)),"⚠ "&amp;$H170)))</f>
        <v>TEN</v>
      </c>
      <c r="J170" s="2" t="str">
        <f t="array" ref="J170">IF($C170="","",INDEX(SchedZone,$C170,MAP!$B$12))</f>
        <v>IND</v>
      </c>
      <c r="K170" s="2" t="str">
        <f t="array" ref="K170">IF($J170="","",IF(COUNTIF(Teams,$J170)&gt;0,$J170,IFERROR(INDEX(LISTS!$D$2:$D$12,MATCH($J170,LISTS!$C$2:$C$12,0)),"⚠ "&amp;$J170)))</f>
        <v>IND</v>
      </c>
      <c r="L170" s="2" t="str">
        <f t="array" ref="L170">IF($C170="","",IF(INDEX(SchedZone,$C170,MAP!$B$14)="Neutral","N",IF($B170="HOME","H","A")))</f>
        <v>A</v>
      </c>
      <c r="M170" s="2" t="str">
        <f t="array" ref="M170">IF($C170="","",IF(INDEX(SchedZone,$C170,MAP!$B$11)="","",INDEX(SchedZone,$C170,MAP!$B$11)))</f>
        <v/>
      </c>
      <c r="N170" s="2" t="str">
        <f t="array" ref="N170">IF($C170="","",IF(INDEX(SchedZone,$C170,MAP!$B$13)="","",INDEX(SchedZone,$C170,MAP!$B$13)))</f>
        <v/>
      </c>
      <c r="O170" s="2">
        <f t="array" ref="O170">IF($C170="","",INDEX(SchedZone,$C170,MAP!$B$15))</f>
        <v>7</v>
      </c>
      <c r="P170" s="2" t="str">
        <f>IF($C170="","",IFERROR(MATCH($E170&amp;"|"&amp;$G170&amp;"|"&amp;$I170,StatsKey,0),""))</f>
        <v/>
      </c>
      <c r="Q170" s="2">
        <f t="array" ref="Q170">IF($P170="",0,INDEX(StatsZone,$P170,MAP!$E$9)+INDEX(StatsZone,$P170,MAP!$E$10)+INDEX(StatsZone,$P170,MAP!$E$11))</f>
        <v>0</v>
      </c>
      <c r="R170" s="2">
        <f t="array" ref="R170">IF($P170="",0,INDEX(StatsZone,$P170,MAP!$E$12))</f>
        <v>0</v>
      </c>
      <c r="S170" s="2">
        <f t="array" ref="S170">IF($P170="",0,INDEX(StatsZone,$P170,MAP!$E$13))</f>
        <v>0</v>
      </c>
      <c r="T170" s="2">
        <f t="shared" si="1"/>
        <v>0</v>
      </c>
      <c r="U170" s="2">
        <f t="array" ref="U170">IF($P170="",0,INDEX(StatsZone,$P170,MAP!$E$14)+INDEX(StatsZone,$P170,MAP!$E$15)+INDEX(StatsZone,$P170,MAP!$E$16))</f>
        <v>0</v>
      </c>
      <c r="V170" s="2">
        <f t="shared" si="2"/>
        <v>0</v>
      </c>
      <c r="W170" s="2">
        <f t="shared" si="3"/>
        <v>0</v>
      </c>
      <c r="X170" s="2">
        <f t="shared" si="4"/>
        <v>0</v>
      </c>
      <c r="Y170" s="2">
        <f t="shared" si="5"/>
        <v>0</v>
      </c>
      <c r="Z170" s="2">
        <f t="shared" si="6"/>
        <v>0</v>
      </c>
      <c r="AA170" s="2">
        <f t="shared" si="7"/>
        <v>-1</v>
      </c>
      <c r="AB170" s="2">
        <f>IF(OR($M170="",$N170=""),0,MEDIAN(-MarginCap,MarginCap,($M170-$N170)-$AA170*HFA_Base))</f>
        <v>0</v>
      </c>
      <c r="AC170" s="2">
        <f t="array" ref="AC170">IF(OR($P170="",INDEX($P$3:$P$722,(ROW()+IF(MOD(ROW()-3,2)=0,1,-1))-3+1)=""),0,MEDIAN(-MarginCap,MarginCap,($T170-$W170)-$AA170*HFA_Base))</f>
        <v>0</v>
      </c>
      <c r="AD170" s="2">
        <f t="shared" si="8"/>
        <v>0</v>
      </c>
      <c r="AE170" s="2">
        <f>IF(OR($M170="",$N170=""),0,IF(AND(WEpa&gt;0,$AD170=1),(1-WEpa)*$AB170+WEpa*$AC170,$AB170))</f>
        <v>0</v>
      </c>
      <c r="AF170" s="2">
        <f>IF(AND($C170&lt;&gt;"",$E170=CurrentSeason,$F170="REG",ISNUMBER($G170),$G170&lt;CurrentWeek,AND($M170&lt;&gt;"",$N170&lt;&gt;"")),1,0)</f>
        <v>0</v>
      </c>
      <c r="AG170" s="2">
        <f>IF($AF170=0,0,IF($G170&gt;=CurrentWeek-RecencyWin,RecencyMult,1))</f>
        <v>0</v>
      </c>
      <c r="AH170" s="2">
        <f>IF(AND($C170&lt;&gt;"",$E170=CurrentSeason,$F170="REG",ISNUMBER($G170),$G170&lt;CurrentWeek-1,AND($M170&lt;&gt;"",$N170&lt;&gt;"")),1,0)</f>
        <v>0</v>
      </c>
      <c r="AI170" s="2">
        <f>IF($AH170=0,0,IF($G170&gt;=CurrentWeek-1-RecencyWin,RecencyMult,1))</f>
        <v>0</v>
      </c>
      <c r="AJ170" s="2">
        <f>IF($AF170=0,0,IF($G170&gt;=CurrentWeek-RecencyWin,TotRecency,1))</f>
        <v>0</v>
      </c>
      <c r="AK170" s="2">
        <f t="shared" si="9"/>
        <v>0</v>
      </c>
      <c r="AL170" s="2">
        <f t="shared" si="10"/>
        <v>0</v>
      </c>
      <c r="AM170" s="2" t="str">
        <f t="array" ref="AM170">IF($K170="",0,IFERROR(INDEX(CALC!$F$2:$F$33,MATCH($K170,CALC!$A$2:$A$33,0)),0))</f>
        <v/>
      </c>
      <c r="AN170" s="2" t="str">
        <f t="array" ref="AN170">IF($K170="",0,IFERROR(INDEX(CALC!$I$2:$I$33,MATCH($K170,CALC!$A$2:$A$33,0)),0))</f>
        <v/>
      </c>
      <c r="AO170" s="2" t="str">
        <f t="array" ref="AO170">IF($K170="",0,IFERROR(INDEX(CALC!$L$2:$L$33,MATCH($K170,CALC!$A$2:$A$33,0)),0))</f>
        <v/>
      </c>
      <c r="AP170" s="2" t="str">
        <f t="array" ref="AP170">IF($K170="",0,IFERROR(INDEX(CALC!$T$2:$T$33,MATCH($K170,CALC!$A$2:$A$33,0)),0))</f>
        <v/>
      </c>
      <c r="AQ170" s="2" t="str">
        <f t="array" ref="AQ170">IF($K170="",0,IFERROR(INDEX(CALC!$W$2:$W$33,MATCH($K170,CALC!$A$2:$A$33,0)),0))</f>
        <v/>
      </c>
      <c r="AR170" s="2" t="str">
        <f t="array" ref="AR170">IF($K170="",0,IFERROR(INDEX(CALC!$Z$2:$Z$33,MATCH($K170,CALC!$A$2:$A$33,0)),0))</f>
        <v/>
      </c>
      <c r="AS170" s="2" t="str">
        <f t="array" ref="AS170">IF($K170="",0,IFERROR(INDEX(CALC!$AJ$2:$AJ$33,MATCH($K170,CALC!$A$2:$A$33,0)),0))</f>
        <v/>
      </c>
      <c r="AT170" s="2" t="str">
        <f t="array" ref="AT170">IF($K170="",0,IFERROR(INDEX(CALC!$AI$2:$AI$33,MATCH($K170,CALC!$A$2:$A$33,0)),0))</f>
        <v/>
      </c>
      <c r="AU170" s="2">
        <f t="shared" si="11"/>
        <v>0</v>
      </c>
      <c r="AV170" s="2">
        <f t="shared" si="12"/>
        <v>0</v>
      </c>
    </row>
    <row r="171" ht="15.0" customHeight="1">
      <c r="A171" s="2">
        <v>85.0</v>
      </c>
      <c r="B171" s="2" t="s">
        <v>2365</v>
      </c>
      <c r="C171" s="2">
        <f>IFERROR(MATCH($A171,SchedSeq,0),"")</f>
        <v>370</v>
      </c>
      <c r="D171" s="2" t="str">
        <f t="array" ref="D171">IF($C171="","",INDEX(SchedZone,$C171,MAP!$B$6))</f>
        <v>2026_06_NYJ_NE</v>
      </c>
      <c r="E171" s="2">
        <f t="array" ref="E171">IF($C171="","",INDEX(SchedZone,$C171,MAP!$B$3))</f>
        <v>2026</v>
      </c>
      <c r="F171" s="2" t="str">
        <f t="array" ref="F171">IF($C171="","",INDEX(SchedZone,$C171,MAP!$B$5))</f>
        <v>REG</v>
      </c>
      <c r="G171" s="2">
        <f t="array" ref="G171">IF($C171="","",INDEX(SchedZone,$C171,MAP!$B$4))</f>
        <v>6</v>
      </c>
      <c r="H171" s="2" t="str">
        <f t="array" ref="H171">IF($C171="","",INDEX(SchedZone,$C171,MAP!$B$12))</f>
        <v>NE</v>
      </c>
      <c r="I171" s="2" t="str">
        <f t="array" ref="I171">IF($H171="","",IF(COUNTIF(Teams,$H171)&gt;0,$H171,IFERROR(INDEX(LISTS!$D$2:$D$12,MATCH($H171,LISTS!$C$2:$C$12,0)),"⚠ "&amp;$H171)))</f>
        <v>NE</v>
      </c>
      <c r="J171" s="2" t="str">
        <f t="array" ref="J171">IF($C171="","",INDEX(SchedZone,$C171,MAP!$B$10))</f>
        <v>NYJ</v>
      </c>
      <c r="K171" s="2" t="str">
        <f t="array" ref="K171">IF($J171="","",IF(COUNTIF(Teams,$J171)&gt;0,$J171,IFERROR(INDEX(LISTS!$D$2:$D$12,MATCH($J171,LISTS!$C$2:$C$12,0)),"⚠ "&amp;$J171)))</f>
        <v>NYJ</v>
      </c>
      <c r="L171" s="2" t="str">
        <f t="array" ref="L171">IF($C171="","",IF(INDEX(SchedZone,$C171,MAP!$B$14)="Neutral","N",IF($B171="HOME","H","A")))</f>
        <v>H</v>
      </c>
      <c r="M171" s="2" t="str">
        <f t="array" ref="M171">IF($C171="","",IF(INDEX(SchedZone,$C171,MAP!$B$13)="","",INDEX(SchedZone,$C171,MAP!$B$13)))</f>
        <v/>
      </c>
      <c r="N171" s="2" t="str">
        <f t="array" ref="N171">IF($C171="","",IF(INDEX(SchedZone,$C171,MAP!$B$11)="","",INDEX(SchedZone,$C171,MAP!$B$11)))</f>
        <v/>
      </c>
      <c r="O171" s="2">
        <f t="array" ref="O171">IF($C171="","",INDEX(SchedZone,$C171,MAP!$B$16))</f>
        <v>7</v>
      </c>
      <c r="P171" s="2" t="str">
        <f>IF($C171="","",IFERROR(MATCH($E171&amp;"|"&amp;$G171&amp;"|"&amp;$I171,StatsKey,0),""))</f>
        <v/>
      </c>
      <c r="Q171" s="2">
        <f t="array" ref="Q171">IF($P171="",0,INDEX(StatsZone,$P171,MAP!$E$9)+INDEX(StatsZone,$P171,MAP!$E$10)+INDEX(StatsZone,$P171,MAP!$E$11))</f>
        <v>0</v>
      </c>
      <c r="R171" s="2">
        <f t="array" ref="R171">IF($P171="",0,INDEX(StatsZone,$P171,MAP!$E$12))</f>
        <v>0</v>
      </c>
      <c r="S171" s="2">
        <f t="array" ref="S171">IF($P171="",0,INDEX(StatsZone,$P171,MAP!$E$13))</f>
        <v>0</v>
      </c>
      <c r="T171" s="2">
        <f t="shared" si="1"/>
        <v>0</v>
      </c>
      <c r="U171" s="2">
        <f t="array" ref="U171">IF($P171="",0,INDEX(StatsZone,$P171,MAP!$E$14)+INDEX(StatsZone,$P171,MAP!$E$15)+INDEX(StatsZone,$P171,MAP!$E$16))</f>
        <v>0</v>
      </c>
      <c r="V171" s="2">
        <f t="shared" si="2"/>
        <v>0</v>
      </c>
      <c r="W171" s="2">
        <f t="shared" si="3"/>
        <v>0</v>
      </c>
      <c r="X171" s="2">
        <f t="shared" si="4"/>
        <v>0</v>
      </c>
      <c r="Y171" s="2">
        <f t="shared" si="5"/>
        <v>0</v>
      </c>
      <c r="Z171" s="2">
        <f t="shared" si="6"/>
        <v>0</v>
      </c>
      <c r="AA171" s="2">
        <f t="shared" si="7"/>
        <v>1</v>
      </c>
      <c r="AB171" s="2">
        <f>IF(OR($M171="",$N171=""),0,MEDIAN(-MarginCap,MarginCap,($M171-$N171)-$AA171*HFA_Base))</f>
        <v>0</v>
      </c>
      <c r="AC171" s="2">
        <f t="array" ref="AC171">IF(OR($P171="",INDEX($P$3:$P$722,(ROW()+IF(MOD(ROW()-3,2)=0,1,-1))-3+1)=""),0,MEDIAN(-MarginCap,MarginCap,($T171-$W171)-$AA171*HFA_Base))</f>
        <v>0</v>
      </c>
      <c r="AD171" s="2">
        <f t="shared" si="8"/>
        <v>0</v>
      </c>
      <c r="AE171" s="2">
        <f>IF(OR($M171="",$N171=""),0,IF(AND(WEpa&gt;0,$AD171=1),(1-WEpa)*$AB171+WEpa*$AC171,$AB171))</f>
        <v>0</v>
      </c>
      <c r="AF171" s="2">
        <f>IF(AND($C171&lt;&gt;"",$E171=CurrentSeason,$F171="REG",ISNUMBER($G171),$G171&lt;CurrentWeek,AND($M171&lt;&gt;"",$N171&lt;&gt;"")),1,0)</f>
        <v>0</v>
      </c>
      <c r="AG171" s="2">
        <f>IF($AF171=0,0,IF($G171&gt;=CurrentWeek-RecencyWin,RecencyMult,1))</f>
        <v>0</v>
      </c>
      <c r="AH171" s="2">
        <f>IF(AND($C171&lt;&gt;"",$E171=CurrentSeason,$F171="REG",ISNUMBER($G171),$G171&lt;CurrentWeek-1,AND($M171&lt;&gt;"",$N171&lt;&gt;"")),1,0)</f>
        <v>0</v>
      </c>
      <c r="AI171" s="2">
        <f>IF($AH171=0,0,IF($G171&gt;=CurrentWeek-1-RecencyWin,RecencyMult,1))</f>
        <v>0</v>
      </c>
      <c r="AJ171" s="2">
        <f>IF($AF171=0,0,IF($G171&gt;=CurrentWeek-RecencyWin,TotRecency,1))</f>
        <v>0</v>
      </c>
      <c r="AK171" s="2">
        <f t="shared" si="9"/>
        <v>0</v>
      </c>
      <c r="AL171" s="2">
        <f t="shared" si="10"/>
        <v>0</v>
      </c>
      <c r="AM171" s="2" t="str">
        <f t="array" ref="AM171">IF($K171="",0,IFERROR(INDEX(CALC!$F$2:$F$33,MATCH($K171,CALC!$A$2:$A$33,0)),0))</f>
        <v/>
      </c>
      <c r="AN171" s="2" t="str">
        <f t="array" ref="AN171">IF($K171="",0,IFERROR(INDEX(CALC!$I$2:$I$33,MATCH($K171,CALC!$A$2:$A$33,0)),0))</f>
        <v/>
      </c>
      <c r="AO171" s="2" t="str">
        <f t="array" ref="AO171">IF($K171="",0,IFERROR(INDEX(CALC!$L$2:$L$33,MATCH($K171,CALC!$A$2:$A$33,0)),0))</f>
        <v/>
      </c>
      <c r="AP171" s="2" t="str">
        <f t="array" ref="AP171">IF($K171="",0,IFERROR(INDEX(CALC!$T$2:$T$33,MATCH($K171,CALC!$A$2:$A$33,0)),0))</f>
        <v/>
      </c>
      <c r="AQ171" s="2" t="str">
        <f t="array" ref="AQ171">IF($K171="",0,IFERROR(INDEX(CALC!$W$2:$W$33,MATCH($K171,CALC!$A$2:$A$33,0)),0))</f>
        <v/>
      </c>
      <c r="AR171" s="2" t="str">
        <f t="array" ref="AR171">IF($K171="",0,IFERROR(INDEX(CALC!$Z$2:$Z$33,MATCH($K171,CALC!$A$2:$A$33,0)),0))</f>
        <v/>
      </c>
      <c r="AS171" s="2" t="str">
        <f t="array" ref="AS171">IF($K171="",0,IFERROR(INDEX(CALC!$AJ$2:$AJ$33,MATCH($K171,CALC!$A$2:$A$33,0)),0))</f>
        <v/>
      </c>
      <c r="AT171" s="2" t="str">
        <f t="array" ref="AT171">IF($K171="",0,IFERROR(INDEX(CALC!$AI$2:$AI$33,MATCH($K171,CALC!$A$2:$A$33,0)),0))</f>
        <v/>
      </c>
      <c r="AU171" s="2">
        <f t="shared" si="11"/>
        <v>0</v>
      </c>
      <c r="AV171" s="2">
        <f t="shared" si="12"/>
        <v>0</v>
      </c>
    </row>
    <row r="172" ht="15.0" customHeight="1">
      <c r="A172" s="2">
        <v>85.0</v>
      </c>
      <c r="B172" s="2" t="s">
        <v>2366</v>
      </c>
      <c r="C172" s="2">
        <f>IFERROR(MATCH($A172,SchedSeq,0),"")</f>
        <v>370</v>
      </c>
      <c r="D172" s="2" t="str">
        <f t="array" ref="D172">IF($C172="","",INDEX(SchedZone,$C172,MAP!$B$6))</f>
        <v>2026_06_NYJ_NE</v>
      </c>
      <c r="E172" s="2">
        <f t="array" ref="E172">IF($C172="","",INDEX(SchedZone,$C172,MAP!$B$3))</f>
        <v>2026</v>
      </c>
      <c r="F172" s="2" t="str">
        <f t="array" ref="F172">IF($C172="","",INDEX(SchedZone,$C172,MAP!$B$5))</f>
        <v>REG</v>
      </c>
      <c r="G172" s="2">
        <f t="array" ref="G172">IF($C172="","",INDEX(SchedZone,$C172,MAP!$B$4))</f>
        <v>6</v>
      </c>
      <c r="H172" s="2" t="str">
        <f t="array" ref="H172">IF($C172="","",INDEX(SchedZone,$C172,MAP!$B$10))</f>
        <v>NYJ</v>
      </c>
      <c r="I172" s="2" t="str">
        <f t="array" ref="I172">IF($H172="","",IF(COUNTIF(Teams,$H172)&gt;0,$H172,IFERROR(INDEX(LISTS!$D$2:$D$12,MATCH($H172,LISTS!$C$2:$C$12,0)),"⚠ "&amp;$H172)))</f>
        <v>NYJ</v>
      </c>
      <c r="J172" s="2" t="str">
        <f t="array" ref="J172">IF($C172="","",INDEX(SchedZone,$C172,MAP!$B$12))</f>
        <v>NE</v>
      </c>
      <c r="K172" s="2" t="str">
        <f t="array" ref="K172">IF($J172="","",IF(COUNTIF(Teams,$J172)&gt;0,$J172,IFERROR(INDEX(LISTS!$D$2:$D$12,MATCH($J172,LISTS!$C$2:$C$12,0)),"⚠ "&amp;$J172)))</f>
        <v>NE</v>
      </c>
      <c r="L172" s="2" t="str">
        <f t="array" ref="L172">IF($C172="","",IF(INDEX(SchedZone,$C172,MAP!$B$14)="Neutral","N",IF($B172="HOME","H","A")))</f>
        <v>A</v>
      </c>
      <c r="M172" s="2" t="str">
        <f t="array" ref="M172">IF($C172="","",IF(INDEX(SchedZone,$C172,MAP!$B$11)="","",INDEX(SchedZone,$C172,MAP!$B$11)))</f>
        <v/>
      </c>
      <c r="N172" s="2" t="str">
        <f t="array" ref="N172">IF($C172="","",IF(INDEX(SchedZone,$C172,MAP!$B$13)="","",INDEX(SchedZone,$C172,MAP!$B$13)))</f>
        <v/>
      </c>
      <c r="O172" s="2">
        <f t="array" ref="O172">IF($C172="","",INDEX(SchedZone,$C172,MAP!$B$15))</f>
        <v>7</v>
      </c>
      <c r="P172" s="2" t="str">
        <f>IF($C172="","",IFERROR(MATCH($E172&amp;"|"&amp;$G172&amp;"|"&amp;$I172,StatsKey,0),""))</f>
        <v/>
      </c>
      <c r="Q172" s="2">
        <f t="array" ref="Q172">IF($P172="",0,INDEX(StatsZone,$P172,MAP!$E$9)+INDEX(StatsZone,$P172,MAP!$E$10)+INDEX(StatsZone,$P172,MAP!$E$11))</f>
        <v>0</v>
      </c>
      <c r="R172" s="2">
        <f t="array" ref="R172">IF($P172="",0,INDEX(StatsZone,$P172,MAP!$E$12))</f>
        <v>0</v>
      </c>
      <c r="S172" s="2">
        <f t="array" ref="S172">IF($P172="",0,INDEX(StatsZone,$P172,MAP!$E$13))</f>
        <v>0</v>
      </c>
      <c r="T172" s="2">
        <f t="shared" si="1"/>
        <v>0</v>
      </c>
      <c r="U172" s="2">
        <f t="array" ref="U172">IF($P172="",0,INDEX(StatsZone,$P172,MAP!$E$14)+INDEX(StatsZone,$P172,MAP!$E$15)+INDEX(StatsZone,$P172,MAP!$E$16))</f>
        <v>0</v>
      </c>
      <c r="V172" s="2">
        <f t="shared" si="2"/>
        <v>0</v>
      </c>
      <c r="W172" s="2">
        <f t="shared" si="3"/>
        <v>0</v>
      </c>
      <c r="X172" s="2">
        <f t="shared" si="4"/>
        <v>0</v>
      </c>
      <c r="Y172" s="2">
        <f t="shared" si="5"/>
        <v>0</v>
      </c>
      <c r="Z172" s="2">
        <f t="shared" si="6"/>
        <v>0</v>
      </c>
      <c r="AA172" s="2">
        <f t="shared" si="7"/>
        <v>-1</v>
      </c>
      <c r="AB172" s="2">
        <f>IF(OR($M172="",$N172=""),0,MEDIAN(-MarginCap,MarginCap,($M172-$N172)-$AA172*HFA_Base))</f>
        <v>0</v>
      </c>
      <c r="AC172" s="2">
        <f t="array" ref="AC172">IF(OR($P172="",INDEX($P$3:$P$722,(ROW()+IF(MOD(ROW()-3,2)=0,1,-1))-3+1)=""),0,MEDIAN(-MarginCap,MarginCap,($T172-$W172)-$AA172*HFA_Base))</f>
        <v>0</v>
      </c>
      <c r="AD172" s="2">
        <f t="shared" si="8"/>
        <v>0</v>
      </c>
      <c r="AE172" s="2">
        <f>IF(OR($M172="",$N172=""),0,IF(AND(WEpa&gt;0,$AD172=1),(1-WEpa)*$AB172+WEpa*$AC172,$AB172))</f>
        <v>0</v>
      </c>
      <c r="AF172" s="2">
        <f>IF(AND($C172&lt;&gt;"",$E172=CurrentSeason,$F172="REG",ISNUMBER($G172),$G172&lt;CurrentWeek,AND($M172&lt;&gt;"",$N172&lt;&gt;"")),1,0)</f>
        <v>0</v>
      </c>
      <c r="AG172" s="2">
        <f>IF($AF172=0,0,IF($G172&gt;=CurrentWeek-RecencyWin,RecencyMult,1))</f>
        <v>0</v>
      </c>
      <c r="AH172" s="2">
        <f>IF(AND($C172&lt;&gt;"",$E172=CurrentSeason,$F172="REG",ISNUMBER($G172),$G172&lt;CurrentWeek-1,AND($M172&lt;&gt;"",$N172&lt;&gt;"")),1,0)</f>
        <v>0</v>
      </c>
      <c r="AI172" s="2">
        <f>IF($AH172=0,0,IF($G172&gt;=CurrentWeek-1-RecencyWin,RecencyMult,1))</f>
        <v>0</v>
      </c>
      <c r="AJ172" s="2">
        <f>IF($AF172=0,0,IF($G172&gt;=CurrentWeek-RecencyWin,TotRecency,1))</f>
        <v>0</v>
      </c>
      <c r="AK172" s="2">
        <f t="shared" si="9"/>
        <v>0</v>
      </c>
      <c r="AL172" s="2">
        <f t="shared" si="10"/>
        <v>0</v>
      </c>
      <c r="AM172" s="2" t="str">
        <f t="array" ref="AM172">IF($K172="",0,IFERROR(INDEX(CALC!$F$2:$F$33,MATCH($K172,CALC!$A$2:$A$33,0)),0))</f>
        <v/>
      </c>
      <c r="AN172" s="2" t="str">
        <f t="array" ref="AN172">IF($K172="",0,IFERROR(INDEX(CALC!$I$2:$I$33,MATCH($K172,CALC!$A$2:$A$33,0)),0))</f>
        <v/>
      </c>
      <c r="AO172" s="2" t="str">
        <f t="array" ref="AO172">IF($K172="",0,IFERROR(INDEX(CALC!$L$2:$L$33,MATCH($K172,CALC!$A$2:$A$33,0)),0))</f>
        <v/>
      </c>
      <c r="AP172" s="2" t="str">
        <f t="array" ref="AP172">IF($K172="",0,IFERROR(INDEX(CALC!$T$2:$T$33,MATCH($K172,CALC!$A$2:$A$33,0)),0))</f>
        <v/>
      </c>
      <c r="AQ172" s="2" t="str">
        <f t="array" ref="AQ172">IF($K172="",0,IFERROR(INDEX(CALC!$W$2:$W$33,MATCH($K172,CALC!$A$2:$A$33,0)),0))</f>
        <v/>
      </c>
      <c r="AR172" s="2" t="str">
        <f t="array" ref="AR172">IF($K172="",0,IFERROR(INDEX(CALC!$Z$2:$Z$33,MATCH($K172,CALC!$A$2:$A$33,0)),0))</f>
        <v/>
      </c>
      <c r="AS172" s="2" t="str">
        <f t="array" ref="AS172">IF($K172="",0,IFERROR(INDEX(CALC!$AJ$2:$AJ$33,MATCH($K172,CALC!$A$2:$A$33,0)),0))</f>
        <v/>
      </c>
      <c r="AT172" s="2" t="str">
        <f t="array" ref="AT172">IF($K172="",0,IFERROR(INDEX(CALC!$AI$2:$AI$33,MATCH($K172,CALC!$A$2:$A$33,0)),0))</f>
        <v/>
      </c>
      <c r="AU172" s="2">
        <f t="shared" si="11"/>
        <v>0</v>
      </c>
      <c r="AV172" s="2">
        <f t="shared" si="12"/>
        <v>0</v>
      </c>
    </row>
    <row r="173" ht="15.0" customHeight="1">
      <c r="A173" s="2">
        <v>86.0</v>
      </c>
      <c r="B173" s="2" t="s">
        <v>2365</v>
      </c>
      <c r="C173" s="2">
        <f>IFERROR(MATCH($A173,SchedSeq,0),"")</f>
        <v>371</v>
      </c>
      <c r="D173" s="2" t="str">
        <f t="array" ref="D173">IF($C173="","",INDEX(SchedZone,$C173,MAP!$B$6))</f>
        <v>2026_06_NO_NYG</v>
      </c>
      <c r="E173" s="2">
        <f t="array" ref="E173">IF($C173="","",INDEX(SchedZone,$C173,MAP!$B$3))</f>
        <v>2026</v>
      </c>
      <c r="F173" s="2" t="str">
        <f t="array" ref="F173">IF($C173="","",INDEX(SchedZone,$C173,MAP!$B$5))</f>
        <v>REG</v>
      </c>
      <c r="G173" s="2">
        <f t="array" ref="G173">IF($C173="","",INDEX(SchedZone,$C173,MAP!$B$4))</f>
        <v>6</v>
      </c>
      <c r="H173" s="2" t="str">
        <f t="array" ref="H173">IF($C173="","",INDEX(SchedZone,$C173,MAP!$B$12))</f>
        <v>NYG</v>
      </c>
      <c r="I173" s="2" t="str">
        <f t="array" ref="I173">IF($H173="","",IF(COUNTIF(Teams,$H173)&gt;0,$H173,IFERROR(INDEX(LISTS!$D$2:$D$12,MATCH($H173,LISTS!$C$2:$C$12,0)),"⚠ "&amp;$H173)))</f>
        <v>NYG</v>
      </c>
      <c r="J173" s="2" t="str">
        <f t="array" ref="J173">IF($C173="","",INDEX(SchedZone,$C173,MAP!$B$10))</f>
        <v>NO</v>
      </c>
      <c r="K173" s="2" t="str">
        <f t="array" ref="K173">IF($J173="","",IF(COUNTIF(Teams,$J173)&gt;0,$J173,IFERROR(INDEX(LISTS!$D$2:$D$12,MATCH($J173,LISTS!$C$2:$C$12,0)),"⚠ "&amp;$J173)))</f>
        <v>NO</v>
      </c>
      <c r="L173" s="2" t="str">
        <f t="array" ref="L173">IF($C173="","",IF(INDEX(SchedZone,$C173,MAP!$B$14)="Neutral","N",IF($B173="HOME","H","A")))</f>
        <v>H</v>
      </c>
      <c r="M173" s="2" t="str">
        <f t="array" ref="M173">IF($C173="","",IF(INDEX(SchedZone,$C173,MAP!$B$13)="","",INDEX(SchedZone,$C173,MAP!$B$13)))</f>
        <v/>
      </c>
      <c r="N173" s="2" t="str">
        <f t="array" ref="N173">IF($C173="","",IF(INDEX(SchedZone,$C173,MAP!$B$11)="","",INDEX(SchedZone,$C173,MAP!$B$11)))</f>
        <v/>
      </c>
      <c r="O173" s="2">
        <f t="array" ref="O173">IF($C173="","",INDEX(SchedZone,$C173,MAP!$B$16))</f>
        <v>7</v>
      </c>
      <c r="P173" s="2" t="str">
        <f>IF($C173="","",IFERROR(MATCH($E173&amp;"|"&amp;$G173&amp;"|"&amp;$I173,StatsKey,0),""))</f>
        <v/>
      </c>
      <c r="Q173" s="2">
        <f t="array" ref="Q173">IF($P173="",0,INDEX(StatsZone,$P173,MAP!$E$9)+INDEX(StatsZone,$P173,MAP!$E$10)+INDEX(StatsZone,$P173,MAP!$E$11))</f>
        <v>0</v>
      </c>
      <c r="R173" s="2">
        <f t="array" ref="R173">IF($P173="",0,INDEX(StatsZone,$P173,MAP!$E$12))</f>
        <v>0</v>
      </c>
      <c r="S173" s="2">
        <f t="array" ref="S173">IF($P173="",0,INDEX(StatsZone,$P173,MAP!$E$13))</f>
        <v>0</v>
      </c>
      <c r="T173" s="2">
        <f t="shared" si="1"/>
        <v>0</v>
      </c>
      <c r="U173" s="2">
        <f t="array" ref="U173">IF($P173="",0,INDEX(StatsZone,$P173,MAP!$E$14)+INDEX(StatsZone,$P173,MAP!$E$15)+INDEX(StatsZone,$P173,MAP!$E$16))</f>
        <v>0</v>
      </c>
      <c r="V173" s="2">
        <f t="shared" si="2"/>
        <v>0</v>
      </c>
      <c r="W173" s="2">
        <f t="shared" si="3"/>
        <v>0</v>
      </c>
      <c r="X173" s="2">
        <f t="shared" si="4"/>
        <v>0</v>
      </c>
      <c r="Y173" s="2">
        <f t="shared" si="5"/>
        <v>0</v>
      </c>
      <c r="Z173" s="2">
        <f t="shared" si="6"/>
        <v>0</v>
      </c>
      <c r="AA173" s="2">
        <f t="shared" si="7"/>
        <v>1</v>
      </c>
      <c r="AB173" s="2">
        <f>IF(OR($M173="",$N173=""),0,MEDIAN(-MarginCap,MarginCap,($M173-$N173)-$AA173*HFA_Base))</f>
        <v>0</v>
      </c>
      <c r="AC173" s="2">
        <f t="array" ref="AC173">IF(OR($P173="",INDEX($P$3:$P$722,(ROW()+IF(MOD(ROW()-3,2)=0,1,-1))-3+1)=""),0,MEDIAN(-MarginCap,MarginCap,($T173-$W173)-$AA173*HFA_Base))</f>
        <v>0</v>
      </c>
      <c r="AD173" s="2">
        <f t="shared" si="8"/>
        <v>0</v>
      </c>
      <c r="AE173" s="2">
        <f>IF(OR($M173="",$N173=""),0,IF(AND(WEpa&gt;0,$AD173=1),(1-WEpa)*$AB173+WEpa*$AC173,$AB173))</f>
        <v>0</v>
      </c>
      <c r="AF173" s="2">
        <f>IF(AND($C173&lt;&gt;"",$E173=CurrentSeason,$F173="REG",ISNUMBER($G173),$G173&lt;CurrentWeek,AND($M173&lt;&gt;"",$N173&lt;&gt;"")),1,0)</f>
        <v>0</v>
      </c>
      <c r="AG173" s="2">
        <f>IF($AF173=0,0,IF($G173&gt;=CurrentWeek-RecencyWin,RecencyMult,1))</f>
        <v>0</v>
      </c>
      <c r="AH173" s="2">
        <f>IF(AND($C173&lt;&gt;"",$E173=CurrentSeason,$F173="REG",ISNUMBER($G173),$G173&lt;CurrentWeek-1,AND($M173&lt;&gt;"",$N173&lt;&gt;"")),1,0)</f>
        <v>0</v>
      </c>
      <c r="AI173" s="2">
        <f>IF($AH173=0,0,IF($G173&gt;=CurrentWeek-1-RecencyWin,RecencyMult,1))</f>
        <v>0</v>
      </c>
      <c r="AJ173" s="2">
        <f>IF($AF173=0,0,IF($G173&gt;=CurrentWeek-RecencyWin,TotRecency,1))</f>
        <v>0</v>
      </c>
      <c r="AK173" s="2">
        <f t="shared" si="9"/>
        <v>0</v>
      </c>
      <c r="AL173" s="2">
        <f t="shared" si="10"/>
        <v>0</v>
      </c>
      <c r="AM173" s="2" t="str">
        <f t="array" ref="AM173">IF($K173="",0,IFERROR(INDEX(CALC!$F$2:$F$33,MATCH($K173,CALC!$A$2:$A$33,0)),0))</f>
        <v/>
      </c>
      <c r="AN173" s="2" t="str">
        <f t="array" ref="AN173">IF($K173="",0,IFERROR(INDEX(CALC!$I$2:$I$33,MATCH($K173,CALC!$A$2:$A$33,0)),0))</f>
        <v/>
      </c>
      <c r="AO173" s="2" t="str">
        <f t="array" ref="AO173">IF($K173="",0,IFERROR(INDEX(CALC!$L$2:$L$33,MATCH($K173,CALC!$A$2:$A$33,0)),0))</f>
        <v/>
      </c>
      <c r="AP173" s="2" t="str">
        <f t="array" ref="AP173">IF($K173="",0,IFERROR(INDEX(CALC!$T$2:$T$33,MATCH($K173,CALC!$A$2:$A$33,0)),0))</f>
        <v/>
      </c>
      <c r="AQ173" s="2" t="str">
        <f t="array" ref="AQ173">IF($K173="",0,IFERROR(INDEX(CALC!$W$2:$W$33,MATCH($K173,CALC!$A$2:$A$33,0)),0))</f>
        <v/>
      </c>
      <c r="AR173" s="2" t="str">
        <f t="array" ref="AR173">IF($K173="",0,IFERROR(INDEX(CALC!$Z$2:$Z$33,MATCH($K173,CALC!$A$2:$A$33,0)),0))</f>
        <v/>
      </c>
      <c r="AS173" s="2" t="str">
        <f t="array" ref="AS173">IF($K173="",0,IFERROR(INDEX(CALC!$AJ$2:$AJ$33,MATCH($K173,CALC!$A$2:$A$33,0)),0))</f>
        <v/>
      </c>
      <c r="AT173" s="2" t="str">
        <f t="array" ref="AT173">IF($K173="",0,IFERROR(INDEX(CALC!$AI$2:$AI$33,MATCH($K173,CALC!$A$2:$A$33,0)),0))</f>
        <v/>
      </c>
      <c r="AU173" s="2">
        <f t="shared" si="11"/>
        <v>0</v>
      </c>
      <c r="AV173" s="2">
        <f t="shared" si="12"/>
        <v>0</v>
      </c>
    </row>
    <row r="174" ht="15.0" customHeight="1">
      <c r="A174" s="2">
        <v>86.0</v>
      </c>
      <c r="B174" s="2" t="s">
        <v>2366</v>
      </c>
      <c r="C174" s="2">
        <f>IFERROR(MATCH($A174,SchedSeq,0),"")</f>
        <v>371</v>
      </c>
      <c r="D174" s="2" t="str">
        <f t="array" ref="D174">IF($C174="","",INDEX(SchedZone,$C174,MAP!$B$6))</f>
        <v>2026_06_NO_NYG</v>
      </c>
      <c r="E174" s="2">
        <f t="array" ref="E174">IF($C174="","",INDEX(SchedZone,$C174,MAP!$B$3))</f>
        <v>2026</v>
      </c>
      <c r="F174" s="2" t="str">
        <f t="array" ref="F174">IF($C174="","",INDEX(SchedZone,$C174,MAP!$B$5))</f>
        <v>REG</v>
      </c>
      <c r="G174" s="2">
        <f t="array" ref="G174">IF($C174="","",INDEX(SchedZone,$C174,MAP!$B$4))</f>
        <v>6</v>
      </c>
      <c r="H174" s="2" t="str">
        <f t="array" ref="H174">IF($C174="","",INDEX(SchedZone,$C174,MAP!$B$10))</f>
        <v>NO</v>
      </c>
      <c r="I174" s="2" t="str">
        <f t="array" ref="I174">IF($H174="","",IF(COUNTIF(Teams,$H174)&gt;0,$H174,IFERROR(INDEX(LISTS!$D$2:$D$12,MATCH($H174,LISTS!$C$2:$C$12,0)),"⚠ "&amp;$H174)))</f>
        <v>NO</v>
      </c>
      <c r="J174" s="2" t="str">
        <f t="array" ref="J174">IF($C174="","",INDEX(SchedZone,$C174,MAP!$B$12))</f>
        <v>NYG</v>
      </c>
      <c r="K174" s="2" t="str">
        <f t="array" ref="K174">IF($J174="","",IF(COUNTIF(Teams,$J174)&gt;0,$J174,IFERROR(INDEX(LISTS!$D$2:$D$12,MATCH($J174,LISTS!$C$2:$C$12,0)),"⚠ "&amp;$J174)))</f>
        <v>NYG</v>
      </c>
      <c r="L174" s="2" t="str">
        <f t="array" ref="L174">IF($C174="","",IF(INDEX(SchedZone,$C174,MAP!$B$14)="Neutral","N",IF($B174="HOME","H","A")))</f>
        <v>A</v>
      </c>
      <c r="M174" s="2" t="str">
        <f t="array" ref="M174">IF($C174="","",IF(INDEX(SchedZone,$C174,MAP!$B$11)="","",INDEX(SchedZone,$C174,MAP!$B$11)))</f>
        <v/>
      </c>
      <c r="N174" s="2" t="str">
        <f t="array" ref="N174">IF($C174="","",IF(INDEX(SchedZone,$C174,MAP!$B$13)="","",INDEX(SchedZone,$C174,MAP!$B$13)))</f>
        <v/>
      </c>
      <c r="O174" s="2">
        <f t="array" ref="O174">IF($C174="","",INDEX(SchedZone,$C174,MAP!$B$15))</f>
        <v>7</v>
      </c>
      <c r="P174" s="2" t="str">
        <f>IF($C174="","",IFERROR(MATCH($E174&amp;"|"&amp;$G174&amp;"|"&amp;$I174,StatsKey,0),""))</f>
        <v/>
      </c>
      <c r="Q174" s="2">
        <f t="array" ref="Q174">IF($P174="",0,INDEX(StatsZone,$P174,MAP!$E$9)+INDEX(StatsZone,$P174,MAP!$E$10)+INDEX(StatsZone,$P174,MAP!$E$11))</f>
        <v>0</v>
      </c>
      <c r="R174" s="2">
        <f t="array" ref="R174">IF($P174="",0,INDEX(StatsZone,$P174,MAP!$E$12))</f>
        <v>0</v>
      </c>
      <c r="S174" s="2">
        <f t="array" ref="S174">IF($P174="",0,INDEX(StatsZone,$P174,MAP!$E$13))</f>
        <v>0</v>
      </c>
      <c r="T174" s="2">
        <f t="shared" si="1"/>
        <v>0</v>
      </c>
      <c r="U174" s="2">
        <f t="array" ref="U174">IF($P174="",0,INDEX(StatsZone,$P174,MAP!$E$14)+INDEX(StatsZone,$P174,MAP!$E$15)+INDEX(StatsZone,$P174,MAP!$E$16))</f>
        <v>0</v>
      </c>
      <c r="V174" s="2">
        <f t="shared" si="2"/>
        <v>0</v>
      </c>
      <c r="W174" s="2">
        <f t="shared" si="3"/>
        <v>0</v>
      </c>
      <c r="X174" s="2">
        <f t="shared" si="4"/>
        <v>0</v>
      </c>
      <c r="Y174" s="2">
        <f t="shared" si="5"/>
        <v>0</v>
      </c>
      <c r="Z174" s="2">
        <f t="shared" si="6"/>
        <v>0</v>
      </c>
      <c r="AA174" s="2">
        <f t="shared" si="7"/>
        <v>-1</v>
      </c>
      <c r="AB174" s="2">
        <f>IF(OR($M174="",$N174=""),0,MEDIAN(-MarginCap,MarginCap,($M174-$N174)-$AA174*HFA_Base))</f>
        <v>0</v>
      </c>
      <c r="AC174" s="2">
        <f t="array" ref="AC174">IF(OR($P174="",INDEX($P$3:$P$722,(ROW()+IF(MOD(ROW()-3,2)=0,1,-1))-3+1)=""),0,MEDIAN(-MarginCap,MarginCap,($T174-$W174)-$AA174*HFA_Base))</f>
        <v>0</v>
      </c>
      <c r="AD174" s="2">
        <f t="shared" si="8"/>
        <v>0</v>
      </c>
      <c r="AE174" s="2">
        <f>IF(OR($M174="",$N174=""),0,IF(AND(WEpa&gt;0,$AD174=1),(1-WEpa)*$AB174+WEpa*$AC174,$AB174))</f>
        <v>0</v>
      </c>
      <c r="AF174" s="2">
        <f>IF(AND($C174&lt;&gt;"",$E174=CurrentSeason,$F174="REG",ISNUMBER($G174),$G174&lt;CurrentWeek,AND($M174&lt;&gt;"",$N174&lt;&gt;"")),1,0)</f>
        <v>0</v>
      </c>
      <c r="AG174" s="2">
        <f>IF($AF174=0,0,IF($G174&gt;=CurrentWeek-RecencyWin,RecencyMult,1))</f>
        <v>0</v>
      </c>
      <c r="AH174" s="2">
        <f>IF(AND($C174&lt;&gt;"",$E174=CurrentSeason,$F174="REG",ISNUMBER($G174),$G174&lt;CurrentWeek-1,AND($M174&lt;&gt;"",$N174&lt;&gt;"")),1,0)</f>
        <v>0</v>
      </c>
      <c r="AI174" s="2">
        <f>IF($AH174=0,0,IF($G174&gt;=CurrentWeek-1-RecencyWin,RecencyMult,1))</f>
        <v>0</v>
      </c>
      <c r="AJ174" s="2">
        <f>IF($AF174=0,0,IF($G174&gt;=CurrentWeek-RecencyWin,TotRecency,1))</f>
        <v>0</v>
      </c>
      <c r="AK174" s="2">
        <f t="shared" si="9"/>
        <v>0</v>
      </c>
      <c r="AL174" s="2">
        <f t="shared" si="10"/>
        <v>0</v>
      </c>
      <c r="AM174" s="2" t="str">
        <f t="array" ref="AM174">IF($K174="",0,IFERROR(INDEX(CALC!$F$2:$F$33,MATCH($K174,CALC!$A$2:$A$33,0)),0))</f>
        <v/>
      </c>
      <c r="AN174" s="2" t="str">
        <f t="array" ref="AN174">IF($K174="",0,IFERROR(INDEX(CALC!$I$2:$I$33,MATCH($K174,CALC!$A$2:$A$33,0)),0))</f>
        <v/>
      </c>
      <c r="AO174" s="2" t="str">
        <f t="array" ref="AO174">IF($K174="",0,IFERROR(INDEX(CALC!$L$2:$L$33,MATCH($K174,CALC!$A$2:$A$33,0)),0))</f>
        <v/>
      </c>
      <c r="AP174" s="2" t="str">
        <f t="array" ref="AP174">IF($K174="",0,IFERROR(INDEX(CALC!$T$2:$T$33,MATCH($K174,CALC!$A$2:$A$33,0)),0))</f>
        <v/>
      </c>
      <c r="AQ174" s="2" t="str">
        <f t="array" ref="AQ174">IF($K174="",0,IFERROR(INDEX(CALC!$W$2:$W$33,MATCH($K174,CALC!$A$2:$A$33,0)),0))</f>
        <v/>
      </c>
      <c r="AR174" s="2" t="str">
        <f t="array" ref="AR174">IF($K174="",0,IFERROR(INDEX(CALC!$Z$2:$Z$33,MATCH($K174,CALC!$A$2:$A$33,0)),0))</f>
        <v/>
      </c>
      <c r="AS174" s="2" t="str">
        <f t="array" ref="AS174">IF($K174="",0,IFERROR(INDEX(CALC!$AJ$2:$AJ$33,MATCH($K174,CALC!$A$2:$A$33,0)),0))</f>
        <v/>
      </c>
      <c r="AT174" s="2" t="str">
        <f t="array" ref="AT174">IF($K174="",0,IFERROR(INDEX(CALC!$AI$2:$AI$33,MATCH($K174,CALC!$A$2:$A$33,0)),0))</f>
        <v/>
      </c>
      <c r="AU174" s="2">
        <f t="shared" si="11"/>
        <v>0</v>
      </c>
      <c r="AV174" s="2">
        <f t="shared" si="12"/>
        <v>0</v>
      </c>
    </row>
    <row r="175" ht="15.0" customHeight="1">
      <c r="A175" s="2">
        <v>87.0</v>
      </c>
      <c r="B175" s="2" t="s">
        <v>2365</v>
      </c>
      <c r="C175" s="2">
        <f>IFERROR(MATCH($A175,SchedSeq,0),"")</f>
        <v>372</v>
      </c>
      <c r="D175" s="2" t="str">
        <f t="array" ref="D175">IF($C175="","",INDEX(SchedZone,$C175,MAP!$B$6))</f>
        <v>2026_06_CAR_PHI</v>
      </c>
      <c r="E175" s="2">
        <f t="array" ref="E175">IF($C175="","",INDEX(SchedZone,$C175,MAP!$B$3))</f>
        <v>2026</v>
      </c>
      <c r="F175" s="2" t="str">
        <f t="array" ref="F175">IF($C175="","",INDEX(SchedZone,$C175,MAP!$B$5))</f>
        <v>REG</v>
      </c>
      <c r="G175" s="2">
        <f t="array" ref="G175">IF($C175="","",INDEX(SchedZone,$C175,MAP!$B$4))</f>
        <v>6</v>
      </c>
      <c r="H175" s="2" t="str">
        <f t="array" ref="H175">IF($C175="","",INDEX(SchedZone,$C175,MAP!$B$12))</f>
        <v>PHI</v>
      </c>
      <c r="I175" s="2" t="str">
        <f t="array" ref="I175">IF($H175="","",IF(COUNTIF(Teams,$H175)&gt;0,$H175,IFERROR(INDEX(LISTS!$D$2:$D$12,MATCH($H175,LISTS!$C$2:$C$12,0)),"⚠ "&amp;$H175)))</f>
        <v>PHI</v>
      </c>
      <c r="J175" s="2" t="str">
        <f t="array" ref="J175">IF($C175="","",INDEX(SchedZone,$C175,MAP!$B$10))</f>
        <v>CAR</v>
      </c>
      <c r="K175" s="2" t="str">
        <f t="array" ref="K175">IF($J175="","",IF(COUNTIF(Teams,$J175)&gt;0,$J175,IFERROR(INDEX(LISTS!$D$2:$D$12,MATCH($J175,LISTS!$C$2:$C$12,0)),"⚠ "&amp;$J175)))</f>
        <v>CAR</v>
      </c>
      <c r="L175" s="2" t="str">
        <f t="array" ref="L175">IF($C175="","",IF(INDEX(SchedZone,$C175,MAP!$B$14)="Neutral","N",IF($B175="HOME","H","A")))</f>
        <v>H</v>
      </c>
      <c r="M175" s="2" t="str">
        <f t="array" ref="M175">IF($C175="","",IF(INDEX(SchedZone,$C175,MAP!$B$13)="","",INDEX(SchedZone,$C175,MAP!$B$13)))</f>
        <v/>
      </c>
      <c r="N175" s="2" t="str">
        <f t="array" ref="N175">IF($C175="","",IF(INDEX(SchedZone,$C175,MAP!$B$11)="","",INDEX(SchedZone,$C175,MAP!$B$11)))</f>
        <v/>
      </c>
      <c r="O175" s="2">
        <f t="array" ref="O175">IF($C175="","",INDEX(SchedZone,$C175,MAP!$B$16))</f>
        <v>7</v>
      </c>
      <c r="P175" s="2" t="str">
        <f>IF($C175="","",IFERROR(MATCH($E175&amp;"|"&amp;$G175&amp;"|"&amp;$I175,StatsKey,0),""))</f>
        <v/>
      </c>
      <c r="Q175" s="2">
        <f t="array" ref="Q175">IF($P175="",0,INDEX(StatsZone,$P175,MAP!$E$9)+INDEX(StatsZone,$P175,MAP!$E$10)+INDEX(StatsZone,$P175,MAP!$E$11))</f>
        <v>0</v>
      </c>
      <c r="R175" s="2">
        <f t="array" ref="R175">IF($P175="",0,INDEX(StatsZone,$P175,MAP!$E$12))</f>
        <v>0</v>
      </c>
      <c r="S175" s="2">
        <f t="array" ref="S175">IF($P175="",0,INDEX(StatsZone,$P175,MAP!$E$13))</f>
        <v>0</v>
      </c>
      <c r="T175" s="2">
        <f t="shared" si="1"/>
        <v>0</v>
      </c>
      <c r="U175" s="2">
        <f t="array" ref="U175">IF($P175="",0,INDEX(StatsZone,$P175,MAP!$E$14)+INDEX(StatsZone,$P175,MAP!$E$15)+INDEX(StatsZone,$P175,MAP!$E$16))</f>
        <v>0</v>
      </c>
      <c r="V175" s="2">
        <f t="shared" si="2"/>
        <v>0</v>
      </c>
      <c r="W175" s="2">
        <f t="shared" si="3"/>
        <v>0</v>
      </c>
      <c r="X175" s="2">
        <f t="shared" si="4"/>
        <v>0</v>
      </c>
      <c r="Y175" s="2">
        <f t="shared" si="5"/>
        <v>0</v>
      </c>
      <c r="Z175" s="2">
        <f t="shared" si="6"/>
        <v>0</v>
      </c>
      <c r="AA175" s="2">
        <f t="shared" si="7"/>
        <v>1</v>
      </c>
      <c r="AB175" s="2">
        <f>IF(OR($M175="",$N175=""),0,MEDIAN(-MarginCap,MarginCap,($M175-$N175)-$AA175*HFA_Base))</f>
        <v>0</v>
      </c>
      <c r="AC175" s="2">
        <f t="array" ref="AC175">IF(OR($P175="",INDEX($P$3:$P$722,(ROW()+IF(MOD(ROW()-3,2)=0,1,-1))-3+1)=""),0,MEDIAN(-MarginCap,MarginCap,($T175-$W175)-$AA175*HFA_Base))</f>
        <v>0</v>
      </c>
      <c r="AD175" s="2">
        <f t="shared" si="8"/>
        <v>0</v>
      </c>
      <c r="AE175" s="2">
        <f>IF(OR($M175="",$N175=""),0,IF(AND(WEpa&gt;0,$AD175=1),(1-WEpa)*$AB175+WEpa*$AC175,$AB175))</f>
        <v>0</v>
      </c>
      <c r="AF175" s="2">
        <f>IF(AND($C175&lt;&gt;"",$E175=CurrentSeason,$F175="REG",ISNUMBER($G175),$G175&lt;CurrentWeek,AND($M175&lt;&gt;"",$N175&lt;&gt;"")),1,0)</f>
        <v>0</v>
      </c>
      <c r="AG175" s="2">
        <f>IF($AF175=0,0,IF($G175&gt;=CurrentWeek-RecencyWin,RecencyMult,1))</f>
        <v>0</v>
      </c>
      <c r="AH175" s="2">
        <f>IF(AND($C175&lt;&gt;"",$E175=CurrentSeason,$F175="REG",ISNUMBER($G175),$G175&lt;CurrentWeek-1,AND($M175&lt;&gt;"",$N175&lt;&gt;"")),1,0)</f>
        <v>0</v>
      </c>
      <c r="AI175" s="2">
        <f>IF($AH175=0,0,IF($G175&gt;=CurrentWeek-1-RecencyWin,RecencyMult,1))</f>
        <v>0</v>
      </c>
      <c r="AJ175" s="2">
        <f>IF($AF175=0,0,IF($G175&gt;=CurrentWeek-RecencyWin,TotRecency,1))</f>
        <v>0</v>
      </c>
      <c r="AK175" s="2">
        <f t="shared" si="9"/>
        <v>0</v>
      </c>
      <c r="AL175" s="2">
        <f t="shared" si="10"/>
        <v>0</v>
      </c>
      <c r="AM175" s="2" t="str">
        <f t="array" ref="AM175">IF($K175="",0,IFERROR(INDEX(CALC!$F$2:$F$33,MATCH($K175,CALC!$A$2:$A$33,0)),0))</f>
        <v/>
      </c>
      <c r="AN175" s="2" t="str">
        <f t="array" ref="AN175">IF($K175="",0,IFERROR(INDEX(CALC!$I$2:$I$33,MATCH($K175,CALC!$A$2:$A$33,0)),0))</f>
        <v/>
      </c>
      <c r="AO175" s="2" t="str">
        <f t="array" ref="AO175">IF($K175="",0,IFERROR(INDEX(CALC!$L$2:$L$33,MATCH($K175,CALC!$A$2:$A$33,0)),0))</f>
        <v/>
      </c>
      <c r="AP175" s="2" t="str">
        <f t="array" ref="AP175">IF($K175="",0,IFERROR(INDEX(CALC!$T$2:$T$33,MATCH($K175,CALC!$A$2:$A$33,0)),0))</f>
        <v/>
      </c>
      <c r="AQ175" s="2" t="str">
        <f t="array" ref="AQ175">IF($K175="",0,IFERROR(INDEX(CALC!$W$2:$W$33,MATCH($K175,CALC!$A$2:$A$33,0)),0))</f>
        <v/>
      </c>
      <c r="AR175" s="2" t="str">
        <f t="array" ref="AR175">IF($K175="",0,IFERROR(INDEX(CALC!$Z$2:$Z$33,MATCH($K175,CALC!$A$2:$A$33,0)),0))</f>
        <v/>
      </c>
      <c r="AS175" s="2" t="str">
        <f t="array" ref="AS175">IF($K175="",0,IFERROR(INDEX(CALC!$AJ$2:$AJ$33,MATCH($K175,CALC!$A$2:$A$33,0)),0))</f>
        <v/>
      </c>
      <c r="AT175" s="2" t="str">
        <f t="array" ref="AT175">IF($K175="",0,IFERROR(INDEX(CALC!$AI$2:$AI$33,MATCH($K175,CALC!$A$2:$A$33,0)),0))</f>
        <v/>
      </c>
      <c r="AU175" s="2">
        <f t="shared" si="11"/>
        <v>0</v>
      </c>
      <c r="AV175" s="2">
        <f t="shared" si="12"/>
        <v>0</v>
      </c>
    </row>
    <row r="176" ht="15.0" customHeight="1">
      <c r="A176" s="2">
        <v>87.0</v>
      </c>
      <c r="B176" s="2" t="s">
        <v>2366</v>
      </c>
      <c r="C176" s="2">
        <f>IFERROR(MATCH($A176,SchedSeq,0),"")</f>
        <v>372</v>
      </c>
      <c r="D176" s="2" t="str">
        <f t="array" ref="D176">IF($C176="","",INDEX(SchedZone,$C176,MAP!$B$6))</f>
        <v>2026_06_CAR_PHI</v>
      </c>
      <c r="E176" s="2">
        <f t="array" ref="E176">IF($C176="","",INDEX(SchedZone,$C176,MAP!$B$3))</f>
        <v>2026</v>
      </c>
      <c r="F176" s="2" t="str">
        <f t="array" ref="F176">IF($C176="","",INDEX(SchedZone,$C176,MAP!$B$5))</f>
        <v>REG</v>
      </c>
      <c r="G176" s="2">
        <f t="array" ref="G176">IF($C176="","",INDEX(SchedZone,$C176,MAP!$B$4))</f>
        <v>6</v>
      </c>
      <c r="H176" s="2" t="str">
        <f t="array" ref="H176">IF($C176="","",INDEX(SchedZone,$C176,MAP!$B$10))</f>
        <v>CAR</v>
      </c>
      <c r="I176" s="2" t="str">
        <f t="array" ref="I176">IF($H176="","",IF(COUNTIF(Teams,$H176)&gt;0,$H176,IFERROR(INDEX(LISTS!$D$2:$D$12,MATCH($H176,LISTS!$C$2:$C$12,0)),"⚠ "&amp;$H176)))</f>
        <v>CAR</v>
      </c>
      <c r="J176" s="2" t="str">
        <f t="array" ref="J176">IF($C176="","",INDEX(SchedZone,$C176,MAP!$B$12))</f>
        <v>PHI</v>
      </c>
      <c r="K176" s="2" t="str">
        <f t="array" ref="K176">IF($J176="","",IF(COUNTIF(Teams,$J176)&gt;0,$J176,IFERROR(INDEX(LISTS!$D$2:$D$12,MATCH($J176,LISTS!$C$2:$C$12,0)),"⚠ "&amp;$J176)))</f>
        <v>PHI</v>
      </c>
      <c r="L176" s="2" t="str">
        <f t="array" ref="L176">IF($C176="","",IF(INDEX(SchedZone,$C176,MAP!$B$14)="Neutral","N",IF($B176="HOME","H","A")))</f>
        <v>A</v>
      </c>
      <c r="M176" s="2" t="str">
        <f t="array" ref="M176">IF($C176="","",IF(INDEX(SchedZone,$C176,MAP!$B$11)="","",INDEX(SchedZone,$C176,MAP!$B$11)))</f>
        <v/>
      </c>
      <c r="N176" s="2" t="str">
        <f t="array" ref="N176">IF($C176="","",IF(INDEX(SchedZone,$C176,MAP!$B$13)="","",INDEX(SchedZone,$C176,MAP!$B$13)))</f>
        <v/>
      </c>
      <c r="O176" s="2">
        <f t="array" ref="O176">IF($C176="","",INDEX(SchedZone,$C176,MAP!$B$15))</f>
        <v>14</v>
      </c>
      <c r="P176" s="2" t="str">
        <f>IF($C176="","",IFERROR(MATCH($E176&amp;"|"&amp;$G176&amp;"|"&amp;$I176,StatsKey,0),""))</f>
        <v/>
      </c>
      <c r="Q176" s="2">
        <f t="array" ref="Q176">IF($P176="",0,INDEX(StatsZone,$P176,MAP!$E$9)+INDEX(StatsZone,$P176,MAP!$E$10)+INDEX(StatsZone,$P176,MAP!$E$11))</f>
        <v>0</v>
      </c>
      <c r="R176" s="2">
        <f t="array" ref="R176">IF($P176="",0,INDEX(StatsZone,$P176,MAP!$E$12))</f>
        <v>0</v>
      </c>
      <c r="S176" s="2">
        <f t="array" ref="S176">IF($P176="",0,INDEX(StatsZone,$P176,MAP!$E$13))</f>
        <v>0</v>
      </c>
      <c r="T176" s="2">
        <f t="shared" si="1"/>
        <v>0</v>
      </c>
      <c r="U176" s="2">
        <f t="array" ref="U176">IF($P176="",0,INDEX(StatsZone,$P176,MAP!$E$14)+INDEX(StatsZone,$P176,MAP!$E$15)+INDEX(StatsZone,$P176,MAP!$E$16))</f>
        <v>0</v>
      </c>
      <c r="V176" s="2">
        <f t="shared" si="2"/>
        <v>0</v>
      </c>
      <c r="W176" s="2">
        <f t="shared" si="3"/>
        <v>0</v>
      </c>
      <c r="X176" s="2">
        <f t="shared" si="4"/>
        <v>0</v>
      </c>
      <c r="Y176" s="2">
        <f t="shared" si="5"/>
        <v>0</v>
      </c>
      <c r="Z176" s="2">
        <f t="shared" si="6"/>
        <v>0</v>
      </c>
      <c r="AA176" s="2">
        <f t="shared" si="7"/>
        <v>-1</v>
      </c>
      <c r="AB176" s="2">
        <f>IF(OR($M176="",$N176=""),0,MEDIAN(-MarginCap,MarginCap,($M176-$N176)-$AA176*HFA_Base))</f>
        <v>0</v>
      </c>
      <c r="AC176" s="2">
        <f t="array" ref="AC176">IF(OR($P176="",INDEX($P$3:$P$722,(ROW()+IF(MOD(ROW()-3,2)=0,1,-1))-3+1)=""),0,MEDIAN(-MarginCap,MarginCap,($T176-$W176)-$AA176*HFA_Base))</f>
        <v>0</v>
      </c>
      <c r="AD176" s="2">
        <f t="shared" si="8"/>
        <v>0</v>
      </c>
      <c r="AE176" s="2">
        <f>IF(OR($M176="",$N176=""),0,IF(AND(WEpa&gt;0,$AD176=1),(1-WEpa)*$AB176+WEpa*$AC176,$AB176))</f>
        <v>0</v>
      </c>
      <c r="AF176" s="2">
        <f>IF(AND($C176&lt;&gt;"",$E176=CurrentSeason,$F176="REG",ISNUMBER($G176),$G176&lt;CurrentWeek,AND($M176&lt;&gt;"",$N176&lt;&gt;"")),1,0)</f>
        <v>0</v>
      </c>
      <c r="AG176" s="2">
        <f>IF($AF176=0,0,IF($G176&gt;=CurrentWeek-RecencyWin,RecencyMult,1))</f>
        <v>0</v>
      </c>
      <c r="AH176" s="2">
        <f>IF(AND($C176&lt;&gt;"",$E176=CurrentSeason,$F176="REG",ISNUMBER($G176),$G176&lt;CurrentWeek-1,AND($M176&lt;&gt;"",$N176&lt;&gt;"")),1,0)</f>
        <v>0</v>
      </c>
      <c r="AI176" s="2">
        <f>IF($AH176=0,0,IF($G176&gt;=CurrentWeek-1-RecencyWin,RecencyMult,1))</f>
        <v>0</v>
      </c>
      <c r="AJ176" s="2">
        <f>IF($AF176=0,0,IF($G176&gt;=CurrentWeek-RecencyWin,TotRecency,1))</f>
        <v>0</v>
      </c>
      <c r="AK176" s="2">
        <f t="shared" si="9"/>
        <v>0</v>
      </c>
      <c r="AL176" s="2">
        <f t="shared" si="10"/>
        <v>0</v>
      </c>
      <c r="AM176" s="2" t="str">
        <f t="array" ref="AM176">IF($K176="",0,IFERROR(INDEX(CALC!$F$2:$F$33,MATCH($K176,CALC!$A$2:$A$33,0)),0))</f>
        <v/>
      </c>
      <c r="AN176" s="2" t="str">
        <f t="array" ref="AN176">IF($K176="",0,IFERROR(INDEX(CALC!$I$2:$I$33,MATCH($K176,CALC!$A$2:$A$33,0)),0))</f>
        <v/>
      </c>
      <c r="AO176" s="2" t="str">
        <f t="array" ref="AO176">IF($K176="",0,IFERROR(INDEX(CALC!$L$2:$L$33,MATCH($K176,CALC!$A$2:$A$33,0)),0))</f>
        <v/>
      </c>
      <c r="AP176" s="2" t="str">
        <f t="array" ref="AP176">IF($K176="",0,IFERROR(INDEX(CALC!$T$2:$T$33,MATCH($K176,CALC!$A$2:$A$33,0)),0))</f>
        <v/>
      </c>
      <c r="AQ176" s="2" t="str">
        <f t="array" ref="AQ176">IF($K176="",0,IFERROR(INDEX(CALC!$W$2:$W$33,MATCH($K176,CALC!$A$2:$A$33,0)),0))</f>
        <v/>
      </c>
      <c r="AR176" s="2" t="str">
        <f t="array" ref="AR176">IF($K176="",0,IFERROR(INDEX(CALC!$Z$2:$Z$33,MATCH($K176,CALC!$A$2:$A$33,0)),0))</f>
        <v/>
      </c>
      <c r="AS176" s="2" t="str">
        <f t="array" ref="AS176">IF($K176="",0,IFERROR(INDEX(CALC!$AJ$2:$AJ$33,MATCH($K176,CALC!$A$2:$A$33,0)),0))</f>
        <v/>
      </c>
      <c r="AT176" s="2" t="str">
        <f t="array" ref="AT176">IF($K176="",0,IFERROR(INDEX(CALC!$AI$2:$AI$33,MATCH($K176,CALC!$A$2:$A$33,0)),0))</f>
        <v/>
      </c>
      <c r="AU176" s="2">
        <f t="shared" si="11"/>
        <v>0</v>
      </c>
      <c r="AV176" s="2">
        <f t="shared" si="12"/>
        <v>0</v>
      </c>
    </row>
    <row r="177" ht="15.0" customHeight="1">
      <c r="A177" s="2">
        <v>88.0</v>
      </c>
      <c r="B177" s="2" t="s">
        <v>2365</v>
      </c>
      <c r="C177" s="2">
        <f>IFERROR(MATCH($A177,SchedSeq,0),"")</f>
        <v>373</v>
      </c>
      <c r="D177" s="2" t="str">
        <f t="array" ref="D177">IF($C177="","",INDEX(SchedZone,$C177,MAP!$B$6))</f>
        <v>2026_06_PIT_TB</v>
      </c>
      <c r="E177" s="2">
        <f t="array" ref="E177">IF($C177="","",INDEX(SchedZone,$C177,MAP!$B$3))</f>
        <v>2026</v>
      </c>
      <c r="F177" s="2" t="str">
        <f t="array" ref="F177">IF($C177="","",INDEX(SchedZone,$C177,MAP!$B$5))</f>
        <v>REG</v>
      </c>
      <c r="G177" s="2">
        <f t="array" ref="G177">IF($C177="","",INDEX(SchedZone,$C177,MAP!$B$4))</f>
        <v>6</v>
      </c>
      <c r="H177" s="2" t="str">
        <f t="array" ref="H177">IF($C177="","",INDEX(SchedZone,$C177,MAP!$B$12))</f>
        <v>TB</v>
      </c>
      <c r="I177" s="2" t="str">
        <f t="array" ref="I177">IF($H177="","",IF(COUNTIF(Teams,$H177)&gt;0,$H177,IFERROR(INDEX(LISTS!$D$2:$D$12,MATCH($H177,LISTS!$C$2:$C$12,0)),"⚠ "&amp;$H177)))</f>
        <v>TB</v>
      </c>
      <c r="J177" s="2" t="str">
        <f t="array" ref="J177">IF($C177="","",INDEX(SchedZone,$C177,MAP!$B$10))</f>
        <v>PIT</v>
      </c>
      <c r="K177" s="2" t="str">
        <f t="array" ref="K177">IF($J177="","",IF(COUNTIF(Teams,$J177)&gt;0,$J177,IFERROR(INDEX(LISTS!$D$2:$D$12,MATCH($J177,LISTS!$C$2:$C$12,0)),"⚠ "&amp;$J177)))</f>
        <v>PIT</v>
      </c>
      <c r="L177" s="2" t="str">
        <f t="array" ref="L177">IF($C177="","",IF(INDEX(SchedZone,$C177,MAP!$B$14)="Neutral","N",IF($B177="HOME","H","A")))</f>
        <v>H</v>
      </c>
      <c r="M177" s="2" t="str">
        <f t="array" ref="M177">IF($C177="","",IF(INDEX(SchedZone,$C177,MAP!$B$13)="","",INDEX(SchedZone,$C177,MAP!$B$13)))</f>
        <v/>
      </c>
      <c r="N177" s="2" t="str">
        <f t="array" ref="N177">IF($C177="","",IF(INDEX(SchedZone,$C177,MAP!$B$11)="","",INDEX(SchedZone,$C177,MAP!$B$11)))</f>
        <v/>
      </c>
      <c r="O177" s="2">
        <f t="array" ref="O177">IF($C177="","",INDEX(SchedZone,$C177,MAP!$B$16))</f>
        <v>10</v>
      </c>
      <c r="P177" s="2" t="str">
        <f>IF($C177="","",IFERROR(MATCH($E177&amp;"|"&amp;$G177&amp;"|"&amp;$I177,StatsKey,0),""))</f>
        <v/>
      </c>
      <c r="Q177" s="2">
        <f t="array" ref="Q177">IF($P177="",0,INDEX(StatsZone,$P177,MAP!$E$9)+INDEX(StatsZone,$P177,MAP!$E$10)+INDEX(StatsZone,$P177,MAP!$E$11))</f>
        <v>0</v>
      </c>
      <c r="R177" s="2">
        <f t="array" ref="R177">IF($P177="",0,INDEX(StatsZone,$P177,MAP!$E$12))</f>
        <v>0</v>
      </c>
      <c r="S177" s="2">
        <f t="array" ref="S177">IF($P177="",0,INDEX(StatsZone,$P177,MAP!$E$13))</f>
        <v>0</v>
      </c>
      <c r="T177" s="2">
        <f t="shared" si="1"/>
        <v>0</v>
      </c>
      <c r="U177" s="2">
        <f t="array" ref="U177">IF($P177="",0,INDEX(StatsZone,$P177,MAP!$E$14)+INDEX(StatsZone,$P177,MAP!$E$15)+INDEX(StatsZone,$P177,MAP!$E$16))</f>
        <v>0</v>
      </c>
      <c r="V177" s="2">
        <f t="shared" si="2"/>
        <v>0</v>
      </c>
      <c r="W177" s="2">
        <f t="shared" si="3"/>
        <v>0</v>
      </c>
      <c r="X177" s="2">
        <f t="shared" si="4"/>
        <v>0</v>
      </c>
      <c r="Y177" s="2">
        <f t="shared" si="5"/>
        <v>0</v>
      </c>
      <c r="Z177" s="2">
        <f t="shared" si="6"/>
        <v>0</v>
      </c>
      <c r="AA177" s="2">
        <f t="shared" si="7"/>
        <v>1</v>
      </c>
      <c r="AB177" s="2">
        <f>IF(OR($M177="",$N177=""),0,MEDIAN(-MarginCap,MarginCap,($M177-$N177)-$AA177*HFA_Base))</f>
        <v>0</v>
      </c>
      <c r="AC177" s="2">
        <f t="array" ref="AC177">IF(OR($P177="",INDEX($P$3:$P$722,(ROW()+IF(MOD(ROW()-3,2)=0,1,-1))-3+1)=""),0,MEDIAN(-MarginCap,MarginCap,($T177-$W177)-$AA177*HFA_Base))</f>
        <v>0</v>
      </c>
      <c r="AD177" s="2">
        <f t="shared" si="8"/>
        <v>0</v>
      </c>
      <c r="AE177" s="2">
        <f>IF(OR($M177="",$N177=""),0,IF(AND(WEpa&gt;0,$AD177=1),(1-WEpa)*$AB177+WEpa*$AC177,$AB177))</f>
        <v>0</v>
      </c>
      <c r="AF177" s="2">
        <f>IF(AND($C177&lt;&gt;"",$E177=CurrentSeason,$F177="REG",ISNUMBER($G177),$G177&lt;CurrentWeek,AND($M177&lt;&gt;"",$N177&lt;&gt;"")),1,0)</f>
        <v>0</v>
      </c>
      <c r="AG177" s="2">
        <f>IF($AF177=0,0,IF($G177&gt;=CurrentWeek-RecencyWin,RecencyMult,1))</f>
        <v>0</v>
      </c>
      <c r="AH177" s="2">
        <f>IF(AND($C177&lt;&gt;"",$E177=CurrentSeason,$F177="REG",ISNUMBER($G177),$G177&lt;CurrentWeek-1,AND($M177&lt;&gt;"",$N177&lt;&gt;"")),1,0)</f>
        <v>0</v>
      </c>
      <c r="AI177" s="2">
        <f>IF($AH177=0,0,IF($G177&gt;=CurrentWeek-1-RecencyWin,RecencyMult,1))</f>
        <v>0</v>
      </c>
      <c r="AJ177" s="2">
        <f>IF($AF177=0,0,IF($G177&gt;=CurrentWeek-RecencyWin,TotRecency,1))</f>
        <v>0</v>
      </c>
      <c r="AK177" s="2">
        <f t="shared" si="9"/>
        <v>0</v>
      </c>
      <c r="AL177" s="2">
        <f t="shared" si="10"/>
        <v>0</v>
      </c>
      <c r="AM177" s="2" t="str">
        <f t="array" ref="AM177">IF($K177="",0,IFERROR(INDEX(CALC!$F$2:$F$33,MATCH($K177,CALC!$A$2:$A$33,0)),0))</f>
        <v/>
      </c>
      <c r="AN177" s="2" t="str">
        <f t="array" ref="AN177">IF($K177="",0,IFERROR(INDEX(CALC!$I$2:$I$33,MATCH($K177,CALC!$A$2:$A$33,0)),0))</f>
        <v/>
      </c>
      <c r="AO177" s="2" t="str">
        <f t="array" ref="AO177">IF($K177="",0,IFERROR(INDEX(CALC!$L$2:$L$33,MATCH($K177,CALC!$A$2:$A$33,0)),0))</f>
        <v/>
      </c>
      <c r="AP177" s="2" t="str">
        <f t="array" ref="AP177">IF($K177="",0,IFERROR(INDEX(CALC!$T$2:$T$33,MATCH($K177,CALC!$A$2:$A$33,0)),0))</f>
        <v/>
      </c>
      <c r="AQ177" s="2" t="str">
        <f t="array" ref="AQ177">IF($K177="",0,IFERROR(INDEX(CALC!$W$2:$W$33,MATCH($K177,CALC!$A$2:$A$33,0)),0))</f>
        <v/>
      </c>
      <c r="AR177" s="2" t="str">
        <f t="array" ref="AR177">IF($K177="",0,IFERROR(INDEX(CALC!$Z$2:$Z$33,MATCH($K177,CALC!$A$2:$A$33,0)),0))</f>
        <v/>
      </c>
      <c r="AS177" s="2" t="str">
        <f t="array" ref="AS177">IF($K177="",0,IFERROR(INDEX(CALC!$AJ$2:$AJ$33,MATCH($K177,CALC!$A$2:$A$33,0)),0))</f>
        <v/>
      </c>
      <c r="AT177" s="2" t="str">
        <f t="array" ref="AT177">IF($K177="",0,IFERROR(INDEX(CALC!$AI$2:$AI$33,MATCH($K177,CALC!$A$2:$A$33,0)),0))</f>
        <v/>
      </c>
      <c r="AU177" s="2">
        <f t="shared" si="11"/>
        <v>0</v>
      </c>
      <c r="AV177" s="2">
        <f t="shared" si="12"/>
        <v>0</v>
      </c>
    </row>
    <row r="178" ht="15.0" customHeight="1">
      <c r="A178" s="2">
        <v>88.0</v>
      </c>
      <c r="B178" s="2" t="s">
        <v>2366</v>
      </c>
      <c r="C178" s="2">
        <f>IFERROR(MATCH($A178,SchedSeq,0),"")</f>
        <v>373</v>
      </c>
      <c r="D178" s="2" t="str">
        <f t="array" ref="D178">IF($C178="","",INDEX(SchedZone,$C178,MAP!$B$6))</f>
        <v>2026_06_PIT_TB</v>
      </c>
      <c r="E178" s="2">
        <f t="array" ref="E178">IF($C178="","",INDEX(SchedZone,$C178,MAP!$B$3))</f>
        <v>2026</v>
      </c>
      <c r="F178" s="2" t="str">
        <f t="array" ref="F178">IF($C178="","",INDEX(SchedZone,$C178,MAP!$B$5))</f>
        <v>REG</v>
      </c>
      <c r="G178" s="2">
        <f t="array" ref="G178">IF($C178="","",INDEX(SchedZone,$C178,MAP!$B$4))</f>
        <v>6</v>
      </c>
      <c r="H178" s="2" t="str">
        <f t="array" ref="H178">IF($C178="","",INDEX(SchedZone,$C178,MAP!$B$10))</f>
        <v>PIT</v>
      </c>
      <c r="I178" s="2" t="str">
        <f t="array" ref="I178">IF($H178="","",IF(COUNTIF(Teams,$H178)&gt;0,$H178,IFERROR(INDEX(LISTS!$D$2:$D$12,MATCH($H178,LISTS!$C$2:$C$12,0)),"⚠ "&amp;$H178)))</f>
        <v>PIT</v>
      </c>
      <c r="J178" s="2" t="str">
        <f t="array" ref="J178">IF($C178="","",INDEX(SchedZone,$C178,MAP!$B$12))</f>
        <v>TB</v>
      </c>
      <c r="K178" s="2" t="str">
        <f t="array" ref="K178">IF($J178="","",IF(COUNTIF(Teams,$J178)&gt;0,$J178,IFERROR(INDEX(LISTS!$D$2:$D$12,MATCH($J178,LISTS!$C$2:$C$12,0)),"⚠ "&amp;$J178)))</f>
        <v>TB</v>
      </c>
      <c r="L178" s="2" t="str">
        <f t="array" ref="L178">IF($C178="","",IF(INDEX(SchedZone,$C178,MAP!$B$14)="Neutral","N",IF($B178="HOME","H","A")))</f>
        <v>A</v>
      </c>
      <c r="M178" s="2" t="str">
        <f t="array" ref="M178">IF($C178="","",IF(INDEX(SchedZone,$C178,MAP!$B$11)="","",INDEX(SchedZone,$C178,MAP!$B$11)))</f>
        <v/>
      </c>
      <c r="N178" s="2" t="str">
        <f t="array" ref="N178">IF($C178="","",IF(INDEX(SchedZone,$C178,MAP!$B$13)="","",INDEX(SchedZone,$C178,MAP!$B$13)))</f>
        <v/>
      </c>
      <c r="O178" s="2">
        <f t="array" ref="O178">IF($C178="","",INDEX(SchedZone,$C178,MAP!$B$15))</f>
        <v>7</v>
      </c>
      <c r="P178" s="2" t="str">
        <f>IF($C178="","",IFERROR(MATCH($E178&amp;"|"&amp;$G178&amp;"|"&amp;$I178,StatsKey,0),""))</f>
        <v/>
      </c>
      <c r="Q178" s="2">
        <f t="array" ref="Q178">IF($P178="",0,INDEX(StatsZone,$P178,MAP!$E$9)+INDEX(StatsZone,$P178,MAP!$E$10)+INDEX(StatsZone,$P178,MAP!$E$11))</f>
        <v>0</v>
      </c>
      <c r="R178" s="2">
        <f t="array" ref="R178">IF($P178="",0,INDEX(StatsZone,$P178,MAP!$E$12))</f>
        <v>0</v>
      </c>
      <c r="S178" s="2">
        <f t="array" ref="S178">IF($P178="",0,INDEX(StatsZone,$P178,MAP!$E$13))</f>
        <v>0</v>
      </c>
      <c r="T178" s="2">
        <f t="shared" si="1"/>
        <v>0</v>
      </c>
      <c r="U178" s="2">
        <f t="array" ref="U178">IF($P178="",0,INDEX(StatsZone,$P178,MAP!$E$14)+INDEX(StatsZone,$P178,MAP!$E$15)+INDEX(StatsZone,$P178,MAP!$E$16))</f>
        <v>0</v>
      </c>
      <c r="V178" s="2">
        <f t="shared" si="2"/>
        <v>0</v>
      </c>
      <c r="W178" s="2">
        <f t="shared" si="3"/>
        <v>0</v>
      </c>
      <c r="X178" s="2">
        <f t="shared" si="4"/>
        <v>0</v>
      </c>
      <c r="Y178" s="2">
        <f t="shared" si="5"/>
        <v>0</v>
      </c>
      <c r="Z178" s="2">
        <f t="shared" si="6"/>
        <v>0</v>
      </c>
      <c r="AA178" s="2">
        <f t="shared" si="7"/>
        <v>-1</v>
      </c>
      <c r="AB178" s="2">
        <f>IF(OR($M178="",$N178=""),0,MEDIAN(-MarginCap,MarginCap,($M178-$N178)-$AA178*HFA_Base))</f>
        <v>0</v>
      </c>
      <c r="AC178" s="2">
        <f t="array" ref="AC178">IF(OR($P178="",INDEX($P$3:$P$722,(ROW()+IF(MOD(ROW()-3,2)=0,1,-1))-3+1)=""),0,MEDIAN(-MarginCap,MarginCap,($T178-$W178)-$AA178*HFA_Base))</f>
        <v>0</v>
      </c>
      <c r="AD178" s="2">
        <f t="shared" si="8"/>
        <v>0</v>
      </c>
      <c r="AE178" s="2">
        <f>IF(OR($M178="",$N178=""),0,IF(AND(WEpa&gt;0,$AD178=1),(1-WEpa)*$AB178+WEpa*$AC178,$AB178))</f>
        <v>0</v>
      </c>
      <c r="AF178" s="2">
        <f>IF(AND($C178&lt;&gt;"",$E178=CurrentSeason,$F178="REG",ISNUMBER($G178),$G178&lt;CurrentWeek,AND($M178&lt;&gt;"",$N178&lt;&gt;"")),1,0)</f>
        <v>0</v>
      </c>
      <c r="AG178" s="2">
        <f>IF($AF178=0,0,IF($G178&gt;=CurrentWeek-RecencyWin,RecencyMult,1))</f>
        <v>0</v>
      </c>
      <c r="AH178" s="2">
        <f>IF(AND($C178&lt;&gt;"",$E178=CurrentSeason,$F178="REG",ISNUMBER($G178),$G178&lt;CurrentWeek-1,AND($M178&lt;&gt;"",$N178&lt;&gt;"")),1,0)</f>
        <v>0</v>
      </c>
      <c r="AI178" s="2">
        <f>IF($AH178=0,0,IF($G178&gt;=CurrentWeek-1-RecencyWin,RecencyMult,1))</f>
        <v>0</v>
      </c>
      <c r="AJ178" s="2">
        <f>IF($AF178=0,0,IF($G178&gt;=CurrentWeek-RecencyWin,TotRecency,1))</f>
        <v>0</v>
      </c>
      <c r="AK178" s="2">
        <f t="shared" si="9"/>
        <v>0</v>
      </c>
      <c r="AL178" s="2">
        <f t="shared" si="10"/>
        <v>0</v>
      </c>
      <c r="AM178" s="2" t="str">
        <f t="array" ref="AM178">IF($K178="",0,IFERROR(INDEX(CALC!$F$2:$F$33,MATCH($K178,CALC!$A$2:$A$33,0)),0))</f>
        <v/>
      </c>
      <c r="AN178" s="2" t="str">
        <f t="array" ref="AN178">IF($K178="",0,IFERROR(INDEX(CALC!$I$2:$I$33,MATCH($K178,CALC!$A$2:$A$33,0)),0))</f>
        <v/>
      </c>
      <c r="AO178" s="2" t="str">
        <f t="array" ref="AO178">IF($K178="",0,IFERROR(INDEX(CALC!$L$2:$L$33,MATCH($K178,CALC!$A$2:$A$33,0)),0))</f>
        <v/>
      </c>
      <c r="AP178" s="2" t="str">
        <f t="array" ref="AP178">IF($K178="",0,IFERROR(INDEX(CALC!$T$2:$T$33,MATCH($K178,CALC!$A$2:$A$33,0)),0))</f>
        <v/>
      </c>
      <c r="AQ178" s="2" t="str">
        <f t="array" ref="AQ178">IF($K178="",0,IFERROR(INDEX(CALC!$W$2:$W$33,MATCH($K178,CALC!$A$2:$A$33,0)),0))</f>
        <v/>
      </c>
      <c r="AR178" s="2" t="str">
        <f t="array" ref="AR178">IF($K178="",0,IFERROR(INDEX(CALC!$Z$2:$Z$33,MATCH($K178,CALC!$A$2:$A$33,0)),0))</f>
        <v/>
      </c>
      <c r="AS178" s="2" t="str">
        <f t="array" ref="AS178">IF($K178="",0,IFERROR(INDEX(CALC!$AJ$2:$AJ$33,MATCH($K178,CALC!$A$2:$A$33,0)),0))</f>
        <v/>
      </c>
      <c r="AT178" s="2" t="str">
        <f t="array" ref="AT178">IF($K178="",0,IFERROR(INDEX(CALC!$AI$2:$AI$33,MATCH($K178,CALC!$A$2:$A$33,0)),0))</f>
        <v/>
      </c>
      <c r="AU178" s="2">
        <f t="shared" si="11"/>
        <v>0</v>
      </c>
      <c r="AV178" s="2">
        <f t="shared" si="12"/>
        <v>0</v>
      </c>
    </row>
    <row r="179" ht="15.0" customHeight="1">
      <c r="A179" s="2">
        <v>89.0</v>
      </c>
      <c r="B179" s="2" t="s">
        <v>2365</v>
      </c>
      <c r="C179" s="2">
        <f>IFERROR(MATCH($A179,SchedSeq,0),"")</f>
        <v>374</v>
      </c>
      <c r="D179" s="2" t="str">
        <f t="array" ref="D179">IF($C179="","",INDEX(SchedZone,$C179,MAP!$B$6))</f>
        <v>2026_06_ARI_LA</v>
      </c>
      <c r="E179" s="2">
        <f t="array" ref="E179">IF($C179="","",INDEX(SchedZone,$C179,MAP!$B$3))</f>
        <v>2026</v>
      </c>
      <c r="F179" s="2" t="str">
        <f t="array" ref="F179">IF($C179="","",INDEX(SchedZone,$C179,MAP!$B$5))</f>
        <v>REG</v>
      </c>
      <c r="G179" s="2">
        <f t="array" ref="G179">IF($C179="","",INDEX(SchedZone,$C179,MAP!$B$4))</f>
        <v>6</v>
      </c>
      <c r="H179" s="2" t="str">
        <f t="array" ref="H179">IF($C179="","",INDEX(SchedZone,$C179,MAP!$B$12))</f>
        <v>LA</v>
      </c>
      <c r="I179" s="2" t="str">
        <f t="array" ref="I179">IF($H179="","",IF(COUNTIF(Teams,$H179)&gt;0,$H179,IFERROR(INDEX(LISTS!$D$2:$D$12,MATCH($H179,LISTS!$C$2:$C$12,0)),"⚠ "&amp;$H179)))</f>
        <v>LA</v>
      </c>
      <c r="J179" s="2" t="str">
        <f t="array" ref="J179">IF($C179="","",INDEX(SchedZone,$C179,MAP!$B$10))</f>
        <v>ARI</v>
      </c>
      <c r="K179" s="2" t="str">
        <f t="array" ref="K179">IF($J179="","",IF(COUNTIF(Teams,$J179)&gt;0,$J179,IFERROR(INDEX(LISTS!$D$2:$D$12,MATCH($J179,LISTS!$C$2:$C$12,0)),"⚠ "&amp;$J179)))</f>
        <v>ARI</v>
      </c>
      <c r="L179" s="2" t="str">
        <f t="array" ref="L179">IF($C179="","",IF(INDEX(SchedZone,$C179,MAP!$B$14)="Neutral","N",IF($B179="HOME","H","A")))</f>
        <v>H</v>
      </c>
      <c r="M179" s="2" t="str">
        <f t="array" ref="M179">IF($C179="","",IF(INDEX(SchedZone,$C179,MAP!$B$13)="","",INDEX(SchedZone,$C179,MAP!$B$13)))</f>
        <v/>
      </c>
      <c r="N179" s="2" t="str">
        <f t="array" ref="N179">IF($C179="","",IF(INDEX(SchedZone,$C179,MAP!$B$11)="","",INDEX(SchedZone,$C179,MAP!$B$11)))</f>
        <v/>
      </c>
      <c r="O179" s="2">
        <f t="array" ref="O179">IF($C179="","",INDEX(SchedZone,$C179,MAP!$B$16))</f>
        <v>6</v>
      </c>
      <c r="P179" s="2" t="str">
        <f>IF($C179="","",IFERROR(MATCH($E179&amp;"|"&amp;$G179&amp;"|"&amp;$I179,StatsKey,0),""))</f>
        <v/>
      </c>
      <c r="Q179" s="2">
        <f t="array" ref="Q179">IF($P179="",0,INDEX(StatsZone,$P179,MAP!$E$9)+INDEX(StatsZone,$P179,MAP!$E$10)+INDEX(StatsZone,$P179,MAP!$E$11))</f>
        <v>0</v>
      </c>
      <c r="R179" s="2">
        <f t="array" ref="R179">IF($P179="",0,INDEX(StatsZone,$P179,MAP!$E$12))</f>
        <v>0</v>
      </c>
      <c r="S179" s="2">
        <f t="array" ref="S179">IF($P179="",0,INDEX(StatsZone,$P179,MAP!$E$13))</f>
        <v>0</v>
      </c>
      <c r="T179" s="2">
        <f t="shared" si="1"/>
        <v>0</v>
      </c>
      <c r="U179" s="2">
        <f t="array" ref="U179">IF($P179="",0,INDEX(StatsZone,$P179,MAP!$E$14)+INDEX(StatsZone,$P179,MAP!$E$15)+INDEX(StatsZone,$P179,MAP!$E$16))</f>
        <v>0</v>
      </c>
      <c r="V179" s="2">
        <f t="shared" si="2"/>
        <v>0</v>
      </c>
      <c r="W179" s="2">
        <f t="shared" si="3"/>
        <v>0</v>
      </c>
      <c r="X179" s="2">
        <f t="shared" si="4"/>
        <v>0</v>
      </c>
      <c r="Y179" s="2">
        <f t="shared" si="5"/>
        <v>0</v>
      </c>
      <c r="Z179" s="2">
        <f t="shared" si="6"/>
        <v>0</v>
      </c>
      <c r="AA179" s="2">
        <f t="shared" si="7"/>
        <v>1</v>
      </c>
      <c r="AB179" s="2">
        <f>IF(OR($M179="",$N179=""),0,MEDIAN(-MarginCap,MarginCap,($M179-$N179)-$AA179*HFA_Base))</f>
        <v>0</v>
      </c>
      <c r="AC179" s="2">
        <f t="array" ref="AC179">IF(OR($P179="",INDEX($P$3:$P$722,(ROW()+IF(MOD(ROW()-3,2)=0,1,-1))-3+1)=""),0,MEDIAN(-MarginCap,MarginCap,($T179-$W179)-$AA179*HFA_Base))</f>
        <v>0</v>
      </c>
      <c r="AD179" s="2">
        <f t="shared" si="8"/>
        <v>0</v>
      </c>
      <c r="AE179" s="2">
        <f>IF(OR($M179="",$N179=""),0,IF(AND(WEpa&gt;0,$AD179=1),(1-WEpa)*$AB179+WEpa*$AC179,$AB179))</f>
        <v>0</v>
      </c>
      <c r="AF179" s="2">
        <f>IF(AND($C179&lt;&gt;"",$E179=CurrentSeason,$F179="REG",ISNUMBER($G179),$G179&lt;CurrentWeek,AND($M179&lt;&gt;"",$N179&lt;&gt;"")),1,0)</f>
        <v>0</v>
      </c>
      <c r="AG179" s="2">
        <f>IF($AF179=0,0,IF($G179&gt;=CurrentWeek-RecencyWin,RecencyMult,1))</f>
        <v>0</v>
      </c>
      <c r="AH179" s="2">
        <f>IF(AND($C179&lt;&gt;"",$E179=CurrentSeason,$F179="REG",ISNUMBER($G179),$G179&lt;CurrentWeek-1,AND($M179&lt;&gt;"",$N179&lt;&gt;"")),1,0)</f>
        <v>0</v>
      </c>
      <c r="AI179" s="2">
        <f>IF($AH179=0,0,IF($G179&gt;=CurrentWeek-1-RecencyWin,RecencyMult,1))</f>
        <v>0</v>
      </c>
      <c r="AJ179" s="2">
        <f>IF($AF179=0,0,IF($G179&gt;=CurrentWeek-RecencyWin,TotRecency,1))</f>
        <v>0</v>
      </c>
      <c r="AK179" s="2">
        <f t="shared" si="9"/>
        <v>0</v>
      </c>
      <c r="AL179" s="2">
        <f t="shared" si="10"/>
        <v>0</v>
      </c>
      <c r="AM179" s="2" t="str">
        <f t="array" ref="AM179">IF($K179="",0,IFERROR(INDEX(CALC!$F$2:$F$33,MATCH($K179,CALC!$A$2:$A$33,0)),0))</f>
        <v/>
      </c>
      <c r="AN179" s="2" t="str">
        <f t="array" ref="AN179">IF($K179="",0,IFERROR(INDEX(CALC!$I$2:$I$33,MATCH($K179,CALC!$A$2:$A$33,0)),0))</f>
        <v/>
      </c>
      <c r="AO179" s="2" t="str">
        <f t="array" ref="AO179">IF($K179="",0,IFERROR(INDEX(CALC!$L$2:$L$33,MATCH($K179,CALC!$A$2:$A$33,0)),0))</f>
        <v/>
      </c>
      <c r="AP179" s="2" t="str">
        <f t="array" ref="AP179">IF($K179="",0,IFERROR(INDEX(CALC!$T$2:$T$33,MATCH($K179,CALC!$A$2:$A$33,0)),0))</f>
        <v/>
      </c>
      <c r="AQ179" s="2" t="str">
        <f t="array" ref="AQ179">IF($K179="",0,IFERROR(INDEX(CALC!$W$2:$W$33,MATCH($K179,CALC!$A$2:$A$33,0)),0))</f>
        <v/>
      </c>
      <c r="AR179" s="2" t="str">
        <f t="array" ref="AR179">IF($K179="",0,IFERROR(INDEX(CALC!$Z$2:$Z$33,MATCH($K179,CALC!$A$2:$A$33,0)),0))</f>
        <v/>
      </c>
      <c r="AS179" s="2" t="str">
        <f t="array" ref="AS179">IF($K179="",0,IFERROR(INDEX(CALC!$AJ$2:$AJ$33,MATCH($K179,CALC!$A$2:$A$33,0)),0))</f>
        <v/>
      </c>
      <c r="AT179" s="2" t="str">
        <f t="array" ref="AT179">IF($K179="",0,IFERROR(INDEX(CALC!$AI$2:$AI$33,MATCH($K179,CALC!$A$2:$A$33,0)),0))</f>
        <v/>
      </c>
      <c r="AU179" s="2">
        <f t="shared" si="11"/>
        <v>0</v>
      </c>
      <c r="AV179" s="2">
        <f t="shared" si="12"/>
        <v>0</v>
      </c>
    </row>
    <row r="180" ht="15.0" customHeight="1">
      <c r="A180" s="2">
        <v>89.0</v>
      </c>
      <c r="B180" s="2" t="s">
        <v>2366</v>
      </c>
      <c r="C180" s="2">
        <f>IFERROR(MATCH($A180,SchedSeq,0),"")</f>
        <v>374</v>
      </c>
      <c r="D180" s="2" t="str">
        <f t="array" ref="D180">IF($C180="","",INDEX(SchedZone,$C180,MAP!$B$6))</f>
        <v>2026_06_ARI_LA</v>
      </c>
      <c r="E180" s="2">
        <f t="array" ref="E180">IF($C180="","",INDEX(SchedZone,$C180,MAP!$B$3))</f>
        <v>2026</v>
      </c>
      <c r="F180" s="2" t="str">
        <f t="array" ref="F180">IF($C180="","",INDEX(SchedZone,$C180,MAP!$B$5))</f>
        <v>REG</v>
      </c>
      <c r="G180" s="2">
        <f t="array" ref="G180">IF($C180="","",INDEX(SchedZone,$C180,MAP!$B$4))</f>
        <v>6</v>
      </c>
      <c r="H180" s="2" t="str">
        <f t="array" ref="H180">IF($C180="","",INDEX(SchedZone,$C180,MAP!$B$10))</f>
        <v>ARI</v>
      </c>
      <c r="I180" s="2" t="str">
        <f t="array" ref="I180">IF($H180="","",IF(COUNTIF(Teams,$H180)&gt;0,$H180,IFERROR(INDEX(LISTS!$D$2:$D$12,MATCH($H180,LISTS!$C$2:$C$12,0)),"⚠ "&amp;$H180)))</f>
        <v>ARI</v>
      </c>
      <c r="J180" s="2" t="str">
        <f t="array" ref="J180">IF($C180="","",INDEX(SchedZone,$C180,MAP!$B$12))</f>
        <v>LA</v>
      </c>
      <c r="K180" s="2" t="str">
        <f t="array" ref="K180">IF($J180="","",IF(COUNTIF(Teams,$J180)&gt;0,$J180,IFERROR(INDEX(LISTS!$D$2:$D$12,MATCH($J180,LISTS!$C$2:$C$12,0)),"⚠ "&amp;$J180)))</f>
        <v>LA</v>
      </c>
      <c r="L180" s="2" t="str">
        <f t="array" ref="L180">IF($C180="","",IF(INDEX(SchedZone,$C180,MAP!$B$14)="Neutral","N",IF($B180="HOME","H","A")))</f>
        <v>A</v>
      </c>
      <c r="M180" s="2" t="str">
        <f t="array" ref="M180">IF($C180="","",IF(INDEX(SchedZone,$C180,MAP!$B$11)="","",INDEX(SchedZone,$C180,MAP!$B$11)))</f>
        <v/>
      </c>
      <c r="N180" s="2" t="str">
        <f t="array" ref="N180">IF($C180="","",IF(INDEX(SchedZone,$C180,MAP!$B$13)="","",INDEX(SchedZone,$C180,MAP!$B$13)))</f>
        <v/>
      </c>
      <c r="O180" s="2">
        <f t="array" ref="O180">IF($C180="","",INDEX(SchedZone,$C180,MAP!$B$15))</f>
        <v>7</v>
      </c>
      <c r="P180" s="2" t="str">
        <f>IF($C180="","",IFERROR(MATCH($E180&amp;"|"&amp;$G180&amp;"|"&amp;$I180,StatsKey,0),""))</f>
        <v/>
      </c>
      <c r="Q180" s="2">
        <f t="array" ref="Q180">IF($P180="",0,INDEX(StatsZone,$P180,MAP!$E$9)+INDEX(StatsZone,$P180,MAP!$E$10)+INDEX(StatsZone,$P180,MAP!$E$11))</f>
        <v>0</v>
      </c>
      <c r="R180" s="2">
        <f t="array" ref="R180">IF($P180="",0,INDEX(StatsZone,$P180,MAP!$E$12))</f>
        <v>0</v>
      </c>
      <c r="S180" s="2">
        <f t="array" ref="S180">IF($P180="",0,INDEX(StatsZone,$P180,MAP!$E$13))</f>
        <v>0</v>
      </c>
      <c r="T180" s="2">
        <f t="shared" si="1"/>
        <v>0</v>
      </c>
      <c r="U180" s="2">
        <f t="array" ref="U180">IF($P180="",0,INDEX(StatsZone,$P180,MAP!$E$14)+INDEX(StatsZone,$P180,MAP!$E$15)+INDEX(StatsZone,$P180,MAP!$E$16))</f>
        <v>0</v>
      </c>
      <c r="V180" s="2">
        <f t="shared" si="2"/>
        <v>0</v>
      </c>
      <c r="W180" s="2">
        <f t="shared" si="3"/>
        <v>0</v>
      </c>
      <c r="X180" s="2">
        <f t="shared" si="4"/>
        <v>0</v>
      </c>
      <c r="Y180" s="2">
        <f t="shared" si="5"/>
        <v>0</v>
      </c>
      <c r="Z180" s="2">
        <f t="shared" si="6"/>
        <v>0</v>
      </c>
      <c r="AA180" s="2">
        <f t="shared" si="7"/>
        <v>-1</v>
      </c>
      <c r="AB180" s="2">
        <f>IF(OR($M180="",$N180=""),0,MEDIAN(-MarginCap,MarginCap,($M180-$N180)-$AA180*HFA_Base))</f>
        <v>0</v>
      </c>
      <c r="AC180" s="2">
        <f t="array" ref="AC180">IF(OR($P180="",INDEX($P$3:$P$722,(ROW()+IF(MOD(ROW()-3,2)=0,1,-1))-3+1)=""),0,MEDIAN(-MarginCap,MarginCap,($T180-$W180)-$AA180*HFA_Base))</f>
        <v>0</v>
      </c>
      <c r="AD180" s="2">
        <f t="shared" si="8"/>
        <v>0</v>
      </c>
      <c r="AE180" s="2">
        <f>IF(OR($M180="",$N180=""),0,IF(AND(WEpa&gt;0,$AD180=1),(1-WEpa)*$AB180+WEpa*$AC180,$AB180))</f>
        <v>0</v>
      </c>
      <c r="AF180" s="2">
        <f>IF(AND($C180&lt;&gt;"",$E180=CurrentSeason,$F180="REG",ISNUMBER($G180),$G180&lt;CurrentWeek,AND($M180&lt;&gt;"",$N180&lt;&gt;"")),1,0)</f>
        <v>0</v>
      </c>
      <c r="AG180" s="2">
        <f>IF($AF180=0,0,IF($G180&gt;=CurrentWeek-RecencyWin,RecencyMult,1))</f>
        <v>0</v>
      </c>
      <c r="AH180" s="2">
        <f>IF(AND($C180&lt;&gt;"",$E180=CurrentSeason,$F180="REG",ISNUMBER($G180),$G180&lt;CurrentWeek-1,AND($M180&lt;&gt;"",$N180&lt;&gt;"")),1,0)</f>
        <v>0</v>
      </c>
      <c r="AI180" s="2">
        <f>IF($AH180=0,0,IF($G180&gt;=CurrentWeek-1-RecencyWin,RecencyMult,1))</f>
        <v>0</v>
      </c>
      <c r="AJ180" s="2">
        <f>IF($AF180=0,0,IF($G180&gt;=CurrentWeek-RecencyWin,TotRecency,1))</f>
        <v>0</v>
      </c>
      <c r="AK180" s="2">
        <f t="shared" si="9"/>
        <v>0</v>
      </c>
      <c r="AL180" s="2">
        <f t="shared" si="10"/>
        <v>0</v>
      </c>
      <c r="AM180" s="2" t="str">
        <f t="array" ref="AM180">IF($K180="",0,IFERROR(INDEX(CALC!$F$2:$F$33,MATCH($K180,CALC!$A$2:$A$33,0)),0))</f>
        <v/>
      </c>
      <c r="AN180" s="2" t="str">
        <f t="array" ref="AN180">IF($K180="",0,IFERROR(INDEX(CALC!$I$2:$I$33,MATCH($K180,CALC!$A$2:$A$33,0)),0))</f>
        <v/>
      </c>
      <c r="AO180" s="2" t="str">
        <f t="array" ref="AO180">IF($K180="",0,IFERROR(INDEX(CALC!$L$2:$L$33,MATCH($K180,CALC!$A$2:$A$33,0)),0))</f>
        <v/>
      </c>
      <c r="AP180" s="2" t="str">
        <f t="array" ref="AP180">IF($K180="",0,IFERROR(INDEX(CALC!$T$2:$T$33,MATCH($K180,CALC!$A$2:$A$33,0)),0))</f>
        <v/>
      </c>
      <c r="AQ180" s="2" t="str">
        <f t="array" ref="AQ180">IF($K180="",0,IFERROR(INDEX(CALC!$W$2:$W$33,MATCH($K180,CALC!$A$2:$A$33,0)),0))</f>
        <v/>
      </c>
      <c r="AR180" s="2" t="str">
        <f t="array" ref="AR180">IF($K180="",0,IFERROR(INDEX(CALC!$Z$2:$Z$33,MATCH($K180,CALC!$A$2:$A$33,0)),0))</f>
        <v/>
      </c>
      <c r="AS180" s="2" t="str">
        <f t="array" ref="AS180">IF($K180="",0,IFERROR(INDEX(CALC!$AJ$2:$AJ$33,MATCH($K180,CALC!$A$2:$A$33,0)),0))</f>
        <v/>
      </c>
      <c r="AT180" s="2" t="str">
        <f t="array" ref="AT180">IF($K180="",0,IFERROR(INDEX(CALC!$AI$2:$AI$33,MATCH($K180,CALC!$A$2:$A$33,0)),0))</f>
        <v/>
      </c>
      <c r="AU180" s="2">
        <f t="shared" si="11"/>
        <v>0</v>
      </c>
      <c r="AV180" s="2">
        <f t="shared" si="12"/>
        <v>0</v>
      </c>
    </row>
    <row r="181" ht="15.0" customHeight="1">
      <c r="A181" s="2">
        <v>90.0</v>
      </c>
      <c r="B181" s="2" t="s">
        <v>2365</v>
      </c>
      <c r="C181" s="2">
        <f>IFERROR(MATCH($A181,SchedSeq,0),"")</f>
        <v>375</v>
      </c>
      <c r="D181" s="2" t="str">
        <f t="array" ref="D181">IF($C181="","",INDEX(SchedZone,$C181,MAP!$B$6))</f>
        <v>2026_06_LAC_KC</v>
      </c>
      <c r="E181" s="2">
        <f t="array" ref="E181">IF($C181="","",INDEX(SchedZone,$C181,MAP!$B$3))</f>
        <v>2026</v>
      </c>
      <c r="F181" s="2" t="str">
        <f t="array" ref="F181">IF($C181="","",INDEX(SchedZone,$C181,MAP!$B$5))</f>
        <v>REG</v>
      </c>
      <c r="G181" s="2">
        <f t="array" ref="G181">IF($C181="","",INDEX(SchedZone,$C181,MAP!$B$4))</f>
        <v>6</v>
      </c>
      <c r="H181" s="2" t="str">
        <f t="array" ref="H181">IF($C181="","",INDEX(SchedZone,$C181,MAP!$B$12))</f>
        <v>KC</v>
      </c>
      <c r="I181" s="2" t="str">
        <f t="array" ref="I181">IF($H181="","",IF(COUNTIF(Teams,$H181)&gt;0,$H181,IFERROR(INDEX(LISTS!$D$2:$D$12,MATCH($H181,LISTS!$C$2:$C$12,0)),"⚠ "&amp;$H181)))</f>
        <v>KC</v>
      </c>
      <c r="J181" s="2" t="str">
        <f t="array" ref="J181">IF($C181="","",INDEX(SchedZone,$C181,MAP!$B$10))</f>
        <v>LAC</v>
      </c>
      <c r="K181" s="2" t="str">
        <f t="array" ref="K181">IF($J181="","",IF(COUNTIF(Teams,$J181)&gt;0,$J181,IFERROR(INDEX(LISTS!$D$2:$D$12,MATCH($J181,LISTS!$C$2:$C$12,0)),"⚠ "&amp;$J181)))</f>
        <v>LAC</v>
      </c>
      <c r="L181" s="2" t="str">
        <f t="array" ref="L181">IF($C181="","",IF(INDEX(SchedZone,$C181,MAP!$B$14)="Neutral","N",IF($B181="HOME","H","A")))</f>
        <v>H</v>
      </c>
      <c r="M181" s="2" t="str">
        <f t="array" ref="M181">IF($C181="","",IF(INDEX(SchedZone,$C181,MAP!$B$13)="","",INDEX(SchedZone,$C181,MAP!$B$13)))</f>
        <v/>
      </c>
      <c r="N181" s="2" t="str">
        <f t="array" ref="N181">IF($C181="","",IF(INDEX(SchedZone,$C181,MAP!$B$11)="","",INDEX(SchedZone,$C181,MAP!$B$11)))</f>
        <v/>
      </c>
      <c r="O181" s="2">
        <f t="array" ref="O181">IF($C181="","",INDEX(SchedZone,$C181,MAP!$B$16))</f>
        <v>14</v>
      </c>
      <c r="P181" s="2" t="str">
        <f>IF($C181="","",IFERROR(MATCH($E181&amp;"|"&amp;$G181&amp;"|"&amp;$I181,StatsKey,0),""))</f>
        <v/>
      </c>
      <c r="Q181" s="2">
        <f t="array" ref="Q181">IF($P181="",0,INDEX(StatsZone,$P181,MAP!$E$9)+INDEX(StatsZone,$P181,MAP!$E$10)+INDEX(StatsZone,$P181,MAP!$E$11))</f>
        <v>0</v>
      </c>
      <c r="R181" s="2">
        <f t="array" ref="R181">IF($P181="",0,INDEX(StatsZone,$P181,MAP!$E$12))</f>
        <v>0</v>
      </c>
      <c r="S181" s="2">
        <f t="array" ref="S181">IF($P181="",0,INDEX(StatsZone,$P181,MAP!$E$13))</f>
        <v>0</v>
      </c>
      <c r="T181" s="2">
        <f t="shared" si="1"/>
        <v>0</v>
      </c>
      <c r="U181" s="2">
        <f t="array" ref="U181">IF($P181="",0,INDEX(StatsZone,$P181,MAP!$E$14)+INDEX(StatsZone,$P181,MAP!$E$15)+INDEX(StatsZone,$P181,MAP!$E$16))</f>
        <v>0</v>
      </c>
      <c r="V181" s="2">
        <f t="shared" si="2"/>
        <v>0</v>
      </c>
      <c r="W181" s="2">
        <f t="shared" si="3"/>
        <v>0</v>
      </c>
      <c r="X181" s="2">
        <f t="shared" si="4"/>
        <v>0</v>
      </c>
      <c r="Y181" s="2">
        <f t="shared" si="5"/>
        <v>0</v>
      </c>
      <c r="Z181" s="2">
        <f t="shared" si="6"/>
        <v>0</v>
      </c>
      <c r="AA181" s="2">
        <f t="shared" si="7"/>
        <v>1</v>
      </c>
      <c r="AB181" s="2">
        <f>IF(OR($M181="",$N181=""),0,MEDIAN(-MarginCap,MarginCap,($M181-$N181)-$AA181*HFA_Base))</f>
        <v>0</v>
      </c>
      <c r="AC181" s="2">
        <f t="array" ref="AC181">IF(OR($P181="",INDEX($P$3:$P$722,(ROW()+IF(MOD(ROW()-3,2)=0,1,-1))-3+1)=""),0,MEDIAN(-MarginCap,MarginCap,($T181-$W181)-$AA181*HFA_Base))</f>
        <v>0</v>
      </c>
      <c r="AD181" s="2">
        <f t="shared" si="8"/>
        <v>0</v>
      </c>
      <c r="AE181" s="2">
        <f>IF(OR($M181="",$N181=""),0,IF(AND(WEpa&gt;0,$AD181=1),(1-WEpa)*$AB181+WEpa*$AC181,$AB181))</f>
        <v>0</v>
      </c>
      <c r="AF181" s="2">
        <f>IF(AND($C181&lt;&gt;"",$E181=CurrentSeason,$F181="REG",ISNUMBER($G181),$G181&lt;CurrentWeek,AND($M181&lt;&gt;"",$N181&lt;&gt;"")),1,0)</f>
        <v>0</v>
      </c>
      <c r="AG181" s="2">
        <f>IF($AF181=0,0,IF($G181&gt;=CurrentWeek-RecencyWin,RecencyMult,1))</f>
        <v>0</v>
      </c>
      <c r="AH181" s="2">
        <f>IF(AND($C181&lt;&gt;"",$E181=CurrentSeason,$F181="REG",ISNUMBER($G181),$G181&lt;CurrentWeek-1,AND($M181&lt;&gt;"",$N181&lt;&gt;"")),1,0)</f>
        <v>0</v>
      </c>
      <c r="AI181" s="2">
        <f>IF($AH181=0,0,IF($G181&gt;=CurrentWeek-1-RecencyWin,RecencyMult,1))</f>
        <v>0</v>
      </c>
      <c r="AJ181" s="2">
        <f>IF($AF181=0,0,IF($G181&gt;=CurrentWeek-RecencyWin,TotRecency,1))</f>
        <v>0</v>
      </c>
      <c r="AK181" s="2">
        <f t="shared" si="9"/>
        <v>0</v>
      </c>
      <c r="AL181" s="2">
        <f t="shared" si="10"/>
        <v>0</v>
      </c>
      <c r="AM181" s="2" t="str">
        <f t="array" ref="AM181">IF($K181="",0,IFERROR(INDEX(CALC!$F$2:$F$33,MATCH($K181,CALC!$A$2:$A$33,0)),0))</f>
        <v/>
      </c>
      <c r="AN181" s="2" t="str">
        <f t="array" ref="AN181">IF($K181="",0,IFERROR(INDEX(CALC!$I$2:$I$33,MATCH($K181,CALC!$A$2:$A$33,0)),0))</f>
        <v/>
      </c>
      <c r="AO181" s="2" t="str">
        <f t="array" ref="AO181">IF($K181="",0,IFERROR(INDEX(CALC!$L$2:$L$33,MATCH($K181,CALC!$A$2:$A$33,0)),0))</f>
        <v/>
      </c>
      <c r="AP181" s="2" t="str">
        <f t="array" ref="AP181">IF($K181="",0,IFERROR(INDEX(CALC!$T$2:$T$33,MATCH($K181,CALC!$A$2:$A$33,0)),0))</f>
        <v/>
      </c>
      <c r="AQ181" s="2" t="str">
        <f t="array" ref="AQ181">IF($K181="",0,IFERROR(INDEX(CALC!$W$2:$W$33,MATCH($K181,CALC!$A$2:$A$33,0)),0))</f>
        <v/>
      </c>
      <c r="AR181" s="2" t="str">
        <f t="array" ref="AR181">IF($K181="",0,IFERROR(INDEX(CALC!$Z$2:$Z$33,MATCH($K181,CALC!$A$2:$A$33,0)),0))</f>
        <v/>
      </c>
      <c r="AS181" s="2" t="str">
        <f t="array" ref="AS181">IF($K181="",0,IFERROR(INDEX(CALC!$AJ$2:$AJ$33,MATCH($K181,CALC!$A$2:$A$33,0)),0))</f>
        <v/>
      </c>
      <c r="AT181" s="2" t="str">
        <f t="array" ref="AT181">IF($K181="",0,IFERROR(INDEX(CALC!$AI$2:$AI$33,MATCH($K181,CALC!$A$2:$A$33,0)),0))</f>
        <v/>
      </c>
      <c r="AU181" s="2">
        <f t="shared" si="11"/>
        <v>0</v>
      </c>
      <c r="AV181" s="2">
        <f t="shared" si="12"/>
        <v>0</v>
      </c>
    </row>
    <row r="182" ht="15.0" customHeight="1">
      <c r="A182" s="2">
        <v>90.0</v>
      </c>
      <c r="B182" s="2" t="s">
        <v>2366</v>
      </c>
      <c r="C182" s="2">
        <f>IFERROR(MATCH($A182,SchedSeq,0),"")</f>
        <v>375</v>
      </c>
      <c r="D182" s="2" t="str">
        <f t="array" ref="D182">IF($C182="","",INDEX(SchedZone,$C182,MAP!$B$6))</f>
        <v>2026_06_LAC_KC</v>
      </c>
      <c r="E182" s="2">
        <f t="array" ref="E182">IF($C182="","",INDEX(SchedZone,$C182,MAP!$B$3))</f>
        <v>2026</v>
      </c>
      <c r="F182" s="2" t="str">
        <f t="array" ref="F182">IF($C182="","",INDEX(SchedZone,$C182,MAP!$B$5))</f>
        <v>REG</v>
      </c>
      <c r="G182" s="2">
        <f t="array" ref="G182">IF($C182="","",INDEX(SchedZone,$C182,MAP!$B$4))</f>
        <v>6</v>
      </c>
      <c r="H182" s="2" t="str">
        <f t="array" ref="H182">IF($C182="","",INDEX(SchedZone,$C182,MAP!$B$10))</f>
        <v>LAC</v>
      </c>
      <c r="I182" s="2" t="str">
        <f t="array" ref="I182">IF($H182="","",IF(COUNTIF(Teams,$H182)&gt;0,$H182,IFERROR(INDEX(LISTS!$D$2:$D$12,MATCH($H182,LISTS!$C$2:$C$12,0)),"⚠ "&amp;$H182)))</f>
        <v>LAC</v>
      </c>
      <c r="J182" s="2" t="str">
        <f t="array" ref="J182">IF($C182="","",INDEX(SchedZone,$C182,MAP!$B$12))</f>
        <v>KC</v>
      </c>
      <c r="K182" s="2" t="str">
        <f t="array" ref="K182">IF($J182="","",IF(COUNTIF(Teams,$J182)&gt;0,$J182,IFERROR(INDEX(LISTS!$D$2:$D$12,MATCH($J182,LISTS!$C$2:$C$12,0)),"⚠ "&amp;$J182)))</f>
        <v>KC</v>
      </c>
      <c r="L182" s="2" t="str">
        <f t="array" ref="L182">IF($C182="","",IF(INDEX(SchedZone,$C182,MAP!$B$14)="Neutral","N",IF($B182="HOME","H","A")))</f>
        <v>A</v>
      </c>
      <c r="M182" s="2" t="str">
        <f t="array" ref="M182">IF($C182="","",IF(INDEX(SchedZone,$C182,MAP!$B$11)="","",INDEX(SchedZone,$C182,MAP!$B$11)))</f>
        <v/>
      </c>
      <c r="N182" s="2" t="str">
        <f t="array" ref="N182">IF($C182="","",IF(INDEX(SchedZone,$C182,MAP!$B$13)="","",INDEX(SchedZone,$C182,MAP!$B$13)))</f>
        <v/>
      </c>
      <c r="O182" s="2">
        <f t="array" ref="O182">IF($C182="","",INDEX(SchedZone,$C182,MAP!$B$15))</f>
        <v>7</v>
      </c>
      <c r="P182" s="2" t="str">
        <f>IF($C182="","",IFERROR(MATCH($E182&amp;"|"&amp;$G182&amp;"|"&amp;$I182,StatsKey,0),""))</f>
        <v/>
      </c>
      <c r="Q182" s="2">
        <f t="array" ref="Q182">IF($P182="",0,INDEX(StatsZone,$P182,MAP!$E$9)+INDEX(StatsZone,$P182,MAP!$E$10)+INDEX(StatsZone,$P182,MAP!$E$11))</f>
        <v>0</v>
      </c>
      <c r="R182" s="2">
        <f t="array" ref="R182">IF($P182="",0,INDEX(StatsZone,$P182,MAP!$E$12))</f>
        <v>0</v>
      </c>
      <c r="S182" s="2">
        <f t="array" ref="S182">IF($P182="",0,INDEX(StatsZone,$P182,MAP!$E$13))</f>
        <v>0</v>
      </c>
      <c r="T182" s="2">
        <f t="shared" si="1"/>
        <v>0</v>
      </c>
      <c r="U182" s="2">
        <f t="array" ref="U182">IF($P182="",0,INDEX(StatsZone,$P182,MAP!$E$14)+INDEX(StatsZone,$P182,MAP!$E$15)+INDEX(StatsZone,$P182,MAP!$E$16))</f>
        <v>0</v>
      </c>
      <c r="V182" s="2">
        <f t="shared" si="2"/>
        <v>0</v>
      </c>
      <c r="W182" s="2">
        <f t="shared" si="3"/>
        <v>0</v>
      </c>
      <c r="X182" s="2">
        <f t="shared" si="4"/>
        <v>0</v>
      </c>
      <c r="Y182" s="2">
        <f t="shared" si="5"/>
        <v>0</v>
      </c>
      <c r="Z182" s="2">
        <f t="shared" si="6"/>
        <v>0</v>
      </c>
      <c r="AA182" s="2">
        <f t="shared" si="7"/>
        <v>-1</v>
      </c>
      <c r="AB182" s="2">
        <f>IF(OR($M182="",$N182=""),0,MEDIAN(-MarginCap,MarginCap,($M182-$N182)-$AA182*HFA_Base))</f>
        <v>0</v>
      </c>
      <c r="AC182" s="2">
        <f t="array" ref="AC182">IF(OR($P182="",INDEX($P$3:$P$722,(ROW()+IF(MOD(ROW()-3,2)=0,1,-1))-3+1)=""),0,MEDIAN(-MarginCap,MarginCap,($T182-$W182)-$AA182*HFA_Base))</f>
        <v>0</v>
      </c>
      <c r="AD182" s="2">
        <f t="shared" si="8"/>
        <v>0</v>
      </c>
      <c r="AE182" s="2">
        <f>IF(OR($M182="",$N182=""),0,IF(AND(WEpa&gt;0,$AD182=1),(1-WEpa)*$AB182+WEpa*$AC182,$AB182))</f>
        <v>0</v>
      </c>
      <c r="AF182" s="2">
        <f>IF(AND($C182&lt;&gt;"",$E182=CurrentSeason,$F182="REG",ISNUMBER($G182),$G182&lt;CurrentWeek,AND($M182&lt;&gt;"",$N182&lt;&gt;"")),1,0)</f>
        <v>0</v>
      </c>
      <c r="AG182" s="2">
        <f>IF($AF182=0,0,IF($G182&gt;=CurrentWeek-RecencyWin,RecencyMult,1))</f>
        <v>0</v>
      </c>
      <c r="AH182" s="2">
        <f>IF(AND($C182&lt;&gt;"",$E182=CurrentSeason,$F182="REG",ISNUMBER($G182),$G182&lt;CurrentWeek-1,AND($M182&lt;&gt;"",$N182&lt;&gt;"")),1,0)</f>
        <v>0</v>
      </c>
      <c r="AI182" s="2">
        <f>IF($AH182=0,0,IF($G182&gt;=CurrentWeek-1-RecencyWin,RecencyMult,1))</f>
        <v>0</v>
      </c>
      <c r="AJ182" s="2">
        <f>IF($AF182=0,0,IF($G182&gt;=CurrentWeek-RecencyWin,TotRecency,1))</f>
        <v>0</v>
      </c>
      <c r="AK182" s="2">
        <f t="shared" si="9"/>
        <v>0</v>
      </c>
      <c r="AL182" s="2">
        <f t="shared" si="10"/>
        <v>0</v>
      </c>
      <c r="AM182" s="2" t="str">
        <f t="array" ref="AM182">IF($K182="",0,IFERROR(INDEX(CALC!$F$2:$F$33,MATCH($K182,CALC!$A$2:$A$33,0)),0))</f>
        <v/>
      </c>
      <c r="AN182" s="2" t="str">
        <f t="array" ref="AN182">IF($K182="",0,IFERROR(INDEX(CALC!$I$2:$I$33,MATCH($K182,CALC!$A$2:$A$33,0)),0))</f>
        <v/>
      </c>
      <c r="AO182" s="2" t="str">
        <f t="array" ref="AO182">IF($K182="",0,IFERROR(INDEX(CALC!$L$2:$L$33,MATCH($K182,CALC!$A$2:$A$33,0)),0))</f>
        <v/>
      </c>
      <c r="AP182" s="2" t="str">
        <f t="array" ref="AP182">IF($K182="",0,IFERROR(INDEX(CALC!$T$2:$T$33,MATCH($K182,CALC!$A$2:$A$33,0)),0))</f>
        <v/>
      </c>
      <c r="AQ182" s="2" t="str">
        <f t="array" ref="AQ182">IF($K182="",0,IFERROR(INDEX(CALC!$W$2:$W$33,MATCH($K182,CALC!$A$2:$A$33,0)),0))</f>
        <v/>
      </c>
      <c r="AR182" s="2" t="str">
        <f t="array" ref="AR182">IF($K182="",0,IFERROR(INDEX(CALC!$Z$2:$Z$33,MATCH($K182,CALC!$A$2:$A$33,0)),0))</f>
        <v/>
      </c>
      <c r="AS182" s="2" t="str">
        <f t="array" ref="AS182">IF($K182="",0,IFERROR(INDEX(CALC!$AJ$2:$AJ$33,MATCH($K182,CALC!$A$2:$A$33,0)),0))</f>
        <v/>
      </c>
      <c r="AT182" s="2" t="str">
        <f t="array" ref="AT182">IF($K182="",0,IFERROR(INDEX(CALC!$AI$2:$AI$33,MATCH($K182,CALC!$A$2:$A$33,0)),0))</f>
        <v/>
      </c>
      <c r="AU182" s="2">
        <f t="shared" si="11"/>
        <v>0</v>
      </c>
      <c r="AV182" s="2">
        <f t="shared" si="12"/>
        <v>0</v>
      </c>
    </row>
    <row r="183" ht="15.0" customHeight="1">
      <c r="A183" s="2">
        <v>91.0</v>
      </c>
      <c r="B183" s="2" t="s">
        <v>2365</v>
      </c>
      <c r="C183" s="2">
        <f>IFERROR(MATCH($A183,SchedSeq,0),"")</f>
        <v>376</v>
      </c>
      <c r="D183" s="2" t="str">
        <f t="array" ref="D183">IF($C183="","",INDEX(SchedZone,$C183,MAP!$B$6))</f>
        <v>2026_06_BUF_LV</v>
      </c>
      <c r="E183" s="2">
        <f t="array" ref="E183">IF($C183="","",INDEX(SchedZone,$C183,MAP!$B$3))</f>
        <v>2026</v>
      </c>
      <c r="F183" s="2" t="str">
        <f t="array" ref="F183">IF($C183="","",INDEX(SchedZone,$C183,MAP!$B$5))</f>
        <v>REG</v>
      </c>
      <c r="G183" s="2">
        <f t="array" ref="G183">IF($C183="","",INDEX(SchedZone,$C183,MAP!$B$4))</f>
        <v>6</v>
      </c>
      <c r="H183" s="2" t="str">
        <f t="array" ref="H183">IF($C183="","",INDEX(SchedZone,$C183,MAP!$B$12))</f>
        <v>LV</v>
      </c>
      <c r="I183" s="2" t="str">
        <f t="array" ref="I183">IF($H183="","",IF(COUNTIF(Teams,$H183)&gt;0,$H183,IFERROR(INDEX(LISTS!$D$2:$D$12,MATCH($H183,LISTS!$C$2:$C$12,0)),"⚠ "&amp;$H183)))</f>
        <v>LV</v>
      </c>
      <c r="J183" s="2" t="str">
        <f t="array" ref="J183">IF($C183="","",INDEX(SchedZone,$C183,MAP!$B$10))</f>
        <v>BUF</v>
      </c>
      <c r="K183" s="2" t="str">
        <f t="array" ref="K183">IF($J183="","",IF(COUNTIF(Teams,$J183)&gt;0,$J183,IFERROR(INDEX(LISTS!$D$2:$D$12,MATCH($J183,LISTS!$C$2:$C$12,0)),"⚠ "&amp;$J183)))</f>
        <v>BUF</v>
      </c>
      <c r="L183" s="2" t="str">
        <f t="array" ref="L183">IF($C183="","",IF(INDEX(SchedZone,$C183,MAP!$B$14)="Neutral","N",IF($B183="HOME","H","A")))</f>
        <v>H</v>
      </c>
      <c r="M183" s="2" t="str">
        <f t="array" ref="M183">IF($C183="","",IF(INDEX(SchedZone,$C183,MAP!$B$13)="","",INDEX(SchedZone,$C183,MAP!$B$13)))</f>
        <v/>
      </c>
      <c r="N183" s="2" t="str">
        <f t="array" ref="N183">IF($C183="","",IF(INDEX(SchedZone,$C183,MAP!$B$11)="","",INDEX(SchedZone,$C183,MAP!$B$11)))</f>
        <v/>
      </c>
      <c r="O183" s="2">
        <f t="array" ref="O183">IF($C183="","",INDEX(SchedZone,$C183,MAP!$B$16))</f>
        <v>7</v>
      </c>
      <c r="P183" s="2" t="str">
        <f>IF($C183="","",IFERROR(MATCH($E183&amp;"|"&amp;$G183&amp;"|"&amp;$I183,StatsKey,0),""))</f>
        <v/>
      </c>
      <c r="Q183" s="2">
        <f t="array" ref="Q183">IF($P183="",0,INDEX(StatsZone,$P183,MAP!$E$9)+INDEX(StatsZone,$P183,MAP!$E$10)+INDEX(StatsZone,$P183,MAP!$E$11))</f>
        <v>0</v>
      </c>
      <c r="R183" s="2">
        <f t="array" ref="R183">IF($P183="",0,INDEX(StatsZone,$P183,MAP!$E$12))</f>
        <v>0</v>
      </c>
      <c r="S183" s="2">
        <f t="array" ref="S183">IF($P183="",0,INDEX(StatsZone,$P183,MAP!$E$13))</f>
        <v>0</v>
      </c>
      <c r="T183" s="2">
        <f t="shared" si="1"/>
        <v>0</v>
      </c>
      <c r="U183" s="2">
        <f t="array" ref="U183">IF($P183="",0,INDEX(StatsZone,$P183,MAP!$E$14)+INDEX(StatsZone,$P183,MAP!$E$15)+INDEX(StatsZone,$P183,MAP!$E$16))</f>
        <v>0</v>
      </c>
      <c r="V183" s="2">
        <f t="shared" si="2"/>
        <v>0</v>
      </c>
      <c r="W183" s="2">
        <f t="shared" si="3"/>
        <v>0</v>
      </c>
      <c r="X183" s="2">
        <f t="shared" si="4"/>
        <v>0</v>
      </c>
      <c r="Y183" s="2">
        <f t="shared" si="5"/>
        <v>0</v>
      </c>
      <c r="Z183" s="2">
        <f t="shared" si="6"/>
        <v>0</v>
      </c>
      <c r="AA183" s="2">
        <f t="shared" si="7"/>
        <v>1</v>
      </c>
      <c r="AB183" s="2">
        <f>IF(OR($M183="",$N183=""),0,MEDIAN(-MarginCap,MarginCap,($M183-$N183)-$AA183*HFA_Base))</f>
        <v>0</v>
      </c>
      <c r="AC183" s="2">
        <f t="array" ref="AC183">IF(OR($P183="",INDEX($P$3:$P$722,(ROW()+IF(MOD(ROW()-3,2)=0,1,-1))-3+1)=""),0,MEDIAN(-MarginCap,MarginCap,($T183-$W183)-$AA183*HFA_Base))</f>
        <v>0</v>
      </c>
      <c r="AD183" s="2">
        <f t="shared" si="8"/>
        <v>0</v>
      </c>
      <c r="AE183" s="2">
        <f>IF(OR($M183="",$N183=""),0,IF(AND(WEpa&gt;0,$AD183=1),(1-WEpa)*$AB183+WEpa*$AC183,$AB183))</f>
        <v>0</v>
      </c>
      <c r="AF183" s="2">
        <f>IF(AND($C183&lt;&gt;"",$E183=CurrentSeason,$F183="REG",ISNUMBER($G183),$G183&lt;CurrentWeek,AND($M183&lt;&gt;"",$N183&lt;&gt;"")),1,0)</f>
        <v>0</v>
      </c>
      <c r="AG183" s="2">
        <f>IF($AF183=0,0,IF($G183&gt;=CurrentWeek-RecencyWin,RecencyMult,1))</f>
        <v>0</v>
      </c>
      <c r="AH183" s="2">
        <f>IF(AND($C183&lt;&gt;"",$E183=CurrentSeason,$F183="REG",ISNUMBER($G183),$G183&lt;CurrentWeek-1,AND($M183&lt;&gt;"",$N183&lt;&gt;"")),1,0)</f>
        <v>0</v>
      </c>
      <c r="AI183" s="2">
        <f>IF($AH183=0,0,IF($G183&gt;=CurrentWeek-1-RecencyWin,RecencyMult,1))</f>
        <v>0</v>
      </c>
      <c r="AJ183" s="2">
        <f>IF($AF183=0,0,IF($G183&gt;=CurrentWeek-RecencyWin,TotRecency,1))</f>
        <v>0</v>
      </c>
      <c r="AK183" s="2">
        <f t="shared" si="9"/>
        <v>0</v>
      </c>
      <c r="AL183" s="2">
        <f t="shared" si="10"/>
        <v>0</v>
      </c>
      <c r="AM183" s="2" t="str">
        <f t="array" ref="AM183">IF($K183="",0,IFERROR(INDEX(CALC!$F$2:$F$33,MATCH($K183,CALC!$A$2:$A$33,0)),0))</f>
        <v/>
      </c>
      <c r="AN183" s="2" t="str">
        <f t="array" ref="AN183">IF($K183="",0,IFERROR(INDEX(CALC!$I$2:$I$33,MATCH($K183,CALC!$A$2:$A$33,0)),0))</f>
        <v/>
      </c>
      <c r="AO183" s="2" t="str">
        <f t="array" ref="AO183">IF($K183="",0,IFERROR(INDEX(CALC!$L$2:$L$33,MATCH($K183,CALC!$A$2:$A$33,0)),0))</f>
        <v/>
      </c>
      <c r="AP183" s="2" t="str">
        <f t="array" ref="AP183">IF($K183="",0,IFERROR(INDEX(CALC!$T$2:$T$33,MATCH($K183,CALC!$A$2:$A$33,0)),0))</f>
        <v/>
      </c>
      <c r="AQ183" s="2" t="str">
        <f t="array" ref="AQ183">IF($K183="",0,IFERROR(INDEX(CALC!$W$2:$W$33,MATCH($K183,CALC!$A$2:$A$33,0)),0))</f>
        <v/>
      </c>
      <c r="AR183" s="2" t="str">
        <f t="array" ref="AR183">IF($K183="",0,IFERROR(INDEX(CALC!$Z$2:$Z$33,MATCH($K183,CALC!$A$2:$A$33,0)),0))</f>
        <v/>
      </c>
      <c r="AS183" s="2" t="str">
        <f t="array" ref="AS183">IF($K183="",0,IFERROR(INDEX(CALC!$AJ$2:$AJ$33,MATCH($K183,CALC!$A$2:$A$33,0)),0))</f>
        <v/>
      </c>
      <c r="AT183" s="2" t="str">
        <f t="array" ref="AT183">IF($K183="",0,IFERROR(INDEX(CALC!$AI$2:$AI$33,MATCH($K183,CALC!$A$2:$A$33,0)),0))</f>
        <v/>
      </c>
      <c r="AU183" s="2">
        <f t="shared" si="11"/>
        <v>0</v>
      </c>
      <c r="AV183" s="2">
        <f t="shared" si="12"/>
        <v>0</v>
      </c>
    </row>
    <row r="184" ht="15.0" customHeight="1">
      <c r="A184" s="2">
        <v>91.0</v>
      </c>
      <c r="B184" s="2" t="s">
        <v>2366</v>
      </c>
      <c r="C184" s="2">
        <f>IFERROR(MATCH($A184,SchedSeq,0),"")</f>
        <v>376</v>
      </c>
      <c r="D184" s="2" t="str">
        <f t="array" ref="D184">IF($C184="","",INDEX(SchedZone,$C184,MAP!$B$6))</f>
        <v>2026_06_BUF_LV</v>
      </c>
      <c r="E184" s="2">
        <f t="array" ref="E184">IF($C184="","",INDEX(SchedZone,$C184,MAP!$B$3))</f>
        <v>2026</v>
      </c>
      <c r="F184" s="2" t="str">
        <f t="array" ref="F184">IF($C184="","",INDEX(SchedZone,$C184,MAP!$B$5))</f>
        <v>REG</v>
      </c>
      <c r="G184" s="2">
        <f t="array" ref="G184">IF($C184="","",INDEX(SchedZone,$C184,MAP!$B$4))</f>
        <v>6</v>
      </c>
      <c r="H184" s="2" t="str">
        <f t="array" ref="H184">IF($C184="","",INDEX(SchedZone,$C184,MAP!$B$10))</f>
        <v>BUF</v>
      </c>
      <c r="I184" s="2" t="str">
        <f t="array" ref="I184">IF($H184="","",IF(COUNTIF(Teams,$H184)&gt;0,$H184,IFERROR(INDEX(LISTS!$D$2:$D$12,MATCH($H184,LISTS!$C$2:$C$12,0)),"⚠ "&amp;$H184)))</f>
        <v>BUF</v>
      </c>
      <c r="J184" s="2" t="str">
        <f t="array" ref="J184">IF($C184="","",INDEX(SchedZone,$C184,MAP!$B$12))</f>
        <v>LV</v>
      </c>
      <c r="K184" s="2" t="str">
        <f t="array" ref="K184">IF($J184="","",IF(COUNTIF(Teams,$J184)&gt;0,$J184,IFERROR(INDEX(LISTS!$D$2:$D$12,MATCH($J184,LISTS!$C$2:$C$12,0)),"⚠ "&amp;$J184)))</f>
        <v>LV</v>
      </c>
      <c r="L184" s="2" t="str">
        <f t="array" ref="L184">IF($C184="","",IF(INDEX(SchedZone,$C184,MAP!$B$14)="Neutral","N",IF($B184="HOME","H","A")))</f>
        <v>A</v>
      </c>
      <c r="M184" s="2" t="str">
        <f t="array" ref="M184">IF($C184="","",IF(INDEX(SchedZone,$C184,MAP!$B$11)="","",INDEX(SchedZone,$C184,MAP!$B$11)))</f>
        <v/>
      </c>
      <c r="N184" s="2" t="str">
        <f t="array" ref="N184">IF($C184="","",IF(INDEX(SchedZone,$C184,MAP!$B$13)="","",INDEX(SchedZone,$C184,MAP!$B$13)))</f>
        <v/>
      </c>
      <c r="O184" s="2">
        <f t="array" ref="O184">IF($C184="","",INDEX(SchedZone,$C184,MAP!$B$15))</f>
        <v>6</v>
      </c>
      <c r="P184" s="2" t="str">
        <f>IF($C184="","",IFERROR(MATCH($E184&amp;"|"&amp;$G184&amp;"|"&amp;$I184,StatsKey,0),""))</f>
        <v/>
      </c>
      <c r="Q184" s="2">
        <f t="array" ref="Q184">IF($P184="",0,INDEX(StatsZone,$P184,MAP!$E$9)+INDEX(StatsZone,$P184,MAP!$E$10)+INDEX(StatsZone,$P184,MAP!$E$11))</f>
        <v>0</v>
      </c>
      <c r="R184" s="2">
        <f t="array" ref="R184">IF($P184="",0,INDEX(StatsZone,$P184,MAP!$E$12))</f>
        <v>0</v>
      </c>
      <c r="S184" s="2">
        <f t="array" ref="S184">IF($P184="",0,INDEX(StatsZone,$P184,MAP!$E$13))</f>
        <v>0</v>
      </c>
      <c r="T184" s="2">
        <f t="shared" si="1"/>
        <v>0</v>
      </c>
      <c r="U184" s="2">
        <f t="array" ref="U184">IF($P184="",0,INDEX(StatsZone,$P184,MAP!$E$14)+INDEX(StatsZone,$P184,MAP!$E$15)+INDEX(StatsZone,$P184,MAP!$E$16))</f>
        <v>0</v>
      </c>
      <c r="V184" s="2">
        <f t="shared" si="2"/>
        <v>0</v>
      </c>
      <c r="W184" s="2">
        <f t="shared" si="3"/>
        <v>0</v>
      </c>
      <c r="X184" s="2">
        <f t="shared" si="4"/>
        <v>0</v>
      </c>
      <c r="Y184" s="2">
        <f t="shared" si="5"/>
        <v>0</v>
      </c>
      <c r="Z184" s="2">
        <f t="shared" si="6"/>
        <v>0</v>
      </c>
      <c r="AA184" s="2">
        <f t="shared" si="7"/>
        <v>-1</v>
      </c>
      <c r="AB184" s="2">
        <f>IF(OR($M184="",$N184=""),0,MEDIAN(-MarginCap,MarginCap,($M184-$N184)-$AA184*HFA_Base))</f>
        <v>0</v>
      </c>
      <c r="AC184" s="2">
        <f t="array" ref="AC184">IF(OR($P184="",INDEX($P$3:$P$722,(ROW()+IF(MOD(ROW()-3,2)=0,1,-1))-3+1)=""),0,MEDIAN(-MarginCap,MarginCap,($T184-$W184)-$AA184*HFA_Base))</f>
        <v>0</v>
      </c>
      <c r="AD184" s="2">
        <f t="shared" si="8"/>
        <v>0</v>
      </c>
      <c r="AE184" s="2">
        <f>IF(OR($M184="",$N184=""),0,IF(AND(WEpa&gt;0,$AD184=1),(1-WEpa)*$AB184+WEpa*$AC184,$AB184))</f>
        <v>0</v>
      </c>
      <c r="AF184" s="2">
        <f>IF(AND($C184&lt;&gt;"",$E184=CurrentSeason,$F184="REG",ISNUMBER($G184),$G184&lt;CurrentWeek,AND($M184&lt;&gt;"",$N184&lt;&gt;"")),1,0)</f>
        <v>0</v>
      </c>
      <c r="AG184" s="2">
        <f>IF($AF184=0,0,IF($G184&gt;=CurrentWeek-RecencyWin,RecencyMult,1))</f>
        <v>0</v>
      </c>
      <c r="AH184" s="2">
        <f>IF(AND($C184&lt;&gt;"",$E184=CurrentSeason,$F184="REG",ISNUMBER($G184),$G184&lt;CurrentWeek-1,AND($M184&lt;&gt;"",$N184&lt;&gt;"")),1,0)</f>
        <v>0</v>
      </c>
      <c r="AI184" s="2">
        <f>IF($AH184=0,0,IF($G184&gt;=CurrentWeek-1-RecencyWin,RecencyMult,1))</f>
        <v>0</v>
      </c>
      <c r="AJ184" s="2">
        <f>IF($AF184=0,0,IF($G184&gt;=CurrentWeek-RecencyWin,TotRecency,1))</f>
        <v>0</v>
      </c>
      <c r="AK184" s="2">
        <f t="shared" si="9"/>
        <v>0</v>
      </c>
      <c r="AL184" s="2">
        <f t="shared" si="10"/>
        <v>0</v>
      </c>
      <c r="AM184" s="2" t="str">
        <f t="array" ref="AM184">IF($K184="",0,IFERROR(INDEX(CALC!$F$2:$F$33,MATCH($K184,CALC!$A$2:$A$33,0)),0))</f>
        <v/>
      </c>
      <c r="AN184" s="2" t="str">
        <f t="array" ref="AN184">IF($K184="",0,IFERROR(INDEX(CALC!$I$2:$I$33,MATCH($K184,CALC!$A$2:$A$33,0)),0))</f>
        <v/>
      </c>
      <c r="AO184" s="2" t="str">
        <f t="array" ref="AO184">IF($K184="",0,IFERROR(INDEX(CALC!$L$2:$L$33,MATCH($K184,CALC!$A$2:$A$33,0)),0))</f>
        <v/>
      </c>
      <c r="AP184" s="2" t="str">
        <f t="array" ref="AP184">IF($K184="",0,IFERROR(INDEX(CALC!$T$2:$T$33,MATCH($K184,CALC!$A$2:$A$33,0)),0))</f>
        <v/>
      </c>
      <c r="AQ184" s="2" t="str">
        <f t="array" ref="AQ184">IF($K184="",0,IFERROR(INDEX(CALC!$W$2:$W$33,MATCH($K184,CALC!$A$2:$A$33,0)),0))</f>
        <v/>
      </c>
      <c r="AR184" s="2" t="str">
        <f t="array" ref="AR184">IF($K184="",0,IFERROR(INDEX(CALC!$Z$2:$Z$33,MATCH($K184,CALC!$A$2:$A$33,0)),0))</f>
        <v/>
      </c>
      <c r="AS184" s="2" t="str">
        <f t="array" ref="AS184">IF($K184="",0,IFERROR(INDEX(CALC!$AJ$2:$AJ$33,MATCH($K184,CALC!$A$2:$A$33,0)),0))</f>
        <v/>
      </c>
      <c r="AT184" s="2" t="str">
        <f t="array" ref="AT184">IF($K184="",0,IFERROR(INDEX(CALC!$AI$2:$AI$33,MATCH($K184,CALC!$A$2:$A$33,0)),0))</f>
        <v/>
      </c>
      <c r="AU184" s="2">
        <f t="shared" si="11"/>
        <v>0</v>
      </c>
      <c r="AV184" s="2">
        <f t="shared" si="12"/>
        <v>0</v>
      </c>
    </row>
    <row r="185" ht="15.0" customHeight="1">
      <c r="A185" s="2">
        <v>92.0</v>
      </c>
      <c r="B185" s="2" t="s">
        <v>2365</v>
      </c>
      <c r="C185" s="2">
        <f>IFERROR(MATCH($A185,SchedSeq,0),"")</f>
        <v>377</v>
      </c>
      <c r="D185" s="2" t="str">
        <f t="array" ref="D185">IF($C185="","",INDEX(SchedZone,$C185,MAP!$B$6))</f>
        <v>2026_06_DAL_GB</v>
      </c>
      <c r="E185" s="2">
        <f t="array" ref="E185">IF($C185="","",INDEX(SchedZone,$C185,MAP!$B$3))</f>
        <v>2026</v>
      </c>
      <c r="F185" s="2" t="str">
        <f t="array" ref="F185">IF($C185="","",INDEX(SchedZone,$C185,MAP!$B$5))</f>
        <v>REG</v>
      </c>
      <c r="G185" s="2">
        <f t="array" ref="G185">IF($C185="","",INDEX(SchedZone,$C185,MAP!$B$4))</f>
        <v>6</v>
      </c>
      <c r="H185" s="2" t="str">
        <f t="array" ref="H185">IF($C185="","",INDEX(SchedZone,$C185,MAP!$B$12))</f>
        <v>GB</v>
      </c>
      <c r="I185" s="2" t="str">
        <f t="array" ref="I185">IF($H185="","",IF(COUNTIF(Teams,$H185)&gt;0,$H185,IFERROR(INDEX(LISTS!$D$2:$D$12,MATCH($H185,LISTS!$C$2:$C$12,0)),"⚠ "&amp;$H185)))</f>
        <v>GB</v>
      </c>
      <c r="J185" s="2" t="str">
        <f t="array" ref="J185">IF($C185="","",INDEX(SchedZone,$C185,MAP!$B$10))</f>
        <v>DAL</v>
      </c>
      <c r="K185" s="2" t="str">
        <f t="array" ref="K185">IF($J185="","",IF(COUNTIF(Teams,$J185)&gt;0,$J185,IFERROR(INDEX(LISTS!$D$2:$D$12,MATCH($J185,LISTS!$C$2:$C$12,0)),"⚠ "&amp;$J185)))</f>
        <v>DAL</v>
      </c>
      <c r="L185" s="2" t="str">
        <f t="array" ref="L185">IF($C185="","",IF(INDEX(SchedZone,$C185,MAP!$B$14)="Neutral","N",IF($B185="HOME","H","A")))</f>
        <v>H</v>
      </c>
      <c r="M185" s="2" t="str">
        <f t="array" ref="M185">IF($C185="","",IF(INDEX(SchedZone,$C185,MAP!$B$13)="","",INDEX(SchedZone,$C185,MAP!$B$13)))</f>
        <v/>
      </c>
      <c r="N185" s="2" t="str">
        <f t="array" ref="N185">IF($C185="","",IF(INDEX(SchedZone,$C185,MAP!$B$11)="","",INDEX(SchedZone,$C185,MAP!$B$11)))</f>
        <v/>
      </c>
      <c r="O185" s="2">
        <f t="array" ref="O185">IF($C185="","",INDEX(SchedZone,$C185,MAP!$B$16))</f>
        <v>7</v>
      </c>
      <c r="P185" s="2" t="str">
        <f>IF($C185="","",IFERROR(MATCH($E185&amp;"|"&amp;$G185&amp;"|"&amp;$I185,StatsKey,0),""))</f>
        <v/>
      </c>
      <c r="Q185" s="2">
        <f t="array" ref="Q185">IF($P185="",0,INDEX(StatsZone,$P185,MAP!$E$9)+INDEX(StatsZone,$P185,MAP!$E$10)+INDEX(StatsZone,$P185,MAP!$E$11))</f>
        <v>0</v>
      </c>
      <c r="R185" s="2">
        <f t="array" ref="R185">IF($P185="",0,INDEX(StatsZone,$P185,MAP!$E$12))</f>
        <v>0</v>
      </c>
      <c r="S185" s="2">
        <f t="array" ref="S185">IF($P185="",0,INDEX(StatsZone,$P185,MAP!$E$13))</f>
        <v>0</v>
      </c>
      <c r="T185" s="2">
        <f t="shared" si="1"/>
        <v>0</v>
      </c>
      <c r="U185" s="2">
        <f t="array" ref="U185">IF($P185="",0,INDEX(StatsZone,$P185,MAP!$E$14)+INDEX(StatsZone,$P185,MAP!$E$15)+INDEX(StatsZone,$P185,MAP!$E$16))</f>
        <v>0</v>
      </c>
      <c r="V185" s="2">
        <f t="shared" si="2"/>
        <v>0</v>
      </c>
      <c r="W185" s="2">
        <f t="shared" si="3"/>
        <v>0</v>
      </c>
      <c r="X185" s="2">
        <f t="shared" si="4"/>
        <v>0</v>
      </c>
      <c r="Y185" s="2">
        <f t="shared" si="5"/>
        <v>0</v>
      </c>
      <c r="Z185" s="2">
        <f t="shared" si="6"/>
        <v>0</v>
      </c>
      <c r="AA185" s="2">
        <f t="shared" si="7"/>
        <v>1</v>
      </c>
      <c r="AB185" s="2">
        <f>IF(OR($M185="",$N185=""),0,MEDIAN(-MarginCap,MarginCap,($M185-$N185)-$AA185*HFA_Base))</f>
        <v>0</v>
      </c>
      <c r="AC185" s="2">
        <f t="array" ref="AC185">IF(OR($P185="",INDEX($P$3:$P$722,(ROW()+IF(MOD(ROW()-3,2)=0,1,-1))-3+1)=""),0,MEDIAN(-MarginCap,MarginCap,($T185-$W185)-$AA185*HFA_Base))</f>
        <v>0</v>
      </c>
      <c r="AD185" s="2">
        <f t="shared" si="8"/>
        <v>0</v>
      </c>
      <c r="AE185" s="2">
        <f>IF(OR($M185="",$N185=""),0,IF(AND(WEpa&gt;0,$AD185=1),(1-WEpa)*$AB185+WEpa*$AC185,$AB185))</f>
        <v>0</v>
      </c>
      <c r="AF185" s="2">
        <f>IF(AND($C185&lt;&gt;"",$E185=CurrentSeason,$F185="REG",ISNUMBER($G185),$G185&lt;CurrentWeek,AND($M185&lt;&gt;"",$N185&lt;&gt;"")),1,0)</f>
        <v>0</v>
      </c>
      <c r="AG185" s="2">
        <f>IF($AF185=0,0,IF($G185&gt;=CurrentWeek-RecencyWin,RecencyMult,1))</f>
        <v>0</v>
      </c>
      <c r="AH185" s="2">
        <f>IF(AND($C185&lt;&gt;"",$E185=CurrentSeason,$F185="REG",ISNUMBER($G185),$G185&lt;CurrentWeek-1,AND($M185&lt;&gt;"",$N185&lt;&gt;"")),1,0)</f>
        <v>0</v>
      </c>
      <c r="AI185" s="2">
        <f>IF($AH185=0,0,IF($G185&gt;=CurrentWeek-1-RecencyWin,RecencyMult,1))</f>
        <v>0</v>
      </c>
      <c r="AJ185" s="2">
        <f>IF($AF185=0,0,IF($G185&gt;=CurrentWeek-RecencyWin,TotRecency,1))</f>
        <v>0</v>
      </c>
      <c r="AK185" s="2">
        <f t="shared" si="9"/>
        <v>0</v>
      </c>
      <c r="AL185" s="2">
        <f t="shared" si="10"/>
        <v>0</v>
      </c>
      <c r="AM185" s="2" t="str">
        <f t="array" ref="AM185">IF($K185="",0,IFERROR(INDEX(CALC!$F$2:$F$33,MATCH($K185,CALC!$A$2:$A$33,0)),0))</f>
        <v/>
      </c>
      <c r="AN185" s="2" t="str">
        <f t="array" ref="AN185">IF($K185="",0,IFERROR(INDEX(CALC!$I$2:$I$33,MATCH($K185,CALC!$A$2:$A$33,0)),0))</f>
        <v/>
      </c>
      <c r="AO185" s="2" t="str">
        <f t="array" ref="AO185">IF($K185="",0,IFERROR(INDEX(CALC!$L$2:$L$33,MATCH($K185,CALC!$A$2:$A$33,0)),0))</f>
        <v/>
      </c>
      <c r="AP185" s="2" t="str">
        <f t="array" ref="AP185">IF($K185="",0,IFERROR(INDEX(CALC!$T$2:$T$33,MATCH($K185,CALC!$A$2:$A$33,0)),0))</f>
        <v/>
      </c>
      <c r="AQ185" s="2" t="str">
        <f t="array" ref="AQ185">IF($K185="",0,IFERROR(INDEX(CALC!$W$2:$W$33,MATCH($K185,CALC!$A$2:$A$33,0)),0))</f>
        <v/>
      </c>
      <c r="AR185" s="2" t="str">
        <f t="array" ref="AR185">IF($K185="",0,IFERROR(INDEX(CALC!$Z$2:$Z$33,MATCH($K185,CALC!$A$2:$A$33,0)),0))</f>
        <v/>
      </c>
      <c r="AS185" s="2" t="str">
        <f t="array" ref="AS185">IF($K185="",0,IFERROR(INDEX(CALC!$AJ$2:$AJ$33,MATCH($K185,CALC!$A$2:$A$33,0)),0))</f>
        <v/>
      </c>
      <c r="AT185" s="2" t="str">
        <f t="array" ref="AT185">IF($K185="",0,IFERROR(INDEX(CALC!$AI$2:$AI$33,MATCH($K185,CALC!$A$2:$A$33,0)),0))</f>
        <v/>
      </c>
      <c r="AU185" s="2">
        <f t="shared" si="11"/>
        <v>0</v>
      </c>
      <c r="AV185" s="2">
        <f t="shared" si="12"/>
        <v>0</v>
      </c>
    </row>
    <row r="186" ht="15.0" customHeight="1">
      <c r="A186" s="2">
        <v>92.0</v>
      </c>
      <c r="B186" s="2" t="s">
        <v>2366</v>
      </c>
      <c r="C186" s="2">
        <f>IFERROR(MATCH($A186,SchedSeq,0),"")</f>
        <v>377</v>
      </c>
      <c r="D186" s="2" t="str">
        <f t="array" ref="D186">IF($C186="","",INDEX(SchedZone,$C186,MAP!$B$6))</f>
        <v>2026_06_DAL_GB</v>
      </c>
      <c r="E186" s="2">
        <f t="array" ref="E186">IF($C186="","",INDEX(SchedZone,$C186,MAP!$B$3))</f>
        <v>2026</v>
      </c>
      <c r="F186" s="2" t="str">
        <f t="array" ref="F186">IF($C186="","",INDEX(SchedZone,$C186,MAP!$B$5))</f>
        <v>REG</v>
      </c>
      <c r="G186" s="2">
        <f t="array" ref="G186">IF($C186="","",INDEX(SchedZone,$C186,MAP!$B$4))</f>
        <v>6</v>
      </c>
      <c r="H186" s="2" t="str">
        <f t="array" ref="H186">IF($C186="","",INDEX(SchedZone,$C186,MAP!$B$10))</f>
        <v>DAL</v>
      </c>
      <c r="I186" s="2" t="str">
        <f t="array" ref="I186">IF($H186="","",IF(COUNTIF(Teams,$H186)&gt;0,$H186,IFERROR(INDEX(LISTS!$D$2:$D$12,MATCH($H186,LISTS!$C$2:$C$12,0)),"⚠ "&amp;$H186)))</f>
        <v>DAL</v>
      </c>
      <c r="J186" s="2" t="str">
        <f t="array" ref="J186">IF($C186="","",INDEX(SchedZone,$C186,MAP!$B$12))</f>
        <v>GB</v>
      </c>
      <c r="K186" s="2" t="str">
        <f t="array" ref="K186">IF($J186="","",IF(COUNTIF(Teams,$J186)&gt;0,$J186,IFERROR(INDEX(LISTS!$D$2:$D$12,MATCH($J186,LISTS!$C$2:$C$12,0)),"⚠ "&amp;$J186)))</f>
        <v>GB</v>
      </c>
      <c r="L186" s="2" t="str">
        <f t="array" ref="L186">IF($C186="","",IF(INDEX(SchedZone,$C186,MAP!$B$14)="Neutral","N",IF($B186="HOME","H","A")))</f>
        <v>A</v>
      </c>
      <c r="M186" s="2" t="str">
        <f t="array" ref="M186">IF($C186="","",IF(INDEX(SchedZone,$C186,MAP!$B$11)="","",INDEX(SchedZone,$C186,MAP!$B$11)))</f>
        <v/>
      </c>
      <c r="N186" s="2" t="str">
        <f t="array" ref="N186">IF($C186="","",IF(INDEX(SchedZone,$C186,MAP!$B$13)="","",INDEX(SchedZone,$C186,MAP!$B$13)))</f>
        <v/>
      </c>
      <c r="O186" s="2">
        <f t="array" ref="O186">IF($C186="","",INDEX(SchedZone,$C186,MAP!$B$15))</f>
        <v>10</v>
      </c>
      <c r="P186" s="2" t="str">
        <f>IF($C186="","",IFERROR(MATCH($E186&amp;"|"&amp;$G186&amp;"|"&amp;$I186,StatsKey,0),""))</f>
        <v/>
      </c>
      <c r="Q186" s="2">
        <f t="array" ref="Q186">IF($P186="",0,INDEX(StatsZone,$P186,MAP!$E$9)+INDEX(StatsZone,$P186,MAP!$E$10)+INDEX(StatsZone,$P186,MAP!$E$11))</f>
        <v>0</v>
      </c>
      <c r="R186" s="2">
        <f t="array" ref="R186">IF($P186="",0,INDEX(StatsZone,$P186,MAP!$E$12))</f>
        <v>0</v>
      </c>
      <c r="S186" s="2">
        <f t="array" ref="S186">IF($P186="",0,INDEX(StatsZone,$P186,MAP!$E$13))</f>
        <v>0</v>
      </c>
      <c r="T186" s="2">
        <f t="shared" si="1"/>
        <v>0</v>
      </c>
      <c r="U186" s="2">
        <f t="array" ref="U186">IF($P186="",0,INDEX(StatsZone,$P186,MAP!$E$14)+INDEX(StatsZone,$P186,MAP!$E$15)+INDEX(StatsZone,$P186,MAP!$E$16))</f>
        <v>0</v>
      </c>
      <c r="V186" s="2">
        <f t="shared" si="2"/>
        <v>0</v>
      </c>
      <c r="W186" s="2">
        <f t="shared" si="3"/>
        <v>0</v>
      </c>
      <c r="X186" s="2">
        <f t="shared" si="4"/>
        <v>0</v>
      </c>
      <c r="Y186" s="2">
        <f t="shared" si="5"/>
        <v>0</v>
      </c>
      <c r="Z186" s="2">
        <f t="shared" si="6"/>
        <v>0</v>
      </c>
      <c r="AA186" s="2">
        <f t="shared" si="7"/>
        <v>-1</v>
      </c>
      <c r="AB186" s="2">
        <f>IF(OR($M186="",$N186=""),0,MEDIAN(-MarginCap,MarginCap,($M186-$N186)-$AA186*HFA_Base))</f>
        <v>0</v>
      </c>
      <c r="AC186" s="2">
        <f t="array" ref="AC186">IF(OR($P186="",INDEX($P$3:$P$722,(ROW()+IF(MOD(ROW()-3,2)=0,1,-1))-3+1)=""),0,MEDIAN(-MarginCap,MarginCap,($T186-$W186)-$AA186*HFA_Base))</f>
        <v>0</v>
      </c>
      <c r="AD186" s="2">
        <f t="shared" si="8"/>
        <v>0</v>
      </c>
      <c r="AE186" s="2">
        <f>IF(OR($M186="",$N186=""),0,IF(AND(WEpa&gt;0,$AD186=1),(1-WEpa)*$AB186+WEpa*$AC186,$AB186))</f>
        <v>0</v>
      </c>
      <c r="AF186" s="2">
        <f>IF(AND($C186&lt;&gt;"",$E186=CurrentSeason,$F186="REG",ISNUMBER($G186),$G186&lt;CurrentWeek,AND($M186&lt;&gt;"",$N186&lt;&gt;"")),1,0)</f>
        <v>0</v>
      </c>
      <c r="AG186" s="2">
        <f>IF($AF186=0,0,IF($G186&gt;=CurrentWeek-RecencyWin,RecencyMult,1))</f>
        <v>0</v>
      </c>
      <c r="AH186" s="2">
        <f>IF(AND($C186&lt;&gt;"",$E186=CurrentSeason,$F186="REG",ISNUMBER($G186),$G186&lt;CurrentWeek-1,AND($M186&lt;&gt;"",$N186&lt;&gt;"")),1,0)</f>
        <v>0</v>
      </c>
      <c r="AI186" s="2">
        <f>IF($AH186=0,0,IF($G186&gt;=CurrentWeek-1-RecencyWin,RecencyMult,1))</f>
        <v>0</v>
      </c>
      <c r="AJ186" s="2">
        <f>IF($AF186=0,0,IF($G186&gt;=CurrentWeek-RecencyWin,TotRecency,1))</f>
        <v>0</v>
      </c>
      <c r="AK186" s="2">
        <f t="shared" si="9"/>
        <v>0</v>
      </c>
      <c r="AL186" s="2">
        <f t="shared" si="10"/>
        <v>0</v>
      </c>
      <c r="AM186" s="2" t="str">
        <f t="array" ref="AM186">IF($K186="",0,IFERROR(INDEX(CALC!$F$2:$F$33,MATCH($K186,CALC!$A$2:$A$33,0)),0))</f>
        <v/>
      </c>
      <c r="AN186" s="2" t="str">
        <f t="array" ref="AN186">IF($K186="",0,IFERROR(INDEX(CALC!$I$2:$I$33,MATCH($K186,CALC!$A$2:$A$33,0)),0))</f>
        <v/>
      </c>
      <c r="AO186" s="2" t="str">
        <f t="array" ref="AO186">IF($K186="",0,IFERROR(INDEX(CALC!$L$2:$L$33,MATCH($K186,CALC!$A$2:$A$33,0)),0))</f>
        <v/>
      </c>
      <c r="AP186" s="2" t="str">
        <f t="array" ref="AP186">IF($K186="",0,IFERROR(INDEX(CALC!$T$2:$T$33,MATCH($K186,CALC!$A$2:$A$33,0)),0))</f>
        <v/>
      </c>
      <c r="AQ186" s="2" t="str">
        <f t="array" ref="AQ186">IF($K186="",0,IFERROR(INDEX(CALC!$W$2:$W$33,MATCH($K186,CALC!$A$2:$A$33,0)),0))</f>
        <v/>
      </c>
      <c r="AR186" s="2" t="str">
        <f t="array" ref="AR186">IF($K186="",0,IFERROR(INDEX(CALC!$Z$2:$Z$33,MATCH($K186,CALC!$A$2:$A$33,0)),0))</f>
        <v/>
      </c>
      <c r="AS186" s="2" t="str">
        <f t="array" ref="AS186">IF($K186="",0,IFERROR(INDEX(CALC!$AJ$2:$AJ$33,MATCH($K186,CALC!$A$2:$A$33,0)),0))</f>
        <v/>
      </c>
      <c r="AT186" s="2" t="str">
        <f t="array" ref="AT186">IF($K186="",0,IFERROR(INDEX(CALC!$AI$2:$AI$33,MATCH($K186,CALC!$A$2:$A$33,0)),0))</f>
        <v/>
      </c>
      <c r="AU186" s="2">
        <f t="shared" si="11"/>
        <v>0</v>
      </c>
      <c r="AV186" s="2">
        <f t="shared" si="12"/>
        <v>0</v>
      </c>
    </row>
    <row r="187" ht="15.0" customHeight="1">
      <c r="A187" s="2">
        <v>93.0</v>
      </c>
      <c r="B187" s="2" t="s">
        <v>2365</v>
      </c>
      <c r="C187" s="2">
        <f>IFERROR(MATCH($A187,SchedSeq,0),"")</f>
        <v>378</v>
      </c>
      <c r="D187" s="2" t="str">
        <f t="array" ref="D187">IF($C187="","",INDEX(SchedZone,$C187,MAP!$B$6))</f>
        <v>2026_06_WAS_SF</v>
      </c>
      <c r="E187" s="2">
        <f t="array" ref="E187">IF($C187="","",INDEX(SchedZone,$C187,MAP!$B$3))</f>
        <v>2026</v>
      </c>
      <c r="F187" s="2" t="str">
        <f t="array" ref="F187">IF($C187="","",INDEX(SchedZone,$C187,MAP!$B$5))</f>
        <v>REG</v>
      </c>
      <c r="G187" s="2">
        <f t="array" ref="G187">IF($C187="","",INDEX(SchedZone,$C187,MAP!$B$4))</f>
        <v>6</v>
      </c>
      <c r="H187" s="2" t="str">
        <f t="array" ref="H187">IF($C187="","",INDEX(SchedZone,$C187,MAP!$B$12))</f>
        <v>SF</v>
      </c>
      <c r="I187" s="2" t="str">
        <f t="array" ref="I187">IF($H187="","",IF(COUNTIF(Teams,$H187)&gt;0,$H187,IFERROR(INDEX(LISTS!$D$2:$D$12,MATCH($H187,LISTS!$C$2:$C$12,0)),"⚠ "&amp;$H187)))</f>
        <v>SF</v>
      </c>
      <c r="J187" s="2" t="str">
        <f t="array" ref="J187">IF($C187="","",INDEX(SchedZone,$C187,MAP!$B$10))</f>
        <v>WAS</v>
      </c>
      <c r="K187" s="2" t="str">
        <f t="array" ref="K187">IF($J187="","",IF(COUNTIF(Teams,$J187)&gt;0,$J187,IFERROR(INDEX(LISTS!$D$2:$D$12,MATCH($J187,LISTS!$C$2:$C$12,0)),"⚠ "&amp;$J187)))</f>
        <v>WAS</v>
      </c>
      <c r="L187" s="2" t="str">
        <f t="array" ref="L187">IF($C187="","",IF(INDEX(SchedZone,$C187,MAP!$B$14)="Neutral","N",IF($B187="HOME","H","A")))</f>
        <v>H</v>
      </c>
      <c r="M187" s="2" t="str">
        <f t="array" ref="M187">IF($C187="","",IF(INDEX(SchedZone,$C187,MAP!$B$13)="","",INDEX(SchedZone,$C187,MAP!$B$13)))</f>
        <v/>
      </c>
      <c r="N187" s="2" t="str">
        <f t="array" ref="N187">IF($C187="","",IF(INDEX(SchedZone,$C187,MAP!$B$11)="","",INDEX(SchedZone,$C187,MAP!$B$11)))</f>
        <v/>
      </c>
      <c r="O187" s="2">
        <f t="array" ref="O187">IF($C187="","",INDEX(SchedZone,$C187,MAP!$B$16))</f>
        <v>8</v>
      </c>
      <c r="P187" s="2" t="str">
        <f>IF($C187="","",IFERROR(MATCH($E187&amp;"|"&amp;$G187&amp;"|"&amp;$I187,StatsKey,0),""))</f>
        <v/>
      </c>
      <c r="Q187" s="2">
        <f t="array" ref="Q187">IF($P187="",0,INDEX(StatsZone,$P187,MAP!$E$9)+INDEX(StatsZone,$P187,MAP!$E$10)+INDEX(StatsZone,$P187,MAP!$E$11))</f>
        <v>0</v>
      </c>
      <c r="R187" s="2">
        <f t="array" ref="R187">IF($P187="",0,INDEX(StatsZone,$P187,MAP!$E$12))</f>
        <v>0</v>
      </c>
      <c r="S187" s="2">
        <f t="array" ref="S187">IF($P187="",0,INDEX(StatsZone,$P187,MAP!$E$13))</f>
        <v>0</v>
      </c>
      <c r="T187" s="2">
        <f t="shared" si="1"/>
        <v>0</v>
      </c>
      <c r="U187" s="2">
        <f t="array" ref="U187">IF($P187="",0,INDEX(StatsZone,$P187,MAP!$E$14)+INDEX(StatsZone,$P187,MAP!$E$15)+INDEX(StatsZone,$P187,MAP!$E$16))</f>
        <v>0</v>
      </c>
      <c r="V187" s="2">
        <f t="shared" si="2"/>
        <v>0</v>
      </c>
      <c r="W187" s="2">
        <f t="shared" si="3"/>
        <v>0</v>
      </c>
      <c r="X187" s="2">
        <f t="shared" si="4"/>
        <v>0</v>
      </c>
      <c r="Y187" s="2">
        <f t="shared" si="5"/>
        <v>0</v>
      </c>
      <c r="Z187" s="2">
        <f t="shared" si="6"/>
        <v>0</v>
      </c>
      <c r="AA187" s="2">
        <f t="shared" si="7"/>
        <v>1</v>
      </c>
      <c r="AB187" s="2">
        <f>IF(OR($M187="",$N187=""),0,MEDIAN(-MarginCap,MarginCap,($M187-$N187)-$AA187*HFA_Base))</f>
        <v>0</v>
      </c>
      <c r="AC187" s="2">
        <f t="array" ref="AC187">IF(OR($P187="",INDEX($P$3:$P$722,(ROW()+IF(MOD(ROW()-3,2)=0,1,-1))-3+1)=""),0,MEDIAN(-MarginCap,MarginCap,($T187-$W187)-$AA187*HFA_Base))</f>
        <v>0</v>
      </c>
      <c r="AD187" s="2">
        <f t="shared" si="8"/>
        <v>0</v>
      </c>
      <c r="AE187" s="2">
        <f>IF(OR($M187="",$N187=""),0,IF(AND(WEpa&gt;0,$AD187=1),(1-WEpa)*$AB187+WEpa*$AC187,$AB187))</f>
        <v>0</v>
      </c>
      <c r="AF187" s="2">
        <f>IF(AND($C187&lt;&gt;"",$E187=CurrentSeason,$F187="REG",ISNUMBER($G187),$G187&lt;CurrentWeek,AND($M187&lt;&gt;"",$N187&lt;&gt;"")),1,0)</f>
        <v>0</v>
      </c>
      <c r="AG187" s="2">
        <f>IF($AF187=0,0,IF($G187&gt;=CurrentWeek-RecencyWin,RecencyMult,1))</f>
        <v>0</v>
      </c>
      <c r="AH187" s="2">
        <f>IF(AND($C187&lt;&gt;"",$E187=CurrentSeason,$F187="REG",ISNUMBER($G187),$G187&lt;CurrentWeek-1,AND($M187&lt;&gt;"",$N187&lt;&gt;"")),1,0)</f>
        <v>0</v>
      </c>
      <c r="AI187" s="2">
        <f>IF($AH187=0,0,IF($G187&gt;=CurrentWeek-1-RecencyWin,RecencyMult,1))</f>
        <v>0</v>
      </c>
      <c r="AJ187" s="2">
        <f>IF($AF187=0,0,IF($G187&gt;=CurrentWeek-RecencyWin,TotRecency,1))</f>
        <v>0</v>
      </c>
      <c r="AK187" s="2">
        <f t="shared" si="9"/>
        <v>0</v>
      </c>
      <c r="AL187" s="2">
        <f t="shared" si="10"/>
        <v>0</v>
      </c>
      <c r="AM187" s="2" t="str">
        <f t="array" ref="AM187">IF($K187="",0,IFERROR(INDEX(CALC!$F$2:$F$33,MATCH($K187,CALC!$A$2:$A$33,0)),0))</f>
        <v/>
      </c>
      <c r="AN187" s="2" t="str">
        <f t="array" ref="AN187">IF($K187="",0,IFERROR(INDEX(CALC!$I$2:$I$33,MATCH($K187,CALC!$A$2:$A$33,0)),0))</f>
        <v/>
      </c>
      <c r="AO187" s="2" t="str">
        <f t="array" ref="AO187">IF($K187="",0,IFERROR(INDEX(CALC!$L$2:$L$33,MATCH($K187,CALC!$A$2:$A$33,0)),0))</f>
        <v/>
      </c>
      <c r="AP187" s="2" t="str">
        <f t="array" ref="AP187">IF($K187="",0,IFERROR(INDEX(CALC!$T$2:$T$33,MATCH($K187,CALC!$A$2:$A$33,0)),0))</f>
        <v/>
      </c>
      <c r="AQ187" s="2" t="str">
        <f t="array" ref="AQ187">IF($K187="",0,IFERROR(INDEX(CALC!$W$2:$W$33,MATCH($K187,CALC!$A$2:$A$33,0)),0))</f>
        <v/>
      </c>
      <c r="AR187" s="2" t="str">
        <f t="array" ref="AR187">IF($K187="",0,IFERROR(INDEX(CALC!$Z$2:$Z$33,MATCH($K187,CALC!$A$2:$A$33,0)),0))</f>
        <v/>
      </c>
      <c r="AS187" s="2" t="str">
        <f t="array" ref="AS187">IF($K187="",0,IFERROR(INDEX(CALC!$AJ$2:$AJ$33,MATCH($K187,CALC!$A$2:$A$33,0)),0))</f>
        <v/>
      </c>
      <c r="AT187" s="2" t="str">
        <f t="array" ref="AT187">IF($K187="",0,IFERROR(INDEX(CALC!$AI$2:$AI$33,MATCH($K187,CALC!$A$2:$A$33,0)),0))</f>
        <v/>
      </c>
      <c r="AU187" s="2">
        <f t="shared" si="11"/>
        <v>0</v>
      </c>
      <c r="AV187" s="2">
        <f t="shared" si="12"/>
        <v>0</v>
      </c>
    </row>
    <row r="188" ht="15.0" customHeight="1">
      <c r="A188" s="2">
        <v>93.0</v>
      </c>
      <c r="B188" s="2" t="s">
        <v>2366</v>
      </c>
      <c r="C188" s="2">
        <f>IFERROR(MATCH($A188,SchedSeq,0),"")</f>
        <v>378</v>
      </c>
      <c r="D188" s="2" t="str">
        <f t="array" ref="D188">IF($C188="","",INDEX(SchedZone,$C188,MAP!$B$6))</f>
        <v>2026_06_WAS_SF</v>
      </c>
      <c r="E188" s="2">
        <f t="array" ref="E188">IF($C188="","",INDEX(SchedZone,$C188,MAP!$B$3))</f>
        <v>2026</v>
      </c>
      <c r="F188" s="2" t="str">
        <f t="array" ref="F188">IF($C188="","",INDEX(SchedZone,$C188,MAP!$B$5))</f>
        <v>REG</v>
      </c>
      <c r="G188" s="2">
        <f t="array" ref="G188">IF($C188="","",INDEX(SchedZone,$C188,MAP!$B$4))</f>
        <v>6</v>
      </c>
      <c r="H188" s="2" t="str">
        <f t="array" ref="H188">IF($C188="","",INDEX(SchedZone,$C188,MAP!$B$10))</f>
        <v>WAS</v>
      </c>
      <c r="I188" s="2" t="str">
        <f t="array" ref="I188">IF($H188="","",IF(COUNTIF(Teams,$H188)&gt;0,$H188,IFERROR(INDEX(LISTS!$D$2:$D$12,MATCH($H188,LISTS!$C$2:$C$12,0)),"⚠ "&amp;$H188)))</f>
        <v>WAS</v>
      </c>
      <c r="J188" s="2" t="str">
        <f t="array" ref="J188">IF($C188="","",INDEX(SchedZone,$C188,MAP!$B$12))</f>
        <v>SF</v>
      </c>
      <c r="K188" s="2" t="str">
        <f t="array" ref="K188">IF($J188="","",IF(COUNTIF(Teams,$J188)&gt;0,$J188,IFERROR(INDEX(LISTS!$D$2:$D$12,MATCH($J188,LISTS!$C$2:$C$12,0)),"⚠ "&amp;$J188)))</f>
        <v>SF</v>
      </c>
      <c r="L188" s="2" t="str">
        <f t="array" ref="L188">IF($C188="","",IF(INDEX(SchedZone,$C188,MAP!$B$14)="Neutral","N",IF($B188="HOME","H","A")))</f>
        <v>A</v>
      </c>
      <c r="M188" s="2" t="str">
        <f t="array" ref="M188">IF($C188="","",IF(INDEX(SchedZone,$C188,MAP!$B$11)="","",INDEX(SchedZone,$C188,MAP!$B$11)))</f>
        <v/>
      </c>
      <c r="N188" s="2" t="str">
        <f t="array" ref="N188">IF($C188="","",IF(INDEX(SchedZone,$C188,MAP!$B$13)="","",INDEX(SchedZone,$C188,MAP!$B$13)))</f>
        <v/>
      </c>
      <c r="O188" s="2">
        <f t="array" ref="O188">IF($C188="","",INDEX(SchedZone,$C188,MAP!$B$15))</f>
        <v>8</v>
      </c>
      <c r="P188" s="2" t="str">
        <f>IF($C188="","",IFERROR(MATCH($E188&amp;"|"&amp;$G188&amp;"|"&amp;$I188,StatsKey,0),""))</f>
        <v/>
      </c>
      <c r="Q188" s="2">
        <f t="array" ref="Q188">IF($P188="",0,INDEX(StatsZone,$P188,MAP!$E$9)+INDEX(StatsZone,$P188,MAP!$E$10)+INDEX(StatsZone,$P188,MAP!$E$11))</f>
        <v>0</v>
      </c>
      <c r="R188" s="2">
        <f t="array" ref="R188">IF($P188="",0,INDEX(StatsZone,$P188,MAP!$E$12))</f>
        <v>0</v>
      </c>
      <c r="S188" s="2">
        <f t="array" ref="S188">IF($P188="",0,INDEX(StatsZone,$P188,MAP!$E$13))</f>
        <v>0</v>
      </c>
      <c r="T188" s="2">
        <f t="shared" si="1"/>
        <v>0</v>
      </c>
      <c r="U188" s="2">
        <f t="array" ref="U188">IF($P188="",0,INDEX(StatsZone,$P188,MAP!$E$14)+INDEX(StatsZone,$P188,MAP!$E$15)+INDEX(StatsZone,$P188,MAP!$E$16))</f>
        <v>0</v>
      </c>
      <c r="V188" s="2">
        <f t="shared" si="2"/>
        <v>0</v>
      </c>
      <c r="W188" s="2">
        <f t="shared" si="3"/>
        <v>0</v>
      </c>
      <c r="X188" s="2">
        <f t="shared" si="4"/>
        <v>0</v>
      </c>
      <c r="Y188" s="2">
        <f t="shared" si="5"/>
        <v>0</v>
      </c>
      <c r="Z188" s="2">
        <f t="shared" si="6"/>
        <v>0</v>
      </c>
      <c r="AA188" s="2">
        <f t="shared" si="7"/>
        <v>-1</v>
      </c>
      <c r="AB188" s="2">
        <f>IF(OR($M188="",$N188=""),0,MEDIAN(-MarginCap,MarginCap,($M188-$N188)-$AA188*HFA_Base))</f>
        <v>0</v>
      </c>
      <c r="AC188" s="2">
        <f t="array" ref="AC188">IF(OR($P188="",INDEX($P$3:$P$722,(ROW()+IF(MOD(ROW()-3,2)=0,1,-1))-3+1)=""),0,MEDIAN(-MarginCap,MarginCap,($T188-$W188)-$AA188*HFA_Base))</f>
        <v>0</v>
      </c>
      <c r="AD188" s="2">
        <f t="shared" si="8"/>
        <v>0</v>
      </c>
      <c r="AE188" s="2">
        <f>IF(OR($M188="",$N188=""),0,IF(AND(WEpa&gt;0,$AD188=1),(1-WEpa)*$AB188+WEpa*$AC188,$AB188))</f>
        <v>0</v>
      </c>
      <c r="AF188" s="2">
        <f>IF(AND($C188&lt;&gt;"",$E188=CurrentSeason,$F188="REG",ISNUMBER($G188),$G188&lt;CurrentWeek,AND($M188&lt;&gt;"",$N188&lt;&gt;"")),1,0)</f>
        <v>0</v>
      </c>
      <c r="AG188" s="2">
        <f>IF($AF188=0,0,IF($G188&gt;=CurrentWeek-RecencyWin,RecencyMult,1))</f>
        <v>0</v>
      </c>
      <c r="AH188" s="2">
        <f>IF(AND($C188&lt;&gt;"",$E188=CurrentSeason,$F188="REG",ISNUMBER($G188),$G188&lt;CurrentWeek-1,AND($M188&lt;&gt;"",$N188&lt;&gt;"")),1,0)</f>
        <v>0</v>
      </c>
      <c r="AI188" s="2">
        <f>IF($AH188=0,0,IF($G188&gt;=CurrentWeek-1-RecencyWin,RecencyMult,1))</f>
        <v>0</v>
      </c>
      <c r="AJ188" s="2">
        <f>IF($AF188=0,0,IF($G188&gt;=CurrentWeek-RecencyWin,TotRecency,1))</f>
        <v>0</v>
      </c>
      <c r="AK188" s="2">
        <f t="shared" si="9"/>
        <v>0</v>
      </c>
      <c r="AL188" s="2">
        <f t="shared" si="10"/>
        <v>0</v>
      </c>
      <c r="AM188" s="2" t="str">
        <f t="array" ref="AM188">IF($K188="",0,IFERROR(INDEX(CALC!$F$2:$F$33,MATCH($K188,CALC!$A$2:$A$33,0)),0))</f>
        <v/>
      </c>
      <c r="AN188" s="2" t="str">
        <f t="array" ref="AN188">IF($K188="",0,IFERROR(INDEX(CALC!$I$2:$I$33,MATCH($K188,CALC!$A$2:$A$33,0)),0))</f>
        <v/>
      </c>
      <c r="AO188" s="2" t="str">
        <f t="array" ref="AO188">IF($K188="",0,IFERROR(INDEX(CALC!$L$2:$L$33,MATCH($K188,CALC!$A$2:$A$33,0)),0))</f>
        <v/>
      </c>
      <c r="AP188" s="2" t="str">
        <f t="array" ref="AP188">IF($K188="",0,IFERROR(INDEX(CALC!$T$2:$T$33,MATCH($K188,CALC!$A$2:$A$33,0)),0))</f>
        <v/>
      </c>
      <c r="AQ188" s="2" t="str">
        <f t="array" ref="AQ188">IF($K188="",0,IFERROR(INDEX(CALC!$W$2:$W$33,MATCH($K188,CALC!$A$2:$A$33,0)),0))</f>
        <v/>
      </c>
      <c r="AR188" s="2" t="str">
        <f t="array" ref="AR188">IF($K188="",0,IFERROR(INDEX(CALC!$Z$2:$Z$33,MATCH($K188,CALC!$A$2:$A$33,0)),0))</f>
        <v/>
      </c>
      <c r="AS188" s="2" t="str">
        <f t="array" ref="AS188">IF($K188="",0,IFERROR(INDEX(CALC!$AJ$2:$AJ$33,MATCH($K188,CALC!$A$2:$A$33,0)),0))</f>
        <v/>
      </c>
      <c r="AT188" s="2" t="str">
        <f t="array" ref="AT188">IF($K188="",0,IFERROR(INDEX(CALC!$AI$2:$AI$33,MATCH($K188,CALC!$A$2:$A$33,0)),0))</f>
        <v/>
      </c>
      <c r="AU188" s="2">
        <f t="shared" si="11"/>
        <v>0</v>
      </c>
      <c r="AV188" s="2">
        <f t="shared" si="12"/>
        <v>0</v>
      </c>
    </row>
    <row r="189" ht="15.0" customHeight="1">
      <c r="A189" s="2">
        <v>94.0</v>
      </c>
      <c r="B189" s="2" t="s">
        <v>2365</v>
      </c>
      <c r="C189" s="2">
        <f>IFERROR(MATCH($A189,SchedSeq,0),"")</f>
        <v>379</v>
      </c>
      <c r="D189" s="2" t="str">
        <f t="array" ref="D189">IF($C189="","",INDEX(SchedZone,$C189,MAP!$B$6))</f>
        <v>2026_07_NE_CHI</v>
      </c>
      <c r="E189" s="2">
        <f t="array" ref="E189">IF($C189="","",INDEX(SchedZone,$C189,MAP!$B$3))</f>
        <v>2026</v>
      </c>
      <c r="F189" s="2" t="str">
        <f t="array" ref="F189">IF($C189="","",INDEX(SchedZone,$C189,MAP!$B$5))</f>
        <v>REG</v>
      </c>
      <c r="G189" s="2">
        <f t="array" ref="G189">IF($C189="","",INDEX(SchedZone,$C189,MAP!$B$4))</f>
        <v>7</v>
      </c>
      <c r="H189" s="2" t="str">
        <f t="array" ref="H189">IF($C189="","",INDEX(SchedZone,$C189,MAP!$B$12))</f>
        <v>CHI</v>
      </c>
      <c r="I189" s="2" t="str">
        <f t="array" ref="I189">IF($H189="","",IF(COUNTIF(Teams,$H189)&gt;0,$H189,IFERROR(INDEX(LISTS!$D$2:$D$12,MATCH($H189,LISTS!$C$2:$C$12,0)),"⚠ "&amp;$H189)))</f>
        <v>CHI</v>
      </c>
      <c r="J189" s="2" t="str">
        <f t="array" ref="J189">IF($C189="","",INDEX(SchedZone,$C189,MAP!$B$10))</f>
        <v>NE</v>
      </c>
      <c r="K189" s="2" t="str">
        <f t="array" ref="K189">IF($J189="","",IF(COUNTIF(Teams,$J189)&gt;0,$J189,IFERROR(INDEX(LISTS!$D$2:$D$12,MATCH($J189,LISTS!$C$2:$C$12,0)),"⚠ "&amp;$J189)))</f>
        <v>NE</v>
      </c>
      <c r="L189" s="2" t="str">
        <f t="array" ref="L189">IF($C189="","",IF(INDEX(SchedZone,$C189,MAP!$B$14)="Neutral","N",IF($B189="HOME","H","A")))</f>
        <v>H</v>
      </c>
      <c r="M189" s="2" t="str">
        <f t="array" ref="M189">IF($C189="","",IF(INDEX(SchedZone,$C189,MAP!$B$13)="","",INDEX(SchedZone,$C189,MAP!$B$13)))</f>
        <v/>
      </c>
      <c r="N189" s="2" t="str">
        <f t="array" ref="N189">IF($C189="","",IF(INDEX(SchedZone,$C189,MAP!$B$11)="","",INDEX(SchedZone,$C189,MAP!$B$11)))</f>
        <v/>
      </c>
      <c r="O189" s="2">
        <f t="array" ref="O189">IF($C189="","",INDEX(SchedZone,$C189,MAP!$B$16))</f>
        <v>4</v>
      </c>
      <c r="P189" s="2" t="str">
        <f>IF($C189="","",IFERROR(MATCH($E189&amp;"|"&amp;$G189&amp;"|"&amp;$I189,StatsKey,0),""))</f>
        <v/>
      </c>
      <c r="Q189" s="2">
        <f t="array" ref="Q189">IF($P189="",0,INDEX(StatsZone,$P189,MAP!$E$9)+INDEX(StatsZone,$P189,MAP!$E$10)+INDEX(StatsZone,$P189,MAP!$E$11))</f>
        <v>0</v>
      </c>
      <c r="R189" s="2">
        <f t="array" ref="R189">IF($P189="",0,INDEX(StatsZone,$P189,MAP!$E$12))</f>
        <v>0</v>
      </c>
      <c r="S189" s="2">
        <f t="array" ref="S189">IF($P189="",0,INDEX(StatsZone,$P189,MAP!$E$13))</f>
        <v>0</v>
      </c>
      <c r="T189" s="2">
        <f t="shared" si="1"/>
        <v>0</v>
      </c>
      <c r="U189" s="2">
        <f t="array" ref="U189">IF($P189="",0,INDEX(StatsZone,$P189,MAP!$E$14)+INDEX(StatsZone,$P189,MAP!$E$15)+INDEX(StatsZone,$P189,MAP!$E$16))</f>
        <v>0</v>
      </c>
      <c r="V189" s="2">
        <f t="shared" si="2"/>
        <v>0</v>
      </c>
      <c r="W189" s="2">
        <f t="shared" si="3"/>
        <v>0</v>
      </c>
      <c r="X189" s="2">
        <f t="shared" si="4"/>
        <v>0</v>
      </c>
      <c r="Y189" s="2">
        <f t="shared" si="5"/>
        <v>0</v>
      </c>
      <c r="Z189" s="2">
        <f t="shared" si="6"/>
        <v>0</v>
      </c>
      <c r="AA189" s="2">
        <f t="shared" si="7"/>
        <v>1</v>
      </c>
      <c r="AB189" s="2">
        <f>IF(OR($M189="",$N189=""),0,MEDIAN(-MarginCap,MarginCap,($M189-$N189)-$AA189*HFA_Base))</f>
        <v>0</v>
      </c>
      <c r="AC189" s="2">
        <f t="array" ref="AC189">IF(OR($P189="",INDEX($P$3:$P$722,(ROW()+IF(MOD(ROW()-3,2)=0,1,-1))-3+1)=""),0,MEDIAN(-MarginCap,MarginCap,($T189-$W189)-$AA189*HFA_Base))</f>
        <v>0</v>
      </c>
      <c r="AD189" s="2">
        <f t="shared" si="8"/>
        <v>0</v>
      </c>
      <c r="AE189" s="2">
        <f>IF(OR($M189="",$N189=""),0,IF(AND(WEpa&gt;0,$AD189=1),(1-WEpa)*$AB189+WEpa*$AC189,$AB189))</f>
        <v>0</v>
      </c>
      <c r="AF189" s="2">
        <f>IF(AND($C189&lt;&gt;"",$E189=CurrentSeason,$F189="REG",ISNUMBER($G189),$G189&lt;CurrentWeek,AND($M189&lt;&gt;"",$N189&lt;&gt;"")),1,0)</f>
        <v>0</v>
      </c>
      <c r="AG189" s="2">
        <f>IF($AF189=0,0,IF($G189&gt;=CurrentWeek-RecencyWin,RecencyMult,1))</f>
        <v>0</v>
      </c>
      <c r="AH189" s="2">
        <f>IF(AND($C189&lt;&gt;"",$E189=CurrentSeason,$F189="REG",ISNUMBER($G189),$G189&lt;CurrentWeek-1,AND($M189&lt;&gt;"",$N189&lt;&gt;"")),1,0)</f>
        <v>0</v>
      </c>
      <c r="AI189" s="2">
        <f>IF($AH189=0,0,IF($G189&gt;=CurrentWeek-1-RecencyWin,RecencyMult,1))</f>
        <v>0</v>
      </c>
      <c r="AJ189" s="2">
        <f>IF($AF189=0,0,IF($G189&gt;=CurrentWeek-RecencyWin,TotRecency,1))</f>
        <v>0</v>
      </c>
      <c r="AK189" s="2">
        <f t="shared" si="9"/>
        <v>0</v>
      </c>
      <c r="AL189" s="2">
        <f t="shared" si="10"/>
        <v>0</v>
      </c>
      <c r="AM189" s="2" t="str">
        <f t="array" ref="AM189">IF($K189="",0,IFERROR(INDEX(CALC!$F$2:$F$33,MATCH($K189,CALC!$A$2:$A$33,0)),0))</f>
        <v/>
      </c>
      <c r="AN189" s="2" t="str">
        <f t="array" ref="AN189">IF($K189="",0,IFERROR(INDEX(CALC!$I$2:$I$33,MATCH($K189,CALC!$A$2:$A$33,0)),0))</f>
        <v/>
      </c>
      <c r="AO189" s="2" t="str">
        <f t="array" ref="AO189">IF($K189="",0,IFERROR(INDEX(CALC!$L$2:$L$33,MATCH($K189,CALC!$A$2:$A$33,0)),0))</f>
        <v/>
      </c>
      <c r="AP189" s="2" t="str">
        <f t="array" ref="AP189">IF($K189="",0,IFERROR(INDEX(CALC!$T$2:$T$33,MATCH($K189,CALC!$A$2:$A$33,0)),0))</f>
        <v/>
      </c>
      <c r="AQ189" s="2" t="str">
        <f t="array" ref="AQ189">IF($K189="",0,IFERROR(INDEX(CALC!$W$2:$W$33,MATCH($K189,CALC!$A$2:$A$33,0)),0))</f>
        <v/>
      </c>
      <c r="AR189" s="2" t="str">
        <f t="array" ref="AR189">IF($K189="",0,IFERROR(INDEX(CALC!$Z$2:$Z$33,MATCH($K189,CALC!$A$2:$A$33,0)),0))</f>
        <v/>
      </c>
      <c r="AS189" s="2" t="str">
        <f t="array" ref="AS189">IF($K189="",0,IFERROR(INDEX(CALC!$AJ$2:$AJ$33,MATCH($K189,CALC!$A$2:$A$33,0)),0))</f>
        <v/>
      </c>
      <c r="AT189" s="2" t="str">
        <f t="array" ref="AT189">IF($K189="",0,IFERROR(INDEX(CALC!$AI$2:$AI$33,MATCH($K189,CALC!$A$2:$A$33,0)),0))</f>
        <v/>
      </c>
      <c r="AU189" s="2">
        <f t="shared" si="11"/>
        <v>0</v>
      </c>
      <c r="AV189" s="2">
        <f t="shared" si="12"/>
        <v>0</v>
      </c>
    </row>
    <row r="190" ht="15.0" customHeight="1">
      <c r="A190" s="2">
        <v>94.0</v>
      </c>
      <c r="B190" s="2" t="s">
        <v>2366</v>
      </c>
      <c r="C190" s="2">
        <f>IFERROR(MATCH($A190,SchedSeq,0),"")</f>
        <v>379</v>
      </c>
      <c r="D190" s="2" t="str">
        <f t="array" ref="D190">IF($C190="","",INDEX(SchedZone,$C190,MAP!$B$6))</f>
        <v>2026_07_NE_CHI</v>
      </c>
      <c r="E190" s="2">
        <f t="array" ref="E190">IF($C190="","",INDEX(SchedZone,$C190,MAP!$B$3))</f>
        <v>2026</v>
      </c>
      <c r="F190" s="2" t="str">
        <f t="array" ref="F190">IF($C190="","",INDEX(SchedZone,$C190,MAP!$B$5))</f>
        <v>REG</v>
      </c>
      <c r="G190" s="2">
        <f t="array" ref="G190">IF($C190="","",INDEX(SchedZone,$C190,MAP!$B$4))</f>
        <v>7</v>
      </c>
      <c r="H190" s="2" t="str">
        <f t="array" ref="H190">IF($C190="","",INDEX(SchedZone,$C190,MAP!$B$10))</f>
        <v>NE</v>
      </c>
      <c r="I190" s="2" t="str">
        <f t="array" ref="I190">IF($H190="","",IF(COUNTIF(Teams,$H190)&gt;0,$H190,IFERROR(INDEX(LISTS!$D$2:$D$12,MATCH($H190,LISTS!$C$2:$C$12,0)),"⚠ "&amp;$H190)))</f>
        <v>NE</v>
      </c>
      <c r="J190" s="2" t="str">
        <f t="array" ref="J190">IF($C190="","",INDEX(SchedZone,$C190,MAP!$B$12))</f>
        <v>CHI</v>
      </c>
      <c r="K190" s="2" t="str">
        <f t="array" ref="K190">IF($J190="","",IF(COUNTIF(Teams,$J190)&gt;0,$J190,IFERROR(INDEX(LISTS!$D$2:$D$12,MATCH($J190,LISTS!$C$2:$C$12,0)),"⚠ "&amp;$J190)))</f>
        <v>CHI</v>
      </c>
      <c r="L190" s="2" t="str">
        <f t="array" ref="L190">IF($C190="","",IF(INDEX(SchedZone,$C190,MAP!$B$14)="Neutral","N",IF($B190="HOME","H","A")))</f>
        <v>A</v>
      </c>
      <c r="M190" s="2" t="str">
        <f t="array" ref="M190">IF($C190="","",IF(INDEX(SchedZone,$C190,MAP!$B$11)="","",INDEX(SchedZone,$C190,MAP!$B$11)))</f>
        <v/>
      </c>
      <c r="N190" s="2" t="str">
        <f t="array" ref="N190">IF($C190="","",IF(INDEX(SchedZone,$C190,MAP!$B$13)="","",INDEX(SchedZone,$C190,MAP!$B$13)))</f>
        <v/>
      </c>
      <c r="O190" s="2">
        <f t="array" ref="O190">IF($C190="","",INDEX(SchedZone,$C190,MAP!$B$15))</f>
        <v>4</v>
      </c>
      <c r="P190" s="2" t="str">
        <f>IF($C190="","",IFERROR(MATCH($E190&amp;"|"&amp;$G190&amp;"|"&amp;$I190,StatsKey,0),""))</f>
        <v/>
      </c>
      <c r="Q190" s="2">
        <f t="array" ref="Q190">IF($P190="",0,INDEX(StatsZone,$P190,MAP!$E$9)+INDEX(StatsZone,$P190,MAP!$E$10)+INDEX(StatsZone,$P190,MAP!$E$11))</f>
        <v>0</v>
      </c>
      <c r="R190" s="2">
        <f t="array" ref="R190">IF($P190="",0,INDEX(StatsZone,$P190,MAP!$E$12))</f>
        <v>0</v>
      </c>
      <c r="S190" s="2">
        <f t="array" ref="S190">IF($P190="",0,INDEX(StatsZone,$P190,MAP!$E$13))</f>
        <v>0</v>
      </c>
      <c r="T190" s="2">
        <f t="shared" si="1"/>
        <v>0</v>
      </c>
      <c r="U190" s="2">
        <f t="array" ref="U190">IF($P190="",0,INDEX(StatsZone,$P190,MAP!$E$14)+INDEX(StatsZone,$P190,MAP!$E$15)+INDEX(StatsZone,$P190,MAP!$E$16))</f>
        <v>0</v>
      </c>
      <c r="V190" s="2">
        <f t="shared" si="2"/>
        <v>0</v>
      </c>
      <c r="W190" s="2">
        <f t="shared" si="3"/>
        <v>0</v>
      </c>
      <c r="X190" s="2">
        <f t="shared" si="4"/>
        <v>0</v>
      </c>
      <c r="Y190" s="2">
        <f t="shared" si="5"/>
        <v>0</v>
      </c>
      <c r="Z190" s="2">
        <f t="shared" si="6"/>
        <v>0</v>
      </c>
      <c r="AA190" s="2">
        <f t="shared" si="7"/>
        <v>-1</v>
      </c>
      <c r="AB190" s="2">
        <f>IF(OR($M190="",$N190=""),0,MEDIAN(-MarginCap,MarginCap,($M190-$N190)-$AA190*HFA_Base))</f>
        <v>0</v>
      </c>
      <c r="AC190" s="2">
        <f t="array" ref="AC190">IF(OR($P190="",INDEX($P$3:$P$722,(ROW()+IF(MOD(ROW()-3,2)=0,1,-1))-3+1)=""),0,MEDIAN(-MarginCap,MarginCap,($T190-$W190)-$AA190*HFA_Base))</f>
        <v>0</v>
      </c>
      <c r="AD190" s="2">
        <f t="shared" si="8"/>
        <v>0</v>
      </c>
      <c r="AE190" s="2">
        <f>IF(OR($M190="",$N190=""),0,IF(AND(WEpa&gt;0,$AD190=1),(1-WEpa)*$AB190+WEpa*$AC190,$AB190))</f>
        <v>0</v>
      </c>
      <c r="AF190" s="2">
        <f>IF(AND($C190&lt;&gt;"",$E190=CurrentSeason,$F190="REG",ISNUMBER($G190),$G190&lt;CurrentWeek,AND($M190&lt;&gt;"",$N190&lt;&gt;"")),1,0)</f>
        <v>0</v>
      </c>
      <c r="AG190" s="2">
        <f>IF($AF190=0,0,IF($G190&gt;=CurrentWeek-RecencyWin,RecencyMult,1))</f>
        <v>0</v>
      </c>
      <c r="AH190" s="2">
        <f>IF(AND($C190&lt;&gt;"",$E190=CurrentSeason,$F190="REG",ISNUMBER($G190),$G190&lt;CurrentWeek-1,AND($M190&lt;&gt;"",$N190&lt;&gt;"")),1,0)</f>
        <v>0</v>
      </c>
      <c r="AI190" s="2">
        <f>IF($AH190=0,0,IF($G190&gt;=CurrentWeek-1-RecencyWin,RecencyMult,1))</f>
        <v>0</v>
      </c>
      <c r="AJ190" s="2">
        <f>IF($AF190=0,0,IF($G190&gt;=CurrentWeek-RecencyWin,TotRecency,1))</f>
        <v>0</v>
      </c>
      <c r="AK190" s="2">
        <f t="shared" si="9"/>
        <v>0</v>
      </c>
      <c r="AL190" s="2">
        <f t="shared" si="10"/>
        <v>0</v>
      </c>
      <c r="AM190" s="2" t="str">
        <f t="array" ref="AM190">IF($K190="",0,IFERROR(INDEX(CALC!$F$2:$F$33,MATCH($K190,CALC!$A$2:$A$33,0)),0))</f>
        <v/>
      </c>
      <c r="AN190" s="2" t="str">
        <f t="array" ref="AN190">IF($K190="",0,IFERROR(INDEX(CALC!$I$2:$I$33,MATCH($K190,CALC!$A$2:$A$33,0)),0))</f>
        <v/>
      </c>
      <c r="AO190" s="2" t="str">
        <f t="array" ref="AO190">IF($K190="",0,IFERROR(INDEX(CALC!$L$2:$L$33,MATCH($K190,CALC!$A$2:$A$33,0)),0))</f>
        <v/>
      </c>
      <c r="AP190" s="2" t="str">
        <f t="array" ref="AP190">IF($K190="",0,IFERROR(INDEX(CALC!$T$2:$T$33,MATCH($K190,CALC!$A$2:$A$33,0)),0))</f>
        <v/>
      </c>
      <c r="AQ190" s="2" t="str">
        <f t="array" ref="AQ190">IF($K190="",0,IFERROR(INDEX(CALC!$W$2:$W$33,MATCH($K190,CALC!$A$2:$A$33,0)),0))</f>
        <v/>
      </c>
      <c r="AR190" s="2" t="str">
        <f t="array" ref="AR190">IF($K190="",0,IFERROR(INDEX(CALC!$Z$2:$Z$33,MATCH($K190,CALC!$A$2:$A$33,0)),0))</f>
        <v/>
      </c>
      <c r="AS190" s="2" t="str">
        <f t="array" ref="AS190">IF($K190="",0,IFERROR(INDEX(CALC!$AJ$2:$AJ$33,MATCH($K190,CALC!$A$2:$A$33,0)),0))</f>
        <v/>
      </c>
      <c r="AT190" s="2" t="str">
        <f t="array" ref="AT190">IF($K190="",0,IFERROR(INDEX(CALC!$AI$2:$AI$33,MATCH($K190,CALC!$A$2:$A$33,0)),0))</f>
        <v/>
      </c>
      <c r="AU190" s="2">
        <f t="shared" si="11"/>
        <v>0</v>
      </c>
      <c r="AV190" s="2">
        <f t="shared" si="12"/>
        <v>0</v>
      </c>
    </row>
    <row r="191" ht="15.0" customHeight="1">
      <c r="A191" s="2">
        <v>95.0</v>
      </c>
      <c r="B191" s="2" t="s">
        <v>2365</v>
      </c>
      <c r="C191" s="2">
        <f>IFERROR(MATCH($A191,SchedSeq,0),"")</f>
        <v>380</v>
      </c>
      <c r="D191" s="2" t="str">
        <f t="array" ref="D191">IF($C191="","",INDEX(SchedZone,$C191,MAP!$B$6))</f>
        <v>2026_07_PIT_NO</v>
      </c>
      <c r="E191" s="2">
        <f t="array" ref="E191">IF($C191="","",INDEX(SchedZone,$C191,MAP!$B$3))</f>
        <v>2026</v>
      </c>
      <c r="F191" s="2" t="str">
        <f t="array" ref="F191">IF($C191="","",INDEX(SchedZone,$C191,MAP!$B$5))</f>
        <v>REG</v>
      </c>
      <c r="G191" s="2">
        <f t="array" ref="G191">IF($C191="","",INDEX(SchedZone,$C191,MAP!$B$4))</f>
        <v>7</v>
      </c>
      <c r="H191" s="2" t="str">
        <f t="array" ref="H191">IF($C191="","",INDEX(SchedZone,$C191,MAP!$B$12))</f>
        <v>NO</v>
      </c>
      <c r="I191" s="2" t="str">
        <f t="array" ref="I191">IF($H191="","",IF(COUNTIF(Teams,$H191)&gt;0,$H191,IFERROR(INDEX(LISTS!$D$2:$D$12,MATCH($H191,LISTS!$C$2:$C$12,0)),"⚠ "&amp;$H191)))</f>
        <v>NO</v>
      </c>
      <c r="J191" s="2" t="str">
        <f t="array" ref="J191">IF($C191="","",INDEX(SchedZone,$C191,MAP!$B$10))</f>
        <v>PIT</v>
      </c>
      <c r="K191" s="2" t="str">
        <f t="array" ref="K191">IF($J191="","",IF(COUNTIF(Teams,$J191)&gt;0,$J191,IFERROR(INDEX(LISTS!$D$2:$D$12,MATCH($J191,LISTS!$C$2:$C$12,0)),"⚠ "&amp;$J191)))</f>
        <v>PIT</v>
      </c>
      <c r="L191" s="2" t="str">
        <f t="array" ref="L191">IF($C191="","",IF(INDEX(SchedZone,$C191,MAP!$B$14)="Neutral","N",IF($B191="HOME","H","A")))</f>
        <v>N</v>
      </c>
      <c r="M191" s="2" t="str">
        <f t="array" ref="M191">IF($C191="","",IF(INDEX(SchedZone,$C191,MAP!$B$13)="","",INDEX(SchedZone,$C191,MAP!$B$13)))</f>
        <v/>
      </c>
      <c r="N191" s="2" t="str">
        <f t="array" ref="N191">IF($C191="","",IF(INDEX(SchedZone,$C191,MAP!$B$11)="","",INDEX(SchedZone,$C191,MAP!$B$11)))</f>
        <v/>
      </c>
      <c r="O191" s="2">
        <f t="array" ref="O191">IF($C191="","",INDEX(SchedZone,$C191,MAP!$B$16))</f>
        <v>7</v>
      </c>
      <c r="P191" s="2" t="str">
        <f>IF($C191="","",IFERROR(MATCH($E191&amp;"|"&amp;$G191&amp;"|"&amp;$I191,StatsKey,0),""))</f>
        <v/>
      </c>
      <c r="Q191" s="2">
        <f t="array" ref="Q191">IF($P191="",0,INDEX(StatsZone,$P191,MAP!$E$9)+INDEX(StatsZone,$P191,MAP!$E$10)+INDEX(StatsZone,$P191,MAP!$E$11))</f>
        <v>0</v>
      </c>
      <c r="R191" s="2">
        <f t="array" ref="R191">IF($P191="",0,INDEX(StatsZone,$P191,MAP!$E$12))</f>
        <v>0</v>
      </c>
      <c r="S191" s="2">
        <f t="array" ref="S191">IF($P191="",0,INDEX(StatsZone,$P191,MAP!$E$13))</f>
        <v>0</v>
      </c>
      <c r="T191" s="2">
        <f t="shared" si="1"/>
        <v>0</v>
      </c>
      <c r="U191" s="2">
        <f t="array" ref="U191">IF($P191="",0,INDEX(StatsZone,$P191,MAP!$E$14)+INDEX(StatsZone,$P191,MAP!$E$15)+INDEX(StatsZone,$P191,MAP!$E$16))</f>
        <v>0</v>
      </c>
      <c r="V191" s="2">
        <f t="shared" si="2"/>
        <v>0</v>
      </c>
      <c r="W191" s="2">
        <f t="shared" si="3"/>
        <v>0</v>
      </c>
      <c r="X191" s="2">
        <f t="shared" si="4"/>
        <v>0</v>
      </c>
      <c r="Y191" s="2">
        <f t="shared" si="5"/>
        <v>0</v>
      </c>
      <c r="Z191" s="2">
        <f t="shared" si="6"/>
        <v>0</v>
      </c>
      <c r="AA191" s="2">
        <f t="shared" si="7"/>
        <v>0</v>
      </c>
      <c r="AB191" s="2">
        <f>IF(OR($M191="",$N191=""),0,MEDIAN(-MarginCap,MarginCap,($M191-$N191)-$AA191*HFA_Base))</f>
        <v>0</v>
      </c>
      <c r="AC191" s="2">
        <f t="array" ref="AC191">IF(OR($P191="",INDEX($P$3:$P$722,(ROW()+IF(MOD(ROW()-3,2)=0,1,-1))-3+1)=""),0,MEDIAN(-MarginCap,MarginCap,($T191-$W191)-$AA191*HFA_Base))</f>
        <v>0</v>
      </c>
      <c r="AD191" s="2">
        <f t="shared" si="8"/>
        <v>0</v>
      </c>
      <c r="AE191" s="2">
        <f>IF(OR($M191="",$N191=""),0,IF(AND(WEpa&gt;0,$AD191=1),(1-WEpa)*$AB191+WEpa*$AC191,$AB191))</f>
        <v>0</v>
      </c>
      <c r="AF191" s="2">
        <f>IF(AND($C191&lt;&gt;"",$E191=CurrentSeason,$F191="REG",ISNUMBER($G191),$G191&lt;CurrentWeek,AND($M191&lt;&gt;"",$N191&lt;&gt;"")),1,0)</f>
        <v>0</v>
      </c>
      <c r="AG191" s="2">
        <f>IF($AF191=0,0,IF($G191&gt;=CurrentWeek-RecencyWin,RecencyMult,1))</f>
        <v>0</v>
      </c>
      <c r="AH191" s="2">
        <f>IF(AND($C191&lt;&gt;"",$E191=CurrentSeason,$F191="REG",ISNUMBER($G191),$G191&lt;CurrentWeek-1,AND($M191&lt;&gt;"",$N191&lt;&gt;"")),1,0)</f>
        <v>0</v>
      </c>
      <c r="AI191" s="2">
        <f>IF($AH191=0,0,IF($G191&gt;=CurrentWeek-1-RecencyWin,RecencyMult,1))</f>
        <v>0</v>
      </c>
      <c r="AJ191" s="2">
        <f>IF($AF191=0,0,IF($G191&gt;=CurrentWeek-RecencyWin,TotRecency,1))</f>
        <v>0</v>
      </c>
      <c r="AK191" s="2">
        <f t="shared" si="9"/>
        <v>0</v>
      </c>
      <c r="AL191" s="2">
        <f t="shared" si="10"/>
        <v>0</v>
      </c>
      <c r="AM191" s="2" t="str">
        <f t="array" ref="AM191">IF($K191="",0,IFERROR(INDEX(CALC!$F$2:$F$33,MATCH($K191,CALC!$A$2:$A$33,0)),0))</f>
        <v/>
      </c>
      <c r="AN191" s="2" t="str">
        <f t="array" ref="AN191">IF($K191="",0,IFERROR(INDEX(CALC!$I$2:$I$33,MATCH($K191,CALC!$A$2:$A$33,0)),0))</f>
        <v/>
      </c>
      <c r="AO191" s="2" t="str">
        <f t="array" ref="AO191">IF($K191="",0,IFERROR(INDEX(CALC!$L$2:$L$33,MATCH($K191,CALC!$A$2:$A$33,0)),0))</f>
        <v/>
      </c>
      <c r="AP191" s="2" t="str">
        <f t="array" ref="AP191">IF($K191="",0,IFERROR(INDEX(CALC!$T$2:$T$33,MATCH($K191,CALC!$A$2:$A$33,0)),0))</f>
        <v/>
      </c>
      <c r="AQ191" s="2" t="str">
        <f t="array" ref="AQ191">IF($K191="",0,IFERROR(INDEX(CALC!$W$2:$W$33,MATCH($K191,CALC!$A$2:$A$33,0)),0))</f>
        <v/>
      </c>
      <c r="AR191" s="2" t="str">
        <f t="array" ref="AR191">IF($K191="",0,IFERROR(INDEX(CALC!$Z$2:$Z$33,MATCH($K191,CALC!$A$2:$A$33,0)),0))</f>
        <v/>
      </c>
      <c r="AS191" s="2" t="str">
        <f t="array" ref="AS191">IF($K191="",0,IFERROR(INDEX(CALC!$AJ$2:$AJ$33,MATCH($K191,CALC!$A$2:$A$33,0)),0))</f>
        <v/>
      </c>
      <c r="AT191" s="2" t="str">
        <f t="array" ref="AT191">IF($K191="",0,IFERROR(INDEX(CALC!$AI$2:$AI$33,MATCH($K191,CALC!$A$2:$A$33,0)),0))</f>
        <v/>
      </c>
      <c r="AU191" s="2">
        <f t="shared" si="11"/>
        <v>0</v>
      </c>
      <c r="AV191" s="2">
        <f t="shared" si="12"/>
        <v>0</v>
      </c>
    </row>
    <row r="192" ht="15.0" customHeight="1">
      <c r="A192" s="2">
        <v>95.0</v>
      </c>
      <c r="B192" s="2" t="s">
        <v>2366</v>
      </c>
      <c r="C192" s="2">
        <f>IFERROR(MATCH($A192,SchedSeq,0),"")</f>
        <v>380</v>
      </c>
      <c r="D192" s="2" t="str">
        <f t="array" ref="D192">IF($C192="","",INDEX(SchedZone,$C192,MAP!$B$6))</f>
        <v>2026_07_PIT_NO</v>
      </c>
      <c r="E192" s="2">
        <f t="array" ref="E192">IF($C192="","",INDEX(SchedZone,$C192,MAP!$B$3))</f>
        <v>2026</v>
      </c>
      <c r="F192" s="2" t="str">
        <f t="array" ref="F192">IF($C192="","",INDEX(SchedZone,$C192,MAP!$B$5))</f>
        <v>REG</v>
      </c>
      <c r="G192" s="2">
        <f t="array" ref="G192">IF($C192="","",INDEX(SchedZone,$C192,MAP!$B$4))</f>
        <v>7</v>
      </c>
      <c r="H192" s="2" t="str">
        <f t="array" ref="H192">IF($C192="","",INDEX(SchedZone,$C192,MAP!$B$10))</f>
        <v>PIT</v>
      </c>
      <c r="I192" s="2" t="str">
        <f t="array" ref="I192">IF($H192="","",IF(COUNTIF(Teams,$H192)&gt;0,$H192,IFERROR(INDEX(LISTS!$D$2:$D$12,MATCH($H192,LISTS!$C$2:$C$12,0)),"⚠ "&amp;$H192)))</f>
        <v>PIT</v>
      </c>
      <c r="J192" s="2" t="str">
        <f t="array" ref="J192">IF($C192="","",INDEX(SchedZone,$C192,MAP!$B$12))</f>
        <v>NO</v>
      </c>
      <c r="K192" s="2" t="str">
        <f t="array" ref="K192">IF($J192="","",IF(COUNTIF(Teams,$J192)&gt;0,$J192,IFERROR(INDEX(LISTS!$D$2:$D$12,MATCH($J192,LISTS!$C$2:$C$12,0)),"⚠ "&amp;$J192)))</f>
        <v>NO</v>
      </c>
      <c r="L192" s="2" t="str">
        <f t="array" ref="L192">IF($C192="","",IF(INDEX(SchedZone,$C192,MAP!$B$14)="Neutral","N",IF($B192="HOME","H","A")))</f>
        <v>N</v>
      </c>
      <c r="M192" s="2" t="str">
        <f t="array" ref="M192">IF($C192="","",IF(INDEX(SchedZone,$C192,MAP!$B$11)="","",INDEX(SchedZone,$C192,MAP!$B$11)))</f>
        <v/>
      </c>
      <c r="N192" s="2" t="str">
        <f t="array" ref="N192">IF($C192="","",IF(INDEX(SchedZone,$C192,MAP!$B$13)="","",INDEX(SchedZone,$C192,MAP!$B$13)))</f>
        <v/>
      </c>
      <c r="O192" s="2">
        <f t="array" ref="O192">IF($C192="","",INDEX(SchedZone,$C192,MAP!$B$15))</f>
        <v>7</v>
      </c>
      <c r="P192" s="2" t="str">
        <f>IF($C192="","",IFERROR(MATCH($E192&amp;"|"&amp;$G192&amp;"|"&amp;$I192,StatsKey,0),""))</f>
        <v/>
      </c>
      <c r="Q192" s="2">
        <f t="array" ref="Q192">IF($P192="",0,INDEX(StatsZone,$P192,MAP!$E$9)+INDEX(StatsZone,$P192,MAP!$E$10)+INDEX(StatsZone,$P192,MAP!$E$11))</f>
        <v>0</v>
      </c>
      <c r="R192" s="2">
        <f t="array" ref="R192">IF($P192="",0,INDEX(StatsZone,$P192,MAP!$E$12))</f>
        <v>0</v>
      </c>
      <c r="S192" s="2">
        <f t="array" ref="S192">IF($P192="",0,INDEX(StatsZone,$P192,MAP!$E$13))</f>
        <v>0</v>
      </c>
      <c r="T192" s="2">
        <f t="shared" si="1"/>
        <v>0</v>
      </c>
      <c r="U192" s="2">
        <f t="array" ref="U192">IF($P192="",0,INDEX(StatsZone,$P192,MAP!$E$14)+INDEX(StatsZone,$P192,MAP!$E$15)+INDEX(StatsZone,$P192,MAP!$E$16))</f>
        <v>0</v>
      </c>
      <c r="V192" s="2">
        <f t="shared" si="2"/>
        <v>0</v>
      </c>
      <c r="W192" s="2">
        <f t="shared" si="3"/>
        <v>0</v>
      </c>
      <c r="X192" s="2">
        <f t="shared" si="4"/>
        <v>0</v>
      </c>
      <c r="Y192" s="2">
        <f t="shared" si="5"/>
        <v>0</v>
      </c>
      <c r="Z192" s="2">
        <f t="shared" si="6"/>
        <v>0</v>
      </c>
      <c r="AA192" s="2">
        <f t="shared" si="7"/>
        <v>0</v>
      </c>
      <c r="AB192" s="2">
        <f>IF(OR($M192="",$N192=""),0,MEDIAN(-MarginCap,MarginCap,($M192-$N192)-$AA192*HFA_Base))</f>
        <v>0</v>
      </c>
      <c r="AC192" s="2">
        <f t="array" ref="AC192">IF(OR($P192="",INDEX($P$3:$P$722,(ROW()+IF(MOD(ROW()-3,2)=0,1,-1))-3+1)=""),0,MEDIAN(-MarginCap,MarginCap,($T192-$W192)-$AA192*HFA_Base))</f>
        <v>0</v>
      </c>
      <c r="AD192" s="2">
        <f t="shared" si="8"/>
        <v>0</v>
      </c>
      <c r="AE192" s="2">
        <f>IF(OR($M192="",$N192=""),0,IF(AND(WEpa&gt;0,$AD192=1),(1-WEpa)*$AB192+WEpa*$AC192,$AB192))</f>
        <v>0</v>
      </c>
      <c r="AF192" s="2">
        <f>IF(AND($C192&lt;&gt;"",$E192=CurrentSeason,$F192="REG",ISNUMBER($G192),$G192&lt;CurrentWeek,AND($M192&lt;&gt;"",$N192&lt;&gt;"")),1,0)</f>
        <v>0</v>
      </c>
      <c r="AG192" s="2">
        <f>IF($AF192=0,0,IF($G192&gt;=CurrentWeek-RecencyWin,RecencyMult,1))</f>
        <v>0</v>
      </c>
      <c r="AH192" s="2">
        <f>IF(AND($C192&lt;&gt;"",$E192=CurrentSeason,$F192="REG",ISNUMBER($G192),$G192&lt;CurrentWeek-1,AND($M192&lt;&gt;"",$N192&lt;&gt;"")),1,0)</f>
        <v>0</v>
      </c>
      <c r="AI192" s="2">
        <f>IF($AH192=0,0,IF($G192&gt;=CurrentWeek-1-RecencyWin,RecencyMult,1))</f>
        <v>0</v>
      </c>
      <c r="AJ192" s="2">
        <f>IF($AF192=0,0,IF($G192&gt;=CurrentWeek-RecencyWin,TotRecency,1))</f>
        <v>0</v>
      </c>
      <c r="AK192" s="2">
        <f t="shared" si="9"/>
        <v>0</v>
      </c>
      <c r="AL192" s="2">
        <f t="shared" si="10"/>
        <v>0</v>
      </c>
      <c r="AM192" s="2" t="str">
        <f t="array" ref="AM192">IF($K192="",0,IFERROR(INDEX(CALC!$F$2:$F$33,MATCH($K192,CALC!$A$2:$A$33,0)),0))</f>
        <v/>
      </c>
      <c r="AN192" s="2" t="str">
        <f t="array" ref="AN192">IF($K192="",0,IFERROR(INDEX(CALC!$I$2:$I$33,MATCH($K192,CALC!$A$2:$A$33,0)),0))</f>
        <v/>
      </c>
      <c r="AO192" s="2" t="str">
        <f t="array" ref="AO192">IF($K192="",0,IFERROR(INDEX(CALC!$L$2:$L$33,MATCH($K192,CALC!$A$2:$A$33,0)),0))</f>
        <v/>
      </c>
      <c r="AP192" s="2" t="str">
        <f t="array" ref="AP192">IF($K192="",0,IFERROR(INDEX(CALC!$T$2:$T$33,MATCH($K192,CALC!$A$2:$A$33,0)),0))</f>
        <v/>
      </c>
      <c r="AQ192" s="2" t="str">
        <f t="array" ref="AQ192">IF($K192="",0,IFERROR(INDEX(CALC!$W$2:$W$33,MATCH($K192,CALC!$A$2:$A$33,0)),0))</f>
        <v/>
      </c>
      <c r="AR192" s="2" t="str">
        <f t="array" ref="AR192">IF($K192="",0,IFERROR(INDEX(CALC!$Z$2:$Z$33,MATCH($K192,CALC!$A$2:$A$33,0)),0))</f>
        <v/>
      </c>
      <c r="AS192" s="2" t="str">
        <f t="array" ref="AS192">IF($K192="",0,IFERROR(INDEX(CALC!$AJ$2:$AJ$33,MATCH($K192,CALC!$A$2:$A$33,0)),0))</f>
        <v/>
      </c>
      <c r="AT192" s="2" t="str">
        <f t="array" ref="AT192">IF($K192="",0,IFERROR(INDEX(CALC!$AI$2:$AI$33,MATCH($K192,CALC!$A$2:$A$33,0)),0))</f>
        <v/>
      </c>
      <c r="AU192" s="2">
        <f t="shared" si="11"/>
        <v>0</v>
      </c>
      <c r="AV192" s="2">
        <f t="shared" si="12"/>
        <v>0</v>
      </c>
    </row>
    <row r="193" ht="15.0" customHeight="1">
      <c r="A193" s="2">
        <v>96.0</v>
      </c>
      <c r="B193" s="2" t="s">
        <v>2365</v>
      </c>
      <c r="C193" s="2">
        <f>IFERROR(MATCH($A193,SchedSeq,0),"")</f>
        <v>381</v>
      </c>
      <c r="D193" s="2" t="str">
        <f t="array" ref="D193">IF($C193="","",INDEX(SchedZone,$C193,MAP!$B$6))</f>
        <v>2026_07_SF_ATL</v>
      </c>
      <c r="E193" s="2">
        <f t="array" ref="E193">IF($C193="","",INDEX(SchedZone,$C193,MAP!$B$3))</f>
        <v>2026</v>
      </c>
      <c r="F193" s="2" t="str">
        <f t="array" ref="F193">IF($C193="","",INDEX(SchedZone,$C193,MAP!$B$5))</f>
        <v>REG</v>
      </c>
      <c r="G193" s="2">
        <f t="array" ref="G193">IF($C193="","",INDEX(SchedZone,$C193,MAP!$B$4))</f>
        <v>7</v>
      </c>
      <c r="H193" s="2" t="str">
        <f t="array" ref="H193">IF($C193="","",INDEX(SchedZone,$C193,MAP!$B$12))</f>
        <v>ATL</v>
      </c>
      <c r="I193" s="2" t="str">
        <f t="array" ref="I193">IF($H193="","",IF(COUNTIF(Teams,$H193)&gt;0,$H193,IFERROR(INDEX(LISTS!$D$2:$D$12,MATCH($H193,LISTS!$C$2:$C$12,0)),"⚠ "&amp;$H193)))</f>
        <v>ATL</v>
      </c>
      <c r="J193" s="2" t="str">
        <f t="array" ref="J193">IF($C193="","",INDEX(SchedZone,$C193,MAP!$B$10))</f>
        <v>SF</v>
      </c>
      <c r="K193" s="2" t="str">
        <f t="array" ref="K193">IF($J193="","",IF(COUNTIF(Teams,$J193)&gt;0,$J193,IFERROR(INDEX(LISTS!$D$2:$D$12,MATCH($J193,LISTS!$C$2:$C$12,0)),"⚠ "&amp;$J193)))</f>
        <v>SF</v>
      </c>
      <c r="L193" s="2" t="str">
        <f t="array" ref="L193">IF($C193="","",IF(INDEX(SchedZone,$C193,MAP!$B$14)="Neutral","N",IF($B193="HOME","H","A")))</f>
        <v>H</v>
      </c>
      <c r="M193" s="2" t="str">
        <f t="array" ref="M193">IF($C193="","",IF(INDEX(SchedZone,$C193,MAP!$B$13)="","",INDEX(SchedZone,$C193,MAP!$B$13)))</f>
        <v/>
      </c>
      <c r="N193" s="2" t="str">
        <f t="array" ref="N193">IF($C193="","",IF(INDEX(SchedZone,$C193,MAP!$B$11)="","",INDEX(SchedZone,$C193,MAP!$B$11)))</f>
        <v/>
      </c>
      <c r="O193" s="2">
        <f t="array" ref="O193">IF($C193="","",INDEX(SchedZone,$C193,MAP!$B$16))</f>
        <v>7</v>
      </c>
      <c r="P193" s="2" t="str">
        <f>IF($C193="","",IFERROR(MATCH($E193&amp;"|"&amp;$G193&amp;"|"&amp;$I193,StatsKey,0),""))</f>
        <v/>
      </c>
      <c r="Q193" s="2">
        <f t="array" ref="Q193">IF($P193="",0,INDEX(StatsZone,$P193,MAP!$E$9)+INDEX(StatsZone,$P193,MAP!$E$10)+INDEX(StatsZone,$P193,MAP!$E$11))</f>
        <v>0</v>
      </c>
      <c r="R193" s="2">
        <f t="array" ref="R193">IF($P193="",0,INDEX(StatsZone,$P193,MAP!$E$12))</f>
        <v>0</v>
      </c>
      <c r="S193" s="2">
        <f t="array" ref="S193">IF($P193="",0,INDEX(StatsZone,$P193,MAP!$E$13))</f>
        <v>0</v>
      </c>
      <c r="T193" s="2">
        <f t="shared" si="1"/>
        <v>0</v>
      </c>
      <c r="U193" s="2">
        <f t="array" ref="U193">IF($P193="",0,INDEX(StatsZone,$P193,MAP!$E$14)+INDEX(StatsZone,$P193,MAP!$E$15)+INDEX(StatsZone,$P193,MAP!$E$16))</f>
        <v>0</v>
      </c>
      <c r="V193" s="2">
        <f t="shared" si="2"/>
        <v>0</v>
      </c>
      <c r="W193" s="2">
        <f t="shared" si="3"/>
        <v>0</v>
      </c>
      <c r="X193" s="2">
        <f t="shared" si="4"/>
        <v>0</v>
      </c>
      <c r="Y193" s="2">
        <f t="shared" si="5"/>
        <v>0</v>
      </c>
      <c r="Z193" s="2">
        <f t="shared" si="6"/>
        <v>0</v>
      </c>
      <c r="AA193" s="2">
        <f t="shared" si="7"/>
        <v>1</v>
      </c>
      <c r="AB193" s="2">
        <f>IF(OR($M193="",$N193=""),0,MEDIAN(-MarginCap,MarginCap,($M193-$N193)-$AA193*HFA_Base))</f>
        <v>0</v>
      </c>
      <c r="AC193" s="2">
        <f t="array" ref="AC193">IF(OR($P193="",INDEX($P$3:$P$722,(ROW()+IF(MOD(ROW()-3,2)=0,1,-1))-3+1)=""),0,MEDIAN(-MarginCap,MarginCap,($T193-$W193)-$AA193*HFA_Base))</f>
        <v>0</v>
      </c>
      <c r="AD193" s="2">
        <f t="shared" si="8"/>
        <v>0</v>
      </c>
      <c r="AE193" s="2">
        <f>IF(OR($M193="",$N193=""),0,IF(AND(WEpa&gt;0,$AD193=1),(1-WEpa)*$AB193+WEpa*$AC193,$AB193))</f>
        <v>0</v>
      </c>
      <c r="AF193" s="2">
        <f>IF(AND($C193&lt;&gt;"",$E193=CurrentSeason,$F193="REG",ISNUMBER($G193),$G193&lt;CurrentWeek,AND($M193&lt;&gt;"",$N193&lt;&gt;"")),1,0)</f>
        <v>0</v>
      </c>
      <c r="AG193" s="2">
        <f>IF($AF193=0,0,IF($G193&gt;=CurrentWeek-RecencyWin,RecencyMult,1))</f>
        <v>0</v>
      </c>
      <c r="AH193" s="2">
        <f>IF(AND($C193&lt;&gt;"",$E193=CurrentSeason,$F193="REG",ISNUMBER($G193),$G193&lt;CurrentWeek-1,AND($M193&lt;&gt;"",$N193&lt;&gt;"")),1,0)</f>
        <v>0</v>
      </c>
      <c r="AI193" s="2">
        <f>IF($AH193=0,0,IF($G193&gt;=CurrentWeek-1-RecencyWin,RecencyMult,1))</f>
        <v>0</v>
      </c>
      <c r="AJ193" s="2">
        <f>IF($AF193=0,0,IF($G193&gt;=CurrentWeek-RecencyWin,TotRecency,1))</f>
        <v>0</v>
      </c>
      <c r="AK193" s="2">
        <f t="shared" si="9"/>
        <v>0</v>
      </c>
      <c r="AL193" s="2">
        <f t="shared" si="10"/>
        <v>0</v>
      </c>
      <c r="AM193" s="2" t="str">
        <f t="array" ref="AM193">IF($K193="",0,IFERROR(INDEX(CALC!$F$2:$F$33,MATCH($K193,CALC!$A$2:$A$33,0)),0))</f>
        <v/>
      </c>
      <c r="AN193" s="2" t="str">
        <f t="array" ref="AN193">IF($K193="",0,IFERROR(INDEX(CALC!$I$2:$I$33,MATCH($K193,CALC!$A$2:$A$33,0)),0))</f>
        <v/>
      </c>
      <c r="AO193" s="2" t="str">
        <f t="array" ref="AO193">IF($K193="",0,IFERROR(INDEX(CALC!$L$2:$L$33,MATCH($K193,CALC!$A$2:$A$33,0)),0))</f>
        <v/>
      </c>
      <c r="AP193" s="2" t="str">
        <f t="array" ref="AP193">IF($K193="",0,IFERROR(INDEX(CALC!$T$2:$T$33,MATCH($K193,CALC!$A$2:$A$33,0)),0))</f>
        <v/>
      </c>
      <c r="AQ193" s="2" t="str">
        <f t="array" ref="AQ193">IF($K193="",0,IFERROR(INDEX(CALC!$W$2:$W$33,MATCH($K193,CALC!$A$2:$A$33,0)),0))</f>
        <v/>
      </c>
      <c r="AR193" s="2" t="str">
        <f t="array" ref="AR193">IF($K193="",0,IFERROR(INDEX(CALC!$Z$2:$Z$33,MATCH($K193,CALC!$A$2:$A$33,0)),0))</f>
        <v/>
      </c>
      <c r="AS193" s="2" t="str">
        <f t="array" ref="AS193">IF($K193="",0,IFERROR(INDEX(CALC!$AJ$2:$AJ$33,MATCH($K193,CALC!$A$2:$A$33,0)),0))</f>
        <v/>
      </c>
      <c r="AT193" s="2" t="str">
        <f t="array" ref="AT193">IF($K193="",0,IFERROR(INDEX(CALC!$AI$2:$AI$33,MATCH($K193,CALC!$A$2:$A$33,0)),0))</f>
        <v/>
      </c>
      <c r="AU193" s="2">
        <f t="shared" si="11"/>
        <v>0</v>
      </c>
      <c r="AV193" s="2">
        <f t="shared" si="12"/>
        <v>0</v>
      </c>
    </row>
    <row r="194" ht="15.0" customHeight="1">
      <c r="A194" s="2">
        <v>96.0</v>
      </c>
      <c r="B194" s="2" t="s">
        <v>2366</v>
      </c>
      <c r="C194" s="2">
        <f>IFERROR(MATCH($A194,SchedSeq,0),"")</f>
        <v>381</v>
      </c>
      <c r="D194" s="2" t="str">
        <f t="array" ref="D194">IF($C194="","",INDEX(SchedZone,$C194,MAP!$B$6))</f>
        <v>2026_07_SF_ATL</v>
      </c>
      <c r="E194" s="2">
        <f t="array" ref="E194">IF($C194="","",INDEX(SchedZone,$C194,MAP!$B$3))</f>
        <v>2026</v>
      </c>
      <c r="F194" s="2" t="str">
        <f t="array" ref="F194">IF($C194="","",INDEX(SchedZone,$C194,MAP!$B$5))</f>
        <v>REG</v>
      </c>
      <c r="G194" s="2">
        <f t="array" ref="G194">IF($C194="","",INDEX(SchedZone,$C194,MAP!$B$4))</f>
        <v>7</v>
      </c>
      <c r="H194" s="2" t="str">
        <f t="array" ref="H194">IF($C194="","",INDEX(SchedZone,$C194,MAP!$B$10))</f>
        <v>SF</v>
      </c>
      <c r="I194" s="2" t="str">
        <f t="array" ref="I194">IF($H194="","",IF(COUNTIF(Teams,$H194)&gt;0,$H194,IFERROR(INDEX(LISTS!$D$2:$D$12,MATCH($H194,LISTS!$C$2:$C$12,0)),"⚠ "&amp;$H194)))</f>
        <v>SF</v>
      </c>
      <c r="J194" s="2" t="str">
        <f t="array" ref="J194">IF($C194="","",INDEX(SchedZone,$C194,MAP!$B$12))</f>
        <v>ATL</v>
      </c>
      <c r="K194" s="2" t="str">
        <f t="array" ref="K194">IF($J194="","",IF(COUNTIF(Teams,$J194)&gt;0,$J194,IFERROR(INDEX(LISTS!$D$2:$D$12,MATCH($J194,LISTS!$C$2:$C$12,0)),"⚠ "&amp;$J194)))</f>
        <v>ATL</v>
      </c>
      <c r="L194" s="2" t="str">
        <f t="array" ref="L194">IF($C194="","",IF(INDEX(SchedZone,$C194,MAP!$B$14)="Neutral","N",IF($B194="HOME","H","A")))</f>
        <v>A</v>
      </c>
      <c r="M194" s="2" t="str">
        <f t="array" ref="M194">IF($C194="","",IF(INDEX(SchedZone,$C194,MAP!$B$11)="","",INDEX(SchedZone,$C194,MAP!$B$11)))</f>
        <v/>
      </c>
      <c r="N194" s="2" t="str">
        <f t="array" ref="N194">IF($C194="","",IF(INDEX(SchedZone,$C194,MAP!$B$13)="","",INDEX(SchedZone,$C194,MAP!$B$13)))</f>
        <v/>
      </c>
      <c r="O194" s="2">
        <f t="array" ref="O194">IF($C194="","",INDEX(SchedZone,$C194,MAP!$B$15))</f>
        <v>6</v>
      </c>
      <c r="P194" s="2" t="str">
        <f>IF($C194="","",IFERROR(MATCH($E194&amp;"|"&amp;$G194&amp;"|"&amp;$I194,StatsKey,0),""))</f>
        <v/>
      </c>
      <c r="Q194" s="2">
        <f t="array" ref="Q194">IF($P194="",0,INDEX(StatsZone,$P194,MAP!$E$9)+INDEX(StatsZone,$P194,MAP!$E$10)+INDEX(StatsZone,$P194,MAP!$E$11))</f>
        <v>0</v>
      </c>
      <c r="R194" s="2">
        <f t="array" ref="R194">IF($P194="",0,INDEX(StatsZone,$P194,MAP!$E$12))</f>
        <v>0</v>
      </c>
      <c r="S194" s="2">
        <f t="array" ref="S194">IF($P194="",0,INDEX(StatsZone,$P194,MAP!$E$13))</f>
        <v>0</v>
      </c>
      <c r="T194" s="2">
        <f t="shared" si="1"/>
        <v>0</v>
      </c>
      <c r="U194" s="2">
        <f t="array" ref="U194">IF($P194="",0,INDEX(StatsZone,$P194,MAP!$E$14)+INDEX(StatsZone,$P194,MAP!$E$15)+INDEX(StatsZone,$P194,MAP!$E$16))</f>
        <v>0</v>
      </c>
      <c r="V194" s="2">
        <f t="shared" si="2"/>
        <v>0</v>
      </c>
      <c r="W194" s="2">
        <f t="shared" si="3"/>
        <v>0</v>
      </c>
      <c r="X194" s="2">
        <f t="shared" si="4"/>
        <v>0</v>
      </c>
      <c r="Y194" s="2">
        <f t="shared" si="5"/>
        <v>0</v>
      </c>
      <c r="Z194" s="2">
        <f t="shared" si="6"/>
        <v>0</v>
      </c>
      <c r="AA194" s="2">
        <f t="shared" si="7"/>
        <v>-1</v>
      </c>
      <c r="AB194" s="2">
        <f>IF(OR($M194="",$N194=""),0,MEDIAN(-MarginCap,MarginCap,($M194-$N194)-$AA194*HFA_Base))</f>
        <v>0</v>
      </c>
      <c r="AC194" s="2">
        <f t="array" ref="AC194">IF(OR($P194="",INDEX($P$3:$P$722,(ROW()+IF(MOD(ROW()-3,2)=0,1,-1))-3+1)=""),0,MEDIAN(-MarginCap,MarginCap,($T194-$W194)-$AA194*HFA_Base))</f>
        <v>0</v>
      </c>
      <c r="AD194" s="2">
        <f t="shared" si="8"/>
        <v>0</v>
      </c>
      <c r="AE194" s="2">
        <f>IF(OR($M194="",$N194=""),0,IF(AND(WEpa&gt;0,$AD194=1),(1-WEpa)*$AB194+WEpa*$AC194,$AB194))</f>
        <v>0</v>
      </c>
      <c r="AF194" s="2">
        <f>IF(AND($C194&lt;&gt;"",$E194=CurrentSeason,$F194="REG",ISNUMBER($G194),$G194&lt;CurrentWeek,AND($M194&lt;&gt;"",$N194&lt;&gt;"")),1,0)</f>
        <v>0</v>
      </c>
      <c r="AG194" s="2">
        <f>IF($AF194=0,0,IF($G194&gt;=CurrentWeek-RecencyWin,RecencyMult,1))</f>
        <v>0</v>
      </c>
      <c r="AH194" s="2">
        <f>IF(AND($C194&lt;&gt;"",$E194=CurrentSeason,$F194="REG",ISNUMBER($G194),$G194&lt;CurrentWeek-1,AND($M194&lt;&gt;"",$N194&lt;&gt;"")),1,0)</f>
        <v>0</v>
      </c>
      <c r="AI194" s="2">
        <f>IF($AH194=0,0,IF($G194&gt;=CurrentWeek-1-RecencyWin,RecencyMult,1))</f>
        <v>0</v>
      </c>
      <c r="AJ194" s="2">
        <f>IF($AF194=0,0,IF($G194&gt;=CurrentWeek-RecencyWin,TotRecency,1))</f>
        <v>0</v>
      </c>
      <c r="AK194" s="2">
        <f t="shared" si="9"/>
        <v>0</v>
      </c>
      <c r="AL194" s="2">
        <f t="shared" si="10"/>
        <v>0</v>
      </c>
      <c r="AM194" s="2" t="str">
        <f t="array" ref="AM194">IF($K194="",0,IFERROR(INDEX(CALC!$F$2:$F$33,MATCH($K194,CALC!$A$2:$A$33,0)),0))</f>
        <v/>
      </c>
      <c r="AN194" s="2" t="str">
        <f t="array" ref="AN194">IF($K194="",0,IFERROR(INDEX(CALC!$I$2:$I$33,MATCH($K194,CALC!$A$2:$A$33,0)),0))</f>
        <v/>
      </c>
      <c r="AO194" s="2" t="str">
        <f t="array" ref="AO194">IF($K194="",0,IFERROR(INDEX(CALC!$L$2:$L$33,MATCH($K194,CALC!$A$2:$A$33,0)),0))</f>
        <v/>
      </c>
      <c r="AP194" s="2" t="str">
        <f t="array" ref="AP194">IF($K194="",0,IFERROR(INDEX(CALC!$T$2:$T$33,MATCH($K194,CALC!$A$2:$A$33,0)),0))</f>
        <v/>
      </c>
      <c r="AQ194" s="2" t="str">
        <f t="array" ref="AQ194">IF($K194="",0,IFERROR(INDEX(CALC!$W$2:$W$33,MATCH($K194,CALC!$A$2:$A$33,0)),0))</f>
        <v/>
      </c>
      <c r="AR194" s="2" t="str">
        <f t="array" ref="AR194">IF($K194="",0,IFERROR(INDEX(CALC!$Z$2:$Z$33,MATCH($K194,CALC!$A$2:$A$33,0)),0))</f>
        <v/>
      </c>
      <c r="AS194" s="2" t="str">
        <f t="array" ref="AS194">IF($K194="",0,IFERROR(INDEX(CALC!$AJ$2:$AJ$33,MATCH($K194,CALC!$A$2:$A$33,0)),0))</f>
        <v/>
      </c>
      <c r="AT194" s="2" t="str">
        <f t="array" ref="AT194">IF($K194="",0,IFERROR(INDEX(CALC!$AI$2:$AI$33,MATCH($K194,CALC!$A$2:$A$33,0)),0))</f>
        <v/>
      </c>
      <c r="AU194" s="2">
        <f t="shared" si="11"/>
        <v>0</v>
      </c>
      <c r="AV194" s="2">
        <f t="shared" si="12"/>
        <v>0</v>
      </c>
    </row>
    <row r="195" ht="15.0" customHeight="1">
      <c r="A195" s="2">
        <v>97.0</v>
      </c>
      <c r="B195" s="2" t="s">
        <v>2365</v>
      </c>
      <c r="C195" s="2">
        <f>IFERROR(MATCH($A195,SchedSeq,0),"")</f>
        <v>382</v>
      </c>
      <c r="D195" s="2" t="str">
        <f t="array" ref="D195">IF($C195="","",INDEX(SchedZone,$C195,MAP!$B$6))</f>
        <v>2026_07_CIN_BAL</v>
      </c>
      <c r="E195" s="2">
        <f t="array" ref="E195">IF($C195="","",INDEX(SchedZone,$C195,MAP!$B$3))</f>
        <v>2026</v>
      </c>
      <c r="F195" s="2" t="str">
        <f t="array" ref="F195">IF($C195="","",INDEX(SchedZone,$C195,MAP!$B$5))</f>
        <v>REG</v>
      </c>
      <c r="G195" s="2">
        <f t="array" ref="G195">IF($C195="","",INDEX(SchedZone,$C195,MAP!$B$4))</f>
        <v>7</v>
      </c>
      <c r="H195" s="2" t="str">
        <f t="array" ref="H195">IF($C195="","",INDEX(SchedZone,$C195,MAP!$B$12))</f>
        <v>BAL</v>
      </c>
      <c r="I195" s="2" t="str">
        <f t="array" ref="I195">IF($H195="","",IF(COUNTIF(Teams,$H195)&gt;0,$H195,IFERROR(INDEX(LISTS!$D$2:$D$12,MATCH($H195,LISTS!$C$2:$C$12,0)),"⚠ "&amp;$H195)))</f>
        <v>BAL</v>
      </c>
      <c r="J195" s="2" t="str">
        <f t="array" ref="J195">IF($C195="","",INDEX(SchedZone,$C195,MAP!$B$10))</f>
        <v>CIN</v>
      </c>
      <c r="K195" s="2" t="str">
        <f t="array" ref="K195">IF($J195="","",IF(COUNTIF(Teams,$J195)&gt;0,$J195,IFERROR(INDEX(LISTS!$D$2:$D$12,MATCH($J195,LISTS!$C$2:$C$12,0)),"⚠ "&amp;$J195)))</f>
        <v>CIN</v>
      </c>
      <c r="L195" s="2" t="str">
        <f t="array" ref="L195">IF($C195="","",IF(INDEX(SchedZone,$C195,MAP!$B$14)="Neutral","N",IF($B195="HOME","H","A")))</f>
        <v>H</v>
      </c>
      <c r="M195" s="2" t="str">
        <f t="array" ref="M195">IF($C195="","",IF(INDEX(SchedZone,$C195,MAP!$B$13)="","",INDEX(SchedZone,$C195,MAP!$B$13)))</f>
        <v/>
      </c>
      <c r="N195" s="2" t="str">
        <f t="array" ref="N195">IF($C195="","",IF(INDEX(SchedZone,$C195,MAP!$B$11)="","",INDEX(SchedZone,$C195,MAP!$B$11)))</f>
        <v/>
      </c>
      <c r="O195" s="2">
        <f t="array" ref="O195">IF($C195="","",INDEX(SchedZone,$C195,MAP!$B$16))</f>
        <v>7</v>
      </c>
      <c r="P195" s="2" t="str">
        <f>IF($C195="","",IFERROR(MATCH($E195&amp;"|"&amp;$G195&amp;"|"&amp;$I195,StatsKey,0),""))</f>
        <v/>
      </c>
      <c r="Q195" s="2">
        <f t="array" ref="Q195">IF($P195="",0,INDEX(StatsZone,$P195,MAP!$E$9)+INDEX(StatsZone,$P195,MAP!$E$10)+INDEX(StatsZone,$P195,MAP!$E$11))</f>
        <v>0</v>
      </c>
      <c r="R195" s="2">
        <f t="array" ref="R195">IF($P195="",0,INDEX(StatsZone,$P195,MAP!$E$12))</f>
        <v>0</v>
      </c>
      <c r="S195" s="2">
        <f t="array" ref="S195">IF($P195="",0,INDEX(StatsZone,$P195,MAP!$E$13))</f>
        <v>0</v>
      </c>
      <c r="T195" s="2">
        <f t="shared" si="1"/>
        <v>0</v>
      </c>
      <c r="U195" s="2">
        <f t="array" ref="U195">IF($P195="",0,INDEX(StatsZone,$P195,MAP!$E$14)+INDEX(StatsZone,$P195,MAP!$E$15)+INDEX(StatsZone,$P195,MAP!$E$16))</f>
        <v>0</v>
      </c>
      <c r="V195" s="2">
        <f t="shared" si="2"/>
        <v>0</v>
      </c>
      <c r="W195" s="2">
        <f t="shared" si="3"/>
        <v>0</v>
      </c>
      <c r="X195" s="2">
        <f t="shared" si="4"/>
        <v>0</v>
      </c>
      <c r="Y195" s="2">
        <f t="shared" si="5"/>
        <v>0</v>
      </c>
      <c r="Z195" s="2">
        <f t="shared" si="6"/>
        <v>0</v>
      </c>
      <c r="AA195" s="2">
        <f t="shared" si="7"/>
        <v>1</v>
      </c>
      <c r="AB195" s="2">
        <f>IF(OR($M195="",$N195=""),0,MEDIAN(-MarginCap,MarginCap,($M195-$N195)-$AA195*HFA_Base))</f>
        <v>0</v>
      </c>
      <c r="AC195" s="2">
        <f t="array" ref="AC195">IF(OR($P195="",INDEX($P$3:$P$722,(ROW()+IF(MOD(ROW()-3,2)=0,1,-1))-3+1)=""),0,MEDIAN(-MarginCap,MarginCap,($T195-$W195)-$AA195*HFA_Base))</f>
        <v>0</v>
      </c>
      <c r="AD195" s="2">
        <f t="shared" si="8"/>
        <v>0</v>
      </c>
      <c r="AE195" s="2">
        <f>IF(OR($M195="",$N195=""),0,IF(AND(WEpa&gt;0,$AD195=1),(1-WEpa)*$AB195+WEpa*$AC195,$AB195))</f>
        <v>0</v>
      </c>
      <c r="AF195" s="2">
        <f>IF(AND($C195&lt;&gt;"",$E195=CurrentSeason,$F195="REG",ISNUMBER($G195),$G195&lt;CurrentWeek,AND($M195&lt;&gt;"",$N195&lt;&gt;"")),1,0)</f>
        <v>0</v>
      </c>
      <c r="AG195" s="2">
        <f>IF($AF195=0,0,IF($G195&gt;=CurrentWeek-RecencyWin,RecencyMult,1))</f>
        <v>0</v>
      </c>
      <c r="AH195" s="2">
        <f>IF(AND($C195&lt;&gt;"",$E195=CurrentSeason,$F195="REG",ISNUMBER($G195),$G195&lt;CurrentWeek-1,AND($M195&lt;&gt;"",$N195&lt;&gt;"")),1,0)</f>
        <v>0</v>
      </c>
      <c r="AI195" s="2">
        <f>IF($AH195=0,0,IF($G195&gt;=CurrentWeek-1-RecencyWin,RecencyMult,1))</f>
        <v>0</v>
      </c>
      <c r="AJ195" s="2">
        <f>IF($AF195=0,0,IF($G195&gt;=CurrentWeek-RecencyWin,TotRecency,1))</f>
        <v>0</v>
      </c>
      <c r="AK195" s="2">
        <f t="shared" si="9"/>
        <v>0</v>
      </c>
      <c r="AL195" s="2">
        <f t="shared" si="10"/>
        <v>0</v>
      </c>
      <c r="AM195" s="2" t="str">
        <f t="array" ref="AM195">IF($K195="",0,IFERROR(INDEX(CALC!$F$2:$F$33,MATCH($K195,CALC!$A$2:$A$33,0)),0))</f>
        <v/>
      </c>
      <c r="AN195" s="2" t="str">
        <f t="array" ref="AN195">IF($K195="",0,IFERROR(INDEX(CALC!$I$2:$I$33,MATCH($K195,CALC!$A$2:$A$33,0)),0))</f>
        <v/>
      </c>
      <c r="AO195" s="2" t="str">
        <f t="array" ref="AO195">IF($K195="",0,IFERROR(INDEX(CALC!$L$2:$L$33,MATCH($K195,CALC!$A$2:$A$33,0)),0))</f>
        <v/>
      </c>
      <c r="AP195" s="2" t="str">
        <f t="array" ref="AP195">IF($K195="",0,IFERROR(INDEX(CALC!$T$2:$T$33,MATCH($K195,CALC!$A$2:$A$33,0)),0))</f>
        <v/>
      </c>
      <c r="AQ195" s="2" t="str">
        <f t="array" ref="AQ195">IF($K195="",0,IFERROR(INDEX(CALC!$W$2:$W$33,MATCH($K195,CALC!$A$2:$A$33,0)),0))</f>
        <v/>
      </c>
      <c r="AR195" s="2" t="str">
        <f t="array" ref="AR195">IF($K195="",0,IFERROR(INDEX(CALC!$Z$2:$Z$33,MATCH($K195,CALC!$A$2:$A$33,0)),0))</f>
        <v/>
      </c>
      <c r="AS195" s="2" t="str">
        <f t="array" ref="AS195">IF($K195="",0,IFERROR(INDEX(CALC!$AJ$2:$AJ$33,MATCH($K195,CALC!$A$2:$A$33,0)),0))</f>
        <v/>
      </c>
      <c r="AT195" s="2" t="str">
        <f t="array" ref="AT195">IF($K195="",0,IFERROR(INDEX(CALC!$AI$2:$AI$33,MATCH($K195,CALC!$A$2:$A$33,0)),0))</f>
        <v/>
      </c>
      <c r="AU195" s="2">
        <f t="shared" si="11"/>
        <v>0</v>
      </c>
      <c r="AV195" s="2">
        <f t="shared" si="12"/>
        <v>0</v>
      </c>
    </row>
    <row r="196" ht="15.0" customHeight="1">
      <c r="A196" s="2">
        <v>97.0</v>
      </c>
      <c r="B196" s="2" t="s">
        <v>2366</v>
      </c>
      <c r="C196" s="2">
        <f>IFERROR(MATCH($A196,SchedSeq,0),"")</f>
        <v>382</v>
      </c>
      <c r="D196" s="2" t="str">
        <f t="array" ref="D196">IF($C196="","",INDEX(SchedZone,$C196,MAP!$B$6))</f>
        <v>2026_07_CIN_BAL</v>
      </c>
      <c r="E196" s="2">
        <f t="array" ref="E196">IF($C196="","",INDEX(SchedZone,$C196,MAP!$B$3))</f>
        <v>2026</v>
      </c>
      <c r="F196" s="2" t="str">
        <f t="array" ref="F196">IF($C196="","",INDEX(SchedZone,$C196,MAP!$B$5))</f>
        <v>REG</v>
      </c>
      <c r="G196" s="2">
        <f t="array" ref="G196">IF($C196="","",INDEX(SchedZone,$C196,MAP!$B$4))</f>
        <v>7</v>
      </c>
      <c r="H196" s="2" t="str">
        <f t="array" ref="H196">IF($C196="","",INDEX(SchedZone,$C196,MAP!$B$10))</f>
        <v>CIN</v>
      </c>
      <c r="I196" s="2" t="str">
        <f t="array" ref="I196">IF($H196="","",IF(COUNTIF(Teams,$H196)&gt;0,$H196,IFERROR(INDEX(LISTS!$D$2:$D$12,MATCH($H196,LISTS!$C$2:$C$12,0)),"⚠ "&amp;$H196)))</f>
        <v>CIN</v>
      </c>
      <c r="J196" s="2" t="str">
        <f t="array" ref="J196">IF($C196="","",INDEX(SchedZone,$C196,MAP!$B$12))</f>
        <v>BAL</v>
      </c>
      <c r="K196" s="2" t="str">
        <f t="array" ref="K196">IF($J196="","",IF(COUNTIF(Teams,$J196)&gt;0,$J196,IFERROR(INDEX(LISTS!$D$2:$D$12,MATCH($J196,LISTS!$C$2:$C$12,0)),"⚠ "&amp;$J196)))</f>
        <v>BAL</v>
      </c>
      <c r="L196" s="2" t="str">
        <f t="array" ref="L196">IF($C196="","",IF(INDEX(SchedZone,$C196,MAP!$B$14)="Neutral","N",IF($B196="HOME","H","A")))</f>
        <v>A</v>
      </c>
      <c r="M196" s="2" t="str">
        <f t="array" ref="M196">IF($C196="","",IF(INDEX(SchedZone,$C196,MAP!$B$11)="","",INDEX(SchedZone,$C196,MAP!$B$11)))</f>
        <v/>
      </c>
      <c r="N196" s="2" t="str">
        <f t="array" ref="N196">IF($C196="","",IF(INDEX(SchedZone,$C196,MAP!$B$13)="","",INDEX(SchedZone,$C196,MAP!$B$13)))</f>
        <v/>
      </c>
      <c r="O196" s="2">
        <f t="array" ref="O196">IF($C196="","",INDEX(SchedZone,$C196,MAP!$B$15))</f>
        <v>14</v>
      </c>
      <c r="P196" s="2" t="str">
        <f>IF($C196="","",IFERROR(MATCH($E196&amp;"|"&amp;$G196&amp;"|"&amp;$I196,StatsKey,0),""))</f>
        <v/>
      </c>
      <c r="Q196" s="2">
        <f t="array" ref="Q196">IF($P196="",0,INDEX(StatsZone,$P196,MAP!$E$9)+INDEX(StatsZone,$P196,MAP!$E$10)+INDEX(StatsZone,$P196,MAP!$E$11))</f>
        <v>0</v>
      </c>
      <c r="R196" s="2">
        <f t="array" ref="R196">IF($P196="",0,INDEX(StatsZone,$P196,MAP!$E$12))</f>
        <v>0</v>
      </c>
      <c r="S196" s="2">
        <f t="array" ref="S196">IF($P196="",0,INDEX(StatsZone,$P196,MAP!$E$13))</f>
        <v>0</v>
      </c>
      <c r="T196" s="2">
        <f t="shared" si="1"/>
        <v>0</v>
      </c>
      <c r="U196" s="2">
        <f t="array" ref="U196">IF($P196="",0,INDEX(StatsZone,$P196,MAP!$E$14)+INDEX(StatsZone,$P196,MAP!$E$15)+INDEX(StatsZone,$P196,MAP!$E$16))</f>
        <v>0</v>
      </c>
      <c r="V196" s="2">
        <f t="shared" si="2"/>
        <v>0</v>
      </c>
      <c r="W196" s="2">
        <f t="shared" si="3"/>
        <v>0</v>
      </c>
      <c r="X196" s="2">
        <f t="shared" si="4"/>
        <v>0</v>
      </c>
      <c r="Y196" s="2">
        <f t="shared" si="5"/>
        <v>0</v>
      </c>
      <c r="Z196" s="2">
        <f t="shared" si="6"/>
        <v>0</v>
      </c>
      <c r="AA196" s="2">
        <f t="shared" si="7"/>
        <v>-1</v>
      </c>
      <c r="AB196" s="2">
        <f>IF(OR($M196="",$N196=""),0,MEDIAN(-MarginCap,MarginCap,($M196-$N196)-$AA196*HFA_Base))</f>
        <v>0</v>
      </c>
      <c r="AC196" s="2">
        <f t="array" ref="AC196">IF(OR($P196="",INDEX($P$3:$P$722,(ROW()+IF(MOD(ROW()-3,2)=0,1,-1))-3+1)=""),0,MEDIAN(-MarginCap,MarginCap,($T196-$W196)-$AA196*HFA_Base))</f>
        <v>0</v>
      </c>
      <c r="AD196" s="2">
        <f t="shared" si="8"/>
        <v>0</v>
      </c>
      <c r="AE196" s="2">
        <f>IF(OR($M196="",$N196=""),0,IF(AND(WEpa&gt;0,$AD196=1),(1-WEpa)*$AB196+WEpa*$AC196,$AB196))</f>
        <v>0</v>
      </c>
      <c r="AF196" s="2">
        <f>IF(AND($C196&lt;&gt;"",$E196=CurrentSeason,$F196="REG",ISNUMBER($G196),$G196&lt;CurrentWeek,AND($M196&lt;&gt;"",$N196&lt;&gt;"")),1,0)</f>
        <v>0</v>
      </c>
      <c r="AG196" s="2">
        <f>IF($AF196=0,0,IF($G196&gt;=CurrentWeek-RecencyWin,RecencyMult,1))</f>
        <v>0</v>
      </c>
      <c r="AH196" s="2">
        <f>IF(AND($C196&lt;&gt;"",$E196=CurrentSeason,$F196="REG",ISNUMBER($G196),$G196&lt;CurrentWeek-1,AND($M196&lt;&gt;"",$N196&lt;&gt;"")),1,0)</f>
        <v>0</v>
      </c>
      <c r="AI196" s="2">
        <f>IF($AH196=0,0,IF($G196&gt;=CurrentWeek-1-RecencyWin,RecencyMult,1))</f>
        <v>0</v>
      </c>
      <c r="AJ196" s="2">
        <f>IF($AF196=0,0,IF($G196&gt;=CurrentWeek-RecencyWin,TotRecency,1))</f>
        <v>0</v>
      </c>
      <c r="AK196" s="2">
        <f t="shared" si="9"/>
        <v>0</v>
      </c>
      <c r="AL196" s="2">
        <f t="shared" si="10"/>
        <v>0</v>
      </c>
      <c r="AM196" s="2" t="str">
        <f t="array" ref="AM196">IF($K196="",0,IFERROR(INDEX(CALC!$F$2:$F$33,MATCH($K196,CALC!$A$2:$A$33,0)),0))</f>
        <v/>
      </c>
      <c r="AN196" s="2" t="str">
        <f t="array" ref="AN196">IF($K196="",0,IFERROR(INDEX(CALC!$I$2:$I$33,MATCH($K196,CALC!$A$2:$A$33,0)),0))</f>
        <v/>
      </c>
      <c r="AO196" s="2" t="str">
        <f t="array" ref="AO196">IF($K196="",0,IFERROR(INDEX(CALC!$L$2:$L$33,MATCH($K196,CALC!$A$2:$A$33,0)),0))</f>
        <v/>
      </c>
      <c r="AP196" s="2" t="str">
        <f t="array" ref="AP196">IF($K196="",0,IFERROR(INDEX(CALC!$T$2:$T$33,MATCH($K196,CALC!$A$2:$A$33,0)),0))</f>
        <v/>
      </c>
      <c r="AQ196" s="2" t="str">
        <f t="array" ref="AQ196">IF($K196="",0,IFERROR(INDEX(CALC!$W$2:$W$33,MATCH($K196,CALC!$A$2:$A$33,0)),0))</f>
        <v/>
      </c>
      <c r="AR196" s="2" t="str">
        <f t="array" ref="AR196">IF($K196="",0,IFERROR(INDEX(CALC!$Z$2:$Z$33,MATCH($K196,CALC!$A$2:$A$33,0)),0))</f>
        <v/>
      </c>
      <c r="AS196" s="2" t="str">
        <f t="array" ref="AS196">IF($K196="",0,IFERROR(INDEX(CALC!$AJ$2:$AJ$33,MATCH($K196,CALC!$A$2:$A$33,0)),0))</f>
        <v/>
      </c>
      <c r="AT196" s="2" t="str">
        <f t="array" ref="AT196">IF($K196="",0,IFERROR(INDEX(CALC!$AI$2:$AI$33,MATCH($K196,CALC!$A$2:$A$33,0)),0))</f>
        <v/>
      </c>
      <c r="AU196" s="2">
        <f t="shared" si="11"/>
        <v>0</v>
      </c>
      <c r="AV196" s="2">
        <f t="shared" si="12"/>
        <v>0</v>
      </c>
    </row>
    <row r="197" ht="15.0" customHeight="1">
      <c r="A197" s="2">
        <v>98.0</v>
      </c>
      <c r="B197" s="2" t="s">
        <v>2365</v>
      </c>
      <c r="C197" s="2">
        <f>IFERROR(MATCH($A197,SchedSeq,0),"")</f>
        <v>383</v>
      </c>
      <c r="D197" s="2" t="str">
        <f t="array" ref="D197">IF($C197="","",INDEX(SchedZone,$C197,MAP!$B$6))</f>
        <v>2026_07_TB_CAR</v>
      </c>
      <c r="E197" s="2">
        <f t="array" ref="E197">IF($C197="","",INDEX(SchedZone,$C197,MAP!$B$3))</f>
        <v>2026</v>
      </c>
      <c r="F197" s="2" t="str">
        <f t="array" ref="F197">IF($C197="","",INDEX(SchedZone,$C197,MAP!$B$5))</f>
        <v>REG</v>
      </c>
      <c r="G197" s="2">
        <f t="array" ref="G197">IF($C197="","",INDEX(SchedZone,$C197,MAP!$B$4))</f>
        <v>7</v>
      </c>
      <c r="H197" s="2" t="str">
        <f t="array" ref="H197">IF($C197="","",INDEX(SchedZone,$C197,MAP!$B$12))</f>
        <v>CAR</v>
      </c>
      <c r="I197" s="2" t="str">
        <f t="array" ref="I197">IF($H197="","",IF(COUNTIF(Teams,$H197)&gt;0,$H197,IFERROR(INDEX(LISTS!$D$2:$D$12,MATCH($H197,LISTS!$C$2:$C$12,0)),"⚠ "&amp;$H197)))</f>
        <v>CAR</v>
      </c>
      <c r="J197" s="2" t="str">
        <f t="array" ref="J197">IF($C197="","",INDEX(SchedZone,$C197,MAP!$B$10))</f>
        <v>TB</v>
      </c>
      <c r="K197" s="2" t="str">
        <f t="array" ref="K197">IF($J197="","",IF(COUNTIF(Teams,$J197)&gt;0,$J197,IFERROR(INDEX(LISTS!$D$2:$D$12,MATCH($J197,LISTS!$C$2:$C$12,0)),"⚠ "&amp;$J197)))</f>
        <v>TB</v>
      </c>
      <c r="L197" s="2" t="str">
        <f t="array" ref="L197">IF($C197="","",IF(INDEX(SchedZone,$C197,MAP!$B$14)="Neutral","N",IF($B197="HOME","H","A")))</f>
        <v>H</v>
      </c>
      <c r="M197" s="2" t="str">
        <f t="array" ref="M197">IF($C197="","",IF(INDEX(SchedZone,$C197,MAP!$B$13)="","",INDEX(SchedZone,$C197,MAP!$B$13)))</f>
        <v/>
      </c>
      <c r="N197" s="2" t="str">
        <f t="array" ref="N197">IF($C197="","",IF(INDEX(SchedZone,$C197,MAP!$B$11)="","",INDEX(SchedZone,$C197,MAP!$B$11)))</f>
        <v/>
      </c>
      <c r="O197" s="2">
        <f t="array" ref="O197">IF($C197="","",INDEX(SchedZone,$C197,MAP!$B$16))</f>
        <v>7</v>
      </c>
      <c r="P197" s="2" t="str">
        <f>IF($C197="","",IFERROR(MATCH($E197&amp;"|"&amp;$G197&amp;"|"&amp;$I197,StatsKey,0),""))</f>
        <v/>
      </c>
      <c r="Q197" s="2">
        <f t="array" ref="Q197">IF($P197="",0,INDEX(StatsZone,$P197,MAP!$E$9)+INDEX(StatsZone,$P197,MAP!$E$10)+INDEX(StatsZone,$P197,MAP!$E$11))</f>
        <v>0</v>
      </c>
      <c r="R197" s="2">
        <f t="array" ref="R197">IF($P197="",0,INDEX(StatsZone,$P197,MAP!$E$12))</f>
        <v>0</v>
      </c>
      <c r="S197" s="2">
        <f t="array" ref="S197">IF($P197="",0,INDEX(StatsZone,$P197,MAP!$E$13))</f>
        <v>0</v>
      </c>
      <c r="T197" s="2">
        <f t="shared" si="1"/>
        <v>0</v>
      </c>
      <c r="U197" s="2">
        <f t="array" ref="U197">IF($P197="",0,INDEX(StatsZone,$P197,MAP!$E$14)+INDEX(StatsZone,$P197,MAP!$E$15)+INDEX(StatsZone,$P197,MAP!$E$16))</f>
        <v>0</v>
      </c>
      <c r="V197" s="2">
        <f t="shared" si="2"/>
        <v>0</v>
      </c>
      <c r="W197" s="2">
        <f t="shared" si="3"/>
        <v>0</v>
      </c>
      <c r="X197" s="2">
        <f t="shared" si="4"/>
        <v>0</v>
      </c>
      <c r="Y197" s="2">
        <f t="shared" si="5"/>
        <v>0</v>
      </c>
      <c r="Z197" s="2">
        <f t="shared" si="6"/>
        <v>0</v>
      </c>
      <c r="AA197" s="2">
        <f t="shared" si="7"/>
        <v>1</v>
      </c>
      <c r="AB197" s="2">
        <f>IF(OR($M197="",$N197=""),0,MEDIAN(-MarginCap,MarginCap,($M197-$N197)-$AA197*HFA_Base))</f>
        <v>0</v>
      </c>
      <c r="AC197" s="2">
        <f t="array" ref="AC197">IF(OR($P197="",INDEX($P$3:$P$722,(ROW()+IF(MOD(ROW()-3,2)=0,1,-1))-3+1)=""),0,MEDIAN(-MarginCap,MarginCap,($T197-$W197)-$AA197*HFA_Base))</f>
        <v>0</v>
      </c>
      <c r="AD197" s="2">
        <f t="shared" si="8"/>
        <v>0</v>
      </c>
      <c r="AE197" s="2">
        <f>IF(OR($M197="",$N197=""),0,IF(AND(WEpa&gt;0,$AD197=1),(1-WEpa)*$AB197+WEpa*$AC197,$AB197))</f>
        <v>0</v>
      </c>
      <c r="AF197" s="2">
        <f>IF(AND($C197&lt;&gt;"",$E197=CurrentSeason,$F197="REG",ISNUMBER($G197),$G197&lt;CurrentWeek,AND($M197&lt;&gt;"",$N197&lt;&gt;"")),1,0)</f>
        <v>0</v>
      </c>
      <c r="AG197" s="2">
        <f>IF($AF197=0,0,IF($G197&gt;=CurrentWeek-RecencyWin,RecencyMult,1))</f>
        <v>0</v>
      </c>
      <c r="AH197" s="2">
        <f>IF(AND($C197&lt;&gt;"",$E197=CurrentSeason,$F197="REG",ISNUMBER($G197),$G197&lt;CurrentWeek-1,AND($M197&lt;&gt;"",$N197&lt;&gt;"")),1,0)</f>
        <v>0</v>
      </c>
      <c r="AI197" s="2">
        <f>IF($AH197=0,0,IF($G197&gt;=CurrentWeek-1-RecencyWin,RecencyMult,1))</f>
        <v>0</v>
      </c>
      <c r="AJ197" s="2">
        <f>IF($AF197=0,0,IF($G197&gt;=CurrentWeek-RecencyWin,TotRecency,1))</f>
        <v>0</v>
      </c>
      <c r="AK197" s="2">
        <f t="shared" si="9"/>
        <v>0</v>
      </c>
      <c r="AL197" s="2">
        <f t="shared" si="10"/>
        <v>0</v>
      </c>
      <c r="AM197" s="2" t="str">
        <f t="array" ref="AM197">IF($K197="",0,IFERROR(INDEX(CALC!$F$2:$F$33,MATCH($K197,CALC!$A$2:$A$33,0)),0))</f>
        <v/>
      </c>
      <c r="AN197" s="2" t="str">
        <f t="array" ref="AN197">IF($K197="",0,IFERROR(INDEX(CALC!$I$2:$I$33,MATCH($K197,CALC!$A$2:$A$33,0)),0))</f>
        <v/>
      </c>
      <c r="AO197" s="2" t="str">
        <f t="array" ref="AO197">IF($K197="",0,IFERROR(INDEX(CALC!$L$2:$L$33,MATCH($K197,CALC!$A$2:$A$33,0)),0))</f>
        <v/>
      </c>
      <c r="AP197" s="2" t="str">
        <f t="array" ref="AP197">IF($K197="",0,IFERROR(INDEX(CALC!$T$2:$T$33,MATCH($K197,CALC!$A$2:$A$33,0)),0))</f>
        <v/>
      </c>
      <c r="AQ197" s="2" t="str">
        <f t="array" ref="AQ197">IF($K197="",0,IFERROR(INDEX(CALC!$W$2:$W$33,MATCH($K197,CALC!$A$2:$A$33,0)),0))</f>
        <v/>
      </c>
      <c r="AR197" s="2" t="str">
        <f t="array" ref="AR197">IF($K197="",0,IFERROR(INDEX(CALC!$Z$2:$Z$33,MATCH($K197,CALC!$A$2:$A$33,0)),0))</f>
        <v/>
      </c>
      <c r="AS197" s="2" t="str">
        <f t="array" ref="AS197">IF($K197="",0,IFERROR(INDEX(CALC!$AJ$2:$AJ$33,MATCH($K197,CALC!$A$2:$A$33,0)),0))</f>
        <v/>
      </c>
      <c r="AT197" s="2" t="str">
        <f t="array" ref="AT197">IF($K197="",0,IFERROR(INDEX(CALC!$AI$2:$AI$33,MATCH($K197,CALC!$A$2:$A$33,0)),0))</f>
        <v/>
      </c>
      <c r="AU197" s="2">
        <f t="shared" si="11"/>
        <v>0</v>
      </c>
      <c r="AV197" s="2">
        <f t="shared" si="12"/>
        <v>0</v>
      </c>
    </row>
    <row r="198" ht="15.0" customHeight="1">
      <c r="A198" s="2">
        <v>98.0</v>
      </c>
      <c r="B198" s="2" t="s">
        <v>2366</v>
      </c>
      <c r="C198" s="2">
        <f>IFERROR(MATCH($A198,SchedSeq,0),"")</f>
        <v>383</v>
      </c>
      <c r="D198" s="2" t="str">
        <f t="array" ref="D198">IF($C198="","",INDEX(SchedZone,$C198,MAP!$B$6))</f>
        <v>2026_07_TB_CAR</v>
      </c>
      <c r="E198" s="2">
        <f t="array" ref="E198">IF($C198="","",INDEX(SchedZone,$C198,MAP!$B$3))</f>
        <v>2026</v>
      </c>
      <c r="F198" s="2" t="str">
        <f t="array" ref="F198">IF($C198="","",INDEX(SchedZone,$C198,MAP!$B$5))</f>
        <v>REG</v>
      </c>
      <c r="G198" s="2">
        <f t="array" ref="G198">IF($C198="","",INDEX(SchedZone,$C198,MAP!$B$4))</f>
        <v>7</v>
      </c>
      <c r="H198" s="2" t="str">
        <f t="array" ref="H198">IF($C198="","",INDEX(SchedZone,$C198,MAP!$B$10))</f>
        <v>TB</v>
      </c>
      <c r="I198" s="2" t="str">
        <f t="array" ref="I198">IF($H198="","",IF(COUNTIF(Teams,$H198)&gt;0,$H198,IFERROR(INDEX(LISTS!$D$2:$D$12,MATCH($H198,LISTS!$C$2:$C$12,0)),"⚠ "&amp;$H198)))</f>
        <v>TB</v>
      </c>
      <c r="J198" s="2" t="str">
        <f t="array" ref="J198">IF($C198="","",INDEX(SchedZone,$C198,MAP!$B$12))</f>
        <v>CAR</v>
      </c>
      <c r="K198" s="2" t="str">
        <f t="array" ref="K198">IF($J198="","",IF(COUNTIF(Teams,$J198)&gt;0,$J198,IFERROR(INDEX(LISTS!$D$2:$D$12,MATCH($J198,LISTS!$C$2:$C$12,0)),"⚠ "&amp;$J198)))</f>
        <v>CAR</v>
      </c>
      <c r="L198" s="2" t="str">
        <f t="array" ref="L198">IF($C198="","",IF(INDEX(SchedZone,$C198,MAP!$B$14)="Neutral","N",IF($B198="HOME","H","A")))</f>
        <v>A</v>
      </c>
      <c r="M198" s="2" t="str">
        <f t="array" ref="M198">IF($C198="","",IF(INDEX(SchedZone,$C198,MAP!$B$11)="","",INDEX(SchedZone,$C198,MAP!$B$11)))</f>
        <v/>
      </c>
      <c r="N198" s="2" t="str">
        <f t="array" ref="N198">IF($C198="","",IF(INDEX(SchedZone,$C198,MAP!$B$13)="","",INDEX(SchedZone,$C198,MAP!$B$13)))</f>
        <v/>
      </c>
      <c r="O198" s="2">
        <f t="array" ref="O198">IF($C198="","",INDEX(SchedZone,$C198,MAP!$B$15))</f>
        <v>7</v>
      </c>
      <c r="P198" s="2" t="str">
        <f>IF($C198="","",IFERROR(MATCH($E198&amp;"|"&amp;$G198&amp;"|"&amp;$I198,StatsKey,0),""))</f>
        <v/>
      </c>
      <c r="Q198" s="2">
        <f t="array" ref="Q198">IF($P198="",0,INDEX(StatsZone,$P198,MAP!$E$9)+INDEX(StatsZone,$P198,MAP!$E$10)+INDEX(StatsZone,$P198,MAP!$E$11))</f>
        <v>0</v>
      </c>
      <c r="R198" s="2">
        <f t="array" ref="R198">IF($P198="",0,INDEX(StatsZone,$P198,MAP!$E$12))</f>
        <v>0</v>
      </c>
      <c r="S198" s="2">
        <f t="array" ref="S198">IF($P198="",0,INDEX(StatsZone,$P198,MAP!$E$13))</f>
        <v>0</v>
      </c>
      <c r="T198" s="2">
        <f t="shared" si="1"/>
        <v>0</v>
      </c>
      <c r="U198" s="2">
        <f t="array" ref="U198">IF($P198="",0,INDEX(StatsZone,$P198,MAP!$E$14)+INDEX(StatsZone,$P198,MAP!$E$15)+INDEX(StatsZone,$P198,MAP!$E$16))</f>
        <v>0</v>
      </c>
      <c r="V198" s="2">
        <f t="shared" si="2"/>
        <v>0</v>
      </c>
      <c r="W198" s="2">
        <f t="shared" si="3"/>
        <v>0</v>
      </c>
      <c r="X198" s="2">
        <f t="shared" si="4"/>
        <v>0</v>
      </c>
      <c r="Y198" s="2">
        <f t="shared" si="5"/>
        <v>0</v>
      </c>
      <c r="Z198" s="2">
        <f t="shared" si="6"/>
        <v>0</v>
      </c>
      <c r="AA198" s="2">
        <f t="shared" si="7"/>
        <v>-1</v>
      </c>
      <c r="AB198" s="2">
        <f>IF(OR($M198="",$N198=""),0,MEDIAN(-MarginCap,MarginCap,($M198-$N198)-$AA198*HFA_Base))</f>
        <v>0</v>
      </c>
      <c r="AC198" s="2">
        <f t="array" ref="AC198">IF(OR($P198="",INDEX($P$3:$P$722,(ROW()+IF(MOD(ROW()-3,2)=0,1,-1))-3+1)=""),0,MEDIAN(-MarginCap,MarginCap,($T198-$W198)-$AA198*HFA_Base))</f>
        <v>0</v>
      </c>
      <c r="AD198" s="2">
        <f t="shared" si="8"/>
        <v>0</v>
      </c>
      <c r="AE198" s="2">
        <f>IF(OR($M198="",$N198=""),0,IF(AND(WEpa&gt;0,$AD198=1),(1-WEpa)*$AB198+WEpa*$AC198,$AB198))</f>
        <v>0</v>
      </c>
      <c r="AF198" s="2">
        <f>IF(AND($C198&lt;&gt;"",$E198=CurrentSeason,$F198="REG",ISNUMBER($G198),$G198&lt;CurrentWeek,AND($M198&lt;&gt;"",$N198&lt;&gt;"")),1,0)</f>
        <v>0</v>
      </c>
      <c r="AG198" s="2">
        <f>IF($AF198=0,0,IF($G198&gt;=CurrentWeek-RecencyWin,RecencyMult,1))</f>
        <v>0</v>
      </c>
      <c r="AH198" s="2">
        <f>IF(AND($C198&lt;&gt;"",$E198=CurrentSeason,$F198="REG",ISNUMBER($G198),$G198&lt;CurrentWeek-1,AND($M198&lt;&gt;"",$N198&lt;&gt;"")),1,0)</f>
        <v>0</v>
      </c>
      <c r="AI198" s="2">
        <f>IF($AH198=0,0,IF($G198&gt;=CurrentWeek-1-RecencyWin,RecencyMult,1))</f>
        <v>0</v>
      </c>
      <c r="AJ198" s="2">
        <f>IF($AF198=0,0,IF($G198&gt;=CurrentWeek-RecencyWin,TotRecency,1))</f>
        <v>0</v>
      </c>
      <c r="AK198" s="2">
        <f t="shared" si="9"/>
        <v>0</v>
      </c>
      <c r="AL198" s="2">
        <f t="shared" si="10"/>
        <v>0</v>
      </c>
      <c r="AM198" s="2" t="str">
        <f t="array" ref="AM198">IF($K198="",0,IFERROR(INDEX(CALC!$F$2:$F$33,MATCH($K198,CALC!$A$2:$A$33,0)),0))</f>
        <v/>
      </c>
      <c r="AN198" s="2" t="str">
        <f t="array" ref="AN198">IF($K198="",0,IFERROR(INDEX(CALC!$I$2:$I$33,MATCH($K198,CALC!$A$2:$A$33,0)),0))</f>
        <v/>
      </c>
      <c r="AO198" s="2" t="str">
        <f t="array" ref="AO198">IF($K198="",0,IFERROR(INDEX(CALC!$L$2:$L$33,MATCH($K198,CALC!$A$2:$A$33,0)),0))</f>
        <v/>
      </c>
      <c r="AP198" s="2" t="str">
        <f t="array" ref="AP198">IF($K198="",0,IFERROR(INDEX(CALC!$T$2:$T$33,MATCH($K198,CALC!$A$2:$A$33,0)),0))</f>
        <v/>
      </c>
      <c r="AQ198" s="2" t="str">
        <f t="array" ref="AQ198">IF($K198="",0,IFERROR(INDEX(CALC!$W$2:$W$33,MATCH($K198,CALC!$A$2:$A$33,0)),0))</f>
        <v/>
      </c>
      <c r="AR198" s="2" t="str">
        <f t="array" ref="AR198">IF($K198="",0,IFERROR(INDEX(CALC!$Z$2:$Z$33,MATCH($K198,CALC!$A$2:$A$33,0)),0))</f>
        <v/>
      </c>
      <c r="AS198" s="2" t="str">
        <f t="array" ref="AS198">IF($K198="",0,IFERROR(INDEX(CALC!$AJ$2:$AJ$33,MATCH($K198,CALC!$A$2:$A$33,0)),0))</f>
        <v/>
      </c>
      <c r="AT198" s="2" t="str">
        <f t="array" ref="AT198">IF($K198="",0,IFERROR(INDEX(CALC!$AI$2:$AI$33,MATCH($K198,CALC!$A$2:$A$33,0)),0))</f>
        <v/>
      </c>
      <c r="AU198" s="2">
        <f t="shared" si="11"/>
        <v>0</v>
      </c>
      <c r="AV198" s="2">
        <f t="shared" si="12"/>
        <v>0</v>
      </c>
    </row>
    <row r="199" ht="15.0" customHeight="1">
      <c r="A199" s="2">
        <v>99.0</v>
      </c>
      <c r="B199" s="2" t="s">
        <v>2365</v>
      </c>
      <c r="C199" s="2">
        <f>IFERROR(MATCH($A199,SchedSeq,0),"")</f>
        <v>384</v>
      </c>
      <c r="D199" s="2" t="str">
        <f t="array" ref="D199">IF($C199="","",INDEX(SchedZone,$C199,MAP!$B$6))</f>
        <v>2026_07_NYG_HOU</v>
      </c>
      <c r="E199" s="2">
        <f t="array" ref="E199">IF($C199="","",INDEX(SchedZone,$C199,MAP!$B$3))</f>
        <v>2026</v>
      </c>
      <c r="F199" s="2" t="str">
        <f t="array" ref="F199">IF($C199="","",INDEX(SchedZone,$C199,MAP!$B$5))</f>
        <v>REG</v>
      </c>
      <c r="G199" s="2">
        <f t="array" ref="G199">IF($C199="","",INDEX(SchedZone,$C199,MAP!$B$4))</f>
        <v>7</v>
      </c>
      <c r="H199" s="2" t="str">
        <f t="array" ref="H199">IF($C199="","",INDEX(SchedZone,$C199,MAP!$B$12))</f>
        <v>HOU</v>
      </c>
      <c r="I199" s="2" t="str">
        <f t="array" ref="I199">IF($H199="","",IF(COUNTIF(Teams,$H199)&gt;0,$H199,IFERROR(INDEX(LISTS!$D$2:$D$12,MATCH($H199,LISTS!$C$2:$C$12,0)),"⚠ "&amp;$H199)))</f>
        <v>HOU</v>
      </c>
      <c r="J199" s="2" t="str">
        <f t="array" ref="J199">IF($C199="","",INDEX(SchedZone,$C199,MAP!$B$10))</f>
        <v>NYG</v>
      </c>
      <c r="K199" s="2" t="str">
        <f t="array" ref="K199">IF($J199="","",IF(COUNTIF(Teams,$J199)&gt;0,$J199,IFERROR(INDEX(LISTS!$D$2:$D$12,MATCH($J199,LISTS!$C$2:$C$12,0)),"⚠ "&amp;$J199)))</f>
        <v>NYG</v>
      </c>
      <c r="L199" s="2" t="str">
        <f t="array" ref="L199">IF($C199="","",IF(INDEX(SchedZone,$C199,MAP!$B$14)="Neutral","N",IF($B199="HOME","H","A")))</f>
        <v>H</v>
      </c>
      <c r="M199" s="2" t="str">
        <f t="array" ref="M199">IF($C199="","",IF(INDEX(SchedZone,$C199,MAP!$B$13)="","",INDEX(SchedZone,$C199,MAP!$B$13)))</f>
        <v/>
      </c>
      <c r="N199" s="2" t="str">
        <f t="array" ref="N199">IF($C199="","",IF(INDEX(SchedZone,$C199,MAP!$B$11)="","",INDEX(SchedZone,$C199,MAP!$B$11)))</f>
        <v/>
      </c>
      <c r="O199" s="2">
        <f t="array" ref="O199">IF($C199="","",INDEX(SchedZone,$C199,MAP!$B$16))</f>
        <v>7</v>
      </c>
      <c r="P199" s="2" t="str">
        <f>IF($C199="","",IFERROR(MATCH($E199&amp;"|"&amp;$G199&amp;"|"&amp;$I199,StatsKey,0),""))</f>
        <v/>
      </c>
      <c r="Q199" s="2">
        <f t="array" ref="Q199">IF($P199="",0,INDEX(StatsZone,$P199,MAP!$E$9)+INDEX(StatsZone,$P199,MAP!$E$10)+INDEX(StatsZone,$P199,MAP!$E$11))</f>
        <v>0</v>
      </c>
      <c r="R199" s="2">
        <f t="array" ref="R199">IF($P199="",0,INDEX(StatsZone,$P199,MAP!$E$12))</f>
        <v>0</v>
      </c>
      <c r="S199" s="2">
        <f t="array" ref="S199">IF($P199="",0,INDEX(StatsZone,$P199,MAP!$E$13))</f>
        <v>0</v>
      </c>
      <c r="T199" s="2">
        <f t="shared" si="1"/>
        <v>0</v>
      </c>
      <c r="U199" s="2">
        <f t="array" ref="U199">IF($P199="",0,INDEX(StatsZone,$P199,MAP!$E$14)+INDEX(StatsZone,$P199,MAP!$E$15)+INDEX(StatsZone,$P199,MAP!$E$16))</f>
        <v>0</v>
      </c>
      <c r="V199" s="2">
        <f t="shared" si="2"/>
        <v>0</v>
      </c>
      <c r="W199" s="2">
        <f t="shared" si="3"/>
        <v>0</v>
      </c>
      <c r="X199" s="2">
        <f t="shared" si="4"/>
        <v>0</v>
      </c>
      <c r="Y199" s="2">
        <f t="shared" si="5"/>
        <v>0</v>
      </c>
      <c r="Z199" s="2">
        <f t="shared" si="6"/>
        <v>0</v>
      </c>
      <c r="AA199" s="2">
        <f t="shared" si="7"/>
        <v>1</v>
      </c>
      <c r="AB199" s="2">
        <f>IF(OR($M199="",$N199=""),0,MEDIAN(-MarginCap,MarginCap,($M199-$N199)-$AA199*HFA_Base))</f>
        <v>0</v>
      </c>
      <c r="AC199" s="2">
        <f t="array" ref="AC199">IF(OR($P199="",INDEX($P$3:$P$722,(ROW()+IF(MOD(ROW()-3,2)=0,1,-1))-3+1)=""),0,MEDIAN(-MarginCap,MarginCap,($T199-$W199)-$AA199*HFA_Base))</f>
        <v>0</v>
      </c>
      <c r="AD199" s="2">
        <f t="shared" si="8"/>
        <v>0</v>
      </c>
      <c r="AE199" s="2">
        <f>IF(OR($M199="",$N199=""),0,IF(AND(WEpa&gt;0,$AD199=1),(1-WEpa)*$AB199+WEpa*$AC199,$AB199))</f>
        <v>0</v>
      </c>
      <c r="AF199" s="2">
        <f>IF(AND($C199&lt;&gt;"",$E199=CurrentSeason,$F199="REG",ISNUMBER($G199),$G199&lt;CurrentWeek,AND($M199&lt;&gt;"",$N199&lt;&gt;"")),1,0)</f>
        <v>0</v>
      </c>
      <c r="AG199" s="2">
        <f>IF($AF199=0,0,IF($G199&gt;=CurrentWeek-RecencyWin,RecencyMult,1))</f>
        <v>0</v>
      </c>
      <c r="AH199" s="2">
        <f>IF(AND($C199&lt;&gt;"",$E199=CurrentSeason,$F199="REG",ISNUMBER($G199),$G199&lt;CurrentWeek-1,AND($M199&lt;&gt;"",$N199&lt;&gt;"")),1,0)</f>
        <v>0</v>
      </c>
      <c r="AI199" s="2">
        <f>IF($AH199=0,0,IF($G199&gt;=CurrentWeek-1-RecencyWin,RecencyMult,1))</f>
        <v>0</v>
      </c>
      <c r="AJ199" s="2">
        <f>IF($AF199=0,0,IF($G199&gt;=CurrentWeek-RecencyWin,TotRecency,1))</f>
        <v>0</v>
      </c>
      <c r="AK199" s="2">
        <f t="shared" si="9"/>
        <v>0</v>
      </c>
      <c r="AL199" s="2">
        <f t="shared" si="10"/>
        <v>0</v>
      </c>
      <c r="AM199" s="2" t="str">
        <f t="array" ref="AM199">IF($K199="",0,IFERROR(INDEX(CALC!$F$2:$F$33,MATCH($K199,CALC!$A$2:$A$33,0)),0))</f>
        <v/>
      </c>
      <c r="AN199" s="2" t="str">
        <f t="array" ref="AN199">IF($K199="",0,IFERROR(INDEX(CALC!$I$2:$I$33,MATCH($K199,CALC!$A$2:$A$33,0)),0))</f>
        <v/>
      </c>
      <c r="AO199" s="2" t="str">
        <f t="array" ref="AO199">IF($K199="",0,IFERROR(INDEX(CALC!$L$2:$L$33,MATCH($K199,CALC!$A$2:$A$33,0)),0))</f>
        <v/>
      </c>
      <c r="AP199" s="2" t="str">
        <f t="array" ref="AP199">IF($K199="",0,IFERROR(INDEX(CALC!$T$2:$T$33,MATCH($K199,CALC!$A$2:$A$33,0)),0))</f>
        <v/>
      </c>
      <c r="AQ199" s="2" t="str">
        <f t="array" ref="AQ199">IF($K199="",0,IFERROR(INDEX(CALC!$W$2:$W$33,MATCH($K199,CALC!$A$2:$A$33,0)),0))</f>
        <v/>
      </c>
      <c r="AR199" s="2" t="str">
        <f t="array" ref="AR199">IF($K199="",0,IFERROR(INDEX(CALC!$Z$2:$Z$33,MATCH($K199,CALC!$A$2:$A$33,0)),0))</f>
        <v/>
      </c>
      <c r="AS199" s="2" t="str">
        <f t="array" ref="AS199">IF($K199="",0,IFERROR(INDEX(CALC!$AJ$2:$AJ$33,MATCH($K199,CALC!$A$2:$A$33,0)),0))</f>
        <v/>
      </c>
      <c r="AT199" s="2" t="str">
        <f t="array" ref="AT199">IF($K199="",0,IFERROR(INDEX(CALC!$AI$2:$AI$33,MATCH($K199,CALC!$A$2:$A$33,0)),0))</f>
        <v/>
      </c>
      <c r="AU199" s="2">
        <f t="shared" si="11"/>
        <v>0</v>
      </c>
      <c r="AV199" s="2">
        <f t="shared" si="12"/>
        <v>0</v>
      </c>
    </row>
    <row r="200" ht="15.0" customHeight="1">
      <c r="A200" s="2">
        <v>99.0</v>
      </c>
      <c r="B200" s="2" t="s">
        <v>2366</v>
      </c>
      <c r="C200" s="2">
        <f>IFERROR(MATCH($A200,SchedSeq,0),"")</f>
        <v>384</v>
      </c>
      <c r="D200" s="2" t="str">
        <f t="array" ref="D200">IF($C200="","",INDEX(SchedZone,$C200,MAP!$B$6))</f>
        <v>2026_07_NYG_HOU</v>
      </c>
      <c r="E200" s="2">
        <f t="array" ref="E200">IF($C200="","",INDEX(SchedZone,$C200,MAP!$B$3))</f>
        <v>2026</v>
      </c>
      <c r="F200" s="2" t="str">
        <f t="array" ref="F200">IF($C200="","",INDEX(SchedZone,$C200,MAP!$B$5))</f>
        <v>REG</v>
      </c>
      <c r="G200" s="2">
        <f t="array" ref="G200">IF($C200="","",INDEX(SchedZone,$C200,MAP!$B$4))</f>
        <v>7</v>
      </c>
      <c r="H200" s="2" t="str">
        <f t="array" ref="H200">IF($C200="","",INDEX(SchedZone,$C200,MAP!$B$10))</f>
        <v>NYG</v>
      </c>
      <c r="I200" s="2" t="str">
        <f t="array" ref="I200">IF($H200="","",IF(COUNTIF(Teams,$H200)&gt;0,$H200,IFERROR(INDEX(LISTS!$D$2:$D$12,MATCH($H200,LISTS!$C$2:$C$12,0)),"⚠ "&amp;$H200)))</f>
        <v>NYG</v>
      </c>
      <c r="J200" s="2" t="str">
        <f t="array" ref="J200">IF($C200="","",INDEX(SchedZone,$C200,MAP!$B$12))</f>
        <v>HOU</v>
      </c>
      <c r="K200" s="2" t="str">
        <f t="array" ref="K200">IF($J200="","",IF(COUNTIF(Teams,$J200)&gt;0,$J200,IFERROR(INDEX(LISTS!$D$2:$D$12,MATCH($J200,LISTS!$C$2:$C$12,0)),"⚠ "&amp;$J200)))</f>
        <v>HOU</v>
      </c>
      <c r="L200" s="2" t="str">
        <f t="array" ref="L200">IF($C200="","",IF(INDEX(SchedZone,$C200,MAP!$B$14)="Neutral","N",IF($B200="HOME","H","A")))</f>
        <v>A</v>
      </c>
      <c r="M200" s="2" t="str">
        <f t="array" ref="M200">IF($C200="","",IF(INDEX(SchedZone,$C200,MAP!$B$11)="","",INDEX(SchedZone,$C200,MAP!$B$11)))</f>
        <v/>
      </c>
      <c r="N200" s="2" t="str">
        <f t="array" ref="N200">IF($C200="","",IF(INDEX(SchedZone,$C200,MAP!$B$13)="","",INDEX(SchedZone,$C200,MAP!$B$13)))</f>
        <v/>
      </c>
      <c r="O200" s="2">
        <f t="array" ref="O200">IF($C200="","",INDEX(SchedZone,$C200,MAP!$B$15))</f>
        <v>7</v>
      </c>
      <c r="P200" s="2" t="str">
        <f>IF($C200="","",IFERROR(MATCH($E200&amp;"|"&amp;$G200&amp;"|"&amp;$I200,StatsKey,0),""))</f>
        <v/>
      </c>
      <c r="Q200" s="2">
        <f t="array" ref="Q200">IF($P200="",0,INDEX(StatsZone,$P200,MAP!$E$9)+INDEX(StatsZone,$P200,MAP!$E$10)+INDEX(StatsZone,$P200,MAP!$E$11))</f>
        <v>0</v>
      </c>
      <c r="R200" s="2">
        <f t="array" ref="R200">IF($P200="",0,INDEX(StatsZone,$P200,MAP!$E$12))</f>
        <v>0</v>
      </c>
      <c r="S200" s="2">
        <f t="array" ref="S200">IF($P200="",0,INDEX(StatsZone,$P200,MAP!$E$13))</f>
        <v>0</v>
      </c>
      <c r="T200" s="2">
        <f t="shared" si="1"/>
        <v>0</v>
      </c>
      <c r="U200" s="2">
        <f t="array" ref="U200">IF($P200="",0,INDEX(StatsZone,$P200,MAP!$E$14)+INDEX(StatsZone,$P200,MAP!$E$15)+INDEX(StatsZone,$P200,MAP!$E$16))</f>
        <v>0</v>
      </c>
      <c r="V200" s="2">
        <f t="shared" si="2"/>
        <v>0</v>
      </c>
      <c r="W200" s="2">
        <f t="shared" si="3"/>
        <v>0</v>
      </c>
      <c r="X200" s="2">
        <f t="shared" si="4"/>
        <v>0</v>
      </c>
      <c r="Y200" s="2">
        <f t="shared" si="5"/>
        <v>0</v>
      </c>
      <c r="Z200" s="2">
        <f t="shared" si="6"/>
        <v>0</v>
      </c>
      <c r="AA200" s="2">
        <f t="shared" si="7"/>
        <v>-1</v>
      </c>
      <c r="AB200" s="2">
        <f>IF(OR($M200="",$N200=""),0,MEDIAN(-MarginCap,MarginCap,($M200-$N200)-$AA200*HFA_Base))</f>
        <v>0</v>
      </c>
      <c r="AC200" s="2">
        <f t="array" ref="AC200">IF(OR($P200="",INDEX($P$3:$P$722,(ROW()+IF(MOD(ROW()-3,2)=0,1,-1))-3+1)=""),0,MEDIAN(-MarginCap,MarginCap,($T200-$W200)-$AA200*HFA_Base))</f>
        <v>0</v>
      </c>
      <c r="AD200" s="2">
        <f t="shared" si="8"/>
        <v>0</v>
      </c>
      <c r="AE200" s="2">
        <f>IF(OR($M200="",$N200=""),0,IF(AND(WEpa&gt;0,$AD200=1),(1-WEpa)*$AB200+WEpa*$AC200,$AB200))</f>
        <v>0</v>
      </c>
      <c r="AF200" s="2">
        <f>IF(AND($C200&lt;&gt;"",$E200=CurrentSeason,$F200="REG",ISNUMBER($G200),$G200&lt;CurrentWeek,AND($M200&lt;&gt;"",$N200&lt;&gt;"")),1,0)</f>
        <v>0</v>
      </c>
      <c r="AG200" s="2">
        <f>IF($AF200=0,0,IF($G200&gt;=CurrentWeek-RecencyWin,RecencyMult,1))</f>
        <v>0</v>
      </c>
      <c r="AH200" s="2">
        <f>IF(AND($C200&lt;&gt;"",$E200=CurrentSeason,$F200="REG",ISNUMBER($G200),$G200&lt;CurrentWeek-1,AND($M200&lt;&gt;"",$N200&lt;&gt;"")),1,0)</f>
        <v>0</v>
      </c>
      <c r="AI200" s="2">
        <f>IF($AH200=0,0,IF($G200&gt;=CurrentWeek-1-RecencyWin,RecencyMult,1))</f>
        <v>0</v>
      </c>
      <c r="AJ200" s="2">
        <f>IF($AF200=0,0,IF($G200&gt;=CurrentWeek-RecencyWin,TotRecency,1))</f>
        <v>0</v>
      </c>
      <c r="AK200" s="2">
        <f t="shared" si="9"/>
        <v>0</v>
      </c>
      <c r="AL200" s="2">
        <f t="shared" si="10"/>
        <v>0</v>
      </c>
      <c r="AM200" s="2" t="str">
        <f t="array" ref="AM200">IF($K200="",0,IFERROR(INDEX(CALC!$F$2:$F$33,MATCH($K200,CALC!$A$2:$A$33,0)),0))</f>
        <v/>
      </c>
      <c r="AN200" s="2" t="str">
        <f t="array" ref="AN200">IF($K200="",0,IFERROR(INDEX(CALC!$I$2:$I$33,MATCH($K200,CALC!$A$2:$A$33,0)),0))</f>
        <v/>
      </c>
      <c r="AO200" s="2" t="str">
        <f t="array" ref="AO200">IF($K200="",0,IFERROR(INDEX(CALC!$L$2:$L$33,MATCH($K200,CALC!$A$2:$A$33,0)),0))</f>
        <v/>
      </c>
      <c r="AP200" s="2" t="str">
        <f t="array" ref="AP200">IF($K200="",0,IFERROR(INDEX(CALC!$T$2:$T$33,MATCH($K200,CALC!$A$2:$A$33,0)),0))</f>
        <v/>
      </c>
      <c r="AQ200" s="2" t="str">
        <f t="array" ref="AQ200">IF($K200="",0,IFERROR(INDEX(CALC!$W$2:$W$33,MATCH($K200,CALC!$A$2:$A$33,0)),0))</f>
        <v/>
      </c>
      <c r="AR200" s="2" t="str">
        <f t="array" ref="AR200">IF($K200="",0,IFERROR(INDEX(CALC!$Z$2:$Z$33,MATCH($K200,CALC!$A$2:$A$33,0)),0))</f>
        <v/>
      </c>
      <c r="AS200" s="2" t="str">
        <f t="array" ref="AS200">IF($K200="",0,IFERROR(INDEX(CALC!$AJ$2:$AJ$33,MATCH($K200,CALC!$A$2:$A$33,0)),0))</f>
        <v/>
      </c>
      <c r="AT200" s="2" t="str">
        <f t="array" ref="AT200">IF($K200="",0,IFERROR(INDEX(CALC!$AI$2:$AI$33,MATCH($K200,CALC!$A$2:$A$33,0)),0))</f>
        <v/>
      </c>
      <c r="AU200" s="2">
        <f t="shared" si="11"/>
        <v>0</v>
      </c>
      <c r="AV200" s="2">
        <f t="shared" si="12"/>
        <v>0</v>
      </c>
    </row>
    <row r="201" ht="15.0" customHeight="1">
      <c r="A201" s="2">
        <v>100.0</v>
      </c>
      <c r="B201" s="2" t="s">
        <v>2365</v>
      </c>
      <c r="C201" s="2">
        <f>IFERROR(MATCH($A201,SchedSeq,0),"")</f>
        <v>385</v>
      </c>
      <c r="D201" s="2" t="str">
        <f t="array" ref="D201">IF($C201="","",INDEX(SchedZone,$C201,MAP!$B$6))</f>
        <v>2026_07_IND_MIN</v>
      </c>
      <c r="E201" s="2">
        <f t="array" ref="E201">IF($C201="","",INDEX(SchedZone,$C201,MAP!$B$3))</f>
        <v>2026</v>
      </c>
      <c r="F201" s="2" t="str">
        <f t="array" ref="F201">IF($C201="","",INDEX(SchedZone,$C201,MAP!$B$5))</f>
        <v>REG</v>
      </c>
      <c r="G201" s="2">
        <f t="array" ref="G201">IF($C201="","",INDEX(SchedZone,$C201,MAP!$B$4))</f>
        <v>7</v>
      </c>
      <c r="H201" s="2" t="str">
        <f t="array" ref="H201">IF($C201="","",INDEX(SchedZone,$C201,MAP!$B$12))</f>
        <v>MIN</v>
      </c>
      <c r="I201" s="2" t="str">
        <f t="array" ref="I201">IF($H201="","",IF(COUNTIF(Teams,$H201)&gt;0,$H201,IFERROR(INDEX(LISTS!$D$2:$D$12,MATCH($H201,LISTS!$C$2:$C$12,0)),"⚠ "&amp;$H201)))</f>
        <v>MIN</v>
      </c>
      <c r="J201" s="2" t="str">
        <f t="array" ref="J201">IF($C201="","",INDEX(SchedZone,$C201,MAP!$B$10))</f>
        <v>IND</v>
      </c>
      <c r="K201" s="2" t="str">
        <f t="array" ref="K201">IF($J201="","",IF(COUNTIF(Teams,$J201)&gt;0,$J201,IFERROR(INDEX(LISTS!$D$2:$D$12,MATCH($J201,LISTS!$C$2:$C$12,0)),"⚠ "&amp;$J201)))</f>
        <v>IND</v>
      </c>
      <c r="L201" s="2" t="str">
        <f t="array" ref="L201">IF($C201="","",IF(INDEX(SchedZone,$C201,MAP!$B$14)="Neutral","N",IF($B201="HOME","H","A")))</f>
        <v>H</v>
      </c>
      <c r="M201" s="2" t="str">
        <f t="array" ref="M201">IF($C201="","",IF(INDEX(SchedZone,$C201,MAP!$B$13)="","",INDEX(SchedZone,$C201,MAP!$B$13)))</f>
        <v/>
      </c>
      <c r="N201" s="2" t="str">
        <f t="array" ref="N201">IF($C201="","",IF(INDEX(SchedZone,$C201,MAP!$B$11)="","",INDEX(SchedZone,$C201,MAP!$B$11)))</f>
        <v/>
      </c>
      <c r="O201" s="2">
        <f t="array" ref="O201">IF($C201="","",INDEX(SchedZone,$C201,MAP!$B$16))</f>
        <v>14</v>
      </c>
      <c r="P201" s="2" t="str">
        <f>IF($C201="","",IFERROR(MATCH($E201&amp;"|"&amp;$G201&amp;"|"&amp;$I201,StatsKey,0),""))</f>
        <v/>
      </c>
      <c r="Q201" s="2">
        <f t="array" ref="Q201">IF($P201="",0,INDEX(StatsZone,$P201,MAP!$E$9)+INDEX(StatsZone,$P201,MAP!$E$10)+INDEX(StatsZone,$P201,MAP!$E$11))</f>
        <v>0</v>
      </c>
      <c r="R201" s="2">
        <f t="array" ref="R201">IF($P201="",0,INDEX(StatsZone,$P201,MAP!$E$12))</f>
        <v>0</v>
      </c>
      <c r="S201" s="2">
        <f t="array" ref="S201">IF($P201="",0,INDEX(StatsZone,$P201,MAP!$E$13))</f>
        <v>0</v>
      </c>
      <c r="T201" s="2">
        <f t="shared" si="1"/>
        <v>0</v>
      </c>
      <c r="U201" s="2">
        <f t="array" ref="U201">IF($P201="",0,INDEX(StatsZone,$P201,MAP!$E$14)+INDEX(StatsZone,$P201,MAP!$E$15)+INDEX(StatsZone,$P201,MAP!$E$16))</f>
        <v>0</v>
      </c>
      <c r="V201" s="2">
        <f t="shared" si="2"/>
        <v>0</v>
      </c>
      <c r="W201" s="2">
        <f t="shared" si="3"/>
        <v>0</v>
      </c>
      <c r="X201" s="2">
        <f t="shared" si="4"/>
        <v>0</v>
      </c>
      <c r="Y201" s="2">
        <f t="shared" si="5"/>
        <v>0</v>
      </c>
      <c r="Z201" s="2">
        <f t="shared" si="6"/>
        <v>0</v>
      </c>
      <c r="AA201" s="2">
        <f t="shared" si="7"/>
        <v>1</v>
      </c>
      <c r="AB201" s="2">
        <f>IF(OR($M201="",$N201=""),0,MEDIAN(-MarginCap,MarginCap,($M201-$N201)-$AA201*HFA_Base))</f>
        <v>0</v>
      </c>
      <c r="AC201" s="2">
        <f t="array" ref="AC201">IF(OR($P201="",INDEX($P$3:$P$722,(ROW()+IF(MOD(ROW()-3,2)=0,1,-1))-3+1)=""),0,MEDIAN(-MarginCap,MarginCap,($T201-$W201)-$AA201*HFA_Base))</f>
        <v>0</v>
      </c>
      <c r="AD201" s="2">
        <f t="shared" si="8"/>
        <v>0</v>
      </c>
      <c r="AE201" s="2">
        <f>IF(OR($M201="",$N201=""),0,IF(AND(WEpa&gt;0,$AD201=1),(1-WEpa)*$AB201+WEpa*$AC201,$AB201))</f>
        <v>0</v>
      </c>
      <c r="AF201" s="2">
        <f>IF(AND($C201&lt;&gt;"",$E201=CurrentSeason,$F201="REG",ISNUMBER($G201),$G201&lt;CurrentWeek,AND($M201&lt;&gt;"",$N201&lt;&gt;"")),1,0)</f>
        <v>0</v>
      </c>
      <c r="AG201" s="2">
        <f>IF($AF201=0,0,IF($G201&gt;=CurrentWeek-RecencyWin,RecencyMult,1))</f>
        <v>0</v>
      </c>
      <c r="AH201" s="2">
        <f>IF(AND($C201&lt;&gt;"",$E201=CurrentSeason,$F201="REG",ISNUMBER($G201),$G201&lt;CurrentWeek-1,AND($M201&lt;&gt;"",$N201&lt;&gt;"")),1,0)</f>
        <v>0</v>
      </c>
      <c r="AI201" s="2">
        <f>IF($AH201=0,0,IF($G201&gt;=CurrentWeek-1-RecencyWin,RecencyMult,1))</f>
        <v>0</v>
      </c>
      <c r="AJ201" s="2">
        <f>IF($AF201=0,0,IF($G201&gt;=CurrentWeek-RecencyWin,TotRecency,1))</f>
        <v>0</v>
      </c>
      <c r="AK201" s="2">
        <f t="shared" si="9"/>
        <v>0</v>
      </c>
      <c r="AL201" s="2">
        <f t="shared" si="10"/>
        <v>0</v>
      </c>
      <c r="AM201" s="2" t="str">
        <f t="array" ref="AM201">IF($K201="",0,IFERROR(INDEX(CALC!$F$2:$F$33,MATCH($K201,CALC!$A$2:$A$33,0)),0))</f>
        <v/>
      </c>
      <c r="AN201" s="2" t="str">
        <f t="array" ref="AN201">IF($K201="",0,IFERROR(INDEX(CALC!$I$2:$I$33,MATCH($K201,CALC!$A$2:$A$33,0)),0))</f>
        <v/>
      </c>
      <c r="AO201" s="2" t="str">
        <f t="array" ref="AO201">IF($K201="",0,IFERROR(INDEX(CALC!$L$2:$L$33,MATCH($K201,CALC!$A$2:$A$33,0)),0))</f>
        <v/>
      </c>
      <c r="AP201" s="2" t="str">
        <f t="array" ref="AP201">IF($K201="",0,IFERROR(INDEX(CALC!$T$2:$T$33,MATCH($K201,CALC!$A$2:$A$33,0)),0))</f>
        <v/>
      </c>
      <c r="AQ201" s="2" t="str">
        <f t="array" ref="AQ201">IF($K201="",0,IFERROR(INDEX(CALC!$W$2:$W$33,MATCH($K201,CALC!$A$2:$A$33,0)),0))</f>
        <v/>
      </c>
      <c r="AR201" s="2" t="str">
        <f t="array" ref="AR201">IF($K201="",0,IFERROR(INDEX(CALC!$Z$2:$Z$33,MATCH($K201,CALC!$A$2:$A$33,0)),0))</f>
        <v/>
      </c>
      <c r="AS201" s="2" t="str">
        <f t="array" ref="AS201">IF($K201="",0,IFERROR(INDEX(CALC!$AJ$2:$AJ$33,MATCH($K201,CALC!$A$2:$A$33,0)),0))</f>
        <v/>
      </c>
      <c r="AT201" s="2" t="str">
        <f t="array" ref="AT201">IF($K201="",0,IFERROR(INDEX(CALC!$AI$2:$AI$33,MATCH($K201,CALC!$A$2:$A$33,0)),0))</f>
        <v/>
      </c>
      <c r="AU201" s="2">
        <f t="shared" si="11"/>
        <v>0</v>
      </c>
      <c r="AV201" s="2">
        <f t="shared" si="12"/>
        <v>0</v>
      </c>
    </row>
    <row r="202" ht="15.0" customHeight="1">
      <c r="A202" s="2">
        <v>100.0</v>
      </c>
      <c r="B202" s="2" t="s">
        <v>2366</v>
      </c>
      <c r="C202" s="2">
        <f>IFERROR(MATCH($A202,SchedSeq,0),"")</f>
        <v>385</v>
      </c>
      <c r="D202" s="2" t="str">
        <f t="array" ref="D202">IF($C202="","",INDEX(SchedZone,$C202,MAP!$B$6))</f>
        <v>2026_07_IND_MIN</v>
      </c>
      <c r="E202" s="2">
        <f t="array" ref="E202">IF($C202="","",INDEX(SchedZone,$C202,MAP!$B$3))</f>
        <v>2026</v>
      </c>
      <c r="F202" s="2" t="str">
        <f t="array" ref="F202">IF($C202="","",INDEX(SchedZone,$C202,MAP!$B$5))</f>
        <v>REG</v>
      </c>
      <c r="G202" s="2">
        <f t="array" ref="G202">IF($C202="","",INDEX(SchedZone,$C202,MAP!$B$4))</f>
        <v>7</v>
      </c>
      <c r="H202" s="2" t="str">
        <f t="array" ref="H202">IF($C202="","",INDEX(SchedZone,$C202,MAP!$B$10))</f>
        <v>IND</v>
      </c>
      <c r="I202" s="2" t="str">
        <f t="array" ref="I202">IF($H202="","",IF(COUNTIF(Teams,$H202)&gt;0,$H202,IFERROR(INDEX(LISTS!$D$2:$D$12,MATCH($H202,LISTS!$C$2:$C$12,0)),"⚠ "&amp;$H202)))</f>
        <v>IND</v>
      </c>
      <c r="J202" s="2" t="str">
        <f t="array" ref="J202">IF($C202="","",INDEX(SchedZone,$C202,MAP!$B$12))</f>
        <v>MIN</v>
      </c>
      <c r="K202" s="2" t="str">
        <f t="array" ref="K202">IF($J202="","",IF(COUNTIF(Teams,$J202)&gt;0,$J202,IFERROR(INDEX(LISTS!$D$2:$D$12,MATCH($J202,LISTS!$C$2:$C$12,0)),"⚠ "&amp;$J202)))</f>
        <v>MIN</v>
      </c>
      <c r="L202" s="2" t="str">
        <f t="array" ref="L202">IF($C202="","",IF(INDEX(SchedZone,$C202,MAP!$B$14)="Neutral","N",IF($B202="HOME","H","A")))</f>
        <v>A</v>
      </c>
      <c r="M202" s="2" t="str">
        <f t="array" ref="M202">IF($C202="","",IF(INDEX(SchedZone,$C202,MAP!$B$11)="","",INDEX(SchedZone,$C202,MAP!$B$11)))</f>
        <v/>
      </c>
      <c r="N202" s="2" t="str">
        <f t="array" ref="N202">IF($C202="","",IF(INDEX(SchedZone,$C202,MAP!$B$13)="","",INDEX(SchedZone,$C202,MAP!$B$13)))</f>
        <v/>
      </c>
      <c r="O202" s="2">
        <f t="array" ref="O202">IF($C202="","",INDEX(SchedZone,$C202,MAP!$B$15))</f>
        <v>7</v>
      </c>
      <c r="P202" s="2" t="str">
        <f>IF($C202="","",IFERROR(MATCH($E202&amp;"|"&amp;$G202&amp;"|"&amp;$I202,StatsKey,0),""))</f>
        <v/>
      </c>
      <c r="Q202" s="2">
        <f t="array" ref="Q202">IF($P202="",0,INDEX(StatsZone,$P202,MAP!$E$9)+INDEX(StatsZone,$P202,MAP!$E$10)+INDEX(StatsZone,$P202,MAP!$E$11))</f>
        <v>0</v>
      </c>
      <c r="R202" s="2">
        <f t="array" ref="R202">IF($P202="",0,INDEX(StatsZone,$P202,MAP!$E$12))</f>
        <v>0</v>
      </c>
      <c r="S202" s="2">
        <f t="array" ref="S202">IF($P202="",0,INDEX(StatsZone,$P202,MAP!$E$13))</f>
        <v>0</v>
      </c>
      <c r="T202" s="2">
        <f t="shared" si="1"/>
        <v>0</v>
      </c>
      <c r="U202" s="2">
        <f t="array" ref="U202">IF($P202="",0,INDEX(StatsZone,$P202,MAP!$E$14)+INDEX(StatsZone,$P202,MAP!$E$15)+INDEX(StatsZone,$P202,MAP!$E$16))</f>
        <v>0</v>
      </c>
      <c r="V202" s="2">
        <f t="shared" si="2"/>
        <v>0</v>
      </c>
      <c r="W202" s="2">
        <f t="shared" si="3"/>
        <v>0</v>
      </c>
      <c r="X202" s="2">
        <f t="shared" si="4"/>
        <v>0</v>
      </c>
      <c r="Y202" s="2">
        <f t="shared" si="5"/>
        <v>0</v>
      </c>
      <c r="Z202" s="2">
        <f t="shared" si="6"/>
        <v>0</v>
      </c>
      <c r="AA202" s="2">
        <f t="shared" si="7"/>
        <v>-1</v>
      </c>
      <c r="AB202" s="2">
        <f>IF(OR($M202="",$N202=""),0,MEDIAN(-MarginCap,MarginCap,($M202-$N202)-$AA202*HFA_Base))</f>
        <v>0</v>
      </c>
      <c r="AC202" s="2">
        <f t="array" ref="AC202">IF(OR($P202="",INDEX($P$3:$P$722,(ROW()+IF(MOD(ROW()-3,2)=0,1,-1))-3+1)=""),0,MEDIAN(-MarginCap,MarginCap,($T202-$W202)-$AA202*HFA_Base))</f>
        <v>0</v>
      </c>
      <c r="AD202" s="2">
        <f t="shared" si="8"/>
        <v>0</v>
      </c>
      <c r="AE202" s="2">
        <f>IF(OR($M202="",$N202=""),0,IF(AND(WEpa&gt;0,$AD202=1),(1-WEpa)*$AB202+WEpa*$AC202,$AB202))</f>
        <v>0</v>
      </c>
      <c r="AF202" s="2">
        <f>IF(AND($C202&lt;&gt;"",$E202=CurrentSeason,$F202="REG",ISNUMBER($G202),$G202&lt;CurrentWeek,AND($M202&lt;&gt;"",$N202&lt;&gt;"")),1,0)</f>
        <v>0</v>
      </c>
      <c r="AG202" s="2">
        <f>IF($AF202=0,0,IF($G202&gt;=CurrentWeek-RecencyWin,RecencyMult,1))</f>
        <v>0</v>
      </c>
      <c r="AH202" s="2">
        <f>IF(AND($C202&lt;&gt;"",$E202=CurrentSeason,$F202="REG",ISNUMBER($G202),$G202&lt;CurrentWeek-1,AND($M202&lt;&gt;"",$N202&lt;&gt;"")),1,0)</f>
        <v>0</v>
      </c>
      <c r="AI202" s="2">
        <f>IF($AH202=0,0,IF($G202&gt;=CurrentWeek-1-RecencyWin,RecencyMult,1))</f>
        <v>0</v>
      </c>
      <c r="AJ202" s="2">
        <f>IF($AF202=0,0,IF($G202&gt;=CurrentWeek-RecencyWin,TotRecency,1))</f>
        <v>0</v>
      </c>
      <c r="AK202" s="2">
        <f t="shared" si="9"/>
        <v>0</v>
      </c>
      <c r="AL202" s="2">
        <f t="shared" si="10"/>
        <v>0</v>
      </c>
      <c r="AM202" s="2" t="str">
        <f t="array" ref="AM202">IF($K202="",0,IFERROR(INDEX(CALC!$F$2:$F$33,MATCH($K202,CALC!$A$2:$A$33,0)),0))</f>
        <v/>
      </c>
      <c r="AN202" s="2" t="str">
        <f t="array" ref="AN202">IF($K202="",0,IFERROR(INDEX(CALC!$I$2:$I$33,MATCH($K202,CALC!$A$2:$A$33,0)),0))</f>
        <v/>
      </c>
      <c r="AO202" s="2" t="str">
        <f t="array" ref="AO202">IF($K202="",0,IFERROR(INDEX(CALC!$L$2:$L$33,MATCH($K202,CALC!$A$2:$A$33,0)),0))</f>
        <v/>
      </c>
      <c r="AP202" s="2" t="str">
        <f t="array" ref="AP202">IF($K202="",0,IFERROR(INDEX(CALC!$T$2:$T$33,MATCH($K202,CALC!$A$2:$A$33,0)),0))</f>
        <v/>
      </c>
      <c r="AQ202" s="2" t="str">
        <f t="array" ref="AQ202">IF($K202="",0,IFERROR(INDEX(CALC!$W$2:$W$33,MATCH($K202,CALC!$A$2:$A$33,0)),0))</f>
        <v/>
      </c>
      <c r="AR202" s="2" t="str">
        <f t="array" ref="AR202">IF($K202="",0,IFERROR(INDEX(CALC!$Z$2:$Z$33,MATCH($K202,CALC!$A$2:$A$33,0)),0))</f>
        <v/>
      </c>
      <c r="AS202" s="2" t="str">
        <f t="array" ref="AS202">IF($K202="",0,IFERROR(INDEX(CALC!$AJ$2:$AJ$33,MATCH($K202,CALC!$A$2:$A$33,0)),0))</f>
        <v/>
      </c>
      <c r="AT202" s="2" t="str">
        <f t="array" ref="AT202">IF($K202="",0,IFERROR(INDEX(CALC!$AI$2:$AI$33,MATCH($K202,CALC!$A$2:$A$33,0)),0))</f>
        <v/>
      </c>
      <c r="AU202" s="2">
        <f t="shared" si="11"/>
        <v>0</v>
      </c>
      <c r="AV202" s="2">
        <f t="shared" si="12"/>
        <v>0</v>
      </c>
    </row>
    <row r="203" ht="15.0" customHeight="1">
      <c r="A203" s="2">
        <v>101.0</v>
      </c>
      <c r="B203" s="2" t="s">
        <v>2365</v>
      </c>
      <c r="C203" s="2">
        <f>IFERROR(MATCH($A203,SchedSeq,0),"")</f>
        <v>386</v>
      </c>
      <c r="D203" s="2" t="str">
        <f t="array" ref="D203">IF($C203="","",INDEX(SchedZone,$C203,MAP!$B$6))</f>
        <v>2026_07_MIA_NYJ</v>
      </c>
      <c r="E203" s="2">
        <f t="array" ref="E203">IF($C203="","",INDEX(SchedZone,$C203,MAP!$B$3))</f>
        <v>2026</v>
      </c>
      <c r="F203" s="2" t="str">
        <f t="array" ref="F203">IF($C203="","",INDEX(SchedZone,$C203,MAP!$B$5))</f>
        <v>REG</v>
      </c>
      <c r="G203" s="2">
        <f t="array" ref="G203">IF($C203="","",INDEX(SchedZone,$C203,MAP!$B$4))</f>
        <v>7</v>
      </c>
      <c r="H203" s="2" t="str">
        <f t="array" ref="H203">IF($C203="","",INDEX(SchedZone,$C203,MAP!$B$12))</f>
        <v>NYJ</v>
      </c>
      <c r="I203" s="2" t="str">
        <f t="array" ref="I203">IF($H203="","",IF(COUNTIF(Teams,$H203)&gt;0,$H203,IFERROR(INDEX(LISTS!$D$2:$D$12,MATCH($H203,LISTS!$C$2:$C$12,0)),"⚠ "&amp;$H203)))</f>
        <v>NYJ</v>
      </c>
      <c r="J203" s="2" t="str">
        <f t="array" ref="J203">IF($C203="","",INDEX(SchedZone,$C203,MAP!$B$10))</f>
        <v>MIA</v>
      </c>
      <c r="K203" s="2" t="str">
        <f t="array" ref="K203">IF($J203="","",IF(COUNTIF(Teams,$J203)&gt;0,$J203,IFERROR(INDEX(LISTS!$D$2:$D$12,MATCH($J203,LISTS!$C$2:$C$12,0)),"⚠ "&amp;$J203)))</f>
        <v>MIA</v>
      </c>
      <c r="L203" s="2" t="str">
        <f t="array" ref="L203">IF($C203="","",IF(INDEX(SchedZone,$C203,MAP!$B$14)="Neutral","N",IF($B203="HOME","H","A")))</f>
        <v>H</v>
      </c>
      <c r="M203" s="2" t="str">
        <f t="array" ref="M203">IF($C203="","",IF(INDEX(SchedZone,$C203,MAP!$B$13)="","",INDEX(SchedZone,$C203,MAP!$B$13)))</f>
        <v/>
      </c>
      <c r="N203" s="2" t="str">
        <f t="array" ref="N203">IF($C203="","",IF(INDEX(SchedZone,$C203,MAP!$B$11)="","",INDEX(SchedZone,$C203,MAP!$B$11)))</f>
        <v/>
      </c>
      <c r="O203" s="2">
        <f t="array" ref="O203">IF($C203="","",INDEX(SchedZone,$C203,MAP!$B$16))</f>
        <v>7</v>
      </c>
      <c r="P203" s="2" t="str">
        <f>IF($C203="","",IFERROR(MATCH($E203&amp;"|"&amp;$G203&amp;"|"&amp;$I203,StatsKey,0),""))</f>
        <v/>
      </c>
      <c r="Q203" s="2">
        <f t="array" ref="Q203">IF($P203="",0,INDEX(StatsZone,$P203,MAP!$E$9)+INDEX(StatsZone,$P203,MAP!$E$10)+INDEX(StatsZone,$P203,MAP!$E$11))</f>
        <v>0</v>
      </c>
      <c r="R203" s="2">
        <f t="array" ref="R203">IF($P203="",0,INDEX(StatsZone,$P203,MAP!$E$12))</f>
        <v>0</v>
      </c>
      <c r="S203" s="2">
        <f t="array" ref="S203">IF($P203="",0,INDEX(StatsZone,$P203,MAP!$E$13))</f>
        <v>0</v>
      </c>
      <c r="T203" s="2">
        <f t="shared" si="1"/>
        <v>0</v>
      </c>
      <c r="U203" s="2">
        <f t="array" ref="U203">IF($P203="",0,INDEX(StatsZone,$P203,MAP!$E$14)+INDEX(StatsZone,$P203,MAP!$E$15)+INDEX(StatsZone,$P203,MAP!$E$16))</f>
        <v>0</v>
      </c>
      <c r="V203" s="2">
        <f t="shared" si="2"/>
        <v>0</v>
      </c>
      <c r="W203" s="2">
        <f t="shared" si="3"/>
        <v>0</v>
      </c>
      <c r="X203" s="2">
        <f t="shared" si="4"/>
        <v>0</v>
      </c>
      <c r="Y203" s="2">
        <f t="shared" si="5"/>
        <v>0</v>
      </c>
      <c r="Z203" s="2">
        <f t="shared" si="6"/>
        <v>0</v>
      </c>
      <c r="AA203" s="2">
        <f t="shared" si="7"/>
        <v>1</v>
      </c>
      <c r="AB203" s="2">
        <f>IF(OR($M203="",$N203=""),0,MEDIAN(-MarginCap,MarginCap,($M203-$N203)-$AA203*HFA_Base))</f>
        <v>0</v>
      </c>
      <c r="AC203" s="2">
        <f t="array" ref="AC203">IF(OR($P203="",INDEX($P$3:$P$722,(ROW()+IF(MOD(ROW()-3,2)=0,1,-1))-3+1)=""),0,MEDIAN(-MarginCap,MarginCap,($T203-$W203)-$AA203*HFA_Base))</f>
        <v>0</v>
      </c>
      <c r="AD203" s="2">
        <f t="shared" si="8"/>
        <v>0</v>
      </c>
      <c r="AE203" s="2">
        <f>IF(OR($M203="",$N203=""),0,IF(AND(WEpa&gt;0,$AD203=1),(1-WEpa)*$AB203+WEpa*$AC203,$AB203))</f>
        <v>0</v>
      </c>
      <c r="AF203" s="2">
        <f>IF(AND($C203&lt;&gt;"",$E203=CurrentSeason,$F203="REG",ISNUMBER($G203),$G203&lt;CurrentWeek,AND($M203&lt;&gt;"",$N203&lt;&gt;"")),1,0)</f>
        <v>0</v>
      </c>
      <c r="AG203" s="2">
        <f>IF($AF203=0,0,IF($G203&gt;=CurrentWeek-RecencyWin,RecencyMult,1))</f>
        <v>0</v>
      </c>
      <c r="AH203" s="2">
        <f>IF(AND($C203&lt;&gt;"",$E203=CurrentSeason,$F203="REG",ISNUMBER($G203),$G203&lt;CurrentWeek-1,AND($M203&lt;&gt;"",$N203&lt;&gt;"")),1,0)</f>
        <v>0</v>
      </c>
      <c r="AI203" s="2">
        <f>IF($AH203=0,0,IF($G203&gt;=CurrentWeek-1-RecencyWin,RecencyMult,1))</f>
        <v>0</v>
      </c>
      <c r="AJ203" s="2">
        <f>IF($AF203=0,0,IF($G203&gt;=CurrentWeek-RecencyWin,TotRecency,1))</f>
        <v>0</v>
      </c>
      <c r="AK203" s="2">
        <f t="shared" si="9"/>
        <v>0</v>
      </c>
      <c r="AL203" s="2">
        <f t="shared" si="10"/>
        <v>0</v>
      </c>
      <c r="AM203" s="2" t="str">
        <f t="array" ref="AM203">IF($K203="",0,IFERROR(INDEX(CALC!$F$2:$F$33,MATCH($K203,CALC!$A$2:$A$33,0)),0))</f>
        <v/>
      </c>
      <c r="AN203" s="2" t="str">
        <f t="array" ref="AN203">IF($K203="",0,IFERROR(INDEX(CALC!$I$2:$I$33,MATCH($K203,CALC!$A$2:$A$33,0)),0))</f>
        <v/>
      </c>
      <c r="AO203" s="2" t="str">
        <f t="array" ref="AO203">IF($K203="",0,IFERROR(INDEX(CALC!$L$2:$L$33,MATCH($K203,CALC!$A$2:$A$33,0)),0))</f>
        <v/>
      </c>
      <c r="AP203" s="2" t="str">
        <f t="array" ref="AP203">IF($K203="",0,IFERROR(INDEX(CALC!$T$2:$T$33,MATCH($K203,CALC!$A$2:$A$33,0)),0))</f>
        <v/>
      </c>
      <c r="AQ203" s="2" t="str">
        <f t="array" ref="AQ203">IF($K203="",0,IFERROR(INDEX(CALC!$W$2:$W$33,MATCH($K203,CALC!$A$2:$A$33,0)),0))</f>
        <v/>
      </c>
      <c r="AR203" s="2" t="str">
        <f t="array" ref="AR203">IF($K203="",0,IFERROR(INDEX(CALC!$Z$2:$Z$33,MATCH($K203,CALC!$A$2:$A$33,0)),0))</f>
        <v/>
      </c>
      <c r="AS203" s="2" t="str">
        <f t="array" ref="AS203">IF($K203="",0,IFERROR(INDEX(CALC!$AJ$2:$AJ$33,MATCH($K203,CALC!$A$2:$A$33,0)),0))</f>
        <v/>
      </c>
      <c r="AT203" s="2" t="str">
        <f t="array" ref="AT203">IF($K203="",0,IFERROR(INDEX(CALC!$AI$2:$AI$33,MATCH($K203,CALC!$A$2:$A$33,0)),0))</f>
        <v/>
      </c>
      <c r="AU203" s="2">
        <f t="shared" si="11"/>
        <v>0</v>
      </c>
      <c r="AV203" s="2">
        <f t="shared" si="12"/>
        <v>0</v>
      </c>
    </row>
    <row r="204" ht="15.0" customHeight="1">
      <c r="A204" s="2">
        <v>101.0</v>
      </c>
      <c r="B204" s="2" t="s">
        <v>2366</v>
      </c>
      <c r="C204" s="2">
        <f>IFERROR(MATCH($A204,SchedSeq,0),"")</f>
        <v>386</v>
      </c>
      <c r="D204" s="2" t="str">
        <f t="array" ref="D204">IF($C204="","",INDEX(SchedZone,$C204,MAP!$B$6))</f>
        <v>2026_07_MIA_NYJ</v>
      </c>
      <c r="E204" s="2">
        <f t="array" ref="E204">IF($C204="","",INDEX(SchedZone,$C204,MAP!$B$3))</f>
        <v>2026</v>
      </c>
      <c r="F204" s="2" t="str">
        <f t="array" ref="F204">IF($C204="","",INDEX(SchedZone,$C204,MAP!$B$5))</f>
        <v>REG</v>
      </c>
      <c r="G204" s="2">
        <f t="array" ref="G204">IF($C204="","",INDEX(SchedZone,$C204,MAP!$B$4))</f>
        <v>7</v>
      </c>
      <c r="H204" s="2" t="str">
        <f t="array" ref="H204">IF($C204="","",INDEX(SchedZone,$C204,MAP!$B$10))</f>
        <v>MIA</v>
      </c>
      <c r="I204" s="2" t="str">
        <f t="array" ref="I204">IF($H204="","",IF(COUNTIF(Teams,$H204)&gt;0,$H204,IFERROR(INDEX(LISTS!$D$2:$D$12,MATCH($H204,LISTS!$C$2:$C$12,0)),"⚠ "&amp;$H204)))</f>
        <v>MIA</v>
      </c>
      <c r="J204" s="2" t="str">
        <f t="array" ref="J204">IF($C204="","",INDEX(SchedZone,$C204,MAP!$B$12))</f>
        <v>NYJ</v>
      </c>
      <c r="K204" s="2" t="str">
        <f t="array" ref="K204">IF($J204="","",IF(COUNTIF(Teams,$J204)&gt;0,$J204,IFERROR(INDEX(LISTS!$D$2:$D$12,MATCH($J204,LISTS!$C$2:$C$12,0)),"⚠ "&amp;$J204)))</f>
        <v>NYJ</v>
      </c>
      <c r="L204" s="2" t="str">
        <f t="array" ref="L204">IF($C204="","",IF(INDEX(SchedZone,$C204,MAP!$B$14)="Neutral","N",IF($B204="HOME","H","A")))</f>
        <v>A</v>
      </c>
      <c r="M204" s="2" t="str">
        <f t="array" ref="M204">IF($C204="","",IF(INDEX(SchedZone,$C204,MAP!$B$11)="","",INDEX(SchedZone,$C204,MAP!$B$11)))</f>
        <v/>
      </c>
      <c r="N204" s="2" t="str">
        <f t="array" ref="N204">IF($C204="","",IF(INDEX(SchedZone,$C204,MAP!$B$13)="","",INDEX(SchedZone,$C204,MAP!$B$13)))</f>
        <v/>
      </c>
      <c r="O204" s="2">
        <f t="array" ref="O204">IF($C204="","",INDEX(SchedZone,$C204,MAP!$B$15))</f>
        <v>14</v>
      </c>
      <c r="P204" s="2" t="str">
        <f>IF($C204="","",IFERROR(MATCH($E204&amp;"|"&amp;$G204&amp;"|"&amp;$I204,StatsKey,0),""))</f>
        <v/>
      </c>
      <c r="Q204" s="2">
        <f t="array" ref="Q204">IF($P204="",0,INDEX(StatsZone,$P204,MAP!$E$9)+INDEX(StatsZone,$P204,MAP!$E$10)+INDEX(StatsZone,$P204,MAP!$E$11))</f>
        <v>0</v>
      </c>
      <c r="R204" s="2">
        <f t="array" ref="R204">IF($P204="",0,INDEX(StatsZone,$P204,MAP!$E$12))</f>
        <v>0</v>
      </c>
      <c r="S204" s="2">
        <f t="array" ref="S204">IF($P204="",0,INDEX(StatsZone,$P204,MAP!$E$13))</f>
        <v>0</v>
      </c>
      <c r="T204" s="2">
        <f t="shared" si="1"/>
        <v>0</v>
      </c>
      <c r="U204" s="2">
        <f t="array" ref="U204">IF($P204="",0,INDEX(StatsZone,$P204,MAP!$E$14)+INDEX(StatsZone,$P204,MAP!$E$15)+INDEX(StatsZone,$P204,MAP!$E$16))</f>
        <v>0</v>
      </c>
      <c r="V204" s="2">
        <f t="shared" si="2"/>
        <v>0</v>
      </c>
      <c r="W204" s="2">
        <f t="shared" si="3"/>
        <v>0</v>
      </c>
      <c r="X204" s="2">
        <f t="shared" si="4"/>
        <v>0</v>
      </c>
      <c r="Y204" s="2">
        <f t="shared" si="5"/>
        <v>0</v>
      </c>
      <c r="Z204" s="2">
        <f t="shared" si="6"/>
        <v>0</v>
      </c>
      <c r="AA204" s="2">
        <f t="shared" si="7"/>
        <v>-1</v>
      </c>
      <c r="AB204" s="2">
        <f>IF(OR($M204="",$N204=""),0,MEDIAN(-MarginCap,MarginCap,($M204-$N204)-$AA204*HFA_Base))</f>
        <v>0</v>
      </c>
      <c r="AC204" s="2">
        <f t="array" ref="AC204">IF(OR($P204="",INDEX($P$3:$P$722,(ROW()+IF(MOD(ROW()-3,2)=0,1,-1))-3+1)=""),0,MEDIAN(-MarginCap,MarginCap,($T204-$W204)-$AA204*HFA_Base))</f>
        <v>0</v>
      </c>
      <c r="AD204" s="2">
        <f t="shared" si="8"/>
        <v>0</v>
      </c>
      <c r="AE204" s="2">
        <f>IF(OR($M204="",$N204=""),0,IF(AND(WEpa&gt;0,$AD204=1),(1-WEpa)*$AB204+WEpa*$AC204,$AB204))</f>
        <v>0</v>
      </c>
      <c r="AF204" s="2">
        <f>IF(AND($C204&lt;&gt;"",$E204=CurrentSeason,$F204="REG",ISNUMBER($G204),$G204&lt;CurrentWeek,AND($M204&lt;&gt;"",$N204&lt;&gt;"")),1,0)</f>
        <v>0</v>
      </c>
      <c r="AG204" s="2">
        <f>IF($AF204=0,0,IF($G204&gt;=CurrentWeek-RecencyWin,RecencyMult,1))</f>
        <v>0</v>
      </c>
      <c r="AH204" s="2">
        <f>IF(AND($C204&lt;&gt;"",$E204=CurrentSeason,$F204="REG",ISNUMBER($G204),$G204&lt;CurrentWeek-1,AND($M204&lt;&gt;"",$N204&lt;&gt;"")),1,0)</f>
        <v>0</v>
      </c>
      <c r="AI204" s="2">
        <f>IF($AH204=0,0,IF($G204&gt;=CurrentWeek-1-RecencyWin,RecencyMult,1))</f>
        <v>0</v>
      </c>
      <c r="AJ204" s="2">
        <f>IF($AF204=0,0,IF($G204&gt;=CurrentWeek-RecencyWin,TotRecency,1))</f>
        <v>0</v>
      </c>
      <c r="AK204" s="2">
        <f t="shared" si="9"/>
        <v>0</v>
      </c>
      <c r="AL204" s="2">
        <f t="shared" si="10"/>
        <v>0</v>
      </c>
      <c r="AM204" s="2" t="str">
        <f t="array" ref="AM204">IF($K204="",0,IFERROR(INDEX(CALC!$F$2:$F$33,MATCH($K204,CALC!$A$2:$A$33,0)),0))</f>
        <v/>
      </c>
      <c r="AN204" s="2" t="str">
        <f t="array" ref="AN204">IF($K204="",0,IFERROR(INDEX(CALC!$I$2:$I$33,MATCH($K204,CALC!$A$2:$A$33,0)),0))</f>
        <v/>
      </c>
      <c r="AO204" s="2" t="str">
        <f t="array" ref="AO204">IF($K204="",0,IFERROR(INDEX(CALC!$L$2:$L$33,MATCH($K204,CALC!$A$2:$A$33,0)),0))</f>
        <v/>
      </c>
      <c r="AP204" s="2" t="str">
        <f t="array" ref="AP204">IF($K204="",0,IFERROR(INDEX(CALC!$T$2:$T$33,MATCH($K204,CALC!$A$2:$A$33,0)),0))</f>
        <v/>
      </c>
      <c r="AQ204" s="2" t="str">
        <f t="array" ref="AQ204">IF($K204="",0,IFERROR(INDEX(CALC!$W$2:$W$33,MATCH($K204,CALC!$A$2:$A$33,0)),0))</f>
        <v/>
      </c>
      <c r="AR204" s="2" t="str">
        <f t="array" ref="AR204">IF($K204="",0,IFERROR(INDEX(CALC!$Z$2:$Z$33,MATCH($K204,CALC!$A$2:$A$33,0)),0))</f>
        <v/>
      </c>
      <c r="AS204" s="2" t="str">
        <f t="array" ref="AS204">IF($K204="",0,IFERROR(INDEX(CALC!$AJ$2:$AJ$33,MATCH($K204,CALC!$A$2:$A$33,0)),0))</f>
        <v/>
      </c>
      <c r="AT204" s="2" t="str">
        <f t="array" ref="AT204">IF($K204="",0,IFERROR(INDEX(CALC!$AI$2:$AI$33,MATCH($K204,CALC!$A$2:$A$33,0)),0))</f>
        <v/>
      </c>
      <c r="AU204" s="2">
        <f t="shared" si="11"/>
        <v>0</v>
      </c>
      <c r="AV204" s="2">
        <f t="shared" si="12"/>
        <v>0</v>
      </c>
    </row>
    <row r="205" ht="15.0" customHeight="1">
      <c r="A205" s="2">
        <v>102.0</v>
      </c>
      <c r="B205" s="2" t="s">
        <v>2365</v>
      </c>
      <c r="C205" s="2">
        <f>IFERROR(MATCH($A205,SchedSeq,0),"")</f>
        <v>387</v>
      </c>
      <c r="D205" s="2" t="str">
        <f t="array" ref="D205">IF($C205="","",INDEX(SchedZone,$C205,MAP!$B$6))</f>
        <v>2026_07_CLE_TEN</v>
      </c>
      <c r="E205" s="2">
        <f t="array" ref="E205">IF($C205="","",INDEX(SchedZone,$C205,MAP!$B$3))</f>
        <v>2026</v>
      </c>
      <c r="F205" s="2" t="str">
        <f t="array" ref="F205">IF($C205="","",INDEX(SchedZone,$C205,MAP!$B$5))</f>
        <v>REG</v>
      </c>
      <c r="G205" s="2">
        <f t="array" ref="G205">IF($C205="","",INDEX(SchedZone,$C205,MAP!$B$4))</f>
        <v>7</v>
      </c>
      <c r="H205" s="2" t="str">
        <f t="array" ref="H205">IF($C205="","",INDEX(SchedZone,$C205,MAP!$B$12))</f>
        <v>TEN</v>
      </c>
      <c r="I205" s="2" t="str">
        <f t="array" ref="I205">IF($H205="","",IF(COUNTIF(Teams,$H205)&gt;0,$H205,IFERROR(INDEX(LISTS!$D$2:$D$12,MATCH($H205,LISTS!$C$2:$C$12,0)),"⚠ "&amp;$H205)))</f>
        <v>TEN</v>
      </c>
      <c r="J205" s="2" t="str">
        <f t="array" ref="J205">IF($C205="","",INDEX(SchedZone,$C205,MAP!$B$10))</f>
        <v>CLE</v>
      </c>
      <c r="K205" s="2" t="str">
        <f t="array" ref="K205">IF($J205="","",IF(COUNTIF(Teams,$J205)&gt;0,$J205,IFERROR(INDEX(LISTS!$D$2:$D$12,MATCH($J205,LISTS!$C$2:$C$12,0)),"⚠ "&amp;$J205)))</f>
        <v>CLE</v>
      </c>
      <c r="L205" s="2" t="str">
        <f t="array" ref="L205">IF($C205="","",IF(INDEX(SchedZone,$C205,MAP!$B$14)="Neutral","N",IF($B205="HOME","H","A")))</f>
        <v>H</v>
      </c>
      <c r="M205" s="2" t="str">
        <f t="array" ref="M205">IF($C205="","",IF(INDEX(SchedZone,$C205,MAP!$B$13)="","",INDEX(SchedZone,$C205,MAP!$B$13)))</f>
        <v/>
      </c>
      <c r="N205" s="2" t="str">
        <f t="array" ref="N205">IF($C205="","",IF(INDEX(SchedZone,$C205,MAP!$B$11)="","",INDEX(SchedZone,$C205,MAP!$B$11)))</f>
        <v/>
      </c>
      <c r="O205" s="2">
        <f t="array" ref="O205">IF($C205="","",INDEX(SchedZone,$C205,MAP!$B$16))</f>
        <v>7</v>
      </c>
      <c r="P205" s="2" t="str">
        <f>IF($C205="","",IFERROR(MATCH($E205&amp;"|"&amp;$G205&amp;"|"&amp;$I205,StatsKey,0),""))</f>
        <v/>
      </c>
      <c r="Q205" s="2">
        <f t="array" ref="Q205">IF($P205="",0,INDEX(StatsZone,$P205,MAP!$E$9)+INDEX(StatsZone,$P205,MAP!$E$10)+INDEX(StatsZone,$P205,MAP!$E$11))</f>
        <v>0</v>
      </c>
      <c r="R205" s="2">
        <f t="array" ref="R205">IF($P205="",0,INDEX(StatsZone,$P205,MAP!$E$12))</f>
        <v>0</v>
      </c>
      <c r="S205" s="2">
        <f t="array" ref="S205">IF($P205="",0,INDEX(StatsZone,$P205,MAP!$E$13))</f>
        <v>0</v>
      </c>
      <c r="T205" s="2">
        <f t="shared" si="1"/>
        <v>0</v>
      </c>
      <c r="U205" s="2">
        <f t="array" ref="U205">IF($P205="",0,INDEX(StatsZone,$P205,MAP!$E$14)+INDEX(StatsZone,$P205,MAP!$E$15)+INDEX(StatsZone,$P205,MAP!$E$16))</f>
        <v>0</v>
      </c>
      <c r="V205" s="2">
        <f t="shared" si="2"/>
        <v>0</v>
      </c>
      <c r="W205" s="2">
        <f t="shared" si="3"/>
        <v>0</v>
      </c>
      <c r="X205" s="2">
        <f t="shared" si="4"/>
        <v>0</v>
      </c>
      <c r="Y205" s="2">
        <f t="shared" si="5"/>
        <v>0</v>
      </c>
      <c r="Z205" s="2">
        <f t="shared" si="6"/>
        <v>0</v>
      </c>
      <c r="AA205" s="2">
        <f t="shared" si="7"/>
        <v>1</v>
      </c>
      <c r="AB205" s="2">
        <f>IF(OR($M205="",$N205=""),0,MEDIAN(-MarginCap,MarginCap,($M205-$N205)-$AA205*HFA_Base))</f>
        <v>0</v>
      </c>
      <c r="AC205" s="2">
        <f t="array" ref="AC205">IF(OR($P205="",INDEX($P$3:$P$722,(ROW()+IF(MOD(ROW()-3,2)=0,1,-1))-3+1)=""),0,MEDIAN(-MarginCap,MarginCap,($T205-$W205)-$AA205*HFA_Base))</f>
        <v>0</v>
      </c>
      <c r="AD205" s="2">
        <f t="shared" si="8"/>
        <v>0</v>
      </c>
      <c r="AE205" s="2">
        <f>IF(OR($M205="",$N205=""),0,IF(AND(WEpa&gt;0,$AD205=1),(1-WEpa)*$AB205+WEpa*$AC205,$AB205))</f>
        <v>0</v>
      </c>
      <c r="AF205" s="2">
        <f>IF(AND($C205&lt;&gt;"",$E205=CurrentSeason,$F205="REG",ISNUMBER($G205),$G205&lt;CurrentWeek,AND($M205&lt;&gt;"",$N205&lt;&gt;"")),1,0)</f>
        <v>0</v>
      </c>
      <c r="AG205" s="2">
        <f>IF($AF205=0,0,IF($G205&gt;=CurrentWeek-RecencyWin,RecencyMult,1))</f>
        <v>0</v>
      </c>
      <c r="AH205" s="2">
        <f>IF(AND($C205&lt;&gt;"",$E205=CurrentSeason,$F205="REG",ISNUMBER($G205),$G205&lt;CurrentWeek-1,AND($M205&lt;&gt;"",$N205&lt;&gt;"")),1,0)</f>
        <v>0</v>
      </c>
      <c r="AI205" s="2">
        <f>IF($AH205=0,0,IF($G205&gt;=CurrentWeek-1-RecencyWin,RecencyMult,1))</f>
        <v>0</v>
      </c>
      <c r="AJ205" s="2">
        <f>IF($AF205=0,0,IF($G205&gt;=CurrentWeek-RecencyWin,TotRecency,1))</f>
        <v>0</v>
      </c>
      <c r="AK205" s="2">
        <f t="shared" si="9"/>
        <v>0</v>
      </c>
      <c r="AL205" s="2">
        <f t="shared" si="10"/>
        <v>0</v>
      </c>
      <c r="AM205" s="2" t="str">
        <f t="array" ref="AM205">IF($K205="",0,IFERROR(INDEX(CALC!$F$2:$F$33,MATCH($K205,CALC!$A$2:$A$33,0)),0))</f>
        <v/>
      </c>
      <c r="AN205" s="2" t="str">
        <f t="array" ref="AN205">IF($K205="",0,IFERROR(INDEX(CALC!$I$2:$I$33,MATCH($K205,CALC!$A$2:$A$33,0)),0))</f>
        <v/>
      </c>
      <c r="AO205" s="2" t="str">
        <f t="array" ref="AO205">IF($K205="",0,IFERROR(INDEX(CALC!$L$2:$L$33,MATCH($K205,CALC!$A$2:$A$33,0)),0))</f>
        <v/>
      </c>
      <c r="AP205" s="2" t="str">
        <f t="array" ref="AP205">IF($K205="",0,IFERROR(INDEX(CALC!$T$2:$T$33,MATCH($K205,CALC!$A$2:$A$33,0)),0))</f>
        <v/>
      </c>
      <c r="AQ205" s="2" t="str">
        <f t="array" ref="AQ205">IF($K205="",0,IFERROR(INDEX(CALC!$W$2:$W$33,MATCH($K205,CALC!$A$2:$A$33,0)),0))</f>
        <v/>
      </c>
      <c r="AR205" s="2" t="str">
        <f t="array" ref="AR205">IF($K205="",0,IFERROR(INDEX(CALC!$Z$2:$Z$33,MATCH($K205,CALC!$A$2:$A$33,0)),0))</f>
        <v/>
      </c>
      <c r="AS205" s="2" t="str">
        <f t="array" ref="AS205">IF($K205="",0,IFERROR(INDEX(CALC!$AJ$2:$AJ$33,MATCH($K205,CALC!$A$2:$A$33,0)),0))</f>
        <v/>
      </c>
      <c r="AT205" s="2" t="str">
        <f t="array" ref="AT205">IF($K205="",0,IFERROR(INDEX(CALC!$AI$2:$AI$33,MATCH($K205,CALC!$A$2:$A$33,0)),0))</f>
        <v/>
      </c>
      <c r="AU205" s="2">
        <f t="shared" si="11"/>
        <v>0</v>
      </c>
      <c r="AV205" s="2">
        <f t="shared" si="12"/>
        <v>0</v>
      </c>
    </row>
    <row r="206" ht="15.0" customHeight="1">
      <c r="A206" s="2">
        <v>102.0</v>
      </c>
      <c r="B206" s="2" t="s">
        <v>2366</v>
      </c>
      <c r="C206" s="2">
        <f>IFERROR(MATCH($A206,SchedSeq,0),"")</f>
        <v>387</v>
      </c>
      <c r="D206" s="2" t="str">
        <f t="array" ref="D206">IF($C206="","",INDEX(SchedZone,$C206,MAP!$B$6))</f>
        <v>2026_07_CLE_TEN</v>
      </c>
      <c r="E206" s="2">
        <f t="array" ref="E206">IF($C206="","",INDEX(SchedZone,$C206,MAP!$B$3))</f>
        <v>2026</v>
      </c>
      <c r="F206" s="2" t="str">
        <f t="array" ref="F206">IF($C206="","",INDEX(SchedZone,$C206,MAP!$B$5))</f>
        <v>REG</v>
      </c>
      <c r="G206" s="2">
        <f t="array" ref="G206">IF($C206="","",INDEX(SchedZone,$C206,MAP!$B$4))</f>
        <v>7</v>
      </c>
      <c r="H206" s="2" t="str">
        <f t="array" ref="H206">IF($C206="","",INDEX(SchedZone,$C206,MAP!$B$10))</f>
        <v>CLE</v>
      </c>
      <c r="I206" s="2" t="str">
        <f t="array" ref="I206">IF($H206="","",IF(COUNTIF(Teams,$H206)&gt;0,$H206,IFERROR(INDEX(LISTS!$D$2:$D$12,MATCH($H206,LISTS!$C$2:$C$12,0)),"⚠ "&amp;$H206)))</f>
        <v>CLE</v>
      </c>
      <c r="J206" s="2" t="str">
        <f t="array" ref="J206">IF($C206="","",INDEX(SchedZone,$C206,MAP!$B$12))</f>
        <v>TEN</v>
      </c>
      <c r="K206" s="2" t="str">
        <f t="array" ref="K206">IF($J206="","",IF(COUNTIF(Teams,$J206)&gt;0,$J206,IFERROR(INDEX(LISTS!$D$2:$D$12,MATCH($J206,LISTS!$C$2:$C$12,0)),"⚠ "&amp;$J206)))</f>
        <v>TEN</v>
      </c>
      <c r="L206" s="2" t="str">
        <f t="array" ref="L206">IF($C206="","",IF(INDEX(SchedZone,$C206,MAP!$B$14)="Neutral","N",IF($B206="HOME","H","A")))</f>
        <v>A</v>
      </c>
      <c r="M206" s="2" t="str">
        <f t="array" ref="M206">IF($C206="","",IF(INDEX(SchedZone,$C206,MAP!$B$11)="","",INDEX(SchedZone,$C206,MAP!$B$11)))</f>
        <v/>
      </c>
      <c r="N206" s="2" t="str">
        <f t="array" ref="N206">IF($C206="","",IF(INDEX(SchedZone,$C206,MAP!$B$13)="","",INDEX(SchedZone,$C206,MAP!$B$13)))</f>
        <v/>
      </c>
      <c r="O206" s="2">
        <f t="array" ref="O206">IF($C206="","",INDEX(SchedZone,$C206,MAP!$B$15))</f>
        <v>7</v>
      </c>
      <c r="P206" s="2" t="str">
        <f>IF($C206="","",IFERROR(MATCH($E206&amp;"|"&amp;$G206&amp;"|"&amp;$I206,StatsKey,0),""))</f>
        <v/>
      </c>
      <c r="Q206" s="2">
        <f t="array" ref="Q206">IF($P206="",0,INDEX(StatsZone,$P206,MAP!$E$9)+INDEX(StatsZone,$P206,MAP!$E$10)+INDEX(StatsZone,$P206,MAP!$E$11))</f>
        <v>0</v>
      </c>
      <c r="R206" s="2">
        <f t="array" ref="R206">IF($P206="",0,INDEX(StatsZone,$P206,MAP!$E$12))</f>
        <v>0</v>
      </c>
      <c r="S206" s="2">
        <f t="array" ref="S206">IF($P206="",0,INDEX(StatsZone,$P206,MAP!$E$13))</f>
        <v>0</v>
      </c>
      <c r="T206" s="2">
        <f t="shared" si="1"/>
        <v>0</v>
      </c>
      <c r="U206" s="2">
        <f t="array" ref="U206">IF($P206="",0,INDEX(StatsZone,$P206,MAP!$E$14)+INDEX(StatsZone,$P206,MAP!$E$15)+INDEX(StatsZone,$P206,MAP!$E$16))</f>
        <v>0</v>
      </c>
      <c r="V206" s="2">
        <f t="shared" si="2"/>
        <v>0</v>
      </c>
      <c r="W206" s="2">
        <f t="shared" si="3"/>
        <v>0</v>
      </c>
      <c r="X206" s="2">
        <f t="shared" si="4"/>
        <v>0</v>
      </c>
      <c r="Y206" s="2">
        <f t="shared" si="5"/>
        <v>0</v>
      </c>
      <c r="Z206" s="2">
        <f t="shared" si="6"/>
        <v>0</v>
      </c>
      <c r="AA206" s="2">
        <f t="shared" si="7"/>
        <v>-1</v>
      </c>
      <c r="AB206" s="2">
        <f>IF(OR($M206="",$N206=""),0,MEDIAN(-MarginCap,MarginCap,($M206-$N206)-$AA206*HFA_Base))</f>
        <v>0</v>
      </c>
      <c r="AC206" s="2">
        <f t="array" ref="AC206">IF(OR($P206="",INDEX($P$3:$P$722,(ROW()+IF(MOD(ROW()-3,2)=0,1,-1))-3+1)=""),0,MEDIAN(-MarginCap,MarginCap,($T206-$W206)-$AA206*HFA_Base))</f>
        <v>0</v>
      </c>
      <c r="AD206" s="2">
        <f t="shared" si="8"/>
        <v>0</v>
      </c>
      <c r="AE206" s="2">
        <f>IF(OR($M206="",$N206=""),0,IF(AND(WEpa&gt;0,$AD206=1),(1-WEpa)*$AB206+WEpa*$AC206,$AB206))</f>
        <v>0</v>
      </c>
      <c r="AF206" s="2">
        <f>IF(AND($C206&lt;&gt;"",$E206=CurrentSeason,$F206="REG",ISNUMBER($G206),$G206&lt;CurrentWeek,AND($M206&lt;&gt;"",$N206&lt;&gt;"")),1,0)</f>
        <v>0</v>
      </c>
      <c r="AG206" s="2">
        <f>IF($AF206=0,0,IF($G206&gt;=CurrentWeek-RecencyWin,RecencyMult,1))</f>
        <v>0</v>
      </c>
      <c r="AH206" s="2">
        <f>IF(AND($C206&lt;&gt;"",$E206=CurrentSeason,$F206="REG",ISNUMBER($G206),$G206&lt;CurrentWeek-1,AND($M206&lt;&gt;"",$N206&lt;&gt;"")),1,0)</f>
        <v>0</v>
      </c>
      <c r="AI206" s="2">
        <f>IF($AH206=0,0,IF($G206&gt;=CurrentWeek-1-RecencyWin,RecencyMult,1))</f>
        <v>0</v>
      </c>
      <c r="AJ206" s="2">
        <f>IF($AF206=0,0,IF($G206&gt;=CurrentWeek-RecencyWin,TotRecency,1))</f>
        <v>0</v>
      </c>
      <c r="AK206" s="2">
        <f t="shared" si="9"/>
        <v>0</v>
      </c>
      <c r="AL206" s="2">
        <f t="shared" si="10"/>
        <v>0</v>
      </c>
      <c r="AM206" s="2" t="str">
        <f t="array" ref="AM206">IF($K206="",0,IFERROR(INDEX(CALC!$F$2:$F$33,MATCH($K206,CALC!$A$2:$A$33,0)),0))</f>
        <v/>
      </c>
      <c r="AN206" s="2" t="str">
        <f t="array" ref="AN206">IF($K206="",0,IFERROR(INDEX(CALC!$I$2:$I$33,MATCH($K206,CALC!$A$2:$A$33,0)),0))</f>
        <v/>
      </c>
      <c r="AO206" s="2" t="str">
        <f t="array" ref="AO206">IF($K206="",0,IFERROR(INDEX(CALC!$L$2:$L$33,MATCH($K206,CALC!$A$2:$A$33,0)),0))</f>
        <v/>
      </c>
      <c r="AP206" s="2" t="str">
        <f t="array" ref="AP206">IF($K206="",0,IFERROR(INDEX(CALC!$T$2:$T$33,MATCH($K206,CALC!$A$2:$A$33,0)),0))</f>
        <v/>
      </c>
      <c r="AQ206" s="2" t="str">
        <f t="array" ref="AQ206">IF($K206="",0,IFERROR(INDEX(CALC!$W$2:$W$33,MATCH($K206,CALC!$A$2:$A$33,0)),0))</f>
        <v/>
      </c>
      <c r="AR206" s="2" t="str">
        <f t="array" ref="AR206">IF($K206="",0,IFERROR(INDEX(CALC!$Z$2:$Z$33,MATCH($K206,CALC!$A$2:$A$33,0)),0))</f>
        <v/>
      </c>
      <c r="AS206" s="2" t="str">
        <f t="array" ref="AS206">IF($K206="",0,IFERROR(INDEX(CALC!$AJ$2:$AJ$33,MATCH($K206,CALC!$A$2:$A$33,0)),0))</f>
        <v/>
      </c>
      <c r="AT206" s="2" t="str">
        <f t="array" ref="AT206">IF($K206="",0,IFERROR(INDEX(CALC!$AI$2:$AI$33,MATCH($K206,CALC!$A$2:$A$33,0)),0))</f>
        <v/>
      </c>
      <c r="AU206" s="2">
        <f t="shared" si="11"/>
        <v>0</v>
      </c>
      <c r="AV206" s="2">
        <f t="shared" si="12"/>
        <v>0</v>
      </c>
    </row>
    <row r="207" ht="15.0" customHeight="1">
      <c r="A207" s="2">
        <v>103.0</v>
      </c>
      <c r="B207" s="2" t="s">
        <v>2365</v>
      </c>
      <c r="C207" s="2">
        <f>IFERROR(MATCH($A207,SchedSeq,0),"")</f>
        <v>388</v>
      </c>
      <c r="D207" s="2" t="str">
        <f t="array" ref="D207">IF($C207="","",INDEX(SchedZone,$C207,MAP!$B$6))</f>
        <v>2026_07_DEN_ARI</v>
      </c>
      <c r="E207" s="2">
        <f t="array" ref="E207">IF($C207="","",INDEX(SchedZone,$C207,MAP!$B$3))</f>
        <v>2026</v>
      </c>
      <c r="F207" s="2" t="str">
        <f t="array" ref="F207">IF($C207="","",INDEX(SchedZone,$C207,MAP!$B$5))</f>
        <v>REG</v>
      </c>
      <c r="G207" s="2">
        <f t="array" ref="G207">IF($C207="","",INDEX(SchedZone,$C207,MAP!$B$4))</f>
        <v>7</v>
      </c>
      <c r="H207" s="2" t="str">
        <f t="array" ref="H207">IF($C207="","",INDEX(SchedZone,$C207,MAP!$B$12))</f>
        <v>ARI</v>
      </c>
      <c r="I207" s="2" t="str">
        <f t="array" ref="I207">IF($H207="","",IF(COUNTIF(Teams,$H207)&gt;0,$H207,IFERROR(INDEX(LISTS!$D$2:$D$12,MATCH($H207,LISTS!$C$2:$C$12,0)),"⚠ "&amp;$H207)))</f>
        <v>ARI</v>
      </c>
      <c r="J207" s="2" t="str">
        <f t="array" ref="J207">IF($C207="","",INDEX(SchedZone,$C207,MAP!$B$10))</f>
        <v>DEN</v>
      </c>
      <c r="K207" s="2" t="str">
        <f t="array" ref="K207">IF($J207="","",IF(COUNTIF(Teams,$J207)&gt;0,$J207,IFERROR(INDEX(LISTS!$D$2:$D$12,MATCH($J207,LISTS!$C$2:$C$12,0)),"⚠ "&amp;$J207)))</f>
        <v>DEN</v>
      </c>
      <c r="L207" s="2" t="str">
        <f t="array" ref="L207">IF($C207="","",IF(INDEX(SchedZone,$C207,MAP!$B$14)="Neutral","N",IF($B207="HOME","H","A")))</f>
        <v>H</v>
      </c>
      <c r="M207" s="2" t="str">
        <f t="array" ref="M207">IF($C207="","",IF(INDEX(SchedZone,$C207,MAP!$B$13)="","",INDEX(SchedZone,$C207,MAP!$B$13)))</f>
        <v/>
      </c>
      <c r="N207" s="2" t="str">
        <f t="array" ref="N207">IF($C207="","",IF(INDEX(SchedZone,$C207,MAP!$B$11)="","",INDEX(SchedZone,$C207,MAP!$B$11)))</f>
        <v/>
      </c>
      <c r="O207" s="2">
        <f t="array" ref="O207">IF($C207="","",INDEX(SchedZone,$C207,MAP!$B$16))</f>
        <v>7</v>
      </c>
      <c r="P207" s="2" t="str">
        <f>IF($C207="","",IFERROR(MATCH($E207&amp;"|"&amp;$G207&amp;"|"&amp;$I207,StatsKey,0),""))</f>
        <v/>
      </c>
      <c r="Q207" s="2">
        <f t="array" ref="Q207">IF($P207="",0,INDEX(StatsZone,$P207,MAP!$E$9)+INDEX(StatsZone,$P207,MAP!$E$10)+INDEX(StatsZone,$P207,MAP!$E$11))</f>
        <v>0</v>
      </c>
      <c r="R207" s="2">
        <f t="array" ref="R207">IF($P207="",0,INDEX(StatsZone,$P207,MAP!$E$12))</f>
        <v>0</v>
      </c>
      <c r="S207" s="2">
        <f t="array" ref="S207">IF($P207="",0,INDEX(StatsZone,$P207,MAP!$E$13))</f>
        <v>0</v>
      </c>
      <c r="T207" s="2">
        <f t="shared" si="1"/>
        <v>0</v>
      </c>
      <c r="U207" s="2">
        <f t="array" ref="U207">IF($P207="",0,INDEX(StatsZone,$P207,MAP!$E$14)+INDEX(StatsZone,$P207,MAP!$E$15)+INDEX(StatsZone,$P207,MAP!$E$16))</f>
        <v>0</v>
      </c>
      <c r="V207" s="2">
        <f t="shared" si="2"/>
        <v>0</v>
      </c>
      <c r="W207" s="2">
        <f t="shared" si="3"/>
        <v>0</v>
      </c>
      <c r="X207" s="2">
        <f t="shared" si="4"/>
        <v>0</v>
      </c>
      <c r="Y207" s="2">
        <f t="shared" si="5"/>
        <v>0</v>
      </c>
      <c r="Z207" s="2">
        <f t="shared" si="6"/>
        <v>0</v>
      </c>
      <c r="AA207" s="2">
        <f t="shared" si="7"/>
        <v>1</v>
      </c>
      <c r="AB207" s="2">
        <f>IF(OR($M207="",$N207=""),0,MEDIAN(-MarginCap,MarginCap,($M207-$N207)-$AA207*HFA_Base))</f>
        <v>0</v>
      </c>
      <c r="AC207" s="2">
        <f t="array" ref="AC207">IF(OR($P207="",INDEX($P$3:$P$722,(ROW()+IF(MOD(ROW()-3,2)=0,1,-1))-3+1)=""),0,MEDIAN(-MarginCap,MarginCap,($T207-$W207)-$AA207*HFA_Base))</f>
        <v>0</v>
      </c>
      <c r="AD207" s="2">
        <f t="shared" si="8"/>
        <v>0</v>
      </c>
      <c r="AE207" s="2">
        <f>IF(OR($M207="",$N207=""),0,IF(AND(WEpa&gt;0,$AD207=1),(1-WEpa)*$AB207+WEpa*$AC207,$AB207))</f>
        <v>0</v>
      </c>
      <c r="AF207" s="2">
        <f>IF(AND($C207&lt;&gt;"",$E207=CurrentSeason,$F207="REG",ISNUMBER($G207),$G207&lt;CurrentWeek,AND($M207&lt;&gt;"",$N207&lt;&gt;"")),1,0)</f>
        <v>0</v>
      </c>
      <c r="AG207" s="2">
        <f>IF($AF207=0,0,IF($G207&gt;=CurrentWeek-RecencyWin,RecencyMult,1))</f>
        <v>0</v>
      </c>
      <c r="AH207" s="2">
        <f>IF(AND($C207&lt;&gt;"",$E207=CurrentSeason,$F207="REG",ISNUMBER($G207),$G207&lt;CurrentWeek-1,AND($M207&lt;&gt;"",$N207&lt;&gt;"")),1,0)</f>
        <v>0</v>
      </c>
      <c r="AI207" s="2">
        <f>IF($AH207=0,0,IF($G207&gt;=CurrentWeek-1-RecencyWin,RecencyMult,1))</f>
        <v>0</v>
      </c>
      <c r="AJ207" s="2">
        <f>IF($AF207=0,0,IF($G207&gt;=CurrentWeek-RecencyWin,TotRecency,1))</f>
        <v>0</v>
      </c>
      <c r="AK207" s="2">
        <f t="shared" si="9"/>
        <v>0</v>
      </c>
      <c r="AL207" s="2">
        <f t="shared" si="10"/>
        <v>0</v>
      </c>
      <c r="AM207" s="2" t="str">
        <f t="array" ref="AM207">IF($K207="",0,IFERROR(INDEX(CALC!$F$2:$F$33,MATCH($K207,CALC!$A$2:$A$33,0)),0))</f>
        <v/>
      </c>
      <c r="AN207" s="2" t="str">
        <f t="array" ref="AN207">IF($K207="",0,IFERROR(INDEX(CALC!$I$2:$I$33,MATCH($K207,CALC!$A$2:$A$33,0)),0))</f>
        <v/>
      </c>
      <c r="AO207" s="2" t="str">
        <f t="array" ref="AO207">IF($K207="",0,IFERROR(INDEX(CALC!$L$2:$L$33,MATCH($K207,CALC!$A$2:$A$33,0)),0))</f>
        <v/>
      </c>
      <c r="AP207" s="2" t="str">
        <f t="array" ref="AP207">IF($K207="",0,IFERROR(INDEX(CALC!$T$2:$T$33,MATCH($K207,CALC!$A$2:$A$33,0)),0))</f>
        <v/>
      </c>
      <c r="AQ207" s="2" t="str">
        <f t="array" ref="AQ207">IF($K207="",0,IFERROR(INDEX(CALC!$W$2:$W$33,MATCH($K207,CALC!$A$2:$A$33,0)),0))</f>
        <v/>
      </c>
      <c r="AR207" s="2" t="str">
        <f t="array" ref="AR207">IF($K207="",0,IFERROR(INDEX(CALC!$Z$2:$Z$33,MATCH($K207,CALC!$A$2:$A$33,0)),0))</f>
        <v/>
      </c>
      <c r="AS207" s="2" t="str">
        <f t="array" ref="AS207">IF($K207="",0,IFERROR(INDEX(CALC!$AJ$2:$AJ$33,MATCH($K207,CALC!$A$2:$A$33,0)),0))</f>
        <v/>
      </c>
      <c r="AT207" s="2" t="str">
        <f t="array" ref="AT207">IF($K207="",0,IFERROR(INDEX(CALC!$AI$2:$AI$33,MATCH($K207,CALC!$A$2:$A$33,0)),0))</f>
        <v/>
      </c>
      <c r="AU207" s="2">
        <f t="shared" si="11"/>
        <v>0</v>
      </c>
      <c r="AV207" s="2">
        <f t="shared" si="12"/>
        <v>0</v>
      </c>
    </row>
    <row r="208" ht="15.0" customHeight="1">
      <c r="A208" s="2">
        <v>103.0</v>
      </c>
      <c r="B208" s="2" t="s">
        <v>2366</v>
      </c>
      <c r="C208" s="2">
        <f>IFERROR(MATCH($A208,SchedSeq,0),"")</f>
        <v>388</v>
      </c>
      <c r="D208" s="2" t="str">
        <f t="array" ref="D208">IF($C208="","",INDEX(SchedZone,$C208,MAP!$B$6))</f>
        <v>2026_07_DEN_ARI</v>
      </c>
      <c r="E208" s="2">
        <f t="array" ref="E208">IF($C208="","",INDEX(SchedZone,$C208,MAP!$B$3))</f>
        <v>2026</v>
      </c>
      <c r="F208" s="2" t="str">
        <f t="array" ref="F208">IF($C208="","",INDEX(SchedZone,$C208,MAP!$B$5))</f>
        <v>REG</v>
      </c>
      <c r="G208" s="2">
        <f t="array" ref="G208">IF($C208="","",INDEX(SchedZone,$C208,MAP!$B$4))</f>
        <v>7</v>
      </c>
      <c r="H208" s="2" t="str">
        <f t="array" ref="H208">IF($C208="","",INDEX(SchedZone,$C208,MAP!$B$10))</f>
        <v>DEN</v>
      </c>
      <c r="I208" s="2" t="str">
        <f t="array" ref="I208">IF($H208="","",IF(COUNTIF(Teams,$H208)&gt;0,$H208,IFERROR(INDEX(LISTS!$D$2:$D$12,MATCH($H208,LISTS!$C$2:$C$12,0)),"⚠ "&amp;$H208)))</f>
        <v>DEN</v>
      </c>
      <c r="J208" s="2" t="str">
        <f t="array" ref="J208">IF($C208="","",INDEX(SchedZone,$C208,MAP!$B$12))</f>
        <v>ARI</v>
      </c>
      <c r="K208" s="2" t="str">
        <f t="array" ref="K208">IF($J208="","",IF(COUNTIF(Teams,$J208)&gt;0,$J208,IFERROR(INDEX(LISTS!$D$2:$D$12,MATCH($J208,LISTS!$C$2:$C$12,0)),"⚠ "&amp;$J208)))</f>
        <v>ARI</v>
      </c>
      <c r="L208" s="2" t="str">
        <f t="array" ref="L208">IF($C208="","",IF(INDEX(SchedZone,$C208,MAP!$B$14)="Neutral","N",IF($B208="HOME","H","A")))</f>
        <v>A</v>
      </c>
      <c r="M208" s="2" t="str">
        <f t="array" ref="M208">IF($C208="","",IF(INDEX(SchedZone,$C208,MAP!$B$11)="","",INDEX(SchedZone,$C208,MAP!$B$11)))</f>
        <v/>
      </c>
      <c r="N208" s="2" t="str">
        <f t="array" ref="N208">IF($C208="","",IF(INDEX(SchedZone,$C208,MAP!$B$13)="","",INDEX(SchedZone,$C208,MAP!$B$13)))</f>
        <v/>
      </c>
      <c r="O208" s="2">
        <f t="array" ref="O208">IF($C208="","",INDEX(SchedZone,$C208,MAP!$B$15))</f>
        <v>10</v>
      </c>
      <c r="P208" s="2" t="str">
        <f>IF($C208="","",IFERROR(MATCH($E208&amp;"|"&amp;$G208&amp;"|"&amp;$I208,StatsKey,0),""))</f>
        <v/>
      </c>
      <c r="Q208" s="2">
        <f t="array" ref="Q208">IF($P208="",0,INDEX(StatsZone,$P208,MAP!$E$9)+INDEX(StatsZone,$P208,MAP!$E$10)+INDEX(StatsZone,$P208,MAP!$E$11))</f>
        <v>0</v>
      </c>
      <c r="R208" s="2">
        <f t="array" ref="R208">IF($P208="",0,INDEX(StatsZone,$P208,MAP!$E$12))</f>
        <v>0</v>
      </c>
      <c r="S208" s="2">
        <f t="array" ref="S208">IF($P208="",0,INDEX(StatsZone,$P208,MAP!$E$13))</f>
        <v>0</v>
      </c>
      <c r="T208" s="2">
        <f t="shared" si="1"/>
        <v>0</v>
      </c>
      <c r="U208" s="2">
        <f t="array" ref="U208">IF($P208="",0,INDEX(StatsZone,$P208,MAP!$E$14)+INDEX(StatsZone,$P208,MAP!$E$15)+INDEX(StatsZone,$P208,MAP!$E$16))</f>
        <v>0</v>
      </c>
      <c r="V208" s="2">
        <f t="shared" si="2"/>
        <v>0</v>
      </c>
      <c r="W208" s="2">
        <f t="shared" si="3"/>
        <v>0</v>
      </c>
      <c r="X208" s="2">
        <f t="shared" si="4"/>
        <v>0</v>
      </c>
      <c r="Y208" s="2">
        <f t="shared" si="5"/>
        <v>0</v>
      </c>
      <c r="Z208" s="2">
        <f t="shared" si="6"/>
        <v>0</v>
      </c>
      <c r="AA208" s="2">
        <f t="shared" si="7"/>
        <v>-1</v>
      </c>
      <c r="AB208" s="2">
        <f>IF(OR($M208="",$N208=""),0,MEDIAN(-MarginCap,MarginCap,($M208-$N208)-$AA208*HFA_Base))</f>
        <v>0</v>
      </c>
      <c r="AC208" s="2">
        <f t="array" ref="AC208">IF(OR($P208="",INDEX($P$3:$P$722,(ROW()+IF(MOD(ROW()-3,2)=0,1,-1))-3+1)=""),0,MEDIAN(-MarginCap,MarginCap,($T208-$W208)-$AA208*HFA_Base))</f>
        <v>0</v>
      </c>
      <c r="AD208" s="2">
        <f t="shared" si="8"/>
        <v>0</v>
      </c>
      <c r="AE208" s="2">
        <f>IF(OR($M208="",$N208=""),0,IF(AND(WEpa&gt;0,$AD208=1),(1-WEpa)*$AB208+WEpa*$AC208,$AB208))</f>
        <v>0</v>
      </c>
      <c r="AF208" s="2">
        <f>IF(AND($C208&lt;&gt;"",$E208=CurrentSeason,$F208="REG",ISNUMBER($G208),$G208&lt;CurrentWeek,AND($M208&lt;&gt;"",$N208&lt;&gt;"")),1,0)</f>
        <v>0</v>
      </c>
      <c r="AG208" s="2">
        <f>IF($AF208=0,0,IF($G208&gt;=CurrentWeek-RecencyWin,RecencyMult,1))</f>
        <v>0</v>
      </c>
      <c r="AH208" s="2">
        <f>IF(AND($C208&lt;&gt;"",$E208=CurrentSeason,$F208="REG",ISNUMBER($G208),$G208&lt;CurrentWeek-1,AND($M208&lt;&gt;"",$N208&lt;&gt;"")),1,0)</f>
        <v>0</v>
      </c>
      <c r="AI208" s="2">
        <f>IF($AH208=0,0,IF($G208&gt;=CurrentWeek-1-RecencyWin,RecencyMult,1))</f>
        <v>0</v>
      </c>
      <c r="AJ208" s="2">
        <f>IF($AF208=0,0,IF($G208&gt;=CurrentWeek-RecencyWin,TotRecency,1))</f>
        <v>0</v>
      </c>
      <c r="AK208" s="2">
        <f t="shared" si="9"/>
        <v>0</v>
      </c>
      <c r="AL208" s="2">
        <f t="shared" si="10"/>
        <v>0</v>
      </c>
      <c r="AM208" s="2" t="str">
        <f t="array" ref="AM208">IF($K208="",0,IFERROR(INDEX(CALC!$F$2:$F$33,MATCH($K208,CALC!$A$2:$A$33,0)),0))</f>
        <v/>
      </c>
      <c r="AN208" s="2" t="str">
        <f t="array" ref="AN208">IF($K208="",0,IFERROR(INDEX(CALC!$I$2:$I$33,MATCH($K208,CALC!$A$2:$A$33,0)),0))</f>
        <v/>
      </c>
      <c r="AO208" s="2" t="str">
        <f t="array" ref="AO208">IF($K208="",0,IFERROR(INDEX(CALC!$L$2:$L$33,MATCH($K208,CALC!$A$2:$A$33,0)),0))</f>
        <v/>
      </c>
      <c r="AP208" s="2" t="str">
        <f t="array" ref="AP208">IF($K208="",0,IFERROR(INDEX(CALC!$T$2:$T$33,MATCH($K208,CALC!$A$2:$A$33,0)),0))</f>
        <v/>
      </c>
      <c r="AQ208" s="2" t="str">
        <f t="array" ref="AQ208">IF($K208="",0,IFERROR(INDEX(CALC!$W$2:$W$33,MATCH($K208,CALC!$A$2:$A$33,0)),0))</f>
        <v/>
      </c>
      <c r="AR208" s="2" t="str">
        <f t="array" ref="AR208">IF($K208="",0,IFERROR(INDEX(CALC!$Z$2:$Z$33,MATCH($K208,CALC!$A$2:$A$33,0)),0))</f>
        <v/>
      </c>
      <c r="AS208" s="2" t="str">
        <f t="array" ref="AS208">IF($K208="",0,IFERROR(INDEX(CALC!$AJ$2:$AJ$33,MATCH($K208,CALC!$A$2:$A$33,0)),0))</f>
        <v/>
      </c>
      <c r="AT208" s="2" t="str">
        <f t="array" ref="AT208">IF($K208="",0,IFERROR(INDEX(CALC!$AI$2:$AI$33,MATCH($K208,CALC!$A$2:$A$33,0)),0))</f>
        <v/>
      </c>
      <c r="AU208" s="2">
        <f t="shared" si="11"/>
        <v>0</v>
      </c>
      <c r="AV208" s="2">
        <f t="shared" si="12"/>
        <v>0</v>
      </c>
    </row>
    <row r="209" ht="15.0" customHeight="1">
      <c r="A209" s="2">
        <v>104.0</v>
      </c>
      <c r="B209" s="2" t="s">
        <v>2365</v>
      </c>
      <c r="C209" s="2">
        <f>IFERROR(MATCH($A209,SchedSeq,0),"")</f>
        <v>389</v>
      </c>
      <c r="D209" s="2" t="str">
        <f t="array" ref="D209">IF($C209="","",INDEX(SchedZone,$C209,MAP!$B$6))</f>
        <v>2026_07_GB_DET</v>
      </c>
      <c r="E209" s="2">
        <f t="array" ref="E209">IF($C209="","",INDEX(SchedZone,$C209,MAP!$B$3))</f>
        <v>2026</v>
      </c>
      <c r="F209" s="2" t="str">
        <f t="array" ref="F209">IF($C209="","",INDEX(SchedZone,$C209,MAP!$B$5))</f>
        <v>REG</v>
      </c>
      <c r="G209" s="2">
        <f t="array" ref="G209">IF($C209="","",INDEX(SchedZone,$C209,MAP!$B$4))</f>
        <v>7</v>
      </c>
      <c r="H209" s="2" t="str">
        <f t="array" ref="H209">IF($C209="","",INDEX(SchedZone,$C209,MAP!$B$12))</f>
        <v>DET</v>
      </c>
      <c r="I209" s="2" t="str">
        <f t="array" ref="I209">IF($H209="","",IF(COUNTIF(Teams,$H209)&gt;0,$H209,IFERROR(INDEX(LISTS!$D$2:$D$12,MATCH($H209,LISTS!$C$2:$C$12,0)),"⚠ "&amp;$H209)))</f>
        <v>DET</v>
      </c>
      <c r="J209" s="2" t="str">
        <f t="array" ref="J209">IF($C209="","",INDEX(SchedZone,$C209,MAP!$B$10))</f>
        <v>GB</v>
      </c>
      <c r="K209" s="2" t="str">
        <f t="array" ref="K209">IF($J209="","",IF(COUNTIF(Teams,$J209)&gt;0,$J209,IFERROR(INDEX(LISTS!$D$2:$D$12,MATCH($J209,LISTS!$C$2:$C$12,0)),"⚠ "&amp;$J209)))</f>
        <v>GB</v>
      </c>
      <c r="L209" s="2" t="str">
        <f t="array" ref="L209">IF($C209="","",IF(INDEX(SchedZone,$C209,MAP!$B$14)="Neutral","N",IF($B209="HOME","H","A")))</f>
        <v>H</v>
      </c>
      <c r="M209" s="2" t="str">
        <f t="array" ref="M209">IF($C209="","",IF(INDEX(SchedZone,$C209,MAP!$B$13)="","",INDEX(SchedZone,$C209,MAP!$B$13)))</f>
        <v/>
      </c>
      <c r="N209" s="2" t="str">
        <f t="array" ref="N209">IF($C209="","",IF(INDEX(SchedZone,$C209,MAP!$B$11)="","",INDEX(SchedZone,$C209,MAP!$B$11)))</f>
        <v/>
      </c>
      <c r="O209" s="2">
        <f t="array" ref="O209">IF($C209="","",INDEX(SchedZone,$C209,MAP!$B$16))</f>
        <v>14</v>
      </c>
      <c r="P209" s="2" t="str">
        <f>IF($C209="","",IFERROR(MATCH($E209&amp;"|"&amp;$G209&amp;"|"&amp;$I209,StatsKey,0),""))</f>
        <v/>
      </c>
      <c r="Q209" s="2">
        <f t="array" ref="Q209">IF($P209="",0,INDEX(StatsZone,$P209,MAP!$E$9)+INDEX(StatsZone,$P209,MAP!$E$10)+INDEX(StatsZone,$P209,MAP!$E$11))</f>
        <v>0</v>
      </c>
      <c r="R209" s="2">
        <f t="array" ref="R209">IF($P209="",0,INDEX(StatsZone,$P209,MAP!$E$12))</f>
        <v>0</v>
      </c>
      <c r="S209" s="2">
        <f t="array" ref="S209">IF($P209="",0,INDEX(StatsZone,$P209,MAP!$E$13))</f>
        <v>0</v>
      </c>
      <c r="T209" s="2">
        <f t="shared" si="1"/>
        <v>0</v>
      </c>
      <c r="U209" s="2">
        <f t="array" ref="U209">IF($P209="",0,INDEX(StatsZone,$P209,MAP!$E$14)+INDEX(StatsZone,$P209,MAP!$E$15)+INDEX(StatsZone,$P209,MAP!$E$16))</f>
        <v>0</v>
      </c>
      <c r="V209" s="2">
        <f t="shared" si="2"/>
        <v>0</v>
      </c>
      <c r="W209" s="2">
        <f t="shared" si="3"/>
        <v>0</v>
      </c>
      <c r="X209" s="2">
        <f t="shared" si="4"/>
        <v>0</v>
      </c>
      <c r="Y209" s="2">
        <f t="shared" si="5"/>
        <v>0</v>
      </c>
      <c r="Z209" s="2">
        <f t="shared" si="6"/>
        <v>0</v>
      </c>
      <c r="AA209" s="2">
        <f t="shared" si="7"/>
        <v>1</v>
      </c>
      <c r="AB209" s="2">
        <f>IF(OR($M209="",$N209=""),0,MEDIAN(-MarginCap,MarginCap,($M209-$N209)-$AA209*HFA_Base))</f>
        <v>0</v>
      </c>
      <c r="AC209" s="2">
        <f t="array" ref="AC209">IF(OR($P209="",INDEX($P$3:$P$722,(ROW()+IF(MOD(ROW()-3,2)=0,1,-1))-3+1)=""),0,MEDIAN(-MarginCap,MarginCap,($T209-$W209)-$AA209*HFA_Base))</f>
        <v>0</v>
      </c>
      <c r="AD209" s="2">
        <f t="shared" si="8"/>
        <v>0</v>
      </c>
      <c r="AE209" s="2">
        <f>IF(OR($M209="",$N209=""),0,IF(AND(WEpa&gt;0,$AD209=1),(1-WEpa)*$AB209+WEpa*$AC209,$AB209))</f>
        <v>0</v>
      </c>
      <c r="AF209" s="2">
        <f>IF(AND($C209&lt;&gt;"",$E209=CurrentSeason,$F209="REG",ISNUMBER($G209),$G209&lt;CurrentWeek,AND($M209&lt;&gt;"",$N209&lt;&gt;"")),1,0)</f>
        <v>0</v>
      </c>
      <c r="AG209" s="2">
        <f>IF($AF209=0,0,IF($G209&gt;=CurrentWeek-RecencyWin,RecencyMult,1))</f>
        <v>0</v>
      </c>
      <c r="AH209" s="2">
        <f>IF(AND($C209&lt;&gt;"",$E209=CurrentSeason,$F209="REG",ISNUMBER($G209),$G209&lt;CurrentWeek-1,AND($M209&lt;&gt;"",$N209&lt;&gt;"")),1,0)</f>
        <v>0</v>
      </c>
      <c r="AI209" s="2">
        <f>IF($AH209=0,0,IF($G209&gt;=CurrentWeek-1-RecencyWin,RecencyMult,1))</f>
        <v>0</v>
      </c>
      <c r="AJ209" s="2">
        <f>IF($AF209=0,0,IF($G209&gt;=CurrentWeek-RecencyWin,TotRecency,1))</f>
        <v>0</v>
      </c>
      <c r="AK209" s="2">
        <f t="shared" si="9"/>
        <v>0</v>
      </c>
      <c r="AL209" s="2">
        <f t="shared" si="10"/>
        <v>0</v>
      </c>
      <c r="AM209" s="2" t="str">
        <f t="array" ref="AM209">IF($K209="",0,IFERROR(INDEX(CALC!$F$2:$F$33,MATCH($K209,CALC!$A$2:$A$33,0)),0))</f>
        <v/>
      </c>
      <c r="AN209" s="2" t="str">
        <f t="array" ref="AN209">IF($K209="",0,IFERROR(INDEX(CALC!$I$2:$I$33,MATCH($K209,CALC!$A$2:$A$33,0)),0))</f>
        <v/>
      </c>
      <c r="AO209" s="2" t="str">
        <f t="array" ref="AO209">IF($K209="",0,IFERROR(INDEX(CALC!$L$2:$L$33,MATCH($K209,CALC!$A$2:$A$33,0)),0))</f>
        <v/>
      </c>
      <c r="AP209" s="2" t="str">
        <f t="array" ref="AP209">IF($K209="",0,IFERROR(INDEX(CALC!$T$2:$T$33,MATCH($K209,CALC!$A$2:$A$33,0)),0))</f>
        <v/>
      </c>
      <c r="AQ209" s="2" t="str">
        <f t="array" ref="AQ209">IF($K209="",0,IFERROR(INDEX(CALC!$W$2:$W$33,MATCH($K209,CALC!$A$2:$A$33,0)),0))</f>
        <v/>
      </c>
      <c r="AR209" s="2" t="str">
        <f t="array" ref="AR209">IF($K209="",0,IFERROR(INDEX(CALC!$Z$2:$Z$33,MATCH($K209,CALC!$A$2:$A$33,0)),0))</f>
        <v/>
      </c>
      <c r="AS209" s="2" t="str">
        <f t="array" ref="AS209">IF($K209="",0,IFERROR(INDEX(CALC!$AJ$2:$AJ$33,MATCH($K209,CALC!$A$2:$A$33,0)),0))</f>
        <v/>
      </c>
      <c r="AT209" s="2" t="str">
        <f t="array" ref="AT209">IF($K209="",0,IFERROR(INDEX(CALC!$AI$2:$AI$33,MATCH($K209,CALC!$A$2:$A$33,0)),0))</f>
        <v/>
      </c>
      <c r="AU209" s="2">
        <f t="shared" si="11"/>
        <v>0</v>
      </c>
      <c r="AV209" s="2">
        <f t="shared" si="12"/>
        <v>0</v>
      </c>
    </row>
    <row r="210" ht="15.0" customHeight="1">
      <c r="A210" s="2">
        <v>104.0</v>
      </c>
      <c r="B210" s="2" t="s">
        <v>2366</v>
      </c>
      <c r="C210" s="2">
        <f>IFERROR(MATCH($A210,SchedSeq,0),"")</f>
        <v>389</v>
      </c>
      <c r="D210" s="2" t="str">
        <f t="array" ref="D210">IF($C210="","",INDEX(SchedZone,$C210,MAP!$B$6))</f>
        <v>2026_07_GB_DET</v>
      </c>
      <c r="E210" s="2">
        <f t="array" ref="E210">IF($C210="","",INDEX(SchedZone,$C210,MAP!$B$3))</f>
        <v>2026</v>
      </c>
      <c r="F210" s="2" t="str">
        <f t="array" ref="F210">IF($C210="","",INDEX(SchedZone,$C210,MAP!$B$5))</f>
        <v>REG</v>
      </c>
      <c r="G210" s="2">
        <f t="array" ref="G210">IF($C210="","",INDEX(SchedZone,$C210,MAP!$B$4))</f>
        <v>7</v>
      </c>
      <c r="H210" s="2" t="str">
        <f t="array" ref="H210">IF($C210="","",INDEX(SchedZone,$C210,MAP!$B$10))</f>
        <v>GB</v>
      </c>
      <c r="I210" s="2" t="str">
        <f t="array" ref="I210">IF($H210="","",IF(COUNTIF(Teams,$H210)&gt;0,$H210,IFERROR(INDEX(LISTS!$D$2:$D$12,MATCH($H210,LISTS!$C$2:$C$12,0)),"⚠ "&amp;$H210)))</f>
        <v>GB</v>
      </c>
      <c r="J210" s="2" t="str">
        <f t="array" ref="J210">IF($C210="","",INDEX(SchedZone,$C210,MAP!$B$12))</f>
        <v>DET</v>
      </c>
      <c r="K210" s="2" t="str">
        <f t="array" ref="K210">IF($J210="","",IF(COUNTIF(Teams,$J210)&gt;0,$J210,IFERROR(INDEX(LISTS!$D$2:$D$12,MATCH($J210,LISTS!$C$2:$C$12,0)),"⚠ "&amp;$J210)))</f>
        <v>DET</v>
      </c>
      <c r="L210" s="2" t="str">
        <f t="array" ref="L210">IF($C210="","",IF(INDEX(SchedZone,$C210,MAP!$B$14)="Neutral","N",IF($B210="HOME","H","A")))</f>
        <v>A</v>
      </c>
      <c r="M210" s="2" t="str">
        <f t="array" ref="M210">IF($C210="","",IF(INDEX(SchedZone,$C210,MAP!$B$11)="","",INDEX(SchedZone,$C210,MAP!$B$11)))</f>
        <v/>
      </c>
      <c r="N210" s="2" t="str">
        <f t="array" ref="N210">IF($C210="","",IF(INDEX(SchedZone,$C210,MAP!$B$13)="","",INDEX(SchedZone,$C210,MAP!$B$13)))</f>
        <v/>
      </c>
      <c r="O210" s="2">
        <f t="array" ref="O210">IF($C210="","",INDEX(SchedZone,$C210,MAP!$B$15))</f>
        <v>7</v>
      </c>
      <c r="P210" s="2" t="str">
        <f>IF($C210="","",IFERROR(MATCH($E210&amp;"|"&amp;$G210&amp;"|"&amp;$I210,StatsKey,0),""))</f>
        <v/>
      </c>
      <c r="Q210" s="2">
        <f t="array" ref="Q210">IF($P210="",0,INDEX(StatsZone,$P210,MAP!$E$9)+INDEX(StatsZone,$P210,MAP!$E$10)+INDEX(StatsZone,$P210,MAP!$E$11))</f>
        <v>0</v>
      </c>
      <c r="R210" s="2">
        <f t="array" ref="R210">IF($P210="",0,INDEX(StatsZone,$P210,MAP!$E$12))</f>
        <v>0</v>
      </c>
      <c r="S210" s="2">
        <f t="array" ref="S210">IF($P210="",0,INDEX(StatsZone,$P210,MAP!$E$13))</f>
        <v>0</v>
      </c>
      <c r="T210" s="2">
        <f t="shared" si="1"/>
        <v>0</v>
      </c>
      <c r="U210" s="2">
        <f t="array" ref="U210">IF($P210="",0,INDEX(StatsZone,$P210,MAP!$E$14)+INDEX(StatsZone,$P210,MAP!$E$15)+INDEX(StatsZone,$P210,MAP!$E$16))</f>
        <v>0</v>
      </c>
      <c r="V210" s="2">
        <f t="shared" si="2"/>
        <v>0</v>
      </c>
      <c r="W210" s="2">
        <f t="shared" si="3"/>
        <v>0</v>
      </c>
      <c r="X210" s="2">
        <f t="shared" si="4"/>
        <v>0</v>
      </c>
      <c r="Y210" s="2">
        <f t="shared" si="5"/>
        <v>0</v>
      </c>
      <c r="Z210" s="2">
        <f t="shared" si="6"/>
        <v>0</v>
      </c>
      <c r="AA210" s="2">
        <f t="shared" si="7"/>
        <v>-1</v>
      </c>
      <c r="AB210" s="2">
        <f>IF(OR($M210="",$N210=""),0,MEDIAN(-MarginCap,MarginCap,($M210-$N210)-$AA210*HFA_Base))</f>
        <v>0</v>
      </c>
      <c r="AC210" s="2">
        <f t="array" ref="AC210">IF(OR($P210="",INDEX($P$3:$P$722,(ROW()+IF(MOD(ROW()-3,2)=0,1,-1))-3+1)=""),0,MEDIAN(-MarginCap,MarginCap,($T210-$W210)-$AA210*HFA_Base))</f>
        <v>0</v>
      </c>
      <c r="AD210" s="2">
        <f t="shared" si="8"/>
        <v>0</v>
      </c>
      <c r="AE210" s="2">
        <f>IF(OR($M210="",$N210=""),0,IF(AND(WEpa&gt;0,$AD210=1),(1-WEpa)*$AB210+WEpa*$AC210,$AB210))</f>
        <v>0</v>
      </c>
      <c r="AF210" s="2">
        <f>IF(AND($C210&lt;&gt;"",$E210=CurrentSeason,$F210="REG",ISNUMBER($G210),$G210&lt;CurrentWeek,AND($M210&lt;&gt;"",$N210&lt;&gt;"")),1,0)</f>
        <v>0</v>
      </c>
      <c r="AG210" s="2">
        <f>IF($AF210=0,0,IF($G210&gt;=CurrentWeek-RecencyWin,RecencyMult,1))</f>
        <v>0</v>
      </c>
      <c r="AH210" s="2">
        <f>IF(AND($C210&lt;&gt;"",$E210=CurrentSeason,$F210="REG",ISNUMBER($G210),$G210&lt;CurrentWeek-1,AND($M210&lt;&gt;"",$N210&lt;&gt;"")),1,0)</f>
        <v>0</v>
      </c>
      <c r="AI210" s="2">
        <f>IF($AH210=0,0,IF($G210&gt;=CurrentWeek-1-RecencyWin,RecencyMult,1))</f>
        <v>0</v>
      </c>
      <c r="AJ210" s="2">
        <f>IF($AF210=0,0,IF($G210&gt;=CurrentWeek-RecencyWin,TotRecency,1))</f>
        <v>0</v>
      </c>
      <c r="AK210" s="2">
        <f t="shared" si="9"/>
        <v>0</v>
      </c>
      <c r="AL210" s="2">
        <f t="shared" si="10"/>
        <v>0</v>
      </c>
      <c r="AM210" s="2" t="str">
        <f t="array" ref="AM210">IF($K210="",0,IFERROR(INDEX(CALC!$F$2:$F$33,MATCH($K210,CALC!$A$2:$A$33,0)),0))</f>
        <v/>
      </c>
      <c r="AN210" s="2" t="str">
        <f t="array" ref="AN210">IF($K210="",0,IFERROR(INDEX(CALC!$I$2:$I$33,MATCH($K210,CALC!$A$2:$A$33,0)),0))</f>
        <v/>
      </c>
      <c r="AO210" s="2" t="str">
        <f t="array" ref="AO210">IF($K210="",0,IFERROR(INDEX(CALC!$L$2:$L$33,MATCH($K210,CALC!$A$2:$A$33,0)),0))</f>
        <v/>
      </c>
      <c r="AP210" s="2" t="str">
        <f t="array" ref="AP210">IF($K210="",0,IFERROR(INDEX(CALC!$T$2:$T$33,MATCH($K210,CALC!$A$2:$A$33,0)),0))</f>
        <v/>
      </c>
      <c r="AQ210" s="2" t="str">
        <f t="array" ref="AQ210">IF($K210="",0,IFERROR(INDEX(CALC!$W$2:$W$33,MATCH($K210,CALC!$A$2:$A$33,0)),0))</f>
        <v/>
      </c>
      <c r="AR210" s="2" t="str">
        <f t="array" ref="AR210">IF($K210="",0,IFERROR(INDEX(CALC!$Z$2:$Z$33,MATCH($K210,CALC!$A$2:$A$33,0)),0))</f>
        <v/>
      </c>
      <c r="AS210" s="2" t="str">
        <f t="array" ref="AS210">IF($K210="",0,IFERROR(INDEX(CALC!$AJ$2:$AJ$33,MATCH($K210,CALC!$A$2:$A$33,0)),0))</f>
        <v/>
      </c>
      <c r="AT210" s="2" t="str">
        <f t="array" ref="AT210">IF($K210="",0,IFERROR(INDEX(CALC!$AI$2:$AI$33,MATCH($K210,CALC!$A$2:$A$33,0)),0))</f>
        <v/>
      </c>
      <c r="AU210" s="2">
        <f t="shared" si="11"/>
        <v>0</v>
      </c>
      <c r="AV210" s="2">
        <f t="shared" si="12"/>
        <v>0</v>
      </c>
    </row>
    <row r="211" ht="15.0" customHeight="1">
      <c r="A211" s="2">
        <v>105.0</v>
      </c>
      <c r="B211" s="2" t="s">
        <v>2365</v>
      </c>
      <c r="C211" s="2">
        <f>IFERROR(MATCH($A211,SchedSeq,0),"")</f>
        <v>390</v>
      </c>
      <c r="D211" s="2" t="str">
        <f t="array" ref="D211">IF($C211="","",INDEX(SchedZone,$C211,MAP!$B$6))</f>
        <v>2026_07_LA_LV</v>
      </c>
      <c r="E211" s="2">
        <f t="array" ref="E211">IF($C211="","",INDEX(SchedZone,$C211,MAP!$B$3))</f>
        <v>2026</v>
      </c>
      <c r="F211" s="2" t="str">
        <f t="array" ref="F211">IF($C211="","",INDEX(SchedZone,$C211,MAP!$B$5))</f>
        <v>REG</v>
      </c>
      <c r="G211" s="2">
        <f t="array" ref="G211">IF($C211="","",INDEX(SchedZone,$C211,MAP!$B$4))</f>
        <v>7</v>
      </c>
      <c r="H211" s="2" t="str">
        <f t="array" ref="H211">IF($C211="","",INDEX(SchedZone,$C211,MAP!$B$12))</f>
        <v>LV</v>
      </c>
      <c r="I211" s="2" t="str">
        <f t="array" ref="I211">IF($H211="","",IF(COUNTIF(Teams,$H211)&gt;0,$H211,IFERROR(INDEX(LISTS!$D$2:$D$12,MATCH($H211,LISTS!$C$2:$C$12,0)),"⚠ "&amp;$H211)))</f>
        <v>LV</v>
      </c>
      <c r="J211" s="2" t="str">
        <f t="array" ref="J211">IF($C211="","",INDEX(SchedZone,$C211,MAP!$B$10))</f>
        <v>LA</v>
      </c>
      <c r="K211" s="2" t="str">
        <f t="array" ref="K211">IF($J211="","",IF(COUNTIF(Teams,$J211)&gt;0,$J211,IFERROR(INDEX(LISTS!$D$2:$D$12,MATCH($J211,LISTS!$C$2:$C$12,0)),"⚠ "&amp;$J211)))</f>
        <v>LA</v>
      </c>
      <c r="L211" s="2" t="str">
        <f t="array" ref="L211">IF($C211="","",IF(INDEX(SchedZone,$C211,MAP!$B$14)="Neutral","N",IF($B211="HOME","H","A")))</f>
        <v>H</v>
      </c>
      <c r="M211" s="2" t="str">
        <f t="array" ref="M211">IF($C211="","",IF(INDEX(SchedZone,$C211,MAP!$B$13)="","",INDEX(SchedZone,$C211,MAP!$B$13)))</f>
        <v/>
      </c>
      <c r="N211" s="2" t="str">
        <f t="array" ref="N211">IF($C211="","",IF(INDEX(SchedZone,$C211,MAP!$B$11)="","",INDEX(SchedZone,$C211,MAP!$B$11)))</f>
        <v/>
      </c>
      <c r="O211" s="2">
        <f t="array" ref="O211">IF($C211="","",INDEX(SchedZone,$C211,MAP!$B$16))</f>
        <v>7</v>
      </c>
      <c r="P211" s="2" t="str">
        <f>IF($C211="","",IFERROR(MATCH($E211&amp;"|"&amp;$G211&amp;"|"&amp;$I211,StatsKey,0),""))</f>
        <v/>
      </c>
      <c r="Q211" s="2">
        <f t="array" ref="Q211">IF($P211="",0,INDEX(StatsZone,$P211,MAP!$E$9)+INDEX(StatsZone,$P211,MAP!$E$10)+INDEX(StatsZone,$P211,MAP!$E$11))</f>
        <v>0</v>
      </c>
      <c r="R211" s="2">
        <f t="array" ref="R211">IF($P211="",0,INDEX(StatsZone,$P211,MAP!$E$12))</f>
        <v>0</v>
      </c>
      <c r="S211" s="2">
        <f t="array" ref="S211">IF($P211="",0,INDEX(StatsZone,$P211,MAP!$E$13))</f>
        <v>0</v>
      </c>
      <c r="T211" s="2">
        <f t="shared" si="1"/>
        <v>0</v>
      </c>
      <c r="U211" s="2">
        <f t="array" ref="U211">IF($P211="",0,INDEX(StatsZone,$P211,MAP!$E$14)+INDEX(StatsZone,$P211,MAP!$E$15)+INDEX(StatsZone,$P211,MAP!$E$16))</f>
        <v>0</v>
      </c>
      <c r="V211" s="2">
        <f t="shared" si="2"/>
        <v>0</v>
      </c>
      <c r="W211" s="2">
        <f t="shared" si="3"/>
        <v>0</v>
      </c>
      <c r="X211" s="2">
        <f t="shared" si="4"/>
        <v>0</v>
      </c>
      <c r="Y211" s="2">
        <f t="shared" si="5"/>
        <v>0</v>
      </c>
      <c r="Z211" s="2">
        <f t="shared" si="6"/>
        <v>0</v>
      </c>
      <c r="AA211" s="2">
        <f t="shared" si="7"/>
        <v>1</v>
      </c>
      <c r="AB211" s="2">
        <f>IF(OR($M211="",$N211=""),0,MEDIAN(-MarginCap,MarginCap,($M211-$N211)-$AA211*HFA_Base))</f>
        <v>0</v>
      </c>
      <c r="AC211" s="2">
        <f t="array" ref="AC211">IF(OR($P211="",INDEX($P$3:$P$722,(ROW()+IF(MOD(ROW()-3,2)=0,1,-1))-3+1)=""),0,MEDIAN(-MarginCap,MarginCap,($T211-$W211)-$AA211*HFA_Base))</f>
        <v>0</v>
      </c>
      <c r="AD211" s="2">
        <f t="shared" si="8"/>
        <v>0</v>
      </c>
      <c r="AE211" s="2">
        <f>IF(OR($M211="",$N211=""),0,IF(AND(WEpa&gt;0,$AD211=1),(1-WEpa)*$AB211+WEpa*$AC211,$AB211))</f>
        <v>0</v>
      </c>
      <c r="AF211" s="2">
        <f>IF(AND($C211&lt;&gt;"",$E211=CurrentSeason,$F211="REG",ISNUMBER($G211),$G211&lt;CurrentWeek,AND($M211&lt;&gt;"",$N211&lt;&gt;"")),1,0)</f>
        <v>0</v>
      </c>
      <c r="AG211" s="2">
        <f>IF($AF211=0,0,IF($G211&gt;=CurrentWeek-RecencyWin,RecencyMult,1))</f>
        <v>0</v>
      </c>
      <c r="AH211" s="2">
        <f>IF(AND($C211&lt;&gt;"",$E211=CurrentSeason,$F211="REG",ISNUMBER($G211),$G211&lt;CurrentWeek-1,AND($M211&lt;&gt;"",$N211&lt;&gt;"")),1,0)</f>
        <v>0</v>
      </c>
      <c r="AI211" s="2">
        <f>IF($AH211=0,0,IF($G211&gt;=CurrentWeek-1-RecencyWin,RecencyMult,1))</f>
        <v>0</v>
      </c>
      <c r="AJ211" s="2">
        <f>IF($AF211=0,0,IF($G211&gt;=CurrentWeek-RecencyWin,TotRecency,1))</f>
        <v>0</v>
      </c>
      <c r="AK211" s="2">
        <f t="shared" si="9"/>
        <v>0</v>
      </c>
      <c r="AL211" s="2">
        <f t="shared" si="10"/>
        <v>0</v>
      </c>
      <c r="AM211" s="2" t="str">
        <f t="array" ref="AM211">IF($K211="",0,IFERROR(INDEX(CALC!$F$2:$F$33,MATCH($K211,CALC!$A$2:$A$33,0)),0))</f>
        <v/>
      </c>
      <c r="AN211" s="2" t="str">
        <f t="array" ref="AN211">IF($K211="",0,IFERROR(INDEX(CALC!$I$2:$I$33,MATCH($K211,CALC!$A$2:$A$33,0)),0))</f>
        <v/>
      </c>
      <c r="AO211" s="2" t="str">
        <f t="array" ref="AO211">IF($K211="",0,IFERROR(INDEX(CALC!$L$2:$L$33,MATCH($K211,CALC!$A$2:$A$33,0)),0))</f>
        <v/>
      </c>
      <c r="AP211" s="2" t="str">
        <f t="array" ref="AP211">IF($K211="",0,IFERROR(INDEX(CALC!$T$2:$T$33,MATCH($K211,CALC!$A$2:$A$33,0)),0))</f>
        <v/>
      </c>
      <c r="AQ211" s="2" t="str">
        <f t="array" ref="AQ211">IF($K211="",0,IFERROR(INDEX(CALC!$W$2:$W$33,MATCH($K211,CALC!$A$2:$A$33,0)),0))</f>
        <v/>
      </c>
      <c r="AR211" s="2" t="str">
        <f t="array" ref="AR211">IF($K211="",0,IFERROR(INDEX(CALC!$Z$2:$Z$33,MATCH($K211,CALC!$A$2:$A$33,0)),0))</f>
        <v/>
      </c>
      <c r="AS211" s="2" t="str">
        <f t="array" ref="AS211">IF($K211="",0,IFERROR(INDEX(CALC!$AJ$2:$AJ$33,MATCH($K211,CALC!$A$2:$A$33,0)),0))</f>
        <v/>
      </c>
      <c r="AT211" s="2" t="str">
        <f t="array" ref="AT211">IF($K211="",0,IFERROR(INDEX(CALC!$AI$2:$AI$33,MATCH($K211,CALC!$A$2:$A$33,0)),0))</f>
        <v/>
      </c>
      <c r="AU211" s="2">
        <f t="shared" si="11"/>
        <v>0</v>
      </c>
      <c r="AV211" s="2">
        <f t="shared" si="12"/>
        <v>0</v>
      </c>
    </row>
    <row r="212" ht="15.0" customHeight="1">
      <c r="A212" s="2">
        <v>105.0</v>
      </c>
      <c r="B212" s="2" t="s">
        <v>2366</v>
      </c>
      <c r="C212" s="2">
        <f>IFERROR(MATCH($A212,SchedSeq,0),"")</f>
        <v>390</v>
      </c>
      <c r="D212" s="2" t="str">
        <f t="array" ref="D212">IF($C212="","",INDEX(SchedZone,$C212,MAP!$B$6))</f>
        <v>2026_07_LA_LV</v>
      </c>
      <c r="E212" s="2">
        <f t="array" ref="E212">IF($C212="","",INDEX(SchedZone,$C212,MAP!$B$3))</f>
        <v>2026</v>
      </c>
      <c r="F212" s="2" t="str">
        <f t="array" ref="F212">IF($C212="","",INDEX(SchedZone,$C212,MAP!$B$5))</f>
        <v>REG</v>
      </c>
      <c r="G212" s="2">
        <f t="array" ref="G212">IF($C212="","",INDEX(SchedZone,$C212,MAP!$B$4))</f>
        <v>7</v>
      </c>
      <c r="H212" s="2" t="str">
        <f t="array" ref="H212">IF($C212="","",INDEX(SchedZone,$C212,MAP!$B$10))</f>
        <v>LA</v>
      </c>
      <c r="I212" s="2" t="str">
        <f t="array" ref="I212">IF($H212="","",IF(COUNTIF(Teams,$H212)&gt;0,$H212,IFERROR(INDEX(LISTS!$D$2:$D$12,MATCH($H212,LISTS!$C$2:$C$12,0)),"⚠ "&amp;$H212)))</f>
        <v>LA</v>
      </c>
      <c r="J212" s="2" t="str">
        <f t="array" ref="J212">IF($C212="","",INDEX(SchedZone,$C212,MAP!$B$12))</f>
        <v>LV</v>
      </c>
      <c r="K212" s="2" t="str">
        <f t="array" ref="K212">IF($J212="","",IF(COUNTIF(Teams,$J212)&gt;0,$J212,IFERROR(INDEX(LISTS!$D$2:$D$12,MATCH($J212,LISTS!$C$2:$C$12,0)),"⚠ "&amp;$J212)))</f>
        <v>LV</v>
      </c>
      <c r="L212" s="2" t="str">
        <f t="array" ref="L212">IF($C212="","",IF(INDEX(SchedZone,$C212,MAP!$B$14)="Neutral","N",IF($B212="HOME","H","A")))</f>
        <v>A</v>
      </c>
      <c r="M212" s="2" t="str">
        <f t="array" ref="M212">IF($C212="","",IF(INDEX(SchedZone,$C212,MAP!$B$11)="","",INDEX(SchedZone,$C212,MAP!$B$11)))</f>
        <v/>
      </c>
      <c r="N212" s="2" t="str">
        <f t="array" ref="N212">IF($C212="","",IF(INDEX(SchedZone,$C212,MAP!$B$13)="","",INDEX(SchedZone,$C212,MAP!$B$13)))</f>
        <v/>
      </c>
      <c r="O212" s="2">
        <f t="array" ref="O212">IF($C212="","",INDEX(SchedZone,$C212,MAP!$B$15))</f>
        <v>7</v>
      </c>
      <c r="P212" s="2" t="str">
        <f>IF($C212="","",IFERROR(MATCH($E212&amp;"|"&amp;$G212&amp;"|"&amp;$I212,StatsKey,0),""))</f>
        <v/>
      </c>
      <c r="Q212" s="2">
        <f t="array" ref="Q212">IF($P212="",0,INDEX(StatsZone,$P212,MAP!$E$9)+INDEX(StatsZone,$P212,MAP!$E$10)+INDEX(StatsZone,$P212,MAP!$E$11))</f>
        <v>0</v>
      </c>
      <c r="R212" s="2">
        <f t="array" ref="R212">IF($P212="",0,INDEX(StatsZone,$P212,MAP!$E$12))</f>
        <v>0</v>
      </c>
      <c r="S212" s="2">
        <f t="array" ref="S212">IF($P212="",0,INDEX(StatsZone,$P212,MAP!$E$13))</f>
        <v>0</v>
      </c>
      <c r="T212" s="2">
        <f t="shared" si="1"/>
        <v>0</v>
      </c>
      <c r="U212" s="2">
        <f t="array" ref="U212">IF($P212="",0,INDEX(StatsZone,$P212,MAP!$E$14)+INDEX(StatsZone,$P212,MAP!$E$15)+INDEX(StatsZone,$P212,MAP!$E$16))</f>
        <v>0</v>
      </c>
      <c r="V212" s="2">
        <f t="shared" si="2"/>
        <v>0</v>
      </c>
      <c r="W212" s="2">
        <f t="shared" si="3"/>
        <v>0</v>
      </c>
      <c r="X212" s="2">
        <f t="shared" si="4"/>
        <v>0</v>
      </c>
      <c r="Y212" s="2">
        <f t="shared" si="5"/>
        <v>0</v>
      </c>
      <c r="Z212" s="2">
        <f t="shared" si="6"/>
        <v>0</v>
      </c>
      <c r="AA212" s="2">
        <f t="shared" si="7"/>
        <v>-1</v>
      </c>
      <c r="AB212" s="2">
        <f>IF(OR($M212="",$N212=""),0,MEDIAN(-MarginCap,MarginCap,($M212-$N212)-$AA212*HFA_Base))</f>
        <v>0</v>
      </c>
      <c r="AC212" s="2">
        <f t="array" ref="AC212">IF(OR($P212="",INDEX($P$3:$P$722,(ROW()+IF(MOD(ROW()-3,2)=0,1,-1))-3+1)=""),0,MEDIAN(-MarginCap,MarginCap,($T212-$W212)-$AA212*HFA_Base))</f>
        <v>0</v>
      </c>
      <c r="AD212" s="2">
        <f t="shared" si="8"/>
        <v>0</v>
      </c>
      <c r="AE212" s="2">
        <f>IF(OR($M212="",$N212=""),0,IF(AND(WEpa&gt;0,$AD212=1),(1-WEpa)*$AB212+WEpa*$AC212,$AB212))</f>
        <v>0</v>
      </c>
      <c r="AF212" s="2">
        <f>IF(AND($C212&lt;&gt;"",$E212=CurrentSeason,$F212="REG",ISNUMBER($G212),$G212&lt;CurrentWeek,AND($M212&lt;&gt;"",$N212&lt;&gt;"")),1,0)</f>
        <v>0</v>
      </c>
      <c r="AG212" s="2">
        <f>IF($AF212=0,0,IF($G212&gt;=CurrentWeek-RecencyWin,RecencyMult,1))</f>
        <v>0</v>
      </c>
      <c r="AH212" s="2">
        <f>IF(AND($C212&lt;&gt;"",$E212=CurrentSeason,$F212="REG",ISNUMBER($G212),$G212&lt;CurrentWeek-1,AND($M212&lt;&gt;"",$N212&lt;&gt;"")),1,0)</f>
        <v>0</v>
      </c>
      <c r="AI212" s="2">
        <f>IF($AH212=0,0,IF($G212&gt;=CurrentWeek-1-RecencyWin,RecencyMult,1))</f>
        <v>0</v>
      </c>
      <c r="AJ212" s="2">
        <f>IF($AF212=0,0,IF($G212&gt;=CurrentWeek-RecencyWin,TotRecency,1))</f>
        <v>0</v>
      </c>
      <c r="AK212" s="2">
        <f t="shared" si="9"/>
        <v>0</v>
      </c>
      <c r="AL212" s="2">
        <f t="shared" si="10"/>
        <v>0</v>
      </c>
      <c r="AM212" s="2" t="str">
        <f t="array" ref="AM212">IF($K212="",0,IFERROR(INDEX(CALC!$F$2:$F$33,MATCH($K212,CALC!$A$2:$A$33,0)),0))</f>
        <v/>
      </c>
      <c r="AN212" s="2" t="str">
        <f t="array" ref="AN212">IF($K212="",0,IFERROR(INDEX(CALC!$I$2:$I$33,MATCH($K212,CALC!$A$2:$A$33,0)),0))</f>
        <v/>
      </c>
      <c r="AO212" s="2" t="str">
        <f t="array" ref="AO212">IF($K212="",0,IFERROR(INDEX(CALC!$L$2:$L$33,MATCH($K212,CALC!$A$2:$A$33,0)),0))</f>
        <v/>
      </c>
      <c r="AP212" s="2" t="str">
        <f t="array" ref="AP212">IF($K212="",0,IFERROR(INDEX(CALC!$T$2:$T$33,MATCH($K212,CALC!$A$2:$A$33,0)),0))</f>
        <v/>
      </c>
      <c r="AQ212" s="2" t="str">
        <f t="array" ref="AQ212">IF($K212="",0,IFERROR(INDEX(CALC!$W$2:$W$33,MATCH($K212,CALC!$A$2:$A$33,0)),0))</f>
        <v/>
      </c>
      <c r="AR212" s="2" t="str">
        <f t="array" ref="AR212">IF($K212="",0,IFERROR(INDEX(CALC!$Z$2:$Z$33,MATCH($K212,CALC!$A$2:$A$33,0)),0))</f>
        <v/>
      </c>
      <c r="AS212" s="2" t="str">
        <f t="array" ref="AS212">IF($K212="",0,IFERROR(INDEX(CALC!$AJ$2:$AJ$33,MATCH($K212,CALC!$A$2:$A$33,0)),0))</f>
        <v/>
      </c>
      <c r="AT212" s="2" t="str">
        <f t="array" ref="AT212">IF($K212="",0,IFERROR(INDEX(CALC!$AI$2:$AI$33,MATCH($K212,CALC!$A$2:$A$33,0)),0))</f>
        <v/>
      </c>
      <c r="AU212" s="2">
        <f t="shared" si="11"/>
        <v>0</v>
      </c>
      <c r="AV212" s="2">
        <f t="shared" si="12"/>
        <v>0</v>
      </c>
    </row>
    <row r="213" ht="15.0" customHeight="1">
      <c r="A213" s="2">
        <v>106.0</v>
      </c>
      <c r="B213" s="2" t="s">
        <v>2365</v>
      </c>
      <c r="C213" s="2">
        <f>IFERROR(MATCH($A213,SchedSeq,0),"")</f>
        <v>391</v>
      </c>
      <c r="D213" s="2" t="str">
        <f t="array" ref="D213">IF($C213="","",INDEX(SchedZone,$C213,MAP!$B$6))</f>
        <v>2026_07_KC_SEA</v>
      </c>
      <c r="E213" s="2">
        <f t="array" ref="E213">IF($C213="","",INDEX(SchedZone,$C213,MAP!$B$3))</f>
        <v>2026</v>
      </c>
      <c r="F213" s="2" t="str">
        <f t="array" ref="F213">IF($C213="","",INDEX(SchedZone,$C213,MAP!$B$5))</f>
        <v>REG</v>
      </c>
      <c r="G213" s="2">
        <f t="array" ref="G213">IF($C213="","",INDEX(SchedZone,$C213,MAP!$B$4))</f>
        <v>7</v>
      </c>
      <c r="H213" s="2" t="str">
        <f t="array" ref="H213">IF($C213="","",INDEX(SchedZone,$C213,MAP!$B$12))</f>
        <v>SEA</v>
      </c>
      <c r="I213" s="2" t="str">
        <f t="array" ref="I213">IF($H213="","",IF(COUNTIF(Teams,$H213)&gt;0,$H213,IFERROR(INDEX(LISTS!$D$2:$D$12,MATCH($H213,LISTS!$C$2:$C$12,0)),"⚠ "&amp;$H213)))</f>
        <v>SEA</v>
      </c>
      <c r="J213" s="2" t="str">
        <f t="array" ref="J213">IF($C213="","",INDEX(SchedZone,$C213,MAP!$B$10))</f>
        <v>KC</v>
      </c>
      <c r="K213" s="2" t="str">
        <f t="array" ref="K213">IF($J213="","",IF(COUNTIF(Teams,$J213)&gt;0,$J213,IFERROR(INDEX(LISTS!$D$2:$D$12,MATCH($J213,LISTS!$C$2:$C$12,0)),"⚠ "&amp;$J213)))</f>
        <v>KC</v>
      </c>
      <c r="L213" s="2" t="str">
        <f t="array" ref="L213">IF($C213="","",IF(INDEX(SchedZone,$C213,MAP!$B$14)="Neutral","N",IF($B213="HOME","H","A")))</f>
        <v>H</v>
      </c>
      <c r="M213" s="2" t="str">
        <f t="array" ref="M213">IF($C213="","",IF(INDEX(SchedZone,$C213,MAP!$B$13)="","",INDEX(SchedZone,$C213,MAP!$B$13)))</f>
        <v/>
      </c>
      <c r="N213" s="2" t="str">
        <f t="array" ref="N213">IF($C213="","",IF(INDEX(SchedZone,$C213,MAP!$B$11)="","",INDEX(SchedZone,$C213,MAP!$B$11)))</f>
        <v/>
      </c>
      <c r="O213" s="2">
        <f t="array" ref="O213">IF($C213="","",INDEX(SchedZone,$C213,MAP!$B$16))</f>
        <v>10</v>
      </c>
      <c r="P213" s="2" t="str">
        <f>IF($C213="","",IFERROR(MATCH($E213&amp;"|"&amp;$G213&amp;"|"&amp;$I213,StatsKey,0),""))</f>
        <v/>
      </c>
      <c r="Q213" s="2">
        <f t="array" ref="Q213">IF($P213="",0,INDEX(StatsZone,$P213,MAP!$E$9)+INDEX(StatsZone,$P213,MAP!$E$10)+INDEX(StatsZone,$P213,MAP!$E$11))</f>
        <v>0</v>
      </c>
      <c r="R213" s="2">
        <f t="array" ref="R213">IF($P213="",0,INDEX(StatsZone,$P213,MAP!$E$12))</f>
        <v>0</v>
      </c>
      <c r="S213" s="2">
        <f t="array" ref="S213">IF($P213="",0,INDEX(StatsZone,$P213,MAP!$E$13))</f>
        <v>0</v>
      </c>
      <c r="T213" s="2">
        <f t="shared" si="1"/>
        <v>0</v>
      </c>
      <c r="U213" s="2">
        <f t="array" ref="U213">IF($P213="",0,INDEX(StatsZone,$P213,MAP!$E$14)+INDEX(StatsZone,$P213,MAP!$E$15)+INDEX(StatsZone,$P213,MAP!$E$16))</f>
        <v>0</v>
      </c>
      <c r="V213" s="2">
        <f t="shared" si="2"/>
        <v>0</v>
      </c>
      <c r="W213" s="2">
        <f t="shared" si="3"/>
        <v>0</v>
      </c>
      <c r="X213" s="2">
        <f t="shared" si="4"/>
        <v>0</v>
      </c>
      <c r="Y213" s="2">
        <f t="shared" si="5"/>
        <v>0</v>
      </c>
      <c r="Z213" s="2">
        <f t="shared" si="6"/>
        <v>0</v>
      </c>
      <c r="AA213" s="2">
        <f t="shared" si="7"/>
        <v>1</v>
      </c>
      <c r="AB213" s="2">
        <f>IF(OR($M213="",$N213=""),0,MEDIAN(-MarginCap,MarginCap,($M213-$N213)-$AA213*HFA_Base))</f>
        <v>0</v>
      </c>
      <c r="AC213" s="2">
        <f t="array" ref="AC213">IF(OR($P213="",INDEX($P$3:$P$722,(ROW()+IF(MOD(ROW()-3,2)=0,1,-1))-3+1)=""),0,MEDIAN(-MarginCap,MarginCap,($T213-$W213)-$AA213*HFA_Base))</f>
        <v>0</v>
      </c>
      <c r="AD213" s="2">
        <f t="shared" si="8"/>
        <v>0</v>
      </c>
      <c r="AE213" s="2">
        <f>IF(OR($M213="",$N213=""),0,IF(AND(WEpa&gt;0,$AD213=1),(1-WEpa)*$AB213+WEpa*$AC213,$AB213))</f>
        <v>0</v>
      </c>
      <c r="AF213" s="2">
        <f>IF(AND($C213&lt;&gt;"",$E213=CurrentSeason,$F213="REG",ISNUMBER($G213),$G213&lt;CurrentWeek,AND($M213&lt;&gt;"",$N213&lt;&gt;"")),1,0)</f>
        <v>0</v>
      </c>
      <c r="AG213" s="2">
        <f>IF($AF213=0,0,IF($G213&gt;=CurrentWeek-RecencyWin,RecencyMult,1))</f>
        <v>0</v>
      </c>
      <c r="AH213" s="2">
        <f>IF(AND($C213&lt;&gt;"",$E213=CurrentSeason,$F213="REG",ISNUMBER($G213),$G213&lt;CurrentWeek-1,AND($M213&lt;&gt;"",$N213&lt;&gt;"")),1,0)</f>
        <v>0</v>
      </c>
      <c r="AI213" s="2">
        <f>IF($AH213=0,0,IF($G213&gt;=CurrentWeek-1-RecencyWin,RecencyMult,1))</f>
        <v>0</v>
      </c>
      <c r="AJ213" s="2">
        <f>IF($AF213=0,0,IF($G213&gt;=CurrentWeek-RecencyWin,TotRecency,1))</f>
        <v>0</v>
      </c>
      <c r="AK213" s="2">
        <f t="shared" si="9"/>
        <v>0</v>
      </c>
      <c r="AL213" s="2">
        <f t="shared" si="10"/>
        <v>0</v>
      </c>
      <c r="AM213" s="2" t="str">
        <f t="array" ref="AM213">IF($K213="",0,IFERROR(INDEX(CALC!$F$2:$F$33,MATCH($K213,CALC!$A$2:$A$33,0)),0))</f>
        <v/>
      </c>
      <c r="AN213" s="2" t="str">
        <f t="array" ref="AN213">IF($K213="",0,IFERROR(INDEX(CALC!$I$2:$I$33,MATCH($K213,CALC!$A$2:$A$33,0)),0))</f>
        <v/>
      </c>
      <c r="AO213" s="2" t="str">
        <f t="array" ref="AO213">IF($K213="",0,IFERROR(INDEX(CALC!$L$2:$L$33,MATCH($K213,CALC!$A$2:$A$33,0)),0))</f>
        <v/>
      </c>
      <c r="AP213" s="2" t="str">
        <f t="array" ref="AP213">IF($K213="",0,IFERROR(INDEX(CALC!$T$2:$T$33,MATCH($K213,CALC!$A$2:$A$33,0)),0))</f>
        <v/>
      </c>
      <c r="AQ213" s="2" t="str">
        <f t="array" ref="AQ213">IF($K213="",0,IFERROR(INDEX(CALC!$W$2:$W$33,MATCH($K213,CALC!$A$2:$A$33,0)),0))</f>
        <v/>
      </c>
      <c r="AR213" s="2" t="str">
        <f t="array" ref="AR213">IF($K213="",0,IFERROR(INDEX(CALC!$Z$2:$Z$33,MATCH($K213,CALC!$A$2:$A$33,0)),0))</f>
        <v/>
      </c>
      <c r="AS213" s="2" t="str">
        <f t="array" ref="AS213">IF($K213="",0,IFERROR(INDEX(CALC!$AJ$2:$AJ$33,MATCH($K213,CALC!$A$2:$A$33,0)),0))</f>
        <v/>
      </c>
      <c r="AT213" s="2" t="str">
        <f t="array" ref="AT213">IF($K213="",0,IFERROR(INDEX(CALC!$AI$2:$AI$33,MATCH($K213,CALC!$A$2:$A$33,0)),0))</f>
        <v/>
      </c>
      <c r="AU213" s="2">
        <f t="shared" si="11"/>
        <v>0</v>
      </c>
      <c r="AV213" s="2">
        <f t="shared" si="12"/>
        <v>0</v>
      </c>
    </row>
    <row r="214" ht="15.0" customHeight="1">
      <c r="A214" s="2">
        <v>106.0</v>
      </c>
      <c r="B214" s="2" t="s">
        <v>2366</v>
      </c>
      <c r="C214" s="2">
        <f>IFERROR(MATCH($A214,SchedSeq,0),"")</f>
        <v>391</v>
      </c>
      <c r="D214" s="2" t="str">
        <f t="array" ref="D214">IF($C214="","",INDEX(SchedZone,$C214,MAP!$B$6))</f>
        <v>2026_07_KC_SEA</v>
      </c>
      <c r="E214" s="2">
        <f t="array" ref="E214">IF($C214="","",INDEX(SchedZone,$C214,MAP!$B$3))</f>
        <v>2026</v>
      </c>
      <c r="F214" s="2" t="str">
        <f t="array" ref="F214">IF($C214="","",INDEX(SchedZone,$C214,MAP!$B$5))</f>
        <v>REG</v>
      </c>
      <c r="G214" s="2">
        <f t="array" ref="G214">IF($C214="","",INDEX(SchedZone,$C214,MAP!$B$4))</f>
        <v>7</v>
      </c>
      <c r="H214" s="2" t="str">
        <f t="array" ref="H214">IF($C214="","",INDEX(SchedZone,$C214,MAP!$B$10))</f>
        <v>KC</v>
      </c>
      <c r="I214" s="2" t="str">
        <f t="array" ref="I214">IF($H214="","",IF(COUNTIF(Teams,$H214)&gt;0,$H214,IFERROR(INDEX(LISTS!$D$2:$D$12,MATCH($H214,LISTS!$C$2:$C$12,0)),"⚠ "&amp;$H214)))</f>
        <v>KC</v>
      </c>
      <c r="J214" s="2" t="str">
        <f t="array" ref="J214">IF($C214="","",INDEX(SchedZone,$C214,MAP!$B$12))</f>
        <v>SEA</v>
      </c>
      <c r="K214" s="2" t="str">
        <f t="array" ref="K214">IF($J214="","",IF(COUNTIF(Teams,$J214)&gt;0,$J214,IFERROR(INDEX(LISTS!$D$2:$D$12,MATCH($J214,LISTS!$C$2:$C$12,0)),"⚠ "&amp;$J214)))</f>
        <v>SEA</v>
      </c>
      <c r="L214" s="2" t="str">
        <f t="array" ref="L214">IF($C214="","",IF(INDEX(SchedZone,$C214,MAP!$B$14)="Neutral","N",IF($B214="HOME","H","A")))</f>
        <v>A</v>
      </c>
      <c r="M214" s="2" t="str">
        <f t="array" ref="M214">IF($C214="","",IF(INDEX(SchedZone,$C214,MAP!$B$11)="","",INDEX(SchedZone,$C214,MAP!$B$11)))</f>
        <v/>
      </c>
      <c r="N214" s="2" t="str">
        <f t="array" ref="N214">IF($C214="","",IF(INDEX(SchedZone,$C214,MAP!$B$13)="","",INDEX(SchedZone,$C214,MAP!$B$13)))</f>
        <v/>
      </c>
      <c r="O214" s="2">
        <f t="array" ref="O214">IF($C214="","",INDEX(SchedZone,$C214,MAP!$B$15))</f>
        <v>7</v>
      </c>
      <c r="P214" s="2" t="str">
        <f>IF($C214="","",IFERROR(MATCH($E214&amp;"|"&amp;$G214&amp;"|"&amp;$I214,StatsKey,0),""))</f>
        <v/>
      </c>
      <c r="Q214" s="2">
        <f t="array" ref="Q214">IF($P214="",0,INDEX(StatsZone,$P214,MAP!$E$9)+INDEX(StatsZone,$P214,MAP!$E$10)+INDEX(StatsZone,$P214,MAP!$E$11))</f>
        <v>0</v>
      </c>
      <c r="R214" s="2">
        <f t="array" ref="R214">IF($P214="",0,INDEX(StatsZone,$P214,MAP!$E$12))</f>
        <v>0</v>
      </c>
      <c r="S214" s="2">
        <f t="array" ref="S214">IF($P214="",0,INDEX(StatsZone,$P214,MAP!$E$13))</f>
        <v>0</v>
      </c>
      <c r="T214" s="2">
        <f t="shared" si="1"/>
        <v>0</v>
      </c>
      <c r="U214" s="2">
        <f t="array" ref="U214">IF($P214="",0,INDEX(StatsZone,$P214,MAP!$E$14)+INDEX(StatsZone,$P214,MAP!$E$15)+INDEX(StatsZone,$P214,MAP!$E$16))</f>
        <v>0</v>
      </c>
      <c r="V214" s="2">
        <f t="shared" si="2"/>
        <v>0</v>
      </c>
      <c r="W214" s="2">
        <f t="shared" si="3"/>
        <v>0</v>
      </c>
      <c r="X214" s="2">
        <f t="shared" si="4"/>
        <v>0</v>
      </c>
      <c r="Y214" s="2">
        <f t="shared" si="5"/>
        <v>0</v>
      </c>
      <c r="Z214" s="2">
        <f t="shared" si="6"/>
        <v>0</v>
      </c>
      <c r="AA214" s="2">
        <f t="shared" si="7"/>
        <v>-1</v>
      </c>
      <c r="AB214" s="2">
        <f>IF(OR($M214="",$N214=""),0,MEDIAN(-MarginCap,MarginCap,($M214-$N214)-$AA214*HFA_Base))</f>
        <v>0</v>
      </c>
      <c r="AC214" s="2">
        <f t="array" ref="AC214">IF(OR($P214="",INDEX($P$3:$P$722,(ROW()+IF(MOD(ROW()-3,2)=0,1,-1))-3+1)=""),0,MEDIAN(-MarginCap,MarginCap,($T214-$W214)-$AA214*HFA_Base))</f>
        <v>0</v>
      </c>
      <c r="AD214" s="2">
        <f t="shared" si="8"/>
        <v>0</v>
      </c>
      <c r="AE214" s="2">
        <f>IF(OR($M214="",$N214=""),0,IF(AND(WEpa&gt;0,$AD214=1),(1-WEpa)*$AB214+WEpa*$AC214,$AB214))</f>
        <v>0</v>
      </c>
      <c r="AF214" s="2">
        <f>IF(AND($C214&lt;&gt;"",$E214=CurrentSeason,$F214="REG",ISNUMBER($G214),$G214&lt;CurrentWeek,AND($M214&lt;&gt;"",$N214&lt;&gt;"")),1,0)</f>
        <v>0</v>
      </c>
      <c r="AG214" s="2">
        <f>IF($AF214=0,0,IF($G214&gt;=CurrentWeek-RecencyWin,RecencyMult,1))</f>
        <v>0</v>
      </c>
      <c r="AH214" s="2">
        <f>IF(AND($C214&lt;&gt;"",$E214=CurrentSeason,$F214="REG",ISNUMBER($G214),$G214&lt;CurrentWeek-1,AND($M214&lt;&gt;"",$N214&lt;&gt;"")),1,0)</f>
        <v>0</v>
      </c>
      <c r="AI214" s="2">
        <f>IF($AH214=0,0,IF($G214&gt;=CurrentWeek-1-RecencyWin,RecencyMult,1))</f>
        <v>0</v>
      </c>
      <c r="AJ214" s="2">
        <f>IF($AF214=0,0,IF($G214&gt;=CurrentWeek-RecencyWin,TotRecency,1))</f>
        <v>0</v>
      </c>
      <c r="AK214" s="2">
        <f t="shared" si="9"/>
        <v>0</v>
      </c>
      <c r="AL214" s="2">
        <f t="shared" si="10"/>
        <v>0</v>
      </c>
      <c r="AM214" s="2" t="str">
        <f t="array" ref="AM214">IF($K214="",0,IFERROR(INDEX(CALC!$F$2:$F$33,MATCH($K214,CALC!$A$2:$A$33,0)),0))</f>
        <v/>
      </c>
      <c r="AN214" s="2" t="str">
        <f t="array" ref="AN214">IF($K214="",0,IFERROR(INDEX(CALC!$I$2:$I$33,MATCH($K214,CALC!$A$2:$A$33,0)),0))</f>
        <v/>
      </c>
      <c r="AO214" s="2" t="str">
        <f t="array" ref="AO214">IF($K214="",0,IFERROR(INDEX(CALC!$L$2:$L$33,MATCH($K214,CALC!$A$2:$A$33,0)),0))</f>
        <v/>
      </c>
      <c r="AP214" s="2" t="str">
        <f t="array" ref="AP214">IF($K214="",0,IFERROR(INDEX(CALC!$T$2:$T$33,MATCH($K214,CALC!$A$2:$A$33,0)),0))</f>
        <v/>
      </c>
      <c r="AQ214" s="2" t="str">
        <f t="array" ref="AQ214">IF($K214="",0,IFERROR(INDEX(CALC!$W$2:$W$33,MATCH($K214,CALC!$A$2:$A$33,0)),0))</f>
        <v/>
      </c>
      <c r="AR214" s="2" t="str">
        <f t="array" ref="AR214">IF($K214="",0,IFERROR(INDEX(CALC!$Z$2:$Z$33,MATCH($K214,CALC!$A$2:$A$33,0)),0))</f>
        <v/>
      </c>
      <c r="AS214" s="2" t="str">
        <f t="array" ref="AS214">IF($K214="",0,IFERROR(INDEX(CALC!$AJ$2:$AJ$33,MATCH($K214,CALC!$A$2:$A$33,0)),0))</f>
        <v/>
      </c>
      <c r="AT214" s="2" t="str">
        <f t="array" ref="AT214">IF($K214="",0,IFERROR(INDEX(CALC!$AI$2:$AI$33,MATCH($K214,CALC!$A$2:$A$33,0)),0))</f>
        <v/>
      </c>
      <c r="AU214" s="2">
        <f t="shared" si="11"/>
        <v>0</v>
      </c>
      <c r="AV214" s="2">
        <f t="shared" si="12"/>
        <v>0</v>
      </c>
    </row>
    <row r="215" ht="15.0" customHeight="1">
      <c r="A215" s="2">
        <v>107.0</v>
      </c>
      <c r="B215" s="2" t="s">
        <v>2365</v>
      </c>
      <c r="C215" s="2">
        <f>IFERROR(MATCH($A215,SchedSeq,0),"")</f>
        <v>392</v>
      </c>
      <c r="D215" s="2" t="str">
        <f t="array" ref="D215">IF($C215="","",INDEX(SchedZone,$C215,MAP!$B$6))</f>
        <v>2026_07_DAL_PHI</v>
      </c>
      <c r="E215" s="2">
        <f t="array" ref="E215">IF($C215="","",INDEX(SchedZone,$C215,MAP!$B$3))</f>
        <v>2026</v>
      </c>
      <c r="F215" s="2" t="str">
        <f t="array" ref="F215">IF($C215="","",INDEX(SchedZone,$C215,MAP!$B$5))</f>
        <v>REG</v>
      </c>
      <c r="G215" s="2">
        <f t="array" ref="G215">IF($C215="","",INDEX(SchedZone,$C215,MAP!$B$4))</f>
        <v>7</v>
      </c>
      <c r="H215" s="2" t="str">
        <f t="array" ref="H215">IF($C215="","",INDEX(SchedZone,$C215,MAP!$B$12))</f>
        <v>PHI</v>
      </c>
      <c r="I215" s="2" t="str">
        <f t="array" ref="I215">IF($H215="","",IF(COUNTIF(Teams,$H215)&gt;0,$H215,IFERROR(INDEX(LISTS!$D$2:$D$12,MATCH($H215,LISTS!$C$2:$C$12,0)),"⚠ "&amp;$H215)))</f>
        <v>PHI</v>
      </c>
      <c r="J215" s="2" t="str">
        <f t="array" ref="J215">IF($C215="","",INDEX(SchedZone,$C215,MAP!$B$10))</f>
        <v>DAL</v>
      </c>
      <c r="K215" s="2" t="str">
        <f t="array" ref="K215">IF($J215="","",IF(COUNTIF(Teams,$J215)&gt;0,$J215,IFERROR(INDEX(LISTS!$D$2:$D$12,MATCH($J215,LISTS!$C$2:$C$12,0)),"⚠ "&amp;$J215)))</f>
        <v>DAL</v>
      </c>
      <c r="L215" s="2" t="str">
        <f t="array" ref="L215">IF($C215="","",IF(INDEX(SchedZone,$C215,MAP!$B$14)="Neutral","N",IF($B215="HOME","H","A")))</f>
        <v>H</v>
      </c>
      <c r="M215" s="2" t="str">
        <f t="array" ref="M215">IF($C215="","",IF(INDEX(SchedZone,$C215,MAP!$B$13)="","",INDEX(SchedZone,$C215,MAP!$B$13)))</f>
        <v/>
      </c>
      <c r="N215" s="2" t="str">
        <f t="array" ref="N215">IF($C215="","",IF(INDEX(SchedZone,$C215,MAP!$B$11)="","",INDEX(SchedZone,$C215,MAP!$B$11)))</f>
        <v/>
      </c>
      <c r="O215" s="2">
        <f t="array" ref="O215">IF($C215="","",INDEX(SchedZone,$C215,MAP!$B$16))</f>
        <v>8</v>
      </c>
      <c r="P215" s="2" t="str">
        <f>IF($C215="","",IFERROR(MATCH($E215&amp;"|"&amp;$G215&amp;"|"&amp;$I215,StatsKey,0),""))</f>
        <v/>
      </c>
      <c r="Q215" s="2">
        <f t="array" ref="Q215">IF($P215="",0,INDEX(StatsZone,$P215,MAP!$E$9)+INDEX(StatsZone,$P215,MAP!$E$10)+INDEX(StatsZone,$P215,MAP!$E$11))</f>
        <v>0</v>
      </c>
      <c r="R215" s="2">
        <f t="array" ref="R215">IF($P215="",0,INDEX(StatsZone,$P215,MAP!$E$12))</f>
        <v>0</v>
      </c>
      <c r="S215" s="2">
        <f t="array" ref="S215">IF($P215="",0,INDEX(StatsZone,$P215,MAP!$E$13))</f>
        <v>0</v>
      </c>
      <c r="T215" s="2">
        <f t="shared" si="1"/>
        <v>0</v>
      </c>
      <c r="U215" s="2">
        <f t="array" ref="U215">IF($P215="",0,INDEX(StatsZone,$P215,MAP!$E$14)+INDEX(StatsZone,$P215,MAP!$E$15)+INDEX(StatsZone,$P215,MAP!$E$16))</f>
        <v>0</v>
      </c>
      <c r="V215" s="2">
        <f t="shared" si="2"/>
        <v>0</v>
      </c>
      <c r="W215" s="2">
        <f t="shared" si="3"/>
        <v>0</v>
      </c>
      <c r="X215" s="2">
        <f t="shared" si="4"/>
        <v>0</v>
      </c>
      <c r="Y215" s="2">
        <f t="shared" si="5"/>
        <v>0</v>
      </c>
      <c r="Z215" s="2">
        <f t="shared" si="6"/>
        <v>0</v>
      </c>
      <c r="AA215" s="2">
        <f t="shared" si="7"/>
        <v>1</v>
      </c>
      <c r="AB215" s="2">
        <f>IF(OR($M215="",$N215=""),0,MEDIAN(-MarginCap,MarginCap,($M215-$N215)-$AA215*HFA_Base))</f>
        <v>0</v>
      </c>
      <c r="AC215" s="2">
        <f t="array" ref="AC215">IF(OR($P215="",INDEX($P$3:$P$722,(ROW()+IF(MOD(ROW()-3,2)=0,1,-1))-3+1)=""),0,MEDIAN(-MarginCap,MarginCap,($T215-$W215)-$AA215*HFA_Base))</f>
        <v>0</v>
      </c>
      <c r="AD215" s="2">
        <f t="shared" si="8"/>
        <v>0</v>
      </c>
      <c r="AE215" s="2">
        <f>IF(OR($M215="",$N215=""),0,IF(AND(WEpa&gt;0,$AD215=1),(1-WEpa)*$AB215+WEpa*$AC215,$AB215))</f>
        <v>0</v>
      </c>
      <c r="AF215" s="2">
        <f>IF(AND($C215&lt;&gt;"",$E215=CurrentSeason,$F215="REG",ISNUMBER($G215),$G215&lt;CurrentWeek,AND($M215&lt;&gt;"",$N215&lt;&gt;"")),1,0)</f>
        <v>0</v>
      </c>
      <c r="AG215" s="2">
        <f>IF($AF215=0,0,IF($G215&gt;=CurrentWeek-RecencyWin,RecencyMult,1))</f>
        <v>0</v>
      </c>
      <c r="AH215" s="2">
        <f>IF(AND($C215&lt;&gt;"",$E215=CurrentSeason,$F215="REG",ISNUMBER($G215),$G215&lt;CurrentWeek-1,AND($M215&lt;&gt;"",$N215&lt;&gt;"")),1,0)</f>
        <v>0</v>
      </c>
      <c r="AI215" s="2">
        <f>IF($AH215=0,0,IF($G215&gt;=CurrentWeek-1-RecencyWin,RecencyMult,1))</f>
        <v>0</v>
      </c>
      <c r="AJ215" s="2">
        <f>IF($AF215=0,0,IF($G215&gt;=CurrentWeek-RecencyWin,TotRecency,1))</f>
        <v>0</v>
      </c>
      <c r="AK215" s="2">
        <f t="shared" si="9"/>
        <v>0</v>
      </c>
      <c r="AL215" s="2">
        <f t="shared" si="10"/>
        <v>0</v>
      </c>
      <c r="AM215" s="2" t="str">
        <f t="array" ref="AM215">IF($K215="",0,IFERROR(INDEX(CALC!$F$2:$F$33,MATCH($K215,CALC!$A$2:$A$33,0)),0))</f>
        <v/>
      </c>
      <c r="AN215" s="2" t="str">
        <f t="array" ref="AN215">IF($K215="",0,IFERROR(INDEX(CALC!$I$2:$I$33,MATCH($K215,CALC!$A$2:$A$33,0)),0))</f>
        <v/>
      </c>
      <c r="AO215" s="2" t="str">
        <f t="array" ref="AO215">IF($K215="",0,IFERROR(INDEX(CALC!$L$2:$L$33,MATCH($K215,CALC!$A$2:$A$33,0)),0))</f>
        <v/>
      </c>
      <c r="AP215" s="2" t="str">
        <f t="array" ref="AP215">IF($K215="",0,IFERROR(INDEX(CALC!$T$2:$T$33,MATCH($K215,CALC!$A$2:$A$33,0)),0))</f>
        <v/>
      </c>
      <c r="AQ215" s="2" t="str">
        <f t="array" ref="AQ215">IF($K215="",0,IFERROR(INDEX(CALC!$W$2:$W$33,MATCH($K215,CALC!$A$2:$A$33,0)),0))</f>
        <v/>
      </c>
      <c r="AR215" s="2" t="str">
        <f t="array" ref="AR215">IF($K215="",0,IFERROR(INDEX(CALC!$Z$2:$Z$33,MATCH($K215,CALC!$A$2:$A$33,0)),0))</f>
        <v/>
      </c>
      <c r="AS215" s="2" t="str">
        <f t="array" ref="AS215">IF($K215="",0,IFERROR(INDEX(CALC!$AJ$2:$AJ$33,MATCH($K215,CALC!$A$2:$A$33,0)),0))</f>
        <v/>
      </c>
      <c r="AT215" s="2" t="str">
        <f t="array" ref="AT215">IF($K215="",0,IFERROR(INDEX(CALC!$AI$2:$AI$33,MATCH($K215,CALC!$A$2:$A$33,0)),0))</f>
        <v/>
      </c>
      <c r="AU215" s="2">
        <f t="shared" si="11"/>
        <v>0</v>
      </c>
      <c r="AV215" s="2">
        <f t="shared" si="12"/>
        <v>0</v>
      </c>
    </row>
    <row r="216" ht="15.0" customHeight="1">
      <c r="A216" s="2">
        <v>107.0</v>
      </c>
      <c r="B216" s="2" t="s">
        <v>2366</v>
      </c>
      <c r="C216" s="2">
        <f>IFERROR(MATCH($A216,SchedSeq,0),"")</f>
        <v>392</v>
      </c>
      <c r="D216" s="2" t="str">
        <f t="array" ref="D216">IF($C216="","",INDEX(SchedZone,$C216,MAP!$B$6))</f>
        <v>2026_07_DAL_PHI</v>
      </c>
      <c r="E216" s="2">
        <f t="array" ref="E216">IF($C216="","",INDEX(SchedZone,$C216,MAP!$B$3))</f>
        <v>2026</v>
      </c>
      <c r="F216" s="2" t="str">
        <f t="array" ref="F216">IF($C216="","",INDEX(SchedZone,$C216,MAP!$B$5))</f>
        <v>REG</v>
      </c>
      <c r="G216" s="2">
        <f t="array" ref="G216">IF($C216="","",INDEX(SchedZone,$C216,MAP!$B$4))</f>
        <v>7</v>
      </c>
      <c r="H216" s="2" t="str">
        <f t="array" ref="H216">IF($C216="","",INDEX(SchedZone,$C216,MAP!$B$10))</f>
        <v>DAL</v>
      </c>
      <c r="I216" s="2" t="str">
        <f t="array" ref="I216">IF($H216="","",IF(COUNTIF(Teams,$H216)&gt;0,$H216,IFERROR(INDEX(LISTS!$D$2:$D$12,MATCH($H216,LISTS!$C$2:$C$12,0)),"⚠ "&amp;$H216)))</f>
        <v>DAL</v>
      </c>
      <c r="J216" s="2" t="str">
        <f t="array" ref="J216">IF($C216="","",INDEX(SchedZone,$C216,MAP!$B$12))</f>
        <v>PHI</v>
      </c>
      <c r="K216" s="2" t="str">
        <f t="array" ref="K216">IF($J216="","",IF(COUNTIF(Teams,$J216)&gt;0,$J216,IFERROR(INDEX(LISTS!$D$2:$D$12,MATCH($J216,LISTS!$C$2:$C$12,0)),"⚠ "&amp;$J216)))</f>
        <v>PHI</v>
      </c>
      <c r="L216" s="2" t="str">
        <f t="array" ref="L216">IF($C216="","",IF(INDEX(SchedZone,$C216,MAP!$B$14)="Neutral","N",IF($B216="HOME","H","A")))</f>
        <v>A</v>
      </c>
      <c r="M216" s="2" t="str">
        <f t="array" ref="M216">IF($C216="","",IF(INDEX(SchedZone,$C216,MAP!$B$11)="","",INDEX(SchedZone,$C216,MAP!$B$11)))</f>
        <v/>
      </c>
      <c r="N216" s="2" t="str">
        <f t="array" ref="N216">IF($C216="","",IF(INDEX(SchedZone,$C216,MAP!$B$13)="","",INDEX(SchedZone,$C216,MAP!$B$13)))</f>
        <v/>
      </c>
      <c r="O216" s="2">
        <f t="array" ref="O216">IF($C216="","",INDEX(SchedZone,$C216,MAP!$B$15))</f>
        <v>8</v>
      </c>
      <c r="P216" s="2" t="str">
        <f>IF($C216="","",IFERROR(MATCH($E216&amp;"|"&amp;$G216&amp;"|"&amp;$I216,StatsKey,0),""))</f>
        <v/>
      </c>
      <c r="Q216" s="2">
        <f t="array" ref="Q216">IF($P216="",0,INDEX(StatsZone,$P216,MAP!$E$9)+INDEX(StatsZone,$P216,MAP!$E$10)+INDEX(StatsZone,$P216,MAP!$E$11))</f>
        <v>0</v>
      </c>
      <c r="R216" s="2">
        <f t="array" ref="R216">IF($P216="",0,INDEX(StatsZone,$P216,MAP!$E$12))</f>
        <v>0</v>
      </c>
      <c r="S216" s="2">
        <f t="array" ref="S216">IF($P216="",0,INDEX(StatsZone,$P216,MAP!$E$13))</f>
        <v>0</v>
      </c>
      <c r="T216" s="2">
        <f t="shared" si="1"/>
        <v>0</v>
      </c>
      <c r="U216" s="2">
        <f t="array" ref="U216">IF($P216="",0,INDEX(StatsZone,$P216,MAP!$E$14)+INDEX(StatsZone,$P216,MAP!$E$15)+INDEX(StatsZone,$P216,MAP!$E$16))</f>
        <v>0</v>
      </c>
      <c r="V216" s="2">
        <f t="shared" si="2"/>
        <v>0</v>
      </c>
      <c r="W216" s="2">
        <f t="shared" si="3"/>
        <v>0</v>
      </c>
      <c r="X216" s="2">
        <f t="shared" si="4"/>
        <v>0</v>
      </c>
      <c r="Y216" s="2">
        <f t="shared" si="5"/>
        <v>0</v>
      </c>
      <c r="Z216" s="2">
        <f t="shared" si="6"/>
        <v>0</v>
      </c>
      <c r="AA216" s="2">
        <f t="shared" si="7"/>
        <v>-1</v>
      </c>
      <c r="AB216" s="2">
        <f>IF(OR($M216="",$N216=""),0,MEDIAN(-MarginCap,MarginCap,($M216-$N216)-$AA216*HFA_Base))</f>
        <v>0</v>
      </c>
      <c r="AC216" s="2">
        <f t="array" ref="AC216">IF(OR($P216="",INDEX($P$3:$P$722,(ROW()+IF(MOD(ROW()-3,2)=0,1,-1))-3+1)=""),0,MEDIAN(-MarginCap,MarginCap,($T216-$W216)-$AA216*HFA_Base))</f>
        <v>0</v>
      </c>
      <c r="AD216" s="2">
        <f t="shared" si="8"/>
        <v>0</v>
      </c>
      <c r="AE216" s="2">
        <f>IF(OR($M216="",$N216=""),0,IF(AND(WEpa&gt;0,$AD216=1),(1-WEpa)*$AB216+WEpa*$AC216,$AB216))</f>
        <v>0</v>
      </c>
      <c r="AF216" s="2">
        <f>IF(AND($C216&lt;&gt;"",$E216=CurrentSeason,$F216="REG",ISNUMBER($G216),$G216&lt;CurrentWeek,AND($M216&lt;&gt;"",$N216&lt;&gt;"")),1,0)</f>
        <v>0</v>
      </c>
      <c r="AG216" s="2">
        <f>IF($AF216=0,0,IF($G216&gt;=CurrentWeek-RecencyWin,RecencyMult,1))</f>
        <v>0</v>
      </c>
      <c r="AH216" s="2">
        <f>IF(AND($C216&lt;&gt;"",$E216=CurrentSeason,$F216="REG",ISNUMBER($G216),$G216&lt;CurrentWeek-1,AND($M216&lt;&gt;"",$N216&lt;&gt;"")),1,0)</f>
        <v>0</v>
      </c>
      <c r="AI216" s="2">
        <f>IF($AH216=0,0,IF($G216&gt;=CurrentWeek-1-RecencyWin,RecencyMult,1))</f>
        <v>0</v>
      </c>
      <c r="AJ216" s="2">
        <f>IF($AF216=0,0,IF($G216&gt;=CurrentWeek-RecencyWin,TotRecency,1))</f>
        <v>0</v>
      </c>
      <c r="AK216" s="2">
        <f t="shared" si="9"/>
        <v>0</v>
      </c>
      <c r="AL216" s="2">
        <f t="shared" si="10"/>
        <v>0</v>
      </c>
      <c r="AM216" s="2" t="str">
        <f t="array" ref="AM216">IF($K216="",0,IFERROR(INDEX(CALC!$F$2:$F$33,MATCH($K216,CALC!$A$2:$A$33,0)),0))</f>
        <v/>
      </c>
      <c r="AN216" s="2" t="str">
        <f t="array" ref="AN216">IF($K216="",0,IFERROR(INDEX(CALC!$I$2:$I$33,MATCH($K216,CALC!$A$2:$A$33,0)),0))</f>
        <v/>
      </c>
      <c r="AO216" s="2" t="str">
        <f t="array" ref="AO216">IF($K216="",0,IFERROR(INDEX(CALC!$L$2:$L$33,MATCH($K216,CALC!$A$2:$A$33,0)),0))</f>
        <v/>
      </c>
      <c r="AP216" s="2" t="str">
        <f t="array" ref="AP216">IF($K216="",0,IFERROR(INDEX(CALC!$T$2:$T$33,MATCH($K216,CALC!$A$2:$A$33,0)),0))</f>
        <v/>
      </c>
      <c r="AQ216" s="2" t="str">
        <f t="array" ref="AQ216">IF($K216="",0,IFERROR(INDEX(CALC!$W$2:$W$33,MATCH($K216,CALC!$A$2:$A$33,0)),0))</f>
        <v/>
      </c>
      <c r="AR216" s="2" t="str">
        <f t="array" ref="AR216">IF($K216="",0,IFERROR(INDEX(CALC!$Z$2:$Z$33,MATCH($K216,CALC!$A$2:$A$33,0)),0))</f>
        <v/>
      </c>
      <c r="AS216" s="2" t="str">
        <f t="array" ref="AS216">IF($K216="",0,IFERROR(INDEX(CALC!$AJ$2:$AJ$33,MATCH($K216,CALC!$A$2:$A$33,0)),0))</f>
        <v/>
      </c>
      <c r="AT216" s="2" t="str">
        <f t="array" ref="AT216">IF($K216="",0,IFERROR(INDEX(CALC!$AI$2:$AI$33,MATCH($K216,CALC!$A$2:$A$33,0)),0))</f>
        <v/>
      </c>
      <c r="AU216" s="2">
        <f t="shared" si="11"/>
        <v>0</v>
      </c>
      <c r="AV216" s="2">
        <f t="shared" si="12"/>
        <v>0</v>
      </c>
    </row>
    <row r="217" ht="15.0" customHeight="1">
      <c r="A217" s="2">
        <v>108.0</v>
      </c>
      <c r="B217" s="2" t="s">
        <v>2365</v>
      </c>
      <c r="C217" s="2">
        <f>IFERROR(MATCH($A217,SchedSeq,0),"")</f>
        <v>393</v>
      </c>
      <c r="D217" s="2" t="str">
        <f t="array" ref="D217">IF($C217="","",INDEX(SchedZone,$C217,MAP!$B$6))</f>
        <v>2026_08_CAR_GB</v>
      </c>
      <c r="E217" s="2">
        <f t="array" ref="E217">IF($C217="","",INDEX(SchedZone,$C217,MAP!$B$3))</f>
        <v>2026</v>
      </c>
      <c r="F217" s="2" t="str">
        <f t="array" ref="F217">IF($C217="","",INDEX(SchedZone,$C217,MAP!$B$5))</f>
        <v>REG</v>
      </c>
      <c r="G217" s="2">
        <f t="array" ref="G217">IF($C217="","",INDEX(SchedZone,$C217,MAP!$B$4))</f>
        <v>8</v>
      </c>
      <c r="H217" s="2" t="str">
        <f t="array" ref="H217">IF($C217="","",INDEX(SchedZone,$C217,MAP!$B$12))</f>
        <v>GB</v>
      </c>
      <c r="I217" s="2" t="str">
        <f t="array" ref="I217">IF($H217="","",IF(COUNTIF(Teams,$H217)&gt;0,$H217,IFERROR(INDEX(LISTS!$D$2:$D$12,MATCH($H217,LISTS!$C$2:$C$12,0)),"⚠ "&amp;$H217)))</f>
        <v>GB</v>
      </c>
      <c r="J217" s="2" t="str">
        <f t="array" ref="J217">IF($C217="","",INDEX(SchedZone,$C217,MAP!$B$10))</f>
        <v>CAR</v>
      </c>
      <c r="K217" s="2" t="str">
        <f t="array" ref="K217">IF($J217="","",IF(COUNTIF(Teams,$J217)&gt;0,$J217,IFERROR(INDEX(LISTS!$D$2:$D$12,MATCH($J217,LISTS!$C$2:$C$12,0)),"⚠ "&amp;$J217)))</f>
        <v>CAR</v>
      </c>
      <c r="L217" s="2" t="str">
        <f t="array" ref="L217">IF($C217="","",IF(INDEX(SchedZone,$C217,MAP!$B$14)="Neutral","N",IF($B217="HOME","H","A")))</f>
        <v>H</v>
      </c>
      <c r="M217" s="2" t="str">
        <f t="array" ref="M217">IF($C217="","",IF(INDEX(SchedZone,$C217,MAP!$B$13)="","",INDEX(SchedZone,$C217,MAP!$B$13)))</f>
        <v/>
      </c>
      <c r="N217" s="2" t="str">
        <f t="array" ref="N217">IF($C217="","",IF(INDEX(SchedZone,$C217,MAP!$B$11)="","",INDEX(SchedZone,$C217,MAP!$B$11)))</f>
        <v/>
      </c>
      <c r="O217" s="2">
        <f t="array" ref="O217">IF($C217="","",INDEX(SchedZone,$C217,MAP!$B$16))</f>
        <v>4</v>
      </c>
      <c r="P217" s="2" t="str">
        <f>IF($C217="","",IFERROR(MATCH($E217&amp;"|"&amp;$G217&amp;"|"&amp;$I217,StatsKey,0),""))</f>
        <v/>
      </c>
      <c r="Q217" s="2">
        <f t="array" ref="Q217">IF($P217="",0,INDEX(StatsZone,$P217,MAP!$E$9)+INDEX(StatsZone,$P217,MAP!$E$10)+INDEX(StatsZone,$P217,MAP!$E$11))</f>
        <v>0</v>
      </c>
      <c r="R217" s="2">
        <f t="array" ref="R217">IF($P217="",0,INDEX(StatsZone,$P217,MAP!$E$12))</f>
        <v>0</v>
      </c>
      <c r="S217" s="2">
        <f t="array" ref="S217">IF($P217="",0,INDEX(StatsZone,$P217,MAP!$E$13))</f>
        <v>0</v>
      </c>
      <c r="T217" s="2">
        <f t="shared" si="1"/>
        <v>0</v>
      </c>
      <c r="U217" s="2">
        <f t="array" ref="U217">IF($P217="",0,INDEX(StatsZone,$P217,MAP!$E$14)+INDEX(StatsZone,$P217,MAP!$E$15)+INDEX(StatsZone,$P217,MAP!$E$16))</f>
        <v>0</v>
      </c>
      <c r="V217" s="2">
        <f t="shared" si="2"/>
        <v>0</v>
      </c>
      <c r="W217" s="2">
        <f t="shared" si="3"/>
        <v>0</v>
      </c>
      <c r="X217" s="2">
        <f t="shared" si="4"/>
        <v>0</v>
      </c>
      <c r="Y217" s="2">
        <f t="shared" si="5"/>
        <v>0</v>
      </c>
      <c r="Z217" s="2">
        <f t="shared" si="6"/>
        <v>0</v>
      </c>
      <c r="AA217" s="2">
        <f t="shared" si="7"/>
        <v>1</v>
      </c>
      <c r="AB217" s="2">
        <f>IF(OR($M217="",$N217=""),0,MEDIAN(-MarginCap,MarginCap,($M217-$N217)-$AA217*HFA_Base))</f>
        <v>0</v>
      </c>
      <c r="AC217" s="2">
        <f t="array" ref="AC217">IF(OR($P217="",INDEX($P$3:$P$722,(ROW()+IF(MOD(ROW()-3,2)=0,1,-1))-3+1)=""),0,MEDIAN(-MarginCap,MarginCap,($T217-$W217)-$AA217*HFA_Base))</f>
        <v>0</v>
      </c>
      <c r="AD217" s="2">
        <f t="shared" si="8"/>
        <v>0</v>
      </c>
      <c r="AE217" s="2">
        <f>IF(OR($M217="",$N217=""),0,IF(AND(WEpa&gt;0,$AD217=1),(1-WEpa)*$AB217+WEpa*$AC217,$AB217))</f>
        <v>0</v>
      </c>
      <c r="AF217" s="2">
        <f>IF(AND($C217&lt;&gt;"",$E217=CurrentSeason,$F217="REG",ISNUMBER($G217),$G217&lt;CurrentWeek,AND($M217&lt;&gt;"",$N217&lt;&gt;"")),1,0)</f>
        <v>0</v>
      </c>
      <c r="AG217" s="2">
        <f>IF($AF217=0,0,IF($G217&gt;=CurrentWeek-RecencyWin,RecencyMult,1))</f>
        <v>0</v>
      </c>
      <c r="AH217" s="2">
        <f>IF(AND($C217&lt;&gt;"",$E217=CurrentSeason,$F217="REG",ISNUMBER($G217),$G217&lt;CurrentWeek-1,AND($M217&lt;&gt;"",$N217&lt;&gt;"")),1,0)</f>
        <v>0</v>
      </c>
      <c r="AI217" s="2">
        <f>IF($AH217=0,0,IF($G217&gt;=CurrentWeek-1-RecencyWin,RecencyMult,1))</f>
        <v>0</v>
      </c>
      <c r="AJ217" s="2">
        <f>IF($AF217=0,0,IF($G217&gt;=CurrentWeek-RecencyWin,TotRecency,1))</f>
        <v>0</v>
      </c>
      <c r="AK217" s="2">
        <f t="shared" si="9"/>
        <v>0</v>
      </c>
      <c r="AL217" s="2">
        <f t="shared" si="10"/>
        <v>0</v>
      </c>
      <c r="AM217" s="2" t="str">
        <f t="array" ref="AM217">IF($K217="",0,IFERROR(INDEX(CALC!$F$2:$F$33,MATCH($K217,CALC!$A$2:$A$33,0)),0))</f>
        <v/>
      </c>
      <c r="AN217" s="2" t="str">
        <f t="array" ref="AN217">IF($K217="",0,IFERROR(INDEX(CALC!$I$2:$I$33,MATCH($K217,CALC!$A$2:$A$33,0)),0))</f>
        <v/>
      </c>
      <c r="AO217" s="2" t="str">
        <f t="array" ref="AO217">IF($K217="",0,IFERROR(INDEX(CALC!$L$2:$L$33,MATCH($K217,CALC!$A$2:$A$33,0)),0))</f>
        <v/>
      </c>
      <c r="AP217" s="2" t="str">
        <f t="array" ref="AP217">IF($K217="",0,IFERROR(INDEX(CALC!$T$2:$T$33,MATCH($K217,CALC!$A$2:$A$33,0)),0))</f>
        <v/>
      </c>
      <c r="AQ217" s="2" t="str">
        <f t="array" ref="AQ217">IF($K217="",0,IFERROR(INDEX(CALC!$W$2:$W$33,MATCH($K217,CALC!$A$2:$A$33,0)),0))</f>
        <v/>
      </c>
      <c r="AR217" s="2" t="str">
        <f t="array" ref="AR217">IF($K217="",0,IFERROR(INDEX(CALC!$Z$2:$Z$33,MATCH($K217,CALC!$A$2:$A$33,0)),0))</f>
        <v/>
      </c>
      <c r="AS217" s="2" t="str">
        <f t="array" ref="AS217">IF($K217="",0,IFERROR(INDEX(CALC!$AJ$2:$AJ$33,MATCH($K217,CALC!$A$2:$A$33,0)),0))</f>
        <v/>
      </c>
      <c r="AT217" s="2" t="str">
        <f t="array" ref="AT217">IF($K217="",0,IFERROR(INDEX(CALC!$AI$2:$AI$33,MATCH($K217,CALC!$A$2:$A$33,0)),0))</f>
        <v/>
      </c>
      <c r="AU217" s="2">
        <f t="shared" si="11"/>
        <v>0</v>
      </c>
      <c r="AV217" s="2">
        <f t="shared" si="12"/>
        <v>0</v>
      </c>
    </row>
    <row r="218" ht="15.0" customHeight="1">
      <c r="A218" s="2">
        <v>108.0</v>
      </c>
      <c r="B218" s="2" t="s">
        <v>2366</v>
      </c>
      <c r="C218" s="2">
        <f>IFERROR(MATCH($A218,SchedSeq,0),"")</f>
        <v>393</v>
      </c>
      <c r="D218" s="2" t="str">
        <f t="array" ref="D218">IF($C218="","",INDEX(SchedZone,$C218,MAP!$B$6))</f>
        <v>2026_08_CAR_GB</v>
      </c>
      <c r="E218" s="2">
        <f t="array" ref="E218">IF($C218="","",INDEX(SchedZone,$C218,MAP!$B$3))</f>
        <v>2026</v>
      </c>
      <c r="F218" s="2" t="str">
        <f t="array" ref="F218">IF($C218="","",INDEX(SchedZone,$C218,MAP!$B$5))</f>
        <v>REG</v>
      </c>
      <c r="G218" s="2">
        <f t="array" ref="G218">IF($C218="","",INDEX(SchedZone,$C218,MAP!$B$4))</f>
        <v>8</v>
      </c>
      <c r="H218" s="2" t="str">
        <f t="array" ref="H218">IF($C218="","",INDEX(SchedZone,$C218,MAP!$B$10))</f>
        <v>CAR</v>
      </c>
      <c r="I218" s="2" t="str">
        <f t="array" ref="I218">IF($H218="","",IF(COUNTIF(Teams,$H218)&gt;0,$H218,IFERROR(INDEX(LISTS!$D$2:$D$12,MATCH($H218,LISTS!$C$2:$C$12,0)),"⚠ "&amp;$H218)))</f>
        <v>CAR</v>
      </c>
      <c r="J218" s="2" t="str">
        <f t="array" ref="J218">IF($C218="","",INDEX(SchedZone,$C218,MAP!$B$12))</f>
        <v>GB</v>
      </c>
      <c r="K218" s="2" t="str">
        <f t="array" ref="K218">IF($J218="","",IF(COUNTIF(Teams,$J218)&gt;0,$J218,IFERROR(INDEX(LISTS!$D$2:$D$12,MATCH($J218,LISTS!$C$2:$C$12,0)),"⚠ "&amp;$J218)))</f>
        <v>GB</v>
      </c>
      <c r="L218" s="2" t="str">
        <f t="array" ref="L218">IF($C218="","",IF(INDEX(SchedZone,$C218,MAP!$B$14)="Neutral","N",IF($B218="HOME","H","A")))</f>
        <v>A</v>
      </c>
      <c r="M218" s="2" t="str">
        <f t="array" ref="M218">IF($C218="","",IF(INDEX(SchedZone,$C218,MAP!$B$11)="","",INDEX(SchedZone,$C218,MAP!$B$11)))</f>
        <v/>
      </c>
      <c r="N218" s="2" t="str">
        <f t="array" ref="N218">IF($C218="","",IF(INDEX(SchedZone,$C218,MAP!$B$13)="","",INDEX(SchedZone,$C218,MAP!$B$13)))</f>
        <v/>
      </c>
      <c r="O218" s="2">
        <f t="array" ref="O218">IF($C218="","",INDEX(SchedZone,$C218,MAP!$B$15))</f>
        <v>4</v>
      </c>
      <c r="P218" s="2" t="str">
        <f>IF($C218="","",IFERROR(MATCH($E218&amp;"|"&amp;$G218&amp;"|"&amp;$I218,StatsKey,0),""))</f>
        <v/>
      </c>
      <c r="Q218" s="2">
        <f t="array" ref="Q218">IF($P218="",0,INDEX(StatsZone,$P218,MAP!$E$9)+INDEX(StatsZone,$P218,MAP!$E$10)+INDEX(StatsZone,$P218,MAP!$E$11))</f>
        <v>0</v>
      </c>
      <c r="R218" s="2">
        <f t="array" ref="R218">IF($P218="",0,INDEX(StatsZone,$P218,MAP!$E$12))</f>
        <v>0</v>
      </c>
      <c r="S218" s="2">
        <f t="array" ref="S218">IF($P218="",0,INDEX(StatsZone,$P218,MAP!$E$13))</f>
        <v>0</v>
      </c>
      <c r="T218" s="2">
        <f t="shared" si="1"/>
        <v>0</v>
      </c>
      <c r="U218" s="2">
        <f t="array" ref="U218">IF($P218="",0,INDEX(StatsZone,$P218,MAP!$E$14)+INDEX(StatsZone,$P218,MAP!$E$15)+INDEX(StatsZone,$P218,MAP!$E$16))</f>
        <v>0</v>
      </c>
      <c r="V218" s="2">
        <f t="shared" si="2"/>
        <v>0</v>
      </c>
      <c r="W218" s="2">
        <f t="shared" si="3"/>
        <v>0</v>
      </c>
      <c r="X218" s="2">
        <f t="shared" si="4"/>
        <v>0</v>
      </c>
      <c r="Y218" s="2">
        <f t="shared" si="5"/>
        <v>0</v>
      </c>
      <c r="Z218" s="2">
        <f t="shared" si="6"/>
        <v>0</v>
      </c>
      <c r="AA218" s="2">
        <f t="shared" si="7"/>
        <v>-1</v>
      </c>
      <c r="AB218" s="2">
        <f>IF(OR($M218="",$N218=""),0,MEDIAN(-MarginCap,MarginCap,($M218-$N218)-$AA218*HFA_Base))</f>
        <v>0</v>
      </c>
      <c r="AC218" s="2">
        <f t="array" ref="AC218">IF(OR($P218="",INDEX($P$3:$P$722,(ROW()+IF(MOD(ROW()-3,2)=0,1,-1))-3+1)=""),0,MEDIAN(-MarginCap,MarginCap,($T218-$W218)-$AA218*HFA_Base))</f>
        <v>0</v>
      </c>
      <c r="AD218" s="2">
        <f t="shared" si="8"/>
        <v>0</v>
      </c>
      <c r="AE218" s="2">
        <f>IF(OR($M218="",$N218=""),0,IF(AND(WEpa&gt;0,$AD218=1),(1-WEpa)*$AB218+WEpa*$AC218,$AB218))</f>
        <v>0</v>
      </c>
      <c r="AF218" s="2">
        <f>IF(AND($C218&lt;&gt;"",$E218=CurrentSeason,$F218="REG",ISNUMBER($G218),$G218&lt;CurrentWeek,AND($M218&lt;&gt;"",$N218&lt;&gt;"")),1,0)</f>
        <v>0</v>
      </c>
      <c r="AG218" s="2">
        <f>IF($AF218=0,0,IF($G218&gt;=CurrentWeek-RecencyWin,RecencyMult,1))</f>
        <v>0</v>
      </c>
      <c r="AH218" s="2">
        <f>IF(AND($C218&lt;&gt;"",$E218=CurrentSeason,$F218="REG",ISNUMBER($G218),$G218&lt;CurrentWeek-1,AND($M218&lt;&gt;"",$N218&lt;&gt;"")),1,0)</f>
        <v>0</v>
      </c>
      <c r="AI218" s="2">
        <f>IF($AH218=0,0,IF($G218&gt;=CurrentWeek-1-RecencyWin,RecencyMult,1))</f>
        <v>0</v>
      </c>
      <c r="AJ218" s="2">
        <f>IF($AF218=0,0,IF($G218&gt;=CurrentWeek-RecencyWin,TotRecency,1))</f>
        <v>0</v>
      </c>
      <c r="AK218" s="2">
        <f t="shared" si="9"/>
        <v>0</v>
      </c>
      <c r="AL218" s="2">
        <f t="shared" si="10"/>
        <v>0</v>
      </c>
      <c r="AM218" s="2" t="str">
        <f t="array" ref="AM218">IF($K218="",0,IFERROR(INDEX(CALC!$F$2:$F$33,MATCH($K218,CALC!$A$2:$A$33,0)),0))</f>
        <v/>
      </c>
      <c r="AN218" s="2" t="str">
        <f t="array" ref="AN218">IF($K218="",0,IFERROR(INDEX(CALC!$I$2:$I$33,MATCH($K218,CALC!$A$2:$A$33,0)),0))</f>
        <v/>
      </c>
      <c r="AO218" s="2" t="str">
        <f t="array" ref="AO218">IF($K218="",0,IFERROR(INDEX(CALC!$L$2:$L$33,MATCH($K218,CALC!$A$2:$A$33,0)),0))</f>
        <v/>
      </c>
      <c r="AP218" s="2" t="str">
        <f t="array" ref="AP218">IF($K218="",0,IFERROR(INDEX(CALC!$T$2:$T$33,MATCH($K218,CALC!$A$2:$A$33,0)),0))</f>
        <v/>
      </c>
      <c r="AQ218" s="2" t="str">
        <f t="array" ref="AQ218">IF($K218="",0,IFERROR(INDEX(CALC!$W$2:$W$33,MATCH($K218,CALC!$A$2:$A$33,0)),0))</f>
        <v/>
      </c>
      <c r="AR218" s="2" t="str">
        <f t="array" ref="AR218">IF($K218="",0,IFERROR(INDEX(CALC!$Z$2:$Z$33,MATCH($K218,CALC!$A$2:$A$33,0)),0))</f>
        <v/>
      </c>
      <c r="AS218" s="2" t="str">
        <f t="array" ref="AS218">IF($K218="",0,IFERROR(INDEX(CALC!$AJ$2:$AJ$33,MATCH($K218,CALC!$A$2:$A$33,0)),0))</f>
        <v/>
      </c>
      <c r="AT218" s="2" t="str">
        <f t="array" ref="AT218">IF($K218="",0,IFERROR(INDEX(CALC!$AI$2:$AI$33,MATCH($K218,CALC!$A$2:$A$33,0)),0))</f>
        <v/>
      </c>
      <c r="AU218" s="2">
        <f t="shared" si="11"/>
        <v>0</v>
      </c>
      <c r="AV218" s="2">
        <f t="shared" si="12"/>
        <v>0</v>
      </c>
    </row>
    <row r="219" ht="15.0" customHeight="1">
      <c r="A219" s="2">
        <v>109.0</v>
      </c>
      <c r="B219" s="2" t="s">
        <v>2365</v>
      </c>
      <c r="C219" s="2">
        <f>IFERROR(MATCH($A219,SchedSeq,0),"")</f>
        <v>394</v>
      </c>
      <c r="D219" s="2" t="str">
        <f t="array" ref="D219">IF($C219="","",INDEX(SchedZone,$C219,MAP!$B$6))</f>
        <v>2026_08_BAL_BUF</v>
      </c>
      <c r="E219" s="2">
        <f t="array" ref="E219">IF($C219="","",INDEX(SchedZone,$C219,MAP!$B$3))</f>
        <v>2026</v>
      </c>
      <c r="F219" s="2" t="str">
        <f t="array" ref="F219">IF($C219="","",INDEX(SchedZone,$C219,MAP!$B$5))</f>
        <v>REG</v>
      </c>
      <c r="G219" s="2">
        <f t="array" ref="G219">IF($C219="","",INDEX(SchedZone,$C219,MAP!$B$4))</f>
        <v>8</v>
      </c>
      <c r="H219" s="2" t="str">
        <f t="array" ref="H219">IF($C219="","",INDEX(SchedZone,$C219,MAP!$B$12))</f>
        <v>BUF</v>
      </c>
      <c r="I219" s="2" t="str">
        <f t="array" ref="I219">IF($H219="","",IF(COUNTIF(Teams,$H219)&gt;0,$H219,IFERROR(INDEX(LISTS!$D$2:$D$12,MATCH($H219,LISTS!$C$2:$C$12,0)),"⚠ "&amp;$H219)))</f>
        <v>BUF</v>
      </c>
      <c r="J219" s="2" t="str">
        <f t="array" ref="J219">IF($C219="","",INDEX(SchedZone,$C219,MAP!$B$10))</f>
        <v>BAL</v>
      </c>
      <c r="K219" s="2" t="str">
        <f t="array" ref="K219">IF($J219="","",IF(COUNTIF(Teams,$J219)&gt;0,$J219,IFERROR(INDEX(LISTS!$D$2:$D$12,MATCH($J219,LISTS!$C$2:$C$12,0)),"⚠ "&amp;$J219)))</f>
        <v>BAL</v>
      </c>
      <c r="L219" s="2" t="str">
        <f t="array" ref="L219">IF($C219="","",IF(INDEX(SchedZone,$C219,MAP!$B$14)="Neutral","N",IF($B219="HOME","H","A")))</f>
        <v>H</v>
      </c>
      <c r="M219" s="2" t="str">
        <f t="array" ref="M219">IF($C219="","",IF(INDEX(SchedZone,$C219,MAP!$B$13)="","",INDEX(SchedZone,$C219,MAP!$B$13)))</f>
        <v/>
      </c>
      <c r="N219" s="2" t="str">
        <f t="array" ref="N219">IF($C219="","",IF(INDEX(SchedZone,$C219,MAP!$B$11)="","",INDEX(SchedZone,$C219,MAP!$B$11)))</f>
        <v/>
      </c>
      <c r="O219" s="2">
        <f t="array" ref="O219">IF($C219="","",INDEX(SchedZone,$C219,MAP!$B$16))</f>
        <v>14</v>
      </c>
      <c r="P219" s="2" t="str">
        <f>IF($C219="","",IFERROR(MATCH($E219&amp;"|"&amp;$G219&amp;"|"&amp;$I219,StatsKey,0),""))</f>
        <v/>
      </c>
      <c r="Q219" s="2">
        <f t="array" ref="Q219">IF($P219="",0,INDEX(StatsZone,$P219,MAP!$E$9)+INDEX(StatsZone,$P219,MAP!$E$10)+INDEX(StatsZone,$P219,MAP!$E$11))</f>
        <v>0</v>
      </c>
      <c r="R219" s="2">
        <f t="array" ref="R219">IF($P219="",0,INDEX(StatsZone,$P219,MAP!$E$12))</f>
        <v>0</v>
      </c>
      <c r="S219" s="2">
        <f t="array" ref="S219">IF($P219="",0,INDEX(StatsZone,$P219,MAP!$E$13))</f>
        <v>0</v>
      </c>
      <c r="T219" s="2">
        <f t="shared" si="1"/>
        <v>0</v>
      </c>
      <c r="U219" s="2">
        <f t="array" ref="U219">IF($P219="",0,INDEX(StatsZone,$P219,MAP!$E$14)+INDEX(StatsZone,$P219,MAP!$E$15)+INDEX(StatsZone,$P219,MAP!$E$16))</f>
        <v>0</v>
      </c>
      <c r="V219" s="2">
        <f t="shared" si="2"/>
        <v>0</v>
      </c>
      <c r="W219" s="2">
        <f t="shared" si="3"/>
        <v>0</v>
      </c>
      <c r="X219" s="2">
        <f t="shared" si="4"/>
        <v>0</v>
      </c>
      <c r="Y219" s="2">
        <f t="shared" si="5"/>
        <v>0</v>
      </c>
      <c r="Z219" s="2">
        <f t="shared" si="6"/>
        <v>0</v>
      </c>
      <c r="AA219" s="2">
        <f t="shared" si="7"/>
        <v>1</v>
      </c>
      <c r="AB219" s="2">
        <f>IF(OR($M219="",$N219=""),0,MEDIAN(-MarginCap,MarginCap,($M219-$N219)-$AA219*HFA_Base))</f>
        <v>0</v>
      </c>
      <c r="AC219" s="2">
        <f t="array" ref="AC219">IF(OR($P219="",INDEX($P$3:$P$722,(ROW()+IF(MOD(ROW()-3,2)=0,1,-1))-3+1)=""),0,MEDIAN(-MarginCap,MarginCap,($T219-$W219)-$AA219*HFA_Base))</f>
        <v>0</v>
      </c>
      <c r="AD219" s="2">
        <f t="shared" si="8"/>
        <v>0</v>
      </c>
      <c r="AE219" s="2">
        <f>IF(OR($M219="",$N219=""),0,IF(AND(WEpa&gt;0,$AD219=1),(1-WEpa)*$AB219+WEpa*$AC219,$AB219))</f>
        <v>0</v>
      </c>
      <c r="AF219" s="2">
        <f>IF(AND($C219&lt;&gt;"",$E219=CurrentSeason,$F219="REG",ISNUMBER($G219),$G219&lt;CurrentWeek,AND($M219&lt;&gt;"",$N219&lt;&gt;"")),1,0)</f>
        <v>0</v>
      </c>
      <c r="AG219" s="2">
        <f>IF($AF219=0,0,IF($G219&gt;=CurrentWeek-RecencyWin,RecencyMult,1))</f>
        <v>0</v>
      </c>
      <c r="AH219" s="2">
        <f>IF(AND($C219&lt;&gt;"",$E219=CurrentSeason,$F219="REG",ISNUMBER($G219),$G219&lt;CurrentWeek-1,AND($M219&lt;&gt;"",$N219&lt;&gt;"")),1,0)</f>
        <v>0</v>
      </c>
      <c r="AI219" s="2">
        <f>IF($AH219=0,0,IF($G219&gt;=CurrentWeek-1-RecencyWin,RecencyMult,1))</f>
        <v>0</v>
      </c>
      <c r="AJ219" s="2">
        <f>IF($AF219=0,0,IF($G219&gt;=CurrentWeek-RecencyWin,TotRecency,1))</f>
        <v>0</v>
      </c>
      <c r="AK219" s="2">
        <f t="shared" si="9"/>
        <v>0</v>
      </c>
      <c r="AL219" s="2">
        <f t="shared" si="10"/>
        <v>0</v>
      </c>
      <c r="AM219" s="2" t="str">
        <f t="array" ref="AM219">IF($K219="",0,IFERROR(INDEX(CALC!$F$2:$F$33,MATCH($K219,CALC!$A$2:$A$33,0)),0))</f>
        <v/>
      </c>
      <c r="AN219" s="2" t="str">
        <f t="array" ref="AN219">IF($K219="",0,IFERROR(INDEX(CALC!$I$2:$I$33,MATCH($K219,CALC!$A$2:$A$33,0)),0))</f>
        <v/>
      </c>
      <c r="AO219" s="2" t="str">
        <f t="array" ref="AO219">IF($K219="",0,IFERROR(INDEX(CALC!$L$2:$L$33,MATCH($K219,CALC!$A$2:$A$33,0)),0))</f>
        <v/>
      </c>
      <c r="AP219" s="2" t="str">
        <f t="array" ref="AP219">IF($K219="",0,IFERROR(INDEX(CALC!$T$2:$T$33,MATCH($K219,CALC!$A$2:$A$33,0)),0))</f>
        <v/>
      </c>
      <c r="AQ219" s="2" t="str">
        <f t="array" ref="AQ219">IF($K219="",0,IFERROR(INDEX(CALC!$W$2:$W$33,MATCH($K219,CALC!$A$2:$A$33,0)),0))</f>
        <v/>
      </c>
      <c r="AR219" s="2" t="str">
        <f t="array" ref="AR219">IF($K219="",0,IFERROR(INDEX(CALC!$Z$2:$Z$33,MATCH($K219,CALC!$A$2:$A$33,0)),0))</f>
        <v/>
      </c>
      <c r="AS219" s="2" t="str">
        <f t="array" ref="AS219">IF($K219="",0,IFERROR(INDEX(CALC!$AJ$2:$AJ$33,MATCH($K219,CALC!$A$2:$A$33,0)),0))</f>
        <v/>
      </c>
      <c r="AT219" s="2" t="str">
        <f t="array" ref="AT219">IF($K219="",0,IFERROR(INDEX(CALC!$AI$2:$AI$33,MATCH($K219,CALC!$A$2:$A$33,0)),0))</f>
        <v/>
      </c>
      <c r="AU219" s="2">
        <f t="shared" si="11"/>
        <v>0</v>
      </c>
      <c r="AV219" s="2">
        <f t="shared" si="12"/>
        <v>0</v>
      </c>
    </row>
    <row r="220" ht="15.0" customHeight="1">
      <c r="A220" s="2">
        <v>109.0</v>
      </c>
      <c r="B220" s="2" t="s">
        <v>2366</v>
      </c>
      <c r="C220" s="2">
        <f>IFERROR(MATCH($A220,SchedSeq,0),"")</f>
        <v>394</v>
      </c>
      <c r="D220" s="2" t="str">
        <f t="array" ref="D220">IF($C220="","",INDEX(SchedZone,$C220,MAP!$B$6))</f>
        <v>2026_08_BAL_BUF</v>
      </c>
      <c r="E220" s="2">
        <f t="array" ref="E220">IF($C220="","",INDEX(SchedZone,$C220,MAP!$B$3))</f>
        <v>2026</v>
      </c>
      <c r="F220" s="2" t="str">
        <f t="array" ref="F220">IF($C220="","",INDEX(SchedZone,$C220,MAP!$B$5))</f>
        <v>REG</v>
      </c>
      <c r="G220" s="2">
        <f t="array" ref="G220">IF($C220="","",INDEX(SchedZone,$C220,MAP!$B$4))</f>
        <v>8</v>
      </c>
      <c r="H220" s="2" t="str">
        <f t="array" ref="H220">IF($C220="","",INDEX(SchedZone,$C220,MAP!$B$10))</f>
        <v>BAL</v>
      </c>
      <c r="I220" s="2" t="str">
        <f t="array" ref="I220">IF($H220="","",IF(COUNTIF(Teams,$H220)&gt;0,$H220,IFERROR(INDEX(LISTS!$D$2:$D$12,MATCH($H220,LISTS!$C$2:$C$12,0)),"⚠ "&amp;$H220)))</f>
        <v>BAL</v>
      </c>
      <c r="J220" s="2" t="str">
        <f t="array" ref="J220">IF($C220="","",INDEX(SchedZone,$C220,MAP!$B$12))</f>
        <v>BUF</v>
      </c>
      <c r="K220" s="2" t="str">
        <f t="array" ref="K220">IF($J220="","",IF(COUNTIF(Teams,$J220)&gt;0,$J220,IFERROR(INDEX(LISTS!$D$2:$D$12,MATCH($J220,LISTS!$C$2:$C$12,0)),"⚠ "&amp;$J220)))</f>
        <v>BUF</v>
      </c>
      <c r="L220" s="2" t="str">
        <f t="array" ref="L220">IF($C220="","",IF(INDEX(SchedZone,$C220,MAP!$B$14)="Neutral","N",IF($B220="HOME","H","A")))</f>
        <v>A</v>
      </c>
      <c r="M220" s="2" t="str">
        <f t="array" ref="M220">IF($C220="","",IF(INDEX(SchedZone,$C220,MAP!$B$11)="","",INDEX(SchedZone,$C220,MAP!$B$11)))</f>
        <v/>
      </c>
      <c r="N220" s="2" t="str">
        <f t="array" ref="N220">IF($C220="","",IF(INDEX(SchedZone,$C220,MAP!$B$13)="","",INDEX(SchedZone,$C220,MAP!$B$13)))</f>
        <v/>
      </c>
      <c r="O220" s="2">
        <f t="array" ref="O220">IF($C220="","",INDEX(SchedZone,$C220,MAP!$B$15))</f>
        <v>7</v>
      </c>
      <c r="P220" s="2" t="str">
        <f>IF($C220="","",IFERROR(MATCH($E220&amp;"|"&amp;$G220&amp;"|"&amp;$I220,StatsKey,0),""))</f>
        <v/>
      </c>
      <c r="Q220" s="2">
        <f t="array" ref="Q220">IF($P220="",0,INDEX(StatsZone,$P220,MAP!$E$9)+INDEX(StatsZone,$P220,MAP!$E$10)+INDEX(StatsZone,$P220,MAP!$E$11))</f>
        <v>0</v>
      </c>
      <c r="R220" s="2">
        <f t="array" ref="R220">IF($P220="",0,INDEX(StatsZone,$P220,MAP!$E$12))</f>
        <v>0</v>
      </c>
      <c r="S220" s="2">
        <f t="array" ref="S220">IF($P220="",0,INDEX(StatsZone,$P220,MAP!$E$13))</f>
        <v>0</v>
      </c>
      <c r="T220" s="2">
        <f t="shared" si="1"/>
        <v>0</v>
      </c>
      <c r="U220" s="2">
        <f t="array" ref="U220">IF($P220="",0,INDEX(StatsZone,$P220,MAP!$E$14)+INDEX(StatsZone,$P220,MAP!$E$15)+INDEX(StatsZone,$P220,MAP!$E$16))</f>
        <v>0</v>
      </c>
      <c r="V220" s="2">
        <f t="shared" si="2"/>
        <v>0</v>
      </c>
      <c r="W220" s="2">
        <f t="shared" si="3"/>
        <v>0</v>
      </c>
      <c r="X220" s="2">
        <f t="shared" si="4"/>
        <v>0</v>
      </c>
      <c r="Y220" s="2">
        <f t="shared" si="5"/>
        <v>0</v>
      </c>
      <c r="Z220" s="2">
        <f t="shared" si="6"/>
        <v>0</v>
      </c>
      <c r="AA220" s="2">
        <f t="shared" si="7"/>
        <v>-1</v>
      </c>
      <c r="AB220" s="2">
        <f>IF(OR($M220="",$N220=""),0,MEDIAN(-MarginCap,MarginCap,($M220-$N220)-$AA220*HFA_Base))</f>
        <v>0</v>
      </c>
      <c r="AC220" s="2">
        <f t="array" ref="AC220">IF(OR($P220="",INDEX($P$3:$P$722,(ROW()+IF(MOD(ROW()-3,2)=0,1,-1))-3+1)=""),0,MEDIAN(-MarginCap,MarginCap,($T220-$W220)-$AA220*HFA_Base))</f>
        <v>0</v>
      </c>
      <c r="AD220" s="2">
        <f t="shared" si="8"/>
        <v>0</v>
      </c>
      <c r="AE220" s="2">
        <f>IF(OR($M220="",$N220=""),0,IF(AND(WEpa&gt;0,$AD220=1),(1-WEpa)*$AB220+WEpa*$AC220,$AB220))</f>
        <v>0</v>
      </c>
      <c r="AF220" s="2">
        <f>IF(AND($C220&lt;&gt;"",$E220=CurrentSeason,$F220="REG",ISNUMBER($G220),$G220&lt;CurrentWeek,AND($M220&lt;&gt;"",$N220&lt;&gt;"")),1,0)</f>
        <v>0</v>
      </c>
      <c r="AG220" s="2">
        <f>IF($AF220=0,0,IF($G220&gt;=CurrentWeek-RecencyWin,RecencyMult,1))</f>
        <v>0</v>
      </c>
      <c r="AH220" s="2">
        <f>IF(AND($C220&lt;&gt;"",$E220=CurrentSeason,$F220="REG",ISNUMBER($G220),$G220&lt;CurrentWeek-1,AND($M220&lt;&gt;"",$N220&lt;&gt;"")),1,0)</f>
        <v>0</v>
      </c>
      <c r="AI220" s="2">
        <f>IF($AH220=0,0,IF($G220&gt;=CurrentWeek-1-RecencyWin,RecencyMult,1))</f>
        <v>0</v>
      </c>
      <c r="AJ220" s="2">
        <f>IF($AF220=0,0,IF($G220&gt;=CurrentWeek-RecencyWin,TotRecency,1))</f>
        <v>0</v>
      </c>
      <c r="AK220" s="2">
        <f t="shared" si="9"/>
        <v>0</v>
      </c>
      <c r="AL220" s="2">
        <f t="shared" si="10"/>
        <v>0</v>
      </c>
      <c r="AM220" s="2" t="str">
        <f t="array" ref="AM220">IF($K220="",0,IFERROR(INDEX(CALC!$F$2:$F$33,MATCH($K220,CALC!$A$2:$A$33,0)),0))</f>
        <v/>
      </c>
      <c r="AN220" s="2" t="str">
        <f t="array" ref="AN220">IF($K220="",0,IFERROR(INDEX(CALC!$I$2:$I$33,MATCH($K220,CALC!$A$2:$A$33,0)),0))</f>
        <v/>
      </c>
      <c r="AO220" s="2" t="str">
        <f t="array" ref="AO220">IF($K220="",0,IFERROR(INDEX(CALC!$L$2:$L$33,MATCH($K220,CALC!$A$2:$A$33,0)),0))</f>
        <v/>
      </c>
      <c r="AP220" s="2" t="str">
        <f t="array" ref="AP220">IF($K220="",0,IFERROR(INDEX(CALC!$T$2:$T$33,MATCH($K220,CALC!$A$2:$A$33,0)),0))</f>
        <v/>
      </c>
      <c r="AQ220" s="2" t="str">
        <f t="array" ref="AQ220">IF($K220="",0,IFERROR(INDEX(CALC!$W$2:$W$33,MATCH($K220,CALC!$A$2:$A$33,0)),0))</f>
        <v/>
      </c>
      <c r="AR220" s="2" t="str">
        <f t="array" ref="AR220">IF($K220="",0,IFERROR(INDEX(CALC!$Z$2:$Z$33,MATCH($K220,CALC!$A$2:$A$33,0)),0))</f>
        <v/>
      </c>
      <c r="AS220" s="2" t="str">
        <f t="array" ref="AS220">IF($K220="",0,IFERROR(INDEX(CALC!$AJ$2:$AJ$33,MATCH($K220,CALC!$A$2:$A$33,0)),0))</f>
        <v/>
      </c>
      <c r="AT220" s="2" t="str">
        <f t="array" ref="AT220">IF($K220="",0,IFERROR(INDEX(CALC!$AI$2:$AI$33,MATCH($K220,CALC!$A$2:$A$33,0)),0))</f>
        <v/>
      </c>
      <c r="AU220" s="2">
        <f t="shared" si="11"/>
        <v>0</v>
      </c>
      <c r="AV220" s="2">
        <f t="shared" si="12"/>
        <v>0</v>
      </c>
    </row>
    <row r="221" ht="15.0" customHeight="1">
      <c r="A221" s="2">
        <v>110.0</v>
      </c>
      <c r="B221" s="2" t="s">
        <v>2365</v>
      </c>
      <c r="C221" s="2">
        <f>IFERROR(MATCH($A221,SchedSeq,0),"")</f>
        <v>395</v>
      </c>
      <c r="D221" s="2" t="str">
        <f t="array" ref="D221">IF($C221="","",INDEX(SchedZone,$C221,MAP!$B$6))</f>
        <v>2026_08_TEN_CIN</v>
      </c>
      <c r="E221" s="2">
        <f t="array" ref="E221">IF($C221="","",INDEX(SchedZone,$C221,MAP!$B$3))</f>
        <v>2026</v>
      </c>
      <c r="F221" s="2" t="str">
        <f t="array" ref="F221">IF($C221="","",INDEX(SchedZone,$C221,MAP!$B$5))</f>
        <v>REG</v>
      </c>
      <c r="G221" s="2">
        <f t="array" ref="G221">IF($C221="","",INDEX(SchedZone,$C221,MAP!$B$4))</f>
        <v>8</v>
      </c>
      <c r="H221" s="2" t="str">
        <f t="array" ref="H221">IF($C221="","",INDEX(SchedZone,$C221,MAP!$B$12))</f>
        <v>CIN</v>
      </c>
      <c r="I221" s="2" t="str">
        <f t="array" ref="I221">IF($H221="","",IF(COUNTIF(Teams,$H221)&gt;0,$H221,IFERROR(INDEX(LISTS!$D$2:$D$12,MATCH($H221,LISTS!$C$2:$C$12,0)),"⚠ "&amp;$H221)))</f>
        <v>CIN</v>
      </c>
      <c r="J221" s="2" t="str">
        <f t="array" ref="J221">IF($C221="","",INDEX(SchedZone,$C221,MAP!$B$10))</f>
        <v>TEN</v>
      </c>
      <c r="K221" s="2" t="str">
        <f t="array" ref="K221">IF($J221="","",IF(COUNTIF(Teams,$J221)&gt;0,$J221,IFERROR(INDEX(LISTS!$D$2:$D$12,MATCH($J221,LISTS!$C$2:$C$12,0)),"⚠ "&amp;$J221)))</f>
        <v>TEN</v>
      </c>
      <c r="L221" s="2" t="str">
        <f t="array" ref="L221">IF($C221="","",IF(INDEX(SchedZone,$C221,MAP!$B$14)="Neutral","N",IF($B221="HOME","H","A")))</f>
        <v>H</v>
      </c>
      <c r="M221" s="2" t="str">
        <f t="array" ref="M221">IF($C221="","",IF(INDEX(SchedZone,$C221,MAP!$B$13)="","",INDEX(SchedZone,$C221,MAP!$B$13)))</f>
        <v/>
      </c>
      <c r="N221" s="2" t="str">
        <f t="array" ref="N221">IF($C221="","",IF(INDEX(SchedZone,$C221,MAP!$B$11)="","",INDEX(SchedZone,$C221,MAP!$B$11)))</f>
        <v/>
      </c>
      <c r="O221" s="2">
        <f t="array" ref="O221">IF($C221="","",INDEX(SchedZone,$C221,MAP!$B$16))</f>
        <v>7</v>
      </c>
      <c r="P221" s="2" t="str">
        <f>IF($C221="","",IFERROR(MATCH($E221&amp;"|"&amp;$G221&amp;"|"&amp;$I221,StatsKey,0),""))</f>
        <v/>
      </c>
      <c r="Q221" s="2">
        <f t="array" ref="Q221">IF($P221="",0,INDEX(StatsZone,$P221,MAP!$E$9)+INDEX(StatsZone,$P221,MAP!$E$10)+INDEX(StatsZone,$P221,MAP!$E$11))</f>
        <v>0</v>
      </c>
      <c r="R221" s="2">
        <f t="array" ref="R221">IF($P221="",0,INDEX(StatsZone,$P221,MAP!$E$12))</f>
        <v>0</v>
      </c>
      <c r="S221" s="2">
        <f t="array" ref="S221">IF($P221="",0,INDEX(StatsZone,$P221,MAP!$E$13))</f>
        <v>0</v>
      </c>
      <c r="T221" s="2">
        <f t="shared" si="1"/>
        <v>0</v>
      </c>
      <c r="U221" s="2">
        <f t="array" ref="U221">IF($P221="",0,INDEX(StatsZone,$P221,MAP!$E$14)+INDEX(StatsZone,$P221,MAP!$E$15)+INDEX(StatsZone,$P221,MAP!$E$16))</f>
        <v>0</v>
      </c>
      <c r="V221" s="2">
        <f t="shared" si="2"/>
        <v>0</v>
      </c>
      <c r="W221" s="2">
        <f t="shared" si="3"/>
        <v>0</v>
      </c>
      <c r="X221" s="2">
        <f t="shared" si="4"/>
        <v>0</v>
      </c>
      <c r="Y221" s="2">
        <f t="shared" si="5"/>
        <v>0</v>
      </c>
      <c r="Z221" s="2">
        <f t="shared" si="6"/>
        <v>0</v>
      </c>
      <c r="AA221" s="2">
        <f t="shared" si="7"/>
        <v>1</v>
      </c>
      <c r="AB221" s="2">
        <f>IF(OR($M221="",$N221=""),0,MEDIAN(-MarginCap,MarginCap,($M221-$N221)-$AA221*HFA_Base))</f>
        <v>0</v>
      </c>
      <c r="AC221" s="2">
        <f t="array" ref="AC221">IF(OR($P221="",INDEX($P$3:$P$722,(ROW()+IF(MOD(ROW()-3,2)=0,1,-1))-3+1)=""),0,MEDIAN(-MarginCap,MarginCap,($T221-$W221)-$AA221*HFA_Base))</f>
        <v>0</v>
      </c>
      <c r="AD221" s="2">
        <f t="shared" si="8"/>
        <v>0</v>
      </c>
      <c r="AE221" s="2">
        <f>IF(OR($M221="",$N221=""),0,IF(AND(WEpa&gt;0,$AD221=1),(1-WEpa)*$AB221+WEpa*$AC221,$AB221))</f>
        <v>0</v>
      </c>
      <c r="AF221" s="2">
        <f>IF(AND($C221&lt;&gt;"",$E221=CurrentSeason,$F221="REG",ISNUMBER($G221),$G221&lt;CurrentWeek,AND($M221&lt;&gt;"",$N221&lt;&gt;"")),1,0)</f>
        <v>0</v>
      </c>
      <c r="AG221" s="2">
        <f>IF($AF221=0,0,IF($G221&gt;=CurrentWeek-RecencyWin,RecencyMult,1))</f>
        <v>0</v>
      </c>
      <c r="AH221" s="2">
        <f>IF(AND($C221&lt;&gt;"",$E221=CurrentSeason,$F221="REG",ISNUMBER($G221),$G221&lt;CurrentWeek-1,AND($M221&lt;&gt;"",$N221&lt;&gt;"")),1,0)</f>
        <v>0</v>
      </c>
      <c r="AI221" s="2">
        <f>IF($AH221=0,0,IF($G221&gt;=CurrentWeek-1-RecencyWin,RecencyMult,1))</f>
        <v>0</v>
      </c>
      <c r="AJ221" s="2">
        <f>IF($AF221=0,0,IF($G221&gt;=CurrentWeek-RecencyWin,TotRecency,1))</f>
        <v>0</v>
      </c>
      <c r="AK221" s="2">
        <f t="shared" si="9"/>
        <v>0</v>
      </c>
      <c r="AL221" s="2">
        <f t="shared" si="10"/>
        <v>0</v>
      </c>
      <c r="AM221" s="2" t="str">
        <f t="array" ref="AM221">IF($K221="",0,IFERROR(INDEX(CALC!$F$2:$F$33,MATCH($K221,CALC!$A$2:$A$33,0)),0))</f>
        <v/>
      </c>
      <c r="AN221" s="2" t="str">
        <f t="array" ref="AN221">IF($K221="",0,IFERROR(INDEX(CALC!$I$2:$I$33,MATCH($K221,CALC!$A$2:$A$33,0)),0))</f>
        <v/>
      </c>
      <c r="AO221" s="2" t="str">
        <f t="array" ref="AO221">IF($K221="",0,IFERROR(INDEX(CALC!$L$2:$L$33,MATCH($K221,CALC!$A$2:$A$33,0)),0))</f>
        <v/>
      </c>
      <c r="AP221" s="2" t="str">
        <f t="array" ref="AP221">IF($K221="",0,IFERROR(INDEX(CALC!$T$2:$T$33,MATCH($K221,CALC!$A$2:$A$33,0)),0))</f>
        <v/>
      </c>
      <c r="AQ221" s="2" t="str">
        <f t="array" ref="AQ221">IF($K221="",0,IFERROR(INDEX(CALC!$W$2:$W$33,MATCH($K221,CALC!$A$2:$A$33,0)),0))</f>
        <v/>
      </c>
      <c r="AR221" s="2" t="str">
        <f t="array" ref="AR221">IF($K221="",0,IFERROR(INDEX(CALC!$Z$2:$Z$33,MATCH($K221,CALC!$A$2:$A$33,0)),0))</f>
        <v/>
      </c>
      <c r="AS221" s="2" t="str">
        <f t="array" ref="AS221">IF($K221="",0,IFERROR(INDEX(CALC!$AJ$2:$AJ$33,MATCH($K221,CALC!$A$2:$A$33,0)),0))</f>
        <v/>
      </c>
      <c r="AT221" s="2" t="str">
        <f t="array" ref="AT221">IF($K221="",0,IFERROR(INDEX(CALC!$AI$2:$AI$33,MATCH($K221,CALC!$A$2:$A$33,0)),0))</f>
        <v/>
      </c>
      <c r="AU221" s="2">
        <f t="shared" si="11"/>
        <v>0</v>
      </c>
      <c r="AV221" s="2">
        <f t="shared" si="12"/>
        <v>0</v>
      </c>
    </row>
    <row r="222" ht="15.0" customHeight="1">
      <c r="A222" s="2">
        <v>110.0</v>
      </c>
      <c r="B222" s="2" t="s">
        <v>2366</v>
      </c>
      <c r="C222" s="2">
        <f>IFERROR(MATCH($A222,SchedSeq,0),"")</f>
        <v>395</v>
      </c>
      <c r="D222" s="2" t="str">
        <f t="array" ref="D222">IF($C222="","",INDEX(SchedZone,$C222,MAP!$B$6))</f>
        <v>2026_08_TEN_CIN</v>
      </c>
      <c r="E222" s="2">
        <f t="array" ref="E222">IF($C222="","",INDEX(SchedZone,$C222,MAP!$B$3))</f>
        <v>2026</v>
      </c>
      <c r="F222" s="2" t="str">
        <f t="array" ref="F222">IF($C222="","",INDEX(SchedZone,$C222,MAP!$B$5))</f>
        <v>REG</v>
      </c>
      <c r="G222" s="2">
        <f t="array" ref="G222">IF($C222="","",INDEX(SchedZone,$C222,MAP!$B$4))</f>
        <v>8</v>
      </c>
      <c r="H222" s="2" t="str">
        <f t="array" ref="H222">IF($C222="","",INDEX(SchedZone,$C222,MAP!$B$10))</f>
        <v>TEN</v>
      </c>
      <c r="I222" s="2" t="str">
        <f t="array" ref="I222">IF($H222="","",IF(COUNTIF(Teams,$H222)&gt;0,$H222,IFERROR(INDEX(LISTS!$D$2:$D$12,MATCH($H222,LISTS!$C$2:$C$12,0)),"⚠ "&amp;$H222)))</f>
        <v>TEN</v>
      </c>
      <c r="J222" s="2" t="str">
        <f t="array" ref="J222">IF($C222="","",INDEX(SchedZone,$C222,MAP!$B$12))</f>
        <v>CIN</v>
      </c>
      <c r="K222" s="2" t="str">
        <f t="array" ref="K222">IF($J222="","",IF(COUNTIF(Teams,$J222)&gt;0,$J222,IFERROR(INDEX(LISTS!$D$2:$D$12,MATCH($J222,LISTS!$C$2:$C$12,0)),"⚠ "&amp;$J222)))</f>
        <v>CIN</v>
      </c>
      <c r="L222" s="2" t="str">
        <f t="array" ref="L222">IF($C222="","",IF(INDEX(SchedZone,$C222,MAP!$B$14)="Neutral","N",IF($B222="HOME","H","A")))</f>
        <v>A</v>
      </c>
      <c r="M222" s="2" t="str">
        <f t="array" ref="M222">IF($C222="","",IF(INDEX(SchedZone,$C222,MAP!$B$11)="","",INDEX(SchedZone,$C222,MAP!$B$11)))</f>
        <v/>
      </c>
      <c r="N222" s="2" t="str">
        <f t="array" ref="N222">IF($C222="","",IF(INDEX(SchedZone,$C222,MAP!$B$13)="","",INDEX(SchedZone,$C222,MAP!$B$13)))</f>
        <v/>
      </c>
      <c r="O222" s="2">
        <f t="array" ref="O222">IF($C222="","",INDEX(SchedZone,$C222,MAP!$B$15))</f>
        <v>7</v>
      </c>
      <c r="P222" s="2" t="str">
        <f>IF($C222="","",IFERROR(MATCH($E222&amp;"|"&amp;$G222&amp;"|"&amp;$I222,StatsKey,0),""))</f>
        <v/>
      </c>
      <c r="Q222" s="2">
        <f t="array" ref="Q222">IF($P222="",0,INDEX(StatsZone,$P222,MAP!$E$9)+INDEX(StatsZone,$P222,MAP!$E$10)+INDEX(StatsZone,$P222,MAP!$E$11))</f>
        <v>0</v>
      </c>
      <c r="R222" s="2">
        <f t="array" ref="R222">IF($P222="",0,INDEX(StatsZone,$P222,MAP!$E$12))</f>
        <v>0</v>
      </c>
      <c r="S222" s="2">
        <f t="array" ref="S222">IF($P222="",0,INDEX(StatsZone,$P222,MAP!$E$13))</f>
        <v>0</v>
      </c>
      <c r="T222" s="2">
        <f t="shared" si="1"/>
        <v>0</v>
      </c>
      <c r="U222" s="2">
        <f t="array" ref="U222">IF($P222="",0,INDEX(StatsZone,$P222,MAP!$E$14)+INDEX(StatsZone,$P222,MAP!$E$15)+INDEX(StatsZone,$P222,MAP!$E$16))</f>
        <v>0</v>
      </c>
      <c r="V222" s="2">
        <f t="shared" si="2"/>
        <v>0</v>
      </c>
      <c r="W222" s="2">
        <f t="shared" si="3"/>
        <v>0</v>
      </c>
      <c r="X222" s="2">
        <f t="shared" si="4"/>
        <v>0</v>
      </c>
      <c r="Y222" s="2">
        <f t="shared" si="5"/>
        <v>0</v>
      </c>
      <c r="Z222" s="2">
        <f t="shared" si="6"/>
        <v>0</v>
      </c>
      <c r="AA222" s="2">
        <f t="shared" si="7"/>
        <v>-1</v>
      </c>
      <c r="AB222" s="2">
        <f>IF(OR($M222="",$N222=""),0,MEDIAN(-MarginCap,MarginCap,($M222-$N222)-$AA222*HFA_Base))</f>
        <v>0</v>
      </c>
      <c r="AC222" s="2">
        <f t="array" ref="AC222">IF(OR($P222="",INDEX($P$3:$P$722,(ROW()+IF(MOD(ROW()-3,2)=0,1,-1))-3+1)=""),0,MEDIAN(-MarginCap,MarginCap,($T222-$W222)-$AA222*HFA_Base))</f>
        <v>0</v>
      </c>
      <c r="AD222" s="2">
        <f t="shared" si="8"/>
        <v>0</v>
      </c>
      <c r="AE222" s="2">
        <f>IF(OR($M222="",$N222=""),0,IF(AND(WEpa&gt;0,$AD222=1),(1-WEpa)*$AB222+WEpa*$AC222,$AB222))</f>
        <v>0</v>
      </c>
      <c r="AF222" s="2">
        <f>IF(AND($C222&lt;&gt;"",$E222=CurrentSeason,$F222="REG",ISNUMBER($G222),$G222&lt;CurrentWeek,AND($M222&lt;&gt;"",$N222&lt;&gt;"")),1,0)</f>
        <v>0</v>
      </c>
      <c r="AG222" s="2">
        <f>IF($AF222=0,0,IF($G222&gt;=CurrentWeek-RecencyWin,RecencyMult,1))</f>
        <v>0</v>
      </c>
      <c r="AH222" s="2">
        <f>IF(AND($C222&lt;&gt;"",$E222=CurrentSeason,$F222="REG",ISNUMBER($G222),$G222&lt;CurrentWeek-1,AND($M222&lt;&gt;"",$N222&lt;&gt;"")),1,0)</f>
        <v>0</v>
      </c>
      <c r="AI222" s="2">
        <f>IF($AH222=0,0,IF($G222&gt;=CurrentWeek-1-RecencyWin,RecencyMult,1))</f>
        <v>0</v>
      </c>
      <c r="AJ222" s="2">
        <f>IF($AF222=0,0,IF($G222&gt;=CurrentWeek-RecencyWin,TotRecency,1))</f>
        <v>0</v>
      </c>
      <c r="AK222" s="2">
        <f t="shared" si="9"/>
        <v>0</v>
      </c>
      <c r="AL222" s="2">
        <f t="shared" si="10"/>
        <v>0</v>
      </c>
      <c r="AM222" s="2" t="str">
        <f t="array" ref="AM222">IF($K222="",0,IFERROR(INDEX(CALC!$F$2:$F$33,MATCH($K222,CALC!$A$2:$A$33,0)),0))</f>
        <v/>
      </c>
      <c r="AN222" s="2" t="str">
        <f t="array" ref="AN222">IF($K222="",0,IFERROR(INDEX(CALC!$I$2:$I$33,MATCH($K222,CALC!$A$2:$A$33,0)),0))</f>
        <v/>
      </c>
      <c r="AO222" s="2" t="str">
        <f t="array" ref="AO222">IF($K222="",0,IFERROR(INDEX(CALC!$L$2:$L$33,MATCH($K222,CALC!$A$2:$A$33,0)),0))</f>
        <v/>
      </c>
      <c r="AP222" s="2" t="str">
        <f t="array" ref="AP222">IF($K222="",0,IFERROR(INDEX(CALC!$T$2:$T$33,MATCH($K222,CALC!$A$2:$A$33,0)),0))</f>
        <v/>
      </c>
      <c r="AQ222" s="2" t="str">
        <f t="array" ref="AQ222">IF($K222="",0,IFERROR(INDEX(CALC!$W$2:$W$33,MATCH($K222,CALC!$A$2:$A$33,0)),0))</f>
        <v/>
      </c>
      <c r="AR222" s="2" t="str">
        <f t="array" ref="AR222">IF($K222="",0,IFERROR(INDEX(CALC!$Z$2:$Z$33,MATCH($K222,CALC!$A$2:$A$33,0)),0))</f>
        <v/>
      </c>
      <c r="AS222" s="2" t="str">
        <f t="array" ref="AS222">IF($K222="",0,IFERROR(INDEX(CALC!$AJ$2:$AJ$33,MATCH($K222,CALC!$A$2:$A$33,0)),0))</f>
        <v/>
      </c>
      <c r="AT222" s="2" t="str">
        <f t="array" ref="AT222">IF($K222="",0,IFERROR(INDEX(CALC!$AI$2:$AI$33,MATCH($K222,CALC!$A$2:$A$33,0)),0))</f>
        <v/>
      </c>
      <c r="AU222" s="2">
        <f t="shared" si="11"/>
        <v>0</v>
      </c>
      <c r="AV222" s="2">
        <f t="shared" si="12"/>
        <v>0</v>
      </c>
    </row>
    <row r="223" ht="15.0" customHeight="1">
      <c r="A223" s="2">
        <v>111.0</v>
      </c>
      <c r="B223" s="2" t="s">
        <v>2365</v>
      </c>
      <c r="C223" s="2">
        <f>IFERROR(MATCH($A223,SchedSeq,0),"")</f>
        <v>396</v>
      </c>
      <c r="D223" s="2" t="str">
        <f t="array" ref="D223">IF($C223="","",INDEX(SchedZone,$C223,MAP!$B$6))</f>
        <v>2026_08_ARI_DAL</v>
      </c>
      <c r="E223" s="2">
        <f t="array" ref="E223">IF($C223="","",INDEX(SchedZone,$C223,MAP!$B$3))</f>
        <v>2026</v>
      </c>
      <c r="F223" s="2" t="str">
        <f t="array" ref="F223">IF($C223="","",INDEX(SchedZone,$C223,MAP!$B$5))</f>
        <v>REG</v>
      </c>
      <c r="G223" s="2">
        <f t="array" ref="G223">IF($C223="","",INDEX(SchedZone,$C223,MAP!$B$4))</f>
        <v>8</v>
      </c>
      <c r="H223" s="2" t="str">
        <f t="array" ref="H223">IF($C223="","",INDEX(SchedZone,$C223,MAP!$B$12))</f>
        <v>DAL</v>
      </c>
      <c r="I223" s="2" t="str">
        <f t="array" ref="I223">IF($H223="","",IF(COUNTIF(Teams,$H223)&gt;0,$H223,IFERROR(INDEX(LISTS!$D$2:$D$12,MATCH($H223,LISTS!$C$2:$C$12,0)),"⚠ "&amp;$H223)))</f>
        <v>DAL</v>
      </c>
      <c r="J223" s="2" t="str">
        <f t="array" ref="J223">IF($C223="","",INDEX(SchedZone,$C223,MAP!$B$10))</f>
        <v>ARI</v>
      </c>
      <c r="K223" s="2" t="str">
        <f t="array" ref="K223">IF($J223="","",IF(COUNTIF(Teams,$J223)&gt;0,$J223,IFERROR(INDEX(LISTS!$D$2:$D$12,MATCH($J223,LISTS!$C$2:$C$12,0)),"⚠ "&amp;$J223)))</f>
        <v>ARI</v>
      </c>
      <c r="L223" s="2" t="str">
        <f t="array" ref="L223">IF($C223="","",IF(INDEX(SchedZone,$C223,MAP!$B$14)="Neutral","N",IF($B223="HOME","H","A")))</f>
        <v>H</v>
      </c>
      <c r="M223" s="2" t="str">
        <f t="array" ref="M223">IF($C223="","",IF(INDEX(SchedZone,$C223,MAP!$B$13)="","",INDEX(SchedZone,$C223,MAP!$B$13)))</f>
        <v/>
      </c>
      <c r="N223" s="2" t="str">
        <f t="array" ref="N223">IF($C223="","",IF(INDEX(SchedZone,$C223,MAP!$B$11)="","",INDEX(SchedZone,$C223,MAP!$B$11)))</f>
        <v/>
      </c>
      <c r="O223" s="2">
        <f t="array" ref="O223">IF($C223="","",INDEX(SchedZone,$C223,MAP!$B$16))</f>
        <v>6</v>
      </c>
      <c r="P223" s="2" t="str">
        <f>IF($C223="","",IFERROR(MATCH($E223&amp;"|"&amp;$G223&amp;"|"&amp;$I223,StatsKey,0),""))</f>
        <v/>
      </c>
      <c r="Q223" s="2">
        <f t="array" ref="Q223">IF($P223="",0,INDEX(StatsZone,$P223,MAP!$E$9)+INDEX(StatsZone,$P223,MAP!$E$10)+INDEX(StatsZone,$P223,MAP!$E$11))</f>
        <v>0</v>
      </c>
      <c r="R223" s="2">
        <f t="array" ref="R223">IF($P223="",0,INDEX(StatsZone,$P223,MAP!$E$12))</f>
        <v>0</v>
      </c>
      <c r="S223" s="2">
        <f t="array" ref="S223">IF($P223="",0,INDEX(StatsZone,$P223,MAP!$E$13))</f>
        <v>0</v>
      </c>
      <c r="T223" s="2">
        <f t="shared" si="1"/>
        <v>0</v>
      </c>
      <c r="U223" s="2">
        <f t="array" ref="U223">IF($P223="",0,INDEX(StatsZone,$P223,MAP!$E$14)+INDEX(StatsZone,$P223,MAP!$E$15)+INDEX(StatsZone,$P223,MAP!$E$16))</f>
        <v>0</v>
      </c>
      <c r="V223" s="2">
        <f t="shared" si="2"/>
        <v>0</v>
      </c>
      <c r="W223" s="2">
        <f t="shared" si="3"/>
        <v>0</v>
      </c>
      <c r="X223" s="2">
        <f t="shared" si="4"/>
        <v>0</v>
      </c>
      <c r="Y223" s="2">
        <f t="shared" si="5"/>
        <v>0</v>
      </c>
      <c r="Z223" s="2">
        <f t="shared" si="6"/>
        <v>0</v>
      </c>
      <c r="AA223" s="2">
        <f t="shared" si="7"/>
        <v>1</v>
      </c>
      <c r="AB223" s="2">
        <f>IF(OR($M223="",$N223=""),0,MEDIAN(-MarginCap,MarginCap,($M223-$N223)-$AA223*HFA_Base))</f>
        <v>0</v>
      </c>
      <c r="AC223" s="2">
        <f t="array" ref="AC223">IF(OR($P223="",INDEX($P$3:$P$722,(ROW()+IF(MOD(ROW()-3,2)=0,1,-1))-3+1)=""),0,MEDIAN(-MarginCap,MarginCap,($T223-$W223)-$AA223*HFA_Base))</f>
        <v>0</v>
      </c>
      <c r="AD223" s="2">
        <f t="shared" si="8"/>
        <v>0</v>
      </c>
      <c r="AE223" s="2">
        <f>IF(OR($M223="",$N223=""),0,IF(AND(WEpa&gt;0,$AD223=1),(1-WEpa)*$AB223+WEpa*$AC223,$AB223))</f>
        <v>0</v>
      </c>
      <c r="AF223" s="2">
        <f>IF(AND($C223&lt;&gt;"",$E223=CurrentSeason,$F223="REG",ISNUMBER($G223),$G223&lt;CurrentWeek,AND($M223&lt;&gt;"",$N223&lt;&gt;"")),1,0)</f>
        <v>0</v>
      </c>
      <c r="AG223" s="2">
        <f>IF($AF223=0,0,IF($G223&gt;=CurrentWeek-RecencyWin,RecencyMult,1))</f>
        <v>0</v>
      </c>
      <c r="AH223" s="2">
        <f>IF(AND($C223&lt;&gt;"",$E223=CurrentSeason,$F223="REG",ISNUMBER($G223),$G223&lt;CurrentWeek-1,AND($M223&lt;&gt;"",$N223&lt;&gt;"")),1,0)</f>
        <v>0</v>
      </c>
      <c r="AI223" s="2">
        <f>IF($AH223=0,0,IF($G223&gt;=CurrentWeek-1-RecencyWin,RecencyMult,1))</f>
        <v>0</v>
      </c>
      <c r="AJ223" s="2">
        <f>IF($AF223=0,0,IF($G223&gt;=CurrentWeek-RecencyWin,TotRecency,1))</f>
        <v>0</v>
      </c>
      <c r="AK223" s="2">
        <f t="shared" si="9"/>
        <v>0</v>
      </c>
      <c r="AL223" s="2">
        <f t="shared" si="10"/>
        <v>0</v>
      </c>
      <c r="AM223" s="2" t="str">
        <f t="array" ref="AM223">IF($K223="",0,IFERROR(INDEX(CALC!$F$2:$F$33,MATCH($K223,CALC!$A$2:$A$33,0)),0))</f>
        <v/>
      </c>
      <c r="AN223" s="2" t="str">
        <f t="array" ref="AN223">IF($K223="",0,IFERROR(INDEX(CALC!$I$2:$I$33,MATCH($K223,CALC!$A$2:$A$33,0)),0))</f>
        <v/>
      </c>
      <c r="AO223" s="2" t="str">
        <f t="array" ref="AO223">IF($K223="",0,IFERROR(INDEX(CALC!$L$2:$L$33,MATCH($K223,CALC!$A$2:$A$33,0)),0))</f>
        <v/>
      </c>
      <c r="AP223" s="2" t="str">
        <f t="array" ref="AP223">IF($K223="",0,IFERROR(INDEX(CALC!$T$2:$T$33,MATCH($K223,CALC!$A$2:$A$33,0)),0))</f>
        <v/>
      </c>
      <c r="AQ223" s="2" t="str">
        <f t="array" ref="AQ223">IF($K223="",0,IFERROR(INDEX(CALC!$W$2:$W$33,MATCH($K223,CALC!$A$2:$A$33,0)),0))</f>
        <v/>
      </c>
      <c r="AR223" s="2" t="str">
        <f t="array" ref="AR223">IF($K223="",0,IFERROR(INDEX(CALC!$Z$2:$Z$33,MATCH($K223,CALC!$A$2:$A$33,0)),0))</f>
        <v/>
      </c>
      <c r="AS223" s="2" t="str">
        <f t="array" ref="AS223">IF($K223="",0,IFERROR(INDEX(CALC!$AJ$2:$AJ$33,MATCH($K223,CALC!$A$2:$A$33,0)),0))</f>
        <v/>
      </c>
      <c r="AT223" s="2" t="str">
        <f t="array" ref="AT223">IF($K223="",0,IFERROR(INDEX(CALC!$AI$2:$AI$33,MATCH($K223,CALC!$A$2:$A$33,0)),0))</f>
        <v/>
      </c>
      <c r="AU223" s="2">
        <f t="shared" si="11"/>
        <v>0</v>
      </c>
      <c r="AV223" s="2">
        <f t="shared" si="12"/>
        <v>0</v>
      </c>
    </row>
    <row r="224" ht="15.0" customHeight="1">
      <c r="A224" s="2">
        <v>111.0</v>
      </c>
      <c r="B224" s="2" t="s">
        <v>2366</v>
      </c>
      <c r="C224" s="2">
        <f>IFERROR(MATCH($A224,SchedSeq,0),"")</f>
        <v>396</v>
      </c>
      <c r="D224" s="2" t="str">
        <f t="array" ref="D224">IF($C224="","",INDEX(SchedZone,$C224,MAP!$B$6))</f>
        <v>2026_08_ARI_DAL</v>
      </c>
      <c r="E224" s="2">
        <f t="array" ref="E224">IF($C224="","",INDEX(SchedZone,$C224,MAP!$B$3))</f>
        <v>2026</v>
      </c>
      <c r="F224" s="2" t="str">
        <f t="array" ref="F224">IF($C224="","",INDEX(SchedZone,$C224,MAP!$B$5))</f>
        <v>REG</v>
      </c>
      <c r="G224" s="2">
        <f t="array" ref="G224">IF($C224="","",INDEX(SchedZone,$C224,MAP!$B$4))</f>
        <v>8</v>
      </c>
      <c r="H224" s="2" t="str">
        <f t="array" ref="H224">IF($C224="","",INDEX(SchedZone,$C224,MAP!$B$10))</f>
        <v>ARI</v>
      </c>
      <c r="I224" s="2" t="str">
        <f t="array" ref="I224">IF($H224="","",IF(COUNTIF(Teams,$H224)&gt;0,$H224,IFERROR(INDEX(LISTS!$D$2:$D$12,MATCH($H224,LISTS!$C$2:$C$12,0)),"⚠ "&amp;$H224)))</f>
        <v>ARI</v>
      </c>
      <c r="J224" s="2" t="str">
        <f t="array" ref="J224">IF($C224="","",INDEX(SchedZone,$C224,MAP!$B$12))</f>
        <v>DAL</v>
      </c>
      <c r="K224" s="2" t="str">
        <f t="array" ref="K224">IF($J224="","",IF(COUNTIF(Teams,$J224)&gt;0,$J224,IFERROR(INDEX(LISTS!$D$2:$D$12,MATCH($J224,LISTS!$C$2:$C$12,0)),"⚠ "&amp;$J224)))</f>
        <v>DAL</v>
      </c>
      <c r="L224" s="2" t="str">
        <f t="array" ref="L224">IF($C224="","",IF(INDEX(SchedZone,$C224,MAP!$B$14)="Neutral","N",IF($B224="HOME","H","A")))</f>
        <v>A</v>
      </c>
      <c r="M224" s="2" t="str">
        <f t="array" ref="M224">IF($C224="","",IF(INDEX(SchedZone,$C224,MAP!$B$11)="","",INDEX(SchedZone,$C224,MAP!$B$11)))</f>
        <v/>
      </c>
      <c r="N224" s="2" t="str">
        <f t="array" ref="N224">IF($C224="","",IF(INDEX(SchedZone,$C224,MAP!$B$13)="","",INDEX(SchedZone,$C224,MAP!$B$13)))</f>
        <v/>
      </c>
      <c r="O224" s="2">
        <f t="array" ref="O224">IF($C224="","",INDEX(SchedZone,$C224,MAP!$B$15))</f>
        <v>7</v>
      </c>
      <c r="P224" s="2" t="str">
        <f>IF($C224="","",IFERROR(MATCH($E224&amp;"|"&amp;$G224&amp;"|"&amp;$I224,StatsKey,0),""))</f>
        <v/>
      </c>
      <c r="Q224" s="2">
        <f t="array" ref="Q224">IF($P224="",0,INDEX(StatsZone,$P224,MAP!$E$9)+INDEX(StatsZone,$P224,MAP!$E$10)+INDEX(StatsZone,$P224,MAP!$E$11))</f>
        <v>0</v>
      </c>
      <c r="R224" s="2">
        <f t="array" ref="R224">IF($P224="",0,INDEX(StatsZone,$P224,MAP!$E$12))</f>
        <v>0</v>
      </c>
      <c r="S224" s="2">
        <f t="array" ref="S224">IF($P224="",0,INDEX(StatsZone,$P224,MAP!$E$13))</f>
        <v>0</v>
      </c>
      <c r="T224" s="2">
        <f t="shared" si="1"/>
        <v>0</v>
      </c>
      <c r="U224" s="2">
        <f t="array" ref="U224">IF($P224="",0,INDEX(StatsZone,$P224,MAP!$E$14)+INDEX(StatsZone,$P224,MAP!$E$15)+INDEX(StatsZone,$P224,MAP!$E$16))</f>
        <v>0</v>
      </c>
      <c r="V224" s="2">
        <f t="shared" si="2"/>
        <v>0</v>
      </c>
      <c r="W224" s="2">
        <f t="shared" si="3"/>
        <v>0</v>
      </c>
      <c r="X224" s="2">
        <f t="shared" si="4"/>
        <v>0</v>
      </c>
      <c r="Y224" s="2">
        <f t="shared" si="5"/>
        <v>0</v>
      </c>
      <c r="Z224" s="2">
        <f t="shared" si="6"/>
        <v>0</v>
      </c>
      <c r="AA224" s="2">
        <f t="shared" si="7"/>
        <v>-1</v>
      </c>
      <c r="AB224" s="2">
        <f>IF(OR($M224="",$N224=""),0,MEDIAN(-MarginCap,MarginCap,($M224-$N224)-$AA224*HFA_Base))</f>
        <v>0</v>
      </c>
      <c r="AC224" s="2">
        <f t="array" ref="AC224">IF(OR($P224="",INDEX($P$3:$P$722,(ROW()+IF(MOD(ROW()-3,2)=0,1,-1))-3+1)=""),0,MEDIAN(-MarginCap,MarginCap,($T224-$W224)-$AA224*HFA_Base))</f>
        <v>0</v>
      </c>
      <c r="AD224" s="2">
        <f t="shared" si="8"/>
        <v>0</v>
      </c>
      <c r="AE224" s="2">
        <f>IF(OR($M224="",$N224=""),0,IF(AND(WEpa&gt;0,$AD224=1),(1-WEpa)*$AB224+WEpa*$AC224,$AB224))</f>
        <v>0</v>
      </c>
      <c r="AF224" s="2">
        <f>IF(AND($C224&lt;&gt;"",$E224=CurrentSeason,$F224="REG",ISNUMBER($G224),$G224&lt;CurrentWeek,AND($M224&lt;&gt;"",$N224&lt;&gt;"")),1,0)</f>
        <v>0</v>
      </c>
      <c r="AG224" s="2">
        <f>IF($AF224=0,0,IF($G224&gt;=CurrentWeek-RecencyWin,RecencyMult,1))</f>
        <v>0</v>
      </c>
      <c r="AH224" s="2">
        <f>IF(AND($C224&lt;&gt;"",$E224=CurrentSeason,$F224="REG",ISNUMBER($G224),$G224&lt;CurrentWeek-1,AND($M224&lt;&gt;"",$N224&lt;&gt;"")),1,0)</f>
        <v>0</v>
      </c>
      <c r="AI224" s="2">
        <f>IF($AH224=0,0,IF($G224&gt;=CurrentWeek-1-RecencyWin,RecencyMult,1))</f>
        <v>0</v>
      </c>
      <c r="AJ224" s="2">
        <f>IF($AF224=0,0,IF($G224&gt;=CurrentWeek-RecencyWin,TotRecency,1))</f>
        <v>0</v>
      </c>
      <c r="AK224" s="2">
        <f t="shared" si="9"/>
        <v>0</v>
      </c>
      <c r="AL224" s="2">
        <f t="shared" si="10"/>
        <v>0</v>
      </c>
      <c r="AM224" s="2" t="str">
        <f t="array" ref="AM224">IF($K224="",0,IFERROR(INDEX(CALC!$F$2:$F$33,MATCH($K224,CALC!$A$2:$A$33,0)),0))</f>
        <v/>
      </c>
      <c r="AN224" s="2" t="str">
        <f t="array" ref="AN224">IF($K224="",0,IFERROR(INDEX(CALC!$I$2:$I$33,MATCH($K224,CALC!$A$2:$A$33,0)),0))</f>
        <v/>
      </c>
      <c r="AO224" s="2" t="str">
        <f t="array" ref="AO224">IF($K224="",0,IFERROR(INDEX(CALC!$L$2:$L$33,MATCH($K224,CALC!$A$2:$A$33,0)),0))</f>
        <v/>
      </c>
      <c r="AP224" s="2" t="str">
        <f t="array" ref="AP224">IF($K224="",0,IFERROR(INDEX(CALC!$T$2:$T$33,MATCH($K224,CALC!$A$2:$A$33,0)),0))</f>
        <v/>
      </c>
      <c r="AQ224" s="2" t="str">
        <f t="array" ref="AQ224">IF($K224="",0,IFERROR(INDEX(CALC!$W$2:$W$33,MATCH($K224,CALC!$A$2:$A$33,0)),0))</f>
        <v/>
      </c>
      <c r="AR224" s="2" t="str">
        <f t="array" ref="AR224">IF($K224="",0,IFERROR(INDEX(CALC!$Z$2:$Z$33,MATCH($K224,CALC!$A$2:$A$33,0)),0))</f>
        <v/>
      </c>
      <c r="AS224" s="2" t="str">
        <f t="array" ref="AS224">IF($K224="",0,IFERROR(INDEX(CALC!$AJ$2:$AJ$33,MATCH($K224,CALC!$A$2:$A$33,0)),0))</f>
        <v/>
      </c>
      <c r="AT224" s="2" t="str">
        <f t="array" ref="AT224">IF($K224="",0,IFERROR(INDEX(CALC!$AI$2:$AI$33,MATCH($K224,CALC!$A$2:$A$33,0)),0))</f>
        <v/>
      </c>
      <c r="AU224" s="2">
        <f t="shared" si="11"/>
        <v>0</v>
      </c>
      <c r="AV224" s="2">
        <f t="shared" si="12"/>
        <v>0</v>
      </c>
    </row>
    <row r="225" ht="15.0" customHeight="1">
      <c r="A225" s="2">
        <v>112.0</v>
      </c>
      <c r="B225" s="2" t="s">
        <v>2365</v>
      </c>
      <c r="C225" s="2">
        <f>IFERROR(MATCH($A225,SchedSeq,0),"")</f>
        <v>397</v>
      </c>
      <c r="D225" s="2" t="str">
        <f t="array" ref="D225">IF($C225="","",INDEX(SchedZone,$C225,MAP!$B$6))</f>
        <v>2026_08_MIN_DET</v>
      </c>
      <c r="E225" s="2">
        <f t="array" ref="E225">IF($C225="","",INDEX(SchedZone,$C225,MAP!$B$3))</f>
        <v>2026</v>
      </c>
      <c r="F225" s="2" t="str">
        <f t="array" ref="F225">IF($C225="","",INDEX(SchedZone,$C225,MAP!$B$5))</f>
        <v>REG</v>
      </c>
      <c r="G225" s="2">
        <f t="array" ref="G225">IF($C225="","",INDEX(SchedZone,$C225,MAP!$B$4))</f>
        <v>8</v>
      </c>
      <c r="H225" s="2" t="str">
        <f t="array" ref="H225">IF($C225="","",INDEX(SchedZone,$C225,MAP!$B$12))</f>
        <v>DET</v>
      </c>
      <c r="I225" s="2" t="str">
        <f t="array" ref="I225">IF($H225="","",IF(COUNTIF(Teams,$H225)&gt;0,$H225,IFERROR(INDEX(LISTS!$D$2:$D$12,MATCH($H225,LISTS!$C$2:$C$12,0)),"⚠ "&amp;$H225)))</f>
        <v>DET</v>
      </c>
      <c r="J225" s="2" t="str">
        <f t="array" ref="J225">IF($C225="","",INDEX(SchedZone,$C225,MAP!$B$10))</f>
        <v>MIN</v>
      </c>
      <c r="K225" s="2" t="str">
        <f t="array" ref="K225">IF($J225="","",IF(COUNTIF(Teams,$J225)&gt;0,$J225,IFERROR(INDEX(LISTS!$D$2:$D$12,MATCH($J225,LISTS!$C$2:$C$12,0)),"⚠ "&amp;$J225)))</f>
        <v>MIN</v>
      </c>
      <c r="L225" s="2" t="str">
        <f t="array" ref="L225">IF($C225="","",IF(INDEX(SchedZone,$C225,MAP!$B$14)="Neutral","N",IF($B225="HOME","H","A")))</f>
        <v>H</v>
      </c>
      <c r="M225" s="2" t="str">
        <f t="array" ref="M225">IF($C225="","",IF(INDEX(SchedZone,$C225,MAP!$B$13)="","",INDEX(SchedZone,$C225,MAP!$B$13)))</f>
        <v/>
      </c>
      <c r="N225" s="2" t="str">
        <f t="array" ref="N225">IF($C225="","",IF(INDEX(SchedZone,$C225,MAP!$B$11)="","",INDEX(SchedZone,$C225,MAP!$B$11)))</f>
        <v/>
      </c>
      <c r="O225" s="2">
        <f t="array" ref="O225">IF($C225="","",INDEX(SchedZone,$C225,MAP!$B$16))</f>
        <v>7</v>
      </c>
      <c r="P225" s="2" t="str">
        <f>IF($C225="","",IFERROR(MATCH($E225&amp;"|"&amp;$G225&amp;"|"&amp;$I225,StatsKey,0),""))</f>
        <v/>
      </c>
      <c r="Q225" s="2">
        <f t="array" ref="Q225">IF($P225="",0,INDEX(StatsZone,$P225,MAP!$E$9)+INDEX(StatsZone,$P225,MAP!$E$10)+INDEX(StatsZone,$P225,MAP!$E$11))</f>
        <v>0</v>
      </c>
      <c r="R225" s="2">
        <f t="array" ref="R225">IF($P225="",0,INDEX(StatsZone,$P225,MAP!$E$12))</f>
        <v>0</v>
      </c>
      <c r="S225" s="2">
        <f t="array" ref="S225">IF($P225="",0,INDEX(StatsZone,$P225,MAP!$E$13))</f>
        <v>0</v>
      </c>
      <c r="T225" s="2">
        <f t="shared" si="1"/>
        <v>0</v>
      </c>
      <c r="U225" s="2">
        <f t="array" ref="U225">IF($P225="",0,INDEX(StatsZone,$P225,MAP!$E$14)+INDEX(StatsZone,$P225,MAP!$E$15)+INDEX(StatsZone,$P225,MAP!$E$16))</f>
        <v>0</v>
      </c>
      <c r="V225" s="2">
        <f t="shared" si="2"/>
        <v>0</v>
      </c>
      <c r="W225" s="2">
        <f t="shared" si="3"/>
        <v>0</v>
      </c>
      <c r="X225" s="2">
        <f t="shared" si="4"/>
        <v>0</v>
      </c>
      <c r="Y225" s="2">
        <f t="shared" si="5"/>
        <v>0</v>
      </c>
      <c r="Z225" s="2">
        <f t="shared" si="6"/>
        <v>0</v>
      </c>
      <c r="AA225" s="2">
        <f t="shared" si="7"/>
        <v>1</v>
      </c>
      <c r="AB225" s="2">
        <f>IF(OR($M225="",$N225=""),0,MEDIAN(-MarginCap,MarginCap,($M225-$N225)-$AA225*HFA_Base))</f>
        <v>0</v>
      </c>
      <c r="AC225" s="2">
        <f t="array" ref="AC225">IF(OR($P225="",INDEX($P$3:$P$722,(ROW()+IF(MOD(ROW()-3,2)=0,1,-1))-3+1)=""),0,MEDIAN(-MarginCap,MarginCap,($T225-$W225)-$AA225*HFA_Base))</f>
        <v>0</v>
      </c>
      <c r="AD225" s="2">
        <f t="shared" si="8"/>
        <v>0</v>
      </c>
      <c r="AE225" s="2">
        <f>IF(OR($M225="",$N225=""),0,IF(AND(WEpa&gt;0,$AD225=1),(1-WEpa)*$AB225+WEpa*$AC225,$AB225))</f>
        <v>0</v>
      </c>
      <c r="AF225" s="2">
        <f>IF(AND($C225&lt;&gt;"",$E225=CurrentSeason,$F225="REG",ISNUMBER($G225),$G225&lt;CurrentWeek,AND($M225&lt;&gt;"",$N225&lt;&gt;"")),1,0)</f>
        <v>0</v>
      </c>
      <c r="AG225" s="2">
        <f>IF($AF225=0,0,IF($G225&gt;=CurrentWeek-RecencyWin,RecencyMult,1))</f>
        <v>0</v>
      </c>
      <c r="AH225" s="2">
        <f>IF(AND($C225&lt;&gt;"",$E225=CurrentSeason,$F225="REG",ISNUMBER($G225),$G225&lt;CurrentWeek-1,AND($M225&lt;&gt;"",$N225&lt;&gt;"")),1,0)</f>
        <v>0</v>
      </c>
      <c r="AI225" s="2">
        <f>IF($AH225=0,0,IF($G225&gt;=CurrentWeek-1-RecencyWin,RecencyMult,1))</f>
        <v>0</v>
      </c>
      <c r="AJ225" s="2">
        <f>IF($AF225=0,0,IF($G225&gt;=CurrentWeek-RecencyWin,TotRecency,1))</f>
        <v>0</v>
      </c>
      <c r="AK225" s="2">
        <f t="shared" si="9"/>
        <v>0</v>
      </c>
      <c r="AL225" s="2">
        <f t="shared" si="10"/>
        <v>0</v>
      </c>
      <c r="AM225" s="2" t="str">
        <f t="array" ref="AM225">IF($K225="",0,IFERROR(INDEX(CALC!$F$2:$F$33,MATCH($K225,CALC!$A$2:$A$33,0)),0))</f>
        <v/>
      </c>
      <c r="AN225" s="2" t="str">
        <f t="array" ref="AN225">IF($K225="",0,IFERROR(INDEX(CALC!$I$2:$I$33,MATCH($K225,CALC!$A$2:$A$33,0)),0))</f>
        <v/>
      </c>
      <c r="AO225" s="2" t="str">
        <f t="array" ref="AO225">IF($K225="",0,IFERROR(INDEX(CALC!$L$2:$L$33,MATCH($K225,CALC!$A$2:$A$33,0)),0))</f>
        <v/>
      </c>
      <c r="AP225" s="2" t="str">
        <f t="array" ref="AP225">IF($K225="",0,IFERROR(INDEX(CALC!$T$2:$T$33,MATCH($K225,CALC!$A$2:$A$33,0)),0))</f>
        <v/>
      </c>
      <c r="AQ225" s="2" t="str">
        <f t="array" ref="AQ225">IF($K225="",0,IFERROR(INDEX(CALC!$W$2:$W$33,MATCH($K225,CALC!$A$2:$A$33,0)),0))</f>
        <v/>
      </c>
      <c r="AR225" s="2" t="str">
        <f t="array" ref="AR225">IF($K225="",0,IFERROR(INDEX(CALC!$Z$2:$Z$33,MATCH($K225,CALC!$A$2:$A$33,0)),0))</f>
        <v/>
      </c>
      <c r="AS225" s="2" t="str">
        <f t="array" ref="AS225">IF($K225="",0,IFERROR(INDEX(CALC!$AJ$2:$AJ$33,MATCH($K225,CALC!$A$2:$A$33,0)),0))</f>
        <v/>
      </c>
      <c r="AT225" s="2" t="str">
        <f t="array" ref="AT225">IF($K225="",0,IFERROR(INDEX(CALC!$AI$2:$AI$33,MATCH($K225,CALC!$A$2:$A$33,0)),0))</f>
        <v/>
      </c>
      <c r="AU225" s="2">
        <f t="shared" si="11"/>
        <v>0</v>
      </c>
      <c r="AV225" s="2">
        <f t="shared" si="12"/>
        <v>0</v>
      </c>
    </row>
    <row r="226" ht="15.0" customHeight="1">
      <c r="A226" s="2">
        <v>112.0</v>
      </c>
      <c r="B226" s="2" t="s">
        <v>2366</v>
      </c>
      <c r="C226" s="2">
        <f>IFERROR(MATCH($A226,SchedSeq,0),"")</f>
        <v>397</v>
      </c>
      <c r="D226" s="2" t="str">
        <f t="array" ref="D226">IF($C226="","",INDEX(SchedZone,$C226,MAP!$B$6))</f>
        <v>2026_08_MIN_DET</v>
      </c>
      <c r="E226" s="2">
        <f t="array" ref="E226">IF($C226="","",INDEX(SchedZone,$C226,MAP!$B$3))</f>
        <v>2026</v>
      </c>
      <c r="F226" s="2" t="str">
        <f t="array" ref="F226">IF($C226="","",INDEX(SchedZone,$C226,MAP!$B$5))</f>
        <v>REG</v>
      </c>
      <c r="G226" s="2">
        <f t="array" ref="G226">IF($C226="","",INDEX(SchedZone,$C226,MAP!$B$4))</f>
        <v>8</v>
      </c>
      <c r="H226" s="2" t="str">
        <f t="array" ref="H226">IF($C226="","",INDEX(SchedZone,$C226,MAP!$B$10))</f>
        <v>MIN</v>
      </c>
      <c r="I226" s="2" t="str">
        <f t="array" ref="I226">IF($H226="","",IF(COUNTIF(Teams,$H226)&gt;0,$H226,IFERROR(INDEX(LISTS!$D$2:$D$12,MATCH($H226,LISTS!$C$2:$C$12,0)),"⚠ "&amp;$H226)))</f>
        <v>MIN</v>
      </c>
      <c r="J226" s="2" t="str">
        <f t="array" ref="J226">IF($C226="","",INDEX(SchedZone,$C226,MAP!$B$12))</f>
        <v>DET</v>
      </c>
      <c r="K226" s="2" t="str">
        <f t="array" ref="K226">IF($J226="","",IF(COUNTIF(Teams,$J226)&gt;0,$J226,IFERROR(INDEX(LISTS!$D$2:$D$12,MATCH($J226,LISTS!$C$2:$C$12,0)),"⚠ "&amp;$J226)))</f>
        <v>DET</v>
      </c>
      <c r="L226" s="2" t="str">
        <f t="array" ref="L226">IF($C226="","",IF(INDEX(SchedZone,$C226,MAP!$B$14)="Neutral","N",IF($B226="HOME","H","A")))</f>
        <v>A</v>
      </c>
      <c r="M226" s="2" t="str">
        <f t="array" ref="M226">IF($C226="","",IF(INDEX(SchedZone,$C226,MAP!$B$11)="","",INDEX(SchedZone,$C226,MAP!$B$11)))</f>
        <v/>
      </c>
      <c r="N226" s="2" t="str">
        <f t="array" ref="N226">IF($C226="","",IF(INDEX(SchedZone,$C226,MAP!$B$13)="","",INDEX(SchedZone,$C226,MAP!$B$13)))</f>
        <v/>
      </c>
      <c r="O226" s="2">
        <f t="array" ref="O226">IF($C226="","",INDEX(SchedZone,$C226,MAP!$B$15))</f>
        <v>7</v>
      </c>
      <c r="P226" s="2" t="str">
        <f>IF($C226="","",IFERROR(MATCH($E226&amp;"|"&amp;$G226&amp;"|"&amp;$I226,StatsKey,0),""))</f>
        <v/>
      </c>
      <c r="Q226" s="2">
        <f t="array" ref="Q226">IF($P226="",0,INDEX(StatsZone,$P226,MAP!$E$9)+INDEX(StatsZone,$P226,MAP!$E$10)+INDEX(StatsZone,$P226,MAP!$E$11))</f>
        <v>0</v>
      </c>
      <c r="R226" s="2">
        <f t="array" ref="R226">IF($P226="",0,INDEX(StatsZone,$P226,MAP!$E$12))</f>
        <v>0</v>
      </c>
      <c r="S226" s="2">
        <f t="array" ref="S226">IF($P226="",0,INDEX(StatsZone,$P226,MAP!$E$13))</f>
        <v>0</v>
      </c>
      <c r="T226" s="2">
        <f t="shared" si="1"/>
        <v>0</v>
      </c>
      <c r="U226" s="2">
        <f t="array" ref="U226">IF($P226="",0,INDEX(StatsZone,$P226,MAP!$E$14)+INDEX(StatsZone,$P226,MAP!$E$15)+INDEX(StatsZone,$P226,MAP!$E$16))</f>
        <v>0</v>
      </c>
      <c r="V226" s="2">
        <f t="shared" si="2"/>
        <v>0</v>
      </c>
      <c r="W226" s="2">
        <f t="shared" si="3"/>
        <v>0</v>
      </c>
      <c r="X226" s="2">
        <f t="shared" si="4"/>
        <v>0</v>
      </c>
      <c r="Y226" s="2">
        <f t="shared" si="5"/>
        <v>0</v>
      </c>
      <c r="Z226" s="2">
        <f t="shared" si="6"/>
        <v>0</v>
      </c>
      <c r="AA226" s="2">
        <f t="shared" si="7"/>
        <v>-1</v>
      </c>
      <c r="AB226" s="2">
        <f>IF(OR($M226="",$N226=""),0,MEDIAN(-MarginCap,MarginCap,($M226-$N226)-$AA226*HFA_Base))</f>
        <v>0</v>
      </c>
      <c r="AC226" s="2">
        <f t="array" ref="AC226">IF(OR($P226="",INDEX($P$3:$P$722,(ROW()+IF(MOD(ROW()-3,2)=0,1,-1))-3+1)=""),0,MEDIAN(-MarginCap,MarginCap,($T226-$W226)-$AA226*HFA_Base))</f>
        <v>0</v>
      </c>
      <c r="AD226" s="2">
        <f t="shared" si="8"/>
        <v>0</v>
      </c>
      <c r="AE226" s="2">
        <f>IF(OR($M226="",$N226=""),0,IF(AND(WEpa&gt;0,$AD226=1),(1-WEpa)*$AB226+WEpa*$AC226,$AB226))</f>
        <v>0</v>
      </c>
      <c r="AF226" s="2">
        <f>IF(AND($C226&lt;&gt;"",$E226=CurrentSeason,$F226="REG",ISNUMBER($G226),$G226&lt;CurrentWeek,AND($M226&lt;&gt;"",$N226&lt;&gt;"")),1,0)</f>
        <v>0</v>
      </c>
      <c r="AG226" s="2">
        <f>IF($AF226=0,0,IF($G226&gt;=CurrentWeek-RecencyWin,RecencyMult,1))</f>
        <v>0</v>
      </c>
      <c r="AH226" s="2">
        <f>IF(AND($C226&lt;&gt;"",$E226=CurrentSeason,$F226="REG",ISNUMBER($G226),$G226&lt;CurrentWeek-1,AND($M226&lt;&gt;"",$N226&lt;&gt;"")),1,0)</f>
        <v>0</v>
      </c>
      <c r="AI226" s="2">
        <f>IF($AH226=0,0,IF($G226&gt;=CurrentWeek-1-RecencyWin,RecencyMult,1))</f>
        <v>0</v>
      </c>
      <c r="AJ226" s="2">
        <f>IF($AF226=0,0,IF($G226&gt;=CurrentWeek-RecencyWin,TotRecency,1))</f>
        <v>0</v>
      </c>
      <c r="AK226" s="2">
        <f t="shared" si="9"/>
        <v>0</v>
      </c>
      <c r="AL226" s="2">
        <f t="shared" si="10"/>
        <v>0</v>
      </c>
      <c r="AM226" s="2" t="str">
        <f t="array" ref="AM226">IF($K226="",0,IFERROR(INDEX(CALC!$F$2:$F$33,MATCH($K226,CALC!$A$2:$A$33,0)),0))</f>
        <v/>
      </c>
      <c r="AN226" s="2" t="str">
        <f t="array" ref="AN226">IF($K226="",0,IFERROR(INDEX(CALC!$I$2:$I$33,MATCH($K226,CALC!$A$2:$A$33,0)),0))</f>
        <v/>
      </c>
      <c r="AO226" s="2" t="str">
        <f t="array" ref="AO226">IF($K226="",0,IFERROR(INDEX(CALC!$L$2:$L$33,MATCH($K226,CALC!$A$2:$A$33,0)),0))</f>
        <v/>
      </c>
      <c r="AP226" s="2" t="str">
        <f t="array" ref="AP226">IF($K226="",0,IFERROR(INDEX(CALC!$T$2:$T$33,MATCH($K226,CALC!$A$2:$A$33,0)),0))</f>
        <v/>
      </c>
      <c r="AQ226" s="2" t="str">
        <f t="array" ref="AQ226">IF($K226="",0,IFERROR(INDEX(CALC!$W$2:$W$33,MATCH($K226,CALC!$A$2:$A$33,0)),0))</f>
        <v/>
      </c>
      <c r="AR226" s="2" t="str">
        <f t="array" ref="AR226">IF($K226="",0,IFERROR(INDEX(CALC!$Z$2:$Z$33,MATCH($K226,CALC!$A$2:$A$33,0)),0))</f>
        <v/>
      </c>
      <c r="AS226" s="2" t="str">
        <f t="array" ref="AS226">IF($K226="",0,IFERROR(INDEX(CALC!$AJ$2:$AJ$33,MATCH($K226,CALC!$A$2:$A$33,0)),0))</f>
        <v/>
      </c>
      <c r="AT226" s="2" t="str">
        <f t="array" ref="AT226">IF($K226="",0,IFERROR(INDEX(CALC!$AI$2:$AI$33,MATCH($K226,CALC!$A$2:$A$33,0)),0))</f>
        <v/>
      </c>
      <c r="AU226" s="2">
        <f t="shared" si="11"/>
        <v>0</v>
      </c>
      <c r="AV226" s="2">
        <f t="shared" si="12"/>
        <v>0</v>
      </c>
    </row>
    <row r="227" ht="15.0" customHeight="1">
      <c r="A227" s="2">
        <v>113.0</v>
      </c>
      <c r="B227" s="2" t="s">
        <v>2365</v>
      </c>
      <c r="C227" s="2">
        <f>IFERROR(MATCH($A227,SchedSeq,0),"")</f>
        <v>398</v>
      </c>
      <c r="D227" s="2" t="str">
        <f t="array" ref="D227">IF($C227="","",INDEX(SchedZone,$C227,MAP!$B$6))</f>
        <v>2026_08_IND_JAX</v>
      </c>
      <c r="E227" s="2">
        <f t="array" ref="E227">IF($C227="","",INDEX(SchedZone,$C227,MAP!$B$3))</f>
        <v>2026</v>
      </c>
      <c r="F227" s="2" t="str">
        <f t="array" ref="F227">IF($C227="","",INDEX(SchedZone,$C227,MAP!$B$5))</f>
        <v>REG</v>
      </c>
      <c r="G227" s="2">
        <f t="array" ref="G227">IF($C227="","",INDEX(SchedZone,$C227,MAP!$B$4))</f>
        <v>8</v>
      </c>
      <c r="H227" s="2" t="str">
        <f t="array" ref="H227">IF($C227="","",INDEX(SchedZone,$C227,MAP!$B$12))</f>
        <v>JAX</v>
      </c>
      <c r="I227" s="2" t="str">
        <f t="array" ref="I227">IF($H227="","",IF(COUNTIF(Teams,$H227)&gt;0,$H227,IFERROR(INDEX(LISTS!$D$2:$D$12,MATCH($H227,LISTS!$C$2:$C$12,0)),"⚠ "&amp;$H227)))</f>
        <v>JAX</v>
      </c>
      <c r="J227" s="2" t="str">
        <f t="array" ref="J227">IF($C227="","",INDEX(SchedZone,$C227,MAP!$B$10))</f>
        <v>IND</v>
      </c>
      <c r="K227" s="2" t="str">
        <f t="array" ref="K227">IF($J227="","",IF(COUNTIF(Teams,$J227)&gt;0,$J227,IFERROR(INDEX(LISTS!$D$2:$D$12,MATCH($J227,LISTS!$C$2:$C$12,0)),"⚠ "&amp;$J227)))</f>
        <v>IND</v>
      </c>
      <c r="L227" s="2" t="str">
        <f t="array" ref="L227">IF($C227="","",IF(INDEX(SchedZone,$C227,MAP!$B$14)="Neutral","N",IF($B227="HOME","H","A")))</f>
        <v>H</v>
      </c>
      <c r="M227" s="2" t="str">
        <f t="array" ref="M227">IF($C227="","",IF(INDEX(SchedZone,$C227,MAP!$B$13)="","",INDEX(SchedZone,$C227,MAP!$B$13)))</f>
        <v/>
      </c>
      <c r="N227" s="2" t="str">
        <f t="array" ref="N227">IF($C227="","",IF(INDEX(SchedZone,$C227,MAP!$B$11)="","",INDEX(SchedZone,$C227,MAP!$B$11)))</f>
        <v/>
      </c>
      <c r="O227" s="2">
        <f t="array" ref="O227">IF($C227="","",INDEX(SchedZone,$C227,MAP!$B$16))</f>
        <v>14</v>
      </c>
      <c r="P227" s="2" t="str">
        <f>IF($C227="","",IFERROR(MATCH($E227&amp;"|"&amp;$G227&amp;"|"&amp;$I227,StatsKey,0),""))</f>
        <v/>
      </c>
      <c r="Q227" s="2">
        <f t="array" ref="Q227">IF($P227="",0,INDEX(StatsZone,$P227,MAP!$E$9)+INDEX(StatsZone,$P227,MAP!$E$10)+INDEX(StatsZone,$P227,MAP!$E$11))</f>
        <v>0</v>
      </c>
      <c r="R227" s="2">
        <f t="array" ref="R227">IF($P227="",0,INDEX(StatsZone,$P227,MAP!$E$12))</f>
        <v>0</v>
      </c>
      <c r="S227" s="2">
        <f t="array" ref="S227">IF($P227="",0,INDEX(StatsZone,$P227,MAP!$E$13))</f>
        <v>0</v>
      </c>
      <c r="T227" s="2">
        <f t="shared" si="1"/>
        <v>0</v>
      </c>
      <c r="U227" s="2">
        <f t="array" ref="U227">IF($P227="",0,INDEX(StatsZone,$P227,MAP!$E$14)+INDEX(StatsZone,$P227,MAP!$E$15)+INDEX(StatsZone,$P227,MAP!$E$16))</f>
        <v>0</v>
      </c>
      <c r="V227" s="2">
        <f t="shared" si="2"/>
        <v>0</v>
      </c>
      <c r="W227" s="2">
        <f t="shared" si="3"/>
        <v>0</v>
      </c>
      <c r="X227" s="2">
        <f t="shared" si="4"/>
        <v>0</v>
      </c>
      <c r="Y227" s="2">
        <f t="shared" si="5"/>
        <v>0</v>
      </c>
      <c r="Z227" s="2">
        <f t="shared" si="6"/>
        <v>0</v>
      </c>
      <c r="AA227" s="2">
        <f t="shared" si="7"/>
        <v>1</v>
      </c>
      <c r="AB227" s="2">
        <f>IF(OR($M227="",$N227=""),0,MEDIAN(-MarginCap,MarginCap,($M227-$N227)-$AA227*HFA_Base))</f>
        <v>0</v>
      </c>
      <c r="AC227" s="2">
        <f t="array" ref="AC227">IF(OR($P227="",INDEX($P$3:$P$722,(ROW()+IF(MOD(ROW()-3,2)=0,1,-1))-3+1)=""),0,MEDIAN(-MarginCap,MarginCap,($T227-$W227)-$AA227*HFA_Base))</f>
        <v>0</v>
      </c>
      <c r="AD227" s="2">
        <f t="shared" si="8"/>
        <v>0</v>
      </c>
      <c r="AE227" s="2">
        <f>IF(OR($M227="",$N227=""),0,IF(AND(WEpa&gt;0,$AD227=1),(1-WEpa)*$AB227+WEpa*$AC227,$AB227))</f>
        <v>0</v>
      </c>
      <c r="AF227" s="2">
        <f>IF(AND($C227&lt;&gt;"",$E227=CurrentSeason,$F227="REG",ISNUMBER($G227),$G227&lt;CurrentWeek,AND($M227&lt;&gt;"",$N227&lt;&gt;"")),1,0)</f>
        <v>0</v>
      </c>
      <c r="AG227" s="2">
        <f>IF($AF227=0,0,IF($G227&gt;=CurrentWeek-RecencyWin,RecencyMult,1))</f>
        <v>0</v>
      </c>
      <c r="AH227" s="2">
        <f>IF(AND($C227&lt;&gt;"",$E227=CurrentSeason,$F227="REG",ISNUMBER($G227),$G227&lt;CurrentWeek-1,AND($M227&lt;&gt;"",$N227&lt;&gt;"")),1,0)</f>
        <v>0</v>
      </c>
      <c r="AI227" s="2">
        <f>IF($AH227=0,0,IF($G227&gt;=CurrentWeek-1-RecencyWin,RecencyMult,1))</f>
        <v>0</v>
      </c>
      <c r="AJ227" s="2">
        <f>IF($AF227=0,0,IF($G227&gt;=CurrentWeek-RecencyWin,TotRecency,1))</f>
        <v>0</v>
      </c>
      <c r="AK227" s="2">
        <f t="shared" si="9"/>
        <v>0</v>
      </c>
      <c r="AL227" s="2">
        <f t="shared" si="10"/>
        <v>0</v>
      </c>
      <c r="AM227" s="2" t="str">
        <f t="array" ref="AM227">IF($K227="",0,IFERROR(INDEX(CALC!$F$2:$F$33,MATCH($K227,CALC!$A$2:$A$33,0)),0))</f>
        <v/>
      </c>
      <c r="AN227" s="2" t="str">
        <f t="array" ref="AN227">IF($K227="",0,IFERROR(INDEX(CALC!$I$2:$I$33,MATCH($K227,CALC!$A$2:$A$33,0)),0))</f>
        <v/>
      </c>
      <c r="AO227" s="2" t="str">
        <f t="array" ref="AO227">IF($K227="",0,IFERROR(INDEX(CALC!$L$2:$L$33,MATCH($K227,CALC!$A$2:$A$33,0)),0))</f>
        <v/>
      </c>
      <c r="AP227" s="2" t="str">
        <f t="array" ref="AP227">IF($K227="",0,IFERROR(INDEX(CALC!$T$2:$T$33,MATCH($K227,CALC!$A$2:$A$33,0)),0))</f>
        <v/>
      </c>
      <c r="AQ227" s="2" t="str">
        <f t="array" ref="AQ227">IF($K227="",0,IFERROR(INDEX(CALC!$W$2:$W$33,MATCH($K227,CALC!$A$2:$A$33,0)),0))</f>
        <v/>
      </c>
      <c r="AR227" s="2" t="str">
        <f t="array" ref="AR227">IF($K227="",0,IFERROR(INDEX(CALC!$Z$2:$Z$33,MATCH($K227,CALC!$A$2:$A$33,0)),0))</f>
        <v/>
      </c>
      <c r="AS227" s="2" t="str">
        <f t="array" ref="AS227">IF($K227="",0,IFERROR(INDEX(CALC!$AJ$2:$AJ$33,MATCH($K227,CALC!$A$2:$A$33,0)),0))</f>
        <v/>
      </c>
      <c r="AT227" s="2" t="str">
        <f t="array" ref="AT227">IF($K227="",0,IFERROR(INDEX(CALC!$AI$2:$AI$33,MATCH($K227,CALC!$A$2:$A$33,0)),0))</f>
        <v/>
      </c>
      <c r="AU227" s="2">
        <f t="shared" si="11"/>
        <v>0</v>
      </c>
      <c r="AV227" s="2">
        <f t="shared" si="12"/>
        <v>0</v>
      </c>
    </row>
    <row r="228" ht="15.0" customHeight="1">
      <c r="A228" s="2">
        <v>113.0</v>
      </c>
      <c r="B228" s="2" t="s">
        <v>2366</v>
      </c>
      <c r="C228" s="2">
        <f>IFERROR(MATCH($A228,SchedSeq,0),"")</f>
        <v>398</v>
      </c>
      <c r="D228" s="2" t="str">
        <f t="array" ref="D228">IF($C228="","",INDEX(SchedZone,$C228,MAP!$B$6))</f>
        <v>2026_08_IND_JAX</v>
      </c>
      <c r="E228" s="2">
        <f t="array" ref="E228">IF($C228="","",INDEX(SchedZone,$C228,MAP!$B$3))</f>
        <v>2026</v>
      </c>
      <c r="F228" s="2" t="str">
        <f t="array" ref="F228">IF($C228="","",INDEX(SchedZone,$C228,MAP!$B$5))</f>
        <v>REG</v>
      </c>
      <c r="G228" s="2">
        <f t="array" ref="G228">IF($C228="","",INDEX(SchedZone,$C228,MAP!$B$4))</f>
        <v>8</v>
      </c>
      <c r="H228" s="2" t="str">
        <f t="array" ref="H228">IF($C228="","",INDEX(SchedZone,$C228,MAP!$B$10))</f>
        <v>IND</v>
      </c>
      <c r="I228" s="2" t="str">
        <f t="array" ref="I228">IF($H228="","",IF(COUNTIF(Teams,$H228)&gt;0,$H228,IFERROR(INDEX(LISTS!$D$2:$D$12,MATCH($H228,LISTS!$C$2:$C$12,0)),"⚠ "&amp;$H228)))</f>
        <v>IND</v>
      </c>
      <c r="J228" s="2" t="str">
        <f t="array" ref="J228">IF($C228="","",INDEX(SchedZone,$C228,MAP!$B$12))</f>
        <v>JAX</v>
      </c>
      <c r="K228" s="2" t="str">
        <f t="array" ref="K228">IF($J228="","",IF(COUNTIF(Teams,$J228)&gt;0,$J228,IFERROR(INDEX(LISTS!$D$2:$D$12,MATCH($J228,LISTS!$C$2:$C$12,0)),"⚠ "&amp;$J228)))</f>
        <v>JAX</v>
      </c>
      <c r="L228" s="2" t="str">
        <f t="array" ref="L228">IF($C228="","",IF(INDEX(SchedZone,$C228,MAP!$B$14)="Neutral","N",IF($B228="HOME","H","A")))</f>
        <v>A</v>
      </c>
      <c r="M228" s="2" t="str">
        <f t="array" ref="M228">IF($C228="","",IF(INDEX(SchedZone,$C228,MAP!$B$11)="","",INDEX(SchedZone,$C228,MAP!$B$11)))</f>
        <v/>
      </c>
      <c r="N228" s="2" t="str">
        <f t="array" ref="N228">IF($C228="","",IF(INDEX(SchedZone,$C228,MAP!$B$13)="","",INDEX(SchedZone,$C228,MAP!$B$13)))</f>
        <v/>
      </c>
      <c r="O228" s="2">
        <f t="array" ref="O228">IF($C228="","",INDEX(SchedZone,$C228,MAP!$B$15))</f>
        <v>7</v>
      </c>
      <c r="P228" s="2" t="str">
        <f>IF($C228="","",IFERROR(MATCH($E228&amp;"|"&amp;$G228&amp;"|"&amp;$I228,StatsKey,0),""))</f>
        <v/>
      </c>
      <c r="Q228" s="2">
        <f t="array" ref="Q228">IF($P228="",0,INDEX(StatsZone,$P228,MAP!$E$9)+INDEX(StatsZone,$P228,MAP!$E$10)+INDEX(StatsZone,$P228,MAP!$E$11))</f>
        <v>0</v>
      </c>
      <c r="R228" s="2">
        <f t="array" ref="R228">IF($P228="",0,INDEX(StatsZone,$P228,MAP!$E$12))</f>
        <v>0</v>
      </c>
      <c r="S228" s="2">
        <f t="array" ref="S228">IF($P228="",0,INDEX(StatsZone,$P228,MAP!$E$13))</f>
        <v>0</v>
      </c>
      <c r="T228" s="2">
        <f t="shared" si="1"/>
        <v>0</v>
      </c>
      <c r="U228" s="2">
        <f t="array" ref="U228">IF($P228="",0,INDEX(StatsZone,$P228,MAP!$E$14)+INDEX(StatsZone,$P228,MAP!$E$15)+INDEX(StatsZone,$P228,MAP!$E$16))</f>
        <v>0</v>
      </c>
      <c r="V228" s="2">
        <f t="shared" si="2"/>
        <v>0</v>
      </c>
      <c r="W228" s="2">
        <f t="shared" si="3"/>
        <v>0</v>
      </c>
      <c r="X228" s="2">
        <f t="shared" si="4"/>
        <v>0</v>
      </c>
      <c r="Y228" s="2">
        <f t="shared" si="5"/>
        <v>0</v>
      </c>
      <c r="Z228" s="2">
        <f t="shared" si="6"/>
        <v>0</v>
      </c>
      <c r="AA228" s="2">
        <f t="shared" si="7"/>
        <v>-1</v>
      </c>
      <c r="AB228" s="2">
        <f>IF(OR($M228="",$N228=""),0,MEDIAN(-MarginCap,MarginCap,($M228-$N228)-$AA228*HFA_Base))</f>
        <v>0</v>
      </c>
      <c r="AC228" s="2">
        <f t="array" ref="AC228">IF(OR($P228="",INDEX($P$3:$P$722,(ROW()+IF(MOD(ROW()-3,2)=0,1,-1))-3+1)=""),0,MEDIAN(-MarginCap,MarginCap,($T228-$W228)-$AA228*HFA_Base))</f>
        <v>0</v>
      </c>
      <c r="AD228" s="2">
        <f t="shared" si="8"/>
        <v>0</v>
      </c>
      <c r="AE228" s="2">
        <f>IF(OR($M228="",$N228=""),0,IF(AND(WEpa&gt;0,$AD228=1),(1-WEpa)*$AB228+WEpa*$AC228,$AB228))</f>
        <v>0</v>
      </c>
      <c r="AF228" s="2">
        <f>IF(AND($C228&lt;&gt;"",$E228=CurrentSeason,$F228="REG",ISNUMBER($G228),$G228&lt;CurrentWeek,AND($M228&lt;&gt;"",$N228&lt;&gt;"")),1,0)</f>
        <v>0</v>
      </c>
      <c r="AG228" s="2">
        <f>IF($AF228=0,0,IF($G228&gt;=CurrentWeek-RecencyWin,RecencyMult,1))</f>
        <v>0</v>
      </c>
      <c r="AH228" s="2">
        <f>IF(AND($C228&lt;&gt;"",$E228=CurrentSeason,$F228="REG",ISNUMBER($G228),$G228&lt;CurrentWeek-1,AND($M228&lt;&gt;"",$N228&lt;&gt;"")),1,0)</f>
        <v>0</v>
      </c>
      <c r="AI228" s="2">
        <f>IF($AH228=0,0,IF($G228&gt;=CurrentWeek-1-RecencyWin,RecencyMult,1))</f>
        <v>0</v>
      </c>
      <c r="AJ228" s="2">
        <f>IF($AF228=0,0,IF($G228&gt;=CurrentWeek-RecencyWin,TotRecency,1))</f>
        <v>0</v>
      </c>
      <c r="AK228" s="2">
        <f t="shared" si="9"/>
        <v>0</v>
      </c>
      <c r="AL228" s="2">
        <f t="shared" si="10"/>
        <v>0</v>
      </c>
      <c r="AM228" s="2" t="str">
        <f t="array" ref="AM228">IF($K228="",0,IFERROR(INDEX(CALC!$F$2:$F$33,MATCH($K228,CALC!$A$2:$A$33,0)),0))</f>
        <v/>
      </c>
      <c r="AN228" s="2" t="str">
        <f t="array" ref="AN228">IF($K228="",0,IFERROR(INDEX(CALC!$I$2:$I$33,MATCH($K228,CALC!$A$2:$A$33,0)),0))</f>
        <v/>
      </c>
      <c r="AO228" s="2" t="str">
        <f t="array" ref="AO228">IF($K228="",0,IFERROR(INDEX(CALC!$L$2:$L$33,MATCH($K228,CALC!$A$2:$A$33,0)),0))</f>
        <v/>
      </c>
      <c r="AP228" s="2" t="str">
        <f t="array" ref="AP228">IF($K228="",0,IFERROR(INDEX(CALC!$T$2:$T$33,MATCH($K228,CALC!$A$2:$A$33,0)),0))</f>
        <v/>
      </c>
      <c r="AQ228" s="2" t="str">
        <f t="array" ref="AQ228">IF($K228="",0,IFERROR(INDEX(CALC!$W$2:$W$33,MATCH($K228,CALC!$A$2:$A$33,0)),0))</f>
        <v/>
      </c>
      <c r="AR228" s="2" t="str">
        <f t="array" ref="AR228">IF($K228="",0,IFERROR(INDEX(CALC!$Z$2:$Z$33,MATCH($K228,CALC!$A$2:$A$33,0)),0))</f>
        <v/>
      </c>
      <c r="AS228" s="2" t="str">
        <f t="array" ref="AS228">IF($K228="",0,IFERROR(INDEX(CALC!$AJ$2:$AJ$33,MATCH($K228,CALC!$A$2:$A$33,0)),0))</f>
        <v/>
      </c>
      <c r="AT228" s="2" t="str">
        <f t="array" ref="AT228">IF($K228="",0,IFERROR(INDEX(CALC!$AI$2:$AI$33,MATCH($K228,CALC!$A$2:$A$33,0)),0))</f>
        <v/>
      </c>
      <c r="AU228" s="2">
        <f t="shared" si="11"/>
        <v>0</v>
      </c>
      <c r="AV228" s="2">
        <f t="shared" si="12"/>
        <v>0</v>
      </c>
    </row>
    <row r="229" ht="15.0" customHeight="1">
      <c r="A229" s="2">
        <v>114.0</v>
      </c>
      <c r="B229" s="2" t="s">
        <v>2365</v>
      </c>
      <c r="C229" s="2">
        <f>IFERROR(MATCH($A229,SchedSeq,0),"")</f>
        <v>399</v>
      </c>
      <c r="D229" s="2" t="str">
        <f t="array" ref="D229">IF($C229="","",INDEX(SchedZone,$C229,MAP!$B$6))</f>
        <v>2026_08_LV_NYJ</v>
      </c>
      <c r="E229" s="2">
        <f t="array" ref="E229">IF($C229="","",INDEX(SchedZone,$C229,MAP!$B$3))</f>
        <v>2026</v>
      </c>
      <c r="F229" s="2" t="str">
        <f t="array" ref="F229">IF($C229="","",INDEX(SchedZone,$C229,MAP!$B$5))</f>
        <v>REG</v>
      </c>
      <c r="G229" s="2">
        <f t="array" ref="G229">IF($C229="","",INDEX(SchedZone,$C229,MAP!$B$4))</f>
        <v>8</v>
      </c>
      <c r="H229" s="2" t="str">
        <f t="array" ref="H229">IF($C229="","",INDEX(SchedZone,$C229,MAP!$B$12))</f>
        <v>NYJ</v>
      </c>
      <c r="I229" s="2" t="str">
        <f t="array" ref="I229">IF($H229="","",IF(COUNTIF(Teams,$H229)&gt;0,$H229,IFERROR(INDEX(LISTS!$D$2:$D$12,MATCH($H229,LISTS!$C$2:$C$12,0)),"⚠ "&amp;$H229)))</f>
        <v>NYJ</v>
      </c>
      <c r="J229" s="2" t="str">
        <f t="array" ref="J229">IF($C229="","",INDEX(SchedZone,$C229,MAP!$B$10))</f>
        <v>LV</v>
      </c>
      <c r="K229" s="2" t="str">
        <f t="array" ref="K229">IF($J229="","",IF(COUNTIF(Teams,$J229)&gt;0,$J229,IFERROR(INDEX(LISTS!$D$2:$D$12,MATCH($J229,LISTS!$C$2:$C$12,0)),"⚠ "&amp;$J229)))</f>
        <v>LV</v>
      </c>
      <c r="L229" s="2" t="str">
        <f t="array" ref="L229">IF($C229="","",IF(INDEX(SchedZone,$C229,MAP!$B$14)="Neutral","N",IF($B229="HOME","H","A")))</f>
        <v>H</v>
      </c>
      <c r="M229" s="2" t="str">
        <f t="array" ref="M229">IF($C229="","",IF(INDEX(SchedZone,$C229,MAP!$B$13)="","",INDEX(SchedZone,$C229,MAP!$B$13)))</f>
        <v/>
      </c>
      <c r="N229" s="2" t="str">
        <f t="array" ref="N229">IF($C229="","",IF(INDEX(SchedZone,$C229,MAP!$B$11)="","",INDEX(SchedZone,$C229,MAP!$B$11)))</f>
        <v/>
      </c>
      <c r="O229" s="2">
        <f t="array" ref="O229">IF($C229="","",INDEX(SchedZone,$C229,MAP!$B$16))</f>
        <v>7</v>
      </c>
      <c r="P229" s="2" t="str">
        <f>IF($C229="","",IFERROR(MATCH($E229&amp;"|"&amp;$G229&amp;"|"&amp;$I229,StatsKey,0),""))</f>
        <v/>
      </c>
      <c r="Q229" s="2">
        <f t="array" ref="Q229">IF($P229="",0,INDEX(StatsZone,$P229,MAP!$E$9)+INDEX(StatsZone,$P229,MAP!$E$10)+INDEX(StatsZone,$P229,MAP!$E$11))</f>
        <v>0</v>
      </c>
      <c r="R229" s="2">
        <f t="array" ref="R229">IF($P229="",0,INDEX(StatsZone,$P229,MAP!$E$12))</f>
        <v>0</v>
      </c>
      <c r="S229" s="2">
        <f t="array" ref="S229">IF($P229="",0,INDEX(StatsZone,$P229,MAP!$E$13))</f>
        <v>0</v>
      </c>
      <c r="T229" s="2">
        <f t="shared" si="1"/>
        <v>0</v>
      </c>
      <c r="U229" s="2">
        <f t="array" ref="U229">IF($P229="",0,INDEX(StatsZone,$P229,MAP!$E$14)+INDEX(StatsZone,$P229,MAP!$E$15)+INDEX(StatsZone,$P229,MAP!$E$16))</f>
        <v>0</v>
      </c>
      <c r="V229" s="2">
        <f t="shared" si="2"/>
        <v>0</v>
      </c>
      <c r="W229" s="2">
        <f t="shared" si="3"/>
        <v>0</v>
      </c>
      <c r="X229" s="2">
        <f t="shared" si="4"/>
        <v>0</v>
      </c>
      <c r="Y229" s="2">
        <f t="shared" si="5"/>
        <v>0</v>
      </c>
      <c r="Z229" s="2">
        <f t="shared" si="6"/>
        <v>0</v>
      </c>
      <c r="AA229" s="2">
        <f t="shared" si="7"/>
        <v>1</v>
      </c>
      <c r="AB229" s="2">
        <f>IF(OR($M229="",$N229=""),0,MEDIAN(-MarginCap,MarginCap,($M229-$N229)-$AA229*HFA_Base))</f>
        <v>0</v>
      </c>
      <c r="AC229" s="2">
        <f t="array" ref="AC229">IF(OR($P229="",INDEX($P$3:$P$722,(ROW()+IF(MOD(ROW()-3,2)=0,1,-1))-3+1)=""),0,MEDIAN(-MarginCap,MarginCap,($T229-$W229)-$AA229*HFA_Base))</f>
        <v>0</v>
      </c>
      <c r="AD229" s="2">
        <f t="shared" si="8"/>
        <v>0</v>
      </c>
      <c r="AE229" s="2">
        <f>IF(OR($M229="",$N229=""),0,IF(AND(WEpa&gt;0,$AD229=1),(1-WEpa)*$AB229+WEpa*$AC229,$AB229))</f>
        <v>0</v>
      </c>
      <c r="AF229" s="2">
        <f>IF(AND($C229&lt;&gt;"",$E229=CurrentSeason,$F229="REG",ISNUMBER($G229),$G229&lt;CurrentWeek,AND($M229&lt;&gt;"",$N229&lt;&gt;"")),1,0)</f>
        <v>0</v>
      </c>
      <c r="AG229" s="2">
        <f>IF($AF229=0,0,IF($G229&gt;=CurrentWeek-RecencyWin,RecencyMult,1))</f>
        <v>0</v>
      </c>
      <c r="AH229" s="2">
        <f>IF(AND($C229&lt;&gt;"",$E229=CurrentSeason,$F229="REG",ISNUMBER($G229),$G229&lt;CurrentWeek-1,AND($M229&lt;&gt;"",$N229&lt;&gt;"")),1,0)</f>
        <v>0</v>
      </c>
      <c r="AI229" s="2">
        <f>IF($AH229=0,0,IF($G229&gt;=CurrentWeek-1-RecencyWin,RecencyMult,1))</f>
        <v>0</v>
      </c>
      <c r="AJ229" s="2">
        <f>IF($AF229=0,0,IF($G229&gt;=CurrentWeek-RecencyWin,TotRecency,1))</f>
        <v>0</v>
      </c>
      <c r="AK229" s="2">
        <f t="shared" si="9"/>
        <v>0</v>
      </c>
      <c r="AL229" s="2">
        <f t="shared" si="10"/>
        <v>0</v>
      </c>
      <c r="AM229" s="2" t="str">
        <f t="array" ref="AM229">IF($K229="",0,IFERROR(INDEX(CALC!$F$2:$F$33,MATCH($K229,CALC!$A$2:$A$33,0)),0))</f>
        <v/>
      </c>
      <c r="AN229" s="2" t="str">
        <f t="array" ref="AN229">IF($K229="",0,IFERROR(INDEX(CALC!$I$2:$I$33,MATCH($K229,CALC!$A$2:$A$33,0)),0))</f>
        <v/>
      </c>
      <c r="AO229" s="2" t="str">
        <f t="array" ref="AO229">IF($K229="",0,IFERROR(INDEX(CALC!$L$2:$L$33,MATCH($K229,CALC!$A$2:$A$33,0)),0))</f>
        <v/>
      </c>
      <c r="AP229" s="2" t="str">
        <f t="array" ref="AP229">IF($K229="",0,IFERROR(INDEX(CALC!$T$2:$T$33,MATCH($K229,CALC!$A$2:$A$33,0)),0))</f>
        <v/>
      </c>
      <c r="AQ229" s="2" t="str">
        <f t="array" ref="AQ229">IF($K229="",0,IFERROR(INDEX(CALC!$W$2:$W$33,MATCH($K229,CALC!$A$2:$A$33,0)),0))</f>
        <v/>
      </c>
      <c r="AR229" s="2" t="str">
        <f t="array" ref="AR229">IF($K229="",0,IFERROR(INDEX(CALC!$Z$2:$Z$33,MATCH($K229,CALC!$A$2:$A$33,0)),0))</f>
        <v/>
      </c>
      <c r="AS229" s="2" t="str">
        <f t="array" ref="AS229">IF($K229="",0,IFERROR(INDEX(CALC!$AJ$2:$AJ$33,MATCH($K229,CALC!$A$2:$A$33,0)),0))</f>
        <v/>
      </c>
      <c r="AT229" s="2" t="str">
        <f t="array" ref="AT229">IF($K229="",0,IFERROR(INDEX(CALC!$AI$2:$AI$33,MATCH($K229,CALC!$A$2:$A$33,0)),0))</f>
        <v/>
      </c>
      <c r="AU229" s="2">
        <f t="shared" si="11"/>
        <v>0</v>
      </c>
      <c r="AV229" s="2">
        <f t="shared" si="12"/>
        <v>0</v>
      </c>
    </row>
    <row r="230" ht="15.0" customHeight="1">
      <c r="A230" s="2">
        <v>114.0</v>
      </c>
      <c r="B230" s="2" t="s">
        <v>2366</v>
      </c>
      <c r="C230" s="2">
        <f>IFERROR(MATCH($A230,SchedSeq,0),"")</f>
        <v>399</v>
      </c>
      <c r="D230" s="2" t="str">
        <f t="array" ref="D230">IF($C230="","",INDEX(SchedZone,$C230,MAP!$B$6))</f>
        <v>2026_08_LV_NYJ</v>
      </c>
      <c r="E230" s="2">
        <f t="array" ref="E230">IF($C230="","",INDEX(SchedZone,$C230,MAP!$B$3))</f>
        <v>2026</v>
      </c>
      <c r="F230" s="2" t="str">
        <f t="array" ref="F230">IF($C230="","",INDEX(SchedZone,$C230,MAP!$B$5))</f>
        <v>REG</v>
      </c>
      <c r="G230" s="2">
        <f t="array" ref="G230">IF($C230="","",INDEX(SchedZone,$C230,MAP!$B$4))</f>
        <v>8</v>
      </c>
      <c r="H230" s="2" t="str">
        <f t="array" ref="H230">IF($C230="","",INDEX(SchedZone,$C230,MAP!$B$10))</f>
        <v>LV</v>
      </c>
      <c r="I230" s="2" t="str">
        <f t="array" ref="I230">IF($H230="","",IF(COUNTIF(Teams,$H230)&gt;0,$H230,IFERROR(INDEX(LISTS!$D$2:$D$12,MATCH($H230,LISTS!$C$2:$C$12,0)),"⚠ "&amp;$H230)))</f>
        <v>LV</v>
      </c>
      <c r="J230" s="2" t="str">
        <f t="array" ref="J230">IF($C230="","",INDEX(SchedZone,$C230,MAP!$B$12))</f>
        <v>NYJ</v>
      </c>
      <c r="K230" s="2" t="str">
        <f t="array" ref="K230">IF($J230="","",IF(COUNTIF(Teams,$J230)&gt;0,$J230,IFERROR(INDEX(LISTS!$D$2:$D$12,MATCH($J230,LISTS!$C$2:$C$12,0)),"⚠ "&amp;$J230)))</f>
        <v>NYJ</v>
      </c>
      <c r="L230" s="2" t="str">
        <f t="array" ref="L230">IF($C230="","",IF(INDEX(SchedZone,$C230,MAP!$B$14)="Neutral","N",IF($B230="HOME","H","A")))</f>
        <v>A</v>
      </c>
      <c r="M230" s="2" t="str">
        <f t="array" ref="M230">IF($C230="","",IF(INDEX(SchedZone,$C230,MAP!$B$11)="","",INDEX(SchedZone,$C230,MAP!$B$11)))</f>
        <v/>
      </c>
      <c r="N230" s="2" t="str">
        <f t="array" ref="N230">IF($C230="","",IF(INDEX(SchedZone,$C230,MAP!$B$13)="","",INDEX(SchedZone,$C230,MAP!$B$13)))</f>
        <v/>
      </c>
      <c r="O230" s="2">
        <f t="array" ref="O230">IF($C230="","",INDEX(SchedZone,$C230,MAP!$B$15))</f>
        <v>7</v>
      </c>
      <c r="P230" s="2" t="str">
        <f>IF($C230="","",IFERROR(MATCH($E230&amp;"|"&amp;$G230&amp;"|"&amp;$I230,StatsKey,0),""))</f>
        <v/>
      </c>
      <c r="Q230" s="2">
        <f t="array" ref="Q230">IF($P230="",0,INDEX(StatsZone,$P230,MAP!$E$9)+INDEX(StatsZone,$P230,MAP!$E$10)+INDEX(StatsZone,$P230,MAP!$E$11))</f>
        <v>0</v>
      </c>
      <c r="R230" s="2">
        <f t="array" ref="R230">IF($P230="",0,INDEX(StatsZone,$P230,MAP!$E$12))</f>
        <v>0</v>
      </c>
      <c r="S230" s="2">
        <f t="array" ref="S230">IF($P230="",0,INDEX(StatsZone,$P230,MAP!$E$13))</f>
        <v>0</v>
      </c>
      <c r="T230" s="2">
        <f t="shared" si="1"/>
        <v>0</v>
      </c>
      <c r="U230" s="2">
        <f t="array" ref="U230">IF($P230="",0,INDEX(StatsZone,$P230,MAP!$E$14)+INDEX(StatsZone,$P230,MAP!$E$15)+INDEX(StatsZone,$P230,MAP!$E$16))</f>
        <v>0</v>
      </c>
      <c r="V230" s="2">
        <f t="shared" si="2"/>
        <v>0</v>
      </c>
      <c r="W230" s="2">
        <f t="shared" si="3"/>
        <v>0</v>
      </c>
      <c r="X230" s="2">
        <f t="shared" si="4"/>
        <v>0</v>
      </c>
      <c r="Y230" s="2">
        <f t="shared" si="5"/>
        <v>0</v>
      </c>
      <c r="Z230" s="2">
        <f t="shared" si="6"/>
        <v>0</v>
      </c>
      <c r="AA230" s="2">
        <f t="shared" si="7"/>
        <v>-1</v>
      </c>
      <c r="AB230" s="2">
        <f>IF(OR($M230="",$N230=""),0,MEDIAN(-MarginCap,MarginCap,($M230-$N230)-$AA230*HFA_Base))</f>
        <v>0</v>
      </c>
      <c r="AC230" s="2">
        <f t="array" ref="AC230">IF(OR($P230="",INDEX($P$3:$P$722,(ROW()+IF(MOD(ROW()-3,2)=0,1,-1))-3+1)=""),0,MEDIAN(-MarginCap,MarginCap,($T230-$W230)-$AA230*HFA_Base))</f>
        <v>0</v>
      </c>
      <c r="AD230" s="2">
        <f t="shared" si="8"/>
        <v>0</v>
      </c>
      <c r="AE230" s="2">
        <f>IF(OR($M230="",$N230=""),0,IF(AND(WEpa&gt;0,$AD230=1),(1-WEpa)*$AB230+WEpa*$AC230,$AB230))</f>
        <v>0</v>
      </c>
      <c r="AF230" s="2">
        <f>IF(AND($C230&lt;&gt;"",$E230=CurrentSeason,$F230="REG",ISNUMBER($G230),$G230&lt;CurrentWeek,AND($M230&lt;&gt;"",$N230&lt;&gt;"")),1,0)</f>
        <v>0</v>
      </c>
      <c r="AG230" s="2">
        <f>IF($AF230=0,0,IF($G230&gt;=CurrentWeek-RecencyWin,RecencyMult,1))</f>
        <v>0</v>
      </c>
      <c r="AH230" s="2">
        <f>IF(AND($C230&lt;&gt;"",$E230=CurrentSeason,$F230="REG",ISNUMBER($G230),$G230&lt;CurrentWeek-1,AND($M230&lt;&gt;"",$N230&lt;&gt;"")),1,0)</f>
        <v>0</v>
      </c>
      <c r="AI230" s="2">
        <f>IF($AH230=0,0,IF($G230&gt;=CurrentWeek-1-RecencyWin,RecencyMult,1))</f>
        <v>0</v>
      </c>
      <c r="AJ230" s="2">
        <f>IF($AF230=0,0,IF($G230&gt;=CurrentWeek-RecencyWin,TotRecency,1))</f>
        <v>0</v>
      </c>
      <c r="AK230" s="2">
        <f t="shared" si="9"/>
        <v>0</v>
      </c>
      <c r="AL230" s="2">
        <f t="shared" si="10"/>
        <v>0</v>
      </c>
      <c r="AM230" s="2" t="str">
        <f t="array" ref="AM230">IF($K230="",0,IFERROR(INDEX(CALC!$F$2:$F$33,MATCH($K230,CALC!$A$2:$A$33,0)),0))</f>
        <v/>
      </c>
      <c r="AN230" s="2" t="str">
        <f t="array" ref="AN230">IF($K230="",0,IFERROR(INDEX(CALC!$I$2:$I$33,MATCH($K230,CALC!$A$2:$A$33,0)),0))</f>
        <v/>
      </c>
      <c r="AO230" s="2" t="str">
        <f t="array" ref="AO230">IF($K230="",0,IFERROR(INDEX(CALC!$L$2:$L$33,MATCH($K230,CALC!$A$2:$A$33,0)),0))</f>
        <v/>
      </c>
      <c r="AP230" s="2" t="str">
        <f t="array" ref="AP230">IF($K230="",0,IFERROR(INDEX(CALC!$T$2:$T$33,MATCH($K230,CALC!$A$2:$A$33,0)),0))</f>
        <v/>
      </c>
      <c r="AQ230" s="2" t="str">
        <f t="array" ref="AQ230">IF($K230="",0,IFERROR(INDEX(CALC!$W$2:$W$33,MATCH($K230,CALC!$A$2:$A$33,0)),0))</f>
        <v/>
      </c>
      <c r="AR230" s="2" t="str">
        <f t="array" ref="AR230">IF($K230="",0,IFERROR(INDEX(CALC!$Z$2:$Z$33,MATCH($K230,CALC!$A$2:$A$33,0)),0))</f>
        <v/>
      </c>
      <c r="AS230" s="2" t="str">
        <f t="array" ref="AS230">IF($K230="",0,IFERROR(INDEX(CALC!$AJ$2:$AJ$33,MATCH($K230,CALC!$A$2:$A$33,0)),0))</f>
        <v/>
      </c>
      <c r="AT230" s="2" t="str">
        <f t="array" ref="AT230">IF($K230="",0,IFERROR(INDEX(CALC!$AI$2:$AI$33,MATCH($K230,CALC!$A$2:$A$33,0)),0))</f>
        <v/>
      </c>
      <c r="AU230" s="2">
        <f t="shared" si="11"/>
        <v>0</v>
      </c>
      <c r="AV230" s="2">
        <f t="shared" si="12"/>
        <v>0</v>
      </c>
    </row>
    <row r="231" ht="15.0" customHeight="1">
      <c r="A231" s="2">
        <v>115.0</v>
      </c>
      <c r="B231" s="2" t="s">
        <v>2365</v>
      </c>
      <c r="C231" s="2">
        <f>IFERROR(MATCH($A231,SchedSeq,0),"")</f>
        <v>400</v>
      </c>
      <c r="D231" s="2" t="str">
        <f t="array" ref="D231">IF($C231="","",INDEX(SchedZone,$C231,MAP!$B$6))</f>
        <v>2026_08_CLE_PIT</v>
      </c>
      <c r="E231" s="2">
        <f t="array" ref="E231">IF($C231="","",INDEX(SchedZone,$C231,MAP!$B$3))</f>
        <v>2026</v>
      </c>
      <c r="F231" s="2" t="str">
        <f t="array" ref="F231">IF($C231="","",INDEX(SchedZone,$C231,MAP!$B$5))</f>
        <v>REG</v>
      </c>
      <c r="G231" s="2">
        <f t="array" ref="G231">IF($C231="","",INDEX(SchedZone,$C231,MAP!$B$4))</f>
        <v>8</v>
      </c>
      <c r="H231" s="2" t="str">
        <f t="array" ref="H231">IF($C231="","",INDEX(SchedZone,$C231,MAP!$B$12))</f>
        <v>PIT</v>
      </c>
      <c r="I231" s="2" t="str">
        <f t="array" ref="I231">IF($H231="","",IF(COUNTIF(Teams,$H231)&gt;0,$H231,IFERROR(INDEX(LISTS!$D$2:$D$12,MATCH($H231,LISTS!$C$2:$C$12,0)),"⚠ "&amp;$H231)))</f>
        <v>PIT</v>
      </c>
      <c r="J231" s="2" t="str">
        <f t="array" ref="J231">IF($C231="","",INDEX(SchedZone,$C231,MAP!$B$10))</f>
        <v>CLE</v>
      </c>
      <c r="K231" s="2" t="str">
        <f t="array" ref="K231">IF($J231="","",IF(COUNTIF(Teams,$J231)&gt;0,$J231,IFERROR(INDEX(LISTS!$D$2:$D$12,MATCH($J231,LISTS!$C$2:$C$12,0)),"⚠ "&amp;$J231)))</f>
        <v>CLE</v>
      </c>
      <c r="L231" s="2" t="str">
        <f t="array" ref="L231">IF($C231="","",IF(INDEX(SchedZone,$C231,MAP!$B$14)="Neutral","N",IF($B231="HOME","H","A")))</f>
        <v>H</v>
      </c>
      <c r="M231" s="2" t="str">
        <f t="array" ref="M231">IF($C231="","",IF(INDEX(SchedZone,$C231,MAP!$B$13)="","",INDEX(SchedZone,$C231,MAP!$B$13)))</f>
        <v/>
      </c>
      <c r="N231" s="2" t="str">
        <f t="array" ref="N231">IF($C231="","",IF(INDEX(SchedZone,$C231,MAP!$B$11)="","",INDEX(SchedZone,$C231,MAP!$B$11)))</f>
        <v/>
      </c>
      <c r="O231" s="2">
        <f t="array" ref="O231">IF($C231="","",INDEX(SchedZone,$C231,MAP!$B$16))</f>
        <v>7</v>
      </c>
      <c r="P231" s="2" t="str">
        <f>IF($C231="","",IFERROR(MATCH($E231&amp;"|"&amp;$G231&amp;"|"&amp;$I231,StatsKey,0),""))</f>
        <v/>
      </c>
      <c r="Q231" s="2">
        <f t="array" ref="Q231">IF($P231="",0,INDEX(StatsZone,$P231,MAP!$E$9)+INDEX(StatsZone,$P231,MAP!$E$10)+INDEX(StatsZone,$P231,MAP!$E$11))</f>
        <v>0</v>
      </c>
      <c r="R231" s="2">
        <f t="array" ref="R231">IF($P231="",0,INDEX(StatsZone,$P231,MAP!$E$12))</f>
        <v>0</v>
      </c>
      <c r="S231" s="2">
        <f t="array" ref="S231">IF($P231="",0,INDEX(StatsZone,$P231,MAP!$E$13))</f>
        <v>0</v>
      </c>
      <c r="T231" s="2">
        <f t="shared" si="1"/>
        <v>0</v>
      </c>
      <c r="U231" s="2">
        <f t="array" ref="U231">IF($P231="",0,INDEX(StatsZone,$P231,MAP!$E$14)+INDEX(StatsZone,$P231,MAP!$E$15)+INDEX(StatsZone,$P231,MAP!$E$16))</f>
        <v>0</v>
      </c>
      <c r="V231" s="2">
        <f t="shared" si="2"/>
        <v>0</v>
      </c>
      <c r="W231" s="2">
        <f t="shared" si="3"/>
        <v>0</v>
      </c>
      <c r="X231" s="2">
        <f t="shared" si="4"/>
        <v>0</v>
      </c>
      <c r="Y231" s="2">
        <f t="shared" si="5"/>
        <v>0</v>
      </c>
      <c r="Z231" s="2">
        <f t="shared" si="6"/>
        <v>0</v>
      </c>
      <c r="AA231" s="2">
        <f t="shared" si="7"/>
        <v>1</v>
      </c>
      <c r="AB231" s="2">
        <f>IF(OR($M231="",$N231=""),0,MEDIAN(-MarginCap,MarginCap,($M231-$N231)-$AA231*HFA_Base))</f>
        <v>0</v>
      </c>
      <c r="AC231" s="2">
        <f t="array" ref="AC231">IF(OR($P231="",INDEX($P$3:$P$722,(ROW()+IF(MOD(ROW()-3,2)=0,1,-1))-3+1)=""),0,MEDIAN(-MarginCap,MarginCap,($T231-$W231)-$AA231*HFA_Base))</f>
        <v>0</v>
      </c>
      <c r="AD231" s="2">
        <f t="shared" si="8"/>
        <v>0</v>
      </c>
      <c r="AE231" s="2">
        <f>IF(OR($M231="",$N231=""),0,IF(AND(WEpa&gt;0,$AD231=1),(1-WEpa)*$AB231+WEpa*$AC231,$AB231))</f>
        <v>0</v>
      </c>
      <c r="AF231" s="2">
        <f>IF(AND($C231&lt;&gt;"",$E231=CurrentSeason,$F231="REG",ISNUMBER($G231),$G231&lt;CurrentWeek,AND($M231&lt;&gt;"",$N231&lt;&gt;"")),1,0)</f>
        <v>0</v>
      </c>
      <c r="AG231" s="2">
        <f>IF($AF231=0,0,IF($G231&gt;=CurrentWeek-RecencyWin,RecencyMult,1))</f>
        <v>0</v>
      </c>
      <c r="AH231" s="2">
        <f>IF(AND($C231&lt;&gt;"",$E231=CurrentSeason,$F231="REG",ISNUMBER($G231),$G231&lt;CurrentWeek-1,AND($M231&lt;&gt;"",$N231&lt;&gt;"")),1,0)</f>
        <v>0</v>
      </c>
      <c r="AI231" s="2">
        <f>IF($AH231=0,0,IF($G231&gt;=CurrentWeek-1-RecencyWin,RecencyMult,1))</f>
        <v>0</v>
      </c>
      <c r="AJ231" s="2">
        <f>IF($AF231=0,0,IF($G231&gt;=CurrentWeek-RecencyWin,TotRecency,1))</f>
        <v>0</v>
      </c>
      <c r="AK231" s="2">
        <f t="shared" si="9"/>
        <v>0</v>
      </c>
      <c r="AL231" s="2">
        <f t="shared" si="10"/>
        <v>0</v>
      </c>
      <c r="AM231" s="2" t="str">
        <f t="array" ref="AM231">IF($K231="",0,IFERROR(INDEX(CALC!$F$2:$F$33,MATCH($K231,CALC!$A$2:$A$33,0)),0))</f>
        <v/>
      </c>
      <c r="AN231" s="2" t="str">
        <f t="array" ref="AN231">IF($K231="",0,IFERROR(INDEX(CALC!$I$2:$I$33,MATCH($K231,CALC!$A$2:$A$33,0)),0))</f>
        <v/>
      </c>
      <c r="AO231" s="2" t="str">
        <f t="array" ref="AO231">IF($K231="",0,IFERROR(INDEX(CALC!$L$2:$L$33,MATCH($K231,CALC!$A$2:$A$33,0)),0))</f>
        <v/>
      </c>
      <c r="AP231" s="2" t="str">
        <f t="array" ref="AP231">IF($K231="",0,IFERROR(INDEX(CALC!$T$2:$T$33,MATCH($K231,CALC!$A$2:$A$33,0)),0))</f>
        <v/>
      </c>
      <c r="AQ231" s="2" t="str">
        <f t="array" ref="AQ231">IF($K231="",0,IFERROR(INDEX(CALC!$W$2:$W$33,MATCH($K231,CALC!$A$2:$A$33,0)),0))</f>
        <v/>
      </c>
      <c r="AR231" s="2" t="str">
        <f t="array" ref="AR231">IF($K231="",0,IFERROR(INDEX(CALC!$Z$2:$Z$33,MATCH($K231,CALC!$A$2:$A$33,0)),0))</f>
        <v/>
      </c>
      <c r="AS231" s="2" t="str">
        <f t="array" ref="AS231">IF($K231="",0,IFERROR(INDEX(CALC!$AJ$2:$AJ$33,MATCH($K231,CALC!$A$2:$A$33,0)),0))</f>
        <v/>
      </c>
      <c r="AT231" s="2" t="str">
        <f t="array" ref="AT231">IF($K231="",0,IFERROR(INDEX(CALC!$AI$2:$AI$33,MATCH($K231,CALC!$A$2:$A$33,0)),0))</f>
        <v/>
      </c>
      <c r="AU231" s="2">
        <f t="shared" si="11"/>
        <v>0</v>
      </c>
      <c r="AV231" s="2">
        <f t="shared" si="12"/>
        <v>0</v>
      </c>
    </row>
    <row r="232" ht="15.0" customHeight="1">
      <c r="A232" s="2">
        <v>115.0</v>
      </c>
      <c r="B232" s="2" t="s">
        <v>2366</v>
      </c>
      <c r="C232" s="2">
        <f>IFERROR(MATCH($A232,SchedSeq,0),"")</f>
        <v>400</v>
      </c>
      <c r="D232" s="2" t="str">
        <f t="array" ref="D232">IF($C232="","",INDEX(SchedZone,$C232,MAP!$B$6))</f>
        <v>2026_08_CLE_PIT</v>
      </c>
      <c r="E232" s="2">
        <f t="array" ref="E232">IF($C232="","",INDEX(SchedZone,$C232,MAP!$B$3))</f>
        <v>2026</v>
      </c>
      <c r="F232" s="2" t="str">
        <f t="array" ref="F232">IF($C232="","",INDEX(SchedZone,$C232,MAP!$B$5))</f>
        <v>REG</v>
      </c>
      <c r="G232" s="2">
        <f t="array" ref="G232">IF($C232="","",INDEX(SchedZone,$C232,MAP!$B$4))</f>
        <v>8</v>
      </c>
      <c r="H232" s="2" t="str">
        <f t="array" ref="H232">IF($C232="","",INDEX(SchedZone,$C232,MAP!$B$10))</f>
        <v>CLE</v>
      </c>
      <c r="I232" s="2" t="str">
        <f t="array" ref="I232">IF($H232="","",IF(COUNTIF(Teams,$H232)&gt;0,$H232,IFERROR(INDEX(LISTS!$D$2:$D$12,MATCH($H232,LISTS!$C$2:$C$12,0)),"⚠ "&amp;$H232)))</f>
        <v>CLE</v>
      </c>
      <c r="J232" s="2" t="str">
        <f t="array" ref="J232">IF($C232="","",INDEX(SchedZone,$C232,MAP!$B$12))</f>
        <v>PIT</v>
      </c>
      <c r="K232" s="2" t="str">
        <f t="array" ref="K232">IF($J232="","",IF(COUNTIF(Teams,$J232)&gt;0,$J232,IFERROR(INDEX(LISTS!$D$2:$D$12,MATCH($J232,LISTS!$C$2:$C$12,0)),"⚠ "&amp;$J232)))</f>
        <v>PIT</v>
      </c>
      <c r="L232" s="2" t="str">
        <f t="array" ref="L232">IF($C232="","",IF(INDEX(SchedZone,$C232,MAP!$B$14)="Neutral","N",IF($B232="HOME","H","A")))</f>
        <v>A</v>
      </c>
      <c r="M232" s="2" t="str">
        <f t="array" ref="M232">IF($C232="","",IF(INDEX(SchedZone,$C232,MAP!$B$11)="","",INDEX(SchedZone,$C232,MAP!$B$11)))</f>
        <v/>
      </c>
      <c r="N232" s="2" t="str">
        <f t="array" ref="N232">IF($C232="","",IF(INDEX(SchedZone,$C232,MAP!$B$13)="","",INDEX(SchedZone,$C232,MAP!$B$13)))</f>
        <v/>
      </c>
      <c r="O232" s="2">
        <f t="array" ref="O232">IF($C232="","",INDEX(SchedZone,$C232,MAP!$B$15))</f>
        <v>7</v>
      </c>
      <c r="P232" s="2" t="str">
        <f>IF($C232="","",IFERROR(MATCH($E232&amp;"|"&amp;$G232&amp;"|"&amp;$I232,StatsKey,0),""))</f>
        <v/>
      </c>
      <c r="Q232" s="2">
        <f t="array" ref="Q232">IF($P232="",0,INDEX(StatsZone,$P232,MAP!$E$9)+INDEX(StatsZone,$P232,MAP!$E$10)+INDEX(StatsZone,$P232,MAP!$E$11))</f>
        <v>0</v>
      </c>
      <c r="R232" s="2">
        <f t="array" ref="R232">IF($P232="",0,INDEX(StatsZone,$P232,MAP!$E$12))</f>
        <v>0</v>
      </c>
      <c r="S232" s="2">
        <f t="array" ref="S232">IF($P232="",0,INDEX(StatsZone,$P232,MAP!$E$13))</f>
        <v>0</v>
      </c>
      <c r="T232" s="2">
        <f t="shared" si="1"/>
        <v>0</v>
      </c>
      <c r="U232" s="2">
        <f t="array" ref="U232">IF($P232="",0,INDEX(StatsZone,$P232,MAP!$E$14)+INDEX(StatsZone,$P232,MAP!$E$15)+INDEX(StatsZone,$P232,MAP!$E$16))</f>
        <v>0</v>
      </c>
      <c r="V232" s="2">
        <f t="shared" si="2"/>
        <v>0</v>
      </c>
      <c r="W232" s="2">
        <f t="shared" si="3"/>
        <v>0</v>
      </c>
      <c r="X232" s="2">
        <f t="shared" si="4"/>
        <v>0</v>
      </c>
      <c r="Y232" s="2">
        <f t="shared" si="5"/>
        <v>0</v>
      </c>
      <c r="Z232" s="2">
        <f t="shared" si="6"/>
        <v>0</v>
      </c>
      <c r="AA232" s="2">
        <f t="shared" si="7"/>
        <v>-1</v>
      </c>
      <c r="AB232" s="2">
        <f>IF(OR($M232="",$N232=""),0,MEDIAN(-MarginCap,MarginCap,($M232-$N232)-$AA232*HFA_Base))</f>
        <v>0</v>
      </c>
      <c r="AC232" s="2">
        <f t="array" ref="AC232">IF(OR($P232="",INDEX($P$3:$P$722,(ROW()+IF(MOD(ROW()-3,2)=0,1,-1))-3+1)=""),0,MEDIAN(-MarginCap,MarginCap,($T232-$W232)-$AA232*HFA_Base))</f>
        <v>0</v>
      </c>
      <c r="AD232" s="2">
        <f t="shared" si="8"/>
        <v>0</v>
      </c>
      <c r="AE232" s="2">
        <f>IF(OR($M232="",$N232=""),0,IF(AND(WEpa&gt;0,$AD232=1),(1-WEpa)*$AB232+WEpa*$AC232,$AB232))</f>
        <v>0</v>
      </c>
      <c r="AF232" s="2">
        <f>IF(AND($C232&lt;&gt;"",$E232=CurrentSeason,$F232="REG",ISNUMBER($G232),$G232&lt;CurrentWeek,AND($M232&lt;&gt;"",$N232&lt;&gt;"")),1,0)</f>
        <v>0</v>
      </c>
      <c r="AG232" s="2">
        <f>IF($AF232=0,0,IF($G232&gt;=CurrentWeek-RecencyWin,RecencyMult,1))</f>
        <v>0</v>
      </c>
      <c r="AH232" s="2">
        <f>IF(AND($C232&lt;&gt;"",$E232=CurrentSeason,$F232="REG",ISNUMBER($G232),$G232&lt;CurrentWeek-1,AND($M232&lt;&gt;"",$N232&lt;&gt;"")),1,0)</f>
        <v>0</v>
      </c>
      <c r="AI232" s="2">
        <f>IF($AH232=0,0,IF($G232&gt;=CurrentWeek-1-RecencyWin,RecencyMult,1))</f>
        <v>0</v>
      </c>
      <c r="AJ232" s="2">
        <f>IF($AF232=0,0,IF($G232&gt;=CurrentWeek-RecencyWin,TotRecency,1))</f>
        <v>0</v>
      </c>
      <c r="AK232" s="2">
        <f t="shared" si="9"/>
        <v>0</v>
      </c>
      <c r="AL232" s="2">
        <f t="shared" si="10"/>
        <v>0</v>
      </c>
      <c r="AM232" s="2" t="str">
        <f t="array" ref="AM232">IF($K232="",0,IFERROR(INDEX(CALC!$F$2:$F$33,MATCH($K232,CALC!$A$2:$A$33,0)),0))</f>
        <v/>
      </c>
      <c r="AN232" s="2" t="str">
        <f t="array" ref="AN232">IF($K232="",0,IFERROR(INDEX(CALC!$I$2:$I$33,MATCH($K232,CALC!$A$2:$A$33,0)),0))</f>
        <v/>
      </c>
      <c r="AO232" s="2" t="str">
        <f t="array" ref="AO232">IF($K232="",0,IFERROR(INDEX(CALC!$L$2:$L$33,MATCH($K232,CALC!$A$2:$A$33,0)),0))</f>
        <v/>
      </c>
      <c r="AP232" s="2" t="str">
        <f t="array" ref="AP232">IF($K232="",0,IFERROR(INDEX(CALC!$T$2:$T$33,MATCH($K232,CALC!$A$2:$A$33,0)),0))</f>
        <v/>
      </c>
      <c r="AQ232" s="2" t="str">
        <f t="array" ref="AQ232">IF($K232="",0,IFERROR(INDEX(CALC!$W$2:$W$33,MATCH($K232,CALC!$A$2:$A$33,0)),0))</f>
        <v/>
      </c>
      <c r="AR232" s="2" t="str">
        <f t="array" ref="AR232">IF($K232="",0,IFERROR(INDEX(CALC!$Z$2:$Z$33,MATCH($K232,CALC!$A$2:$A$33,0)),0))</f>
        <v/>
      </c>
      <c r="AS232" s="2" t="str">
        <f t="array" ref="AS232">IF($K232="",0,IFERROR(INDEX(CALC!$AJ$2:$AJ$33,MATCH($K232,CALC!$A$2:$A$33,0)),0))</f>
        <v/>
      </c>
      <c r="AT232" s="2" t="str">
        <f t="array" ref="AT232">IF($K232="",0,IFERROR(INDEX(CALC!$AI$2:$AI$33,MATCH($K232,CALC!$A$2:$A$33,0)),0))</f>
        <v/>
      </c>
      <c r="AU232" s="2">
        <f t="shared" si="11"/>
        <v>0</v>
      </c>
      <c r="AV232" s="2">
        <f t="shared" si="12"/>
        <v>0</v>
      </c>
    </row>
    <row r="233" ht="15.0" customHeight="1">
      <c r="A233" s="2">
        <v>116.0</v>
      </c>
      <c r="B233" s="2" t="s">
        <v>2365</v>
      </c>
      <c r="C233" s="2">
        <f>IFERROR(MATCH($A233,SchedSeq,0),"")</f>
        <v>401</v>
      </c>
      <c r="D233" s="2" t="str">
        <f t="array" ref="D233">IF($C233="","",INDEX(SchedZone,$C233,MAP!$B$6))</f>
        <v>2026_08_ATL_TB</v>
      </c>
      <c r="E233" s="2">
        <f t="array" ref="E233">IF($C233="","",INDEX(SchedZone,$C233,MAP!$B$3))</f>
        <v>2026</v>
      </c>
      <c r="F233" s="2" t="str">
        <f t="array" ref="F233">IF($C233="","",INDEX(SchedZone,$C233,MAP!$B$5))</f>
        <v>REG</v>
      </c>
      <c r="G233" s="2">
        <f t="array" ref="G233">IF($C233="","",INDEX(SchedZone,$C233,MAP!$B$4))</f>
        <v>8</v>
      </c>
      <c r="H233" s="2" t="str">
        <f t="array" ref="H233">IF($C233="","",INDEX(SchedZone,$C233,MAP!$B$12))</f>
        <v>TB</v>
      </c>
      <c r="I233" s="2" t="str">
        <f t="array" ref="I233">IF($H233="","",IF(COUNTIF(Teams,$H233)&gt;0,$H233,IFERROR(INDEX(LISTS!$D$2:$D$12,MATCH($H233,LISTS!$C$2:$C$12,0)),"⚠ "&amp;$H233)))</f>
        <v>TB</v>
      </c>
      <c r="J233" s="2" t="str">
        <f t="array" ref="J233">IF($C233="","",INDEX(SchedZone,$C233,MAP!$B$10))</f>
        <v>ATL</v>
      </c>
      <c r="K233" s="2" t="str">
        <f t="array" ref="K233">IF($J233="","",IF(COUNTIF(Teams,$J233)&gt;0,$J233,IFERROR(INDEX(LISTS!$D$2:$D$12,MATCH($J233,LISTS!$C$2:$C$12,0)),"⚠ "&amp;$J233)))</f>
        <v>ATL</v>
      </c>
      <c r="L233" s="2" t="str">
        <f t="array" ref="L233">IF($C233="","",IF(INDEX(SchedZone,$C233,MAP!$B$14)="Neutral","N",IF($B233="HOME","H","A")))</f>
        <v>H</v>
      </c>
      <c r="M233" s="2" t="str">
        <f t="array" ref="M233">IF($C233="","",IF(INDEX(SchedZone,$C233,MAP!$B$13)="","",INDEX(SchedZone,$C233,MAP!$B$13)))</f>
        <v/>
      </c>
      <c r="N233" s="2" t="str">
        <f t="array" ref="N233">IF($C233="","",IF(INDEX(SchedZone,$C233,MAP!$B$11)="","",INDEX(SchedZone,$C233,MAP!$B$11)))</f>
        <v/>
      </c>
      <c r="O233" s="2">
        <f t="array" ref="O233">IF($C233="","",INDEX(SchedZone,$C233,MAP!$B$16))</f>
        <v>7</v>
      </c>
      <c r="P233" s="2" t="str">
        <f>IF($C233="","",IFERROR(MATCH($E233&amp;"|"&amp;$G233&amp;"|"&amp;$I233,StatsKey,0),""))</f>
        <v/>
      </c>
      <c r="Q233" s="2">
        <f t="array" ref="Q233">IF($P233="",0,INDEX(StatsZone,$P233,MAP!$E$9)+INDEX(StatsZone,$P233,MAP!$E$10)+INDEX(StatsZone,$P233,MAP!$E$11))</f>
        <v>0</v>
      </c>
      <c r="R233" s="2">
        <f t="array" ref="R233">IF($P233="",0,INDEX(StatsZone,$P233,MAP!$E$12))</f>
        <v>0</v>
      </c>
      <c r="S233" s="2">
        <f t="array" ref="S233">IF($P233="",0,INDEX(StatsZone,$P233,MAP!$E$13))</f>
        <v>0</v>
      </c>
      <c r="T233" s="2">
        <f t="shared" si="1"/>
        <v>0</v>
      </c>
      <c r="U233" s="2">
        <f t="array" ref="U233">IF($P233="",0,INDEX(StatsZone,$P233,MAP!$E$14)+INDEX(StatsZone,$P233,MAP!$E$15)+INDEX(StatsZone,$P233,MAP!$E$16))</f>
        <v>0</v>
      </c>
      <c r="V233" s="2">
        <f t="shared" si="2"/>
        <v>0</v>
      </c>
      <c r="W233" s="2">
        <f t="shared" si="3"/>
        <v>0</v>
      </c>
      <c r="X233" s="2">
        <f t="shared" si="4"/>
        <v>0</v>
      </c>
      <c r="Y233" s="2">
        <f t="shared" si="5"/>
        <v>0</v>
      </c>
      <c r="Z233" s="2">
        <f t="shared" si="6"/>
        <v>0</v>
      </c>
      <c r="AA233" s="2">
        <f t="shared" si="7"/>
        <v>1</v>
      </c>
      <c r="AB233" s="2">
        <f>IF(OR($M233="",$N233=""),0,MEDIAN(-MarginCap,MarginCap,($M233-$N233)-$AA233*HFA_Base))</f>
        <v>0</v>
      </c>
      <c r="AC233" s="2">
        <f t="array" ref="AC233">IF(OR($P233="",INDEX($P$3:$P$722,(ROW()+IF(MOD(ROW()-3,2)=0,1,-1))-3+1)=""),0,MEDIAN(-MarginCap,MarginCap,($T233-$W233)-$AA233*HFA_Base))</f>
        <v>0</v>
      </c>
      <c r="AD233" s="2">
        <f t="shared" si="8"/>
        <v>0</v>
      </c>
      <c r="AE233" s="2">
        <f>IF(OR($M233="",$N233=""),0,IF(AND(WEpa&gt;0,$AD233=1),(1-WEpa)*$AB233+WEpa*$AC233,$AB233))</f>
        <v>0</v>
      </c>
      <c r="AF233" s="2">
        <f>IF(AND($C233&lt;&gt;"",$E233=CurrentSeason,$F233="REG",ISNUMBER($G233),$G233&lt;CurrentWeek,AND($M233&lt;&gt;"",$N233&lt;&gt;"")),1,0)</f>
        <v>0</v>
      </c>
      <c r="AG233" s="2">
        <f>IF($AF233=0,0,IF($G233&gt;=CurrentWeek-RecencyWin,RecencyMult,1))</f>
        <v>0</v>
      </c>
      <c r="AH233" s="2">
        <f>IF(AND($C233&lt;&gt;"",$E233=CurrentSeason,$F233="REG",ISNUMBER($G233),$G233&lt;CurrentWeek-1,AND($M233&lt;&gt;"",$N233&lt;&gt;"")),1,0)</f>
        <v>0</v>
      </c>
      <c r="AI233" s="2">
        <f>IF($AH233=0,0,IF($G233&gt;=CurrentWeek-1-RecencyWin,RecencyMult,1))</f>
        <v>0</v>
      </c>
      <c r="AJ233" s="2">
        <f>IF($AF233=0,0,IF($G233&gt;=CurrentWeek-RecencyWin,TotRecency,1))</f>
        <v>0</v>
      </c>
      <c r="AK233" s="2">
        <f t="shared" si="9"/>
        <v>0</v>
      </c>
      <c r="AL233" s="2">
        <f t="shared" si="10"/>
        <v>0</v>
      </c>
      <c r="AM233" s="2" t="str">
        <f t="array" ref="AM233">IF($K233="",0,IFERROR(INDEX(CALC!$F$2:$F$33,MATCH($K233,CALC!$A$2:$A$33,0)),0))</f>
        <v/>
      </c>
      <c r="AN233" s="2" t="str">
        <f t="array" ref="AN233">IF($K233="",0,IFERROR(INDEX(CALC!$I$2:$I$33,MATCH($K233,CALC!$A$2:$A$33,0)),0))</f>
        <v/>
      </c>
      <c r="AO233" s="2" t="str">
        <f t="array" ref="AO233">IF($K233="",0,IFERROR(INDEX(CALC!$L$2:$L$33,MATCH($K233,CALC!$A$2:$A$33,0)),0))</f>
        <v/>
      </c>
      <c r="AP233" s="2" t="str">
        <f t="array" ref="AP233">IF($K233="",0,IFERROR(INDEX(CALC!$T$2:$T$33,MATCH($K233,CALC!$A$2:$A$33,0)),0))</f>
        <v/>
      </c>
      <c r="AQ233" s="2" t="str">
        <f t="array" ref="AQ233">IF($K233="",0,IFERROR(INDEX(CALC!$W$2:$W$33,MATCH($K233,CALC!$A$2:$A$33,0)),0))</f>
        <v/>
      </c>
      <c r="AR233" s="2" t="str">
        <f t="array" ref="AR233">IF($K233="",0,IFERROR(INDEX(CALC!$Z$2:$Z$33,MATCH($K233,CALC!$A$2:$A$33,0)),0))</f>
        <v/>
      </c>
      <c r="AS233" s="2" t="str">
        <f t="array" ref="AS233">IF($K233="",0,IFERROR(INDEX(CALC!$AJ$2:$AJ$33,MATCH($K233,CALC!$A$2:$A$33,0)),0))</f>
        <v/>
      </c>
      <c r="AT233" s="2" t="str">
        <f t="array" ref="AT233">IF($K233="",0,IFERROR(INDEX(CALC!$AI$2:$AI$33,MATCH($K233,CALC!$A$2:$A$33,0)),0))</f>
        <v/>
      </c>
      <c r="AU233" s="2">
        <f t="shared" si="11"/>
        <v>0</v>
      </c>
      <c r="AV233" s="2">
        <f t="shared" si="12"/>
        <v>0</v>
      </c>
    </row>
    <row r="234" ht="15.0" customHeight="1">
      <c r="A234" s="2">
        <v>116.0</v>
      </c>
      <c r="B234" s="2" t="s">
        <v>2366</v>
      </c>
      <c r="C234" s="2">
        <f>IFERROR(MATCH($A234,SchedSeq,0),"")</f>
        <v>401</v>
      </c>
      <c r="D234" s="2" t="str">
        <f t="array" ref="D234">IF($C234="","",INDEX(SchedZone,$C234,MAP!$B$6))</f>
        <v>2026_08_ATL_TB</v>
      </c>
      <c r="E234" s="2">
        <f t="array" ref="E234">IF($C234="","",INDEX(SchedZone,$C234,MAP!$B$3))</f>
        <v>2026</v>
      </c>
      <c r="F234" s="2" t="str">
        <f t="array" ref="F234">IF($C234="","",INDEX(SchedZone,$C234,MAP!$B$5))</f>
        <v>REG</v>
      </c>
      <c r="G234" s="2">
        <f t="array" ref="G234">IF($C234="","",INDEX(SchedZone,$C234,MAP!$B$4))</f>
        <v>8</v>
      </c>
      <c r="H234" s="2" t="str">
        <f t="array" ref="H234">IF($C234="","",INDEX(SchedZone,$C234,MAP!$B$10))</f>
        <v>ATL</v>
      </c>
      <c r="I234" s="2" t="str">
        <f t="array" ref="I234">IF($H234="","",IF(COUNTIF(Teams,$H234)&gt;0,$H234,IFERROR(INDEX(LISTS!$D$2:$D$12,MATCH($H234,LISTS!$C$2:$C$12,0)),"⚠ "&amp;$H234)))</f>
        <v>ATL</v>
      </c>
      <c r="J234" s="2" t="str">
        <f t="array" ref="J234">IF($C234="","",INDEX(SchedZone,$C234,MAP!$B$12))</f>
        <v>TB</v>
      </c>
      <c r="K234" s="2" t="str">
        <f t="array" ref="K234">IF($J234="","",IF(COUNTIF(Teams,$J234)&gt;0,$J234,IFERROR(INDEX(LISTS!$D$2:$D$12,MATCH($J234,LISTS!$C$2:$C$12,0)),"⚠ "&amp;$J234)))</f>
        <v>TB</v>
      </c>
      <c r="L234" s="2" t="str">
        <f t="array" ref="L234">IF($C234="","",IF(INDEX(SchedZone,$C234,MAP!$B$14)="Neutral","N",IF($B234="HOME","H","A")))</f>
        <v>A</v>
      </c>
      <c r="M234" s="2" t="str">
        <f t="array" ref="M234">IF($C234="","",IF(INDEX(SchedZone,$C234,MAP!$B$11)="","",INDEX(SchedZone,$C234,MAP!$B$11)))</f>
        <v/>
      </c>
      <c r="N234" s="2" t="str">
        <f t="array" ref="N234">IF($C234="","",IF(INDEX(SchedZone,$C234,MAP!$B$13)="","",INDEX(SchedZone,$C234,MAP!$B$13)))</f>
        <v/>
      </c>
      <c r="O234" s="2">
        <f t="array" ref="O234">IF($C234="","",INDEX(SchedZone,$C234,MAP!$B$15))</f>
        <v>7</v>
      </c>
      <c r="P234" s="2" t="str">
        <f>IF($C234="","",IFERROR(MATCH($E234&amp;"|"&amp;$G234&amp;"|"&amp;$I234,StatsKey,0),""))</f>
        <v/>
      </c>
      <c r="Q234" s="2">
        <f t="array" ref="Q234">IF($P234="",0,INDEX(StatsZone,$P234,MAP!$E$9)+INDEX(StatsZone,$P234,MAP!$E$10)+INDEX(StatsZone,$P234,MAP!$E$11))</f>
        <v>0</v>
      </c>
      <c r="R234" s="2">
        <f t="array" ref="R234">IF($P234="",0,INDEX(StatsZone,$P234,MAP!$E$12))</f>
        <v>0</v>
      </c>
      <c r="S234" s="2">
        <f t="array" ref="S234">IF($P234="",0,INDEX(StatsZone,$P234,MAP!$E$13))</f>
        <v>0</v>
      </c>
      <c r="T234" s="2">
        <f t="shared" si="1"/>
        <v>0</v>
      </c>
      <c r="U234" s="2">
        <f t="array" ref="U234">IF($P234="",0,INDEX(StatsZone,$P234,MAP!$E$14)+INDEX(StatsZone,$P234,MAP!$E$15)+INDEX(StatsZone,$P234,MAP!$E$16))</f>
        <v>0</v>
      </c>
      <c r="V234" s="2">
        <f t="shared" si="2"/>
        <v>0</v>
      </c>
      <c r="W234" s="2">
        <f t="shared" si="3"/>
        <v>0</v>
      </c>
      <c r="X234" s="2">
        <f t="shared" si="4"/>
        <v>0</v>
      </c>
      <c r="Y234" s="2">
        <f t="shared" si="5"/>
        <v>0</v>
      </c>
      <c r="Z234" s="2">
        <f t="shared" si="6"/>
        <v>0</v>
      </c>
      <c r="AA234" s="2">
        <f t="shared" si="7"/>
        <v>-1</v>
      </c>
      <c r="AB234" s="2">
        <f>IF(OR($M234="",$N234=""),0,MEDIAN(-MarginCap,MarginCap,($M234-$N234)-$AA234*HFA_Base))</f>
        <v>0</v>
      </c>
      <c r="AC234" s="2">
        <f t="array" ref="AC234">IF(OR($P234="",INDEX($P$3:$P$722,(ROW()+IF(MOD(ROW()-3,2)=0,1,-1))-3+1)=""),0,MEDIAN(-MarginCap,MarginCap,($T234-$W234)-$AA234*HFA_Base))</f>
        <v>0</v>
      </c>
      <c r="AD234" s="2">
        <f t="shared" si="8"/>
        <v>0</v>
      </c>
      <c r="AE234" s="2">
        <f>IF(OR($M234="",$N234=""),0,IF(AND(WEpa&gt;0,$AD234=1),(1-WEpa)*$AB234+WEpa*$AC234,$AB234))</f>
        <v>0</v>
      </c>
      <c r="AF234" s="2">
        <f>IF(AND($C234&lt;&gt;"",$E234=CurrentSeason,$F234="REG",ISNUMBER($G234),$G234&lt;CurrentWeek,AND($M234&lt;&gt;"",$N234&lt;&gt;"")),1,0)</f>
        <v>0</v>
      </c>
      <c r="AG234" s="2">
        <f>IF($AF234=0,0,IF($G234&gt;=CurrentWeek-RecencyWin,RecencyMult,1))</f>
        <v>0</v>
      </c>
      <c r="AH234" s="2">
        <f>IF(AND($C234&lt;&gt;"",$E234=CurrentSeason,$F234="REG",ISNUMBER($G234),$G234&lt;CurrentWeek-1,AND($M234&lt;&gt;"",$N234&lt;&gt;"")),1,0)</f>
        <v>0</v>
      </c>
      <c r="AI234" s="2">
        <f>IF($AH234=0,0,IF($G234&gt;=CurrentWeek-1-RecencyWin,RecencyMult,1))</f>
        <v>0</v>
      </c>
      <c r="AJ234" s="2">
        <f>IF($AF234=0,0,IF($G234&gt;=CurrentWeek-RecencyWin,TotRecency,1))</f>
        <v>0</v>
      </c>
      <c r="AK234" s="2">
        <f t="shared" si="9"/>
        <v>0</v>
      </c>
      <c r="AL234" s="2">
        <f t="shared" si="10"/>
        <v>0</v>
      </c>
      <c r="AM234" s="2" t="str">
        <f t="array" ref="AM234">IF($K234="",0,IFERROR(INDEX(CALC!$F$2:$F$33,MATCH($K234,CALC!$A$2:$A$33,0)),0))</f>
        <v/>
      </c>
      <c r="AN234" s="2" t="str">
        <f t="array" ref="AN234">IF($K234="",0,IFERROR(INDEX(CALC!$I$2:$I$33,MATCH($K234,CALC!$A$2:$A$33,0)),0))</f>
        <v/>
      </c>
      <c r="AO234" s="2" t="str">
        <f t="array" ref="AO234">IF($K234="",0,IFERROR(INDEX(CALC!$L$2:$L$33,MATCH($K234,CALC!$A$2:$A$33,0)),0))</f>
        <v/>
      </c>
      <c r="AP234" s="2" t="str">
        <f t="array" ref="AP234">IF($K234="",0,IFERROR(INDEX(CALC!$T$2:$T$33,MATCH($K234,CALC!$A$2:$A$33,0)),0))</f>
        <v/>
      </c>
      <c r="AQ234" s="2" t="str">
        <f t="array" ref="AQ234">IF($K234="",0,IFERROR(INDEX(CALC!$W$2:$W$33,MATCH($K234,CALC!$A$2:$A$33,0)),0))</f>
        <v/>
      </c>
      <c r="AR234" s="2" t="str">
        <f t="array" ref="AR234">IF($K234="",0,IFERROR(INDEX(CALC!$Z$2:$Z$33,MATCH($K234,CALC!$A$2:$A$33,0)),0))</f>
        <v/>
      </c>
      <c r="AS234" s="2" t="str">
        <f t="array" ref="AS234">IF($K234="",0,IFERROR(INDEX(CALC!$AJ$2:$AJ$33,MATCH($K234,CALC!$A$2:$A$33,0)),0))</f>
        <v/>
      </c>
      <c r="AT234" s="2" t="str">
        <f t="array" ref="AT234">IF($K234="",0,IFERROR(INDEX(CALC!$AI$2:$AI$33,MATCH($K234,CALC!$A$2:$A$33,0)),0))</f>
        <v/>
      </c>
      <c r="AU234" s="2">
        <f t="shared" si="11"/>
        <v>0</v>
      </c>
      <c r="AV234" s="2">
        <f t="shared" si="12"/>
        <v>0</v>
      </c>
    </row>
    <row r="235" ht="15.0" customHeight="1">
      <c r="A235" s="2">
        <v>117.0</v>
      </c>
      <c r="B235" s="2" t="s">
        <v>2365</v>
      </c>
      <c r="C235" s="2">
        <f>IFERROR(MATCH($A235,SchedSeq,0),"")</f>
        <v>402</v>
      </c>
      <c r="D235" s="2" t="str">
        <f t="array" ref="D235">IF($C235="","",INDEX(SchedZone,$C235,MAP!$B$6))</f>
        <v>2026_08_LAC_LA</v>
      </c>
      <c r="E235" s="2">
        <f t="array" ref="E235">IF($C235="","",INDEX(SchedZone,$C235,MAP!$B$3))</f>
        <v>2026</v>
      </c>
      <c r="F235" s="2" t="str">
        <f t="array" ref="F235">IF($C235="","",INDEX(SchedZone,$C235,MAP!$B$5))</f>
        <v>REG</v>
      </c>
      <c r="G235" s="2">
        <f t="array" ref="G235">IF($C235="","",INDEX(SchedZone,$C235,MAP!$B$4))</f>
        <v>8</v>
      </c>
      <c r="H235" s="2" t="str">
        <f t="array" ref="H235">IF($C235="","",INDEX(SchedZone,$C235,MAP!$B$12))</f>
        <v>LA</v>
      </c>
      <c r="I235" s="2" t="str">
        <f t="array" ref="I235">IF($H235="","",IF(COUNTIF(Teams,$H235)&gt;0,$H235,IFERROR(INDEX(LISTS!$D$2:$D$12,MATCH($H235,LISTS!$C$2:$C$12,0)),"⚠ "&amp;$H235)))</f>
        <v>LA</v>
      </c>
      <c r="J235" s="2" t="str">
        <f t="array" ref="J235">IF($C235="","",INDEX(SchedZone,$C235,MAP!$B$10))</f>
        <v>LAC</v>
      </c>
      <c r="K235" s="2" t="str">
        <f t="array" ref="K235">IF($J235="","",IF(COUNTIF(Teams,$J235)&gt;0,$J235,IFERROR(INDEX(LISTS!$D$2:$D$12,MATCH($J235,LISTS!$C$2:$C$12,0)),"⚠ "&amp;$J235)))</f>
        <v>LAC</v>
      </c>
      <c r="L235" s="2" t="str">
        <f t="array" ref="L235">IF($C235="","",IF(INDEX(SchedZone,$C235,MAP!$B$14)="Neutral","N",IF($B235="HOME","H","A")))</f>
        <v>H</v>
      </c>
      <c r="M235" s="2" t="str">
        <f t="array" ref="M235">IF($C235="","",IF(INDEX(SchedZone,$C235,MAP!$B$13)="","",INDEX(SchedZone,$C235,MAP!$B$13)))</f>
        <v/>
      </c>
      <c r="N235" s="2" t="str">
        <f t="array" ref="N235">IF($C235="","",IF(INDEX(SchedZone,$C235,MAP!$B$11)="","",INDEX(SchedZone,$C235,MAP!$B$11)))</f>
        <v/>
      </c>
      <c r="O235" s="2">
        <f t="array" ref="O235">IF($C235="","",INDEX(SchedZone,$C235,MAP!$B$16))</f>
        <v>7</v>
      </c>
      <c r="P235" s="2" t="str">
        <f>IF($C235="","",IFERROR(MATCH($E235&amp;"|"&amp;$G235&amp;"|"&amp;$I235,StatsKey,0),""))</f>
        <v/>
      </c>
      <c r="Q235" s="2">
        <f t="array" ref="Q235">IF($P235="",0,INDEX(StatsZone,$P235,MAP!$E$9)+INDEX(StatsZone,$P235,MAP!$E$10)+INDEX(StatsZone,$P235,MAP!$E$11))</f>
        <v>0</v>
      </c>
      <c r="R235" s="2">
        <f t="array" ref="R235">IF($P235="",0,INDEX(StatsZone,$P235,MAP!$E$12))</f>
        <v>0</v>
      </c>
      <c r="S235" s="2">
        <f t="array" ref="S235">IF($P235="",0,INDEX(StatsZone,$P235,MAP!$E$13))</f>
        <v>0</v>
      </c>
      <c r="T235" s="2">
        <f t="shared" si="1"/>
        <v>0</v>
      </c>
      <c r="U235" s="2">
        <f t="array" ref="U235">IF($P235="",0,INDEX(StatsZone,$P235,MAP!$E$14)+INDEX(StatsZone,$P235,MAP!$E$15)+INDEX(StatsZone,$P235,MAP!$E$16))</f>
        <v>0</v>
      </c>
      <c r="V235" s="2">
        <f t="shared" si="2"/>
        <v>0</v>
      </c>
      <c r="W235" s="2">
        <f t="shared" si="3"/>
        <v>0</v>
      </c>
      <c r="X235" s="2">
        <f t="shared" si="4"/>
        <v>0</v>
      </c>
      <c r="Y235" s="2">
        <f t="shared" si="5"/>
        <v>0</v>
      </c>
      <c r="Z235" s="2">
        <f t="shared" si="6"/>
        <v>0</v>
      </c>
      <c r="AA235" s="2">
        <f t="shared" si="7"/>
        <v>1</v>
      </c>
      <c r="AB235" s="2">
        <f>IF(OR($M235="",$N235=""),0,MEDIAN(-MarginCap,MarginCap,($M235-$N235)-$AA235*HFA_Base))</f>
        <v>0</v>
      </c>
      <c r="AC235" s="2">
        <f t="array" ref="AC235">IF(OR($P235="",INDEX($P$3:$P$722,(ROW()+IF(MOD(ROW()-3,2)=0,1,-1))-3+1)=""),0,MEDIAN(-MarginCap,MarginCap,($T235-$W235)-$AA235*HFA_Base))</f>
        <v>0</v>
      </c>
      <c r="AD235" s="2">
        <f t="shared" si="8"/>
        <v>0</v>
      </c>
      <c r="AE235" s="2">
        <f>IF(OR($M235="",$N235=""),0,IF(AND(WEpa&gt;0,$AD235=1),(1-WEpa)*$AB235+WEpa*$AC235,$AB235))</f>
        <v>0</v>
      </c>
      <c r="AF235" s="2">
        <f>IF(AND($C235&lt;&gt;"",$E235=CurrentSeason,$F235="REG",ISNUMBER($G235),$G235&lt;CurrentWeek,AND($M235&lt;&gt;"",$N235&lt;&gt;"")),1,0)</f>
        <v>0</v>
      </c>
      <c r="AG235" s="2">
        <f>IF($AF235=0,0,IF($G235&gt;=CurrentWeek-RecencyWin,RecencyMult,1))</f>
        <v>0</v>
      </c>
      <c r="AH235" s="2">
        <f>IF(AND($C235&lt;&gt;"",$E235=CurrentSeason,$F235="REG",ISNUMBER($G235),$G235&lt;CurrentWeek-1,AND($M235&lt;&gt;"",$N235&lt;&gt;"")),1,0)</f>
        <v>0</v>
      </c>
      <c r="AI235" s="2">
        <f>IF($AH235=0,0,IF($G235&gt;=CurrentWeek-1-RecencyWin,RecencyMult,1))</f>
        <v>0</v>
      </c>
      <c r="AJ235" s="2">
        <f>IF($AF235=0,0,IF($G235&gt;=CurrentWeek-RecencyWin,TotRecency,1))</f>
        <v>0</v>
      </c>
      <c r="AK235" s="2">
        <f t="shared" si="9"/>
        <v>0</v>
      </c>
      <c r="AL235" s="2">
        <f t="shared" si="10"/>
        <v>0</v>
      </c>
      <c r="AM235" s="2" t="str">
        <f t="array" ref="AM235">IF($K235="",0,IFERROR(INDEX(CALC!$F$2:$F$33,MATCH($K235,CALC!$A$2:$A$33,0)),0))</f>
        <v/>
      </c>
      <c r="AN235" s="2" t="str">
        <f t="array" ref="AN235">IF($K235="",0,IFERROR(INDEX(CALC!$I$2:$I$33,MATCH($K235,CALC!$A$2:$A$33,0)),0))</f>
        <v/>
      </c>
      <c r="AO235" s="2" t="str">
        <f t="array" ref="AO235">IF($K235="",0,IFERROR(INDEX(CALC!$L$2:$L$33,MATCH($K235,CALC!$A$2:$A$33,0)),0))</f>
        <v/>
      </c>
      <c r="AP235" s="2" t="str">
        <f t="array" ref="AP235">IF($K235="",0,IFERROR(INDEX(CALC!$T$2:$T$33,MATCH($K235,CALC!$A$2:$A$33,0)),0))</f>
        <v/>
      </c>
      <c r="AQ235" s="2" t="str">
        <f t="array" ref="AQ235">IF($K235="",0,IFERROR(INDEX(CALC!$W$2:$W$33,MATCH($K235,CALC!$A$2:$A$33,0)),0))</f>
        <v/>
      </c>
      <c r="AR235" s="2" t="str">
        <f t="array" ref="AR235">IF($K235="",0,IFERROR(INDEX(CALC!$Z$2:$Z$33,MATCH($K235,CALC!$A$2:$A$33,0)),0))</f>
        <v/>
      </c>
      <c r="AS235" s="2" t="str">
        <f t="array" ref="AS235">IF($K235="",0,IFERROR(INDEX(CALC!$AJ$2:$AJ$33,MATCH($K235,CALC!$A$2:$A$33,0)),0))</f>
        <v/>
      </c>
      <c r="AT235" s="2" t="str">
        <f t="array" ref="AT235">IF($K235="",0,IFERROR(INDEX(CALC!$AI$2:$AI$33,MATCH($K235,CALC!$A$2:$A$33,0)),0))</f>
        <v/>
      </c>
      <c r="AU235" s="2">
        <f t="shared" si="11"/>
        <v>0</v>
      </c>
      <c r="AV235" s="2">
        <f t="shared" si="12"/>
        <v>0</v>
      </c>
    </row>
    <row r="236" ht="15.0" customHeight="1">
      <c r="A236" s="2">
        <v>117.0</v>
      </c>
      <c r="B236" s="2" t="s">
        <v>2366</v>
      </c>
      <c r="C236" s="2">
        <f>IFERROR(MATCH($A236,SchedSeq,0),"")</f>
        <v>402</v>
      </c>
      <c r="D236" s="2" t="str">
        <f t="array" ref="D236">IF($C236="","",INDEX(SchedZone,$C236,MAP!$B$6))</f>
        <v>2026_08_LAC_LA</v>
      </c>
      <c r="E236" s="2">
        <f t="array" ref="E236">IF($C236="","",INDEX(SchedZone,$C236,MAP!$B$3))</f>
        <v>2026</v>
      </c>
      <c r="F236" s="2" t="str">
        <f t="array" ref="F236">IF($C236="","",INDEX(SchedZone,$C236,MAP!$B$5))</f>
        <v>REG</v>
      </c>
      <c r="G236" s="2">
        <f t="array" ref="G236">IF($C236="","",INDEX(SchedZone,$C236,MAP!$B$4))</f>
        <v>8</v>
      </c>
      <c r="H236" s="2" t="str">
        <f t="array" ref="H236">IF($C236="","",INDEX(SchedZone,$C236,MAP!$B$10))</f>
        <v>LAC</v>
      </c>
      <c r="I236" s="2" t="str">
        <f t="array" ref="I236">IF($H236="","",IF(COUNTIF(Teams,$H236)&gt;0,$H236,IFERROR(INDEX(LISTS!$D$2:$D$12,MATCH($H236,LISTS!$C$2:$C$12,0)),"⚠ "&amp;$H236)))</f>
        <v>LAC</v>
      </c>
      <c r="J236" s="2" t="str">
        <f t="array" ref="J236">IF($C236="","",INDEX(SchedZone,$C236,MAP!$B$12))</f>
        <v>LA</v>
      </c>
      <c r="K236" s="2" t="str">
        <f t="array" ref="K236">IF($J236="","",IF(COUNTIF(Teams,$J236)&gt;0,$J236,IFERROR(INDEX(LISTS!$D$2:$D$12,MATCH($J236,LISTS!$C$2:$C$12,0)),"⚠ "&amp;$J236)))</f>
        <v>LA</v>
      </c>
      <c r="L236" s="2" t="str">
        <f t="array" ref="L236">IF($C236="","",IF(INDEX(SchedZone,$C236,MAP!$B$14)="Neutral","N",IF($B236="HOME","H","A")))</f>
        <v>A</v>
      </c>
      <c r="M236" s="2" t="str">
        <f t="array" ref="M236">IF($C236="","",IF(INDEX(SchedZone,$C236,MAP!$B$11)="","",INDEX(SchedZone,$C236,MAP!$B$11)))</f>
        <v/>
      </c>
      <c r="N236" s="2" t="str">
        <f t="array" ref="N236">IF($C236="","",IF(INDEX(SchedZone,$C236,MAP!$B$13)="","",INDEX(SchedZone,$C236,MAP!$B$13)))</f>
        <v/>
      </c>
      <c r="O236" s="2">
        <f t="array" ref="O236">IF($C236="","",INDEX(SchedZone,$C236,MAP!$B$15))</f>
        <v>14</v>
      </c>
      <c r="P236" s="2" t="str">
        <f>IF($C236="","",IFERROR(MATCH($E236&amp;"|"&amp;$G236&amp;"|"&amp;$I236,StatsKey,0),""))</f>
        <v/>
      </c>
      <c r="Q236" s="2">
        <f t="array" ref="Q236">IF($P236="",0,INDEX(StatsZone,$P236,MAP!$E$9)+INDEX(StatsZone,$P236,MAP!$E$10)+INDEX(StatsZone,$P236,MAP!$E$11))</f>
        <v>0</v>
      </c>
      <c r="R236" s="2">
        <f t="array" ref="R236">IF($P236="",0,INDEX(StatsZone,$P236,MAP!$E$12))</f>
        <v>0</v>
      </c>
      <c r="S236" s="2">
        <f t="array" ref="S236">IF($P236="",0,INDEX(StatsZone,$P236,MAP!$E$13))</f>
        <v>0</v>
      </c>
      <c r="T236" s="2">
        <f t="shared" si="1"/>
        <v>0</v>
      </c>
      <c r="U236" s="2">
        <f t="array" ref="U236">IF($P236="",0,INDEX(StatsZone,$P236,MAP!$E$14)+INDEX(StatsZone,$P236,MAP!$E$15)+INDEX(StatsZone,$P236,MAP!$E$16))</f>
        <v>0</v>
      </c>
      <c r="V236" s="2">
        <f t="shared" si="2"/>
        <v>0</v>
      </c>
      <c r="W236" s="2">
        <f t="shared" si="3"/>
        <v>0</v>
      </c>
      <c r="X236" s="2">
        <f t="shared" si="4"/>
        <v>0</v>
      </c>
      <c r="Y236" s="2">
        <f t="shared" si="5"/>
        <v>0</v>
      </c>
      <c r="Z236" s="2">
        <f t="shared" si="6"/>
        <v>0</v>
      </c>
      <c r="AA236" s="2">
        <f t="shared" si="7"/>
        <v>-1</v>
      </c>
      <c r="AB236" s="2">
        <f>IF(OR($M236="",$N236=""),0,MEDIAN(-MarginCap,MarginCap,($M236-$N236)-$AA236*HFA_Base))</f>
        <v>0</v>
      </c>
      <c r="AC236" s="2">
        <f t="array" ref="AC236">IF(OR($P236="",INDEX($P$3:$P$722,(ROW()+IF(MOD(ROW()-3,2)=0,1,-1))-3+1)=""),0,MEDIAN(-MarginCap,MarginCap,($T236-$W236)-$AA236*HFA_Base))</f>
        <v>0</v>
      </c>
      <c r="AD236" s="2">
        <f t="shared" si="8"/>
        <v>0</v>
      </c>
      <c r="AE236" s="2">
        <f>IF(OR($M236="",$N236=""),0,IF(AND(WEpa&gt;0,$AD236=1),(1-WEpa)*$AB236+WEpa*$AC236,$AB236))</f>
        <v>0</v>
      </c>
      <c r="AF236" s="2">
        <f>IF(AND($C236&lt;&gt;"",$E236=CurrentSeason,$F236="REG",ISNUMBER($G236),$G236&lt;CurrentWeek,AND($M236&lt;&gt;"",$N236&lt;&gt;"")),1,0)</f>
        <v>0</v>
      </c>
      <c r="AG236" s="2">
        <f>IF($AF236=0,0,IF($G236&gt;=CurrentWeek-RecencyWin,RecencyMult,1))</f>
        <v>0</v>
      </c>
      <c r="AH236" s="2">
        <f>IF(AND($C236&lt;&gt;"",$E236=CurrentSeason,$F236="REG",ISNUMBER($G236),$G236&lt;CurrentWeek-1,AND($M236&lt;&gt;"",$N236&lt;&gt;"")),1,0)</f>
        <v>0</v>
      </c>
      <c r="AI236" s="2">
        <f>IF($AH236=0,0,IF($G236&gt;=CurrentWeek-1-RecencyWin,RecencyMult,1))</f>
        <v>0</v>
      </c>
      <c r="AJ236" s="2">
        <f>IF($AF236=0,0,IF($G236&gt;=CurrentWeek-RecencyWin,TotRecency,1))</f>
        <v>0</v>
      </c>
      <c r="AK236" s="2">
        <f t="shared" si="9"/>
        <v>0</v>
      </c>
      <c r="AL236" s="2">
        <f t="shared" si="10"/>
        <v>0</v>
      </c>
      <c r="AM236" s="2" t="str">
        <f t="array" ref="AM236">IF($K236="",0,IFERROR(INDEX(CALC!$F$2:$F$33,MATCH($K236,CALC!$A$2:$A$33,0)),0))</f>
        <v/>
      </c>
      <c r="AN236" s="2" t="str">
        <f t="array" ref="AN236">IF($K236="",0,IFERROR(INDEX(CALC!$I$2:$I$33,MATCH($K236,CALC!$A$2:$A$33,0)),0))</f>
        <v/>
      </c>
      <c r="AO236" s="2" t="str">
        <f t="array" ref="AO236">IF($K236="",0,IFERROR(INDEX(CALC!$L$2:$L$33,MATCH($K236,CALC!$A$2:$A$33,0)),0))</f>
        <v/>
      </c>
      <c r="AP236" s="2" t="str">
        <f t="array" ref="AP236">IF($K236="",0,IFERROR(INDEX(CALC!$T$2:$T$33,MATCH($K236,CALC!$A$2:$A$33,0)),0))</f>
        <v/>
      </c>
      <c r="AQ236" s="2" t="str">
        <f t="array" ref="AQ236">IF($K236="",0,IFERROR(INDEX(CALC!$W$2:$W$33,MATCH($K236,CALC!$A$2:$A$33,0)),0))</f>
        <v/>
      </c>
      <c r="AR236" s="2" t="str">
        <f t="array" ref="AR236">IF($K236="",0,IFERROR(INDEX(CALC!$Z$2:$Z$33,MATCH($K236,CALC!$A$2:$A$33,0)),0))</f>
        <v/>
      </c>
      <c r="AS236" s="2" t="str">
        <f t="array" ref="AS236">IF($K236="",0,IFERROR(INDEX(CALC!$AJ$2:$AJ$33,MATCH($K236,CALC!$A$2:$A$33,0)),0))</f>
        <v/>
      </c>
      <c r="AT236" s="2" t="str">
        <f t="array" ref="AT236">IF($K236="",0,IFERROR(INDEX(CALC!$AI$2:$AI$33,MATCH($K236,CALC!$A$2:$A$33,0)),0))</f>
        <v/>
      </c>
      <c r="AU236" s="2">
        <f t="shared" si="11"/>
        <v>0</v>
      </c>
      <c r="AV236" s="2">
        <f t="shared" si="12"/>
        <v>0</v>
      </c>
    </row>
    <row r="237" ht="15.0" customHeight="1">
      <c r="A237" s="2">
        <v>118.0</v>
      </c>
      <c r="B237" s="2" t="s">
        <v>2365</v>
      </c>
      <c r="C237" s="2">
        <f>IFERROR(MATCH($A237,SchedSeq,0),"")</f>
        <v>403</v>
      </c>
      <c r="D237" s="2" t="str">
        <f t="array" ref="D237">IF($C237="","",INDEX(SchedZone,$C237,MAP!$B$6))</f>
        <v>2026_08_KC_DEN</v>
      </c>
      <c r="E237" s="2">
        <f t="array" ref="E237">IF($C237="","",INDEX(SchedZone,$C237,MAP!$B$3))</f>
        <v>2026</v>
      </c>
      <c r="F237" s="2" t="str">
        <f t="array" ref="F237">IF($C237="","",INDEX(SchedZone,$C237,MAP!$B$5))</f>
        <v>REG</v>
      </c>
      <c r="G237" s="2">
        <f t="array" ref="G237">IF($C237="","",INDEX(SchedZone,$C237,MAP!$B$4))</f>
        <v>8</v>
      </c>
      <c r="H237" s="2" t="str">
        <f t="array" ref="H237">IF($C237="","",INDEX(SchedZone,$C237,MAP!$B$12))</f>
        <v>DEN</v>
      </c>
      <c r="I237" s="2" t="str">
        <f t="array" ref="I237">IF($H237="","",IF(COUNTIF(Teams,$H237)&gt;0,$H237,IFERROR(INDEX(LISTS!$D$2:$D$12,MATCH($H237,LISTS!$C$2:$C$12,0)),"⚠ "&amp;$H237)))</f>
        <v>DEN</v>
      </c>
      <c r="J237" s="2" t="str">
        <f t="array" ref="J237">IF($C237="","",INDEX(SchedZone,$C237,MAP!$B$10))</f>
        <v>KC</v>
      </c>
      <c r="K237" s="2" t="str">
        <f t="array" ref="K237">IF($J237="","",IF(COUNTIF(Teams,$J237)&gt;0,$J237,IFERROR(INDEX(LISTS!$D$2:$D$12,MATCH($J237,LISTS!$C$2:$C$12,0)),"⚠ "&amp;$J237)))</f>
        <v>KC</v>
      </c>
      <c r="L237" s="2" t="str">
        <f t="array" ref="L237">IF($C237="","",IF(INDEX(SchedZone,$C237,MAP!$B$14)="Neutral","N",IF($B237="HOME","H","A")))</f>
        <v>H</v>
      </c>
      <c r="M237" s="2" t="str">
        <f t="array" ref="M237">IF($C237="","",IF(INDEX(SchedZone,$C237,MAP!$B$13)="","",INDEX(SchedZone,$C237,MAP!$B$13)))</f>
        <v/>
      </c>
      <c r="N237" s="2" t="str">
        <f t="array" ref="N237">IF($C237="","",IF(INDEX(SchedZone,$C237,MAP!$B$11)="","",INDEX(SchedZone,$C237,MAP!$B$11)))</f>
        <v/>
      </c>
      <c r="O237" s="2">
        <f t="array" ref="O237">IF($C237="","",INDEX(SchedZone,$C237,MAP!$B$16))</f>
        <v>7</v>
      </c>
      <c r="P237" s="2" t="str">
        <f>IF($C237="","",IFERROR(MATCH($E237&amp;"|"&amp;$G237&amp;"|"&amp;$I237,StatsKey,0),""))</f>
        <v/>
      </c>
      <c r="Q237" s="2">
        <f t="array" ref="Q237">IF($P237="",0,INDEX(StatsZone,$P237,MAP!$E$9)+INDEX(StatsZone,$P237,MAP!$E$10)+INDEX(StatsZone,$P237,MAP!$E$11))</f>
        <v>0</v>
      </c>
      <c r="R237" s="2">
        <f t="array" ref="R237">IF($P237="",0,INDEX(StatsZone,$P237,MAP!$E$12))</f>
        <v>0</v>
      </c>
      <c r="S237" s="2">
        <f t="array" ref="S237">IF($P237="",0,INDEX(StatsZone,$P237,MAP!$E$13))</f>
        <v>0</v>
      </c>
      <c r="T237" s="2">
        <f t="shared" si="1"/>
        <v>0</v>
      </c>
      <c r="U237" s="2">
        <f t="array" ref="U237">IF($P237="",0,INDEX(StatsZone,$P237,MAP!$E$14)+INDEX(StatsZone,$P237,MAP!$E$15)+INDEX(StatsZone,$P237,MAP!$E$16))</f>
        <v>0</v>
      </c>
      <c r="V237" s="2">
        <f t="shared" si="2"/>
        <v>0</v>
      </c>
      <c r="W237" s="2">
        <f t="shared" si="3"/>
        <v>0</v>
      </c>
      <c r="X237" s="2">
        <f t="shared" si="4"/>
        <v>0</v>
      </c>
      <c r="Y237" s="2">
        <f t="shared" si="5"/>
        <v>0</v>
      </c>
      <c r="Z237" s="2">
        <f t="shared" si="6"/>
        <v>0</v>
      </c>
      <c r="AA237" s="2">
        <f t="shared" si="7"/>
        <v>1</v>
      </c>
      <c r="AB237" s="2">
        <f>IF(OR($M237="",$N237=""),0,MEDIAN(-MarginCap,MarginCap,($M237-$N237)-$AA237*HFA_Base))</f>
        <v>0</v>
      </c>
      <c r="AC237" s="2">
        <f t="array" ref="AC237">IF(OR($P237="",INDEX($P$3:$P$722,(ROW()+IF(MOD(ROW()-3,2)=0,1,-1))-3+1)=""),0,MEDIAN(-MarginCap,MarginCap,($T237-$W237)-$AA237*HFA_Base))</f>
        <v>0</v>
      </c>
      <c r="AD237" s="2">
        <f t="shared" si="8"/>
        <v>0</v>
      </c>
      <c r="AE237" s="2">
        <f>IF(OR($M237="",$N237=""),0,IF(AND(WEpa&gt;0,$AD237=1),(1-WEpa)*$AB237+WEpa*$AC237,$AB237))</f>
        <v>0</v>
      </c>
      <c r="AF237" s="2">
        <f>IF(AND($C237&lt;&gt;"",$E237=CurrentSeason,$F237="REG",ISNUMBER($G237),$G237&lt;CurrentWeek,AND($M237&lt;&gt;"",$N237&lt;&gt;"")),1,0)</f>
        <v>0</v>
      </c>
      <c r="AG237" s="2">
        <f>IF($AF237=0,0,IF($G237&gt;=CurrentWeek-RecencyWin,RecencyMult,1))</f>
        <v>0</v>
      </c>
      <c r="AH237" s="2">
        <f>IF(AND($C237&lt;&gt;"",$E237=CurrentSeason,$F237="REG",ISNUMBER($G237),$G237&lt;CurrentWeek-1,AND($M237&lt;&gt;"",$N237&lt;&gt;"")),1,0)</f>
        <v>0</v>
      </c>
      <c r="AI237" s="2">
        <f>IF($AH237=0,0,IF($G237&gt;=CurrentWeek-1-RecencyWin,RecencyMult,1))</f>
        <v>0</v>
      </c>
      <c r="AJ237" s="2">
        <f>IF($AF237=0,0,IF($G237&gt;=CurrentWeek-RecencyWin,TotRecency,1))</f>
        <v>0</v>
      </c>
      <c r="AK237" s="2">
        <f t="shared" si="9"/>
        <v>0</v>
      </c>
      <c r="AL237" s="2">
        <f t="shared" si="10"/>
        <v>0</v>
      </c>
      <c r="AM237" s="2" t="str">
        <f t="array" ref="AM237">IF($K237="",0,IFERROR(INDEX(CALC!$F$2:$F$33,MATCH($K237,CALC!$A$2:$A$33,0)),0))</f>
        <v/>
      </c>
      <c r="AN237" s="2" t="str">
        <f t="array" ref="AN237">IF($K237="",0,IFERROR(INDEX(CALC!$I$2:$I$33,MATCH($K237,CALC!$A$2:$A$33,0)),0))</f>
        <v/>
      </c>
      <c r="AO237" s="2" t="str">
        <f t="array" ref="AO237">IF($K237="",0,IFERROR(INDEX(CALC!$L$2:$L$33,MATCH($K237,CALC!$A$2:$A$33,0)),0))</f>
        <v/>
      </c>
      <c r="AP237" s="2" t="str">
        <f t="array" ref="AP237">IF($K237="",0,IFERROR(INDEX(CALC!$T$2:$T$33,MATCH($K237,CALC!$A$2:$A$33,0)),0))</f>
        <v/>
      </c>
      <c r="AQ237" s="2" t="str">
        <f t="array" ref="AQ237">IF($K237="",0,IFERROR(INDEX(CALC!$W$2:$W$33,MATCH($K237,CALC!$A$2:$A$33,0)),0))</f>
        <v/>
      </c>
      <c r="AR237" s="2" t="str">
        <f t="array" ref="AR237">IF($K237="",0,IFERROR(INDEX(CALC!$Z$2:$Z$33,MATCH($K237,CALC!$A$2:$A$33,0)),0))</f>
        <v/>
      </c>
      <c r="AS237" s="2" t="str">
        <f t="array" ref="AS237">IF($K237="",0,IFERROR(INDEX(CALC!$AJ$2:$AJ$33,MATCH($K237,CALC!$A$2:$A$33,0)),0))</f>
        <v/>
      </c>
      <c r="AT237" s="2" t="str">
        <f t="array" ref="AT237">IF($K237="",0,IFERROR(INDEX(CALC!$AI$2:$AI$33,MATCH($K237,CALC!$A$2:$A$33,0)),0))</f>
        <v/>
      </c>
      <c r="AU237" s="2">
        <f t="shared" si="11"/>
        <v>0</v>
      </c>
      <c r="AV237" s="2">
        <f t="shared" si="12"/>
        <v>0</v>
      </c>
    </row>
    <row r="238" ht="15.0" customHeight="1">
      <c r="A238" s="2">
        <v>118.0</v>
      </c>
      <c r="B238" s="2" t="s">
        <v>2366</v>
      </c>
      <c r="C238" s="2">
        <f>IFERROR(MATCH($A238,SchedSeq,0),"")</f>
        <v>403</v>
      </c>
      <c r="D238" s="2" t="str">
        <f t="array" ref="D238">IF($C238="","",INDEX(SchedZone,$C238,MAP!$B$6))</f>
        <v>2026_08_KC_DEN</v>
      </c>
      <c r="E238" s="2">
        <f t="array" ref="E238">IF($C238="","",INDEX(SchedZone,$C238,MAP!$B$3))</f>
        <v>2026</v>
      </c>
      <c r="F238" s="2" t="str">
        <f t="array" ref="F238">IF($C238="","",INDEX(SchedZone,$C238,MAP!$B$5))</f>
        <v>REG</v>
      </c>
      <c r="G238" s="2">
        <f t="array" ref="G238">IF($C238="","",INDEX(SchedZone,$C238,MAP!$B$4))</f>
        <v>8</v>
      </c>
      <c r="H238" s="2" t="str">
        <f t="array" ref="H238">IF($C238="","",INDEX(SchedZone,$C238,MAP!$B$10))</f>
        <v>KC</v>
      </c>
      <c r="I238" s="2" t="str">
        <f t="array" ref="I238">IF($H238="","",IF(COUNTIF(Teams,$H238)&gt;0,$H238,IFERROR(INDEX(LISTS!$D$2:$D$12,MATCH($H238,LISTS!$C$2:$C$12,0)),"⚠ "&amp;$H238)))</f>
        <v>KC</v>
      </c>
      <c r="J238" s="2" t="str">
        <f t="array" ref="J238">IF($C238="","",INDEX(SchedZone,$C238,MAP!$B$12))</f>
        <v>DEN</v>
      </c>
      <c r="K238" s="2" t="str">
        <f t="array" ref="K238">IF($J238="","",IF(COUNTIF(Teams,$J238)&gt;0,$J238,IFERROR(INDEX(LISTS!$D$2:$D$12,MATCH($J238,LISTS!$C$2:$C$12,0)),"⚠ "&amp;$J238)))</f>
        <v>DEN</v>
      </c>
      <c r="L238" s="2" t="str">
        <f t="array" ref="L238">IF($C238="","",IF(INDEX(SchedZone,$C238,MAP!$B$14)="Neutral","N",IF($B238="HOME","H","A")))</f>
        <v>A</v>
      </c>
      <c r="M238" s="2" t="str">
        <f t="array" ref="M238">IF($C238="","",IF(INDEX(SchedZone,$C238,MAP!$B$11)="","",INDEX(SchedZone,$C238,MAP!$B$11)))</f>
        <v/>
      </c>
      <c r="N238" s="2" t="str">
        <f t="array" ref="N238">IF($C238="","",IF(INDEX(SchedZone,$C238,MAP!$B$13)="","",INDEX(SchedZone,$C238,MAP!$B$13)))</f>
        <v/>
      </c>
      <c r="O238" s="2">
        <f t="array" ref="O238">IF($C238="","",INDEX(SchedZone,$C238,MAP!$B$15))</f>
        <v>7</v>
      </c>
      <c r="P238" s="2" t="str">
        <f>IF($C238="","",IFERROR(MATCH($E238&amp;"|"&amp;$G238&amp;"|"&amp;$I238,StatsKey,0),""))</f>
        <v/>
      </c>
      <c r="Q238" s="2">
        <f t="array" ref="Q238">IF($P238="",0,INDEX(StatsZone,$P238,MAP!$E$9)+INDEX(StatsZone,$P238,MAP!$E$10)+INDEX(StatsZone,$P238,MAP!$E$11))</f>
        <v>0</v>
      </c>
      <c r="R238" s="2">
        <f t="array" ref="R238">IF($P238="",0,INDEX(StatsZone,$P238,MAP!$E$12))</f>
        <v>0</v>
      </c>
      <c r="S238" s="2">
        <f t="array" ref="S238">IF($P238="",0,INDEX(StatsZone,$P238,MAP!$E$13))</f>
        <v>0</v>
      </c>
      <c r="T238" s="2">
        <f t="shared" si="1"/>
        <v>0</v>
      </c>
      <c r="U238" s="2">
        <f t="array" ref="U238">IF($P238="",0,INDEX(StatsZone,$P238,MAP!$E$14)+INDEX(StatsZone,$P238,MAP!$E$15)+INDEX(StatsZone,$P238,MAP!$E$16))</f>
        <v>0</v>
      </c>
      <c r="V238" s="2">
        <f t="shared" si="2"/>
        <v>0</v>
      </c>
      <c r="W238" s="2">
        <f t="shared" si="3"/>
        <v>0</v>
      </c>
      <c r="X238" s="2">
        <f t="shared" si="4"/>
        <v>0</v>
      </c>
      <c r="Y238" s="2">
        <f t="shared" si="5"/>
        <v>0</v>
      </c>
      <c r="Z238" s="2">
        <f t="shared" si="6"/>
        <v>0</v>
      </c>
      <c r="AA238" s="2">
        <f t="shared" si="7"/>
        <v>-1</v>
      </c>
      <c r="AB238" s="2">
        <f>IF(OR($M238="",$N238=""),0,MEDIAN(-MarginCap,MarginCap,($M238-$N238)-$AA238*HFA_Base))</f>
        <v>0</v>
      </c>
      <c r="AC238" s="2">
        <f t="array" ref="AC238">IF(OR($P238="",INDEX($P$3:$P$722,(ROW()+IF(MOD(ROW()-3,2)=0,1,-1))-3+1)=""),0,MEDIAN(-MarginCap,MarginCap,($T238-$W238)-$AA238*HFA_Base))</f>
        <v>0</v>
      </c>
      <c r="AD238" s="2">
        <f t="shared" si="8"/>
        <v>0</v>
      </c>
      <c r="AE238" s="2">
        <f>IF(OR($M238="",$N238=""),0,IF(AND(WEpa&gt;0,$AD238=1),(1-WEpa)*$AB238+WEpa*$AC238,$AB238))</f>
        <v>0</v>
      </c>
      <c r="AF238" s="2">
        <f>IF(AND($C238&lt;&gt;"",$E238=CurrentSeason,$F238="REG",ISNUMBER($G238),$G238&lt;CurrentWeek,AND($M238&lt;&gt;"",$N238&lt;&gt;"")),1,0)</f>
        <v>0</v>
      </c>
      <c r="AG238" s="2">
        <f>IF($AF238=0,0,IF($G238&gt;=CurrentWeek-RecencyWin,RecencyMult,1))</f>
        <v>0</v>
      </c>
      <c r="AH238" s="2">
        <f>IF(AND($C238&lt;&gt;"",$E238=CurrentSeason,$F238="REG",ISNUMBER($G238),$G238&lt;CurrentWeek-1,AND($M238&lt;&gt;"",$N238&lt;&gt;"")),1,0)</f>
        <v>0</v>
      </c>
      <c r="AI238" s="2">
        <f>IF($AH238=0,0,IF($G238&gt;=CurrentWeek-1-RecencyWin,RecencyMult,1))</f>
        <v>0</v>
      </c>
      <c r="AJ238" s="2">
        <f>IF($AF238=0,0,IF($G238&gt;=CurrentWeek-RecencyWin,TotRecency,1))</f>
        <v>0</v>
      </c>
      <c r="AK238" s="2">
        <f t="shared" si="9"/>
        <v>0</v>
      </c>
      <c r="AL238" s="2">
        <f t="shared" si="10"/>
        <v>0</v>
      </c>
      <c r="AM238" s="2" t="str">
        <f t="array" ref="AM238">IF($K238="",0,IFERROR(INDEX(CALC!$F$2:$F$33,MATCH($K238,CALC!$A$2:$A$33,0)),0))</f>
        <v/>
      </c>
      <c r="AN238" s="2" t="str">
        <f t="array" ref="AN238">IF($K238="",0,IFERROR(INDEX(CALC!$I$2:$I$33,MATCH($K238,CALC!$A$2:$A$33,0)),0))</f>
        <v/>
      </c>
      <c r="AO238" s="2" t="str">
        <f t="array" ref="AO238">IF($K238="",0,IFERROR(INDEX(CALC!$L$2:$L$33,MATCH($K238,CALC!$A$2:$A$33,0)),0))</f>
        <v/>
      </c>
      <c r="AP238" s="2" t="str">
        <f t="array" ref="AP238">IF($K238="",0,IFERROR(INDEX(CALC!$T$2:$T$33,MATCH($K238,CALC!$A$2:$A$33,0)),0))</f>
        <v/>
      </c>
      <c r="AQ238" s="2" t="str">
        <f t="array" ref="AQ238">IF($K238="",0,IFERROR(INDEX(CALC!$W$2:$W$33,MATCH($K238,CALC!$A$2:$A$33,0)),0))</f>
        <v/>
      </c>
      <c r="AR238" s="2" t="str">
        <f t="array" ref="AR238">IF($K238="",0,IFERROR(INDEX(CALC!$Z$2:$Z$33,MATCH($K238,CALC!$A$2:$A$33,0)),0))</f>
        <v/>
      </c>
      <c r="AS238" s="2" t="str">
        <f t="array" ref="AS238">IF($K238="",0,IFERROR(INDEX(CALC!$AJ$2:$AJ$33,MATCH($K238,CALC!$A$2:$A$33,0)),0))</f>
        <v/>
      </c>
      <c r="AT238" s="2" t="str">
        <f t="array" ref="AT238">IF($K238="",0,IFERROR(INDEX(CALC!$AI$2:$AI$33,MATCH($K238,CALC!$A$2:$A$33,0)),0))</f>
        <v/>
      </c>
      <c r="AU238" s="2">
        <f t="shared" si="11"/>
        <v>0</v>
      </c>
      <c r="AV238" s="2">
        <f t="shared" si="12"/>
        <v>0</v>
      </c>
    </row>
    <row r="239" ht="15.0" customHeight="1">
      <c r="A239" s="2">
        <v>119.0</v>
      </c>
      <c r="B239" s="2" t="s">
        <v>2365</v>
      </c>
      <c r="C239" s="2">
        <f>IFERROR(MATCH($A239,SchedSeq,0),"")</f>
        <v>404</v>
      </c>
      <c r="D239" s="2" t="str">
        <f t="array" ref="D239">IF($C239="","",INDEX(SchedZone,$C239,MAP!$B$6))</f>
        <v>2026_08_NE_MIA</v>
      </c>
      <c r="E239" s="2">
        <f t="array" ref="E239">IF($C239="","",INDEX(SchedZone,$C239,MAP!$B$3))</f>
        <v>2026</v>
      </c>
      <c r="F239" s="2" t="str">
        <f t="array" ref="F239">IF($C239="","",INDEX(SchedZone,$C239,MAP!$B$5))</f>
        <v>REG</v>
      </c>
      <c r="G239" s="2">
        <f t="array" ref="G239">IF($C239="","",INDEX(SchedZone,$C239,MAP!$B$4))</f>
        <v>8</v>
      </c>
      <c r="H239" s="2" t="str">
        <f t="array" ref="H239">IF($C239="","",INDEX(SchedZone,$C239,MAP!$B$12))</f>
        <v>MIA</v>
      </c>
      <c r="I239" s="2" t="str">
        <f t="array" ref="I239">IF($H239="","",IF(COUNTIF(Teams,$H239)&gt;0,$H239,IFERROR(INDEX(LISTS!$D$2:$D$12,MATCH($H239,LISTS!$C$2:$C$12,0)),"⚠ "&amp;$H239)))</f>
        <v>MIA</v>
      </c>
      <c r="J239" s="2" t="str">
        <f t="array" ref="J239">IF($C239="","",INDEX(SchedZone,$C239,MAP!$B$10))</f>
        <v>NE</v>
      </c>
      <c r="K239" s="2" t="str">
        <f t="array" ref="K239">IF($J239="","",IF(COUNTIF(Teams,$J239)&gt;0,$J239,IFERROR(INDEX(LISTS!$D$2:$D$12,MATCH($J239,LISTS!$C$2:$C$12,0)),"⚠ "&amp;$J239)))</f>
        <v>NE</v>
      </c>
      <c r="L239" s="2" t="str">
        <f t="array" ref="L239">IF($C239="","",IF(INDEX(SchedZone,$C239,MAP!$B$14)="Neutral","N",IF($B239="HOME","H","A")))</f>
        <v>H</v>
      </c>
      <c r="M239" s="2" t="str">
        <f t="array" ref="M239">IF($C239="","",IF(INDEX(SchedZone,$C239,MAP!$B$13)="","",INDEX(SchedZone,$C239,MAP!$B$13)))</f>
        <v/>
      </c>
      <c r="N239" s="2" t="str">
        <f t="array" ref="N239">IF($C239="","",IF(INDEX(SchedZone,$C239,MAP!$B$11)="","",INDEX(SchedZone,$C239,MAP!$B$11)))</f>
        <v/>
      </c>
      <c r="O239" s="2">
        <f t="array" ref="O239">IF($C239="","",INDEX(SchedZone,$C239,MAP!$B$16))</f>
        <v>7</v>
      </c>
      <c r="P239" s="2" t="str">
        <f>IF($C239="","",IFERROR(MATCH($E239&amp;"|"&amp;$G239&amp;"|"&amp;$I239,StatsKey,0),""))</f>
        <v/>
      </c>
      <c r="Q239" s="2">
        <f t="array" ref="Q239">IF($P239="",0,INDEX(StatsZone,$P239,MAP!$E$9)+INDEX(StatsZone,$P239,MAP!$E$10)+INDEX(StatsZone,$P239,MAP!$E$11))</f>
        <v>0</v>
      </c>
      <c r="R239" s="2">
        <f t="array" ref="R239">IF($P239="",0,INDEX(StatsZone,$P239,MAP!$E$12))</f>
        <v>0</v>
      </c>
      <c r="S239" s="2">
        <f t="array" ref="S239">IF($P239="",0,INDEX(StatsZone,$P239,MAP!$E$13))</f>
        <v>0</v>
      </c>
      <c r="T239" s="2">
        <f t="shared" si="1"/>
        <v>0</v>
      </c>
      <c r="U239" s="2">
        <f t="array" ref="U239">IF($P239="",0,INDEX(StatsZone,$P239,MAP!$E$14)+INDEX(StatsZone,$P239,MAP!$E$15)+INDEX(StatsZone,$P239,MAP!$E$16))</f>
        <v>0</v>
      </c>
      <c r="V239" s="2">
        <f t="shared" si="2"/>
        <v>0</v>
      </c>
      <c r="W239" s="2">
        <f t="shared" si="3"/>
        <v>0</v>
      </c>
      <c r="X239" s="2">
        <f t="shared" si="4"/>
        <v>0</v>
      </c>
      <c r="Y239" s="2">
        <f t="shared" si="5"/>
        <v>0</v>
      </c>
      <c r="Z239" s="2">
        <f t="shared" si="6"/>
        <v>0</v>
      </c>
      <c r="AA239" s="2">
        <f t="shared" si="7"/>
        <v>1</v>
      </c>
      <c r="AB239" s="2">
        <f>IF(OR($M239="",$N239=""),0,MEDIAN(-MarginCap,MarginCap,($M239-$N239)-$AA239*HFA_Base))</f>
        <v>0</v>
      </c>
      <c r="AC239" s="2">
        <f t="array" ref="AC239">IF(OR($P239="",INDEX($P$3:$P$722,(ROW()+IF(MOD(ROW()-3,2)=0,1,-1))-3+1)=""),0,MEDIAN(-MarginCap,MarginCap,($T239-$W239)-$AA239*HFA_Base))</f>
        <v>0</v>
      </c>
      <c r="AD239" s="2">
        <f t="shared" si="8"/>
        <v>0</v>
      </c>
      <c r="AE239" s="2">
        <f>IF(OR($M239="",$N239=""),0,IF(AND(WEpa&gt;0,$AD239=1),(1-WEpa)*$AB239+WEpa*$AC239,$AB239))</f>
        <v>0</v>
      </c>
      <c r="AF239" s="2">
        <f>IF(AND($C239&lt;&gt;"",$E239=CurrentSeason,$F239="REG",ISNUMBER($G239),$G239&lt;CurrentWeek,AND($M239&lt;&gt;"",$N239&lt;&gt;"")),1,0)</f>
        <v>0</v>
      </c>
      <c r="AG239" s="2">
        <f>IF($AF239=0,0,IF($G239&gt;=CurrentWeek-RecencyWin,RecencyMult,1))</f>
        <v>0</v>
      </c>
      <c r="AH239" s="2">
        <f>IF(AND($C239&lt;&gt;"",$E239=CurrentSeason,$F239="REG",ISNUMBER($G239),$G239&lt;CurrentWeek-1,AND($M239&lt;&gt;"",$N239&lt;&gt;"")),1,0)</f>
        <v>0</v>
      </c>
      <c r="AI239" s="2">
        <f>IF($AH239=0,0,IF($G239&gt;=CurrentWeek-1-RecencyWin,RecencyMult,1))</f>
        <v>0</v>
      </c>
      <c r="AJ239" s="2">
        <f>IF($AF239=0,0,IF($G239&gt;=CurrentWeek-RecencyWin,TotRecency,1))</f>
        <v>0</v>
      </c>
      <c r="AK239" s="2">
        <f t="shared" si="9"/>
        <v>0</v>
      </c>
      <c r="AL239" s="2">
        <f t="shared" si="10"/>
        <v>0</v>
      </c>
      <c r="AM239" s="2" t="str">
        <f t="array" ref="AM239">IF($K239="",0,IFERROR(INDEX(CALC!$F$2:$F$33,MATCH($K239,CALC!$A$2:$A$33,0)),0))</f>
        <v/>
      </c>
      <c r="AN239" s="2" t="str">
        <f t="array" ref="AN239">IF($K239="",0,IFERROR(INDEX(CALC!$I$2:$I$33,MATCH($K239,CALC!$A$2:$A$33,0)),0))</f>
        <v/>
      </c>
      <c r="AO239" s="2" t="str">
        <f t="array" ref="AO239">IF($K239="",0,IFERROR(INDEX(CALC!$L$2:$L$33,MATCH($K239,CALC!$A$2:$A$33,0)),0))</f>
        <v/>
      </c>
      <c r="AP239" s="2" t="str">
        <f t="array" ref="AP239">IF($K239="",0,IFERROR(INDEX(CALC!$T$2:$T$33,MATCH($K239,CALC!$A$2:$A$33,0)),0))</f>
        <v/>
      </c>
      <c r="AQ239" s="2" t="str">
        <f t="array" ref="AQ239">IF($K239="",0,IFERROR(INDEX(CALC!$W$2:$W$33,MATCH($K239,CALC!$A$2:$A$33,0)),0))</f>
        <v/>
      </c>
      <c r="AR239" s="2" t="str">
        <f t="array" ref="AR239">IF($K239="",0,IFERROR(INDEX(CALC!$Z$2:$Z$33,MATCH($K239,CALC!$A$2:$A$33,0)),0))</f>
        <v/>
      </c>
      <c r="AS239" s="2" t="str">
        <f t="array" ref="AS239">IF($K239="",0,IFERROR(INDEX(CALC!$AJ$2:$AJ$33,MATCH($K239,CALC!$A$2:$A$33,0)),0))</f>
        <v/>
      </c>
      <c r="AT239" s="2" t="str">
        <f t="array" ref="AT239">IF($K239="",0,IFERROR(INDEX(CALC!$AI$2:$AI$33,MATCH($K239,CALC!$A$2:$A$33,0)),0))</f>
        <v/>
      </c>
      <c r="AU239" s="2">
        <f t="shared" si="11"/>
        <v>0</v>
      </c>
      <c r="AV239" s="2">
        <f t="shared" si="12"/>
        <v>0</v>
      </c>
    </row>
    <row r="240" ht="15.0" customHeight="1">
      <c r="A240" s="2">
        <v>119.0</v>
      </c>
      <c r="B240" s="2" t="s">
        <v>2366</v>
      </c>
      <c r="C240" s="2">
        <f>IFERROR(MATCH($A240,SchedSeq,0),"")</f>
        <v>404</v>
      </c>
      <c r="D240" s="2" t="str">
        <f t="array" ref="D240">IF($C240="","",INDEX(SchedZone,$C240,MAP!$B$6))</f>
        <v>2026_08_NE_MIA</v>
      </c>
      <c r="E240" s="2">
        <f t="array" ref="E240">IF($C240="","",INDEX(SchedZone,$C240,MAP!$B$3))</f>
        <v>2026</v>
      </c>
      <c r="F240" s="2" t="str">
        <f t="array" ref="F240">IF($C240="","",INDEX(SchedZone,$C240,MAP!$B$5))</f>
        <v>REG</v>
      </c>
      <c r="G240" s="2">
        <f t="array" ref="G240">IF($C240="","",INDEX(SchedZone,$C240,MAP!$B$4))</f>
        <v>8</v>
      </c>
      <c r="H240" s="2" t="str">
        <f t="array" ref="H240">IF($C240="","",INDEX(SchedZone,$C240,MAP!$B$10))</f>
        <v>NE</v>
      </c>
      <c r="I240" s="2" t="str">
        <f t="array" ref="I240">IF($H240="","",IF(COUNTIF(Teams,$H240)&gt;0,$H240,IFERROR(INDEX(LISTS!$D$2:$D$12,MATCH($H240,LISTS!$C$2:$C$12,0)),"⚠ "&amp;$H240)))</f>
        <v>NE</v>
      </c>
      <c r="J240" s="2" t="str">
        <f t="array" ref="J240">IF($C240="","",INDEX(SchedZone,$C240,MAP!$B$12))</f>
        <v>MIA</v>
      </c>
      <c r="K240" s="2" t="str">
        <f t="array" ref="K240">IF($J240="","",IF(COUNTIF(Teams,$J240)&gt;0,$J240,IFERROR(INDEX(LISTS!$D$2:$D$12,MATCH($J240,LISTS!$C$2:$C$12,0)),"⚠ "&amp;$J240)))</f>
        <v>MIA</v>
      </c>
      <c r="L240" s="2" t="str">
        <f t="array" ref="L240">IF($C240="","",IF(INDEX(SchedZone,$C240,MAP!$B$14)="Neutral","N",IF($B240="HOME","H","A")))</f>
        <v>A</v>
      </c>
      <c r="M240" s="2" t="str">
        <f t="array" ref="M240">IF($C240="","",IF(INDEX(SchedZone,$C240,MAP!$B$11)="","",INDEX(SchedZone,$C240,MAP!$B$11)))</f>
        <v/>
      </c>
      <c r="N240" s="2" t="str">
        <f t="array" ref="N240">IF($C240="","",IF(INDEX(SchedZone,$C240,MAP!$B$13)="","",INDEX(SchedZone,$C240,MAP!$B$13)))</f>
        <v/>
      </c>
      <c r="O240" s="2">
        <f t="array" ref="O240">IF($C240="","",INDEX(SchedZone,$C240,MAP!$B$15))</f>
        <v>10</v>
      </c>
      <c r="P240" s="2" t="str">
        <f>IF($C240="","",IFERROR(MATCH($E240&amp;"|"&amp;$G240&amp;"|"&amp;$I240,StatsKey,0),""))</f>
        <v/>
      </c>
      <c r="Q240" s="2">
        <f t="array" ref="Q240">IF($P240="",0,INDEX(StatsZone,$P240,MAP!$E$9)+INDEX(StatsZone,$P240,MAP!$E$10)+INDEX(StatsZone,$P240,MAP!$E$11))</f>
        <v>0</v>
      </c>
      <c r="R240" s="2">
        <f t="array" ref="R240">IF($P240="",0,INDEX(StatsZone,$P240,MAP!$E$12))</f>
        <v>0</v>
      </c>
      <c r="S240" s="2">
        <f t="array" ref="S240">IF($P240="",0,INDEX(StatsZone,$P240,MAP!$E$13))</f>
        <v>0</v>
      </c>
      <c r="T240" s="2">
        <f t="shared" si="1"/>
        <v>0</v>
      </c>
      <c r="U240" s="2">
        <f t="array" ref="U240">IF($P240="",0,INDEX(StatsZone,$P240,MAP!$E$14)+INDEX(StatsZone,$P240,MAP!$E$15)+INDEX(StatsZone,$P240,MAP!$E$16))</f>
        <v>0</v>
      </c>
      <c r="V240" s="2">
        <f t="shared" si="2"/>
        <v>0</v>
      </c>
      <c r="W240" s="2">
        <f t="shared" si="3"/>
        <v>0</v>
      </c>
      <c r="X240" s="2">
        <f t="shared" si="4"/>
        <v>0</v>
      </c>
      <c r="Y240" s="2">
        <f t="shared" si="5"/>
        <v>0</v>
      </c>
      <c r="Z240" s="2">
        <f t="shared" si="6"/>
        <v>0</v>
      </c>
      <c r="AA240" s="2">
        <f t="shared" si="7"/>
        <v>-1</v>
      </c>
      <c r="AB240" s="2">
        <f>IF(OR($M240="",$N240=""),0,MEDIAN(-MarginCap,MarginCap,($M240-$N240)-$AA240*HFA_Base))</f>
        <v>0</v>
      </c>
      <c r="AC240" s="2">
        <f t="array" ref="AC240">IF(OR($P240="",INDEX($P$3:$P$722,(ROW()+IF(MOD(ROW()-3,2)=0,1,-1))-3+1)=""),0,MEDIAN(-MarginCap,MarginCap,($T240-$W240)-$AA240*HFA_Base))</f>
        <v>0</v>
      </c>
      <c r="AD240" s="2">
        <f t="shared" si="8"/>
        <v>0</v>
      </c>
      <c r="AE240" s="2">
        <f>IF(OR($M240="",$N240=""),0,IF(AND(WEpa&gt;0,$AD240=1),(1-WEpa)*$AB240+WEpa*$AC240,$AB240))</f>
        <v>0</v>
      </c>
      <c r="AF240" s="2">
        <f>IF(AND($C240&lt;&gt;"",$E240=CurrentSeason,$F240="REG",ISNUMBER($G240),$G240&lt;CurrentWeek,AND($M240&lt;&gt;"",$N240&lt;&gt;"")),1,0)</f>
        <v>0</v>
      </c>
      <c r="AG240" s="2">
        <f>IF($AF240=0,0,IF($G240&gt;=CurrentWeek-RecencyWin,RecencyMult,1))</f>
        <v>0</v>
      </c>
      <c r="AH240" s="2">
        <f>IF(AND($C240&lt;&gt;"",$E240=CurrentSeason,$F240="REG",ISNUMBER($G240),$G240&lt;CurrentWeek-1,AND($M240&lt;&gt;"",$N240&lt;&gt;"")),1,0)</f>
        <v>0</v>
      </c>
      <c r="AI240" s="2">
        <f>IF($AH240=0,0,IF($G240&gt;=CurrentWeek-1-RecencyWin,RecencyMult,1))</f>
        <v>0</v>
      </c>
      <c r="AJ240" s="2">
        <f>IF($AF240=0,0,IF($G240&gt;=CurrentWeek-RecencyWin,TotRecency,1))</f>
        <v>0</v>
      </c>
      <c r="AK240" s="2">
        <f t="shared" si="9"/>
        <v>0</v>
      </c>
      <c r="AL240" s="2">
        <f t="shared" si="10"/>
        <v>0</v>
      </c>
      <c r="AM240" s="2" t="str">
        <f t="array" ref="AM240">IF($K240="",0,IFERROR(INDEX(CALC!$F$2:$F$33,MATCH($K240,CALC!$A$2:$A$33,0)),0))</f>
        <v/>
      </c>
      <c r="AN240" s="2" t="str">
        <f t="array" ref="AN240">IF($K240="",0,IFERROR(INDEX(CALC!$I$2:$I$33,MATCH($K240,CALC!$A$2:$A$33,0)),0))</f>
        <v/>
      </c>
      <c r="AO240" s="2" t="str">
        <f t="array" ref="AO240">IF($K240="",0,IFERROR(INDEX(CALC!$L$2:$L$33,MATCH($K240,CALC!$A$2:$A$33,0)),0))</f>
        <v/>
      </c>
      <c r="AP240" s="2" t="str">
        <f t="array" ref="AP240">IF($K240="",0,IFERROR(INDEX(CALC!$T$2:$T$33,MATCH($K240,CALC!$A$2:$A$33,0)),0))</f>
        <v/>
      </c>
      <c r="AQ240" s="2" t="str">
        <f t="array" ref="AQ240">IF($K240="",0,IFERROR(INDEX(CALC!$W$2:$W$33,MATCH($K240,CALC!$A$2:$A$33,0)),0))</f>
        <v/>
      </c>
      <c r="AR240" s="2" t="str">
        <f t="array" ref="AR240">IF($K240="",0,IFERROR(INDEX(CALC!$Z$2:$Z$33,MATCH($K240,CALC!$A$2:$A$33,0)),0))</f>
        <v/>
      </c>
      <c r="AS240" s="2" t="str">
        <f t="array" ref="AS240">IF($K240="",0,IFERROR(INDEX(CALC!$AJ$2:$AJ$33,MATCH($K240,CALC!$A$2:$A$33,0)),0))</f>
        <v/>
      </c>
      <c r="AT240" s="2" t="str">
        <f t="array" ref="AT240">IF($K240="",0,IFERROR(INDEX(CALC!$AI$2:$AI$33,MATCH($K240,CALC!$A$2:$A$33,0)),0))</f>
        <v/>
      </c>
      <c r="AU240" s="2">
        <f t="shared" si="11"/>
        <v>0</v>
      </c>
      <c r="AV240" s="2">
        <f t="shared" si="12"/>
        <v>0</v>
      </c>
    </row>
    <row r="241" ht="15.0" customHeight="1">
      <c r="A241" s="2">
        <v>120.0</v>
      </c>
      <c r="B241" s="2" t="s">
        <v>2365</v>
      </c>
      <c r="C241" s="2">
        <f>IFERROR(MATCH($A241,SchedSeq,0),"")</f>
        <v>405</v>
      </c>
      <c r="D241" s="2" t="str">
        <f t="array" ref="D241">IF($C241="","",INDEX(SchedZone,$C241,MAP!$B$6))</f>
        <v>2026_08_PHI_WAS</v>
      </c>
      <c r="E241" s="2">
        <f t="array" ref="E241">IF($C241="","",INDEX(SchedZone,$C241,MAP!$B$3))</f>
        <v>2026</v>
      </c>
      <c r="F241" s="2" t="str">
        <f t="array" ref="F241">IF($C241="","",INDEX(SchedZone,$C241,MAP!$B$5))</f>
        <v>REG</v>
      </c>
      <c r="G241" s="2">
        <f t="array" ref="G241">IF($C241="","",INDEX(SchedZone,$C241,MAP!$B$4))</f>
        <v>8</v>
      </c>
      <c r="H241" s="2" t="str">
        <f t="array" ref="H241">IF($C241="","",INDEX(SchedZone,$C241,MAP!$B$12))</f>
        <v>WAS</v>
      </c>
      <c r="I241" s="2" t="str">
        <f t="array" ref="I241">IF($H241="","",IF(COUNTIF(Teams,$H241)&gt;0,$H241,IFERROR(INDEX(LISTS!$D$2:$D$12,MATCH($H241,LISTS!$C$2:$C$12,0)),"⚠ "&amp;$H241)))</f>
        <v>WAS</v>
      </c>
      <c r="J241" s="2" t="str">
        <f t="array" ref="J241">IF($C241="","",INDEX(SchedZone,$C241,MAP!$B$10))</f>
        <v>PHI</v>
      </c>
      <c r="K241" s="2" t="str">
        <f t="array" ref="K241">IF($J241="","",IF(COUNTIF(Teams,$J241)&gt;0,$J241,IFERROR(INDEX(LISTS!$D$2:$D$12,MATCH($J241,LISTS!$C$2:$C$12,0)),"⚠ "&amp;$J241)))</f>
        <v>PHI</v>
      </c>
      <c r="L241" s="2" t="str">
        <f t="array" ref="L241">IF($C241="","",IF(INDEX(SchedZone,$C241,MAP!$B$14)="Neutral","N",IF($B241="HOME","H","A")))</f>
        <v>H</v>
      </c>
      <c r="M241" s="2" t="str">
        <f t="array" ref="M241">IF($C241="","",IF(INDEX(SchedZone,$C241,MAP!$B$13)="","",INDEX(SchedZone,$C241,MAP!$B$13)))</f>
        <v/>
      </c>
      <c r="N241" s="2" t="str">
        <f t="array" ref="N241">IF($C241="","",IF(INDEX(SchedZone,$C241,MAP!$B$11)="","",INDEX(SchedZone,$C241,MAP!$B$11)))</f>
        <v/>
      </c>
      <c r="O241" s="2">
        <f t="array" ref="O241">IF($C241="","",INDEX(SchedZone,$C241,MAP!$B$16))</f>
        <v>13</v>
      </c>
      <c r="P241" s="2" t="str">
        <f>IF($C241="","",IFERROR(MATCH($E241&amp;"|"&amp;$G241&amp;"|"&amp;$I241,StatsKey,0),""))</f>
        <v/>
      </c>
      <c r="Q241" s="2">
        <f t="array" ref="Q241">IF($P241="",0,INDEX(StatsZone,$P241,MAP!$E$9)+INDEX(StatsZone,$P241,MAP!$E$10)+INDEX(StatsZone,$P241,MAP!$E$11))</f>
        <v>0</v>
      </c>
      <c r="R241" s="2">
        <f t="array" ref="R241">IF($P241="",0,INDEX(StatsZone,$P241,MAP!$E$12))</f>
        <v>0</v>
      </c>
      <c r="S241" s="2">
        <f t="array" ref="S241">IF($P241="",0,INDEX(StatsZone,$P241,MAP!$E$13))</f>
        <v>0</v>
      </c>
      <c r="T241" s="2">
        <f t="shared" si="1"/>
        <v>0</v>
      </c>
      <c r="U241" s="2">
        <f t="array" ref="U241">IF($P241="",0,INDEX(StatsZone,$P241,MAP!$E$14)+INDEX(StatsZone,$P241,MAP!$E$15)+INDEX(StatsZone,$P241,MAP!$E$16))</f>
        <v>0</v>
      </c>
      <c r="V241" s="2">
        <f t="shared" si="2"/>
        <v>0</v>
      </c>
      <c r="W241" s="2">
        <f t="shared" si="3"/>
        <v>0</v>
      </c>
      <c r="X241" s="2">
        <f t="shared" si="4"/>
        <v>0</v>
      </c>
      <c r="Y241" s="2">
        <f t="shared" si="5"/>
        <v>0</v>
      </c>
      <c r="Z241" s="2">
        <f t="shared" si="6"/>
        <v>0</v>
      </c>
      <c r="AA241" s="2">
        <f t="shared" si="7"/>
        <v>1</v>
      </c>
      <c r="AB241" s="2">
        <f>IF(OR($M241="",$N241=""),0,MEDIAN(-MarginCap,MarginCap,($M241-$N241)-$AA241*HFA_Base))</f>
        <v>0</v>
      </c>
      <c r="AC241" s="2">
        <f t="array" ref="AC241">IF(OR($P241="",INDEX($P$3:$P$722,(ROW()+IF(MOD(ROW()-3,2)=0,1,-1))-3+1)=""),0,MEDIAN(-MarginCap,MarginCap,($T241-$W241)-$AA241*HFA_Base))</f>
        <v>0</v>
      </c>
      <c r="AD241" s="2">
        <f t="shared" si="8"/>
        <v>0</v>
      </c>
      <c r="AE241" s="2">
        <f>IF(OR($M241="",$N241=""),0,IF(AND(WEpa&gt;0,$AD241=1),(1-WEpa)*$AB241+WEpa*$AC241,$AB241))</f>
        <v>0</v>
      </c>
      <c r="AF241" s="2">
        <f>IF(AND($C241&lt;&gt;"",$E241=CurrentSeason,$F241="REG",ISNUMBER($G241),$G241&lt;CurrentWeek,AND($M241&lt;&gt;"",$N241&lt;&gt;"")),1,0)</f>
        <v>0</v>
      </c>
      <c r="AG241" s="2">
        <f>IF($AF241=0,0,IF($G241&gt;=CurrentWeek-RecencyWin,RecencyMult,1))</f>
        <v>0</v>
      </c>
      <c r="AH241" s="2">
        <f>IF(AND($C241&lt;&gt;"",$E241=CurrentSeason,$F241="REG",ISNUMBER($G241),$G241&lt;CurrentWeek-1,AND($M241&lt;&gt;"",$N241&lt;&gt;"")),1,0)</f>
        <v>0</v>
      </c>
      <c r="AI241" s="2">
        <f>IF($AH241=0,0,IF($G241&gt;=CurrentWeek-1-RecencyWin,RecencyMult,1))</f>
        <v>0</v>
      </c>
      <c r="AJ241" s="2">
        <f>IF($AF241=0,0,IF($G241&gt;=CurrentWeek-RecencyWin,TotRecency,1))</f>
        <v>0</v>
      </c>
      <c r="AK241" s="2">
        <f t="shared" si="9"/>
        <v>0</v>
      </c>
      <c r="AL241" s="2">
        <f t="shared" si="10"/>
        <v>0</v>
      </c>
      <c r="AM241" s="2" t="str">
        <f t="array" ref="AM241">IF($K241="",0,IFERROR(INDEX(CALC!$F$2:$F$33,MATCH($K241,CALC!$A$2:$A$33,0)),0))</f>
        <v/>
      </c>
      <c r="AN241" s="2" t="str">
        <f t="array" ref="AN241">IF($K241="",0,IFERROR(INDEX(CALC!$I$2:$I$33,MATCH($K241,CALC!$A$2:$A$33,0)),0))</f>
        <v/>
      </c>
      <c r="AO241" s="2" t="str">
        <f t="array" ref="AO241">IF($K241="",0,IFERROR(INDEX(CALC!$L$2:$L$33,MATCH($K241,CALC!$A$2:$A$33,0)),0))</f>
        <v/>
      </c>
      <c r="AP241" s="2" t="str">
        <f t="array" ref="AP241">IF($K241="",0,IFERROR(INDEX(CALC!$T$2:$T$33,MATCH($K241,CALC!$A$2:$A$33,0)),0))</f>
        <v/>
      </c>
      <c r="AQ241" s="2" t="str">
        <f t="array" ref="AQ241">IF($K241="",0,IFERROR(INDEX(CALC!$W$2:$W$33,MATCH($K241,CALC!$A$2:$A$33,0)),0))</f>
        <v/>
      </c>
      <c r="AR241" s="2" t="str">
        <f t="array" ref="AR241">IF($K241="",0,IFERROR(INDEX(CALC!$Z$2:$Z$33,MATCH($K241,CALC!$A$2:$A$33,0)),0))</f>
        <v/>
      </c>
      <c r="AS241" s="2" t="str">
        <f t="array" ref="AS241">IF($K241="",0,IFERROR(INDEX(CALC!$AJ$2:$AJ$33,MATCH($K241,CALC!$A$2:$A$33,0)),0))</f>
        <v/>
      </c>
      <c r="AT241" s="2" t="str">
        <f t="array" ref="AT241">IF($K241="",0,IFERROR(INDEX(CALC!$AI$2:$AI$33,MATCH($K241,CALC!$A$2:$A$33,0)),0))</f>
        <v/>
      </c>
      <c r="AU241" s="2">
        <f t="shared" si="11"/>
        <v>0</v>
      </c>
      <c r="AV241" s="2">
        <f t="shared" si="12"/>
        <v>0</v>
      </c>
    </row>
    <row r="242" ht="15.0" customHeight="1">
      <c r="A242" s="2">
        <v>120.0</v>
      </c>
      <c r="B242" s="2" t="s">
        <v>2366</v>
      </c>
      <c r="C242" s="2">
        <f>IFERROR(MATCH($A242,SchedSeq,0),"")</f>
        <v>405</v>
      </c>
      <c r="D242" s="2" t="str">
        <f t="array" ref="D242">IF($C242="","",INDEX(SchedZone,$C242,MAP!$B$6))</f>
        <v>2026_08_PHI_WAS</v>
      </c>
      <c r="E242" s="2">
        <f t="array" ref="E242">IF($C242="","",INDEX(SchedZone,$C242,MAP!$B$3))</f>
        <v>2026</v>
      </c>
      <c r="F242" s="2" t="str">
        <f t="array" ref="F242">IF($C242="","",INDEX(SchedZone,$C242,MAP!$B$5))</f>
        <v>REG</v>
      </c>
      <c r="G242" s="2">
        <f t="array" ref="G242">IF($C242="","",INDEX(SchedZone,$C242,MAP!$B$4))</f>
        <v>8</v>
      </c>
      <c r="H242" s="2" t="str">
        <f t="array" ref="H242">IF($C242="","",INDEX(SchedZone,$C242,MAP!$B$10))</f>
        <v>PHI</v>
      </c>
      <c r="I242" s="2" t="str">
        <f t="array" ref="I242">IF($H242="","",IF(COUNTIF(Teams,$H242)&gt;0,$H242,IFERROR(INDEX(LISTS!$D$2:$D$12,MATCH($H242,LISTS!$C$2:$C$12,0)),"⚠ "&amp;$H242)))</f>
        <v>PHI</v>
      </c>
      <c r="J242" s="2" t="str">
        <f t="array" ref="J242">IF($C242="","",INDEX(SchedZone,$C242,MAP!$B$12))</f>
        <v>WAS</v>
      </c>
      <c r="K242" s="2" t="str">
        <f t="array" ref="K242">IF($J242="","",IF(COUNTIF(Teams,$J242)&gt;0,$J242,IFERROR(INDEX(LISTS!$D$2:$D$12,MATCH($J242,LISTS!$C$2:$C$12,0)),"⚠ "&amp;$J242)))</f>
        <v>WAS</v>
      </c>
      <c r="L242" s="2" t="str">
        <f t="array" ref="L242">IF($C242="","",IF(INDEX(SchedZone,$C242,MAP!$B$14)="Neutral","N",IF($B242="HOME","H","A")))</f>
        <v>A</v>
      </c>
      <c r="M242" s="2" t="str">
        <f t="array" ref="M242">IF($C242="","",IF(INDEX(SchedZone,$C242,MAP!$B$11)="","",INDEX(SchedZone,$C242,MAP!$B$11)))</f>
        <v/>
      </c>
      <c r="N242" s="2" t="str">
        <f t="array" ref="N242">IF($C242="","",IF(INDEX(SchedZone,$C242,MAP!$B$13)="","",INDEX(SchedZone,$C242,MAP!$B$13)))</f>
        <v/>
      </c>
      <c r="O242" s="2">
        <f t="array" ref="O242">IF($C242="","",INDEX(SchedZone,$C242,MAP!$B$15))</f>
        <v>6</v>
      </c>
      <c r="P242" s="2" t="str">
        <f>IF($C242="","",IFERROR(MATCH($E242&amp;"|"&amp;$G242&amp;"|"&amp;$I242,StatsKey,0),""))</f>
        <v/>
      </c>
      <c r="Q242" s="2">
        <f t="array" ref="Q242">IF($P242="",0,INDEX(StatsZone,$P242,MAP!$E$9)+INDEX(StatsZone,$P242,MAP!$E$10)+INDEX(StatsZone,$P242,MAP!$E$11))</f>
        <v>0</v>
      </c>
      <c r="R242" s="2">
        <f t="array" ref="R242">IF($P242="",0,INDEX(StatsZone,$P242,MAP!$E$12))</f>
        <v>0</v>
      </c>
      <c r="S242" s="2">
        <f t="array" ref="S242">IF($P242="",0,INDEX(StatsZone,$P242,MAP!$E$13))</f>
        <v>0</v>
      </c>
      <c r="T242" s="2">
        <f t="shared" si="1"/>
        <v>0</v>
      </c>
      <c r="U242" s="2">
        <f t="array" ref="U242">IF($P242="",0,INDEX(StatsZone,$P242,MAP!$E$14)+INDEX(StatsZone,$P242,MAP!$E$15)+INDEX(StatsZone,$P242,MAP!$E$16))</f>
        <v>0</v>
      </c>
      <c r="V242" s="2">
        <f t="shared" si="2"/>
        <v>0</v>
      </c>
      <c r="W242" s="2">
        <f t="shared" si="3"/>
        <v>0</v>
      </c>
      <c r="X242" s="2">
        <f t="shared" si="4"/>
        <v>0</v>
      </c>
      <c r="Y242" s="2">
        <f t="shared" si="5"/>
        <v>0</v>
      </c>
      <c r="Z242" s="2">
        <f t="shared" si="6"/>
        <v>0</v>
      </c>
      <c r="AA242" s="2">
        <f t="shared" si="7"/>
        <v>-1</v>
      </c>
      <c r="AB242" s="2">
        <f>IF(OR($M242="",$N242=""),0,MEDIAN(-MarginCap,MarginCap,($M242-$N242)-$AA242*HFA_Base))</f>
        <v>0</v>
      </c>
      <c r="AC242" s="2">
        <f t="array" ref="AC242">IF(OR($P242="",INDEX($P$3:$P$722,(ROW()+IF(MOD(ROW()-3,2)=0,1,-1))-3+1)=""),0,MEDIAN(-MarginCap,MarginCap,($T242-$W242)-$AA242*HFA_Base))</f>
        <v>0</v>
      </c>
      <c r="AD242" s="2">
        <f t="shared" si="8"/>
        <v>0</v>
      </c>
      <c r="AE242" s="2">
        <f>IF(OR($M242="",$N242=""),0,IF(AND(WEpa&gt;0,$AD242=1),(1-WEpa)*$AB242+WEpa*$AC242,$AB242))</f>
        <v>0</v>
      </c>
      <c r="AF242" s="2">
        <f>IF(AND($C242&lt;&gt;"",$E242=CurrentSeason,$F242="REG",ISNUMBER($G242),$G242&lt;CurrentWeek,AND($M242&lt;&gt;"",$N242&lt;&gt;"")),1,0)</f>
        <v>0</v>
      </c>
      <c r="AG242" s="2">
        <f>IF($AF242=0,0,IF($G242&gt;=CurrentWeek-RecencyWin,RecencyMult,1))</f>
        <v>0</v>
      </c>
      <c r="AH242" s="2">
        <f>IF(AND($C242&lt;&gt;"",$E242=CurrentSeason,$F242="REG",ISNUMBER($G242),$G242&lt;CurrentWeek-1,AND($M242&lt;&gt;"",$N242&lt;&gt;"")),1,0)</f>
        <v>0</v>
      </c>
      <c r="AI242" s="2">
        <f>IF($AH242=0,0,IF($G242&gt;=CurrentWeek-1-RecencyWin,RecencyMult,1))</f>
        <v>0</v>
      </c>
      <c r="AJ242" s="2">
        <f>IF($AF242=0,0,IF($G242&gt;=CurrentWeek-RecencyWin,TotRecency,1))</f>
        <v>0</v>
      </c>
      <c r="AK242" s="2">
        <f t="shared" si="9"/>
        <v>0</v>
      </c>
      <c r="AL242" s="2">
        <f t="shared" si="10"/>
        <v>0</v>
      </c>
      <c r="AM242" s="2" t="str">
        <f t="array" ref="AM242">IF($K242="",0,IFERROR(INDEX(CALC!$F$2:$F$33,MATCH($K242,CALC!$A$2:$A$33,0)),0))</f>
        <v/>
      </c>
      <c r="AN242" s="2" t="str">
        <f t="array" ref="AN242">IF($K242="",0,IFERROR(INDEX(CALC!$I$2:$I$33,MATCH($K242,CALC!$A$2:$A$33,0)),0))</f>
        <v/>
      </c>
      <c r="AO242" s="2" t="str">
        <f t="array" ref="AO242">IF($K242="",0,IFERROR(INDEX(CALC!$L$2:$L$33,MATCH($K242,CALC!$A$2:$A$33,0)),0))</f>
        <v/>
      </c>
      <c r="AP242" s="2" t="str">
        <f t="array" ref="AP242">IF($K242="",0,IFERROR(INDEX(CALC!$T$2:$T$33,MATCH($K242,CALC!$A$2:$A$33,0)),0))</f>
        <v/>
      </c>
      <c r="AQ242" s="2" t="str">
        <f t="array" ref="AQ242">IF($K242="",0,IFERROR(INDEX(CALC!$W$2:$W$33,MATCH($K242,CALC!$A$2:$A$33,0)),0))</f>
        <v/>
      </c>
      <c r="AR242" s="2" t="str">
        <f t="array" ref="AR242">IF($K242="",0,IFERROR(INDEX(CALC!$Z$2:$Z$33,MATCH($K242,CALC!$A$2:$A$33,0)),0))</f>
        <v/>
      </c>
      <c r="AS242" s="2" t="str">
        <f t="array" ref="AS242">IF($K242="",0,IFERROR(INDEX(CALC!$AJ$2:$AJ$33,MATCH($K242,CALC!$A$2:$A$33,0)),0))</f>
        <v/>
      </c>
      <c r="AT242" s="2" t="str">
        <f t="array" ref="AT242">IF($K242="",0,IFERROR(INDEX(CALC!$AI$2:$AI$33,MATCH($K242,CALC!$A$2:$A$33,0)),0))</f>
        <v/>
      </c>
      <c r="AU242" s="2">
        <f t="shared" si="11"/>
        <v>0</v>
      </c>
      <c r="AV242" s="2">
        <f t="shared" si="12"/>
        <v>0</v>
      </c>
    </row>
    <row r="243" ht="15.0" customHeight="1">
      <c r="A243" s="2">
        <v>121.0</v>
      </c>
      <c r="B243" s="2" t="s">
        <v>2365</v>
      </c>
      <c r="C243" s="2">
        <f>IFERROR(MATCH($A243,SchedSeq,0),"")</f>
        <v>406</v>
      </c>
      <c r="D243" s="2" t="str">
        <f t="array" ref="D243">IF($C243="","",INDEX(SchedZone,$C243,MAP!$B$6))</f>
        <v>2026_08_CHI_SEA</v>
      </c>
      <c r="E243" s="2">
        <f t="array" ref="E243">IF($C243="","",INDEX(SchedZone,$C243,MAP!$B$3))</f>
        <v>2026</v>
      </c>
      <c r="F243" s="2" t="str">
        <f t="array" ref="F243">IF($C243="","",INDEX(SchedZone,$C243,MAP!$B$5))</f>
        <v>REG</v>
      </c>
      <c r="G243" s="2">
        <f t="array" ref="G243">IF($C243="","",INDEX(SchedZone,$C243,MAP!$B$4))</f>
        <v>8</v>
      </c>
      <c r="H243" s="2" t="str">
        <f t="array" ref="H243">IF($C243="","",INDEX(SchedZone,$C243,MAP!$B$12))</f>
        <v>SEA</v>
      </c>
      <c r="I243" s="2" t="str">
        <f t="array" ref="I243">IF($H243="","",IF(COUNTIF(Teams,$H243)&gt;0,$H243,IFERROR(INDEX(LISTS!$D$2:$D$12,MATCH($H243,LISTS!$C$2:$C$12,0)),"⚠ "&amp;$H243)))</f>
        <v>SEA</v>
      </c>
      <c r="J243" s="2" t="str">
        <f t="array" ref="J243">IF($C243="","",INDEX(SchedZone,$C243,MAP!$B$10))</f>
        <v>CHI</v>
      </c>
      <c r="K243" s="2" t="str">
        <f t="array" ref="K243">IF($J243="","",IF(COUNTIF(Teams,$J243)&gt;0,$J243,IFERROR(INDEX(LISTS!$D$2:$D$12,MATCH($J243,LISTS!$C$2:$C$12,0)),"⚠ "&amp;$J243)))</f>
        <v>CHI</v>
      </c>
      <c r="L243" s="2" t="str">
        <f t="array" ref="L243">IF($C243="","",IF(INDEX(SchedZone,$C243,MAP!$B$14)="Neutral","N",IF($B243="HOME","H","A")))</f>
        <v>H</v>
      </c>
      <c r="M243" s="2" t="str">
        <f t="array" ref="M243">IF($C243="","",IF(INDEX(SchedZone,$C243,MAP!$B$13)="","",INDEX(SchedZone,$C243,MAP!$B$13)))</f>
        <v/>
      </c>
      <c r="N243" s="2" t="str">
        <f t="array" ref="N243">IF($C243="","",IF(INDEX(SchedZone,$C243,MAP!$B$11)="","",INDEX(SchedZone,$C243,MAP!$B$11)))</f>
        <v/>
      </c>
      <c r="O243" s="2">
        <f t="array" ref="O243">IF($C243="","",INDEX(SchedZone,$C243,MAP!$B$16))</f>
        <v>8</v>
      </c>
      <c r="P243" s="2" t="str">
        <f>IF($C243="","",IFERROR(MATCH($E243&amp;"|"&amp;$G243&amp;"|"&amp;$I243,StatsKey,0),""))</f>
        <v/>
      </c>
      <c r="Q243" s="2">
        <f t="array" ref="Q243">IF($P243="",0,INDEX(StatsZone,$P243,MAP!$E$9)+INDEX(StatsZone,$P243,MAP!$E$10)+INDEX(StatsZone,$P243,MAP!$E$11))</f>
        <v>0</v>
      </c>
      <c r="R243" s="2">
        <f t="array" ref="R243">IF($P243="",0,INDEX(StatsZone,$P243,MAP!$E$12))</f>
        <v>0</v>
      </c>
      <c r="S243" s="2">
        <f t="array" ref="S243">IF($P243="",0,INDEX(StatsZone,$P243,MAP!$E$13))</f>
        <v>0</v>
      </c>
      <c r="T243" s="2">
        <f t="shared" si="1"/>
        <v>0</v>
      </c>
      <c r="U243" s="2">
        <f t="array" ref="U243">IF($P243="",0,INDEX(StatsZone,$P243,MAP!$E$14)+INDEX(StatsZone,$P243,MAP!$E$15)+INDEX(StatsZone,$P243,MAP!$E$16))</f>
        <v>0</v>
      </c>
      <c r="V243" s="2">
        <f t="shared" si="2"/>
        <v>0</v>
      </c>
      <c r="W243" s="2">
        <f t="shared" si="3"/>
        <v>0</v>
      </c>
      <c r="X243" s="2">
        <f t="shared" si="4"/>
        <v>0</v>
      </c>
      <c r="Y243" s="2">
        <f t="shared" si="5"/>
        <v>0</v>
      </c>
      <c r="Z243" s="2">
        <f t="shared" si="6"/>
        <v>0</v>
      </c>
      <c r="AA243" s="2">
        <f t="shared" si="7"/>
        <v>1</v>
      </c>
      <c r="AB243" s="2">
        <f>IF(OR($M243="",$N243=""),0,MEDIAN(-MarginCap,MarginCap,($M243-$N243)-$AA243*HFA_Base))</f>
        <v>0</v>
      </c>
      <c r="AC243" s="2">
        <f t="array" ref="AC243">IF(OR($P243="",INDEX($P$3:$P$722,(ROW()+IF(MOD(ROW()-3,2)=0,1,-1))-3+1)=""),0,MEDIAN(-MarginCap,MarginCap,($T243-$W243)-$AA243*HFA_Base))</f>
        <v>0</v>
      </c>
      <c r="AD243" s="2">
        <f t="shared" si="8"/>
        <v>0</v>
      </c>
      <c r="AE243" s="2">
        <f>IF(OR($M243="",$N243=""),0,IF(AND(WEpa&gt;0,$AD243=1),(1-WEpa)*$AB243+WEpa*$AC243,$AB243))</f>
        <v>0</v>
      </c>
      <c r="AF243" s="2">
        <f>IF(AND($C243&lt;&gt;"",$E243=CurrentSeason,$F243="REG",ISNUMBER($G243),$G243&lt;CurrentWeek,AND($M243&lt;&gt;"",$N243&lt;&gt;"")),1,0)</f>
        <v>0</v>
      </c>
      <c r="AG243" s="2">
        <f>IF($AF243=0,0,IF($G243&gt;=CurrentWeek-RecencyWin,RecencyMult,1))</f>
        <v>0</v>
      </c>
      <c r="AH243" s="2">
        <f>IF(AND($C243&lt;&gt;"",$E243=CurrentSeason,$F243="REG",ISNUMBER($G243),$G243&lt;CurrentWeek-1,AND($M243&lt;&gt;"",$N243&lt;&gt;"")),1,0)</f>
        <v>0</v>
      </c>
      <c r="AI243" s="2">
        <f>IF($AH243=0,0,IF($G243&gt;=CurrentWeek-1-RecencyWin,RecencyMult,1))</f>
        <v>0</v>
      </c>
      <c r="AJ243" s="2">
        <f>IF($AF243=0,0,IF($G243&gt;=CurrentWeek-RecencyWin,TotRecency,1))</f>
        <v>0</v>
      </c>
      <c r="AK243" s="2">
        <f t="shared" si="9"/>
        <v>0</v>
      </c>
      <c r="AL243" s="2">
        <f t="shared" si="10"/>
        <v>0</v>
      </c>
      <c r="AM243" s="2" t="str">
        <f t="array" ref="AM243">IF($K243="",0,IFERROR(INDEX(CALC!$F$2:$F$33,MATCH($K243,CALC!$A$2:$A$33,0)),0))</f>
        <v/>
      </c>
      <c r="AN243" s="2" t="str">
        <f t="array" ref="AN243">IF($K243="",0,IFERROR(INDEX(CALC!$I$2:$I$33,MATCH($K243,CALC!$A$2:$A$33,0)),0))</f>
        <v/>
      </c>
      <c r="AO243" s="2" t="str">
        <f t="array" ref="AO243">IF($K243="",0,IFERROR(INDEX(CALC!$L$2:$L$33,MATCH($K243,CALC!$A$2:$A$33,0)),0))</f>
        <v/>
      </c>
      <c r="AP243" s="2" t="str">
        <f t="array" ref="AP243">IF($K243="",0,IFERROR(INDEX(CALC!$T$2:$T$33,MATCH($K243,CALC!$A$2:$A$33,0)),0))</f>
        <v/>
      </c>
      <c r="AQ243" s="2" t="str">
        <f t="array" ref="AQ243">IF($K243="",0,IFERROR(INDEX(CALC!$W$2:$W$33,MATCH($K243,CALC!$A$2:$A$33,0)),0))</f>
        <v/>
      </c>
      <c r="AR243" s="2" t="str">
        <f t="array" ref="AR243">IF($K243="",0,IFERROR(INDEX(CALC!$Z$2:$Z$33,MATCH($K243,CALC!$A$2:$A$33,0)),0))</f>
        <v/>
      </c>
      <c r="AS243" s="2" t="str">
        <f t="array" ref="AS243">IF($K243="",0,IFERROR(INDEX(CALC!$AJ$2:$AJ$33,MATCH($K243,CALC!$A$2:$A$33,0)),0))</f>
        <v/>
      </c>
      <c r="AT243" s="2" t="str">
        <f t="array" ref="AT243">IF($K243="",0,IFERROR(INDEX(CALC!$AI$2:$AI$33,MATCH($K243,CALC!$A$2:$A$33,0)),0))</f>
        <v/>
      </c>
      <c r="AU243" s="2">
        <f t="shared" si="11"/>
        <v>0</v>
      </c>
      <c r="AV243" s="2">
        <f t="shared" si="12"/>
        <v>0</v>
      </c>
    </row>
    <row r="244" ht="15.0" customHeight="1">
      <c r="A244" s="2">
        <v>121.0</v>
      </c>
      <c r="B244" s="2" t="s">
        <v>2366</v>
      </c>
      <c r="C244" s="2">
        <f>IFERROR(MATCH($A244,SchedSeq,0),"")</f>
        <v>406</v>
      </c>
      <c r="D244" s="2" t="str">
        <f t="array" ref="D244">IF($C244="","",INDEX(SchedZone,$C244,MAP!$B$6))</f>
        <v>2026_08_CHI_SEA</v>
      </c>
      <c r="E244" s="2">
        <f t="array" ref="E244">IF($C244="","",INDEX(SchedZone,$C244,MAP!$B$3))</f>
        <v>2026</v>
      </c>
      <c r="F244" s="2" t="str">
        <f t="array" ref="F244">IF($C244="","",INDEX(SchedZone,$C244,MAP!$B$5))</f>
        <v>REG</v>
      </c>
      <c r="G244" s="2">
        <f t="array" ref="G244">IF($C244="","",INDEX(SchedZone,$C244,MAP!$B$4))</f>
        <v>8</v>
      </c>
      <c r="H244" s="2" t="str">
        <f t="array" ref="H244">IF($C244="","",INDEX(SchedZone,$C244,MAP!$B$10))</f>
        <v>CHI</v>
      </c>
      <c r="I244" s="2" t="str">
        <f t="array" ref="I244">IF($H244="","",IF(COUNTIF(Teams,$H244)&gt;0,$H244,IFERROR(INDEX(LISTS!$D$2:$D$12,MATCH($H244,LISTS!$C$2:$C$12,0)),"⚠ "&amp;$H244)))</f>
        <v>CHI</v>
      </c>
      <c r="J244" s="2" t="str">
        <f t="array" ref="J244">IF($C244="","",INDEX(SchedZone,$C244,MAP!$B$12))</f>
        <v>SEA</v>
      </c>
      <c r="K244" s="2" t="str">
        <f t="array" ref="K244">IF($J244="","",IF(COUNTIF(Teams,$J244)&gt;0,$J244,IFERROR(INDEX(LISTS!$D$2:$D$12,MATCH($J244,LISTS!$C$2:$C$12,0)),"⚠ "&amp;$J244)))</f>
        <v>SEA</v>
      </c>
      <c r="L244" s="2" t="str">
        <f t="array" ref="L244">IF($C244="","",IF(INDEX(SchedZone,$C244,MAP!$B$14)="Neutral","N",IF($B244="HOME","H","A")))</f>
        <v>A</v>
      </c>
      <c r="M244" s="2" t="str">
        <f t="array" ref="M244">IF($C244="","",IF(INDEX(SchedZone,$C244,MAP!$B$11)="","",INDEX(SchedZone,$C244,MAP!$B$11)))</f>
        <v/>
      </c>
      <c r="N244" s="2" t="str">
        <f t="array" ref="N244">IF($C244="","",IF(INDEX(SchedZone,$C244,MAP!$B$13)="","",INDEX(SchedZone,$C244,MAP!$B$13)))</f>
        <v/>
      </c>
      <c r="O244" s="2">
        <f t="array" ref="O244">IF($C244="","",INDEX(SchedZone,$C244,MAP!$B$15))</f>
        <v>11</v>
      </c>
      <c r="P244" s="2" t="str">
        <f>IF($C244="","",IFERROR(MATCH($E244&amp;"|"&amp;$G244&amp;"|"&amp;$I244,StatsKey,0),""))</f>
        <v/>
      </c>
      <c r="Q244" s="2">
        <f t="array" ref="Q244">IF($P244="",0,INDEX(StatsZone,$P244,MAP!$E$9)+INDEX(StatsZone,$P244,MAP!$E$10)+INDEX(StatsZone,$P244,MAP!$E$11))</f>
        <v>0</v>
      </c>
      <c r="R244" s="2">
        <f t="array" ref="R244">IF($P244="",0,INDEX(StatsZone,$P244,MAP!$E$12))</f>
        <v>0</v>
      </c>
      <c r="S244" s="2">
        <f t="array" ref="S244">IF($P244="",0,INDEX(StatsZone,$P244,MAP!$E$13))</f>
        <v>0</v>
      </c>
      <c r="T244" s="2">
        <f t="shared" si="1"/>
        <v>0</v>
      </c>
      <c r="U244" s="2">
        <f t="array" ref="U244">IF($P244="",0,INDEX(StatsZone,$P244,MAP!$E$14)+INDEX(StatsZone,$P244,MAP!$E$15)+INDEX(StatsZone,$P244,MAP!$E$16))</f>
        <v>0</v>
      </c>
      <c r="V244" s="2">
        <f t="shared" si="2"/>
        <v>0</v>
      </c>
      <c r="W244" s="2">
        <f t="shared" si="3"/>
        <v>0</v>
      </c>
      <c r="X244" s="2">
        <f t="shared" si="4"/>
        <v>0</v>
      </c>
      <c r="Y244" s="2">
        <f t="shared" si="5"/>
        <v>0</v>
      </c>
      <c r="Z244" s="2">
        <f t="shared" si="6"/>
        <v>0</v>
      </c>
      <c r="AA244" s="2">
        <f t="shared" si="7"/>
        <v>-1</v>
      </c>
      <c r="AB244" s="2">
        <f>IF(OR($M244="",$N244=""),0,MEDIAN(-MarginCap,MarginCap,($M244-$N244)-$AA244*HFA_Base))</f>
        <v>0</v>
      </c>
      <c r="AC244" s="2">
        <f t="array" ref="AC244">IF(OR($P244="",INDEX($P$3:$P$722,(ROW()+IF(MOD(ROW()-3,2)=0,1,-1))-3+1)=""),0,MEDIAN(-MarginCap,MarginCap,($T244-$W244)-$AA244*HFA_Base))</f>
        <v>0</v>
      </c>
      <c r="AD244" s="2">
        <f t="shared" si="8"/>
        <v>0</v>
      </c>
      <c r="AE244" s="2">
        <f>IF(OR($M244="",$N244=""),0,IF(AND(WEpa&gt;0,$AD244=1),(1-WEpa)*$AB244+WEpa*$AC244,$AB244))</f>
        <v>0</v>
      </c>
      <c r="AF244" s="2">
        <f>IF(AND($C244&lt;&gt;"",$E244=CurrentSeason,$F244="REG",ISNUMBER($G244),$G244&lt;CurrentWeek,AND($M244&lt;&gt;"",$N244&lt;&gt;"")),1,0)</f>
        <v>0</v>
      </c>
      <c r="AG244" s="2">
        <f>IF($AF244=0,0,IF($G244&gt;=CurrentWeek-RecencyWin,RecencyMult,1))</f>
        <v>0</v>
      </c>
      <c r="AH244" s="2">
        <f>IF(AND($C244&lt;&gt;"",$E244=CurrentSeason,$F244="REG",ISNUMBER($G244),$G244&lt;CurrentWeek-1,AND($M244&lt;&gt;"",$N244&lt;&gt;"")),1,0)</f>
        <v>0</v>
      </c>
      <c r="AI244" s="2">
        <f>IF($AH244=0,0,IF($G244&gt;=CurrentWeek-1-RecencyWin,RecencyMult,1))</f>
        <v>0</v>
      </c>
      <c r="AJ244" s="2">
        <f>IF($AF244=0,0,IF($G244&gt;=CurrentWeek-RecencyWin,TotRecency,1))</f>
        <v>0</v>
      </c>
      <c r="AK244" s="2">
        <f t="shared" si="9"/>
        <v>0</v>
      </c>
      <c r="AL244" s="2">
        <f t="shared" si="10"/>
        <v>0</v>
      </c>
      <c r="AM244" s="2" t="str">
        <f t="array" ref="AM244">IF($K244="",0,IFERROR(INDEX(CALC!$F$2:$F$33,MATCH($K244,CALC!$A$2:$A$33,0)),0))</f>
        <v/>
      </c>
      <c r="AN244" s="2" t="str">
        <f t="array" ref="AN244">IF($K244="",0,IFERROR(INDEX(CALC!$I$2:$I$33,MATCH($K244,CALC!$A$2:$A$33,0)),0))</f>
        <v/>
      </c>
      <c r="AO244" s="2" t="str">
        <f t="array" ref="AO244">IF($K244="",0,IFERROR(INDEX(CALC!$L$2:$L$33,MATCH($K244,CALC!$A$2:$A$33,0)),0))</f>
        <v/>
      </c>
      <c r="AP244" s="2" t="str">
        <f t="array" ref="AP244">IF($K244="",0,IFERROR(INDEX(CALC!$T$2:$T$33,MATCH($K244,CALC!$A$2:$A$33,0)),0))</f>
        <v/>
      </c>
      <c r="AQ244" s="2" t="str">
        <f t="array" ref="AQ244">IF($K244="",0,IFERROR(INDEX(CALC!$W$2:$W$33,MATCH($K244,CALC!$A$2:$A$33,0)),0))</f>
        <v/>
      </c>
      <c r="AR244" s="2" t="str">
        <f t="array" ref="AR244">IF($K244="",0,IFERROR(INDEX(CALC!$Z$2:$Z$33,MATCH($K244,CALC!$A$2:$A$33,0)),0))</f>
        <v/>
      </c>
      <c r="AS244" s="2" t="str">
        <f t="array" ref="AS244">IF($K244="",0,IFERROR(INDEX(CALC!$AJ$2:$AJ$33,MATCH($K244,CALC!$A$2:$A$33,0)),0))</f>
        <v/>
      </c>
      <c r="AT244" s="2" t="str">
        <f t="array" ref="AT244">IF($K244="",0,IFERROR(INDEX(CALC!$AI$2:$AI$33,MATCH($K244,CALC!$A$2:$A$33,0)),0))</f>
        <v/>
      </c>
      <c r="AU244" s="2">
        <f t="shared" si="11"/>
        <v>0</v>
      </c>
      <c r="AV244" s="2">
        <f t="shared" si="12"/>
        <v>0</v>
      </c>
    </row>
    <row r="245" ht="15.0" customHeight="1">
      <c r="A245" s="2">
        <v>122.0</v>
      </c>
      <c r="B245" s="2" t="s">
        <v>2365</v>
      </c>
      <c r="C245" s="2">
        <f>IFERROR(MATCH($A245,SchedSeq,0),"")</f>
        <v>407</v>
      </c>
      <c r="D245" s="2" t="str">
        <f t="array" ref="D245">IF($C245="","",INDEX(SchedZone,$C245,MAP!$B$6))</f>
        <v>2026_09_JAX_BAL</v>
      </c>
      <c r="E245" s="2">
        <f t="array" ref="E245">IF($C245="","",INDEX(SchedZone,$C245,MAP!$B$3))</f>
        <v>2026</v>
      </c>
      <c r="F245" s="2" t="str">
        <f t="array" ref="F245">IF($C245="","",INDEX(SchedZone,$C245,MAP!$B$5))</f>
        <v>REG</v>
      </c>
      <c r="G245" s="2">
        <f t="array" ref="G245">IF($C245="","",INDEX(SchedZone,$C245,MAP!$B$4))</f>
        <v>9</v>
      </c>
      <c r="H245" s="2" t="str">
        <f t="array" ref="H245">IF($C245="","",INDEX(SchedZone,$C245,MAP!$B$12))</f>
        <v>BAL</v>
      </c>
      <c r="I245" s="2" t="str">
        <f t="array" ref="I245">IF($H245="","",IF(COUNTIF(Teams,$H245)&gt;0,$H245,IFERROR(INDEX(LISTS!$D$2:$D$12,MATCH($H245,LISTS!$C$2:$C$12,0)),"⚠ "&amp;$H245)))</f>
        <v>BAL</v>
      </c>
      <c r="J245" s="2" t="str">
        <f t="array" ref="J245">IF($C245="","",INDEX(SchedZone,$C245,MAP!$B$10))</f>
        <v>JAX</v>
      </c>
      <c r="K245" s="2" t="str">
        <f t="array" ref="K245">IF($J245="","",IF(COUNTIF(Teams,$J245)&gt;0,$J245,IFERROR(INDEX(LISTS!$D$2:$D$12,MATCH($J245,LISTS!$C$2:$C$12,0)),"⚠ "&amp;$J245)))</f>
        <v>JAX</v>
      </c>
      <c r="L245" s="2" t="str">
        <f t="array" ref="L245">IF($C245="","",IF(INDEX(SchedZone,$C245,MAP!$B$14)="Neutral","N",IF($B245="HOME","H","A")))</f>
        <v>H</v>
      </c>
      <c r="M245" s="2" t="str">
        <f t="array" ref="M245">IF($C245="","",IF(INDEX(SchedZone,$C245,MAP!$B$13)="","",INDEX(SchedZone,$C245,MAP!$B$13)))</f>
        <v/>
      </c>
      <c r="N245" s="2" t="str">
        <f t="array" ref="N245">IF($C245="","",IF(INDEX(SchedZone,$C245,MAP!$B$11)="","",INDEX(SchedZone,$C245,MAP!$B$11)))</f>
        <v/>
      </c>
      <c r="O245" s="2">
        <f t="array" ref="O245">IF($C245="","",INDEX(SchedZone,$C245,MAP!$B$16))</f>
        <v>4</v>
      </c>
      <c r="P245" s="2" t="str">
        <f>IF($C245="","",IFERROR(MATCH($E245&amp;"|"&amp;$G245&amp;"|"&amp;$I245,StatsKey,0),""))</f>
        <v/>
      </c>
      <c r="Q245" s="2">
        <f t="array" ref="Q245">IF($P245="",0,INDEX(StatsZone,$P245,MAP!$E$9)+INDEX(StatsZone,$P245,MAP!$E$10)+INDEX(StatsZone,$P245,MAP!$E$11))</f>
        <v>0</v>
      </c>
      <c r="R245" s="2">
        <f t="array" ref="R245">IF($P245="",0,INDEX(StatsZone,$P245,MAP!$E$12))</f>
        <v>0</v>
      </c>
      <c r="S245" s="2">
        <f t="array" ref="S245">IF($P245="",0,INDEX(StatsZone,$P245,MAP!$E$13))</f>
        <v>0</v>
      </c>
      <c r="T245" s="2">
        <f t="shared" si="1"/>
        <v>0</v>
      </c>
      <c r="U245" s="2">
        <f t="array" ref="U245">IF($P245="",0,INDEX(StatsZone,$P245,MAP!$E$14)+INDEX(StatsZone,$P245,MAP!$E$15)+INDEX(StatsZone,$P245,MAP!$E$16))</f>
        <v>0</v>
      </c>
      <c r="V245" s="2">
        <f t="shared" si="2"/>
        <v>0</v>
      </c>
      <c r="W245" s="2">
        <f t="shared" si="3"/>
        <v>0</v>
      </c>
      <c r="X245" s="2">
        <f t="shared" si="4"/>
        <v>0</v>
      </c>
      <c r="Y245" s="2">
        <f t="shared" si="5"/>
        <v>0</v>
      </c>
      <c r="Z245" s="2">
        <f t="shared" si="6"/>
        <v>0</v>
      </c>
      <c r="AA245" s="2">
        <f t="shared" si="7"/>
        <v>1</v>
      </c>
      <c r="AB245" s="2">
        <f>IF(OR($M245="",$N245=""),0,MEDIAN(-MarginCap,MarginCap,($M245-$N245)-$AA245*HFA_Base))</f>
        <v>0</v>
      </c>
      <c r="AC245" s="2">
        <f t="array" ref="AC245">IF(OR($P245="",INDEX($P$3:$P$722,(ROW()+IF(MOD(ROW()-3,2)=0,1,-1))-3+1)=""),0,MEDIAN(-MarginCap,MarginCap,($T245-$W245)-$AA245*HFA_Base))</f>
        <v>0</v>
      </c>
      <c r="AD245" s="2">
        <f t="shared" si="8"/>
        <v>0</v>
      </c>
      <c r="AE245" s="2">
        <f>IF(OR($M245="",$N245=""),0,IF(AND(WEpa&gt;0,$AD245=1),(1-WEpa)*$AB245+WEpa*$AC245,$AB245))</f>
        <v>0</v>
      </c>
      <c r="AF245" s="2">
        <f>IF(AND($C245&lt;&gt;"",$E245=CurrentSeason,$F245="REG",ISNUMBER($G245),$G245&lt;CurrentWeek,AND($M245&lt;&gt;"",$N245&lt;&gt;"")),1,0)</f>
        <v>0</v>
      </c>
      <c r="AG245" s="2">
        <f>IF($AF245=0,0,IF($G245&gt;=CurrentWeek-RecencyWin,RecencyMult,1))</f>
        <v>0</v>
      </c>
      <c r="AH245" s="2">
        <f>IF(AND($C245&lt;&gt;"",$E245=CurrentSeason,$F245="REG",ISNUMBER($G245),$G245&lt;CurrentWeek-1,AND($M245&lt;&gt;"",$N245&lt;&gt;"")),1,0)</f>
        <v>0</v>
      </c>
      <c r="AI245" s="2">
        <f>IF($AH245=0,0,IF($G245&gt;=CurrentWeek-1-RecencyWin,RecencyMult,1))</f>
        <v>0</v>
      </c>
      <c r="AJ245" s="2">
        <f>IF($AF245=0,0,IF($G245&gt;=CurrentWeek-RecencyWin,TotRecency,1))</f>
        <v>0</v>
      </c>
      <c r="AK245" s="2">
        <f t="shared" si="9"/>
        <v>0</v>
      </c>
      <c r="AL245" s="2">
        <f t="shared" si="10"/>
        <v>0</v>
      </c>
      <c r="AM245" s="2" t="str">
        <f t="array" ref="AM245">IF($K245="",0,IFERROR(INDEX(CALC!$F$2:$F$33,MATCH($K245,CALC!$A$2:$A$33,0)),0))</f>
        <v/>
      </c>
      <c r="AN245" s="2" t="str">
        <f t="array" ref="AN245">IF($K245="",0,IFERROR(INDEX(CALC!$I$2:$I$33,MATCH($K245,CALC!$A$2:$A$33,0)),0))</f>
        <v/>
      </c>
      <c r="AO245" s="2" t="str">
        <f t="array" ref="AO245">IF($K245="",0,IFERROR(INDEX(CALC!$L$2:$L$33,MATCH($K245,CALC!$A$2:$A$33,0)),0))</f>
        <v/>
      </c>
      <c r="AP245" s="2" t="str">
        <f t="array" ref="AP245">IF($K245="",0,IFERROR(INDEX(CALC!$T$2:$T$33,MATCH($K245,CALC!$A$2:$A$33,0)),0))</f>
        <v/>
      </c>
      <c r="AQ245" s="2" t="str">
        <f t="array" ref="AQ245">IF($K245="",0,IFERROR(INDEX(CALC!$W$2:$W$33,MATCH($K245,CALC!$A$2:$A$33,0)),0))</f>
        <v/>
      </c>
      <c r="AR245" s="2" t="str">
        <f t="array" ref="AR245">IF($K245="",0,IFERROR(INDEX(CALC!$Z$2:$Z$33,MATCH($K245,CALC!$A$2:$A$33,0)),0))</f>
        <v/>
      </c>
      <c r="AS245" s="2" t="str">
        <f t="array" ref="AS245">IF($K245="",0,IFERROR(INDEX(CALC!$AJ$2:$AJ$33,MATCH($K245,CALC!$A$2:$A$33,0)),0))</f>
        <v/>
      </c>
      <c r="AT245" s="2" t="str">
        <f t="array" ref="AT245">IF($K245="",0,IFERROR(INDEX(CALC!$AI$2:$AI$33,MATCH($K245,CALC!$A$2:$A$33,0)),0))</f>
        <v/>
      </c>
      <c r="AU245" s="2">
        <f t="shared" si="11"/>
        <v>0</v>
      </c>
      <c r="AV245" s="2">
        <f t="shared" si="12"/>
        <v>0</v>
      </c>
    </row>
    <row r="246" ht="15.0" customHeight="1">
      <c r="A246" s="2">
        <v>122.0</v>
      </c>
      <c r="B246" s="2" t="s">
        <v>2366</v>
      </c>
      <c r="C246" s="2">
        <f>IFERROR(MATCH($A246,SchedSeq,0),"")</f>
        <v>407</v>
      </c>
      <c r="D246" s="2" t="str">
        <f t="array" ref="D246">IF($C246="","",INDEX(SchedZone,$C246,MAP!$B$6))</f>
        <v>2026_09_JAX_BAL</v>
      </c>
      <c r="E246" s="2">
        <f t="array" ref="E246">IF($C246="","",INDEX(SchedZone,$C246,MAP!$B$3))</f>
        <v>2026</v>
      </c>
      <c r="F246" s="2" t="str">
        <f t="array" ref="F246">IF($C246="","",INDEX(SchedZone,$C246,MAP!$B$5))</f>
        <v>REG</v>
      </c>
      <c r="G246" s="2">
        <f t="array" ref="G246">IF($C246="","",INDEX(SchedZone,$C246,MAP!$B$4))</f>
        <v>9</v>
      </c>
      <c r="H246" s="2" t="str">
        <f t="array" ref="H246">IF($C246="","",INDEX(SchedZone,$C246,MAP!$B$10))</f>
        <v>JAX</v>
      </c>
      <c r="I246" s="2" t="str">
        <f t="array" ref="I246">IF($H246="","",IF(COUNTIF(Teams,$H246)&gt;0,$H246,IFERROR(INDEX(LISTS!$D$2:$D$12,MATCH($H246,LISTS!$C$2:$C$12,0)),"⚠ "&amp;$H246)))</f>
        <v>JAX</v>
      </c>
      <c r="J246" s="2" t="str">
        <f t="array" ref="J246">IF($C246="","",INDEX(SchedZone,$C246,MAP!$B$12))</f>
        <v>BAL</v>
      </c>
      <c r="K246" s="2" t="str">
        <f t="array" ref="K246">IF($J246="","",IF(COUNTIF(Teams,$J246)&gt;0,$J246,IFERROR(INDEX(LISTS!$D$2:$D$12,MATCH($J246,LISTS!$C$2:$C$12,0)),"⚠ "&amp;$J246)))</f>
        <v>BAL</v>
      </c>
      <c r="L246" s="2" t="str">
        <f t="array" ref="L246">IF($C246="","",IF(INDEX(SchedZone,$C246,MAP!$B$14)="Neutral","N",IF($B246="HOME","H","A")))</f>
        <v>A</v>
      </c>
      <c r="M246" s="2" t="str">
        <f t="array" ref="M246">IF($C246="","",IF(INDEX(SchedZone,$C246,MAP!$B$11)="","",INDEX(SchedZone,$C246,MAP!$B$11)))</f>
        <v/>
      </c>
      <c r="N246" s="2" t="str">
        <f t="array" ref="N246">IF($C246="","",IF(INDEX(SchedZone,$C246,MAP!$B$13)="","",INDEX(SchedZone,$C246,MAP!$B$13)))</f>
        <v/>
      </c>
      <c r="O246" s="2">
        <f t="array" ref="O246">IF($C246="","",INDEX(SchedZone,$C246,MAP!$B$15))</f>
        <v>4</v>
      </c>
      <c r="P246" s="2" t="str">
        <f>IF($C246="","",IFERROR(MATCH($E246&amp;"|"&amp;$G246&amp;"|"&amp;$I246,StatsKey,0),""))</f>
        <v/>
      </c>
      <c r="Q246" s="2">
        <f t="array" ref="Q246">IF($P246="",0,INDEX(StatsZone,$P246,MAP!$E$9)+INDEX(StatsZone,$P246,MAP!$E$10)+INDEX(StatsZone,$P246,MAP!$E$11))</f>
        <v>0</v>
      </c>
      <c r="R246" s="2">
        <f t="array" ref="R246">IF($P246="",0,INDEX(StatsZone,$P246,MAP!$E$12))</f>
        <v>0</v>
      </c>
      <c r="S246" s="2">
        <f t="array" ref="S246">IF($P246="",0,INDEX(StatsZone,$P246,MAP!$E$13))</f>
        <v>0</v>
      </c>
      <c r="T246" s="2">
        <f t="shared" si="1"/>
        <v>0</v>
      </c>
      <c r="U246" s="2">
        <f t="array" ref="U246">IF($P246="",0,INDEX(StatsZone,$P246,MAP!$E$14)+INDEX(StatsZone,$P246,MAP!$E$15)+INDEX(StatsZone,$P246,MAP!$E$16))</f>
        <v>0</v>
      </c>
      <c r="V246" s="2">
        <f t="shared" si="2"/>
        <v>0</v>
      </c>
      <c r="W246" s="2">
        <f t="shared" si="3"/>
        <v>0</v>
      </c>
      <c r="X246" s="2">
        <f t="shared" si="4"/>
        <v>0</v>
      </c>
      <c r="Y246" s="2">
        <f t="shared" si="5"/>
        <v>0</v>
      </c>
      <c r="Z246" s="2">
        <f t="shared" si="6"/>
        <v>0</v>
      </c>
      <c r="AA246" s="2">
        <f t="shared" si="7"/>
        <v>-1</v>
      </c>
      <c r="AB246" s="2">
        <f>IF(OR($M246="",$N246=""),0,MEDIAN(-MarginCap,MarginCap,($M246-$N246)-$AA246*HFA_Base))</f>
        <v>0</v>
      </c>
      <c r="AC246" s="2">
        <f t="array" ref="AC246">IF(OR($P246="",INDEX($P$3:$P$722,(ROW()+IF(MOD(ROW()-3,2)=0,1,-1))-3+1)=""),0,MEDIAN(-MarginCap,MarginCap,($T246-$W246)-$AA246*HFA_Base))</f>
        <v>0</v>
      </c>
      <c r="AD246" s="2">
        <f t="shared" si="8"/>
        <v>0</v>
      </c>
      <c r="AE246" s="2">
        <f>IF(OR($M246="",$N246=""),0,IF(AND(WEpa&gt;0,$AD246=1),(1-WEpa)*$AB246+WEpa*$AC246,$AB246))</f>
        <v>0</v>
      </c>
      <c r="AF246" s="2">
        <f>IF(AND($C246&lt;&gt;"",$E246=CurrentSeason,$F246="REG",ISNUMBER($G246),$G246&lt;CurrentWeek,AND($M246&lt;&gt;"",$N246&lt;&gt;"")),1,0)</f>
        <v>0</v>
      </c>
      <c r="AG246" s="2">
        <f>IF($AF246=0,0,IF($G246&gt;=CurrentWeek-RecencyWin,RecencyMult,1))</f>
        <v>0</v>
      </c>
      <c r="AH246" s="2">
        <f>IF(AND($C246&lt;&gt;"",$E246=CurrentSeason,$F246="REG",ISNUMBER($G246),$G246&lt;CurrentWeek-1,AND($M246&lt;&gt;"",$N246&lt;&gt;"")),1,0)</f>
        <v>0</v>
      </c>
      <c r="AI246" s="2">
        <f>IF($AH246=0,0,IF($G246&gt;=CurrentWeek-1-RecencyWin,RecencyMult,1))</f>
        <v>0</v>
      </c>
      <c r="AJ246" s="2">
        <f>IF($AF246=0,0,IF($G246&gt;=CurrentWeek-RecencyWin,TotRecency,1))</f>
        <v>0</v>
      </c>
      <c r="AK246" s="2">
        <f t="shared" si="9"/>
        <v>0</v>
      </c>
      <c r="AL246" s="2">
        <f t="shared" si="10"/>
        <v>0</v>
      </c>
      <c r="AM246" s="2" t="str">
        <f t="array" ref="AM246">IF($K246="",0,IFERROR(INDEX(CALC!$F$2:$F$33,MATCH($K246,CALC!$A$2:$A$33,0)),0))</f>
        <v/>
      </c>
      <c r="AN246" s="2" t="str">
        <f t="array" ref="AN246">IF($K246="",0,IFERROR(INDEX(CALC!$I$2:$I$33,MATCH($K246,CALC!$A$2:$A$33,0)),0))</f>
        <v/>
      </c>
      <c r="AO246" s="2" t="str">
        <f t="array" ref="AO246">IF($K246="",0,IFERROR(INDEX(CALC!$L$2:$L$33,MATCH($K246,CALC!$A$2:$A$33,0)),0))</f>
        <v/>
      </c>
      <c r="AP246" s="2" t="str">
        <f t="array" ref="AP246">IF($K246="",0,IFERROR(INDEX(CALC!$T$2:$T$33,MATCH($K246,CALC!$A$2:$A$33,0)),0))</f>
        <v/>
      </c>
      <c r="AQ246" s="2" t="str">
        <f t="array" ref="AQ246">IF($K246="",0,IFERROR(INDEX(CALC!$W$2:$W$33,MATCH($K246,CALC!$A$2:$A$33,0)),0))</f>
        <v/>
      </c>
      <c r="AR246" s="2" t="str">
        <f t="array" ref="AR246">IF($K246="",0,IFERROR(INDEX(CALC!$Z$2:$Z$33,MATCH($K246,CALC!$A$2:$A$33,0)),0))</f>
        <v/>
      </c>
      <c r="AS246" s="2" t="str">
        <f t="array" ref="AS246">IF($K246="",0,IFERROR(INDEX(CALC!$AJ$2:$AJ$33,MATCH($K246,CALC!$A$2:$A$33,0)),0))</f>
        <v/>
      </c>
      <c r="AT246" s="2" t="str">
        <f t="array" ref="AT246">IF($K246="",0,IFERROR(INDEX(CALC!$AI$2:$AI$33,MATCH($K246,CALC!$A$2:$A$33,0)),0))</f>
        <v/>
      </c>
      <c r="AU246" s="2">
        <f t="shared" si="11"/>
        <v>0</v>
      </c>
      <c r="AV246" s="2">
        <f t="shared" si="12"/>
        <v>0</v>
      </c>
    </row>
    <row r="247" ht="15.0" customHeight="1">
      <c r="A247" s="2">
        <v>123.0</v>
      </c>
      <c r="B247" s="2" t="s">
        <v>2365</v>
      </c>
      <c r="C247" s="2">
        <f>IFERROR(MATCH($A247,SchedSeq,0),"")</f>
        <v>408</v>
      </c>
      <c r="D247" s="2" t="str">
        <f t="array" ref="D247">IF($C247="","",INDEX(SchedZone,$C247,MAP!$B$6))</f>
        <v>2026_09_CIN_ATL</v>
      </c>
      <c r="E247" s="2">
        <f t="array" ref="E247">IF($C247="","",INDEX(SchedZone,$C247,MAP!$B$3))</f>
        <v>2026</v>
      </c>
      <c r="F247" s="2" t="str">
        <f t="array" ref="F247">IF($C247="","",INDEX(SchedZone,$C247,MAP!$B$5))</f>
        <v>REG</v>
      </c>
      <c r="G247" s="2">
        <f t="array" ref="G247">IF($C247="","",INDEX(SchedZone,$C247,MAP!$B$4))</f>
        <v>9</v>
      </c>
      <c r="H247" s="2" t="str">
        <f t="array" ref="H247">IF($C247="","",INDEX(SchedZone,$C247,MAP!$B$12))</f>
        <v>ATL</v>
      </c>
      <c r="I247" s="2" t="str">
        <f t="array" ref="I247">IF($H247="","",IF(COUNTIF(Teams,$H247)&gt;0,$H247,IFERROR(INDEX(LISTS!$D$2:$D$12,MATCH($H247,LISTS!$C$2:$C$12,0)),"⚠ "&amp;$H247)))</f>
        <v>ATL</v>
      </c>
      <c r="J247" s="2" t="str">
        <f t="array" ref="J247">IF($C247="","",INDEX(SchedZone,$C247,MAP!$B$10))</f>
        <v>CIN</v>
      </c>
      <c r="K247" s="2" t="str">
        <f t="array" ref="K247">IF($J247="","",IF(COUNTIF(Teams,$J247)&gt;0,$J247,IFERROR(INDEX(LISTS!$D$2:$D$12,MATCH($J247,LISTS!$C$2:$C$12,0)),"⚠ "&amp;$J247)))</f>
        <v>CIN</v>
      </c>
      <c r="L247" s="2" t="str">
        <f t="array" ref="L247">IF($C247="","",IF(INDEX(SchedZone,$C247,MAP!$B$14)="Neutral","N",IF($B247="HOME","H","A")))</f>
        <v>N</v>
      </c>
      <c r="M247" s="2" t="str">
        <f t="array" ref="M247">IF($C247="","",IF(INDEX(SchedZone,$C247,MAP!$B$13)="","",INDEX(SchedZone,$C247,MAP!$B$13)))</f>
        <v/>
      </c>
      <c r="N247" s="2" t="str">
        <f t="array" ref="N247">IF($C247="","",IF(INDEX(SchedZone,$C247,MAP!$B$11)="","",INDEX(SchedZone,$C247,MAP!$B$11)))</f>
        <v/>
      </c>
      <c r="O247" s="2">
        <f t="array" ref="O247">IF($C247="","",INDEX(SchedZone,$C247,MAP!$B$16))</f>
        <v>7</v>
      </c>
      <c r="P247" s="2" t="str">
        <f>IF($C247="","",IFERROR(MATCH($E247&amp;"|"&amp;$G247&amp;"|"&amp;$I247,StatsKey,0),""))</f>
        <v/>
      </c>
      <c r="Q247" s="2">
        <f t="array" ref="Q247">IF($P247="",0,INDEX(StatsZone,$P247,MAP!$E$9)+INDEX(StatsZone,$P247,MAP!$E$10)+INDEX(StatsZone,$P247,MAP!$E$11))</f>
        <v>0</v>
      </c>
      <c r="R247" s="2">
        <f t="array" ref="R247">IF($P247="",0,INDEX(StatsZone,$P247,MAP!$E$12))</f>
        <v>0</v>
      </c>
      <c r="S247" s="2">
        <f t="array" ref="S247">IF($P247="",0,INDEX(StatsZone,$P247,MAP!$E$13))</f>
        <v>0</v>
      </c>
      <c r="T247" s="2">
        <f t="shared" si="1"/>
        <v>0</v>
      </c>
      <c r="U247" s="2">
        <f t="array" ref="U247">IF($P247="",0,INDEX(StatsZone,$P247,MAP!$E$14)+INDEX(StatsZone,$P247,MAP!$E$15)+INDEX(StatsZone,$P247,MAP!$E$16))</f>
        <v>0</v>
      </c>
      <c r="V247" s="2">
        <f t="shared" si="2"/>
        <v>0</v>
      </c>
      <c r="W247" s="2">
        <f t="shared" si="3"/>
        <v>0</v>
      </c>
      <c r="X247" s="2">
        <f t="shared" si="4"/>
        <v>0</v>
      </c>
      <c r="Y247" s="2">
        <f t="shared" si="5"/>
        <v>0</v>
      </c>
      <c r="Z247" s="2">
        <f t="shared" si="6"/>
        <v>0</v>
      </c>
      <c r="AA247" s="2">
        <f t="shared" si="7"/>
        <v>0</v>
      </c>
      <c r="AB247" s="2">
        <f>IF(OR($M247="",$N247=""),0,MEDIAN(-MarginCap,MarginCap,($M247-$N247)-$AA247*HFA_Base))</f>
        <v>0</v>
      </c>
      <c r="AC247" s="2">
        <f t="array" ref="AC247">IF(OR($P247="",INDEX($P$3:$P$722,(ROW()+IF(MOD(ROW()-3,2)=0,1,-1))-3+1)=""),0,MEDIAN(-MarginCap,MarginCap,($T247-$W247)-$AA247*HFA_Base))</f>
        <v>0</v>
      </c>
      <c r="AD247" s="2">
        <f t="shared" si="8"/>
        <v>0</v>
      </c>
      <c r="AE247" s="2">
        <f>IF(OR($M247="",$N247=""),0,IF(AND(WEpa&gt;0,$AD247=1),(1-WEpa)*$AB247+WEpa*$AC247,$AB247))</f>
        <v>0</v>
      </c>
      <c r="AF247" s="2">
        <f>IF(AND($C247&lt;&gt;"",$E247=CurrentSeason,$F247="REG",ISNUMBER($G247),$G247&lt;CurrentWeek,AND($M247&lt;&gt;"",$N247&lt;&gt;"")),1,0)</f>
        <v>0</v>
      </c>
      <c r="AG247" s="2">
        <f>IF($AF247=0,0,IF($G247&gt;=CurrentWeek-RecencyWin,RecencyMult,1))</f>
        <v>0</v>
      </c>
      <c r="AH247" s="2">
        <f>IF(AND($C247&lt;&gt;"",$E247=CurrentSeason,$F247="REG",ISNUMBER($G247),$G247&lt;CurrentWeek-1,AND($M247&lt;&gt;"",$N247&lt;&gt;"")),1,0)</f>
        <v>0</v>
      </c>
      <c r="AI247" s="2">
        <f>IF($AH247=0,0,IF($G247&gt;=CurrentWeek-1-RecencyWin,RecencyMult,1))</f>
        <v>0</v>
      </c>
      <c r="AJ247" s="2">
        <f>IF($AF247=0,0,IF($G247&gt;=CurrentWeek-RecencyWin,TotRecency,1))</f>
        <v>0</v>
      </c>
      <c r="AK247" s="2">
        <f t="shared" si="9"/>
        <v>0</v>
      </c>
      <c r="AL247" s="2">
        <f t="shared" si="10"/>
        <v>0</v>
      </c>
      <c r="AM247" s="2" t="str">
        <f t="array" ref="AM247">IF($K247="",0,IFERROR(INDEX(CALC!$F$2:$F$33,MATCH($K247,CALC!$A$2:$A$33,0)),0))</f>
        <v/>
      </c>
      <c r="AN247" s="2" t="str">
        <f t="array" ref="AN247">IF($K247="",0,IFERROR(INDEX(CALC!$I$2:$I$33,MATCH($K247,CALC!$A$2:$A$33,0)),0))</f>
        <v/>
      </c>
      <c r="AO247" s="2" t="str">
        <f t="array" ref="AO247">IF($K247="",0,IFERROR(INDEX(CALC!$L$2:$L$33,MATCH($K247,CALC!$A$2:$A$33,0)),0))</f>
        <v/>
      </c>
      <c r="AP247" s="2" t="str">
        <f t="array" ref="AP247">IF($K247="",0,IFERROR(INDEX(CALC!$T$2:$T$33,MATCH($K247,CALC!$A$2:$A$33,0)),0))</f>
        <v/>
      </c>
      <c r="AQ247" s="2" t="str">
        <f t="array" ref="AQ247">IF($K247="",0,IFERROR(INDEX(CALC!$W$2:$W$33,MATCH($K247,CALC!$A$2:$A$33,0)),0))</f>
        <v/>
      </c>
      <c r="AR247" s="2" t="str">
        <f t="array" ref="AR247">IF($K247="",0,IFERROR(INDEX(CALC!$Z$2:$Z$33,MATCH($K247,CALC!$A$2:$A$33,0)),0))</f>
        <v/>
      </c>
      <c r="AS247" s="2" t="str">
        <f t="array" ref="AS247">IF($K247="",0,IFERROR(INDEX(CALC!$AJ$2:$AJ$33,MATCH($K247,CALC!$A$2:$A$33,0)),0))</f>
        <v/>
      </c>
      <c r="AT247" s="2" t="str">
        <f t="array" ref="AT247">IF($K247="",0,IFERROR(INDEX(CALC!$AI$2:$AI$33,MATCH($K247,CALC!$A$2:$A$33,0)),0))</f>
        <v/>
      </c>
      <c r="AU247" s="2">
        <f t="shared" si="11"/>
        <v>0</v>
      </c>
      <c r="AV247" s="2">
        <f t="shared" si="12"/>
        <v>0</v>
      </c>
    </row>
    <row r="248" ht="15.0" customHeight="1">
      <c r="A248" s="2">
        <v>123.0</v>
      </c>
      <c r="B248" s="2" t="s">
        <v>2366</v>
      </c>
      <c r="C248" s="2">
        <f>IFERROR(MATCH($A248,SchedSeq,0),"")</f>
        <v>408</v>
      </c>
      <c r="D248" s="2" t="str">
        <f t="array" ref="D248">IF($C248="","",INDEX(SchedZone,$C248,MAP!$B$6))</f>
        <v>2026_09_CIN_ATL</v>
      </c>
      <c r="E248" s="2">
        <f t="array" ref="E248">IF($C248="","",INDEX(SchedZone,$C248,MAP!$B$3))</f>
        <v>2026</v>
      </c>
      <c r="F248" s="2" t="str">
        <f t="array" ref="F248">IF($C248="","",INDEX(SchedZone,$C248,MAP!$B$5))</f>
        <v>REG</v>
      </c>
      <c r="G248" s="2">
        <f t="array" ref="G248">IF($C248="","",INDEX(SchedZone,$C248,MAP!$B$4))</f>
        <v>9</v>
      </c>
      <c r="H248" s="2" t="str">
        <f t="array" ref="H248">IF($C248="","",INDEX(SchedZone,$C248,MAP!$B$10))</f>
        <v>CIN</v>
      </c>
      <c r="I248" s="2" t="str">
        <f t="array" ref="I248">IF($H248="","",IF(COUNTIF(Teams,$H248)&gt;0,$H248,IFERROR(INDEX(LISTS!$D$2:$D$12,MATCH($H248,LISTS!$C$2:$C$12,0)),"⚠ "&amp;$H248)))</f>
        <v>CIN</v>
      </c>
      <c r="J248" s="2" t="str">
        <f t="array" ref="J248">IF($C248="","",INDEX(SchedZone,$C248,MAP!$B$12))</f>
        <v>ATL</v>
      </c>
      <c r="K248" s="2" t="str">
        <f t="array" ref="K248">IF($J248="","",IF(COUNTIF(Teams,$J248)&gt;0,$J248,IFERROR(INDEX(LISTS!$D$2:$D$12,MATCH($J248,LISTS!$C$2:$C$12,0)),"⚠ "&amp;$J248)))</f>
        <v>ATL</v>
      </c>
      <c r="L248" s="2" t="str">
        <f t="array" ref="L248">IF($C248="","",IF(INDEX(SchedZone,$C248,MAP!$B$14)="Neutral","N",IF($B248="HOME","H","A")))</f>
        <v>N</v>
      </c>
      <c r="M248" s="2" t="str">
        <f t="array" ref="M248">IF($C248="","",IF(INDEX(SchedZone,$C248,MAP!$B$11)="","",INDEX(SchedZone,$C248,MAP!$B$11)))</f>
        <v/>
      </c>
      <c r="N248" s="2" t="str">
        <f t="array" ref="N248">IF($C248="","",IF(INDEX(SchedZone,$C248,MAP!$B$13)="","",INDEX(SchedZone,$C248,MAP!$B$13)))</f>
        <v/>
      </c>
      <c r="O248" s="2">
        <f t="array" ref="O248">IF($C248="","",INDEX(SchedZone,$C248,MAP!$B$15))</f>
        <v>7</v>
      </c>
      <c r="P248" s="2" t="str">
        <f>IF($C248="","",IFERROR(MATCH($E248&amp;"|"&amp;$G248&amp;"|"&amp;$I248,StatsKey,0),""))</f>
        <v/>
      </c>
      <c r="Q248" s="2">
        <f t="array" ref="Q248">IF($P248="",0,INDEX(StatsZone,$P248,MAP!$E$9)+INDEX(StatsZone,$P248,MAP!$E$10)+INDEX(StatsZone,$P248,MAP!$E$11))</f>
        <v>0</v>
      </c>
      <c r="R248" s="2">
        <f t="array" ref="R248">IF($P248="",0,INDEX(StatsZone,$P248,MAP!$E$12))</f>
        <v>0</v>
      </c>
      <c r="S248" s="2">
        <f t="array" ref="S248">IF($P248="",0,INDEX(StatsZone,$P248,MAP!$E$13))</f>
        <v>0</v>
      </c>
      <c r="T248" s="2">
        <f t="shared" si="1"/>
        <v>0</v>
      </c>
      <c r="U248" s="2">
        <f t="array" ref="U248">IF($P248="",0,INDEX(StatsZone,$P248,MAP!$E$14)+INDEX(StatsZone,$P248,MAP!$E$15)+INDEX(StatsZone,$P248,MAP!$E$16))</f>
        <v>0</v>
      </c>
      <c r="V248" s="2">
        <f t="shared" si="2"/>
        <v>0</v>
      </c>
      <c r="W248" s="2">
        <f t="shared" si="3"/>
        <v>0</v>
      </c>
      <c r="X248" s="2">
        <f t="shared" si="4"/>
        <v>0</v>
      </c>
      <c r="Y248" s="2">
        <f t="shared" si="5"/>
        <v>0</v>
      </c>
      <c r="Z248" s="2">
        <f t="shared" si="6"/>
        <v>0</v>
      </c>
      <c r="AA248" s="2">
        <f t="shared" si="7"/>
        <v>0</v>
      </c>
      <c r="AB248" s="2">
        <f>IF(OR($M248="",$N248=""),0,MEDIAN(-MarginCap,MarginCap,($M248-$N248)-$AA248*HFA_Base))</f>
        <v>0</v>
      </c>
      <c r="AC248" s="2">
        <f t="array" ref="AC248">IF(OR($P248="",INDEX($P$3:$P$722,(ROW()+IF(MOD(ROW()-3,2)=0,1,-1))-3+1)=""),0,MEDIAN(-MarginCap,MarginCap,($T248-$W248)-$AA248*HFA_Base))</f>
        <v>0</v>
      </c>
      <c r="AD248" s="2">
        <f t="shared" si="8"/>
        <v>0</v>
      </c>
      <c r="AE248" s="2">
        <f>IF(OR($M248="",$N248=""),0,IF(AND(WEpa&gt;0,$AD248=1),(1-WEpa)*$AB248+WEpa*$AC248,$AB248))</f>
        <v>0</v>
      </c>
      <c r="AF248" s="2">
        <f>IF(AND($C248&lt;&gt;"",$E248=CurrentSeason,$F248="REG",ISNUMBER($G248),$G248&lt;CurrentWeek,AND($M248&lt;&gt;"",$N248&lt;&gt;"")),1,0)</f>
        <v>0</v>
      </c>
      <c r="AG248" s="2">
        <f>IF($AF248=0,0,IF($G248&gt;=CurrentWeek-RecencyWin,RecencyMult,1))</f>
        <v>0</v>
      </c>
      <c r="AH248" s="2">
        <f>IF(AND($C248&lt;&gt;"",$E248=CurrentSeason,$F248="REG",ISNUMBER($G248),$G248&lt;CurrentWeek-1,AND($M248&lt;&gt;"",$N248&lt;&gt;"")),1,0)</f>
        <v>0</v>
      </c>
      <c r="AI248" s="2">
        <f>IF($AH248=0,0,IF($G248&gt;=CurrentWeek-1-RecencyWin,RecencyMult,1))</f>
        <v>0</v>
      </c>
      <c r="AJ248" s="2">
        <f>IF($AF248=0,0,IF($G248&gt;=CurrentWeek-RecencyWin,TotRecency,1))</f>
        <v>0</v>
      </c>
      <c r="AK248" s="2">
        <f t="shared" si="9"/>
        <v>0</v>
      </c>
      <c r="AL248" s="2">
        <f t="shared" si="10"/>
        <v>0</v>
      </c>
      <c r="AM248" s="2" t="str">
        <f t="array" ref="AM248">IF($K248="",0,IFERROR(INDEX(CALC!$F$2:$F$33,MATCH($K248,CALC!$A$2:$A$33,0)),0))</f>
        <v/>
      </c>
      <c r="AN248" s="2" t="str">
        <f t="array" ref="AN248">IF($K248="",0,IFERROR(INDEX(CALC!$I$2:$I$33,MATCH($K248,CALC!$A$2:$A$33,0)),0))</f>
        <v/>
      </c>
      <c r="AO248" s="2" t="str">
        <f t="array" ref="AO248">IF($K248="",0,IFERROR(INDEX(CALC!$L$2:$L$33,MATCH($K248,CALC!$A$2:$A$33,0)),0))</f>
        <v/>
      </c>
      <c r="AP248" s="2" t="str">
        <f t="array" ref="AP248">IF($K248="",0,IFERROR(INDEX(CALC!$T$2:$T$33,MATCH($K248,CALC!$A$2:$A$33,0)),0))</f>
        <v/>
      </c>
      <c r="AQ248" s="2" t="str">
        <f t="array" ref="AQ248">IF($K248="",0,IFERROR(INDEX(CALC!$W$2:$W$33,MATCH($K248,CALC!$A$2:$A$33,0)),0))</f>
        <v/>
      </c>
      <c r="AR248" s="2" t="str">
        <f t="array" ref="AR248">IF($K248="",0,IFERROR(INDEX(CALC!$Z$2:$Z$33,MATCH($K248,CALC!$A$2:$A$33,0)),0))</f>
        <v/>
      </c>
      <c r="AS248" s="2" t="str">
        <f t="array" ref="AS248">IF($K248="",0,IFERROR(INDEX(CALC!$AJ$2:$AJ$33,MATCH($K248,CALC!$A$2:$A$33,0)),0))</f>
        <v/>
      </c>
      <c r="AT248" s="2" t="str">
        <f t="array" ref="AT248">IF($K248="",0,IFERROR(INDEX(CALC!$AI$2:$AI$33,MATCH($K248,CALC!$A$2:$A$33,0)),0))</f>
        <v/>
      </c>
      <c r="AU248" s="2">
        <f t="shared" si="11"/>
        <v>0</v>
      </c>
      <c r="AV248" s="2">
        <f t="shared" si="12"/>
        <v>0</v>
      </c>
    </row>
    <row r="249" ht="15.0" customHeight="1">
      <c r="A249" s="2">
        <v>124.0</v>
      </c>
      <c r="B249" s="2" t="s">
        <v>2365</v>
      </c>
      <c r="C249" s="2">
        <f>IFERROR(MATCH($A249,SchedSeq,0),"")</f>
        <v>409</v>
      </c>
      <c r="D249" s="2" t="str">
        <f t="array" ref="D249">IF($C249="","",INDEX(SchedZone,$C249,MAP!$B$6))</f>
        <v>2026_09_DEN_CAR</v>
      </c>
      <c r="E249" s="2">
        <f t="array" ref="E249">IF($C249="","",INDEX(SchedZone,$C249,MAP!$B$3))</f>
        <v>2026</v>
      </c>
      <c r="F249" s="2" t="str">
        <f t="array" ref="F249">IF($C249="","",INDEX(SchedZone,$C249,MAP!$B$5))</f>
        <v>REG</v>
      </c>
      <c r="G249" s="2">
        <f t="array" ref="G249">IF($C249="","",INDEX(SchedZone,$C249,MAP!$B$4))</f>
        <v>9</v>
      </c>
      <c r="H249" s="2" t="str">
        <f t="array" ref="H249">IF($C249="","",INDEX(SchedZone,$C249,MAP!$B$12))</f>
        <v>CAR</v>
      </c>
      <c r="I249" s="2" t="str">
        <f t="array" ref="I249">IF($H249="","",IF(COUNTIF(Teams,$H249)&gt;0,$H249,IFERROR(INDEX(LISTS!$D$2:$D$12,MATCH($H249,LISTS!$C$2:$C$12,0)),"⚠ "&amp;$H249)))</f>
        <v>CAR</v>
      </c>
      <c r="J249" s="2" t="str">
        <f t="array" ref="J249">IF($C249="","",INDEX(SchedZone,$C249,MAP!$B$10))</f>
        <v>DEN</v>
      </c>
      <c r="K249" s="2" t="str">
        <f t="array" ref="K249">IF($J249="","",IF(COUNTIF(Teams,$J249)&gt;0,$J249,IFERROR(INDEX(LISTS!$D$2:$D$12,MATCH($J249,LISTS!$C$2:$C$12,0)),"⚠ "&amp;$J249)))</f>
        <v>DEN</v>
      </c>
      <c r="L249" s="2" t="str">
        <f t="array" ref="L249">IF($C249="","",IF(INDEX(SchedZone,$C249,MAP!$B$14)="Neutral","N",IF($B249="HOME","H","A")))</f>
        <v>H</v>
      </c>
      <c r="M249" s="2" t="str">
        <f t="array" ref="M249">IF($C249="","",IF(INDEX(SchedZone,$C249,MAP!$B$13)="","",INDEX(SchedZone,$C249,MAP!$B$13)))</f>
        <v/>
      </c>
      <c r="N249" s="2" t="str">
        <f t="array" ref="N249">IF($C249="","",IF(INDEX(SchedZone,$C249,MAP!$B$11)="","",INDEX(SchedZone,$C249,MAP!$B$11)))</f>
        <v/>
      </c>
      <c r="O249" s="2">
        <f t="array" ref="O249">IF($C249="","",INDEX(SchedZone,$C249,MAP!$B$16))</f>
        <v>10</v>
      </c>
      <c r="P249" s="2" t="str">
        <f>IF($C249="","",IFERROR(MATCH($E249&amp;"|"&amp;$G249&amp;"|"&amp;$I249,StatsKey,0),""))</f>
        <v/>
      </c>
      <c r="Q249" s="2">
        <f t="array" ref="Q249">IF($P249="",0,INDEX(StatsZone,$P249,MAP!$E$9)+INDEX(StatsZone,$P249,MAP!$E$10)+INDEX(StatsZone,$P249,MAP!$E$11))</f>
        <v>0</v>
      </c>
      <c r="R249" s="2">
        <f t="array" ref="R249">IF($P249="",0,INDEX(StatsZone,$P249,MAP!$E$12))</f>
        <v>0</v>
      </c>
      <c r="S249" s="2">
        <f t="array" ref="S249">IF($P249="",0,INDEX(StatsZone,$P249,MAP!$E$13))</f>
        <v>0</v>
      </c>
      <c r="T249" s="2">
        <f t="shared" si="1"/>
        <v>0</v>
      </c>
      <c r="U249" s="2">
        <f t="array" ref="U249">IF($P249="",0,INDEX(StatsZone,$P249,MAP!$E$14)+INDEX(StatsZone,$P249,MAP!$E$15)+INDEX(StatsZone,$P249,MAP!$E$16))</f>
        <v>0</v>
      </c>
      <c r="V249" s="2">
        <f t="shared" si="2"/>
        <v>0</v>
      </c>
      <c r="W249" s="2">
        <f t="shared" si="3"/>
        <v>0</v>
      </c>
      <c r="X249" s="2">
        <f t="shared" si="4"/>
        <v>0</v>
      </c>
      <c r="Y249" s="2">
        <f t="shared" si="5"/>
        <v>0</v>
      </c>
      <c r="Z249" s="2">
        <f t="shared" si="6"/>
        <v>0</v>
      </c>
      <c r="AA249" s="2">
        <f t="shared" si="7"/>
        <v>1</v>
      </c>
      <c r="AB249" s="2">
        <f>IF(OR($M249="",$N249=""),0,MEDIAN(-MarginCap,MarginCap,($M249-$N249)-$AA249*HFA_Base))</f>
        <v>0</v>
      </c>
      <c r="AC249" s="2">
        <f t="array" ref="AC249">IF(OR($P249="",INDEX($P$3:$P$722,(ROW()+IF(MOD(ROW()-3,2)=0,1,-1))-3+1)=""),0,MEDIAN(-MarginCap,MarginCap,($T249-$W249)-$AA249*HFA_Base))</f>
        <v>0</v>
      </c>
      <c r="AD249" s="2">
        <f t="shared" si="8"/>
        <v>0</v>
      </c>
      <c r="AE249" s="2">
        <f>IF(OR($M249="",$N249=""),0,IF(AND(WEpa&gt;0,$AD249=1),(1-WEpa)*$AB249+WEpa*$AC249,$AB249))</f>
        <v>0</v>
      </c>
      <c r="AF249" s="2">
        <f>IF(AND($C249&lt;&gt;"",$E249=CurrentSeason,$F249="REG",ISNUMBER($G249),$G249&lt;CurrentWeek,AND($M249&lt;&gt;"",$N249&lt;&gt;"")),1,0)</f>
        <v>0</v>
      </c>
      <c r="AG249" s="2">
        <f>IF($AF249=0,0,IF($G249&gt;=CurrentWeek-RecencyWin,RecencyMult,1))</f>
        <v>0</v>
      </c>
      <c r="AH249" s="2">
        <f>IF(AND($C249&lt;&gt;"",$E249=CurrentSeason,$F249="REG",ISNUMBER($G249),$G249&lt;CurrentWeek-1,AND($M249&lt;&gt;"",$N249&lt;&gt;"")),1,0)</f>
        <v>0</v>
      </c>
      <c r="AI249" s="2">
        <f>IF($AH249=0,0,IF($G249&gt;=CurrentWeek-1-RecencyWin,RecencyMult,1))</f>
        <v>0</v>
      </c>
      <c r="AJ249" s="2">
        <f>IF($AF249=0,0,IF($G249&gt;=CurrentWeek-RecencyWin,TotRecency,1))</f>
        <v>0</v>
      </c>
      <c r="AK249" s="2">
        <f t="shared" si="9"/>
        <v>0</v>
      </c>
      <c r="AL249" s="2">
        <f t="shared" si="10"/>
        <v>0</v>
      </c>
      <c r="AM249" s="2" t="str">
        <f t="array" ref="AM249">IF($K249="",0,IFERROR(INDEX(CALC!$F$2:$F$33,MATCH($K249,CALC!$A$2:$A$33,0)),0))</f>
        <v/>
      </c>
      <c r="AN249" s="2" t="str">
        <f t="array" ref="AN249">IF($K249="",0,IFERROR(INDEX(CALC!$I$2:$I$33,MATCH($K249,CALC!$A$2:$A$33,0)),0))</f>
        <v/>
      </c>
      <c r="AO249" s="2" t="str">
        <f t="array" ref="AO249">IF($K249="",0,IFERROR(INDEX(CALC!$L$2:$L$33,MATCH($K249,CALC!$A$2:$A$33,0)),0))</f>
        <v/>
      </c>
      <c r="AP249" s="2" t="str">
        <f t="array" ref="AP249">IF($K249="",0,IFERROR(INDEX(CALC!$T$2:$T$33,MATCH($K249,CALC!$A$2:$A$33,0)),0))</f>
        <v/>
      </c>
      <c r="AQ249" s="2" t="str">
        <f t="array" ref="AQ249">IF($K249="",0,IFERROR(INDEX(CALC!$W$2:$W$33,MATCH($K249,CALC!$A$2:$A$33,0)),0))</f>
        <v/>
      </c>
      <c r="AR249" s="2" t="str">
        <f t="array" ref="AR249">IF($K249="",0,IFERROR(INDEX(CALC!$Z$2:$Z$33,MATCH($K249,CALC!$A$2:$A$33,0)),0))</f>
        <v/>
      </c>
      <c r="AS249" s="2" t="str">
        <f t="array" ref="AS249">IF($K249="",0,IFERROR(INDEX(CALC!$AJ$2:$AJ$33,MATCH($K249,CALC!$A$2:$A$33,0)),0))</f>
        <v/>
      </c>
      <c r="AT249" s="2" t="str">
        <f t="array" ref="AT249">IF($K249="",0,IFERROR(INDEX(CALC!$AI$2:$AI$33,MATCH($K249,CALC!$A$2:$A$33,0)),0))</f>
        <v/>
      </c>
      <c r="AU249" s="2">
        <f t="shared" si="11"/>
        <v>0</v>
      </c>
      <c r="AV249" s="2">
        <f t="shared" si="12"/>
        <v>0</v>
      </c>
    </row>
    <row r="250" ht="15.0" customHeight="1">
      <c r="A250" s="2">
        <v>124.0</v>
      </c>
      <c r="B250" s="2" t="s">
        <v>2366</v>
      </c>
      <c r="C250" s="2">
        <f>IFERROR(MATCH($A250,SchedSeq,0),"")</f>
        <v>409</v>
      </c>
      <c r="D250" s="2" t="str">
        <f t="array" ref="D250">IF($C250="","",INDEX(SchedZone,$C250,MAP!$B$6))</f>
        <v>2026_09_DEN_CAR</v>
      </c>
      <c r="E250" s="2">
        <f t="array" ref="E250">IF($C250="","",INDEX(SchedZone,$C250,MAP!$B$3))</f>
        <v>2026</v>
      </c>
      <c r="F250" s="2" t="str">
        <f t="array" ref="F250">IF($C250="","",INDEX(SchedZone,$C250,MAP!$B$5))</f>
        <v>REG</v>
      </c>
      <c r="G250" s="2">
        <f t="array" ref="G250">IF($C250="","",INDEX(SchedZone,$C250,MAP!$B$4))</f>
        <v>9</v>
      </c>
      <c r="H250" s="2" t="str">
        <f t="array" ref="H250">IF($C250="","",INDEX(SchedZone,$C250,MAP!$B$10))</f>
        <v>DEN</v>
      </c>
      <c r="I250" s="2" t="str">
        <f t="array" ref="I250">IF($H250="","",IF(COUNTIF(Teams,$H250)&gt;0,$H250,IFERROR(INDEX(LISTS!$D$2:$D$12,MATCH($H250,LISTS!$C$2:$C$12,0)),"⚠ "&amp;$H250)))</f>
        <v>DEN</v>
      </c>
      <c r="J250" s="2" t="str">
        <f t="array" ref="J250">IF($C250="","",INDEX(SchedZone,$C250,MAP!$B$12))</f>
        <v>CAR</v>
      </c>
      <c r="K250" s="2" t="str">
        <f t="array" ref="K250">IF($J250="","",IF(COUNTIF(Teams,$J250)&gt;0,$J250,IFERROR(INDEX(LISTS!$D$2:$D$12,MATCH($J250,LISTS!$C$2:$C$12,0)),"⚠ "&amp;$J250)))</f>
        <v>CAR</v>
      </c>
      <c r="L250" s="2" t="str">
        <f t="array" ref="L250">IF($C250="","",IF(INDEX(SchedZone,$C250,MAP!$B$14)="Neutral","N",IF($B250="HOME","H","A")))</f>
        <v>A</v>
      </c>
      <c r="M250" s="2" t="str">
        <f t="array" ref="M250">IF($C250="","",IF(INDEX(SchedZone,$C250,MAP!$B$11)="","",INDEX(SchedZone,$C250,MAP!$B$11)))</f>
        <v/>
      </c>
      <c r="N250" s="2" t="str">
        <f t="array" ref="N250">IF($C250="","",IF(INDEX(SchedZone,$C250,MAP!$B$13)="","",INDEX(SchedZone,$C250,MAP!$B$13)))</f>
        <v/>
      </c>
      <c r="O250" s="2">
        <f t="array" ref="O250">IF($C250="","",INDEX(SchedZone,$C250,MAP!$B$15))</f>
        <v>7</v>
      </c>
      <c r="P250" s="2" t="str">
        <f>IF($C250="","",IFERROR(MATCH($E250&amp;"|"&amp;$G250&amp;"|"&amp;$I250,StatsKey,0),""))</f>
        <v/>
      </c>
      <c r="Q250" s="2">
        <f t="array" ref="Q250">IF($P250="",0,INDEX(StatsZone,$P250,MAP!$E$9)+INDEX(StatsZone,$P250,MAP!$E$10)+INDEX(StatsZone,$P250,MAP!$E$11))</f>
        <v>0</v>
      </c>
      <c r="R250" s="2">
        <f t="array" ref="R250">IF($P250="",0,INDEX(StatsZone,$P250,MAP!$E$12))</f>
        <v>0</v>
      </c>
      <c r="S250" s="2">
        <f t="array" ref="S250">IF($P250="",0,INDEX(StatsZone,$P250,MAP!$E$13))</f>
        <v>0</v>
      </c>
      <c r="T250" s="2">
        <f t="shared" si="1"/>
        <v>0</v>
      </c>
      <c r="U250" s="2">
        <f t="array" ref="U250">IF($P250="",0,INDEX(StatsZone,$P250,MAP!$E$14)+INDEX(StatsZone,$P250,MAP!$E$15)+INDEX(StatsZone,$P250,MAP!$E$16))</f>
        <v>0</v>
      </c>
      <c r="V250" s="2">
        <f t="shared" si="2"/>
        <v>0</v>
      </c>
      <c r="W250" s="2">
        <f t="shared" si="3"/>
        <v>0</v>
      </c>
      <c r="X250" s="2">
        <f t="shared" si="4"/>
        <v>0</v>
      </c>
      <c r="Y250" s="2">
        <f t="shared" si="5"/>
        <v>0</v>
      </c>
      <c r="Z250" s="2">
        <f t="shared" si="6"/>
        <v>0</v>
      </c>
      <c r="AA250" s="2">
        <f t="shared" si="7"/>
        <v>-1</v>
      </c>
      <c r="AB250" s="2">
        <f>IF(OR($M250="",$N250=""),0,MEDIAN(-MarginCap,MarginCap,($M250-$N250)-$AA250*HFA_Base))</f>
        <v>0</v>
      </c>
      <c r="AC250" s="2">
        <f t="array" ref="AC250">IF(OR($P250="",INDEX($P$3:$P$722,(ROW()+IF(MOD(ROW()-3,2)=0,1,-1))-3+1)=""),0,MEDIAN(-MarginCap,MarginCap,($T250-$W250)-$AA250*HFA_Base))</f>
        <v>0</v>
      </c>
      <c r="AD250" s="2">
        <f t="shared" si="8"/>
        <v>0</v>
      </c>
      <c r="AE250" s="2">
        <f>IF(OR($M250="",$N250=""),0,IF(AND(WEpa&gt;0,$AD250=1),(1-WEpa)*$AB250+WEpa*$AC250,$AB250))</f>
        <v>0</v>
      </c>
      <c r="AF250" s="2">
        <f>IF(AND($C250&lt;&gt;"",$E250=CurrentSeason,$F250="REG",ISNUMBER($G250),$G250&lt;CurrentWeek,AND($M250&lt;&gt;"",$N250&lt;&gt;"")),1,0)</f>
        <v>0</v>
      </c>
      <c r="AG250" s="2">
        <f>IF($AF250=0,0,IF($G250&gt;=CurrentWeek-RecencyWin,RecencyMult,1))</f>
        <v>0</v>
      </c>
      <c r="AH250" s="2">
        <f>IF(AND($C250&lt;&gt;"",$E250=CurrentSeason,$F250="REG",ISNUMBER($G250),$G250&lt;CurrentWeek-1,AND($M250&lt;&gt;"",$N250&lt;&gt;"")),1,0)</f>
        <v>0</v>
      </c>
      <c r="AI250" s="2">
        <f>IF($AH250=0,0,IF($G250&gt;=CurrentWeek-1-RecencyWin,RecencyMult,1))</f>
        <v>0</v>
      </c>
      <c r="AJ250" s="2">
        <f>IF($AF250=0,0,IF($G250&gt;=CurrentWeek-RecencyWin,TotRecency,1))</f>
        <v>0</v>
      </c>
      <c r="AK250" s="2">
        <f t="shared" si="9"/>
        <v>0</v>
      </c>
      <c r="AL250" s="2">
        <f t="shared" si="10"/>
        <v>0</v>
      </c>
      <c r="AM250" s="2" t="str">
        <f t="array" ref="AM250">IF($K250="",0,IFERROR(INDEX(CALC!$F$2:$F$33,MATCH($K250,CALC!$A$2:$A$33,0)),0))</f>
        <v/>
      </c>
      <c r="AN250" s="2" t="str">
        <f t="array" ref="AN250">IF($K250="",0,IFERROR(INDEX(CALC!$I$2:$I$33,MATCH($K250,CALC!$A$2:$A$33,0)),0))</f>
        <v/>
      </c>
      <c r="AO250" s="2" t="str">
        <f t="array" ref="AO250">IF($K250="",0,IFERROR(INDEX(CALC!$L$2:$L$33,MATCH($K250,CALC!$A$2:$A$33,0)),0))</f>
        <v/>
      </c>
      <c r="AP250" s="2" t="str">
        <f t="array" ref="AP250">IF($K250="",0,IFERROR(INDEX(CALC!$T$2:$T$33,MATCH($K250,CALC!$A$2:$A$33,0)),0))</f>
        <v/>
      </c>
      <c r="AQ250" s="2" t="str">
        <f t="array" ref="AQ250">IF($K250="",0,IFERROR(INDEX(CALC!$W$2:$W$33,MATCH($K250,CALC!$A$2:$A$33,0)),0))</f>
        <v/>
      </c>
      <c r="AR250" s="2" t="str">
        <f t="array" ref="AR250">IF($K250="",0,IFERROR(INDEX(CALC!$Z$2:$Z$33,MATCH($K250,CALC!$A$2:$A$33,0)),0))</f>
        <v/>
      </c>
      <c r="AS250" s="2" t="str">
        <f t="array" ref="AS250">IF($K250="",0,IFERROR(INDEX(CALC!$AJ$2:$AJ$33,MATCH($K250,CALC!$A$2:$A$33,0)),0))</f>
        <v/>
      </c>
      <c r="AT250" s="2" t="str">
        <f t="array" ref="AT250">IF($K250="",0,IFERROR(INDEX(CALC!$AI$2:$AI$33,MATCH($K250,CALC!$A$2:$A$33,0)),0))</f>
        <v/>
      </c>
      <c r="AU250" s="2">
        <f t="shared" si="11"/>
        <v>0</v>
      </c>
      <c r="AV250" s="2">
        <f t="shared" si="12"/>
        <v>0</v>
      </c>
    </row>
    <row r="251" ht="15.0" customHeight="1">
      <c r="A251" s="2">
        <v>125.0</v>
      </c>
      <c r="B251" s="2" t="s">
        <v>2365</v>
      </c>
      <c r="C251" s="2">
        <f>IFERROR(MATCH($A251,SchedSeq,0),"")</f>
        <v>410</v>
      </c>
      <c r="D251" s="2" t="str">
        <f t="array" ref="D251">IF($C251="","",INDEX(SchedZone,$C251,MAP!$B$6))</f>
        <v>2026_09_DAL_IND</v>
      </c>
      <c r="E251" s="2">
        <f t="array" ref="E251">IF($C251="","",INDEX(SchedZone,$C251,MAP!$B$3))</f>
        <v>2026</v>
      </c>
      <c r="F251" s="2" t="str">
        <f t="array" ref="F251">IF($C251="","",INDEX(SchedZone,$C251,MAP!$B$5))</f>
        <v>REG</v>
      </c>
      <c r="G251" s="2">
        <f t="array" ref="G251">IF($C251="","",INDEX(SchedZone,$C251,MAP!$B$4))</f>
        <v>9</v>
      </c>
      <c r="H251" s="2" t="str">
        <f t="array" ref="H251">IF($C251="","",INDEX(SchedZone,$C251,MAP!$B$12))</f>
        <v>IND</v>
      </c>
      <c r="I251" s="2" t="str">
        <f t="array" ref="I251">IF($H251="","",IF(COUNTIF(Teams,$H251)&gt;0,$H251,IFERROR(INDEX(LISTS!$D$2:$D$12,MATCH($H251,LISTS!$C$2:$C$12,0)),"⚠ "&amp;$H251)))</f>
        <v>IND</v>
      </c>
      <c r="J251" s="2" t="str">
        <f t="array" ref="J251">IF($C251="","",INDEX(SchedZone,$C251,MAP!$B$10))</f>
        <v>DAL</v>
      </c>
      <c r="K251" s="2" t="str">
        <f t="array" ref="K251">IF($J251="","",IF(COUNTIF(Teams,$J251)&gt;0,$J251,IFERROR(INDEX(LISTS!$D$2:$D$12,MATCH($J251,LISTS!$C$2:$C$12,0)),"⚠ "&amp;$J251)))</f>
        <v>DAL</v>
      </c>
      <c r="L251" s="2" t="str">
        <f t="array" ref="L251">IF($C251="","",IF(INDEX(SchedZone,$C251,MAP!$B$14)="Neutral","N",IF($B251="HOME","H","A")))</f>
        <v>H</v>
      </c>
      <c r="M251" s="2" t="str">
        <f t="array" ref="M251">IF($C251="","",IF(INDEX(SchedZone,$C251,MAP!$B$13)="","",INDEX(SchedZone,$C251,MAP!$B$13)))</f>
        <v/>
      </c>
      <c r="N251" s="2" t="str">
        <f t="array" ref="N251">IF($C251="","",IF(INDEX(SchedZone,$C251,MAP!$B$11)="","",INDEX(SchedZone,$C251,MAP!$B$11)))</f>
        <v/>
      </c>
      <c r="O251" s="2">
        <f t="array" ref="O251">IF($C251="","",INDEX(SchedZone,$C251,MAP!$B$16))</f>
        <v>7</v>
      </c>
      <c r="P251" s="2" t="str">
        <f>IF($C251="","",IFERROR(MATCH($E251&amp;"|"&amp;$G251&amp;"|"&amp;$I251,StatsKey,0),""))</f>
        <v/>
      </c>
      <c r="Q251" s="2">
        <f t="array" ref="Q251">IF($P251="",0,INDEX(StatsZone,$P251,MAP!$E$9)+INDEX(StatsZone,$P251,MAP!$E$10)+INDEX(StatsZone,$P251,MAP!$E$11))</f>
        <v>0</v>
      </c>
      <c r="R251" s="2">
        <f t="array" ref="R251">IF($P251="",0,INDEX(StatsZone,$P251,MAP!$E$12))</f>
        <v>0</v>
      </c>
      <c r="S251" s="2">
        <f t="array" ref="S251">IF($P251="",0,INDEX(StatsZone,$P251,MAP!$E$13))</f>
        <v>0</v>
      </c>
      <c r="T251" s="2">
        <f t="shared" si="1"/>
        <v>0</v>
      </c>
      <c r="U251" s="2">
        <f t="array" ref="U251">IF($P251="",0,INDEX(StatsZone,$P251,MAP!$E$14)+INDEX(StatsZone,$P251,MAP!$E$15)+INDEX(StatsZone,$P251,MAP!$E$16))</f>
        <v>0</v>
      </c>
      <c r="V251" s="2">
        <f t="shared" si="2"/>
        <v>0</v>
      </c>
      <c r="W251" s="2">
        <f t="shared" si="3"/>
        <v>0</v>
      </c>
      <c r="X251" s="2">
        <f t="shared" si="4"/>
        <v>0</v>
      </c>
      <c r="Y251" s="2">
        <f t="shared" si="5"/>
        <v>0</v>
      </c>
      <c r="Z251" s="2">
        <f t="shared" si="6"/>
        <v>0</v>
      </c>
      <c r="AA251" s="2">
        <f t="shared" si="7"/>
        <v>1</v>
      </c>
      <c r="AB251" s="2">
        <f>IF(OR($M251="",$N251=""),0,MEDIAN(-MarginCap,MarginCap,($M251-$N251)-$AA251*HFA_Base))</f>
        <v>0</v>
      </c>
      <c r="AC251" s="2">
        <f t="array" ref="AC251">IF(OR($P251="",INDEX($P$3:$P$722,(ROW()+IF(MOD(ROW()-3,2)=0,1,-1))-3+1)=""),0,MEDIAN(-MarginCap,MarginCap,($T251-$W251)-$AA251*HFA_Base))</f>
        <v>0</v>
      </c>
      <c r="AD251" s="2">
        <f t="shared" si="8"/>
        <v>0</v>
      </c>
      <c r="AE251" s="2">
        <f>IF(OR($M251="",$N251=""),0,IF(AND(WEpa&gt;0,$AD251=1),(1-WEpa)*$AB251+WEpa*$AC251,$AB251))</f>
        <v>0</v>
      </c>
      <c r="AF251" s="2">
        <f>IF(AND($C251&lt;&gt;"",$E251=CurrentSeason,$F251="REG",ISNUMBER($G251),$G251&lt;CurrentWeek,AND($M251&lt;&gt;"",$N251&lt;&gt;"")),1,0)</f>
        <v>0</v>
      </c>
      <c r="AG251" s="2">
        <f>IF($AF251=0,0,IF($G251&gt;=CurrentWeek-RecencyWin,RecencyMult,1))</f>
        <v>0</v>
      </c>
      <c r="AH251" s="2">
        <f>IF(AND($C251&lt;&gt;"",$E251=CurrentSeason,$F251="REG",ISNUMBER($G251),$G251&lt;CurrentWeek-1,AND($M251&lt;&gt;"",$N251&lt;&gt;"")),1,0)</f>
        <v>0</v>
      </c>
      <c r="AI251" s="2">
        <f>IF($AH251=0,0,IF($G251&gt;=CurrentWeek-1-RecencyWin,RecencyMult,1))</f>
        <v>0</v>
      </c>
      <c r="AJ251" s="2">
        <f>IF($AF251=0,0,IF($G251&gt;=CurrentWeek-RecencyWin,TotRecency,1))</f>
        <v>0</v>
      </c>
      <c r="AK251" s="2">
        <f t="shared" si="9"/>
        <v>0</v>
      </c>
      <c r="AL251" s="2">
        <f t="shared" si="10"/>
        <v>0</v>
      </c>
      <c r="AM251" s="2" t="str">
        <f t="array" ref="AM251">IF($K251="",0,IFERROR(INDEX(CALC!$F$2:$F$33,MATCH($K251,CALC!$A$2:$A$33,0)),0))</f>
        <v/>
      </c>
      <c r="AN251" s="2" t="str">
        <f t="array" ref="AN251">IF($K251="",0,IFERROR(INDEX(CALC!$I$2:$I$33,MATCH($K251,CALC!$A$2:$A$33,0)),0))</f>
        <v/>
      </c>
      <c r="AO251" s="2" t="str">
        <f t="array" ref="AO251">IF($K251="",0,IFERROR(INDEX(CALC!$L$2:$L$33,MATCH($K251,CALC!$A$2:$A$33,0)),0))</f>
        <v/>
      </c>
      <c r="AP251" s="2" t="str">
        <f t="array" ref="AP251">IF($K251="",0,IFERROR(INDEX(CALC!$T$2:$T$33,MATCH($K251,CALC!$A$2:$A$33,0)),0))</f>
        <v/>
      </c>
      <c r="AQ251" s="2" t="str">
        <f t="array" ref="AQ251">IF($K251="",0,IFERROR(INDEX(CALC!$W$2:$W$33,MATCH($K251,CALC!$A$2:$A$33,0)),0))</f>
        <v/>
      </c>
      <c r="AR251" s="2" t="str">
        <f t="array" ref="AR251">IF($K251="",0,IFERROR(INDEX(CALC!$Z$2:$Z$33,MATCH($K251,CALC!$A$2:$A$33,0)),0))</f>
        <v/>
      </c>
      <c r="AS251" s="2" t="str">
        <f t="array" ref="AS251">IF($K251="",0,IFERROR(INDEX(CALC!$AJ$2:$AJ$33,MATCH($K251,CALC!$A$2:$A$33,0)),0))</f>
        <v/>
      </c>
      <c r="AT251" s="2" t="str">
        <f t="array" ref="AT251">IF($K251="",0,IFERROR(INDEX(CALC!$AI$2:$AI$33,MATCH($K251,CALC!$A$2:$A$33,0)),0))</f>
        <v/>
      </c>
      <c r="AU251" s="2">
        <f t="shared" si="11"/>
        <v>0</v>
      </c>
      <c r="AV251" s="2">
        <f t="shared" si="12"/>
        <v>0</v>
      </c>
    </row>
    <row r="252" ht="15.0" customHeight="1">
      <c r="A252" s="2">
        <v>125.0</v>
      </c>
      <c r="B252" s="2" t="s">
        <v>2366</v>
      </c>
      <c r="C252" s="2">
        <f>IFERROR(MATCH($A252,SchedSeq,0),"")</f>
        <v>410</v>
      </c>
      <c r="D252" s="2" t="str">
        <f t="array" ref="D252">IF($C252="","",INDEX(SchedZone,$C252,MAP!$B$6))</f>
        <v>2026_09_DAL_IND</v>
      </c>
      <c r="E252" s="2">
        <f t="array" ref="E252">IF($C252="","",INDEX(SchedZone,$C252,MAP!$B$3))</f>
        <v>2026</v>
      </c>
      <c r="F252" s="2" t="str">
        <f t="array" ref="F252">IF($C252="","",INDEX(SchedZone,$C252,MAP!$B$5))</f>
        <v>REG</v>
      </c>
      <c r="G252" s="2">
        <f t="array" ref="G252">IF($C252="","",INDEX(SchedZone,$C252,MAP!$B$4))</f>
        <v>9</v>
      </c>
      <c r="H252" s="2" t="str">
        <f t="array" ref="H252">IF($C252="","",INDEX(SchedZone,$C252,MAP!$B$10))</f>
        <v>DAL</v>
      </c>
      <c r="I252" s="2" t="str">
        <f t="array" ref="I252">IF($H252="","",IF(COUNTIF(Teams,$H252)&gt;0,$H252,IFERROR(INDEX(LISTS!$D$2:$D$12,MATCH($H252,LISTS!$C$2:$C$12,0)),"⚠ "&amp;$H252)))</f>
        <v>DAL</v>
      </c>
      <c r="J252" s="2" t="str">
        <f t="array" ref="J252">IF($C252="","",INDEX(SchedZone,$C252,MAP!$B$12))</f>
        <v>IND</v>
      </c>
      <c r="K252" s="2" t="str">
        <f t="array" ref="K252">IF($J252="","",IF(COUNTIF(Teams,$J252)&gt;0,$J252,IFERROR(INDEX(LISTS!$D$2:$D$12,MATCH($J252,LISTS!$C$2:$C$12,0)),"⚠ "&amp;$J252)))</f>
        <v>IND</v>
      </c>
      <c r="L252" s="2" t="str">
        <f t="array" ref="L252">IF($C252="","",IF(INDEX(SchedZone,$C252,MAP!$B$14)="Neutral","N",IF($B252="HOME","H","A")))</f>
        <v>A</v>
      </c>
      <c r="M252" s="2" t="str">
        <f t="array" ref="M252">IF($C252="","",IF(INDEX(SchedZone,$C252,MAP!$B$11)="","",INDEX(SchedZone,$C252,MAP!$B$11)))</f>
        <v/>
      </c>
      <c r="N252" s="2" t="str">
        <f t="array" ref="N252">IF($C252="","",IF(INDEX(SchedZone,$C252,MAP!$B$13)="","",INDEX(SchedZone,$C252,MAP!$B$13)))</f>
        <v/>
      </c>
      <c r="O252" s="2">
        <f t="array" ref="O252">IF($C252="","",INDEX(SchedZone,$C252,MAP!$B$15))</f>
        <v>7</v>
      </c>
      <c r="P252" s="2" t="str">
        <f>IF($C252="","",IFERROR(MATCH($E252&amp;"|"&amp;$G252&amp;"|"&amp;$I252,StatsKey,0),""))</f>
        <v/>
      </c>
      <c r="Q252" s="2">
        <f t="array" ref="Q252">IF($P252="",0,INDEX(StatsZone,$P252,MAP!$E$9)+INDEX(StatsZone,$P252,MAP!$E$10)+INDEX(StatsZone,$P252,MAP!$E$11))</f>
        <v>0</v>
      </c>
      <c r="R252" s="2">
        <f t="array" ref="R252">IF($P252="",0,INDEX(StatsZone,$P252,MAP!$E$12))</f>
        <v>0</v>
      </c>
      <c r="S252" s="2">
        <f t="array" ref="S252">IF($P252="",0,INDEX(StatsZone,$P252,MAP!$E$13))</f>
        <v>0</v>
      </c>
      <c r="T252" s="2">
        <f t="shared" si="1"/>
        <v>0</v>
      </c>
      <c r="U252" s="2">
        <f t="array" ref="U252">IF($P252="",0,INDEX(StatsZone,$P252,MAP!$E$14)+INDEX(StatsZone,$P252,MAP!$E$15)+INDEX(StatsZone,$P252,MAP!$E$16))</f>
        <v>0</v>
      </c>
      <c r="V252" s="2">
        <f t="shared" si="2"/>
        <v>0</v>
      </c>
      <c r="W252" s="2">
        <f t="shared" si="3"/>
        <v>0</v>
      </c>
      <c r="X252" s="2">
        <f t="shared" si="4"/>
        <v>0</v>
      </c>
      <c r="Y252" s="2">
        <f t="shared" si="5"/>
        <v>0</v>
      </c>
      <c r="Z252" s="2">
        <f t="shared" si="6"/>
        <v>0</v>
      </c>
      <c r="AA252" s="2">
        <f t="shared" si="7"/>
        <v>-1</v>
      </c>
      <c r="AB252" s="2">
        <f>IF(OR($M252="",$N252=""),0,MEDIAN(-MarginCap,MarginCap,($M252-$N252)-$AA252*HFA_Base))</f>
        <v>0</v>
      </c>
      <c r="AC252" s="2">
        <f t="array" ref="AC252">IF(OR($P252="",INDEX($P$3:$P$722,(ROW()+IF(MOD(ROW()-3,2)=0,1,-1))-3+1)=""),0,MEDIAN(-MarginCap,MarginCap,($T252-$W252)-$AA252*HFA_Base))</f>
        <v>0</v>
      </c>
      <c r="AD252" s="2">
        <f t="shared" si="8"/>
        <v>0</v>
      </c>
      <c r="AE252" s="2">
        <f>IF(OR($M252="",$N252=""),0,IF(AND(WEpa&gt;0,$AD252=1),(1-WEpa)*$AB252+WEpa*$AC252,$AB252))</f>
        <v>0</v>
      </c>
      <c r="AF252" s="2">
        <f>IF(AND($C252&lt;&gt;"",$E252=CurrentSeason,$F252="REG",ISNUMBER($G252),$G252&lt;CurrentWeek,AND($M252&lt;&gt;"",$N252&lt;&gt;"")),1,0)</f>
        <v>0</v>
      </c>
      <c r="AG252" s="2">
        <f>IF($AF252=0,0,IF($G252&gt;=CurrentWeek-RecencyWin,RecencyMult,1))</f>
        <v>0</v>
      </c>
      <c r="AH252" s="2">
        <f>IF(AND($C252&lt;&gt;"",$E252=CurrentSeason,$F252="REG",ISNUMBER($G252),$G252&lt;CurrentWeek-1,AND($M252&lt;&gt;"",$N252&lt;&gt;"")),1,0)</f>
        <v>0</v>
      </c>
      <c r="AI252" s="2">
        <f>IF($AH252=0,0,IF($G252&gt;=CurrentWeek-1-RecencyWin,RecencyMult,1))</f>
        <v>0</v>
      </c>
      <c r="AJ252" s="2">
        <f>IF($AF252=0,0,IF($G252&gt;=CurrentWeek-RecencyWin,TotRecency,1))</f>
        <v>0</v>
      </c>
      <c r="AK252" s="2">
        <f t="shared" si="9"/>
        <v>0</v>
      </c>
      <c r="AL252" s="2">
        <f t="shared" si="10"/>
        <v>0</v>
      </c>
      <c r="AM252" s="2" t="str">
        <f t="array" ref="AM252">IF($K252="",0,IFERROR(INDEX(CALC!$F$2:$F$33,MATCH($K252,CALC!$A$2:$A$33,0)),0))</f>
        <v/>
      </c>
      <c r="AN252" s="2" t="str">
        <f t="array" ref="AN252">IF($K252="",0,IFERROR(INDEX(CALC!$I$2:$I$33,MATCH($K252,CALC!$A$2:$A$33,0)),0))</f>
        <v/>
      </c>
      <c r="AO252" s="2" t="str">
        <f t="array" ref="AO252">IF($K252="",0,IFERROR(INDEX(CALC!$L$2:$L$33,MATCH($K252,CALC!$A$2:$A$33,0)),0))</f>
        <v/>
      </c>
      <c r="AP252" s="2" t="str">
        <f t="array" ref="AP252">IF($K252="",0,IFERROR(INDEX(CALC!$T$2:$T$33,MATCH($K252,CALC!$A$2:$A$33,0)),0))</f>
        <v/>
      </c>
      <c r="AQ252" s="2" t="str">
        <f t="array" ref="AQ252">IF($K252="",0,IFERROR(INDEX(CALC!$W$2:$W$33,MATCH($K252,CALC!$A$2:$A$33,0)),0))</f>
        <v/>
      </c>
      <c r="AR252" s="2" t="str">
        <f t="array" ref="AR252">IF($K252="",0,IFERROR(INDEX(CALC!$Z$2:$Z$33,MATCH($K252,CALC!$A$2:$A$33,0)),0))</f>
        <v/>
      </c>
      <c r="AS252" s="2" t="str">
        <f t="array" ref="AS252">IF($K252="",0,IFERROR(INDEX(CALC!$AJ$2:$AJ$33,MATCH($K252,CALC!$A$2:$A$33,0)),0))</f>
        <v/>
      </c>
      <c r="AT252" s="2" t="str">
        <f t="array" ref="AT252">IF($K252="",0,IFERROR(INDEX(CALC!$AI$2:$AI$33,MATCH($K252,CALC!$A$2:$A$33,0)),0))</f>
        <v/>
      </c>
      <c r="AU252" s="2">
        <f t="shared" si="11"/>
        <v>0</v>
      </c>
      <c r="AV252" s="2">
        <f t="shared" si="12"/>
        <v>0</v>
      </c>
    </row>
    <row r="253" ht="15.0" customHeight="1">
      <c r="A253" s="2">
        <v>126.0</v>
      </c>
      <c r="B253" s="2" t="s">
        <v>2365</v>
      </c>
      <c r="C253" s="2">
        <f>IFERROR(MATCH($A253,SchedSeq,0),"")</f>
        <v>411</v>
      </c>
      <c r="D253" s="2" t="str">
        <f t="array" ref="D253">IF($C253="","",INDEX(SchedZone,$C253,MAP!$B$6))</f>
        <v>2026_09_NYJ_KC</v>
      </c>
      <c r="E253" s="2">
        <f t="array" ref="E253">IF($C253="","",INDEX(SchedZone,$C253,MAP!$B$3))</f>
        <v>2026</v>
      </c>
      <c r="F253" s="2" t="str">
        <f t="array" ref="F253">IF($C253="","",INDEX(SchedZone,$C253,MAP!$B$5))</f>
        <v>REG</v>
      </c>
      <c r="G253" s="2">
        <f t="array" ref="G253">IF($C253="","",INDEX(SchedZone,$C253,MAP!$B$4))</f>
        <v>9</v>
      </c>
      <c r="H253" s="2" t="str">
        <f t="array" ref="H253">IF($C253="","",INDEX(SchedZone,$C253,MAP!$B$12))</f>
        <v>KC</v>
      </c>
      <c r="I253" s="2" t="str">
        <f t="array" ref="I253">IF($H253="","",IF(COUNTIF(Teams,$H253)&gt;0,$H253,IFERROR(INDEX(LISTS!$D$2:$D$12,MATCH($H253,LISTS!$C$2:$C$12,0)),"⚠ "&amp;$H253)))</f>
        <v>KC</v>
      </c>
      <c r="J253" s="2" t="str">
        <f t="array" ref="J253">IF($C253="","",INDEX(SchedZone,$C253,MAP!$B$10))</f>
        <v>NYJ</v>
      </c>
      <c r="K253" s="2" t="str">
        <f t="array" ref="K253">IF($J253="","",IF(COUNTIF(Teams,$J253)&gt;0,$J253,IFERROR(INDEX(LISTS!$D$2:$D$12,MATCH($J253,LISTS!$C$2:$C$12,0)),"⚠ "&amp;$J253)))</f>
        <v>NYJ</v>
      </c>
      <c r="L253" s="2" t="str">
        <f t="array" ref="L253">IF($C253="","",IF(INDEX(SchedZone,$C253,MAP!$B$14)="Neutral","N",IF($B253="HOME","H","A")))</f>
        <v>H</v>
      </c>
      <c r="M253" s="2" t="str">
        <f t="array" ref="M253">IF($C253="","",IF(INDEX(SchedZone,$C253,MAP!$B$13)="","",INDEX(SchedZone,$C253,MAP!$B$13)))</f>
        <v/>
      </c>
      <c r="N253" s="2" t="str">
        <f t="array" ref="N253">IF($C253="","",IF(INDEX(SchedZone,$C253,MAP!$B$11)="","",INDEX(SchedZone,$C253,MAP!$B$11)))</f>
        <v/>
      </c>
      <c r="O253" s="2">
        <f t="array" ref="O253">IF($C253="","",INDEX(SchedZone,$C253,MAP!$B$16))</f>
        <v>7</v>
      </c>
      <c r="P253" s="2" t="str">
        <f>IF($C253="","",IFERROR(MATCH($E253&amp;"|"&amp;$G253&amp;"|"&amp;$I253,StatsKey,0),""))</f>
        <v/>
      </c>
      <c r="Q253" s="2">
        <f t="array" ref="Q253">IF($P253="",0,INDEX(StatsZone,$P253,MAP!$E$9)+INDEX(StatsZone,$P253,MAP!$E$10)+INDEX(StatsZone,$P253,MAP!$E$11))</f>
        <v>0</v>
      </c>
      <c r="R253" s="2">
        <f t="array" ref="R253">IF($P253="",0,INDEX(StatsZone,$P253,MAP!$E$12))</f>
        <v>0</v>
      </c>
      <c r="S253" s="2">
        <f t="array" ref="S253">IF($P253="",0,INDEX(StatsZone,$P253,MAP!$E$13))</f>
        <v>0</v>
      </c>
      <c r="T253" s="2">
        <f t="shared" si="1"/>
        <v>0</v>
      </c>
      <c r="U253" s="2">
        <f t="array" ref="U253">IF($P253="",0,INDEX(StatsZone,$P253,MAP!$E$14)+INDEX(StatsZone,$P253,MAP!$E$15)+INDEX(StatsZone,$P253,MAP!$E$16))</f>
        <v>0</v>
      </c>
      <c r="V253" s="2">
        <f t="shared" si="2"/>
        <v>0</v>
      </c>
      <c r="W253" s="2">
        <f t="shared" si="3"/>
        <v>0</v>
      </c>
      <c r="X253" s="2">
        <f t="shared" si="4"/>
        <v>0</v>
      </c>
      <c r="Y253" s="2">
        <f t="shared" si="5"/>
        <v>0</v>
      </c>
      <c r="Z253" s="2">
        <f t="shared" si="6"/>
        <v>0</v>
      </c>
      <c r="AA253" s="2">
        <f t="shared" si="7"/>
        <v>1</v>
      </c>
      <c r="AB253" s="2">
        <f>IF(OR($M253="",$N253=""),0,MEDIAN(-MarginCap,MarginCap,($M253-$N253)-$AA253*HFA_Base))</f>
        <v>0</v>
      </c>
      <c r="AC253" s="2">
        <f t="array" ref="AC253">IF(OR($P253="",INDEX($P$3:$P$722,(ROW()+IF(MOD(ROW()-3,2)=0,1,-1))-3+1)=""),0,MEDIAN(-MarginCap,MarginCap,($T253-$W253)-$AA253*HFA_Base))</f>
        <v>0</v>
      </c>
      <c r="AD253" s="2">
        <f t="shared" si="8"/>
        <v>0</v>
      </c>
      <c r="AE253" s="2">
        <f>IF(OR($M253="",$N253=""),0,IF(AND(WEpa&gt;0,$AD253=1),(1-WEpa)*$AB253+WEpa*$AC253,$AB253))</f>
        <v>0</v>
      </c>
      <c r="AF253" s="2">
        <f>IF(AND($C253&lt;&gt;"",$E253=CurrentSeason,$F253="REG",ISNUMBER($G253),$G253&lt;CurrentWeek,AND($M253&lt;&gt;"",$N253&lt;&gt;"")),1,0)</f>
        <v>0</v>
      </c>
      <c r="AG253" s="2">
        <f>IF($AF253=0,0,IF($G253&gt;=CurrentWeek-RecencyWin,RecencyMult,1))</f>
        <v>0</v>
      </c>
      <c r="AH253" s="2">
        <f>IF(AND($C253&lt;&gt;"",$E253=CurrentSeason,$F253="REG",ISNUMBER($G253),$G253&lt;CurrentWeek-1,AND($M253&lt;&gt;"",$N253&lt;&gt;"")),1,0)</f>
        <v>0</v>
      </c>
      <c r="AI253" s="2">
        <f>IF($AH253=0,0,IF($G253&gt;=CurrentWeek-1-RecencyWin,RecencyMult,1))</f>
        <v>0</v>
      </c>
      <c r="AJ253" s="2">
        <f>IF($AF253=0,0,IF($G253&gt;=CurrentWeek-RecencyWin,TotRecency,1))</f>
        <v>0</v>
      </c>
      <c r="AK253" s="2">
        <f t="shared" si="9"/>
        <v>0</v>
      </c>
      <c r="AL253" s="2">
        <f t="shared" si="10"/>
        <v>0</v>
      </c>
      <c r="AM253" s="2" t="str">
        <f t="array" ref="AM253">IF($K253="",0,IFERROR(INDEX(CALC!$F$2:$F$33,MATCH($K253,CALC!$A$2:$A$33,0)),0))</f>
        <v/>
      </c>
      <c r="AN253" s="2" t="str">
        <f t="array" ref="AN253">IF($K253="",0,IFERROR(INDEX(CALC!$I$2:$I$33,MATCH($K253,CALC!$A$2:$A$33,0)),0))</f>
        <v/>
      </c>
      <c r="AO253" s="2" t="str">
        <f t="array" ref="AO253">IF($K253="",0,IFERROR(INDEX(CALC!$L$2:$L$33,MATCH($K253,CALC!$A$2:$A$33,0)),0))</f>
        <v/>
      </c>
      <c r="AP253" s="2" t="str">
        <f t="array" ref="AP253">IF($K253="",0,IFERROR(INDEX(CALC!$T$2:$T$33,MATCH($K253,CALC!$A$2:$A$33,0)),0))</f>
        <v/>
      </c>
      <c r="AQ253" s="2" t="str">
        <f t="array" ref="AQ253">IF($K253="",0,IFERROR(INDEX(CALC!$W$2:$W$33,MATCH($K253,CALC!$A$2:$A$33,0)),0))</f>
        <v/>
      </c>
      <c r="AR253" s="2" t="str">
        <f t="array" ref="AR253">IF($K253="",0,IFERROR(INDEX(CALC!$Z$2:$Z$33,MATCH($K253,CALC!$A$2:$A$33,0)),0))</f>
        <v/>
      </c>
      <c r="AS253" s="2" t="str">
        <f t="array" ref="AS253">IF($K253="",0,IFERROR(INDEX(CALC!$AJ$2:$AJ$33,MATCH($K253,CALC!$A$2:$A$33,0)),0))</f>
        <v/>
      </c>
      <c r="AT253" s="2" t="str">
        <f t="array" ref="AT253">IF($K253="",0,IFERROR(INDEX(CALC!$AI$2:$AI$33,MATCH($K253,CALC!$A$2:$A$33,0)),0))</f>
        <v/>
      </c>
      <c r="AU253" s="2">
        <f t="shared" si="11"/>
        <v>0</v>
      </c>
      <c r="AV253" s="2">
        <f t="shared" si="12"/>
        <v>0</v>
      </c>
    </row>
    <row r="254" ht="15.0" customHeight="1">
      <c r="A254" s="2">
        <v>126.0</v>
      </c>
      <c r="B254" s="2" t="s">
        <v>2366</v>
      </c>
      <c r="C254" s="2">
        <f>IFERROR(MATCH($A254,SchedSeq,0),"")</f>
        <v>411</v>
      </c>
      <c r="D254" s="2" t="str">
        <f t="array" ref="D254">IF($C254="","",INDEX(SchedZone,$C254,MAP!$B$6))</f>
        <v>2026_09_NYJ_KC</v>
      </c>
      <c r="E254" s="2">
        <f t="array" ref="E254">IF($C254="","",INDEX(SchedZone,$C254,MAP!$B$3))</f>
        <v>2026</v>
      </c>
      <c r="F254" s="2" t="str">
        <f t="array" ref="F254">IF($C254="","",INDEX(SchedZone,$C254,MAP!$B$5))</f>
        <v>REG</v>
      </c>
      <c r="G254" s="2">
        <f t="array" ref="G254">IF($C254="","",INDEX(SchedZone,$C254,MAP!$B$4))</f>
        <v>9</v>
      </c>
      <c r="H254" s="2" t="str">
        <f t="array" ref="H254">IF($C254="","",INDEX(SchedZone,$C254,MAP!$B$10))</f>
        <v>NYJ</v>
      </c>
      <c r="I254" s="2" t="str">
        <f t="array" ref="I254">IF($H254="","",IF(COUNTIF(Teams,$H254)&gt;0,$H254,IFERROR(INDEX(LISTS!$D$2:$D$12,MATCH($H254,LISTS!$C$2:$C$12,0)),"⚠ "&amp;$H254)))</f>
        <v>NYJ</v>
      </c>
      <c r="J254" s="2" t="str">
        <f t="array" ref="J254">IF($C254="","",INDEX(SchedZone,$C254,MAP!$B$12))</f>
        <v>KC</v>
      </c>
      <c r="K254" s="2" t="str">
        <f t="array" ref="K254">IF($J254="","",IF(COUNTIF(Teams,$J254)&gt;0,$J254,IFERROR(INDEX(LISTS!$D$2:$D$12,MATCH($J254,LISTS!$C$2:$C$12,0)),"⚠ "&amp;$J254)))</f>
        <v>KC</v>
      </c>
      <c r="L254" s="2" t="str">
        <f t="array" ref="L254">IF($C254="","",IF(INDEX(SchedZone,$C254,MAP!$B$14)="Neutral","N",IF($B254="HOME","H","A")))</f>
        <v>A</v>
      </c>
      <c r="M254" s="2" t="str">
        <f t="array" ref="M254">IF($C254="","",IF(INDEX(SchedZone,$C254,MAP!$B$11)="","",INDEX(SchedZone,$C254,MAP!$B$11)))</f>
        <v/>
      </c>
      <c r="N254" s="2" t="str">
        <f t="array" ref="N254">IF($C254="","",IF(INDEX(SchedZone,$C254,MAP!$B$13)="","",INDEX(SchedZone,$C254,MAP!$B$13)))</f>
        <v/>
      </c>
      <c r="O254" s="2">
        <f t="array" ref="O254">IF($C254="","",INDEX(SchedZone,$C254,MAP!$B$15))</f>
        <v>7</v>
      </c>
      <c r="P254" s="2" t="str">
        <f>IF($C254="","",IFERROR(MATCH($E254&amp;"|"&amp;$G254&amp;"|"&amp;$I254,StatsKey,0),""))</f>
        <v/>
      </c>
      <c r="Q254" s="2">
        <f t="array" ref="Q254">IF($P254="",0,INDEX(StatsZone,$P254,MAP!$E$9)+INDEX(StatsZone,$P254,MAP!$E$10)+INDEX(StatsZone,$P254,MAP!$E$11))</f>
        <v>0</v>
      </c>
      <c r="R254" s="2">
        <f t="array" ref="R254">IF($P254="",0,INDEX(StatsZone,$P254,MAP!$E$12))</f>
        <v>0</v>
      </c>
      <c r="S254" s="2">
        <f t="array" ref="S254">IF($P254="",0,INDEX(StatsZone,$P254,MAP!$E$13))</f>
        <v>0</v>
      </c>
      <c r="T254" s="2">
        <f t="shared" si="1"/>
        <v>0</v>
      </c>
      <c r="U254" s="2">
        <f t="array" ref="U254">IF($P254="",0,INDEX(StatsZone,$P254,MAP!$E$14)+INDEX(StatsZone,$P254,MAP!$E$15)+INDEX(StatsZone,$P254,MAP!$E$16))</f>
        <v>0</v>
      </c>
      <c r="V254" s="2">
        <f t="shared" si="2"/>
        <v>0</v>
      </c>
      <c r="W254" s="2">
        <f t="shared" si="3"/>
        <v>0</v>
      </c>
      <c r="X254" s="2">
        <f t="shared" si="4"/>
        <v>0</v>
      </c>
      <c r="Y254" s="2">
        <f t="shared" si="5"/>
        <v>0</v>
      </c>
      <c r="Z254" s="2">
        <f t="shared" si="6"/>
        <v>0</v>
      </c>
      <c r="AA254" s="2">
        <f t="shared" si="7"/>
        <v>-1</v>
      </c>
      <c r="AB254" s="2">
        <f>IF(OR($M254="",$N254=""),0,MEDIAN(-MarginCap,MarginCap,($M254-$N254)-$AA254*HFA_Base))</f>
        <v>0</v>
      </c>
      <c r="AC254" s="2">
        <f t="array" ref="AC254">IF(OR($P254="",INDEX($P$3:$P$722,(ROW()+IF(MOD(ROW()-3,2)=0,1,-1))-3+1)=""),0,MEDIAN(-MarginCap,MarginCap,($T254-$W254)-$AA254*HFA_Base))</f>
        <v>0</v>
      </c>
      <c r="AD254" s="2">
        <f t="shared" si="8"/>
        <v>0</v>
      </c>
      <c r="AE254" s="2">
        <f>IF(OR($M254="",$N254=""),0,IF(AND(WEpa&gt;0,$AD254=1),(1-WEpa)*$AB254+WEpa*$AC254,$AB254))</f>
        <v>0</v>
      </c>
      <c r="AF254" s="2">
        <f>IF(AND($C254&lt;&gt;"",$E254=CurrentSeason,$F254="REG",ISNUMBER($G254),$G254&lt;CurrentWeek,AND($M254&lt;&gt;"",$N254&lt;&gt;"")),1,0)</f>
        <v>0</v>
      </c>
      <c r="AG254" s="2">
        <f>IF($AF254=0,0,IF($G254&gt;=CurrentWeek-RecencyWin,RecencyMult,1))</f>
        <v>0</v>
      </c>
      <c r="AH254" s="2">
        <f>IF(AND($C254&lt;&gt;"",$E254=CurrentSeason,$F254="REG",ISNUMBER($G254),$G254&lt;CurrentWeek-1,AND($M254&lt;&gt;"",$N254&lt;&gt;"")),1,0)</f>
        <v>0</v>
      </c>
      <c r="AI254" s="2">
        <f>IF($AH254=0,0,IF($G254&gt;=CurrentWeek-1-RecencyWin,RecencyMult,1))</f>
        <v>0</v>
      </c>
      <c r="AJ254" s="2">
        <f>IF($AF254=0,0,IF($G254&gt;=CurrentWeek-RecencyWin,TotRecency,1))</f>
        <v>0</v>
      </c>
      <c r="AK254" s="2">
        <f t="shared" si="9"/>
        <v>0</v>
      </c>
      <c r="AL254" s="2">
        <f t="shared" si="10"/>
        <v>0</v>
      </c>
      <c r="AM254" s="2" t="str">
        <f t="array" ref="AM254">IF($K254="",0,IFERROR(INDEX(CALC!$F$2:$F$33,MATCH($K254,CALC!$A$2:$A$33,0)),0))</f>
        <v/>
      </c>
      <c r="AN254" s="2" t="str">
        <f t="array" ref="AN254">IF($K254="",0,IFERROR(INDEX(CALC!$I$2:$I$33,MATCH($K254,CALC!$A$2:$A$33,0)),0))</f>
        <v/>
      </c>
      <c r="AO254" s="2" t="str">
        <f t="array" ref="AO254">IF($K254="",0,IFERROR(INDEX(CALC!$L$2:$L$33,MATCH($K254,CALC!$A$2:$A$33,0)),0))</f>
        <v/>
      </c>
      <c r="AP254" s="2" t="str">
        <f t="array" ref="AP254">IF($K254="",0,IFERROR(INDEX(CALC!$T$2:$T$33,MATCH($K254,CALC!$A$2:$A$33,0)),0))</f>
        <v/>
      </c>
      <c r="AQ254" s="2" t="str">
        <f t="array" ref="AQ254">IF($K254="",0,IFERROR(INDEX(CALC!$W$2:$W$33,MATCH($K254,CALC!$A$2:$A$33,0)),0))</f>
        <v/>
      </c>
      <c r="AR254" s="2" t="str">
        <f t="array" ref="AR254">IF($K254="",0,IFERROR(INDEX(CALC!$Z$2:$Z$33,MATCH($K254,CALC!$A$2:$A$33,0)),0))</f>
        <v/>
      </c>
      <c r="AS254" s="2" t="str">
        <f t="array" ref="AS254">IF($K254="",0,IFERROR(INDEX(CALC!$AJ$2:$AJ$33,MATCH($K254,CALC!$A$2:$A$33,0)),0))</f>
        <v/>
      </c>
      <c r="AT254" s="2" t="str">
        <f t="array" ref="AT254">IF($K254="",0,IFERROR(INDEX(CALC!$AI$2:$AI$33,MATCH($K254,CALC!$A$2:$A$33,0)),0))</f>
        <v/>
      </c>
      <c r="AU254" s="2">
        <f t="shared" si="11"/>
        <v>0</v>
      </c>
      <c r="AV254" s="2">
        <f t="shared" si="12"/>
        <v>0</v>
      </c>
    </row>
    <row r="255" ht="15.0" customHeight="1">
      <c r="A255" s="2">
        <v>127.0</v>
      </c>
      <c r="B255" s="2" t="s">
        <v>2365</v>
      </c>
      <c r="C255" s="2">
        <f>IFERROR(MATCH($A255,SchedSeq,0),"")</f>
        <v>412</v>
      </c>
      <c r="D255" s="2" t="str">
        <f t="array" ref="D255">IF($C255="","",INDEX(SchedZone,$C255,MAP!$B$6))</f>
        <v>2026_09_DET_MIA</v>
      </c>
      <c r="E255" s="2">
        <f t="array" ref="E255">IF($C255="","",INDEX(SchedZone,$C255,MAP!$B$3))</f>
        <v>2026</v>
      </c>
      <c r="F255" s="2" t="str">
        <f t="array" ref="F255">IF($C255="","",INDEX(SchedZone,$C255,MAP!$B$5))</f>
        <v>REG</v>
      </c>
      <c r="G255" s="2">
        <f t="array" ref="G255">IF($C255="","",INDEX(SchedZone,$C255,MAP!$B$4))</f>
        <v>9</v>
      </c>
      <c r="H255" s="2" t="str">
        <f t="array" ref="H255">IF($C255="","",INDEX(SchedZone,$C255,MAP!$B$12))</f>
        <v>MIA</v>
      </c>
      <c r="I255" s="2" t="str">
        <f t="array" ref="I255">IF($H255="","",IF(COUNTIF(Teams,$H255)&gt;0,$H255,IFERROR(INDEX(LISTS!$D$2:$D$12,MATCH($H255,LISTS!$C$2:$C$12,0)),"⚠ "&amp;$H255)))</f>
        <v>MIA</v>
      </c>
      <c r="J255" s="2" t="str">
        <f t="array" ref="J255">IF($C255="","",INDEX(SchedZone,$C255,MAP!$B$10))</f>
        <v>DET</v>
      </c>
      <c r="K255" s="2" t="str">
        <f t="array" ref="K255">IF($J255="","",IF(COUNTIF(Teams,$J255)&gt;0,$J255,IFERROR(INDEX(LISTS!$D$2:$D$12,MATCH($J255,LISTS!$C$2:$C$12,0)),"⚠ "&amp;$J255)))</f>
        <v>DET</v>
      </c>
      <c r="L255" s="2" t="str">
        <f t="array" ref="L255">IF($C255="","",IF(INDEX(SchedZone,$C255,MAP!$B$14)="Neutral","N",IF($B255="HOME","H","A")))</f>
        <v>H</v>
      </c>
      <c r="M255" s="2" t="str">
        <f t="array" ref="M255">IF($C255="","",IF(INDEX(SchedZone,$C255,MAP!$B$13)="","",INDEX(SchedZone,$C255,MAP!$B$13)))</f>
        <v/>
      </c>
      <c r="N255" s="2" t="str">
        <f t="array" ref="N255">IF($C255="","",IF(INDEX(SchedZone,$C255,MAP!$B$11)="","",INDEX(SchedZone,$C255,MAP!$B$11)))</f>
        <v/>
      </c>
      <c r="O255" s="2">
        <f t="array" ref="O255">IF($C255="","",INDEX(SchedZone,$C255,MAP!$B$16))</f>
        <v>7</v>
      </c>
      <c r="P255" s="2" t="str">
        <f>IF($C255="","",IFERROR(MATCH($E255&amp;"|"&amp;$G255&amp;"|"&amp;$I255,StatsKey,0),""))</f>
        <v/>
      </c>
      <c r="Q255" s="2">
        <f t="array" ref="Q255">IF($P255="",0,INDEX(StatsZone,$P255,MAP!$E$9)+INDEX(StatsZone,$P255,MAP!$E$10)+INDEX(StatsZone,$P255,MAP!$E$11))</f>
        <v>0</v>
      </c>
      <c r="R255" s="2">
        <f t="array" ref="R255">IF($P255="",0,INDEX(StatsZone,$P255,MAP!$E$12))</f>
        <v>0</v>
      </c>
      <c r="S255" s="2">
        <f t="array" ref="S255">IF($P255="",0,INDEX(StatsZone,$P255,MAP!$E$13))</f>
        <v>0</v>
      </c>
      <c r="T255" s="2">
        <f t="shared" si="1"/>
        <v>0</v>
      </c>
      <c r="U255" s="2">
        <f t="array" ref="U255">IF($P255="",0,INDEX(StatsZone,$P255,MAP!$E$14)+INDEX(StatsZone,$P255,MAP!$E$15)+INDEX(StatsZone,$P255,MAP!$E$16))</f>
        <v>0</v>
      </c>
      <c r="V255" s="2">
        <f t="shared" si="2"/>
        <v>0</v>
      </c>
      <c r="W255" s="2">
        <f t="shared" si="3"/>
        <v>0</v>
      </c>
      <c r="X255" s="2">
        <f t="shared" si="4"/>
        <v>0</v>
      </c>
      <c r="Y255" s="2">
        <f t="shared" si="5"/>
        <v>0</v>
      </c>
      <c r="Z255" s="2">
        <f t="shared" si="6"/>
        <v>0</v>
      </c>
      <c r="AA255" s="2">
        <f t="shared" si="7"/>
        <v>1</v>
      </c>
      <c r="AB255" s="2">
        <f>IF(OR($M255="",$N255=""),0,MEDIAN(-MarginCap,MarginCap,($M255-$N255)-$AA255*HFA_Base))</f>
        <v>0</v>
      </c>
      <c r="AC255" s="2">
        <f t="array" ref="AC255">IF(OR($P255="",INDEX($P$3:$P$722,(ROW()+IF(MOD(ROW()-3,2)=0,1,-1))-3+1)=""),0,MEDIAN(-MarginCap,MarginCap,($T255-$W255)-$AA255*HFA_Base))</f>
        <v>0</v>
      </c>
      <c r="AD255" s="2">
        <f t="shared" si="8"/>
        <v>0</v>
      </c>
      <c r="AE255" s="2">
        <f>IF(OR($M255="",$N255=""),0,IF(AND(WEpa&gt;0,$AD255=1),(1-WEpa)*$AB255+WEpa*$AC255,$AB255))</f>
        <v>0</v>
      </c>
      <c r="AF255" s="2">
        <f>IF(AND($C255&lt;&gt;"",$E255=CurrentSeason,$F255="REG",ISNUMBER($G255),$G255&lt;CurrentWeek,AND($M255&lt;&gt;"",$N255&lt;&gt;"")),1,0)</f>
        <v>0</v>
      </c>
      <c r="AG255" s="2">
        <f>IF($AF255=0,0,IF($G255&gt;=CurrentWeek-RecencyWin,RecencyMult,1))</f>
        <v>0</v>
      </c>
      <c r="AH255" s="2">
        <f>IF(AND($C255&lt;&gt;"",$E255=CurrentSeason,$F255="REG",ISNUMBER($G255),$G255&lt;CurrentWeek-1,AND($M255&lt;&gt;"",$N255&lt;&gt;"")),1,0)</f>
        <v>0</v>
      </c>
      <c r="AI255" s="2">
        <f>IF($AH255=0,0,IF($G255&gt;=CurrentWeek-1-RecencyWin,RecencyMult,1))</f>
        <v>0</v>
      </c>
      <c r="AJ255" s="2">
        <f>IF($AF255=0,0,IF($G255&gt;=CurrentWeek-RecencyWin,TotRecency,1))</f>
        <v>0</v>
      </c>
      <c r="AK255" s="2">
        <f t="shared" si="9"/>
        <v>0</v>
      </c>
      <c r="AL255" s="2">
        <f t="shared" si="10"/>
        <v>0</v>
      </c>
      <c r="AM255" s="2" t="str">
        <f t="array" ref="AM255">IF($K255="",0,IFERROR(INDEX(CALC!$F$2:$F$33,MATCH($K255,CALC!$A$2:$A$33,0)),0))</f>
        <v/>
      </c>
      <c r="AN255" s="2" t="str">
        <f t="array" ref="AN255">IF($K255="",0,IFERROR(INDEX(CALC!$I$2:$I$33,MATCH($K255,CALC!$A$2:$A$33,0)),0))</f>
        <v/>
      </c>
      <c r="AO255" s="2" t="str">
        <f t="array" ref="AO255">IF($K255="",0,IFERROR(INDEX(CALC!$L$2:$L$33,MATCH($K255,CALC!$A$2:$A$33,0)),0))</f>
        <v/>
      </c>
      <c r="AP255" s="2" t="str">
        <f t="array" ref="AP255">IF($K255="",0,IFERROR(INDEX(CALC!$T$2:$T$33,MATCH($K255,CALC!$A$2:$A$33,0)),0))</f>
        <v/>
      </c>
      <c r="AQ255" s="2" t="str">
        <f t="array" ref="AQ255">IF($K255="",0,IFERROR(INDEX(CALC!$W$2:$W$33,MATCH($K255,CALC!$A$2:$A$33,0)),0))</f>
        <v/>
      </c>
      <c r="AR255" s="2" t="str">
        <f t="array" ref="AR255">IF($K255="",0,IFERROR(INDEX(CALC!$Z$2:$Z$33,MATCH($K255,CALC!$A$2:$A$33,0)),0))</f>
        <v/>
      </c>
      <c r="AS255" s="2" t="str">
        <f t="array" ref="AS255">IF($K255="",0,IFERROR(INDEX(CALC!$AJ$2:$AJ$33,MATCH($K255,CALC!$A$2:$A$33,0)),0))</f>
        <v/>
      </c>
      <c r="AT255" s="2" t="str">
        <f t="array" ref="AT255">IF($K255="",0,IFERROR(INDEX(CALC!$AI$2:$AI$33,MATCH($K255,CALC!$A$2:$A$33,0)),0))</f>
        <v/>
      </c>
      <c r="AU255" s="2">
        <f t="shared" si="11"/>
        <v>0</v>
      </c>
      <c r="AV255" s="2">
        <f t="shared" si="12"/>
        <v>0</v>
      </c>
    </row>
    <row r="256" ht="15.0" customHeight="1">
      <c r="A256" s="2">
        <v>127.0</v>
      </c>
      <c r="B256" s="2" t="s">
        <v>2366</v>
      </c>
      <c r="C256" s="2">
        <f>IFERROR(MATCH($A256,SchedSeq,0),"")</f>
        <v>412</v>
      </c>
      <c r="D256" s="2" t="str">
        <f t="array" ref="D256">IF($C256="","",INDEX(SchedZone,$C256,MAP!$B$6))</f>
        <v>2026_09_DET_MIA</v>
      </c>
      <c r="E256" s="2">
        <f t="array" ref="E256">IF($C256="","",INDEX(SchedZone,$C256,MAP!$B$3))</f>
        <v>2026</v>
      </c>
      <c r="F256" s="2" t="str">
        <f t="array" ref="F256">IF($C256="","",INDEX(SchedZone,$C256,MAP!$B$5))</f>
        <v>REG</v>
      </c>
      <c r="G256" s="2">
        <f t="array" ref="G256">IF($C256="","",INDEX(SchedZone,$C256,MAP!$B$4))</f>
        <v>9</v>
      </c>
      <c r="H256" s="2" t="str">
        <f t="array" ref="H256">IF($C256="","",INDEX(SchedZone,$C256,MAP!$B$10))</f>
        <v>DET</v>
      </c>
      <c r="I256" s="2" t="str">
        <f t="array" ref="I256">IF($H256="","",IF(COUNTIF(Teams,$H256)&gt;0,$H256,IFERROR(INDEX(LISTS!$D$2:$D$12,MATCH($H256,LISTS!$C$2:$C$12,0)),"⚠ "&amp;$H256)))</f>
        <v>DET</v>
      </c>
      <c r="J256" s="2" t="str">
        <f t="array" ref="J256">IF($C256="","",INDEX(SchedZone,$C256,MAP!$B$12))</f>
        <v>MIA</v>
      </c>
      <c r="K256" s="2" t="str">
        <f t="array" ref="K256">IF($J256="","",IF(COUNTIF(Teams,$J256)&gt;0,$J256,IFERROR(INDEX(LISTS!$D$2:$D$12,MATCH($J256,LISTS!$C$2:$C$12,0)),"⚠ "&amp;$J256)))</f>
        <v>MIA</v>
      </c>
      <c r="L256" s="2" t="str">
        <f t="array" ref="L256">IF($C256="","",IF(INDEX(SchedZone,$C256,MAP!$B$14)="Neutral","N",IF($B256="HOME","H","A")))</f>
        <v>A</v>
      </c>
      <c r="M256" s="2" t="str">
        <f t="array" ref="M256">IF($C256="","",IF(INDEX(SchedZone,$C256,MAP!$B$11)="","",INDEX(SchedZone,$C256,MAP!$B$11)))</f>
        <v/>
      </c>
      <c r="N256" s="2" t="str">
        <f t="array" ref="N256">IF($C256="","",IF(INDEX(SchedZone,$C256,MAP!$B$13)="","",INDEX(SchedZone,$C256,MAP!$B$13)))</f>
        <v/>
      </c>
      <c r="O256" s="2">
        <f t="array" ref="O256">IF($C256="","",INDEX(SchedZone,$C256,MAP!$B$15))</f>
        <v>7</v>
      </c>
      <c r="P256" s="2" t="str">
        <f>IF($C256="","",IFERROR(MATCH($E256&amp;"|"&amp;$G256&amp;"|"&amp;$I256,StatsKey,0),""))</f>
        <v/>
      </c>
      <c r="Q256" s="2">
        <f t="array" ref="Q256">IF($P256="",0,INDEX(StatsZone,$P256,MAP!$E$9)+INDEX(StatsZone,$P256,MAP!$E$10)+INDEX(StatsZone,$P256,MAP!$E$11))</f>
        <v>0</v>
      </c>
      <c r="R256" s="2">
        <f t="array" ref="R256">IF($P256="",0,INDEX(StatsZone,$P256,MAP!$E$12))</f>
        <v>0</v>
      </c>
      <c r="S256" s="2">
        <f t="array" ref="S256">IF($P256="",0,INDEX(StatsZone,$P256,MAP!$E$13))</f>
        <v>0</v>
      </c>
      <c r="T256" s="2">
        <f t="shared" si="1"/>
        <v>0</v>
      </c>
      <c r="U256" s="2">
        <f t="array" ref="U256">IF($P256="",0,INDEX(StatsZone,$P256,MAP!$E$14)+INDEX(StatsZone,$P256,MAP!$E$15)+INDEX(StatsZone,$P256,MAP!$E$16))</f>
        <v>0</v>
      </c>
      <c r="V256" s="2">
        <f t="shared" si="2"/>
        <v>0</v>
      </c>
      <c r="W256" s="2">
        <f t="shared" si="3"/>
        <v>0</v>
      </c>
      <c r="X256" s="2">
        <f t="shared" si="4"/>
        <v>0</v>
      </c>
      <c r="Y256" s="2">
        <f t="shared" si="5"/>
        <v>0</v>
      </c>
      <c r="Z256" s="2">
        <f t="shared" si="6"/>
        <v>0</v>
      </c>
      <c r="AA256" s="2">
        <f t="shared" si="7"/>
        <v>-1</v>
      </c>
      <c r="AB256" s="2">
        <f>IF(OR($M256="",$N256=""),0,MEDIAN(-MarginCap,MarginCap,($M256-$N256)-$AA256*HFA_Base))</f>
        <v>0</v>
      </c>
      <c r="AC256" s="2">
        <f t="array" ref="AC256">IF(OR($P256="",INDEX($P$3:$P$722,(ROW()+IF(MOD(ROW()-3,2)=0,1,-1))-3+1)=""),0,MEDIAN(-MarginCap,MarginCap,($T256-$W256)-$AA256*HFA_Base))</f>
        <v>0</v>
      </c>
      <c r="AD256" s="2">
        <f t="shared" si="8"/>
        <v>0</v>
      </c>
      <c r="AE256" s="2">
        <f>IF(OR($M256="",$N256=""),0,IF(AND(WEpa&gt;0,$AD256=1),(1-WEpa)*$AB256+WEpa*$AC256,$AB256))</f>
        <v>0</v>
      </c>
      <c r="AF256" s="2">
        <f>IF(AND($C256&lt;&gt;"",$E256=CurrentSeason,$F256="REG",ISNUMBER($G256),$G256&lt;CurrentWeek,AND($M256&lt;&gt;"",$N256&lt;&gt;"")),1,0)</f>
        <v>0</v>
      </c>
      <c r="AG256" s="2">
        <f>IF($AF256=0,0,IF($G256&gt;=CurrentWeek-RecencyWin,RecencyMult,1))</f>
        <v>0</v>
      </c>
      <c r="AH256" s="2">
        <f>IF(AND($C256&lt;&gt;"",$E256=CurrentSeason,$F256="REG",ISNUMBER($G256),$G256&lt;CurrentWeek-1,AND($M256&lt;&gt;"",$N256&lt;&gt;"")),1,0)</f>
        <v>0</v>
      </c>
      <c r="AI256" s="2">
        <f>IF($AH256=0,0,IF($G256&gt;=CurrentWeek-1-RecencyWin,RecencyMult,1))</f>
        <v>0</v>
      </c>
      <c r="AJ256" s="2">
        <f>IF($AF256=0,0,IF($G256&gt;=CurrentWeek-RecencyWin,TotRecency,1))</f>
        <v>0</v>
      </c>
      <c r="AK256" s="2">
        <f t="shared" si="9"/>
        <v>0</v>
      </c>
      <c r="AL256" s="2">
        <f t="shared" si="10"/>
        <v>0</v>
      </c>
      <c r="AM256" s="2" t="str">
        <f t="array" ref="AM256">IF($K256="",0,IFERROR(INDEX(CALC!$F$2:$F$33,MATCH($K256,CALC!$A$2:$A$33,0)),0))</f>
        <v/>
      </c>
      <c r="AN256" s="2" t="str">
        <f t="array" ref="AN256">IF($K256="",0,IFERROR(INDEX(CALC!$I$2:$I$33,MATCH($K256,CALC!$A$2:$A$33,0)),0))</f>
        <v/>
      </c>
      <c r="AO256" s="2" t="str">
        <f t="array" ref="AO256">IF($K256="",0,IFERROR(INDEX(CALC!$L$2:$L$33,MATCH($K256,CALC!$A$2:$A$33,0)),0))</f>
        <v/>
      </c>
      <c r="AP256" s="2" t="str">
        <f t="array" ref="AP256">IF($K256="",0,IFERROR(INDEX(CALC!$T$2:$T$33,MATCH($K256,CALC!$A$2:$A$33,0)),0))</f>
        <v/>
      </c>
      <c r="AQ256" s="2" t="str">
        <f t="array" ref="AQ256">IF($K256="",0,IFERROR(INDEX(CALC!$W$2:$W$33,MATCH($K256,CALC!$A$2:$A$33,0)),0))</f>
        <v/>
      </c>
      <c r="AR256" s="2" t="str">
        <f t="array" ref="AR256">IF($K256="",0,IFERROR(INDEX(CALC!$Z$2:$Z$33,MATCH($K256,CALC!$A$2:$A$33,0)),0))</f>
        <v/>
      </c>
      <c r="AS256" s="2" t="str">
        <f t="array" ref="AS256">IF($K256="",0,IFERROR(INDEX(CALC!$AJ$2:$AJ$33,MATCH($K256,CALC!$A$2:$A$33,0)),0))</f>
        <v/>
      </c>
      <c r="AT256" s="2" t="str">
        <f t="array" ref="AT256">IF($K256="",0,IFERROR(INDEX(CALC!$AI$2:$AI$33,MATCH($K256,CALC!$A$2:$A$33,0)),0))</f>
        <v/>
      </c>
      <c r="AU256" s="2">
        <f t="shared" si="11"/>
        <v>0</v>
      </c>
      <c r="AV256" s="2">
        <f t="shared" si="12"/>
        <v>0</v>
      </c>
    </row>
    <row r="257" ht="15.0" customHeight="1">
      <c r="A257" s="2">
        <v>128.0</v>
      </c>
      <c r="B257" s="2" t="s">
        <v>2365</v>
      </c>
      <c r="C257" s="2">
        <f>IFERROR(MATCH($A257,SchedSeq,0),"")</f>
        <v>413</v>
      </c>
      <c r="D257" s="2" t="str">
        <f t="array" ref="D257">IF($C257="","",INDEX(SchedZone,$C257,MAP!$B$6))</f>
        <v>2026_09_CLE_NO</v>
      </c>
      <c r="E257" s="2">
        <f t="array" ref="E257">IF($C257="","",INDEX(SchedZone,$C257,MAP!$B$3))</f>
        <v>2026</v>
      </c>
      <c r="F257" s="2" t="str">
        <f t="array" ref="F257">IF($C257="","",INDEX(SchedZone,$C257,MAP!$B$5))</f>
        <v>REG</v>
      </c>
      <c r="G257" s="2">
        <f t="array" ref="G257">IF($C257="","",INDEX(SchedZone,$C257,MAP!$B$4))</f>
        <v>9</v>
      </c>
      <c r="H257" s="2" t="str">
        <f t="array" ref="H257">IF($C257="","",INDEX(SchedZone,$C257,MAP!$B$12))</f>
        <v>NO</v>
      </c>
      <c r="I257" s="2" t="str">
        <f t="array" ref="I257">IF($H257="","",IF(COUNTIF(Teams,$H257)&gt;0,$H257,IFERROR(INDEX(LISTS!$D$2:$D$12,MATCH($H257,LISTS!$C$2:$C$12,0)),"⚠ "&amp;$H257)))</f>
        <v>NO</v>
      </c>
      <c r="J257" s="2" t="str">
        <f t="array" ref="J257">IF($C257="","",INDEX(SchedZone,$C257,MAP!$B$10))</f>
        <v>CLE</v>
      </c>
      <c r="K257" s="2" t="str">
        <f t="array" ref="K257">IF($J257="","",IF(COUNTIF(Teams,$J257)&gt;0,$J257,IFERROR(INDEX(LISTS!$D$2:$D$12,MATCH($J257,LISTS!$C$2:$C$12,0)),"⚠ "&amp;$J257)))</f>
        <v>CLE</v>
      </c>
      <c r="L257" s="2" t="str">
        <f t="array" ref="L257">IF($C257="","",IF(INDEX(SchedZone,$C257,MAP!$B$14)="Neutral","N",IF($B257="HOME","H","A")))</f>
        <v>H</v>
      </c>
      <c r="M257" s="2" t="str">
        <f t="array" ref="M257">IF($C257="","",IF(INDEX(SchedZone,$C257,MAP!$B$13)="","",INDEX(SchedZone,$C257,MAP!$B$13)))</f>
        <v/>
      </c>
      <c r="N257" s="2" t="str">
        <f t="array" ref="N257">IF($C257="","",IF(INDEX(SchedZone,$C257,MAP!$B$11)="","",INDEX(SchedZone,$C257,MAP!$B$11)))</f>
        <v/>
      </c>
      <c r="O257" s="2">
        <f t="array" ref="O257">IF($C257="","",INDEX(SchedZone,$C257,MAP!$B$16))</f>
        <v>14</v>
      </c>
      <c r="P257" s="2" t="str">
        <f>IF($C257="","",IFERROR(MATCH($E257&amp;"|"&amp;$G257&amp;"|"&amp;$I257,StatsKey,0),""))</f>
        <v/>
      </c>
      <c r="Q257" s="2">
        <f t="array" ref="Q257">IF($P257="",0,INDEX(StatsZone,$P257,MAP!$E$9)+INDEX(StatsZone,$P257,MAP!$E$10)+INDEX(StatsZone,$P257,MAP!$E$11))</f>
        <v>0</v>
      </c>
      <c r="R257" s="2">
        <f t="array" ref="R257">IF($P257="",0,INDEX(StatsZone,$P257,MAP!$E$12))</f>
        <v>0</v>
      </c>
      <c r="S257" s="2">
        <f t="array" ref="S257">IF($P257="",0,INDEX(StatsZone,$P257,MAP!$E$13))</f>
        <v>0</v>
      </c>
      <c r="T257" s="2">
        <f t="shared" si="1"/>
        <v>0</v>
      </c>
      <c r="U257" s="2">
        <f t="array" ref="U257">IF($P257="",0,INDEX(StatsZone,$P257,MAP!$E$14)+INDEX(StatsZone,$P257,MAP!$E$15)+INDEX(StatsZone,$P257,MAP!$E$16))</f>
        <v>0</v>
      </c>
      <c r="V257" s="2">
        <f t="shared" si="2"/>
        <v>0</v>
      </c>
      <c r="W257" s="2">
        <f t="shared" si="3"/>
        <v>0</v>
      </c>
      <c r="X257" s="2">
        <f t="shared" si="4"/>
        <v>0</v>
      </c>
      <c r="Y257" s="2">
        <f t="shared" si="5"/>
        <v>0</v>
      </c>
      <c r="Z257" s="2">
        <f t="shared" si="6"/>
        <v>0</v>
      </c>
      <c r="AA257" s="2">
        <f t="shared" si="7"/>
        <v>1</v>
      </c>
      <c r="AB257" s="2">
        <f>IF(OR($M257="",$N257=""),0,MEDIAN(-MarginCap,MarginCap,($M257-$N257)-$AA257*HFA_Base))</f>
        <v>0</v>
      </c>
      <c r="AC257" s="2">
        <f t="array" ref="AC257">IF(OR($P257="",INDEX($P$3:$P$722,(ROW()+IF(MOD(ROW()-3,2)=0,1,-1))-3+1)=""),0,MEDIAN(-MarginCap,MarginCap,($T257-$W257)-$AA257*HFA_Base))</f>
        <v>0</v>
      </c>
      <c r="AD257" s="2">
        <f t="shared" si="8"/>
        <v>0</v>
      </c>
      <c r="AE257" s="2">
        <f>IF(OR($M257="",$N257=""),0,IF(AND(WEpa&gt;0,$AD257=1),(1-WEpa)*$AB257+WEpa*$AC257,$AB257))</f>
        <v>0</v>
      </c>
      <c r="AF257" s="2">
        <f>IF(AND($C257&lt;&gt;"",$E257=CurrentSeason,$F257="REG",ISNUMBER($G257),$G257&lt;CurrentWeek,AND($M257&lt;&gt;"",$N257&lt;&gt;"")),1,0)</f>
        <v>0</v>
      </c>
      <c r="AG257" s="2">
        <f>IF($AF257=0,0,IF($G257&gt;=CurrentWeek-RecencyWin,RecencyMult,1))</f>
        <v>0</v>
      </c>
      <c r="AH257" s="2">
        <f>IF(AND($C257&lt;&gt;"",$E257=CurrentSeason,$F257="REG",ISNUMBER($G257),$G257&lt;CurrentWeek-1,AND($M257&lt;&gt;"",$N257&lt;&gt;"")),1,0)</f>
        <v>0</v>
      </c>
      <c r="AI257" s="2">
        <f>IF($AH257=0,0,IF($G257&gt;=CurrentWeek-1-RecencyWin,RecencyMult,1))</f>
        <v>0</v>
      </c>
      <c r="AJ257" s="2">
        <f>IF($AF257=0,0,IF($G257&gt;=CurrentWeek-RecencyWin,TotRecency,1))</f>
        <v>0</v>
      </c>
      <c r="AK257" s="2">
        <f t="shared" si="9"/>
        <v>0</v>
      </c>
      <c r="AL257" s="2">
        <f t="shared" si="10"/>
        <v>0</v>
      </c>
      <c r="AM257" s="2" t="str">
        <f t="array" ref="AM257">IF($K257="",0,IFERROR(INDEX(CALC!$F$2:$F$33,MATCH($K257,CALC!$A$2:$A$33,0)),0))</f>
        <v/>
      </c>
      <c r="AN257" s="2" t="str">
        <f t="array" ref="AN257">IF($K257="",0,IFERROR(INDEX(CALC!$I$2:$I$33,MATCH($K257,CALC!$A$2:$A$33,0)),0))</f>
        <v/>
      </c>
      <c r="AO257" s="2" t="str">
        <f t="array" ref="AO257">IF($K257="",0,IFERROR(INDEX(CALC!$L$2:$L$33,MATCH($K257,CALC!$A$2:$A$33,0)),0))</f>
        <v/>
      </c>
      <c r="AP257" s="2" t="str">
        <f t="array" ref="AP257">IF($K257="",0,IFERROR(INDEX(CALC!$T$2:$T$33,MATCH($K257,CALC!$A$2:$A$33,0)),0))</f>
        <v/>
      </c>
      <c r="AQ257" s="2" t="str">
        <f t="array" ref="AQ257">IF($K257="",0,IFERROR(INDEX(CALC!$W$2:$W$33,MATCH($K257,CALC!$A$2:$A$33,0)),0))</f>
        <v/>
      </c>
      <c r="AR257" s="2" t="str">
        <f t="array" ref="AR257">IF($K257="",0,IFERROR(INDEX(CALC!$Z$2:$Z$33,MATCH($K257,CALC!$A$2:$A$33,0)),0))</f>
        <v/>
      </c>
      <c r="AS257" s="2" t="str">
        <f t="array" ref="AS257">IF($K257="",0,IFERROR(INDEX(CALC!$AJ$2:$AJ$33,MATCH($K257,CALC!$A$2:$A$33,0)),0))</f>
        <v/>
      </c>
      <c r="AT257" s="2" t="str">
        <f t="array" ref="AT257">IF($K257="",0,IFERROR(INDEX(CALC!$AI$2:$AI$33,MATCH($K257,CALC!$A$2:$A$33,0)),0))</f>
        <v/>
      </c>
      <c r="AU257" s="2">
        <f t="shared" si="11"/>
        <v>0</v>
      </c>
      <c r="AV257" s="2">
        <f t="shared" si="12"/>
        <v>0</v>
      </c>
    </row>
    <row r="258" ht="15.0" customHeight="1">
      <c r="A258" s="2">
        <v>128.0</v>
      </c>
      <c r="B258" s="2" t="s">
        <v>2366</v>
      </c>
      <c r="C258" s="2">
        <f>IFERROR(MATCH($A258,SchedSeq,0),"")</f>
        <v>413</v>
      </c>
      <c r="D258" s="2" t="str">
        <f t="array" ref="D258">IF($C258="","",INDEX(SchedZone,$C258,MAP!$B$6))</f>
        <v>2026_09_CLE_NO</v>
      </c>
      <c r="E258" s="2">
        <f t="array" ref="E258">IF($C258="","",INDEX(SchedZone,$C258,MAP!$B$3))</f>
        <v>2026</v>
      </c>
      <c r="F258" s="2" t="str">
        <f t="array" ref="F258">IF($C258="","",INDEX(SchedZone,$C258,MAP!$B$5))</f>
        <v>REG</v>
      </c>
      <c r="G258" s="2">
        <f t="array" ref="G258">IF($C258="","",INDEX(SchedZone,$C258,MAP!$B$4))</f>
        <v>9</v>
      </c>
      <c r="H258" s="2" t="str">
        <f t="array" ref="H258">IF($C258="","",INDEX(SchedZone,$C258,MAP!$B$10))</f>
        <v>CLE</v>
      </c>
      <c r="I258" s="2" t="str">
        <f t="array" ref="I258">IF($H258="","",IF(COUNTIF(Teams,$H258)&gt;0,$H258,IFERROR(INDEX(LISTS!$D$2:$D$12,MATCH($H258,LISTS!$C$2:$C$12,0)),"⚠ "&amp;$H258)))</f>
        <v>CLE</v>
      </c>
      <c r="J258" s="2" t="str">
        <f t="array" ref="J258">IF($C258="","",INDEX(SchedZone,$C258,MAP!$B$12))</f>
        <v>NO</v>
      </c>
      <c r="K258" s="2" t="str">
        <f t="array" ref="K258">IF($J258="","",IF(COUNTIF(Teams,$J258)&gt;0,$J258,IFERROR(INDEX(LISTS!$D$2:$D$12,MATCH($J258,LISTS!$C$2:$C$12,0)),"⚠ "&amp;$J258)))</f>
        <v>NO</v>
      </c>
      <c r="L258" s="2" t="str">
        <f t="array" ref="L258">IF($C258="","",IF(INDEX(SchedZone,$C258,MAP!$B$14)="Neutral","N",IF($B258="HOME","H","A")))</f>
        <v>A</v>
      </c>
      <c r="M258" s="2" t="str">
        <f t="array" ref="M258">IF($C258="","",IF(INDEX(SchedZone,$C258,MAP!$B$11)="","",INDEX(SchedZone,$C258,MAP!$B$11)))</f>
        <v/>
      </c>
      <c r="N258" s="2" t="str">
        <f t="array" ref="N258">IF($C258="","",IF(INDEX(SchedZone,$C258,MAP!$B$13)="","",INDEX(SchedZone,$C258,MAP!$B$13)))</f>
        <v/>
      </c>
      <c r="O258" s="2">
        <f t="array" ref="O258">IF($C258="","",INDEX(SchedZone,$C258,MAP!$B$15))</f>
        <v>7</v>
      </c>
      <c r="P258" s="2" t="str">
        <f>IF($C258="","",IFERROR(MATCH($E258&amp;"|"&amp;$G258&amp;"|"&amp;$I258,StatsKey,0),""))</f>
        <v/>
      </c>
      <c r="Q258" s="2">
        <f t="array" ref="Q258">IF($P258="",0,INDEX(StatsZone,$P258,MAP!$E$9)+INDEX(StatsZone,$P258,MAP!$E$10)+INDEX(StatsZone,$P258,MAP!$E$11))</f>
        <v>0</v>
      </c>
      <c r="R258" s="2">
        <f t="array" ref="R258">IF($P258="",0,INDEX(StatsZone,$P258,MAP!$E$12))</f>
        <v>0</v>
      </c>
      <c r="S258" s="2">
        <f t="array" ref="S258">IF($P258="",0,INDEX(StatsZone,$P258,MAP!$E$13))</f>
        <v>0</v>
      </c>
      <c r="T258" s="2">
        <f t="shared" si="1"/>
        <v>0</v>
      </c>
      <c r="U258" s="2">
        <f t="array" ref="U258">IF($P258="",0,INDEX(StatsZone,$P258,MAP!$E$14)+INDEX(StatsZone,$P258,MAP!$E$15)+INDEX(StatsZone,$P258,MAP!$E$16))</f>
        <v>0</v>
      </c>
      <c r="V258" s="2">
        <f t="shared" si="2"/>
        <v>0</v>
      </c>
      <c r="W258" s="2">
        <f t="shared" si="3"/>
        <v>0</v>
      </c>
      <c r="X258" s="2">
        <f t="shared" si="4"/>
        <v>0</v>
      </c>
      <c r="Y258" s="2">
        <f t="shared" si="5"/>
        <v>0</v>
      </c>
      <c r="Z258" s="2">
        <f t="shared" si="6"/>
        <v>0</v>
      </c>
      <c r="AA258" s="2">
        <f t="shared" si="7"/>
        <v>-1</v>
      </c>
      <c r="AB258" s="2">
        <f>IF(OR($M258="",$N258=""),0,MEDIAN(-MarginCap,MarginCap,($M258-$N258)-$AA258*HFA_Base))</f>
        <v>0</v>
      </c>
      <c r="AC258" s="2">
        <f t="array" ref="AC258">IF(OR($P258="",INDEX($P$3:$P$722,(ROW()+IF(MOD(ROW()-3,2)=0,1,-1))-3+1)=""),0,MEDIAN(-MarginCap,MarginCap,($T258-$W258)-$AA258*HFA_Base))</f>
        <v>0</v>
      </c>
      <c r="AD258" s="2">
        <f t="shared" si="8"/>
        <v>0</v>
      </c>
      <c r="AE258" s="2">
        <f>IF(OR($M258="",$N258=""),0,IF(AND(WEpa&gt;0,$AD258=1),(1-WEpa)*$AB258+WEpa*$AC258,$AB258))</f>
        <v>0</v>
      </c>
      <c r="AF258" s="2">
        <f>IF(AND($C258&lt;&gt;"",$E258=CurrentSeason,$F258="REG",ISNUMBER($G258),$G258&lt;CurrentWeek,AND($M258&lt;&gt;"",$N258&lt;&gt;"")),1,0)</f>
        <v>0</v>
      </c>
      <c r="AG258" s="2">
        <f>IF($AF258=0,0,IF($G258&gt;=CurrentWeek-RecencyWin,RecencyMult,1))</f>
        <v>0</v>
      </c>
      <c r="AH258" s="2">
        <f>IF(AND($C258&lt;&gt;"",$E258=CurrentSeason,$F258="REG",ISNUMBER($G258),$G258&lt;CurrentWeek-1,AND($M258&lt;&gt;"",$N258&lt;&gt;"")),1,0)</f>
        <v>0</v>
      </c>
      <c r="AI258" s="2">
        <f>IF($AH258=0,0,IF($G258&gt;=CurrentWeek-1-RecencyWin,RecencyMult,1))</f>
        <v>0</v>
      </c>
      <c r="AJ258" s="2">
        <f>IF($AF258=0,0,IF($G258&gt;=CurrentWeek-RecencyWin,TotRecency,1))</f>
        <v>0</v>
      </c>
      <c r="AK258" s="2">
        <f t="shared" si="9"/>
        <v>0</v>
      </c>
      <c r="AL258" s="2">
        <f t="shared" si="10"/>
        <v>0</v>
      </c>
      <c r="AM258" s="2" t="str">
        <f t="array" ref="AM258">IF($K258="",0,IFERROR(INDEX(CALC!$F$2:$F$33,MATCH($K258,CALC!$A$2:$A$33,0)),0))</f>
        <v/>
      </c>
      <c r="AN258" s="2" t="str">
        <f t="array" ref="AN258">IF($K258="",0,IFERROR(INDEX(CALC!$I$2:$I$33,MATCH($K258,CALC!$A$2:$A$33,0)),0))</f>
        <v/>
      </c>
      <c r="AO258" s="2" t="str">
        <f t="array" ref="AO258">IF($K258="",0,IFERROR(INDEX(CALC!$L$2:$L$33,MATCH($K258,CALC!$A$2:$A$33,0)),0))</f>
        <v/>
      </c>
      <c r="AP258" s="2" t="str">
        <f t="array" ref="AP258">IF($K258="",0,IFERROR(INDEX(CALC!$T$2:$T$33,MATCH($K258,CALC!$A$2:$A$33,0)),0))</f>
        <v/>
      </c>
      <c r="AQ258" s="2" t="str">
        <f t="array" ref="AQ258">IF($K258="",0,IFERROR(INDEX(CALC!$W$2:$W$33,MATCH($K258,CALC!$A$2:$A$33,0)),0))</f>
        <v/>
      </c>
      <c r="AR258" s="2" t="str">
        <f t="array" ref="AR258">IF($K258="",0,IFERROR(INDEX(CALC!$Z$2:$Z$33,MATCH($K258,CALC!$A$2:$A$33,0)),0))</f>
        <v/>
      </c>
      <c r="AS258" s="2" t="str">
        <f t="array" ref="AS258">IF($K258="",0,IFERROR(INDEX(CALC!$AJ$2:$AJ$33,MATCH($K258,CALC!$A$2:$A$33,0)),0))</f>
        <v/>
      </c>
      <c r="AT258" s="2" t="str">
        <f t="array" ref="AT258">IF($K258="",0,IFERROR(INDEX(CALC!$AI$2:$AI$33,MATCH($K258,CALC!$A$2:$A$33,0)),0))</f>
        <v/>
      </c>
      <c r="AU258" s="2">
        <f t="shared" si="11"/>
        <v>0</v>
      </c>
      <c r="AV258" s="2">
        <f t="shared" si="12"/>
        <v>0</v>
      </c>
    </row>
    <row r="259" ht="15.0" customHeight="1">
      <c r="A259" s="2">
        <v>129.0</v>
      </c>
      <c r="B259" s="2" t="s">
        <v>2365</v>
      </c>
      <c r="C259" s="2">
        <f>IFERROR(MATCH($A259,SchedSeq,0),"")</f>
        <v>414</v>
      </c>
      <c r="D259" s="2" t="str">
        <f t="array" ref="D259">IF($C259="","",INDEX(SchedZone,$C259,MAP!$B$6))</f>
        <v>2026_09_NYG_PHI</v>
      </c>
      <c r="E259" s="2">
        <f t="array" ref="E259">IF($C259="","",INDEX(SchedZone,$C259,MAP!$B$3))</f>
        <v>2026</v>
      </c>
      <c r="F259" s="2" t="str">
        <f t="array" ref="F259">IF($C259="","",INDEX(SchedZone,$C259,MAP!$B$5))</f>
        <v>REG</v>
      </c>
      <c r="G259" s="2">
        <f t="array" ref="G259">IF($C259="","",INDEX(SchedZone,$C259,MAP!$B$4))</f>
        <v>9</v>
      </c>
      <c r="H259" s="2" t="str">
        <f t="array" ref="H259">IF($C259="","",INDEX(SchedZone,$C259,MAP!$B$12))</f>
        <v>PHI</v>
      </c>
      <c r="I259" s="2" t="str">
        <f t="array" ref="I259">IF($H259="","",IF(COUNTIF(Teams,$H259)&gt;0,$H259,IFERROR(INDEX(LISTS!$D$2:$D$12,MATCH($H259,LISTS!$C$2:$C$12,0)),"⚠ "&amp;$H259)))</f>
        <v>PHI</v>
      </c>
      <c r="J259" s="2" t="str">
        <f t="array" ref="J259">IF($C259="","",INDEX(SchedZone,$C259,MAP!$B$10))</f>
        <v>NYG</v>
      </c>
      <c r="K259" s="2" t="str">
        <f t="array" ref="K259">IF($J259="","",IF(COUNTIF(Teams,$J259)&gt;0,$J259,IFERROR(INDEX(LISTS!$D$2:$D$12,MATCH($J259,LISTS!$C$2:$C$12,0)),"⚠ "&amp;$J259)))</f>
        <v>NYG</v>
      </c>
      <c r="L259" s="2" t="str">
        <f t="array" ref="L259">IF($C259="","",IF(INDEX(SchedZone,$C259,MAP!$B$14)="Neutral","N",IF($B259="HOME","H","A")))</f>
        <v>H</v>
      </c>
      <c r="M259" s="2" t="str">
        <f t="array" ref="M259">IF($C259="","",IF(INDEX(SchedZone,$C259,MAP!$B$13)="","",INDEX(SchedZone,$C259,MAP!$B$13)))</f>
        <v/>
      </c>
      <c r="N259" s="2" t="str">
        <f t="array" ref="N259">IF($C259="","",IF(INDEX(SchedZone,$C259,MAP!$B$11)="","",INDEX(SchedZone,$C259,MAP!$B$11)))</f>
        <v/>
      </c>
      <c r="O259" s="2">
        <f t="array" ref="O259">IF($C259="","",INDEX(SchedZone,$C259,MAP!$B$16))</f>
        <v>7</v>
      </c>
      <c r="P259" s="2" t="str">
        <f>IF($C259="","",IFERROR(MATCH($E259&amp;"|"&amp;$G259&amp;"|"&amp;$I259,StatsKey,0),""))</f>
        <v/>
      </c>
      <c r="Q259" s="2">
        <f t="array" ref="Q259">IF($P259="",0,INDEX(StatsZone,$P259,MAP!$E$9)+INDEX(StatsZone,$P259,MAP!$E$10)+INDEX(StatsZone,$P259,MAP!$E$11))</f>
        <v>0</v>
      </c>
      <c r="R259" s="2">
        <f t="array" ref="R259">IF($P259="",0,INDEX(StatsZone,$P259,MAP!$E$12))</f>
        <v>0</v>
      </c>
      <c r="S259" s="2">
        <f t="array" ref="S259">IF($P259="",0,INDEX(StatsZone,$P259,MAP!$E$13))</f>
        <v>0</v>
      </c>
      <c r="T259" s="2">
        <f t="shared" si="1"/>
        <v>0</v>
      </c>
      <c r="U259" s="2">
        <f t="array" ref="U259">IF($P259="",0,INDEX(StatsZone,$P259,MAP!$E$14)+INDEX(StatsZone,$P259,MAP!$E$15)+INDEX(StatsZone,$P259,MAP!$E$16))</f>
        <v>0</v>
      </c>
      <c r="V259" s="2">
        <f t="shared" si="2"/>
        <v>0</v>
      </c>
      <c r="W259" s="2">
        <f t="shared" si="3"/>
        <v>0</v>
      </c>
      <c r="X259" s="2">
        <f t="shared" si="4"/>
        <v>0</v>
      </c>
      <c r="Y259" s="2">
        <f t="shared" si="5"/>
        <v>0</v>
      </c>
      <c r="Z259" s="2">
        <f t="shared" si="6"/>
        <v>0</v>
      </c>
      <c r="AA259" s="2">
        <f t="shared" si="7"/>
        <v>1</v>
      </c>
      <c r="AB259" s="2">
        <f>IF(OR($M259="",$N259=""),0,MEDIAN(-MarginCap,MarginCap,($M259-$N259)-$AA259*HFA_Base))</f>
        <v>0</v>
      </c>
      <c r="AC259" s="2">
        <f t="array" ref="AC259">IF(OR($P259="",INDEX($P$3:$P$722,(ROW()+IF(MOD(ROW()-3,2)=0,1,-1))-3+1)=""),0,MEDIAN(-MarginCap,MarginCap,($T259-$W259)-$AA259*HFA_Base))</f>
        <v>0</v>
      </c>
      <c r="AD259" s="2">
        <f t="shared" si="8"/>
        <v>0</v>
      </c>
      <c r="AE259" s="2">
        <f>IF(OR($M259="",$N259=""),0,IF(AND(WEpa&gt;0,$AD259=1),(1-WEpa)*$AB259+WEpa*$AC259,$AB259))</f>
        <v>0</v>
      </c>
      <c r="AF259" s="2">
        <f>IF(AND($C259&lt;&gt;"",$E259=CurrentSeason,$F259="REG",ISNUMBER($G259),$G259&lt;CurrentWeek,AND($M259&lt;&gt;"",$N259&lt;&gt;"")),1,0)</f>
        <v>0</v>
      </c>
      <c r="AG259" s="2">
        <f>IF($AF259=0,0,IF($G259&gt;=CurrentWeek-RecencyWin,RecencyMult,1))</f>
        <v>0</v>
      </c>
      <c r="AH259" s="2">
        <f>IF(AND($C259&lt;&gt;"",$E259=CurrentSeason,$F259="REG",ISNUMBER($G259),$G259&lt;CurrentWeek-1,AND($M259&lt;&gt;"",$N259&lt;&gt;"")),1,0)</f>
        <v>0</v>
      </c>
      <c r="AI259" s="2">
        <f>IF($AH259=0,0,IF($G259&gt;=CurrentWeek-1-RecencyWin,RecencyMult,1))</f>
        <v>0</v>
      </c>
      <c r="AJ259" s="2">
        <f>IF($AF259=0,0,IF($G259&gt;=CurrentWeek-RecencyWin,TotRecency,1))</f>
        <v>0</v>
      </c>
      <c r="AK259" s="2">
        <f t="shared" si="9"/>
        <v>0</v>
      </c>
      <c r="AL259" s="2">
        <f t="shared" si="10"/>
        <v>0</v>
      </c>
      <c r="AM259" s="2" t="str">
        <f t="array" ref="AM259">IF($K259="",0,IFERROR(INDEX(CALC!$F$2:$F$33,MATCH($K259,CALC!$A$2:$A$33,0)),0))</f>
        <v/>
      </c>
      <c r="AN259" s="2" t="str">
        <f t="array" ref="AN259">IF($K259="",0,IFERROR(INDEX(CALC!$I$2:$I$33,MATCH($K259,CALC!$A$2:$A$33,0)),0))</f>
        <v/>
      </c>
      <c r="AO259" s="2" t="str">
        <f t="array" ref="AO259">IF($K259="",0,IFERROR(INDEX(CALC!$L$2:$L$33,MATCH($K259,CALC!$A$2:$A$33,0)),0))</f>
        <v/>
      </c>
      <c r="AP259" s="2" t="str">
        <f t="array" ref="AP259">IF($K259="",0,IFERROR(INDEX(CALC!$T$2:$T$33,MATCH($K259,CALC!$A$2:$A$33,0)),0))</f>
        <v/>
      </c>
      <c r="AQ259" s="2" t="str">
        <f t="array" ref="AQ259">IF($K259="",0,IFERROR(INDEX(CALC!$W$2:$W$33,MATCH($K259,CALC!$A$2:$A$33,0)),0))</f>
        <v/>
      </c>
      <c r="AR259" s="2" t="str">
        <f t="array" ref="AR259">IF($K259="",0,IFERROR(INDEX(CALC!$Z$2:$Z$33,MATCH($K259,CALC!$A$2:$A$33,0)),0))</f>
        <v/>
      </c>
      <c r="AS259" s="2" t="str">
        <f t="array" ref="AS259">IF($K259="",0,IFERROR(INDEX(CALC!$AJ$2:$AJ$33,MATCH($K259,CALC!$A$2:$A$33,0)),0))</f>
        <v/>
      </c>
      <c r="AT259" s="2" t="str">
        <f t="array" ref="AT259">IF($K259="",0,IFERROR(INDEX(CALC!$AI$2:$AI$33,MATCH($K259,CALC!$A$2:$A$33,0)),0))</f>
        <v/>
      </c>
      <c r="AU259" s="2">
        <f t="shared" si="11"/>
        <v>0</v>
      </c>
      <c r="AV259" s="2">
        <f t="shared" si="12"/>
        <v>0</v>
      </c>
    </row>
    <row r="260" ht="15.0" customHeight="1">
      <c r="A260" s="2">
        <v>129.0</v>
      </c>
      <c r="B260" s="2" t="s">
        <v>2366</v>
      </c>
      <c r="C260" s="2">
        <f>IFERROR(MATCH($A260,SchedSeq,0),"")</f>
        <v>414</v>
      </c>
      <c r="D260" s="2" t="str">
        <f t="array" ref="D260">IF($C260="","",INDEX(SchedZone,$C260,MAP!$B$6))</f>
        <v>2026_09_NYG_PHI</v>
      </c>
      <c r="E260" s="2">
        <f t="array" ref="E260">IF($C260="","",INDEX(SchedZone,$C260,MAP!$B$3))</f>
        <v>2026</v>
      </c>
      <c r="F260" s="2" t="str">
        <f t="array" ref="F260">IF($C260="","",INDEX(SchedZone,$C260,MAP!$B$5))</f>
        <v>REG</v>
      </c>
      <c r="G260" s="2">
        <f t="array" ref="G260">IF($C260="","",INDEX(SchedZone,$C260,MAP!$B$4))</f>
        <v>9</v>
      </c>
      <c r="H260" s="2" t="str">
        <f t="array" ref="H260">IF($C260="","",INDEX(SchedZone,$C260,MAP!$B$10))</f>
        <v>NYG</v>
      </c>
      <c r="I260" s="2" t="str">
        <f t="array" ref="I260">IF($H260="","",IF(COUNTIF(Teams,$H260)&gt;0,$H260,IFERROR(INDEX(LISTS!$D$2:$D$12,MATCH($H260,LISTS!$C$2:$C$12,0)),"⚠ "&amp;$H260)))</f>
        <v>NYG</v>
      </c>
      <c r="J260" s="2" t="str">
        <f t="array" ref="J260">IF($C260="","",INDEX(SchedZone,$C260,MAP!$B$12))</f>
        <v>PHI</v>
      </c>
      <c r="K260" s="2" t="str">
        <f t="array" ref="K260">IF($J260="","",IF(COUNTIF(Teams,$J260)&gt;0,$J260,IFERROR(INDEX(LISTS!$D$2:$D$12,MATCH($J260,LISTS!$C$2:$C$12,0)),"⚠ "&amp;$J260)))</f>
        <v>PHI</v>
      </c>
      <c r="L260" s="2" t="str">
        <f t="array" ref="L260">IF($C260="","",IF(INDEX(SchedZone,$C260,MAP!$B$14)="Neutral","N",IF($B260="HOME","H","A")))</f>
        <v>A</v>
      </c>
      <c r="M260" s="2" t="str">
        <f t="array" ref="M260">IF($C260="","",IF(INDEX(SchedZone,$C260,MAP!$B$11)="","",INDEX(SchedZone,$C260,MAP!$B$11)))</f>
        <v/>
      </c>
      <c r="N260" s="2" t="str">
        <f t="array" ref="N260">IF($C260="","",IF(INDEX(SchedZone,$C260,MAP!$B$13)="","",INDEX(SchedZone,$C260,MAP!$B$13)))</f>
        <v/>
      </c>
      <c r="O260" s="2">
        <f t="array" ref="O260">IF($C260="","",INDEX(SchedZone,$C260,MAP!$B$15))</f>
        <v>14</v>
      </c>
      <c r="P260" s="2" t="str">
        <f>IF($C260="","",IFERROR(MATCH($E260&amp;"|"&amp;$G260&amp;"|"&amp;$I260,StatsKey,0),""))</f>
        <v/>
      </c>
      <c r="Q260" s="2">
        <f t="array" ref="Q260">IF($P260="",0,INDEX(StatsZone,$P260,MAP!$E$9)+INDEX(StatsZone,$P260,MAP!$E$10)+INDEX(StatsZone,$P260,MAP!$E$11))</f>
        <v>0</v>
      </c>
      <c r="R260" s="2">
        <f t="array" ref="R260">IF($P260="",0,INDEX(StatsZone,$P260,MAP!$E$12))</f>
        <v>0</v>
      </c>
      <c r="S260" s="2">
        <f t="array" ref="S260">IF($P260="",0,INDEX(StatsZone,$P260,MAP!$E$13))</f>
        <v>0</v>
      </c>
      <c r="T260" s="2">
        <f t="shared" si="1"/>
        <v>0</v>
      </c>
      <c r="U260" s="2">
        <f t="array" ref="U260">IF($P260="",0,INDEX(StatsZone,$P260,MAP!$E$14)+INDEX(StatsZone,$P260,MAP!$E$15)+INDEX(StatsZone,$P260,MAP!$E$16))</f>
        <v>0</v>
      </c>
      <c r="V260" s="2">
        <f t="shared" si="2"/>
        <v>0</v>
      </c>
      <c r="W260" s="2">
        <f t="shared" si="3"/>
        <v>0</v>
      </c>
      <c r="X260" s="2">
        <f t="shared" si="4"/>
        <v>0</v>
      </c>
      <c r="Y260" s="2">
        <f t="shared" si="5"/>
        <v>0</v>
      </c>
      <c r="Z260" s="2">
        <f t="shared" si="6"/>
        <v>0</v>
      </c>
      <c r="AA260" s="2">
        <f t="shared" si="7"/>
        <v>-1</v>
      </c>
      <c r="AB260" s="2">
        <f>IF(OR($M260="",$N260=""),0,MEDIAN(-MarginCap,MarginCap,($M260-$N260)-$AA260*HFA_Base))</f>
        <v>0</v>
      </c>
      <c r="AC260" s="2">
        <f t="array" ref="AC260">IF(OR($P260="",INDEX($P$3:$P$722,(ROW()+IF(MOD(ROW()-3,2)=0,1,-1))-3+1)=""),0,MEDIAN(-MarginCap,MarginCap,($T260-$W260)-$AA260*HFA_Base))</f>
        <v>0</v>
      </c>
      <c r="AD260" s="2">
        <f t="shared" si="8"/>
        <v>0</v>
      </c>
      <c r="AE260" s="2">
        <f>IF(OR($M260="",$N260=""),0,IF(AND(WEpa&gt;0,$AD260=1),(1-WEpa)*$AB260+WEpa*$AC260,$AB260))</f>
        <v>0</v>
      </c>
      <c r="AF260" s="2">
        <f>IF(AND($C260&lt;&gt;"",$E260=CurrentSeason,$F260="REG",ISNUMBER($G260),$G260&lt;CurrentWeek,AND($M260&lt;&gt;"",$N260&lt;&gt;"")),1,0)</f>
        <v>0</v>
      </c>
      <c r="AG260" s="2">
        <f>IF($AF260=0,0,IF($G260&gt;=CurrentWeek-RecencyWin,RecencyMult,1))</f>
        <v>0</v>
      </c>
      <c r="AH260" s="2">
        <f>IF(AND($C260&lt;&gt;"",$E260=CurrentSeason,$F260="REG",ISNUMBER($G260),$G260&lt;CurrentWeek-1,AND($M260&lt;&gt;"",$N260&lt;&gt;"")),1,0)</f>
        <v>0</v>
      </c>
      <c r="AI260" s="2">
        <f>IF($AH260=0,0,IF($G260&gt;=CurrentWeek-1-RecencyWin,RecencyMult,1))</f>
        <v>0</v>
      </c>
      <c r="AJ260" s="2">
        <f>IF($AF260=0,0,IF($G260&gt;=CurrentWeek-RecencyWin,TotRecency,1))</f>
        <v>0</v>
      </c>
      <c r="AK260" s="2">
        <f t="shared" si="9"/>
        <v>0</v>
      </c>
      <c r="AL260" s="2">
        <f t="shared" si="10"/>
        <v>0</v>
      </c>
      <c r="AM260" s="2" t="str">
        <f t="array" ref="AM260">IF($K260="",0,IFERROR(INDEX(CALC!$F$2:$F$33,MATCH($K260,CALC!$A$2:$A$33,0)),0))</f>
        <v/>
      </c>
      <c r="AN260" s="2" t="str">
        <f t="array" ref="AN260">IF($K260="",0,IFERROR(INDEX(CALC!$I$2:$I$33,MATCH($K260,CALC!$A$2:$A$33,0)),0))</f>
        <v/>
      </c>
      <c r="AO260" s="2" t="str">
        <f t="array" ref="AO260">IF($K260="",0,IFERROR(INDEX(CALC!$L$2:$L$33,MATCH($K260,CALC!$A$2:$A$33,0)),0))</f>
        <v/>
      </c>
      <c r="AP260" s="2" t="str">
        <f t="array" ref="AP260">IF($K260="",0,IFERROR(INDEX(CALC!$T$2:$T$33,MATCH($K260,CALC!$A$2:$A$33,0)),0))</f>
        <v/>
      </c>
      <c r="AQ260" s="2" t="str">
        <f t="array" ref="AQ260">IF($K260="",0,IFERROR(INDEX(CALC!$W$2:$W$33,MATCH($K260,CALC!$A$2:$A$33,0)),0))</f>
        <v/>
      </c>
      <c r="AR260" s="2" t="str">
        <f t="array" ref="AR260">IF($K260="",0,IFERROR(INDEX(CALC!$Z$2:$Z$33,MATCH($K260,CALC!$A$2:$A$33,0)),0))</f>
        <v/>
      </c>
      <c r="AS260" s="2" t="str">
        <f t="array" ref="AS260">IF($K260="",0,IFERROR(INDEX(CALC!$AJ$2:$AJ$33,MATCH($K260,CALC!$A$2:$A$33,0)),0))</f>
        <v/>
      </c>
      <c r="AT260" s="2" t="str">
        <f t="array" ref="AT260">IF($K260="",0,IFERROR(INDEX(CALC!$AI$2:$AI$33,MATCH($K260,CALC!$A$2:$A$33,0)),0))</f>
        <v/>
      </c>
      <c r="AU260" s="2">
        <f t="shared" si="11"/>
        <v>0</v>
      </c>
      <c r="AV260" s="2">
        <f t="shared" si="12"/>
        <v>0</v>
      </c>
    </row>
    <row r="261" ht="15.0" customHeight="1">
      <c r="A261" s="2">
        <v>130.0</v>
      </c>
      <c r="B261" s="2" t="s">
        <v>2365</v>
      </c>
      <c r="C261" s="2">
        <f>IFERROR(MATCH($A261,SchedSeq,0),"")</f>
        <v>415</v>
      </c>
      <c r="D261" s="2" t="str">
        <f t="array" ref="D261">IF($C261="","",INDEX(SchedZone,$C261,MAP!$B$6))</f>
        <v>2026_09_LA_WAS</v>
      </c>
      <c r="E261" s="2">
        <f t="array" ref="E261">IF($C261="","",INDEX(SchedZone,$C261,MAP!$B$3))</f>
        <v>2026</v>
      </c>
      <c r="F261" s="2" t="str">
        <f t="array" ref="F261">IF($C261="","",INDEX(SchedZone,$C261,MAP!$B$5))</f>
        <v>REG</v>
      </c>
      <c r="G261" s="2">
        <f t="array" ref="G261">IF($C261="","",INDEX(SchedZone,$C261,MAP!$B$4))</f>
        <v>9</v>
      </c>
      <c r="H261" s="2" t="str">
        <f t="array" ref="H261">IF($C261="","",INDEX(SchedZone,$C261,MAP!$B$12))</f>
        <v>WAS</v>
      </c>
      <c r="I261" s="2" t="str">
        <f t="array" ref="I261">IF($H261="","",IF(COUNTIF(Teams,$H261)&gt;0,$H261,IFERROR(INDEX(LISTS!$D$2:$D$12,MATCH($H261,LISTS!$C$2:$C$12,0)),"⚠ "&amp;$H261)))</f>
        <v>WAS</v>
      </c>
      <c r="J261" s="2" t="str">
        <f t="array" ref="J261">IF($C261="","",INDEX(SchedZone,$C261,MAP!$B$10))</f>
        <v>LA</v>
      </c>
      <c r="K261" s="2" t="str">
        <f t="array" ref="K261">IF($J261="","",IF(COUNTIF(Teams,$J261)&gt;0,$J261,IFERROR(INDEX(LISTS!$D$2:$D$12,MATCH($J261,LISTS!$C$2:$C$12,0)),"⚠ "&amp;$J261)))</f>
        <v>LA</v>
      </c>
      <c r="L261" s="2" t="str">
        <f t="array" ref="L261">IF($C261="","",IF(INDEX(SchedZone,$C261,MAP!$B$14)="Neutral","N",IF($B261="HOME","H","A")))</f>
        <v>H</v>
      </c>
      <c r="M261" s="2" t="str">
        <f t="array" ref="M261">IF($C261="","",IF(INDEX(SchedZone,$C261,MAP!$B$13)="","",INDEX(SchedZone,$C261,MAP!$B$13)))</f>
        <v/>
      </c>
      <c r="N261" s="2" t="str">
        <f t="array" ref="N261">IF($C261="","",IF(INDEX(SchedZone,$C261,MAP!$B$11)="","",INDEX(SchedZone,$C261,MAP!$B$11)))</f>
        <v/>
      </c>
      <c r="O261" s="2">
        <f t="array" ref="O261">IF($C261="","",INDEX(SchedZone,$C261,MAP!$B$16))</f>
        <v>7</v>
      </c>
      <c r="P261" s="2" t="str">
        <f>IF($C261="","",IFERROR(MATCH($E261&amp;"|"&amp;$G261&amp;"|"&amp;$I261,StatsKey,0),""))</f>
        <v/>
      </c>
      <c r="Q261" s="2">
        <f t="array" ref="Q261">IF($P261="",0,INDEX(StatsZone,$P261,MAP!$E$9)+INDEX(StatsZone,$P261,MAP!$E$10)+INDEX(StatsZone,$P261,MAP!$E$11))</f>
        <v>0</v>
      </c>
      <c r="R261" s="2">
        <f t="array" ref="R261">IF($P261="",0,INDEX(StatsZone,$P261,MAP!$E$12))</f>
        <v>0</v>
      </c>
      <c r="S261" s="2">
        <f t="array" ref="S261">IF($P261="",0,INDEX(StatsZone,$P261,MAP!$E$13))</f>
        <v>0</v>
      </c>
      <c r="T261" s="2">
        <f t="shared" si="1"/>
        <v>0</v>
      </c>
      <c r="U261" s="2">
        <f t="array" ref="U261">IF($P261="",0,INDEX(StatsZone,$P261,MAP!$E$14)+INDEX(StatsZone,$P261,MAP!$E$15)+INDEX(StatsZone,$P261,MAP!$E$16))</f>
        <v>0</v>
      </c>
      <c r="V261" s="2">
        <f t="shared" si="2"/>
        <v>0</v>
      </c>
      <c r="W261" s="2">
        <f t="shared" si="3"/>
        <v>0</v>
      </c>
      <c r="X261" s="2">
        <f t="shared" si="4"/>
        <v>0</v>
      </c>
      <c r="Y261" s="2">
        <f t="shared" si="5"/>
        <v>0</v>
      </c>
      <c r="Z261" s="2">
        <f t="shared" si="6"/>
        <v>0</v>
      </c>
      <c r="AA261" s="2">
        <f t="shared" si="7"/>
        <v>1</v>
      </c>
      <c r="AB261" s="2">
        <f>IF(OR($M261="",$N261=""),0,MEDIAN(-MarginCap,MarginCap,($M261-$N261)-$AA261*HFA_Base))</f>
        <v>0</v>
      </c>
      <c r="AC261" s="2">
        <f t="array" ref="AC261">IF(OR($P261="",INDEX($P$3:$P$722,(ROW()+IF(MOD(ROW()-3,2)=0,1,-1))-3+1)=""),0,MEDIAN(-MarginCap,MarginCap,($T261-$W261)-$AA261*HFA_Base))</f>
        <v>0</v>
      </c>
      <c r="AD261" s="2">
        <f t="shared" si="8"/>
        <v>0</v>
      </c>
      <c r="AE261" s="2">
        <f>IF(OR($M261="",$N261=""),0,IF(AND(WEpa&gt;0,$AD261=1),(1-WEpa)*$AB261+WEpa*$AC261,$AB261))</f>
        <v>0</v>
      </c>
      <c r="AF261" s="2">
        <f>IF(AND($C261&lt;&gt;"",$E261=CurrentSeason,$F261="REG",ISNUMBER($G261),$G261&lt;CurrentWeek,AND($M261&lt;&gt;"",$N261&lt;&gt;"")),1,0)</f>
        <v>0</v>
      </c>
      <c r="AG261" s="2">
        <f>IF($AF261=0,0,IF($G261&gt;=CurrentWeek-RecencyWin,RecencyMult,1))</f>
        <v>0</v>
      </c>
      <c r="AH261" s="2">
        <f>IF(AND($C261&lt;&gt;"",$E261=CurrentSeason,$F261="REG",ISNUMBER($G261),$G261&lt;CurrentWeek-1,AND($M261&lt;&gt;"",$N261&lt;&gt;"")),1,0)</f>
        <v>0</v>
      </c>
      <c r="AI261" s="2">
        <f>IF($AH261=0,0,IF($G261&gt;=CurrentWeek-1-RecencyWin,RecencyMult,1))</f>
        <v>0</v>
      </c>
      <c r="AJ261" s="2">
        <f>IF($AF261=0,0,IF($G261&gt;=CurrentWeek-RecencyWin,TotRecency,1))</f>
        <v>0</v>
      </c>
      <c r="AK261" s="2">
        <f t="shared" si="9"/>
        <v>0</v>
      </c>
      <c r="AL261" s="2">
        <f t="shared" si="10"/>
        <v>0</v>
      </c>
      <c r="AM261" s="2" t="str">
        <f t="array" ref="AM261">IF($K261="",0,IFERROR(INDEX(CALC!$F$2:$F$33,MATCH($K261,CALC!$A$2:$A$33,0)),0))</f>
        <v/>
      </c>
      <c r="AN261" s="2" t="str">
        <f t="array" ref="AN261">IF($K261="",0,IFERROR(INDEX(CALC!$I$2:$I$33,MATCH($K261,CALC!$A$2:$A$33,0)),0))</f>
        <v/>
      </c>
      <c r="AO261" s="2" t="str">
        <f t="array" ref="AO261">IF($K261="",0,IFERROR(INDEX(CALC!$L$2:$L$33,MATCH($K261,CALC!$A$2:$A$33,0)),0))</f>
        <v/>
      </c>
      <c r="AP261" s="2" t="str">
        <f t="array" ref="AP261">IF($K261="",0,IFERROR(INDEX(CALC!$T$2:$T$33,MATCH($K261,CALC!$A$2:$A$33,0)),0))</f>
        <v/>
      </c>
      <c r="AQ261" s="2" t="str">
        <f t="array" ref="AQ261">IF($K261="",0,IFERROR(INDEX(CALC!$W$2:$W$33,MATCH($K261,CALC!$A$2:$A$33,0)),0))</f>
        <v/>
      </c>
      <c r="AR261" s="2" t="str">
        <f t="array" ref="AR261">IF($K261="",0,IFERROR(INDEX(CALC!$Z$2:$Z$33,MATCH($K261,CALC!$A$2:$A$33,0)),0))</f>
        <v/>
      </c>
      <c r="AS261" s="2" t="str">
        <f t="array" ref="AS261">IF($K261="",0,IFERROR(INDEX(CALC!$AJ$2:$AJ$33,MATCH($K261,CALC!$A$2:$A$33,0)),0))</f>
        <v/>
      </c>
      <c r="AT261" s="2" t="str">
        <f t="array" ref="AT261">IF($K261="",0,IFERROR(INDEX(CALC!$AI$2:$AI$33,MATCH($K261,CALC!$A$2:$A$33,0)),0))</f>
        <v/>
      </c>
      <c r="AU261" s="2">
        <f t="shared" si="11"/>
        <v>0</v>
      </c>
      <c r="AV261" s="2">
        <f t="shared" si="12"/>
        <v>0</v>
      </c>
    </row>
    <row r="262" ht="15.0" customHeight="1">
      <c r="A262" s="2">
        <v>130.0</v>
      </c>
      <c r="B262" s="2" t="s">
        <v>2366</v>
      </c>
      <c r="C262" s="2">
        <f>IFERROR(MATCH($A262,SchedSeq,0),"")</f>
        <v>415</v>
      </c>
      <c r="D262" s="2" t="str">
        <f t="array" ref="D262">IF($C262="","",INDEX(SchedZone,$C262,MAP!$B$6))</f>
        <v>2026_09_LA_WAS</v>
      </c>
      <c r="E262" s="2">
        <f t="array" ref="E262">IF($C262="","",INDEX(SchedZone,$C262,MAP!$B$3))</f>
        <v>2026</v>
      </c>
      <c r="F262" s="2" t="str">
        <f t="array" ref="F262">IF($C262="","",INDEX(SchedZone,$C262,MAP!$B$5))</f>
        <v>REG</v>
      </c>
      <c r="G262" s="2">
        <f t="array" ref="G262">IF($C262="","",INDEX(SchedZone,$C262,MAP!$B$4))</f>
        <v>9</v>
      </c>
      <c r="H262" s="2" t="str">
        <f t="array" ref="H262">IF($C262="","",INDEX(SchedZone,$C262,MAP!$B$10))</f>
        <v>LA</v>
      </c>
      <c r="I262" s="2" t="str">
        <f t="array" ref="I262">IF($H262="","",IF(COUNTIF(Teams,$H262)&gt;0,$H262,IFERROR(INDEX(LISTS!$D$2:$D$12,MATCH($H262,LISTS!$C$2:$C$12,0)),"⚠ "&amp;$H262)))</f>
        <v>LA</v>
      </c>
      <c r="J262" s="2" t="str">
        <f t="array" ref="J262">IF($C262="","",INDEX(SchedZone,$C262,MAP!$B$12))</f>
        <v>WAS</v>
      </c>
      <c r="K262" s="2" t="str">
        <f t="array" ref="K262">IF($J262="","",IF(COUNTIF(Teams,$J262)&gt;0,$J262,IFERROR(INDEX(LISTS!$D$2:$D$12,MATCH($J262,LISTS!$C$2:$C$12,0)),"⚠ "&amp;$J262)))</f>
        <v>WAS</v>
      </c>
      <c r="L262" s="2" t="str">
        <f t="array" ref="L262">IF($C262="","",IF(INDEX(SchedZone,$C262,MAP!$B$14)="Neutral","N",IF($B262="HOME","H","A")))</f>
        <v>A</v>
      </c>
      <c r="M262" s="2" t="str">
        <f t="array" ref="M262">IF($C262="","",IF(INDEX(SchedZone,$C262,MAP!$B$11)="","",INDEX(SchedZone,$C262,MAP!$B$11)))</f>
        <v/>
      </c>
      <c r="N262" s="2" t="str">
        <f t="array" ref="N262">IF($C262="","",IF(INDEX(SchedZone,$C262,MAP!$B$13)="","",INDEX(SchedZone,$C262,MAP!$B$13)))</f>
        <v/>
      </c>
      <c r="O262" s="2">
        <f t="array" ref="O262">IF($C262="","",INDEX(SchedZone,$C262,MAP!$B$15))</f>
        <v>7</v>
      </c>
      <c r="P262" s="2" t="str">
        <f>IF($C262="","",IFERROR(MATCH($E262&amp;"|"&amp;$G262&amp;"|"&amp;$I262,StatsKey,0),""))</f>
        <v/>
      </c>
      <c r="Q262" s="2">
        <f t="array" ref="Q262">IF($P262="",0,INDEX(StatsZone,$P262,MAP!$E$9)+INDEX(StatsZone,$P262,MAP!$E$10)+INDEX(StatsZone,$P262,MAP!$E$11))</f>
        <v>0</v>
      </c>
      <c r="R262" s="2">
        <f t="array" ref="R262">IF($P262="",0,INDEX(StatsZone,$P262,MAP!$E$12))</f>
        <v>0</v>
      </c>
      <c r="S262" s="2">
        <f t="array" ref="S262">IF($P262="",0,INDEX(StatsZone,$P262,MAP!$E$13))</f>
        <v>0</v>
      </c>
      <c r="T262" s="2">
        <f t="shared" si="1"/>
        <v>0</v>
      </c>
      <c r="U262" s="2">
        <f t="array" ref="U262">IF($P262="",0,INDEX(StatsZone,$P262,MAP!$E$14)+INDEX(StatsZone,$P262,MAP!$E$15)+INDEX(StatsZone,$P262,MAP!$E$16))</f>
        <v>0</v>
      </c>
      <c r="V262" s="2">
        <f t="shared" si="2"/>
        <v>0</v>
      </c>
      <c r="W262" s="2">
        <f t="shared" si="3"/>
        <v>0</v>
      </c>
      <c r="X262" s="2">
        <f t="shared" si="4"/>
        <v>0</v>
      </c>
      <c r="Y262" s="2">
        <f t="shared" si="5"/>
        <v>0</v>
      </c>
      <c r="Z262" s="2">
        <f t="shared" si="6"/>
        <v>0</v>
      </c>
      <c r="AA262" s="2">
        <f t="shared" si="7"/>
        <v>-1</v>
      </c>
      <c r="AB262" s="2">
        <f>IF(OR($M262="",$N262=""),0,MEDIAN(-MarginCap,MarginCap,($M262-$N262)-$AA262*HFA_Base))</f>
        <v>0</v>
      </c>
      <c r="AC262" s="2">
        <f t="array" ref="AC262">IF(OR($P262="",INDEX($P$3:$P$722,(ROW()+IF(MOD(ROW()-3,2)=0,1,-1))-3+1)=""),0,MEDIAN(-MarginCap,MarginCap,($T262-$W262)-$AA262*HFA_Base))</f>
        <v>0</v>
      </c>
      <c r="AD262" s="2">
        <f t="shared" si="8"/>
        <v>0</v>
      </c>
      <c r="AE262" s="2">
        <f>IF(OR($M262="",$N262=""),0,IF(AND(WEpa&gt;0,$AD262=1),(1-WEpa)*$AB262+WEpa*$AC262,$AB262))</f>
        <v>0</v>
      </c>
      <c r="AF262" s="2">
        <f>IF(AND($C262&lt;&gt;"",$E262=CurrentSeason,$F262="REG",ISNUMBER($G262),$G262&lt;CurrentWeek,AND($M262&lt;&gt;"",$N262&lt;&gt;"")),1,0)</f>
        <v>0</v>
      </c>
      <c r="AG262" s="2">
        <f>IF($AF262=0,0,IF($G262&gt;=CurrentWeek-RecencyWin,RecencyMult,1))</f>
        <v>0</v>
      </c>
      <c r="AH262" s="2">
        <f>IF(AND($C262&lt;&gt;"",$E262=CurrentSeason,$F262="REG",ISNUMBER($G262),$G262&lt;CurrentWeek-1,AND($M262&lt;&gt;"",$N262&lt;&gt;"")),1,0)</f>
        <v>0</v>
      </c>
      <c r="AI262" s="2">
        <f>IF($AH262=0,0,IF($G262&gt;=CurrentWeek-1-RecencyWin,RecencyMult,1))</f>
        <v>0</v>
      </c>
      <c r="AJ262" s="2">
        <f>IF($AF262=0,0,IF($G262&gt;=CurrentWeek-RecencyWin,TotRecency,1))</f>
        <v>0</v>
      </c>
      <c r="AK262" s="2">
        <f t="shared" si="9"/>
        <v>0</v>
      </c>
      <c r="AL262" s="2">
        <f t="shared" si="10"/>
        <v>0</v>
      </c>
      <c r="AM262" s="2" t="str">
        <f t="array" ref="AM262">IF($K262="",0,IFERROR(INDEX(CALC!$F$2:$F$33,MATCH($K262,CALC!$A$2:$A$33,0)),0))</f>
        <v/>
      </c>
      <c r="AN262" s="2" t="str">
        <f t="array" ref="AN262">IF($K262="",0,IFERROR(INDEX(CALC!$I$2:$I$33,MATCH($K262,CALC!$A$2:$A$33,0)),0))</f>
        <v/>
      </c>
      <c r="AO262" s="2" t="str">
        <f t="array" ref="AO262">IF($K262="",0,IFERROR(INDEX(CALC!$L$2:$L$33,MATCH($K262,CALC!$A$2:$A$33,0)),0))</f>
        <v/>
      </c>
      <c r="AP262" s="2" t="str">
        <f t="array" ref="AP262">IF($K262="",0,IFERROR(INDEX(CALC!$T$2:$T$33,MATCH($K262,CALC!$A$2:$A$33,0)),0))</f>
        <v/>
      </c>
      <c r="AQ262" s="2" t="str">
        <f t="array" ref="AQ262">IF($K262="",0,IFERROR(INDEX(CALC!$W$2:$W$33,MATCH($K262,CALC!$A$2:$A$33,0)),0))</f>
        <v/>
      </c>
      <c r="AR262" s="2" t="str">
        <f t="array" ref="AR262">IF($K262="",0,IFERROR(INDEX(CALC!$Z$2:$Z$33,MATCH($K262,CALC!$A$2:$A$33,0)),0))</f>
        <v/>
      </c>
      <c r="AS262" s="2" t="str">
        <f t="array" ref="AS262">IF($K262="",0,IFERROR(INDEX(CALC!$AJ$2:$AJ$33,MATCH($K262,CALC!$A$2:$A$33,0)),0))</f>
        <v/>
      </c>
      <c r="AT262" s="2" t="str">
        <f t="array" ref="AT262">IF($K262="",0,IFERROR(INDEX(CALC!$AI$2:$AI$33,MATCH($K262,CALC!$A$2:$A$33,0)),0))</f>
        <v/>
      </c>
      <c r="AU262" s="2">
        <f t="shared" si="11"/>
        <v>0</v>
      </c>
      <c r="AV262" s="2">
        <f t="shared" si="12"/>
        <v>0</v>
      </c>
    </row>
    <row r="263" ht="15.0" customHeight="1">
      <c r="A263" s="2">
        <v>131.0</v>
      </c>
      <c r="B263" s="2" t="s">
        <v>2365</v>
      </c>
      <c r="C263" s="2">
        <f>IFERROR(MATCH($A263,SchedSeq,0),"")</f>
        <v>416</v>
      </c>
      <c r="D263" s="2" t="str">
        <f t="array" ref="D263">IF($C263="","",INDEX(SchedZone,$C263,MAP!$B$6))</f>
        <v>2026_09_HOU_LAC</v>
      </c>
      <c r="E263" s="2">
        <f t="array" ref="E263">IF($C263="","",INDEX(SchedZone,$C263,MAP!$B$3))</f>
        <v>2026</v>
      </c>
      <c r="F263" s="2" t="str">
        <f t="array" ref="F263">IF($C263="","",INDEX(SchedZone,$C263,MAP!$B$5))</f>
        <v>REG</v>
      </c>
      <c r="G263" s="2">
        <f t="array" ref="G263">IF($C263="","",INDEX(SchedZone,$C263,MAP!$B$4))</f>
        <v>9</v>
      </c>
      <c r="H263" s="2" t="str">
        <f t="array" ref="H263">IF($C263="","",INDEX(SchedZone,$C263,MAP!$B$12))</f>
        <v>LAC</v>
      </c>
      <c r="I263" s="2" t="str">
        <f t="array" ref="I263">IF($H263="","",IF(COUNTIF(Teams,$H263)&gt;0,$H263,IFERROR(INDEX(LISTS!$D$2:$D$12,MATCH($H263,LISTS!$C$2:$C$12,0)),"⚠ "&amp;$H263)))</f>
        <v>LAC</v>
      </c>
      <c r="J263" s="2" t="str">
        <f t="array" ref="J263">IF($C263="","",INDEX(SchedZone,$C263,MAP!$B$10))</f>
        <v>HOU</v>
      </c>
      <c r="K263" s="2" t="str">
        <f t="array" ref="K263">IF($J263="","",IF(COUNTIF(Teams,$J263)&gt;0,$J263,IFERROR(INDEX(LISTS!$D$2:$D$12,MATCH($J263,LISTS!$C$2:$C$12,0)),"⚠ "&amp;$J263)))</f>
        <v>HOU</v>
      </c>
      <c r="L263" s="2" t="str">
        <f t="array" ref="L263">IF($C263="","",IF(INDEX(SchedZone,$C263,MAP!$B$14)="Neutral","N",IF($B263="HOME","H","A")))</f>
        <v>H</v>
      </c>
      <c r="M263" s="2" t="str">
        <f t="array" ref="M263">IF($C263="","",IF(INDEX(SchedZone,$C263,MAP!$B$13)="","",INDEX(SchedZone,$C263,MAP!$B$13)))</f>
        <v/>
      </c>
      <c r="N263" s="2" t="str">
        <f t="array" ref="N263">IF($C263="","",IF(INDEX(SchedZone,$C263,MAP!$B$11)="","",INDEX(SchedZone,$C263,MAP!$B$11)))</f>
        <v/>
      </c>
      <c r="O263" s="2">
        <f t="array" ref="O263">IF($C263="","",INDEX(SchedZone,$C263,MAP!$B$16))</f>
        <v>7</v>
      </c>
      <c r="P263" s="2" t="str">
        <f>IF($C263="","",IFERROR(MATCH($E263&amp;"|"&amp;$G263&amp;"|"&amp;$I263,StatsKey,0),""))</f>
        <v/>
      </c>
      <c r="Q263" s="2">
        <f t="array" ref="Q263">IF($P263="",0,INDEX(StatsZone,$P263,MAP!$E$9)+INDEX(StatsZone,$P263,MAP!$E$10)+INDEX(StatsZone,$P263,MAP!$E$11))</f>
        <v>0</v>
      </c>
      <c r="R263" s="2">
        <f t="array" ref="R263">IF($P263="",0,INDEX(StatsZone,$P263,MAP!$E$12))</f>
        <v>0</v>
      </c>
      <c r="S263" s="2">
        <f t="array" ref="S263">IF($P263="",0,INDEX(StatsZone,$P263,MAP!$E$13))</f>
        <v>0</v>
      </c>
      <c r="T263" s="2">
        <f t="shared" si="1"/>
        <v>0</v>
      </c>
      <c r="U263" s="2">
        <f t="array" ref="U263">IF($P263="",0,INDEX(StatsZone,$P263,MAP!$E$14)+INDEX(StatsZone,$P263,MAP!$E$15)+INDEX(StatsZone,$P263,MAP!$E$16))</f>
        <v>0</v>
      </c>
      <c r="V263" s="2">
        <f t="shared" si="2"/>
        <v>0</v>
      </c>
      <c r="W263" s="2">
        <f t="shared" si="3"/>
        <v>0</v>
      </c>
      <c r="X263" s="2">
        <f t="shared" si="4"/>
        <v>0</v>
      </c>
      <c r="Y263" s="2">
        <f t="shared" si="5"/>
        <v>0</v>
      </c>
      <c r="Z263" s="2">
        <f t="shared" si="6"/>
        <v>0</v>
      </c>
      <c r="AA263" s="2">
        <f t="shared" si="7"/>
        <v>1</v>
      </c>
      <c r="AB263" s="2">
        <f>IF(OR($M263="",$N263=""),0,MEDIAN(-MarginCap,MarginCap,($M263-$N263)-$AA263*HFA_Base))</f>
        <v>0</v>
      </c>
      <c r="AC263" s="2">
        <f t="array" ref="AC263">IF(OR($P263="",INDEX($P$3:$P$722,(ROW()+IF(MOD(ROW()-3,2)=0,1,-1))-3+1)=""),0,MEDIAN(-MarginCap,MarginCap,($T263-$W263)-$AA263*HFA_Base))</f>
        <v>0</v>
      </c>
      <c r="AD263" s="2">
        <f t="shared" si="8"/>
        <v>0</v>
      </c>
      <c r="AE263" s="2">
        <f>IF(OR($M263="",$N263=""),0,IF(AND(WEpa&gt;0,$AD263=1),(1-WEpa)*$AB263+WEpa*$AC263,$AB263))</f>
        <v>0</v>
      </c>
      <c r="AF263" s="2">
        <f>IF(AND($C263&lt;&gt;"",$E263=CurrentSeason,$F263="REG",ISNUMBER($G263),$G263&lt;CurrentWeek,AND($M263&lt;&gt;"",$N263&lt;&gt;"")),1,0)</f>
        <v>0</v>
      </c>
      <c r="AG263" s="2">
        <f>IF($AF263=0,0,IF($G263&gt;=CurrentWeek-RecencyWin,RecencyMult,1))</f>
        <v>0</v>
      </c>
      <c r="AH263" s="2">
        <f>IF(AND($C263&lt;&gt;"",$E263=CurrentSeason,$F263="REG",ISNUMBER($G263),$G263&lt;CurrentWeek-1,AND($M263&lt;&gt;"",$N263&lt;&gt;"")),1,0)</f>
        <v>0</v>
      </c>
      <c r="AI263" s="2">
        <f>IF($AH263=0,0,IF($G263&gt;=CurrentWeek-1-RecencyWin,RecencyMult,1))</f>
        <v>0</v>
      </c>
      <c r="AJ263" s="2">
        <f>IF($AF263=0,0,IF($G263&gt;=CurrentWeek-RecencyWin,TotRecency,1))</f>
        <v>0</v>
      </c>
      <c r="AK263" s="2">
        <f t="shared" si="9"/>
        <v>0</v>
      </c>
      <c r="AL263" s="2">
        <f t="shared" si="10"/>
        <v>0</v>
      </c>
      <c r="AM263" s="2" t="str">
        <f t="array" ref="AM263">IF($K263="",0,IFERROR(INDEX(CALC!$F$2:$F$33,MATCH($K263,CALC!$A$2:$A$33,0)),0))</f>
        <v/>
      </c>
      <c r="AN263" s="2" t="str">
        <f t="array" ref="AN263">IF($K263="",0,IFERROR(INDEX(CALC!$I$2:$I$33,MATCH($K263,CALC!$A$2:$A$33,0)),0))</f>
        <v/>
      </c>
      <c r="AO263" s="2" t="str">
        <f t="array" ref="AO263">IF($K263="",0,IFERROR(INDEX(CALC!$L$2:$L$33,MATCH($K263,CALC!$A$2:$A$33,0)),0))</f>
        <v/>
      </c>
      <c r="AP263" s="2" t="str">
        <f t="array" ref="AP263">IF($K263="",0,IFERROR(INDEX(CALC!$T$2:$T$33,MATCH($K263,CALC!$A$2:$A$33,0)),0))</f>
        <v/>
      </c>
      <c r="AQ263" s="2" t="str">
        <f t="array" ref="AQ263">IF($K263="",0,IFERROR(INDEX(CALC!$W$2:$W$33,MATCH($K263,CALC!$A$2:$A$33,0)),0))</f>
        <v/>
      </c>
      <c r="AR263" s="2" t="str">
        <f t="array" ref="AR263">IF($K263="",0,IFERROR(INDEX(CALC!$Z$2:$Z$33,MATCH($K263,CALC!$A$2:$A$33,0)),0))</f>
        <v/>
      </c>
      <c r="AS263" s="2" t="str">
        <f t="array" ref="AS263">IF($K263="",0,IFERROR(INDEX(CALC!$AJ$2:$AJ$33,MATCH($K263,CALC!$A$2:$A$33,0)),0))</f>
        <v/>
      </c>
      <c r="AT263" s="2" t="str">
        <f t="array" ref="AT263">IF($K263="",0,IFERROR(INDEX(CALC!$AI$2:$AI$33,MATCH($K263,CALC!$A$2:$A$33,0)),0))</f>
        <v/>
      </c>
      <c r="AU263" s="2">
        <f t="shared" si="11"/>
        <v>0</v>
      </c>
      <c r="AV263" s="2">
        <f t="shared" si="12"/>
        <v>0</v>
      </c>
    </row>
    <row r="264" ht="15.0" customHeight="1">
      <c r="A264" s="2">
        <v>131.0</v>
      </c>
      <c r="B264" s="2" t="s">
        <v>2366</v>
      </c>
      <c r="C264" s="2">
        <f>IFERROR(MATCH($A264,SchedSeq,0),"")</f>
        <v>416</v>
      </c>
      <c r="D264" s="2" t="str">
        <f t="array" ref="D264">IF($C264="","",INDEX(SchedZone,$C264,MAP!$B$6))</f>
        <v>2026_09_HOU_LAC</v>
      </c>
      <c r="E264" s="2">
        <f t="array" ref="E264">IF($C264="","",INDEX(SchedZone,$C264,MAP!$B$3))</f>
        <v>2026</v>
      </c>
      <c r="F264" s="2" t="str">
        <f t="array" ref="F264">IF($C264="","",INDEX(SchedZone,$C264,MAP!$B$5))</f>
        <v>REG</v>
      </c>
      <c r="G264" s="2">
        <f t="array" ref="G264">IF($C264="","",INDEX(SchedZone,$C264,MAP!$B$4))</f>
        <v>9</v>
      </c>
      <c r="H264" s="2" t="str">
        <f t="array" ref="H264">IF($C264="","",INDEX(SchedZone,$C264,MAP!$B$10))</f>
        <v>HOU</v>
      </c>
      <c r="I264" s="2" t="str">
        <f t="array" ref="I264">IF($H264="","",IF(COUNTIF(Teams,$H264)&gt;0,$H264,IFERROR(INDEX(LISTS!$D$2:$D$12,MATCH($H264,LISTS!$C$2:$C$12,0)),"⚠ "&amp;$H264)))</f>
        <v>HOU</v>
      </c>
      <c r="J264" s="2" t="str">
        <f t="array" ref="J264">IF($C264="","",INDEX(SchedZone,$C264,MAP!$B$12))</f>
        <v>LAC</v>
      </c>
      <c r="K264" s="2" t="str">
        <f t="array" ref="K264">IF($J264="","",IF(COUNTIF(Teams,$J264)&gt;0,$J264,IFERROR(INDEX(LISTS!$D$2:$D$12,MATCH($J264,LISTS!$C$2:$C$12,0)),"⚠ "&amp;$J264)))</f>
        <v>LAC</v>
      </c>
      <c r="L264" s="2" t="str">
        <f t="array" ref="L264">IF($C264="","",IF(INDEX(SchedZone,$C264,MAP!$B$14)="Neutral","N",IF($B264="HOME","H","A")))</f>
        <v>A</v>
      </c>
      <c r="M264" s="2" t="str">
        <f t="array" ref="M264">IF($C264="","",IF(INDEX(SchedZone,$C264,MAP!$B$11)="","",INDEX(SchedZone,$C264,MAP!$B$11)))</f>
        <v/>
      </c>
      <c r="N264" s="2" t="str">
        <f t="array" ref="N264">IF($C264="","",IF(INDEX(SchedZone,$C264,MAP!$B$13)="","",INDEX(SchedZone,$C264,MAP!$B$13)))</f>
        <v/>
      </c>
      <c r="O264" s="2">
        <f t="array" ref="O264">IF($C264="","",INDEX(SchedZone,$C264,MAP!$B$15))</f>
        <v>14</v>
      </c>
      <c r="P264" s="2" t="str">
        <f>IF($C264="","",IFERROR(MATCH($E264&amp;"|"&amp;$G264&amp;"|"&amp;$I264,StatsKey,0),""))</f>
        <v/>
      </c>
      <c r="Q264" s="2">
        <f t="array" ref="Q264">IF($P264="",0,INDEX(StatsZone,$P264,MAP!$E$9)+INDEX(StatsZone,$P264,MAP!$E$10)+INDEX(StatsZone,$P264,MAP!$E$11))</f>
        <v>0</v>
      </c>
      <c r="R264" s="2">
        <f t="array" ref="R264">IF($P264="",0,INDEX(StatsZone,$P264,MAP!$E$12))</f>
        <v>0</v>
      </c>
      <c r="S264" s="2">
        <f t="array" ref="S264">IF($P264="",0,INDEX(StatsZone,$P264,MAP!$E$13))</f>
        <v>0</v>
      </c>
      <c r="T264" s="2">
        <f t="shared" si="1"/>
        <v>0</v>
      </c>
      <c r="U264" s="2">
        <f t="array" ref="U264">IF($P264="",0,INDEX(StatsZone,$P264,MAP!$E$14)+INDEX(StatsZone,$P264,MAP!$E$15)+INDEX(StatsZone,$P264,MAP!$E$16))</f>
        <v>0</v>
      </c>
      <c r="V264" s="2">
        <f t="shared" si="2"/>
        <v>0</v>
      </c>
      <c r="W264" s="2">
        <f t="shared" si="3"/>
        <v>0</v>
      </c>
      <c r="X264" s="2">
        <f t="shared" si="4"/>
        <v>0</v>
      </c>
      <c r="Y264" s="2">
        <f t="shared" si="5"/>
        <v>0</v>
      </c>
      <c r="Z264" s="2">
        <f t="shared" si="6"/>
        <v>0</v>
      </c>
      <c r="AA264" s="2">
        <f t="shared" si="7"/>
        <v>-1</v>
      </c>
      <c r="AB264" s="2">
        <f>IF(OR($M264="",$N264=""),0,MEDIAN(-MarginCap,MarginCap,($M264-$N264)-$AA264*HFA_Base))</f>
        <v>0</v>
      </c>
      <c r="AC264" s="2">
        <f t="array" ref="AC264">IF(OR($P264="",INDEX($P$3:$P$722,(ROW()+IF(MOD(ROW()-3,2)=0,1,-1))-3+1)=""),0,MEDIAN(-MarginCap,MarginCap,($T264-$W264)-$AA264*HFA_Base))</f>
        <v>0</v>
      </c>
      <c r="AD264" s="2">
        <f t="shared" si="8"/>
        <v>0</v>
      </c>
      <c r="AE264" s="2">
        <f>IF(OR($M264="",$N264=""),0,IF(AND(WEpa&gt;0,$AD264=1),(1-WEpa)*$AB264+WEpa*$AC264,$AB264))</f>
        <v>0</v>
      </c>
      <c r="AF264" s="2">
        <f>IF(AND($C264&lt;&gt;"",$E264=CurrentSeason,$F264="REG",ISNUMBER($G264),$G264&lt;CurrentWeek,AND($M264&lt;&gt;"",$N264&lt;&gt;"")),1,0)</f>
        <v>0</v>
      </c>
      <c r="AG264" s="2">
        <f>IF($AF264=0,0,IF($G264&gt;=CurrentWeek-RecencyWin,RecencyMult,1))</f>
        <v>0</v>
      </c>
      <c r="AH264" s="2">
        <f>IF(AND($C264&lt;&gt;"",$E264=CurrentSeason,$F264="REG",ISNUMBER($G264),$G264&lt;CurrentWeek-1,AND($M264&lt;&gt;"",$N264&lt;&gt;"")),1,0)</f>
        <v>0</v>
      </c>
      <c r="AI264" s="2">
        <f>IF($AH264=0,0,IF($G264&gt;=CurrentWeek-1-RecencyWin,RecencyMult,1))</f>
        <v>0</v>
      </c>
      <c r="AJ264" s="2">
        <f>IF($AF264=0,0,IF($G264&gt;=CurrentWeek-RecencyWin,TotRecency,1))</f>
        <v>0</v>
      </c>
      <c r="AK264" s="2">
        <f t="shared" si="9"/>
        <v>0</v>
      </c>
      <c r="AL264" s="2">
        <f t="shared" si="10"/>
        <v>0</v>
      </c>
      <c r="AM264" s="2" t="str">
        <f t="array" ref="AM264">IF($K264="",0,IFERROR(INDEX(CALC!$F$2:$F$33,MATCH($K264,CALC!$A$2:$A$33,0)),0))</f>
        <v/>
      </c>
      <c r="AN264" s="2" t="str">
        <f t="array" ref="AN264">IF($K264="",0,IFERROR(INDEX(CALC!$I$2:$I$33,MATCH($K264,CALC!$A$2:$A$33,0)),0))</f>
        <v/>
      </c>
      <c r="AO264" s="2" t="str">
        <f t="array" ref="AO264">IF($K264="",0,IFERROR(INDEX(CALC!$L$2:$L$33,MATCH($K264,CALC!$A$2:$A$33,0)),0))</f>
        <v/>
      </c>
      <c r="AP264" s="2" t="str">
        <f t="array" ref="AP264">IF($K264="",0,IFERROR(INDEX(CALC!$T$2:$T$33,MATCH($K264,CALC!$A$2:$A$33,0)),0))</f>
        <v/>
      </c>
      <c r="AQ264" s="2" t="str">
        <f t="array" ref="AQ264">IF($K264="",0,IFERROR(INDEX(CALC!$W$2:$W$33,MATCH($K264,CALC!$A$2:$A$33,0)),0))</f>
        <v/>
      </c>
      <c r="AR264" s="2" t="str">
        <f t="array" ref="AR264">IF($K264="",0,IFERROR(INDEX(CALC!$Z$2:$Z$33,MATCH($K264,CALC!$A$2:$A$33,0)),0))</f>
        <v/>
      </c>
      <c r="AS264" s="2" t="str">
        <f t="array" ref="AS264">IF($K264="",0,IFERROR(INDEX(CALC!$AJ$2:$AJ$33,MATCH($K264,CALC!$A$2:$A$33,0)),0))</f>
        <v/>
      </c>
      <c r="AT264" s="2" t="str">
        <f t="array" ref="AT264">IF($K264="",0,IFERROR(INDEX(CALC!$AI$2:$AI$33,MATCH($K264,CALC!$A$2:$A$33,0)),0))</f>
        <v/>
      </c>
      <c r="AU264" s="2">
        <f t="shared" si="11"/>
        <v>0</v>
      </c>
      <c r="AV264" s="2">
        <f t="shared" si="12"/>
        <v>0</v>
      </c>
    </row>
    <row r="265" ht="15.0" customHeight="1">
      <c r="A265" s="2">
        <v>132.0</v>
      </c>
      <c r="B265" s="2" t="s">
        <v>2365</v>
      </c>
      <c r="C265" s="2">
        <f>IFERROR(MATCH($A265,SchedSeq,0),"")</f>
        <v>417</v>
      </c>
      <c r="D265" s="2" t="str">
        <f t="array" ref="D265">IF($C265="","",INDEX(SchedZone,$C265,MAP!$B$6))</f>
        <v>2026_09_LV_SF</v>
      </c>
      <c r="E265" s="2">
        <f t="array" ref="E265">IF($C265="","",INDEX(SchedZone,$C265,MAP!$B$3))</f>
        <v>2026</v>
      </c>
      <c r="F265" s="2" t="str">
        <f t="array" ref="F265">IF($C265="","",INDEX(SchedZone,$C265,MAP!$B$5))</f>
        <v>REG</v>
      </c>
      <c r="G265" s="2">
        <f t="array" ref="G265">IF($C265="","",INDEX(SchedZone,$C265,MAP!$B$4))</f>
        <v>9</v>
      </c>
      <c r="H265" s="2" t="str">
        <f t="array" ref="H265">IF($C265="","",INDEX(SchedZone,$C265,MAP!$B$12))</f>
        <v>SF</v>
      </c>
      <c r="I265" s="2" t="str">
        <f t="array" ref="I265">IF($H265="","",IF(COUNTIF(Teams,$H265)&gt;0,$H265,IFERROR(INDEX(LISTS!$D$2:$D$12,MATCH($H265,LISTS!$C$2:$C$12,0)),"⚠ "&amp;$H265)))</f>
        <v>SF</v>
      </c>
      <c r="J265" s="2" t="str">
        <f t="array" ref="J265">IF($C265="","",INDEX(SchedZone,$C265,MAP!$B$10))</f>
        <v>LV</v>
      </c>
      <c r="K265" s="2" t="str">
        <f t="array" ref="K265">IF($J265="","",IF(COUNTIF(Teams,$J265)&gt;0,$J265,IFERROR(INDEX(LISTS!$D$2:$D$12,MATCH($J265,LISTS!$C$2:$C$12,0)),"⚠ "&amp;$J265)))</f>
        <v>LV</v>
      </c>
      <c r="L265" s="2" t="str">
        <f t="array" ref="L265">IF($C265="","",IF(INDEX(SchedZone,$C265,MAP!$B$14)="Neutral","N",IF($B265="HOME","H","A")))</f>
        <v>H</v>
      </c>
      <c r="M265" s="2" t="str">
        <f t="array" ref="M265">IF($C265="","",IF(INDEX(SchedZone,$C265,MAP!$B$13)="","",INDEX(SchedZone,$C265,MAP!$B$13)))</f>
        <v/>
      </c>
      <c r="N265" s="2" t="str">
        <f t="array" ref="N265">IF($C265="","",IF(INDEX(SchedZone,$C265,MAP!$B$11)="","",INDEX(SchedZone,$C265,MAP!$B$11)))</f>
        <v/>
      </c>
      <c r="O265" s="2">
        <f t="array" ref="O265">IF($C265="","",INDEX(SchedZone,$C265,MAP!$B$16))</f>
        <v>14</v>
      </c>
      <c r="P265" s="2" t="str">
        <f>IF($C265="","",IFERROR(MATCH($E265&amp;"|"&amp;$G265&amp;"|"&amp;$I265,StatsKey,0),""))</f>
        <v/>
      </c>
      <c r="Q265" s="2">
        <f t="array" ref="Q265">IF($P265="",0,INDEX(StatsZone,$P265,MAP!$E$9)+INDEX(StatsZone,$P265,MAP!$E$10)+INDEX(StatsZone,$P265,MAP!$E$11))</f>
        <v>0</v>
      </c>
      <c r="R265" s="2">
        <f t="array" ref="R265">IF($P265="",0,INDEX(StatsZone,$P265,MAP!$E$12))</f>
        <v>0</v>
      </c>
      <c r="S265" s="2">
        <f t="array" ref="S265">IF($P265="",0,INDEX(StatsZone,$P265,MAP!$E$13))</f>
        <v>0</v>
      </c>
      <c r="T265" s="2">
        <f t="shared" si="1"/>
        <v>0</v>
      </c>
      <c r="U265" s="2">
        <f t="array" ref="U265">IF($P265="",0,INDEX(StatsZone,$P265,MAP!$E$14)+INDEX(StatsZone,$P265,MAP!$E$15)+INDEX(StatsZone,$P265,MAP!$E$16))</f>
        <v>0</v>
      </c>
      <c r="V265" s="2">
        <f t="shared" si="2"/>
        <v>0</v>
      </c>
      <c r="W265" s="2">
        <f t="shared" si="3"/>
        <v>0</v>
      </c>
      <c r="X265" s="2">
        <f t="shared" si="4"/>
        <v>0</v>
      </c>
      <c r="Y265" s="2">
        <f t="shared" si="5"/>
        <v>0</v>
      </c>
      <c r="Z265" s="2">
        <f t="shared" si="6"/>
        <v>0</v>
      </c>
      <c r="AA265" s="2">
        <f t="shared" si="7"/>
        <v>1</v>
      </c>
      <c r="AB265" s="2">
        <f>IF(OR($M265="",$N265=""),0,MEDIAN(-MarginCap,MarginCap,($M265-$N265)-$AA265*HFA_Base))</f>
        <v>0</v>
      </c>
      <c r="AC265" s="2">
        <f t="array" ref="AC265">IF(OR($P265="",INDEX($P$3:$P$722,(ROW()+IF(MOD(ROW()-3,2)=0,1,-1))-3+1)=""),0,MEDIAN(-MarginCap,MarginCap,($T265-$W265)-$AA265*HFA_Base))</f>
        <v>0</v>
      </c>
      <c r="AD265" s="2">
        <f t="shared" si="8"/>
        <v>0</v>
      </c>
      <c r="AE265" s="2">
        <f>IF(OR($M265="",$N265=""),0,IF(AND(WEpa&gt;0,$AD265=1),(1-WEpa)*$AB265+WEpa*$AC265,$AB265))</f>
        <v>0</v>
      </c>
      <c r="AF265" s="2">
        <f>IF(AND($C265&lt;&gt;"",$E265=CurrentSeason,$F265="REG",ISNUMBER($G265),$G265&lt;CurrentWeek,AND($M265&lt;&gt;"",$N265&lt;&gt;"")),1,0)</f>
        <v>0</v>
      </c>
      <c r="AG265" s="2">
        <f>IF($AF265=0,0,IF($G265&gt;=CurrentWeek-RecencyWin,RecencyMult,1))</f>
        <v>0</v>
      </c>
      <c r="AH265" s="2">
        <f>IF(AND($C265&lt;&gt;"",$E265=CurrentSeason,$F265="REG",ISNUMBER($G265),$G265&lt;CurrentWeek-1,AND($M265&lt;&gt;"",$N265&lt;&gt;"")),1,0)</f>
        <v>0</v>
      </c>
      <c r="AI265" s="2">
        <f>IF($AH265=0,0,IF($G265&gt;=CurrentWeek-1-RecencyWin,RecencyMult,1))</f>
        <v>0</v>
      </c>
      <c r="AJ265" s="2">
        <f>IF($AF265=0,0,IF($G265&gt;=CurrentWeek-RecencyWin,TotRecency,1))</f>
        <v>0</v>
      </c>
      <c r="AK265" s="2">
        <f t="shared" si="9"/>
        <v>0</v>
      </c>
      <c r="AL265" s="2">
        <f t="shared" si="10"/>
        <v>0</v>
      </c>
      <c r="AM265" s="2" t="str">
        <f t="array" ref="AM265">IF($K265="",0,IFERROR(INDEX(CALC!$F$2:$F$33,MATCH($K265,CALC!$A$2:$A$33,0)),0))</f>
        <v/>
      </c>
      <c r="AN265" s="2" t="str">
        <f t="array" ref="AN265">IF($K265="",0,IFERROR(INDEX(CALC!$I$2:$I$33,MATCH($K265,CALC!$A$2:$A$33,0)),0))</f>
        <v/>
      </c>
      <c r="AO265" s="2" t="str">
        <f t="array" ref="AO265">IF($K265="",0,IFERROR(INDEX(CALC!$L$2:$L$33,MATCH($K265,CALC!$A$2:$A$33,0)),0))</f>
        <v/>
      </c>
      <c r="AP265" s="2" t="str">
        <f t="array" ref="AP265">IF($K265="",0,IFERROR(INDEX(CALC!$T$2:$T$33,MATCH($K265,CALC!$A$2:$A$33,0)),0))</f>
        <v/>
      </c>
      <c r="AQ265" s="2" t="str">
        <f t="array" ref="AQ265">IF($K265="",0,IFERROR(INDEX(CALC!$W$2:$W$33,MATCH($K265,CALC!$A$2:$A$33,0)),0))</f>
        <v/>
      </c>
      <c r="AR265" s="2" t="str">
        <f t="array" ref="AR265">IF($K265="",0,IFERROR(INDEX(CALC!$Z$2:$Z$33,MATCH($K265,CALC!$A$2:$A$33,0)),0))</f>
        <v/>
      </c>
      <c r="AS265" s="2" t="str">
        <f t="array" ref="AS265">IF($K265="",0,IFERROR(INDEX(CALC!$AJ$2:$AJ$33,MATCH($K265,CALC!$A$2:$A$33,0)),0))</f>
        <v/>
      </c>
      <c r="AT265" s="2" t="str">
        <f t="array" ref="AT265">IF($K265="",0,IFERROR(INDEX(CALC!$AI$2:$AI$33,MATCH($K265,CALC!$A$2:$A$33,0)),0))</f>
        <v/>
      </c>
      <c r="AU265" s="2">
        <f t="shared" si="11"/>
        <v>0</v>
      </c>
      <c r="AV265" s="2">
        <f t="shared" si="12"/>
        <v>0</v>
      </c>
    </row>
    <row r="266" ht="15.0" customHeight="1">
      <c r="A266" s="2">
        <v>132.0</v>
      </c>
      <c r="B266" s="2" t="s">
        <v>2366</v>
      </c>
      <c r="C266" s="2">
        <f>IFERROR(MATCH($A266,SchedSeq,0),"")</f>
        <v>417</v>
      </c>
      <c r="D266" s="2" t="str">
        <f t="array" ref="D266">IF($C266="","",INDEX(SchedZone,$C266,MAP!$B$6))</f>
        <v>2026_09_LV_SF</v>
      </c>
      <c r="E266" s="2">
        <f t="array" ref="E266">IF($C266="","",INDEX(SchedZone,$C266,MAP!$B$3))</f>
        <v>2026</v>
      </c>
      <c r="F266" s="2" t="str">
        <f t="array" ref="F266">IF($C266="","",INDEX(SchedZone,$C266,MAP!$B$5))</f>
        <v>REG</v>
      </c>
      <c r="G266" s="2">
        <f t="array" ref="G266">IF($C266="","",INDEX(SchedZone,$C266,MAP!$B$4))</f>
        <v>9</v>
      </c>
      <c r="H266" s="2" t="str">
        <f t="array" ref="H266">IF($C266="","",INDEX(SchedZone,$C266,MAP!$B$10))</f>
        <v>LV</v>
      </c>
      <c r="I266" s="2" t="str">
        <f t="array" ref="I266">IF($H266="","",IF(COUNTIF(Teams,$H266)&gt;0,$H266,IFERROR(INDEX(LISTS!$D$2:$D$12,MATCH($H266,LISTS!$C$2:$C$12,0)),"⚠ "&amp;$H266)))</f>
        <v>LV</v>
      </c>
      <c r="J266" s="2" t="str">
        <f t="array" ref="J266">IF($C266="","",INDEX(SchedZone,$C266,MAP!$B$12))</f>
        <v>SF</v>
      </c>
      <c r="K266" s="2" t="str">
        <f t="array" ref="K266">IF($J266="","",IF(COUNTIF(Teams,$J266)&gt;0,$J266,IFERROR(INDEX(LISTS!$D$2:$D$12,MATCH($J266,LISTS!$C$2:$C$12,0)),"⚠ "&amp;$J266)))</f>
        <v>SF</v>
      </c>
      <c r="L266" s="2" t="str">
        <f t="array" ref="L266">IF($C266="","",IF(INDEX(SchedZone,$C266,MAP!$B$14)="Neutral","N",IF($B266="HOME","H","A")))</f>
        <v>A</v>
      </c>
      <c r="M266" s="2" t="str">
        <f t="array" ref="M266">IF($C266="","",IF(INDEX(SchedZone,$C266,MAP!$B$11)="","",INDEX(SchedZone,$C266,MAP!$B$11)))</f>
        <v/>
      </c>
      <c r="N266" s="2" t="str">
        <f t="array" ref="N266">IF($C266="","",IF(INDEX(SchedZone,$C266,MAP!$B$13)="","",INDEX(SchedZone,$C266,MAP!$B$13)))</f>
        <v/>
      </c>
      <c r="O266" s="2">
        <f t="array" ref="O266">IF($C266="","",INDEX(SchedZone,$C266,MAP!$B$15))</f>
        <v>7</v>
      </c>
      <c r="P266" s="2" t="str">
        <f>IF($C266="","",IFERROR(MATCH($E266&amp;"|"&amp;$G266&amp;"|"&amp;$I266,StatsKey,0),""))</f>
        <v/>
      </c>
      <c r="Q266" s="2">
        <f t="array" ref="Q266">IF($P266="",0,INDEX(StatsZone,$P266,MAP!$E$9)+INDEX(StatsZone,$P266,MAP!$E$10)+INDEX(StatsZone,$P266,MAP!$E$11))</f>
        <v>0</v>
      </c>
      <c r="R266" s="2">
        <f t="array" ref="R266">IF($P266="",0,INDEX(StatsZone,$P266,MAP!$E$12))</f>
        <v>0</v>
      </c>
      <c r="S266" s="2">
        <f t="array" ref="S266">IF($P266="",0,INDEX(StatsZone,$P266,MAP!$E$13))</f>
        <v>0</v>
      </c>
      <c r="T266" s="2">
        <f t="shared" si="1"/>
        <v>0</v>
      </c>
      <c r="U266" s="2">
        <f t="array" ref="U266">IF($P266="",0,INDEX(StatsZone,$P266,MAP!$E$14)+INDEX(StatsZone,$P266,MAP!$E$15)+INDEX(StatsZone,$P266,MAP!$E$16))</f>
        <v>0</v>
      </c>
      <c r="V266" s="2">
        <f t="shared" si="2"/>
        <v>0</v>
      </c>
      <c r="W266" s="2">
        <f t="shared" si="3"/>
        <v>0</v>
      </c>
      <c r="X266" s="2">
        <f t="shared" si="4"/>
        <v>0</v>
      </c>
      <c r="Y266" s="2">
        <f t="shared" si="5"/>
        <v>0</v>
      </c>
      <c r="Z266" s="2">
        <f t="shared" si="6"/>
        <v>0</v>
      </c>
      <c r="AA266" s="2">
        <f t="shared" si="7"/>
        <v>-1</v>
      </c>
      <c r="AB266" s="2">
        <f>IF(OR($M266="",$N266=""),0,MEDIAN(-MarginCap,MarginCap,($M266-$N266)-$AA266*HFA_Base))</f>
        <v>0</v>
      </c>
      <c r="AC266" s="2">
        <f t="array" ref="AC266">IF(OR($P266="",INDEX($P$3:$P$722,(ROW()+IF(MOD(ROW()-3,2)=0,1,-1))-3+1)=""),0,MEDIAN(-MarginCap,MarginCap,($T266-$W266)-$AA266*HFA_Base))</f>
        <v>0</v>
      </c>
      <c r="AD266" s="2">
        <f t="shared" si="8"/>
        <v>0</v>
      </c>
      <c r="AE266" s="2">
        <f>IF(OR($M266="",$N266=""),0,IF(AND(WEpa&gt;0,$AD266=1),(1-WEpa)*$AB266+WEpa*$AC266,$AB266))</f>
        <v>0</v>
      </c>
      <c r="AF266" s="2">
        <f>IF(AND($C266&lt;&gt;"",$E266=CurrentSeason,$F266="REG",ISNUMBER($G266),$G266&lt;CurrentWeek,AND($M266&lt;&gt;"",$N266&lt;&gt;"")),1,0)</f>
        <v>0</v>
      </c>
      <c r="AG266" s="2">
        <f>IF($AF266=0,0,IF($G266&gt;=CurrentWeek-RecencyWin,RecencyMult,1))</f>
        <v>0</v>
      </c>
      <c r="AH266" s="2">
        <f>IF(AND($C266&lt;&gt;"",$E266=CurrentSeason,$F266="REG",ISNUMBER($G266),$G266&lt;CurrentWeek-1,AND($M266&lt;&gt;"",$N266&lt;&gt;"")),1,0)</f>
        <v>0</v>
      </c>
      <c r="AI266" s="2">
        <f>IF($AH266=0,0,IF($G266&gt;=CurrentWeek-1-RecencyWin,RecencyMult,1))</f>
        <v>0</v>
      </c>
      <c r="AJ266" s="2">
        <f>IF($AF266=0,0,IF($G266&gt;=CurrentWeek-RecencyWin,TotRecency,1))</f>
        <v>0</v>
      </c>
      <c r="AK266" s="2">
        <f t="shared" si="9"/>
        <v>0</v>
      </c>
      <c r="AL266" s="2">
        <f t="shared" si="10"/>
        <v>0</v>
      </c>
      <c r="AM266" s="2" t="str">
        <f t="array" ref="AM266">IF($K266="",0,IFERROR(INDEX(CALC!$F$2:$F$33,MATCH($K266,CALC!$A$2:$A$33,0)),0))</f>
        <v/>
      </c>
      <c r="AN266" s="2" t="str">
        <f t="array" ref="AN266">IF($K266="",0,IFERROR(INDEX(CALC!$I$2:$I$33,MATCH($K266,CALC!$A$2:$A$33,0)),0))</f>
        <v/>
      </c>
      <c r="AO266" s="2" t="str">
        <f t="array" ref="AO266">IF($K266="",0,IFERROR(INDEX(CALC!$L$2:$L$33,MATCH($K266,CALC!$A$2:$A$33,0)),0))</f>
        <v/>
      </c>
      <c r="AP266" s="2" t="str">
        <f t="array" ref="AP266">IF($K266="",0,IFERROR(INDEX(CALC!$T$2:$T$33,MATCH($K266,CALC!$A$2:$A$33,0)),0))</f>
        <v/>
      </c>
      <c r="AQ266" s="2" t="str">
        <f t="array" ref="AQ266">IF($K266="",0,IFERROR(INDEX(CALC!$W$2:$W$33,MATCH($K266,CALC!$A$2:$A$33,0)),0))</f>
        <v/>
      </c>
      <c r="AR266" s="2" t="str">
        <f t="array" ref="AR266">IF($K266="",0,IFERROR(INDEX(CALC!$Z$2:$Z$33,MATCH($K266,CALC!$A$2:$A$33,0)),0))</f>
        <v/>
      </c>
      <c r="AS266" s="2" t="str">
        <f t="array" ref="AS266">IF($K266="",0,IFERROR(INDEX(CALC!$AJ$2:$AJ$33,MATCH($K266,CALC!$A$2:$A$33,0)),0))</f>
        <v/>
      </c>
      <c r="AT266" s="2" t="str">
        <f t="array" ref="AT266">IF($K266="",0,IFERROR(INDEX(CALC!$AI$2:$AI$33,MATCH($K266,CALC!$A$2:$A$33,0)),0))</f>
        <v/>
      </c>
      <c r="AU266" s="2">
        <f t="shared" si="11"/>
        <v>0</v>
      </c>
      <c r="AV266" s="2">
        <f t="shared" si="12"/>
        <v>0</v>
      </c>
    </row>
    <row r="267" ht="15.0" customHeight="1">
      <c r="A267" s="2">
        <v>133.0</v>
      </c>
      <c r="B267" s="2" t="s">
        <v>2365</v>
      </c>
      <c r="C267" s="2">
        <f>IFERROR(MATCH($A267,SchedSeq,0),"")</f>
        <v>418</v>
      </c>
      <c r="D267" s="2" t="str">
        <f t="array" ref="D267">IF($C267="","",INDEX(SchedZone,$C267,MAP!$B$6))</f>
        <v>2026_09_GB_NE</v>
      </c>
      <c r="E267" s="2">
        <f t="array" ref="E267">IF($C267="","",INDEX(SchedZone,$C267,MAP!$B$3))</f>
        <v>2026</v>
      </c>
      <c r="F267" s="2" t="str">
        <f t="array" ref="F267">IF($C267="","",INDEX(SchedZone,$C267,MAP!$B$5))</f>
        <v>REG</v>
      </c>
      <c r="G267" s="2">
        <f t="array" ref="G267">IF($C267="","",INDEX(SchedZone,$C267,MAP!$B$4))</f>
        <v>9</v>
      </c>
      <c r="H267" s="2" t="str">
        <f t="array" ref="H267">IF($C267="","",INDEX(SchedZone,$C267,MAP!$B$12))</f>
        <v>NE</v>
      </c>
      <c r="I267" s="2" t="str">
        <f t="array" ref="I267">IF($H267="","",IF(COUNTIF(Teams,$H267)&gt;0,$H267,IFERROR(INDEX(LISTS!$D$2:$D$12,MATCH($H267,LISTS!$C$2:$C$12,0)),"⚠ "&amp;$H267)))</f>
        <v>NE</v>
      </c>
      <c r="J267" s="2" t="str">
        <f t="array" ref="J267">IF($C267="","",INDEX(SchedZone,$C267,MAP!$B$10))</f>
        <v>GB</v>
      </c>
      <c r="K267" s="2" t="str">
        <f t="array" ref="K267">IF($J267="","",IF(COUNTIF(Teams,$J267)&gt;0,$J267,IFERROR(INDEX(LISTS!$D$2:$D$12,MATCH($J267,LISTS!$C$2:$C$12,0)),"⚠ "&amp;$J267)))</f>
        <v>GB</v>
      </c>
      <c r="L267" s="2" t="str">
        <f t="array" ref="L267">IF($C267="","",IF(INDEX(SchedZone,$C267,MAP!$B$14)="Neutral","N",IF($B267="HOME","H","A")))</f>
        <v>H</v>
      </c>
      <c r="M267" s="2" t="str">
        <f t="array" ref="M267">IF($C267="","",IF(INDEX(SchedZone,$C267,MAP!$B$13)="","",INDEX(SchedZone,$C267,MAP!$B$13)))</f>
        <v/>
      </c>
      <c r="N267" s="2" t="str">
        <f t="array" ref="N267">IF($C267="","",IF(INDEX(SchedZone,$C267,MAP!$B$11)="","",INDEX(SchedZone,$C267,MAP!$B$11)))</f>
        <v/>
      </c>
      <c r="O267" s="2">
        <f t="array" ref="O267">IF($C267="","",INDEX(SchedZone,$C267,MAP!$B$16))</f>
        <v>7</v>
      </c>
      <c r="P267" s="2" t="str">
        <f>IF($C267="","",IFERROR(MATCH($E267&amp;"|"&amp;$G267&amp;"|"&amp;$I267,StatsKey,0),""))</f>
        <v/>
      </c>
      <c r="Q267" s="2">
        <f t="array" ref="Q267">IF($P267="",0,INDEX(StatsZone,$P267,MAP!$E$9)+INDEX(StatsZone,$P267,MAP!$E$10)+INDEX(StatsZone,$P267,MAP!$E$11))</f>
        <v>0</v>
      </c>
      <c r="R267" s="2">
        <f t="array" ref="R267">IF($P267="",0,INDEX(StatsZone,$P267,MAP!$E$12))</f>
        <v>0</v>
      </c>
      <c r="S267" s="2">
        <f t="array" ref="S267">IF($P267="",0,INDEX(StatsZone,$P267,MAP!$E$13))</f>
        <v>0</v>
      </c>
      <c r="T267" s="2">
        <f t="shared" si="1"/>
        <v>0</v>
      </c>
      <c r="U267" s="2">
        <f t="array" ref="U267">IF($P267="",0,INDEX(StatsZone,$P267,MAP!$E$14)+INDEX(StatsZone,$P267,MAP!$E$15)+INDEX(StatsZone,$P267,MAP!$E$16))</f>
        <v>0</v>
      </c>
      <c r="V267" s="2">
        <f t="shared" si="2"/>
        <v>0</v>
      </c>
      <c r="W267" s="2">
        <f t="shared" si="3"/>
        <v>0</v>
      </c>
      <c r="X267" s="2">
        <f t="shared" si="4"/>
        <v>0</v>
      </c>
      <c r="Y267" s="2">
        <f t="shared" si="5"/>
        <v>0</v>
      </c>
      <c r="Z267" s="2">
        <f t="shared" si="6"/>
        <v>0</v>
      </c>
      <c r="AA267" s="2">
        <f t="shared" si="7"/>
        <v>1</v>
      </c>
      <c r="AB267" s="2">
        <f>IF(OR($M267="",$N267=""),0,MEDIAN(-MarginCap,MarginCap,($M267-$N267)-$AA267*HFA_Base))</f>
        <v>0</v>
      </c>
      <c r="AC267" s="2">
        <f t="array" ref="AC267">IF(OR($P267="",INDEX($P$3:$P$722,(ROW()+IF(MOD(ROW()-3,2)=0,1,-1))-3+1)=""),0,MEDIAN(-MarginCap,MarginCap,($T267-$W267)-$AA267*HFA_Base))</f>
        <v>0</v>
      </c>
      <c r="AD267" s="2">
        <f t="shared" si="8"/>
        <v>0</v>
      </c>
      <c r="AE267" s="2">
        <f>IF(OR($M267="",$N267=""),0,IF(AND(WEpa&gt;0,$AD267=1),(1-WEpa)*$AB267+WEpa*$AC267,$AB267))</f>
        <v>0</v>
      </c>
      <c r="AF267" s="2">
        <f>IF(AND($C267&lt;&gt;"",$E267=CurrentSeason,$F267="REG",ISNUMBER($G267),$G267&lt;CurrentWeek,AND($M267&lt;&gt;"",$N267&lt;&gt;"")),1,0)</f>
        <v>0</v>
      </c>
      <c r="AG267" s="2">
        <f>IF($AF267=0,0,IF($G267&gt;=CurrentWeek-RecencyWin,RecencyMult,1))</f>
        <v>0</v>
      </c>
      <c r="AH267" s="2">
        <f>IF(AND($C267&lt;&gt;"",$E267=CurrentSeason,$F267="REG",ISNUMBER($G267),$G267&lt;CurrentWeek-1,AND($M267&lt;&gt;"",$N267&lt;&gt;"")),1,0)</f>
        <v>0</v>
      </c>
      <c r="AI267" s="2">
        <f>IF($AH267=0,0,IF($G267&gt;=CurrentWeek-1-RecencyWin,RecencyMult,1))</f>
        <v>0</v>
      </c>
      <c r="AJ267" s="2">
        <f>IF($AF267=0,0,IF($G267&gt;=CurrentWeek-RecencyWin,TotRecency,1))</f>
        <v>0</v>
      </c>
      <c r="AK267" s="2">
        <f t="shared" si="9"/>
        <v>0</v>
      </c>
      <c r="AL267" s="2">
        <f t="shared" si="10"/>
        <v>0</v>
      </c>
      <c r="AM267" s="2" t="str">
        <f t="array" ref="AM267">IF($K267="",0,IFERROR(INDEX(CALC!$F$2:$F$33,MATCH($K267,CALC!$A$2:$A$33,0)),0))</f>
        <v/>
      </c>
      <c r="AN267" s="2" t="str">
        <f t="array" ref="AN267">IF($K267="",0,IFERROR(INDEX(CALC!$I$2:$I$33,MATCH($K267,CALC!$A$2:$A$33,0)),0))</f>
        <v/>
      </c>
      <c r="AO267" s="2" t="str">
        <f t="array" ref="AO267">IF($K267="",0,IFERROR(INDEX(CALC!$L$2:$L$33,MATCH($K267,CALC!$A$2:$A$33,0)),0))</f>
        <v/>
      </c>
      <c r="AP267" s="2" t="str">
        <f t="array" ref="AP267">IF($K267="",0,IFERROR(INDEX(CALC!$T$2:$T$33,MATCH($K267,CALC!$A$2:$A$33,0)),0))</f>
        <v/>
      </c>
      <c r="AQ267" s="2" t="str">
        <f t="array" ref="AQ267">IF($K267="",0,IFERROR(INDEX(CALC!$W$2:$W$33,MATCH($K267,CALC!$A$2:$A$33,0)),0))</f>
        <v/>
      </c>
      <c r="AR267" s="2" t="str">
        <f t="array" ref="AR267">IF($K267="",0,IFERROR(INDEX(CALC!$Z$2:$Z$33,MATCH($K267,CALC!$A$2:$A$33,0)),0))</f>
        <v/>
      </c>
      <c r="AS267" s="2" t="str">
        <f t="array" ref="AS267">IF($K267="",0,IFERROR(INDEX(CALC!$AJ$2:$AJ$33,MATCH($K267,CALC!$A$2:$A$33,0)),0))</f>
        <v/>
      </c>
      <c r="AT267" s="2" t="str">
        <f t="array" ref="AT267">IF($K267="",0,IFERROR(INDEX(CALC!$AI$2:$AI$33,MATCH($K267,CALC!$A$2:$A$33,0)),0))</f>
        <v/>
      </c>
      <c r="AU267" s="2">
        <f t="shared" si="11"/>
        <v>0</v>
      </c>
      <c r="AV267" s="2">
        <f t="shared" si="12"/>
        <v>0</v>
      </c>
    </row>
    <row r="268" ht="15.0" customHeight="1">
      <c r="A268" s="2">
        <v>133.0</v>
      </c>
      <c r="B268" s="2" t="s">
        <v>2366</v>
      </c>
      <c r="C268" s="2">
        <f>IFERROR(MATCH($A268,SchedSeq,0),"")</f>
        <v>418</v>
      </c>
      <c r="D268" s="2" t="str">
        <f t="array" ref="D268">IF($C268="","",INDEX(SchedZone,$C268,MAP!$B$6))</f>
        <v>2026_09_GB_NE</v>
      </c>
      <c r="E268" s="2">
        <f t="array" ref="E268">IF($C268="","",INDEX(SchedZone,$C268,MAP!$B$3))</f>
        <v>2026</v>
      </c>
      <c r="F268" s="2" t="str">
        <f t="array" ref="F268">IF($C268="","",INDEX(SchedZone,$C268,MAP!$B$5))</f>
        <v>REG</v>
      </c>
      <c r="G268" s="2">
        <f t="array" ref="G268">IF($C268="","",INDEX(SchedZone,$C268,MAP!$B$4))</f>
        <v>9</v>
      </c>
      <c r="H268" s="2" t="str">
        <f t="array" ref="H268">IF($C268="","",INDEX(SchedZone,$C268,MAP!$B$10))</f>
        <v>GB</v>
      </c>
      <c r="I268" s="2" t="str">
        <f t="array" ref="I268">IF($H268="","",IF(COUNTIF(Teams,$H268)&gt;0,$H268,IFERROR(INDEX(LISTS!$D$2:$D$12,MATCH($H268,LISTS!$C$2:$C$12,0)),"⚠ "&amp;$H268)))</f>
        <v>GB</v>
      </c>
      <c r="J268" s="2" t="str">
        <f t="array" ref="J268">IF($C268="","",INDEX(SchedZone,$C268,MAP!$B$12))</f>
        <v>NE</v>
      </c>
      <c r="K268" s="2" t="str">
        <f t="array" ref="K268">IF($J268="","",IF(COUNTIF(Teams,$J268)&gt;0,$J268,IFERROR(INDEX(LISTS!$D$2:$D$12,MATCH($J268,LISTS!$C$2:$C$12,0)),"⚠ "&amp;$J268)))</f>
        <v>NE</v>
      </c>
      <c r="L268" s="2" t="str">
        <f t="array" ref="L268">IF($C268="","",IF(INDEX(SchedZone,$C268,MAP!$B$14)="Neutral","N",IF($B268="HOME","H","A")))</f>
        <v>A</v>
      </c>
      <c r="M268" s="2" t="str">
        <f t="array" ref="M268">IF($C268="","",IF(INDEX(SchedZone,$C268,MAP!$B$11)="","",INDEX(SchedZone,$C268,MAP!$B$11)))</f>
        <v/>
      </c>
      <c r="N268" s="2" t="str">
        <f t="array" ref="N268">IF($C268="","",IF(INDEX(SchedZone,$C268,MAP!$B$13)="","",INDEX(SchedZone,$C268,MAP!$B$13)))</f>
        <v/>
      </c>
      <c r="O268" s="2">
        <f t="array" ref="O268">IF($C268="","",INDEX(SchedZone,$C268,MAP!$B$15))</f>
        <v>10</v>
      </c>
      <c r="P268" s="2" t="str">
        <f>IF($C268="","",IFERROR(MATCH($E268&amp;"|"&amp;$G268&amp;"|"&amp;$I268,StatsKey,0),""))</f>
        <v/>
      </c>
      <c r="Q268" s="2">
        <f t="array" ref="Q268">IF($P268="",0,INDEX(StatsZone,$P268,MAP!$E$9)+INDEX(StatsZone,$P268,MAP!$E$10)+INDEX(StatsZone,$P268,MAP!$E$11))</f>
        <v>0</v>
      </c>
      <c r="R268" s="2">
        <f t="array" ref="R268">IF($P268="",0,INDEX(StatsZone,$P268,MAP!$E$12))</f>
        <v>0</v>
      </c>
      <c r="S268" s="2">
        <f t="array" ref="S268">IF($P268="",0,INDEX(StatsZone,$P268,MAP!$E$13))</f>
        <v>0</v>
      </c>
      <c r="T268" s="2">
        <f t="shared" si="1"/>
        <v>0</v>
      </c>
      <c r="U268" s="2">
        <f t="array" ref="U268">IF($P268="",0,INDEX(StatsZone,$P268,MAP!$E$14)+INDEX(StatsZone,$P268,MAP!$E$15)+INDEX(StatsZone,$P268,MAP!$E$16))</f>
        <v>0</v>
      </c>
      <c r="V268" s="2">
        <f t="shared" si="2"/>
        <v>0</v>
      </c>
      <c r="W268" s="2">
        <f t="shared" si="3"/>
        <v>0</v>
      </c>
      <c r="X268" s="2">
        <f t="shared" si="4"/>
        <v>0</v>
      </c>
      <c r="Y268" s="2">
        <f t="shared" si="5"/>
        <v>0</v>
      </c>
      <c r="Z268" s="2">
        <f t="shared" si="6"/>
        <v>0</v>
      </c>
      <c r="AA268" s="2">
        <f t="shared" si="7"/>
        <v>-1</v>
      </c>
      <c r="AB268" s="2">
        <f>IF(OR($M268="",$N268=""),0,MEDIAN(-MarginCap,MarginCap,($M268-$N268)-$AA268*HFA_Base))</f>
        <v>0</v>
      </c>
      <c r="AC268" s="2">
        <f t="array" ref="AC268">IF(OR($P268="",INDEX($P$3:$P$722,(ROW()+IF(MOD(ROW()-3,2)=0,1,-1))-3+1)=""),0,MEDIAN(-MarginCap,MarginCap,($T268-$W268)-$AA268*HFA_Base))</f>
        <v>0</v>
      </c>
      <c r="AD268" s="2">
        <f t="shared" si="8"/>
        <v>0</v>
      </c>
      <c r="AE268" s="2">
        <f>IF(OR($M268="",$N268=""),0,IF(AND(WEpa&gt;0,$AD268=1),(1-WEpa)*$AB268+WEpa*$AC268,$AB268))</f>
        <v>0</v>
      </c>
      <c r="AF268" s="2">
        <f>IF(AND($C268&lt;&gt;"",$E268=CurrentSeason,$F268="REG",ISNUMBER($G268),$G268&lt;CurrentWeek,AND($M268&lt;&gt;"",$N268&lt;&gt;"")),1,0)</f>
        <v>0</v>
      </c>
      <c r="AG268" s="2">
        <f>IF($AF268=0,0,IF($G268&gt;=CurrentWeek-RecencyWin,RecencyMult,1))</f>
        <v>0</v>
      </c>
      <c r="AH268" s="2">
        <f>IF(AND($C268&lt;&gt;"",$E268=CurrentSeason,$F268="REG",ISNUMBER($G268),$G268&lt;CurrentWeek-1,AND($M268&lt;&gt;"",$N268&lt;&gt;"")),1,0)</f>
        <v>0</v>
      </c>
      <c r="AI268" s="2">
        <f>IF($AH268=0,0,IF($G268&gt;=CurrentWeek-1-RecencyWin,RecencyMult,1))</f>
        <v>0</v>
      </c>
      <c r="AJ268" s="2">
        <f>IF($AF268=0,0,IF($G268&gt;=CurrentWeek-RecencyWin,TotRecency,1))</f>
        <v>0</v>
      </c>
      <c r="AK268" s="2">
        <f t="shared" si="9"/>
        <v>0</v>
      </c>
      <c r="AL268" s="2">
        <f t="shared" si="10"/>
        <v>0</v>
      </c>
      <c r="AM268" s="2" t="str">
        <f t="array" ref="AM268">IF($K268="",0,IFERROR(INDEX(CALC!$F$2:$F$33,MATCH($K268,CALC!$A$2:$A$33,0)),0))</f>
        <v/>
      </c>
      <c r="AN268" s="2" t="str">
        <f t="array" ref="AN268">IF($K268="",0,IFERROR(INDEX(CALC!$I$2:$I$33,MATCH($K268,CALC!$A$2:$A$33,0)),0))</f>
        <v/>
      </c>
      <c r="AO268" s="2" t="str">
        <f t="array" ref="AO268">IF($K268="",0,IFERROR(INDEX(CALC!$L$2:$L$33,MATCH($K268,CALC!$A$2:$A$33,0)),0))</f>
        <v/>
      </c>
      <c r="AP268" s="2" t="str">
        <f t="array" ref="AP268">IF($K268="",0,IFERROR(INDEX(CALC!$T$2:$T$33,MATCH($K268,CALC!$A$2:$A$33,0)),0))</f>
        <v/>
      </c>
      <c r="AQ268" s="2" t="str">
        <f t="array" ref="AQ268">IF($K268="",0,IFERROR(INDEX(CALC!$W$2:$W$33,MATCH($K268,CALC!$A$2:$A$33,0)),0))</f>
        <v/>
      </c>
      <c r="AR268" s="2" t="str">
        <f t="array" ref="AR268">IF($K268="",0,IFERROR(INDEX(CALC!$Z$2:$Z$33,MATCH($K268,CALC!$A$2:$A$33,0)),0))</f>
        <v/>
      </c>
      <c r="AS268" s="2" t="str">
        <f t="array" ref="AS268">IF($K268="",0,IFERROR(INDEX(CALC!$AJ$2:$AJ$33,MATCH($K268,CALC!$A$2:$A$33,0)),0))</f>
        <v/>
      </c>
      <c r="AT268" s="2" t="str">
        <f t="array" ref="AT268">IF($K268="",0,IFERROR(INDEX(CALC!$AI$2:$AI$33,MATCH($K268,CALC!$A$2:$A$33,0)),0))</f>
        <v/>
      </c>
      <c r="AU268" s="2">
        <f t="shared" si="11"/>
        <v>0</v>
      </c>
      <c r="AV268" s="2">
        <f t="shared" si="12"/>
        <v>0</v>
      </c>
    </row>
    <row r="269" ht="15.0" customHeight="1">
      <c r="A269" s="2">
        <v>134.0</v>
      </c>
      <c r="B269" s="2" t="s">
        <v>2365</v>
      </c>
      <c r="C269" s="2">
        <f>IFERROR(MATCH($A269,SchedSeq,0),"")</f>
        <v>419</v>
      </c>
      <c r="D269" s="2" t="str">
        <f t="array" ref="D269">IF($C269="","",INDEX(SchedZone,$C269,MAP!$B$6))</f>
        <v>2026_09_ARI_SEA</v>
      </c>
      <c r="E269" s="2">
        <f t="array" ref="E269">IF($C269="","",INDEX(SchedZone,$C269,MAP!$B$3))</f>
        <v>2026</v>
      </c>
      <c r="F269" s="2" t="str">
        <f t="array" ref="F269">IF($C269="","",INDEX(SchedZone,$C269,MAP!$B$5))</f>
        <v>REG</v>
      </c>
      <c r="G269" s="2">
        <f t="array" ref="G269">IF($C269="","",INDEX(SchedZone,$C269,MAP!$B$4))</f>
        <v>9</v>
      </c>
      <c r="H269" s="2" t="str">
        <f t="array" ref="H269">IF($C269="","",INDEX(SchedZone,$C269,MAP!$B$12))</f>
        <v>SEA</v>
      </c>
      <c r="I269" s="2" t="str">
        <f t="array" ref="I269">IF($H269="","",IF(COUNTIF(Teams,$H269)&gt;0,$H269,IFERROR(INDEX(LISTS!$D$2:$D$12,MATCH($H269,LISTS!$C$2:$C$12,0)),"⚠ "&amp;$H269)))</f>
        <v>SEA</v>
      </c>
      <c r="J269" s="2" t="str">
        <f t="array" ref="J269">IF($C269="","",INDEX(SchedZone,$C269,MAP!$B$10))</f>
        <v>ARI</v>
      </c>
      <c r="K269" s="2" t="str">
        <f t="array" ref="K269">IF($J269="","",IF(COUNTIF(Teams,$J269)&gt;0,$J269,IFERROR(INDEX(LISTS!$D$2:$D$12,MATCH($J269,LISTS!$C$2:$C$12,0)),"⚠ "&amp;$J269)))</f>
        <v>ARI</v>
      </c>
      <c r="L269" s="2" t="str">
        <f t="array" ref="L269">IF($C269="","",IF(INDEX(SchedZone,$C269,MAP!$B$14)="Neutral","N",IF($B269="HOME","H","A")))</f>
        <v>H</v>
      </c>
      <c r="M269" s="2" t="str">
        <f t="array" ref="M269">IF($C269="","",IF(INDEX(SchedZone,$C269,MAP!$B$13)="","",INDEX(SchedZone,$C269,MAP!$B$13)))</f>
        <v/>
      </c>
      <c r="N269" s="2" t="str">
        <f t="array" ref="N269">IF($C269="","",IF(INDEX(SchedZone,$C269,MAP!$B$11)="","",INDEX(SchedZone,$C269,MAP!$B$11)))</f>
        <v/>
      </c>
      <c r="O269" s="2">
        <f t="array" ref="O269">IF($C269="","",INDEX(SchedZone,$C269,MAP!$B$16))</f>
        <v>6</v>
      </c>
      <c r="P269" s="2" t="str">
        <f>IF($C269="","",IFERROR(MATCH($E269&amp;"|"&amp;$G269&amp;"|"&amp;$I269,StatsKey,0),""))</f>
        <v/>
      </c>
      <c r="Q269" s="2">
        <f t="array" ref="Q269">IF($P269="",0,INDEX(StatsZone,$P269,MAP!$E$9)+INDEX(StatsZone,$P269,MAP!$E$10)+INDEX(StatsZone,$P269,MAP!$E$11))</f>
        <v>0</v>
      </c>
      <c r="R269" s="2">
        <f t="array" ref="R269">IF($P269="",0,INDEX(StatsZone,$P269,MAP!$E$12))</f>
        <v>0</v>
      </c>
      <c r="S269" s="2">
        <f t="array" ref="S269">IF($P269="",0,INDEX(StatsZone,$P269,MAP!$E$13))</f>
        <v>0</v>
      </c>
      <c r="T269" s="2">
        <f t="shared" si="1"/>
        <v>0</v>
      </c>
      <c r="U269" s="2">
        <f t="array" ref="U269">IF($P269="",0,INDEX(StatsZone,$P269,MAP!$E$14)+INDEX(StatsZone,$P269,MAP!$E$15)+INDEX(StatsZone,$P269,MAP!$E$16))</f>
        <v>0</v>
      </c>
      <c r="V269" s="2">
        <f t="shared" si="2"/>
        <v>0</v>
      </c>
      <c r="W269" s="2">
        <f t="shared" si="3"/>
        <v>0</v>
      </c>
      <c r="X269" s="2">
        <f t="shared" si="4"/>
        <v>0</v>
      </c>
      <c r="Y269" s="2">
        <f t="shared" si="5"/>
        <v>0</v>
      </c>
      <c r="Z269" s="2">
        <f t="shared" si="6"/>
        <v>0</v>
      </c>
      <c r="AA269" s="2">
        <f t="shared" si="7"/>
        <v>1</v>
      </c>
      <c r="AB269" s="2">
        <f>IF(OR($M269="",$N269=""),0,MEDIAN(-MarginCap,MarginCap,($M269-$N269)-$AA269*HFA_Base))</f>
        <v>0</v>
      </c>
      <c r="AC269" s="2">
        <f t="array" ref="AC269">IF(OR($P269="",INDEX($P$3:$P$722,(ROW()+IF(MOD(ROW()-3,2)=0,1,-1))-3+1)=""),0,MEDIAN(-MarginCap,MarginCap,($T269-$W269)-$AA269*HFA_Base))</f>
        <v>0</v>
      </c>
      <c r="AD269" s="2">
        <f t="shared" si="8"/>
        <v>0</v>
      </c>
      <c r="AE269" s="2">
        <f>IF(OR($M269="",$N269=""),0,IF(AND(WEpa&gt;0,$AD269=1),(1-WEpa)*$AB269+WEpa*$AC269,$AB269))</f>
        <v>0</v>
      </c>
      <c r="AF269" s="2">
        <f>IF(AND($C269&lt;&gt;"",$E269=CurrentSeason,$F269="REG",ISNUMBER($G269),$G269&lt;CurrentWeek,AND($M269&lt;&gt;"",$N269&lt;&gt;"")),1,0)</f>
        <v>0</v>
      </c>
      <c r="AG269" s="2">
        <f>IF($AF269=0,0,IF($G269&gt;=CurrentWeek-RecencyWin,RecencyMult,1))</f>
        <v>0</v>
      </c>
      <c r="AH269" s="2">
        <f>IF(AND($C269&lt;&gt;"",$E269=CurrentSeason,$F269="REG",ISNUMBER($G269),$G269&lt;CurrentWeek-1,AND($M269&lt;&gt;"",$N269&lt;&gt;"")),1,0)</f>
        <v>0</v>
      </c>
      <c r="AI269" s="2">
        <f>IF($AH269=0,0,IF($G269&gt;=CurrentWeek-1-RecencyWin,RecencyMult,1))</f>
        <v>0</v>
      </c>
      <c r="AJ269" s="2">
        <f>IF($AF269=0,0,IF($G269&gt;=CurrentWeek-RecencyWin,TotRecency,1))</f>
        <v>0</v>
      </c>
      <c r="AK269" s="2">
        <f t="shared" si="9"/>
        <v>0</v>
      </c>
      <c r="AL269" s="2">
        <f t="shared" si="10"/>
        <v>0</v>
      </c>
      <c r="AM269" s="2" t="str">
        <f t="array" ref="AM269">IF($K269="",0,IFERROR(INDEX(CALC!$F$2:$F$33,MATCH($K269,CALC!$A$2:$A$33,0)),0))</f>
        <v/>
      </c>
      <c r="AN269" s="2" t="str">
        <f t="array" ref="AN269">IF($K269="",0,IFERROR(INDEX(CALC!$I$2:$I$33,MATCH($K269,CALC!$A$2:$A$33,0)),0))</f>
        <v/>
      </c>
      <c r="AO269" s="2" t="str">
        <f t="array" ref="AO269">IF($K269="",0,IFERROR(INDEX(CALC!$L$2:$L$33,MATCH($K269,CALC!$A$2:$A$33,0)),0))</f>
        <v/>
      </c>
      <c r="AP269" s="2" t="str">
        <f t="array" ref="AP269">IF($K269="",0,IFERROR(INDEX(CALC!$T$2:$T$33,MATCH($K269,CALC!$A$2:$A$33,0)),0))</f>
        <v/>
      </c>
      <c r="AQ269" s="2" t="str">
        <f t="array" ref="AQ269">IF($K269="",0,IFERROR(INDEX(CALC!$W$2:$W$33,MATCH($K269,CALC!$A$2:$A$33,0)),0))</f>
        <v/>
      </c>
      <c r="AR269" s="2" t="str">
        <f t="array" ref="AR269">IF($K269="",0,IFERROR(INDEX(CALC!$Z$2:$Z$33,MATCH($K269,CALC!$A$2:$A$33,0)),0))</f>
        <v/>
      </c>
      <c r="AS269" s="2" t="str">
        <f t="array" ref="AS269">IF($K269="",0,IFERROR(INDEX(CALC!$AJ$2:$AJ$33,MATCH($K269,CALC!$A$2:$A$33,0)),0))</f>
        <v/>
      </c>
      <c r="AT269" s="2" t="str">
        <f t="array" ref="AT269">IF($K269="",0,IFERROR(INDEX(CALC!$AI$2:$AI$33,MATCH($K269,CALC!$A$2:$A$33,0)),0))</f>
        <v/>
      </c>
      <c r="AU269" s="2">
        <f t="shared" si="11"/>
        <v>0</v>
      </c>
      <c r="AV269" s="2">
        <f t="shared" si="12"/>
        <v>0</v>
      </c>
    </row>
    <row r="270" ht="15.0" customHeight="1">
      <c r="A270" s="2">
        <v>134.0</v>
      </c>
      <c r="B270" s="2" t="s">
        <v>2366</v>
      </c>
      <c r="C270" s="2">
        <f>IFERROR(MATCH($A270,SchedSeq,0),"")</f>
        <v>419</v>
      </c>
      <c r="D270" s="2" t="str">
        <f t="array" ref="D270">IF($C270="","",INDEX(SchedZone,$C270,MAP!$B$6))</f>
        <v>2026_09_ARI_SEA</v>
      </c>
      <c r="E270" s="2">
        <f t="array" ref="E270">IF($C270="","",INDEX(SchedZone,$C270,MAP!$B$3))</f>
        <v>2026</v>
      </c>
      <c r="F270" s="2" t="str">
        <f t="array" ref="F270">IF($C270="","",INDEX(SchedZone,$C270,MAP!$B$5))</f>
        <v>REG</v>
      </c>
      <c r="G270" s="2">
        <f t="array" ref="G270">IF($C270="","",INDEX(SchedZone,$C270,MAP!$B$4))</f>
        <v>9</v>
      </c>
      <c r="H270" s="2" t="str">
        <f t="array" ref="H270">IF($C270="","",INDEX(SchedZone,$C270,MAP!$B$10))</f>
        <v>ARI</v>
      </c>
      <c r="I270" s="2" t="str">
        <f t="array" ref="I270">IF($H270="","",IF(COUNTIF(Teams,$H270)&gt;0,$H270,IFERROR(INDEX(LISTS!$D$2:$D$12,MATCH($H270,LISTS!$C$2:$C$12,0)),"⚠ "&amp;$H270)))</f>
        <v>ARI</v>
      </c>
      <c r="J270" s="2" t="str">
        <f t="array" ref="J270">IF($C270="","",INDEX(SchedZone,$C270,MAP!$B$12))</f>
        <v>SEA</v>
      </c>
      <c r="K270" s="2" t="str">
        <f t="array" ref="K270">IF($J270="","",IF(COUNTIF(Teams,$J270)&gt;0,$J270,IFERROR(INDEX(LISTS!$D$2:$D$12,MATCH($J270,LISTS!$C$2:$C$12,0)),"⚠ "&amp;$J270)))</f>
        <v>SEA</v>
      </c>
      <c r="L270" s="2" t="str">
        <f t="array" ref="L270">IF($C270="","",IF(INDEX(SchedZone,$C270,MAP!$B$14)="Neutral","N",IF($B270="HOME","H","A")))</f>
        <v>A</v>
      </c>
      <c r="M270" s="2" t="str">
        <f t="array" ref="M270">IF($C270="","",IF(INDEX(SchedZone,$C270,MAP!$B$11)="","",INDEX(SchedZone,$C270,MAP!$B$11)))</f>
        <v/>
      </c>
      <c r="N270" s="2" t="str">
        <f t="array" ref="N270">IF($C270="","",IF(INDEX(SchedZone,$C270,MAP!$B$13)="","",INDEX(SchedZone,$C270,MAP!$B$13)))</f>
        <v/>
      </c>
      <c r="O270" s="2">
        <f t="array" ref="O270">IF($C270="","",INDEX(SchedZone,$C270,MAP!$B$15))</f>
        <v>7</v>
      </c>
      <c r="P270" s="2" t="str">
        <f>IF($C270="","",IFERROR(MATCH($E270&amp;"|"&amp;$G270&amp;"|"&amp;$I270,StatsKey,0),""))</f>
        <v/>
      </c>
      <c r="Q270" s="2">
        <f t="array" ref="Q270">IF($P270="",0,INDEX(StatsZone,$P270,MAP!$E$9)+INDEX(StatsZone,$P270,MAP!$E$10)+INDEX(StatsZone,$P270,MAP!$E$11))</f>
        <v>0</v>
      </c>
      <c r="R270" s="2">
        <f t="array" ref="R270">IF($P270="",0,INDEX(StatsZone,$P270,MAP!$E$12))</f>
        <v>0</v>
      </c>
      <c r="S270" s="2">
        <f t="array" ref="S270">IF($P270="",0,INDEX(StatsZone,$P270,MAP!$E$13))</f>
        <v>0</v>
      </c>
      <c r="T270" s="2">
        <f t="shared" si="1"/>
        <v>0</v>
      </c>
      <c r="U270" s="2">
        <f t="array" ref="U270">IF($P270="",0,INDEX(StatsZone,$P270,MAP!$E$14)+INDEX(StatsZone,$P270,MAP!$E$15)+INDEX(StatsZone,$P270,MAP!$E$16))</f>
        <v>0</v>
      </c>
      <c r="V270" s="2">
        <f t="shared" si="2"/>
        <v>0</v>
      </c>
      <c r="W270" s="2">
        <f t="shared" si="3"/>
        <v>0</v>
      </c>
      <c r="X270" s="2">
        <f t="shared" si="4"/>
        <v>0</v>
      </c>
      <c r="Y270" s="2">
        <f t="shared" si="5"/>
        <v>0</v>
      </c>
      <c r="Z270" s="2">
        <f t="shared" si="6"/>
        <v>0</v>
      </c>
      <c r="AA270" s="2">
        <f t="shared" si="7"/>
        <v>-1</v>
      </c>
      <c r="AB270" s="2">
        <f>IF(OR($M270="",$N270=""),0,MEDIAN(-MarginCap,MarginCap,($M270-$N270)-$AA270*HFA_Base))</f>
        <v>0</v>
      </c>
      <c r="AC270" s="2">
        <f t="array" ref="AC270">IF(OR($P270="",INDEX($P$3:$P$722,(ROW()+IF(MOD(ROW()-3,2)=0,1,-1))-3+1)=""),0,MEDIAN(-MarginCap,MarginCap,($T270-$W270)-$AA270*HFA_Base))</f>
        <v>0</v>
      </c>
      <c r="AD270" s="2">
        <f t="shared" si="8"/>
        <v>0</v>
      </c>
      <c r="AE270" s="2">
        <f>IF(OR($M270="",$N270=""),0,IF(AND(WEpa&gt;0,$AD270=1),(1-WEpa)*$AB270+WEpa*$AC270,$AB270))</f>
        <v>0</v>
      </c>
      <c r="AF270" s="2">
        <f>IF(AND($C270&lt;&gt;"",$E270=CurrentSeason,$F270="REG",ISNUMBER($G270),$G270&lt;CurrentWeek,AND($M270&lt;&gt;"",$N270&lt;&gt;"")),1,0)</f>
        <v>0</v>
      </c>
      <c r="AG270" s="2">
        <f>IF($AF270=0,0,IF($G270&gt;=CurrentWeek-RecencyWin,RecencyMult,1))</f>
        <v>0</v>
      </c>
      <c r="AH270" s="2">
        <f>IF(AND($C270&lt;&gt;"",$E270=CurrentSeason,$F270="REG",ISNUMBER($G270),$G270&lt;CurrentWeek-1,AND($M270&lt;&gt;"",$N270&lt;&gt;"")),1,0)</f>
        <v>0</v>
      </c>
      <c r="AI270" s="2">
        <f>IF($AH270=0,0,IF($G270&gt;=CurrentWeek-1-RecencyWin,RecencyMult,1))</f>
        <v>0</v>
      </c>
      <c r="AJ270" s="2">
        <f>IF($AF270=0,0,IF($G270&gt;=CurrentWeek-RecencyWin,TotRecency,1))</f>
        <v>0</v>
      </c>
      <c r="AK270" s="2">
        <f t="shared" si="9"/>
        <v>0</v>
      </c>
      <c r="AL270" s="2">
        <f t="shared" si="10"/>
        <v>0</v>
      </c>
      <c r="AM270" s="2" t="str">
        <f t="array" ref="AM270">IF($K270="",0,IFERROR(INDEX(CALC!$F$2:$F$33,MATCH($K270,CALC!$A$2:$A$33,0)),0))</f>
        <v/>
      </c>
      <c r="AN270" s="2" t="str">
        <f t="array" ref="AN270">IF($K270="",0,IFERROR(INDEX(CALC!$I$2:$I$33,MATCH($K270,CALC!$A$2:$A$33,0)),0))</f>
        <v/>
      </c>
      <c r="AO270" s="2" t="str">
        <f t="array" ref="AO270">IF($K270="",0,IFERROR(INDEX(CALC!$L$2:$L$33,MATCH($K270,CALC!$A$2:$A$33,0)),0))</f>
        <v/>
      </c>
      <c r="AP270" s="2" t="str">
        <f t="array" ref="AP270">IF($K270="",0,IFERROR(INDEX(CALC!$T$2:$T$33,MATCH($K270,CALC!$A$2:$A$33,0)),0))</f>
        <v/>
      </c>
      <c r="AQ270" s="2" t="str">
        <f t="array" ref="AQ270">IF($K270="",0,IFERROR(INDEX(CALC!$W$2:$W$33,MATCH($K270,CALC!$A$2:$A$33,0)),0))</f>
        <v/>
      </c>
      <c r="AR270" s="2" t="str">
        <f t="array" ref="AR270">IF($K270="",0,IFERROR(INDEX(CALC!$Z$2:$Z$33,MATCH($K270,CALC!$A$2:$A$33,0)),0))</f>
        <v/>
      </c>
      <c r="AS270" s="2" t="str">
        <f t="array" ref="AS270">IF($K270="",0,IFERROR(INDEX(CALC!$AJ$2:$AJ$33,MATCH($K270,CALC!$A$2:$A$33,0)),0))</f>
        <v/>
      </c>
      <c r="AT270" s="2" t="str">
        <f t="array" ref="AT270">IF($K270="",0,IFERROR(INDEX(CALC!$AI$2:$AI$33,MATCH($K270,CALC!$A$2:$A$33,0)),0))</f>
        <v/>
      </c>
      <c r="AU270" s="2">
        <f t="shared" si="11"/>
        <v>0</v>
      </c>
      <c r="AV270" s="2">
        <f t="shared" si="12"/>
        <v>0</v>
      </c>
    </row>
    <row r="271" ht="15.0" customHeight="1">
      <c r="A271" s="2">
        <v>135.0</v>
      </c>
      <c r="B271" s="2" t="s">
        <v>2365</v>
      </c>
      <c r="C271" s="2">
        <f>IFERROR(MATCH($A271,SchedSeq,0),"")</f>
        <v>420</v>
      </c>
      <c r="D271" s="2" t="str">
        <f t="array" ref="D271">IF($C271="","",INDEX(SchedZone,$C271,MAP!$B$6))</f>
        <v>2026_09_TB_CHI</v>
      </c>
      <c r="E271" s="2">
        <f t="array" ref="E271">IF($C271="","",INDEX(SchedZone,$C271,MAP!$B$3))</f>
        <v>2026</v>
      </c>
      <c r="F271" s="2" t="str">
        <f t="array" ref="F271">IF($C271="","",INDEX(SchedZone,$C271,MAP!$B$5))</f>
        <v>REG</v>
      </c>
      <c r="G271" s="2">
        <f t="array" ref="G271">IF($C271="","",INDEX(SchedZone,$C271,MAP!$B$4))</f>
        <v>9</v>
      </c>
      <c r="H271" s="2" t="str">
        <f t="array" ref="H271">IF($C271="","",INDEX(SchedZone,$C271,MAP!$B$12))</f>
        <v>CHI</v>
      </c>
      <c r="I271" s="2" t="str">
        <f t="array" ref="I271">IF($H271="","",IF(COUNTIF(Teams,$H271)&gt;0,$H271,IFERROR(INDEX(LISTS!$D$2:$D$12,MATCH($H271,LISTS!$C$2:$C$12,0)),"⚠ "&amp;$H271)))</f>
        <v>CHI</v>
      </c>
      <c r="J271" s="2" t="str">
        <f t="array" ref="J271">IF($C271="","",INDEX(SchedZone,$C271,MAP!$B$10))</f>
        <v>TB</v>
      </c>
      <c r="K271" s="2" t="str">
        <f t="array" ref="K271">IF($J271="","",IF(COUNTIF(Teams,$J271)&gt;0,$J271,IFERROR(INDEX(LISTS!$D$2:$D$12,MATCH($J271,LISTS!$C$2:$C$12,0)),"⚠ "&amp;$J271)))</f>
        <v>TB</v>
      </c>
      <c r="L271" s="2" t="str">
        <f t="array" ref="L271">IF($C271="","",IF(INDEX(SchedZone,$C271,MAP!$B$14)="Neutral","N",IF($B271="HOME","H","A")))</f>
        <v>H</v>
      </c>
      <c r="M271" s="2" t="str">
        <f t="array" ref="M271">IF($C271="","",IF(INDEX(SchedZone,$C271,MAP!$B$13)="","",INDEX(SchedZone,$C271,MAP!$B$13)))</f>
        <v/>
      </c>
      <c r="N271" s="2" t="str">
        <f t="array" ref="N271">IF($C271="","",IF(INDEX(SchedZone,$C271,MAP!$B$11)="","",INDEX(SchedZone,$C271,MAP!$B$11)))</f>
        <v/>
      </c>
      <c r="O271" s="2">
        <f t="array" ref="O271">IF($C271="","",INDEX(SchedZone,$C271,MAP!$B$16))</f>
        <v>6</v>
      </c>
      <c r="P271" s="2" t="str">
        <f>IF($C271="","",IFERROR(MATCH($E271&amp;"|"&amp;$G271&amp;"|"&amp;$I271,StatsKey,0),""))</f>
        <v/>
      </c>
      <c r="Q271" s="2">
        <f t="array" ref="Q271">IF($P271="",0,INDEX(StatsZone,$P271,MAP!$E$9)+INDEX(StatsZone,$P271,MAP!$E$10)+INDEX(StatsZone,$P271,MAP!$E$11))</f>
        <v>0</v>
      </c>
      <c r="R271" s="2">
        <f t="array" ref="R271">IF($P271="",0,INDEX(StatsZone,$P271,MAP!$E$12))</f>
        <v>0</v>
      </c>
      <c r="S271" s="2">
        <f t="array" ref="S271">IF($P271="",0,INDEX(StatsZone,$P271,MAP!$E$13))</f>
        <v>0</v>
      </c>
      <c r="T271" s="2">
        <f t="shared" si="1"/>
        <v>0</v>
      </c>
      <c r="U271" s="2">
        <f t="array" ref="U271">IF($P271="",0,INDEX(StatsZone,$P271,MAP!$E$14)+INDEX(StatsZone,$P271,MAP!$E$15)+INDEX(StatsZone,$P271,MAP!$E$16))</f>
        <v>0</v>
      </c>
      <c r="V271" s="2">
        <f t="shared" si="2"/>
        <v>0</v>
      </c>
      <c r="W271" s="2">
        <f t="shared" si="3"/>
        <v>0</v>
      </c>
      <c r="X271" s="2">
        <f t="shared" si="4"/>
        <v>0</v>
      </c>
      <c r="Y271" s="2">
        <f t="shared" si="5"/>
        <v>0</v>
      </c>
      <c r="Z271" s="2">
        <f t="shared" si="6"/>
        <v>0</v>
      </c>
      <c r="AA271" s="2">
        <f t="shared" si="7"/>
        <v>1</v>
      </c>
      <c r="AB271" s="2">
        <f>IF(OR($M271="",$N271=""),0,MEDIAN(-MarginCap,MarginCap,($M271-$N271)-$AA271*HFA_Base))</f>
        <v>0</v>
      </c>
      <c r="AC271" s="2">
        <f t="array" ref="AC271">IF(OR($P271="",INDEX($P$3:$P$722,(ROW()+IF(MOD(ROW()-3,2)=0,1,-1))-3+1)=""),0,MEDIAN(-MarginCap,MarginCap,($T271-$W271)-$AA271*HFA_Base))</f>
        <v>0</v>
      </c>
      <c r="AD271" s="2">
        <f t="shared" si="8"/>
        <v>0</v>
      </c>
      <c r="AE271" s="2">
        <f>IF(OR($M271="",$N271=""),0,IF(AND(WEpa&gt;0,$AD271=1),(1-WEpa)*$AB271+WEpa*$AC271,$AB271))</f>
        <v>0</v>
      </c>
      <c r="AF271" s="2">
        <f>IF(AND($C271&lt;&gt;"",$E271=CurrentSeason,$F271="REG",ISNUMBER($G271),$G271&lt;CurrentWeek,AND($M271&lt;&gt;"",$N271&lt;&gt;"")),1,0)</f>
        <v>0</v>
      </c>
      <c r="AG271" s="2">
        <f>IF($AF271=0,0,IF($G271&gt;=CurrentWeek-RecencyWin,RecencyMult,1))</f>
        <v>0</v>
      </c>
      <c r="AH271" s="2">
        <f>IF(AND($C271&lt;&gt;"",$E271=CurrentSeason,$F271="REG",ISNUMBER($G271),$G271&lt;CurrentWeek-1,AND($M271&lt;&gt;"",$N271&lt;&gt;"")),1,0)</f>
        <v>0</v>
      </c>
      <c r="AI271" s="2">
        <f>IF($AH271=0,0,IF($G271&gt;=CurrentWeek-1-RecencyWin,RecencyMult,1))</f>
        <v>0</v>
      </c>
      <c r="AJ271" s="2">
        <f>IF($AF271=0,0,IF($G271&gt;=CurrentWeek-RecencyWin,TotRecency,1))</f>
        <v>0</v>
      </c>
      <c r="AK271" s="2">
        <f t="shared" si="9"/>
        <v>0</v>
      </c>
      <c r="AL271" s="2">
        <f t="shared" si="10"/>
        <v>0</v>
      </c>
      <c r="AM271" s="2" t="str">
        <f t="array" ref="AM271">IF($K271="",0,IFERROR(INDEX(CALC!$F$2:$F$33,MATCH($K271,CALC!$A$2:$A$33,0)),0))</f>
        <v/>
      </c>
      <c r="AN271" s="2" t="str">
        <f t="array" ref="AN271">IF($K271="",0,IFERROR(INDEX(CALC!$I$2:$I$33,MATCH($K271,CALC!$A$2:$A$33,0)),0))</f>
        <v/>
      </c>
      <c r="AO271" s="2" t="str">
        <f t="array" ref="AO271">IF($K271="",0,IFERROR(INDEX(CALC!$L$2:$L$33,MATCH($K271,CALC!$A$2:$A$33,0)),0))</f>
        <v/>
      </c>
      <c r="AP271" s="2" t="str">
        <f t="array" ref="AP271">IF($K271="",0,IFERROR(INDEX(CALC!$T$2:$T$33,MATCH($K271,CALC!$A$2:$A$33,0)),0))</f>
        <v/>
      </c>
      <c r="AQ271" s="2" t="str">
        <f t="array" ref="AQ271">IF($K271="",0,IFERROR(INDEX(CALC!$W$2:$W$33,MATCH($K271,CALC!$A$2:$A$33,0)),0))</f>
        <v/>
      </c>
      <c r="AR271" s="2" t="str">
        <f t="array" ref="AR271">IF($K271="",0,IFERROR(INDEX(CALC!$Z$2:$Z$33,MATCH($K271,CALC!$A$2:$A$33,0)),0))</f>
        <v/>
      </c>
      <c r="AS271" s="2" t="str">
        <f t="array" ref="AS271">IF($K271="",0,IFERROR(INDEX(CALC!$AJ$2:$AJ$33,MATCH($K271,CALC!$A$2:$A$33,0)),0))</f>
        <v/>
      </c>
      <c r="AT271" s="2" t="str">
        <f t="array" ref="AT271">IF($K271="",0,IFERROR(INDEX(CALC!$AI$2:$AI$33,MATCH($K271,CALC!$A$2:$A$33,0)),0))</f>
        <v/>
      </c>
      <c r="AU271" s="2">
        <f t="shared" si="11"/>
        <v>0</v>
      </c>
      <c r="AV271" s="2">
        <f t="shared" si="12"/>
        <v>0</v>
      </c>
    </row>
    <row r="272" ht="15.0" customHeight="1">
      <c r="A272" s="2">
        <v>135.0</v>
      </c>
      <c r="B272" s="2" t="s">
        <v>2366</v>
      </c>
      <c r="C272" s="2">
        <f>IFERROR(MATCH($A272,SchedSeq,0),"")</f>
        <v>420</v>
      </c>
      <c r="D272" s="2" t="str">
        <f t="array" ref="D272">IF($C272="","",INDEX(SchedZone,$C272,MAP!$B$6))</f>
        <v>2026_09_TB_CHI</v>
      </c>
      <c r="E272" s="2">
        <f t="array" ref="E272">IF($C272="","",INDEX(SchedZone,$C272,MAP!$B$3))</f>
        <v>2026</v>
      </c>
      <c r="F272" s="2" t="str">
        <f t="array" ref="F272">IF($C272="","",INDEX(SchedZone,$C272,MAP!$B$5))</f>
        <v>REG</v>
      </c>
      <c r="G272" s="2">
        <f t="array" ref="G272">IF($C272="","",INDEX(SchedZone,$C272,MAP!$B$4))</f>
        <v>9</v>
      </c>
      <c r="H272" s="2" t="str">
        <f t="array" ref="H272">IF($C272="","",INDEX(SchedZone,$C272,MAP!$B$10))</f>
        <v>TB</v>
      </c>
      <c r="I272" s="2" t="str">
        <f t="array" ref="I272">IF($H272="","",IF(COUNTIF(Teams,$H272)&gt;0,$H272,IFERROR(INDEX(LISTS!$D$2:$D$12,MATCH($H272,LISTS!$C$2:$C$12,0)),"⚠ "&amp;$H272)))</f>
        <v>TB</v>
      </c>
      <c r="J272" s="2" t="str">
        <f t="array" ref="J272">IF($C272="","",INDEX(SchedZone,$C272,MAP!$B$12))</f>
        <v>CHI</v>
      </c>
      <c r="K272" s="2" t="str">
        <f t="array" ref="K272">IF($J272="","",IF(COUNTIF(Teams,$J272)&gt;0,$J272,IFERROR(INDEX(LISTS!$D$2:$D$12,MATCH($J272,LISTS!$C$2:$C$12,0)),"⚠ "&amp;$J272)))</f>
        <v>CHI</v>
      </c>
      <c r="L272" s="2" t="str">
        <f t="array" ref="L272">IF($C272="","",IF(INDEX(SchedZone,$C272,MAP!$B$14)="Neutral","N",IF($B272="HOME","H","A")))</f>
        <v>A</v>
      </c>
      <c r="M272" s="2" t="str">
        <f t="array" ref="M272">IF($C272="","",IF(INDEX(SchedZone,$C272,MAP!$B$11)="","",INDEX(SchedZone,$C272,MAP!$B$11)))</f>
        <v/>
      </c>
      <c r="N272" s="2" t="str">
        <f t="array" ref="N272">IF($C272="","",IF(INDEX(SchedZone,$C272,MAP!$B$13)="","",INDEX(SchedZone,$C272,MAP!$B$13)))</f>
        <v/>
      </c>
      <c r="O272" s="2">
        <f t="array" ref="O272">IF($C272="","",INDEX(SchedZone,$C272,MAP!$B$15))</f>
        <v>7</v>
      </c>
      <c r="P272" s="2" t="str">
        <f>IF($C272="","",IFERROR(MATCH($E272&amp;"|"&amp;$G272&amp;"|"&amp;$I272,StatsKey,0),""))</f>
        <v/>
      </c>
      <c r="Q272" s="2">
        <f t="array" ref="Q272">IF($P272="",0,INDEX(StatsZone,$P272,MAP!$E$9)+INDEX(StatsZone,$P272,MAP!$E$10)+INDEX(StatsZone,$P272,MAP!$E$11))</f>
        <v>0</v>
      </c>
      <c r="R272" s="2">
        <f t="array" ref="R272">IF($P272="",0,INDEX(StatsZone,$P272,MAP!$E$12))</f>
        <v>0</v>
      </c>
      <c r="S272" s="2">
        <f t="array" ref="S272">IF($P272="",0,INDEX(StatsZone,$P272,MAP!$E$13))</f>
        <v>0</v>
      </c>
      <c r="T272" s="2">
        <f t="shared" si="1"/>
        <v>0</v>
      </c>
      <c r="U272" s="2">
        <f t="array" ref="U272">IF($P272="",0,INDEX(StatsZone,$P272,MAP!$E$14)+INDEX(StatsZone,$P272,MAP!$E$15)+INDEX(StatsZone,$P272,MAP!$E$16))</f>
        <v>0</v>
      </c>
      <c r="V272" s="2">
        <f t="shared" si="2"/>
        <v>0</v>
      </c>
      <c r="W272" s="2">
        <f t="shared" si="3"/>
        <v>0</v>
      </c>
      <c r="X272" s="2">
        <f t="shared" si="4"/>
        <v>0</v>
      </c>
      <c r="Y272" s="2">
        <f t="shared" si="5"/>
        <v>0</v>
      </c>
      <c r="Z272" s="2">
        <f t="shared" si="6"/>
        <v>0</v>
      </c>
      <c r="AA272" s="2">
        <f t="shared" si="7"/>
        <v>-1</v>
      </c>
      <c r="AB272" s="2">
        <f>IF(OR($M272="",$N272=""),0,MEDIAN(-MarginCap,MarginCap,($M272-$N272)-$AA272*HFA_Base))</f>
        <v>0</v>
      </c>
      <c r="AC272" s="2">
        <f t="array" ref="AC272">IF(OR($P272="",INDEX($P$3:$P$722,(ROW()+IF(MOD(ROW()-3,2)=0,1,-1))-3+1)=""),0,MEDIAN(-MarginCap,MarginCap,($T272-$W272)-$AA272*HFA_Base))</f>
        <v>0</v>
      </c>
      <c r="AD272" s="2">
        <f t="shared" si="8"/>
        <v>0</v>
      </c>
      <c r="AE272" s="2">
        <f>IF(OR($M272="",$N272=""),0,IF(AND(WEpa&gt;0,$AD272=1),(1-WEpa)*$AB272+WEpa*$AC272,$AB272))</f>
        <v>0</v>
      </c>
      <c r="AF272" s="2">
        <f>IF(AND($C272&lt;&gt;"",$E272=CurrentSeason,$F272="REG",ISNUMBER($G272),$G272&lt;CurrentWeek,AND($M272&lt;&gt;"",$N272&lt;&gt;"")),1,0)</f>
        <v>0</v>
      </c>
      <c r="AG272" s="2">
        <f>IF($AF272=0,0,IF($G272&gt;=CurrentWeek-RecencyWin,RecencyMult,1))</f>
        <v>0</v>
      </c>
      <c r="AH272" s="2">
        <f>IF(AND($C272&lt;&gt;"",$E272=CurrentSeason,$F272="REG",ISNUMBER($G272),$G272&lt;CurrentWeek-1,AND($M272&lt;&gt;"",$N272&lt;&gt;"")),1,0)</f>
        <v>0</v>
      </c>
      <c r="AI272" s="2">
        <f>IF($AH272=0,0,IF($G272&gt;=CurrentWeek-1-RecencyWin,RecencyMult,1))</f>
        <v>0</v>
      </c>
      <c r="AJ272" s="2">
        <f>IF($AF272=0,0,IF($G272&gt;=CurrentWeek-RecencyWin,TotRecency,1))</f>
        <v>0</v>
      </c>
      <c r="AK272" s="2">
        <f t="shared" si="9"/>
        <v>0</v>
      </c>
      <c r="AL272" s="2">
        <f t="shared" si="10"/>
        <v>0</v>
      </c>
      <c r="AM272" s="2" t="str">
        <f t="array" ref="AM272">IF($K272="",0,IFERROR(INDEX(CALC!$F$2:$F$33,MATCH($K272,CALC!$A$2:$A$33,0)),0))</f>
        <v/>
      </c>
      <c r="AN272" s="2" t="str">
        <f t="array" ref="AN272">IF($K272="",0,IFERROR(INDEX(CALC!$I$2:$I$33,MATCH($K272,CALC!$A$2:$A$33,0)),0))</f>
        <v/>
      </c>
      <c r="AO272" s="2" t="str">
        <f t="array" ref="AO272">IF($K272="",0,IFERROR(INDEX(CALC!$L$2:$L$33,MATCH($K272,CALC!$A$2:$A$33,0)),0))</f>
        <v/>
      </c>
      <c r="AP272" s="2" t="str">
        <f t="array" ref="AP272">IF($K272="",0,IFERROR(INDEX(CALC!$T$2:$T$33,MATCH($K272,CALC!$A$2:$A$33,0)),0))</f>
        <v/>
      </c>
      <c r="AQ272" s="2" t="str">
        <f t="array" ref="AQ272">IF($K272="",0,IFERROR(INDEX(CALC!$W$2:$W$33,MATCH($K272,CALC!$A$2:$A$33,0)),0))</f>
        <v/>
      </c>
      <c r="AR272" s="2" t="str">
        <f t="array" ref="AR272">IF($K272="",0,IFERROR(INDEX(CALC!$Z$2:$Z$33,MATCH($K272,CALC!$A$2:$A$33,0)),0))</f>
        <v/>
      </c>
      <c r="AS272" s="2" t="str">
        <f t="array" ref="AS272">IF($K272="",0,IFERROR(INDEX(CALC!$AJ$2:$AJ$33,MATCH($K272,CALC!$A$2:$A$33,0)),0))</f>
        <v/>
      </c>
      <c r="AT272" s="2" t="str">
        <f t="array" ref="AT272">IF($K272="",0,IFERROR(INDEX(CALC!$AI$2:$AI$33,MATCH($K272,CALC!$A$2:$A$33,0)),0))</f>
        <v/>
      </c>
      <c r="AU272" s="2">
        <f t="shared" si="11"/>
        <v>0</v>
      </c>
      <c r="AV272" s="2">
        <f t="shared" si="12"/>
        <v>0</v>
      </c>
    </row>
    <row r="273" ht="15.0" customHeight="1">
      <c r="A273" s="2">
        <v>136.0</v>
      </c>
      <c r="B273" s="2" t="s">
        <v>2365</v>
      </c>
      <c r="C273" s="2">
        <f>IFERROR(MATCH($A273,SchedSeq,0),"")</f>
        <v>421</v>
      </c>
      <c r="D273" s="2" t="str">
        <f t="array" ref="D273">IF($C273="","",INDEX(SchedZone,$C273,MAP!$B$6))</f>
        <v>2026_09_BUF_MIN</v>
      </c>
      <c r="E273" s="2">
        <f t="array" ref="E273">IF($C273="","",INDEX(SchedZone,$C273,MAP!$B$3))</f>
        <v>2026</v>
      </c>
      <c r="F273" s="2" t="str">
        <f t="array" ref="F273">IF($C273="","",INDEX(SchedZone,$C273,MAP!$B$5))</f>
        <v>REG</v>
      </c>
      <c r="G273" s="2">
        <f t="array" ref="G273">IF($C273="","",INDEX(SchedZone,$C273,MAP!$B$4))</f>
        <v>9</v>
      </c>
      <c r="H273" s="2" t="str">
        <f t="array" ref="H273">IF($C273="","",INDEX(SchedZone,$C273,MAP!$B$12))</f>
        <v>MIN</v>
      </c>
      <c r="I273" s="2" t="str">
        <f t="array" ref="I273">IF($H273="","",IF(COUNTIF(Teams,$H273)&gt;0,$H273,IFERROR(INDEX(LISTS!$D$2:$D$12,MATCH($H273,LISTS!$C$2:$C$12,0)),"⚠ "&amp;$H273)))</f>
        <v>MIN</v>
      </c>
      <c r="J273" s="2" t="str">
        <f t="array" ref="J273">IF($C273="","",INDEX(SchedZone,$C273,MAP!$B$10))</f>
        <v>BUF</v>
      </c>
      <c r="K273" s="2" t="str">
        <f t="array" ref="K273">IF($J273="","",IF(COUNTIF(Teams,$J273)&gt;0,$J273,IFERROR(INDEX(LISTS!$D$2:$D$12,MATCH($J273,LISTS!$C$2:$C$12,0)),"⚠ "&amp;$J273)))</f>
        <v>BUF</v>
      </c>
      <c r="L273" s="2" t="str">
        <f t="array" ref="L273">IF($C273="","",IF(INDEX(SchedZone,$C273,MAP!$B$14)="Neutral","N",IF($B273="HOME","H","A")))</f>
        <v>H</v>
      </c>
      <c r="M273" s="2" t="str">
        <f t="array" ref="M273">IF($C273="","",IF(INDEX(SchedZone,$C273,MAP!$B$13)="","",INDEX(SchedZone,$C273,MAP!$B$13)))</f>
        <v/>
      </c>
      <c r="N273" s="2" t="str">
        <f t="array" ref="N273">IF($C273="","",IF(INDEX(SchedZone,$C273,MAP!$B$11)="","",INDEX(SchedZone,$C273,MAP!$B$11)))</f>
        <v/>
      </c>
      <c r="O273" s="2">
        <f t="array" ref="O273">IF($C273="","",INDEX(SchedZone,$C273,MAP!$B$16))</f>
        <v>8</v>
      </c>
      <c r="P273" s="2" t="str">
        <f>IF($C273="","",IFERROR(MATCH($E273&amp;"|"&amp;$G273&amp;"|"&amp;$I273,StatsKey,0),""))</f>
        <v/>
      </c>
      <c r="Q273" s="2">
        <f t="array" ref="Q273">IF($P273="",0,INDEX(StatsZone,$P273,MAP!$E$9)+INDEX(StatsZone,$P273,MAP!$E$10)+INDEX(StatsZone,$P273,MAP!$E$11))</f>
        <v>0</v>
      </c>
      <c r="R273" s="2">
        <f t="array" ref="R273">IF($P273="",0,INDEX(StatsZone,$P273,MAP!$E$12))</f>
        <v>0</v>
      </c>
      <c r="S273" s="2">
        <f t="array" ref="S273">IF($P273="",0,INDEX(StatsZone,$P273,MAP!$E$13))</f>
        <v>0</v>
      </c>
      <c r="T273" s="2">
        <f t="shared" si="1"/>
        <v>0</v>
      </c>
      <c r="U273" s="2">
        <f t="array" ref="U273">IF($P273="",0,INDEX(StatsZone,$P273,MAP!$E$14)+INDEX(StatsZone,$P273,MAP!$E$15)+INDEX(StatsZone,$P273,MAP!$E$16))</f>
        <v>0</v>
      </c>
      <c r="V273" s="2">
        <f t="shared" si="2"/>
        <v>0</v>
      </c>
      <c r="W273" s="2">
        <f t="shared" si="3"/>
        <v>0</v>
      </c>
      <c r="X273" s="2">
        <f t="shared" si="4"/>
        <v>0</v>
      </c>
      <c r="Y273" s="2">
        <f t="shared" si="5"/>
        <v>0</v>
      </c>
      <c r="Z273" s="2">
        <f t="shared" si="6"/>
        <v>0</v>
      </c>
      <c r="AA273" s="2">
        <f t="shared" si="7"/>
        <v>1</v>
      </c>
      <c r="AB273" s="2">
        <f>IF(OR($M273="",$N273=""),0,MEDIAN(-MarginCap,MarginCap,($M273-$N273)-$AA273*HFA_Base))</f>
        <v>0</v>
      </c>
      <c r="AC273" s="2">
        <f t="array" ref="AC273">IF(OR($P273="",INDEX($P$3:$P$722,(ROW()+IF(MOD(ROW()-3,2)=0,1,-1))-3+1)=""),0,MEDIAN(-MarginCap,MarginCap,($T273-$W273)-$AA273*HFA_Base))</f>
        <v>0</v>
      </c>
      <c r="AD273" s="2">
        <f t="shared" si="8"/>
        <v>0</v>
      </c>
      <c r="AE273" s="2">
        <f>IF(OR($M273="",$N273=""),0,IF(AND(WEpa&gt;0,$AD273=1),(1-WEpa)*$AB273+WEpa*$AC273,$AB273))</f>
        <v>0</v>
      </c>
      <c r="AF273" s="2">
        <f>IF(AND($C273&lt;&gt;"",$E273=CurrentSeason,$F273="REG",ISNUMBER($G273),$G273&lt;CurrentWeek,AND($M273&lt;&gt;"",$N273&lt;&gt;"")),1,0)</f>
        <v>0</v>
      </c>
      <c r="AG273" s="2">
        <f>IF($AF273=0,0,IF($G273&gt;=CurrentWeek-RecencyWin,RecencyMult,1))</f>
        <v>0</v>
      </c>
      <c r="AH273" s="2">
        <f>IF(AND($C273&lt;&gt;"",$E273=CurrentSeason,$F273="REG",ISNUMBER($G273),$G273&lt;CurrentWeek-1,AND($M273&lt;&gt;"",$N273&lt;&gt;"")),1,0)</f>
        <v>0</v>
      </c>
      <c r="AI273" s="2">
        <f>IF($AH273=0,0,IF($G273&gt;=CurrentWeek-1-RecencyWin,RecencyMult,1))</f>
        <v>0</v>
      </c>
      <c r="AJ273" s="2">
        <f>IF($AF273=0,0,IF($G273&gt;=CurrentWeek-RecencyWin,TotRecency,1))</f>
        <v>0</v>
      </c>
      <c r="AK273" s="2">
        <f t="shared" si="9"/>
        <v>0</v>
      </c>
      <c r="AL273" s="2">
        <f t="shared" si="10"/>
        <v>0</v>
      </c>
      <c r="AM273" s="2" t="str">
        <f t="array" ref="AM273">IF($K273="",0,IFERROR(INDEX(CALC!$F$2:$F$33,MATCH($K273,CALC!$A$2:$A$33,0)),0))</f>
        <v/>
      </c>
      <c r="AN273" s="2" t="str">
        <f t="array" ref="AN273">IF($K273="",0,IFERROR(INDEX(CALC!$I$2:$I$33,MATCH($K273,CALC!$A$2:$A$33,0)),0))</f>
        <v/>
      </c>
      <c r="AO273" s="2" t="str">
        <f t="array" ref="AO273">IF($K273="",0,IFERROR(INDEX(CALC!$L$2:$L$33,MATCH($K273,CALC!$A$2:$A$33,0)),0))</f>
        <v/>
      </c>
      <c r="AP273" s="2" t="str">
        <f t="array" ref="AP273">IF($K273="",0,IFERROR(INDEX(CALC!$T$2:$T$33,MATCH($K273,CALC!$A$2:$A$33,0)),0))</f>
        <v/>
      </c>
      <c r="AQ273" s="2" t="str">
        <f t="array" ref="AQ273">IF($K273="",0,IFERROR(INDEX(CALC!$W$2:$W$33,MATCH($K273,CALC!$A$2:$A$33,0)),0))</f>
        <v/>
      </c>
      <c r="AR273" s="2" t="str">
        <f t="array" ref="AR273">IF($K273="",0,IFERROR(INDEX(CALC!$Z$2:$Z$33,MATCH($K273,CALC!$A$2:$A$33,0)),0))</f>
        <v/>
      </c>
      <c r="AS273" s="2" t="str">
        <f t="array" ref="AS273">IF($K273="",0,IFERROR(INDEX(CALC!$AJ$2:$AJ$33,MATCH($K273,CALC!$A$2:$A$33,0)),0))</f>
        <v/>
      </c>
      <c r="AT273" s="2" t="str">
        <f t="array" ref="AT273">IF($K273="",0,IFERROR(INDEX(CALC!$AI$2:$AI$33,MATCH($K273,CALC!$A$2:$A$33,0)),0))</f>
        <v/>
      </c>
      <c r="AU273" s="2">
        <f t="shared" si="11"/>
        <v>0</v>
      </c>
      <c r="AV273" s="2">
        <f t="shared" si="12"/>
        <v>0</v>
      </c>
    </row>
    <row r="274" ht="15.0" customHeight="1">
      <c r="A274" s="2">
        <v>136.0</v>
      </c>
      <c r="B274" s="2" t="s">
        <v>2366</v>
      </c>
      <c r="C274" s="2">
        <f>IFERROR(MATCH($A274,SchedSeq,0),"")</f>
        <v>421</v>
      </c>
      <c r="D274" s="2" t="str">
        <f t="array" ref="D274">IF($C274="","",INDEX(SchedZone,$C274,MAP!$B$6))</f>
        <v>2026_09_BUF_MIN</v>
      </c>
      <c r="E274" s="2">
        <f t="array" ref="E274">IF($C274="","",INDEX(SchedZone,$C274,MAP!$B$3))</f>
        <v>2026</v>
      </c>
      <c r="F274" s="2" t="str">
        <f t="array" ref="F274">IF($C274="","",INDEX(SchedZone,$C274,MAP!$B$5))</f>
        <v>REG</v>
      </c>
      <c r="G274" s="2">
        <f t="array" ref="G274">IF($C274="","",INDEX(SchedZone,$C274,MAP!$B$4))</f>
        <v>9</v>
      </c>
      <c r="H274" s="2" t="str">
        <f t="array" ref="H274">IF($C274="","",INDEX(SchedZone,$C274,MAP!$B$10))</f>
        <v>BUF</v>
      </c>
      <c r="I274" s="2" t="str">
        <f t="array" ref="I274">IF($H274="","",IF(COUNTIF(Teams,$H274)&gt;0,$H274,IFERROR(INDEX(LISTS!$D$2:$D$12,MATCH($H274,LISTS!$C$2:$C$12,0)),"⚠ "&amp;$H274)))</f>
        <v>BUF</v>
      </c>
      <c r="J274" s="2" t="str">
        <f t="array" ref="J274">IF($C274="","",INDEX(SchedZone,$C274,MAP!$B$12))</f>
        <v>MIN</v>
      </c>
      <c r="K274" s="2" t="str">
        <f t="array" ref="K274">IF($J274="","",IF(COUNTIF(Teams,$J274)&gt;0,$J274,IFERROR(INDEX(LISTS!$D$2:$D$12,MATCH($J274,LISTS!$C$2:$C$12,0)),"⚠ "&amp;$J274)))</f>
        <v>MIN</v>
      </c>
      <c r="L274" s="2" t="str">
        <f t="array" ref="L274">IF($C274="","",IF(INDEX(SchedZone,$C274,MAP!$B$14)="Neutral","N",IF($B274="HOME","H","A")))</f>
        <v>A</v>
      </c>
      <c r="M274" s="2" t="str">
        <f t="array" ref="M274">IF($C274="","",IF(INDEX(SchedZone,$C274,MAP!$B$11)="","",INDEX(SchedZone,$C274,MAP!$B$11)))</f>
        <v/>
      </c>
      <c r="N274" s="2" t="str">
        <f t="array" ref="N274">IF($C274="","",IF(INDEX(SchedZone,$C274,MAP!$B$13)="","",INDEX(SchedZone,$C274,MAP!$B$13)))</f>
        <v/>
      </c>
      <c r="O274" s="2">
        <f t="array" ref="O274">IF($C274="","",INDEX(SchedZone,$C274,MAP!$B$15))</f>
        <v>8</v>
      </c>
      <c r="P274" s="2" t="str">
        <f>IF($C274="","",IFERROR(MATCH($E274&amp;"|"&amp;$G274&amp;"|"&amp;$I274,StatsKey,0),""))</f>
        <v/>
      </c>
      <c r="Q274" s="2">
        <f t="array" ref="Q274">IF($P274="",0,INDEX(StatsZone,$P274,MAP!$E$9)+INDEX(StatsZone,$P274,MAP!$E$10)+INDEX(StatsZone,$P274,MAP!$E$11))</f>
        <v>0</v>
      </c>
      <c r="R274" s="2">
        <f t="array" ref="R274">IF($P274="",0,INDEX(StatsZone,$P274,MAP!$E$12))</f>
        <v>0</v>
      </c>
      <c r="S274" s="2">
        <f t="array" ref="S274">IF($P274="",0,INDEX(StatsZone,$P274,MAP!$E$13))</f>
        <v>0</v>
      </c>
      <c r="T274" s="2">
        <f t="shared" si="1"/>
        <v>0</v>
      </c>
      <c r="U274" s="2">
        <f t="array" ref="U274">IF($P274="",0,INDEX(StatsZone,$P274,MAP!$E$14)+INDEX(StatsZone,$P274,MAP!$E$15)+INDEX(StatsZone,$P274,MAP!$E$16))</f>
        <v>0</v>
      </c>
      <c r="V274" s="2">
        <f t="shared" si="2"/>
        <v>0</v>
      </c>
      <c r="W274" s="2">
        <f t="shared" si="3"/>
        <v>0</v>
      </c>
      <c r="X274" s="2">
        <f t="shared" si="4"/>
        <v>0</v>
      </c>
      <c r="Y274" s="2">
        <f t="shared" si="5"/>
        <v>0</v>
      </c>
      <c r="Z274" s="2">
        <f t="shared" si="6"/>
        <v>0</v>
      </c>
      <c r="AA274" s="2">
        <f t="shared" si="7"/>
        <v>-1</v>
      </c>
      <c r="AB274" s="2">
        <f>IF(OR($M274="",$N274=""),0,MEDIAN(-MarginCap,MarginCap,($M274-$N274)-$AA274*HFA_Base))</f>
        <v>0</v>
      </c>
      <c r="AC274" s="2">
        <f t="array" ref="AC274">IF(OR($P274="",INDEX($P$3:$P$722,(ROW()+IF(MOD(ROW()-3,2)=0,1,-1))-3+1)=""),0,MEDIAN(-MarginCap,MarginCap,($T274-$W274)-$AA274*HFA_Base))</f>
        <v>0</v>
      </c>
      <c r="AD274" s="2">
        <f t="shared" si="8"/>
        <v>0</v>
      </c>
      <c r="AE274" s="2">
        <f>IF(OR($M274="",$N274=""),0,IF(AND(WEpa&gt;0,$AD274=1),(1-WEpa)*$AB274+WEpa*$AC274,$AB274))</f>
        <v>0</v>
      </c>
      <c r="AF274" s="2">
        <f>IF(AND($C274&lt;&gt;"",$E274=CurrentSeason,$F274="REG",ISNUMBER($G274),$G274&lt;CurrentWeek,AND($M274&lt;&gt;"",$N274&lt;&gt;"")),1,0)</f>
        <v>0</v>
      </c>
      <c r="AG274" s="2">
        <f>IF($AF274=0,0,IF($G274&gt;=CurrentWeek-RecencyWin,RecencyMult,1))</f>
        <v>0</v>
      </c>
      <c r="AH274" s="2">
        <f>IF(AND($C274&lt;&gt;"",$E274=CurrentSeason,$F274="REG",ISNUMBER($G274),$G274&lt;CurrentWeek-1,AND($M274&lt;&gt;"",$N274&lt;&gt;"")),1,0)</f>
        <v>0</v>
      </c>
      <c r="AI274" s="2">
        <f>IF($AH274=0,0,IF($G274&gt;=CurrentWeek-1-RecencyWin,RecencyMult,1))</f>
        <v>0</v>
      </c>
      <c r="AJ274" s="2">
        <f>IF($AF274=0,0,IF($G274&gt;=CurrentWeek-RecencyWin,TotRecency,1))</f>
        <v>0</v>
      </c>
      <c r="AK274" s="2">
        <f t="shared" si="9"/>
        <v>0</v>
      </c>
      <c r="AL274" s="2">
        <f t="shared" si="10"/>
        <v>0</v>
      </c>
      <c r="AM274" s="2" t="str">
        <f t="array" ref="AM274">IF($K274="",0,IFERROR(INDEX(CALC!$F$2:$F$33,MATCH($K274,CALC!$A$2:$A$33,0)),0))</f>
        <v/>
      </c>
      <c r="AN274" s="2" t="str">
        <f t="array" ref="AN274">IF($K274="",0,IFERROR(INDEX(CALC!$I$2:$I$33,MATCH($K274,CALC!$A$2:$A$33,0)),0))</f>
        <v/>
      </c>
      <c r="AO274" s="2" t="str">
        <f t="array" ref="AO274">IF($K274="",0,IFERROR(INDEX(CALC!$L$2:$L$33,MATCH($K274,CALC!$A$2:$A$33,0)),0))</f>
        <v/>
      </c>
      <c r="AP274" s="2" t="str">
        <f t="array" ref="AP274">IF($K274="",0,IFERROR(INDEX(CALC!$T$2:$T$33,MATCH($K274,CALC!$A$2:$A$33,0)),0))</f>
        <v/>
      </c>
      <c r="AQ274" s="2" t="str">
        <f t="array" ref="AQ274">IF($K274="",0,IFERROR(INDEX(CALC!$W$2:$W$33,MATCH($K274,CALC!$A$2:$A$33,0)),0))</f>
        <v/>
      </c>
      <c r="AR274" s="2" t="str">
        <f t="array" ref="AR274">IF($K274="",0,IFERROR(INDEX(CALC!$Z$2:$Z$33,MATCH($K274,CALC!$A$2:$A$33,0)),0))</f>
        <v/>
      </c>
      <c r="AS274" s="2" t="str">
        <f t="array" ref="AS274">IF($K274="",0,IFERROR(INDEX(CALC!$AJ$2:$AJ$33,MATCH($K274,CALC!$A$2:$A$33,0)),0))</f>
        <v/>
      </c>
      <c r="AT274" s="2" t="str">
        <f t="array" ref="AT274">IF($K274="",0,IFERROR(INDEX(CALC!$AI$2:$AI$33,MATCH($K274,CALC!$A$2:$A$33,0)),0))</f>
        <v/>
      </c>
      <c r="AU274" s="2">
        <f t="shared" si="11"/>
        <v>0</v>
      </c>
      <c r="AV274" s="2">
        <f t="shared" si="12"/>
        <v>0</v>
      </c>
    </row>
    <row r="275" ht="15.0" customHeight="1">
      <c r="A275" s="2">
        <v>137.0</v>
      </c>
      <c r="B275" s="2" t="s">
        <v>2365</v>
      </c>
      <c r="C275" s="2">
        <f>IFERROR(MATCH($A275,SchedSeq,0),"")</f>
        <v>422</v>
      </c>
      <c r="D275" s="2" t="str">
        <f t="array" ref="D275">IF($C275="","",INDEX(SchedZone,$C275,MAP!$B$6))</f>
        <v>2026_10_WAS_NYG</v>
      </c>
      <c r="E275" s="2">
        <f t="array" ref="E275">IF($C275="","",INDEX(SchedZone,$C275,MAP!$B$3))</f>
        <v>2026</v>
      </c>
      <c r="F275" s="2" t="str">
        <f t="array" ref="F275">IF($C275="","",INDEX(SchedZone,$C275,MAP!$B$5))</f>
        <v>REG</v>
      </c>
      <c r="G275" s="2">
        <f t="array" ref="G275">IF($C275="","",INDEX(SchedZone,$C275,MAP!$B$4))</f>
        <v>10</v>
      </c>
      <c r="H275" s="2" t="str">
        <f t="array" ref="H275">IF($C275="","",INDEX(SchedZone,$C275,MAP!$B$12))</f>
        <v>NYG</v>
      </c>
      <c r="I275" s="2" t="str">
        <f t="array" ref="I275">IF($H275="","",IF(COUNTIF(Teams,$H275)&gt;0,$H275,IFERROR(INDEX(LISTS!$D$2:$D$12,MATCH($H275,LISTS!$C$2:$C$12,0)),"⚠ "&amp;$H275)))</f>
        <v>NYG</v>
      </c>
      <c r="J275" s="2" t="str">
        <f t="array" ref="J275">IF($C275="","",INDEX(SchedZone,$C275,MAP!$B$10))</f>
        <v>WAS</v>
      </c>
      <c r="K275" s="2" t="str">
        <f t="array" ref="K275">IF($J275="","",IF(COUNTIF(Teams,$J275)&gt;0,$J275,IFERROR(INDEX(LISTS!$D$2:$D$12,MATCH($J275,LISTS!$C$2:$C$12,0)),"⚠ "&amp;$J275)))</f>
        <v>WAS</v>
      </c>
      <c r="L275" s="2" t="str">
        <f t="array" ref="L275">IF($C275="","",IF(INDEX(SchedZone,$C275,MAP!$B$14)="Neutral","N",IF($B275="HOME","H","A")))</f>
        <v>H</v>
      </c>
      <c r="M275" s="2" t="str">
        <f t="array" ref="M275">IF($C275="","",IF(INDEX(SchedZone,$C275,MAP!$B$13)="","",INDEX(SchedZone,$C275,MAP!$B$13)))</f>
        <v/>
      </c>
      <c r="N275" s="2" t="str">
        <f t="array" ref="N275">IF($C275="","",IF(INDEX(SchedZone,$C275,MAP!$B$11)="","",INDEX(SchedZone,$C275,MAP!$B$11)))</f>
        <v/>
      </c>
      <c r="O275" s="2">
        <f t="array" ref="O275">IF($C275="","",INDEX(SchedZone,$C275,MAP!$B$16))</f>
        <v>4</v>
      </c>
      <c r="P275" s="2" t="str">
        <f>IF($C275="","",IFERROR(MATCH($E275&amp;"|"&amp;$G275&amp;"|"&amp;$I275,StatsKey,0),""))</f>
        <v/>
      </c>
      <c r="Q275" s="2">
        <f t="array" ref="Q275">IF($P275="",0,INDEX(StatsZone,$P275,MAP!$E$9)+INDEX(StatsZone,$P275,MAP!$E$10)+INDEX(StatsZone,$P275,MAP!$E$11))</f>
        <v>0</v>
      </c>
      <c r="R275" s="2">
        <f t="array" ref="R275">IF($P275="",0,INDEX(StatsZone,$P275,MAP!$E$12))</f>
        <v>0</v>
      </c>
      <c r="S275" s="2">
        <f t="array" ref="S275">IF($P275="",0,INDEX(StatsZone,$P275,MAP!$E$13))</f>
        <v>0</v>
      </c>
      <c r="T275" s="2">
        <f t="shared" si="1"/>
        <v>0</v>
      </c>
      <c r="U275" s="2">
        <f t="array" ref="U275">IF($P275="",0,INDEX(StatsZone,$P275,MAP!$E$14)+INDEX(StatsZone,$P275,MAP!$E$15)+INDEX(StatsZone,$P275,MAP!$E$16))</f>
        <v>0</v>
      </c>
      <c r="V275" s="2">
        <f t="shared" si="2"/>
        <v>0</v>
      </c>
      <c r="W275" s="2">
        <f t="shared" si="3"/>
        <v>0</v>
      </c>
      <c r="X275" s="2">
        <f t="shared" si="4"/>
        <v>0</v>
      </c>
      <c r="Y275" s="2">
        <f t="shared" si="5"/>
        <v>0</v>
      </c>
      <c r="Z275" s="2">
        <f t="shared" si="6"/>
        <v>0</v>
      </c>
      <c r="AA275" s="2">
        <f t="shared" si="7"/>
        <v>1</v>
      </c>
      <c r="AB275" s="2">
        <f>IF(OR($M275="",$N275=""),0,MEDIAN(-MarginCap,MarginCap,($M275-$N275)-$AA275*HFA_Base))</f>
        <v>0</v>
      </c>
      <c r="AC275" s="2">
        <f t="array" ref="AC275">IF(OR($P275="",INDEX($P$3:$P$722,(ROW()+IF(MOD(ROW()-3,2)=0,1,-1))-3+1)=""),0,MEDIAN(-MarginCap,MarginCap,($T275-$W275)-$AA275*HFA_Base))</f>
        <v>0</v>
      </c>
      <c r="AD275" s="2">
        <f t="shared" si="8"/>
        <v>0</v>
      </c>
      <c r="AE275" s="2">
        <f>IF(OR($M275="",$N275=""),0,IF(AND(WEpa&gt;0,$AD275=1),(1-WEpa)*$AB275+WEpa*$AC275,$AB275))</f>
        <v>0</v>
      </c>
      <c r="AF275" s="2">
        <f>IF(AND($C275&lt;&gt;"",$E275=CurrentSeason,$F275="REG",ISNUMBER($G275),$G275&lt;CurrentWeek,AND($M275&lt;&gt;"",$N275&lt;&gt;"")),1,0)</f>
        <v>0</v>
      </c>
      <c r="AG275" s="2">
        <f>IF($AF275=0,0,IF($G275&gt;=CurrentWeek-RecencyWin,RecencyMult,1))</f>
        <v>0</v>
      </c>
      <c r="AH275" s="2">
        <f>IF(AND($C275&lt;&gt;"",$E275=CurrentSeason,$F275="REG",ISNUMBER($G275),$G275&lt;CurrentWeek-1,AND($M275&lt;&gt;"",$N275&lt;&gt;"")),1,0)</f>
        <v>0</v>
      </c>
      <c r="AI275" s="2">
        <f>IF($AH275=0,0,IF($G275&gt;=CurrentWeek-1-RecencyWin,RecencyMult,1))</f>
        <v>0</v>
      </c>
      <c r="AJ275" s="2">
        <f>IF($AF275=0,0,IF($G275&gt;=CurrentWeek-RecencyWin,TotRecency,1))</f>
        <v>0</v>
      </c>
      <c r="AK275" s="2">
        <f t="shared" si="9"/>
        <v>0</v>
      </c>
      <c r="AL275" s="2">
        <f t="shared" si="10"/>
        <v>0</v>
      </c>
      <c r="AM275" s="2" t="str">
        <f t="array" ref="AM275">IF($K275="",0,IFERROR(INDEX(CALC!$F$2:$F$33,MATCH($K275,CALC!$A$2:$A$33,0)),0))</f>
        <v/>
      </c>
      <c r="AN275" s="2" t="str">
        <f t="array" ref="AN275">IF($K275="",0,IFERROR(INDEX(CALC!$I$2:$I$33,MATCH($K275,CALC!$A$2:$A$33,0)),0))</f>
        <v/>
      </c>
      <c r="AO275" s="2" t="str">
        <f t="array" ref="AO275">IF($K275="",0,IFERROR(INDEX(CALC!$L$2:$L$33,MATCH($K275,CALC!$A$2:$A$33,0)),0))</f>
        <v/>
      </c>
      <c r="AP275" s="2" t="str">
        <f t="array" ref="AP275">IF($K275="",0,IFERROR(INDEX(CALC!$T$2:$T$33,MATCH($K275,CALC!$A$2:$A$33,0)),0))</f>
        <v/>
      </c>
      <c r="AQ275" s="2" t="str">
        <f t="array" ref="AQ275">IF($K275="",0,IFERROR(INDEX(CALC!$W$2:$W$33,MATCH($K275,CALC!$A$2:$A$33,0)),0))</f>
        <v/>
      </c>
      <c r="AR275" s="2" t="str">
        <f t="array" ref="AR275">IF($K275="",0,IFERROR(INDEX(CALC!$Z$2:$Z$33,MATCH($K275,CALC!$A$2:$A$33,0)),0))</f>
        <v/>
      </c>
      <c r="AS275" s="2" t="str">
        <f t="array" ref="AS275">IF($K275="",0,IFERROR(INDEX(CALC!$AJ$2:$AJ$33,MATCH($K275,CALC!$A$2:$A$33,0)),0))</f>
        <v/>
      </c>
      <c r="AT275" s="2" t="str">
        <f t="array" ref="AT275">IF($K275="",0,IFERROR(INDEX(CALC!$AI$2:$AI$33,MATCH($K275,CALC!$A$2:$A$33,0)),0))</f>
        <v/>
      </c>
      <c r="AU275" s="2">
        <f t="shared" si="11"/>
        <v>0</v>
      </c>
      <c r="AV275" s="2">
        <f t="shared" si="12"/>
        <v>0</v>
      </c>
    </row>
    <row r="276" ht="15.0" customHeight="1">
      <c r="A276" s="2">
        <v>137.0</v>
      </c>
      <c r="B276" s="2" t="s">
        <v>2366</v>
      </c>
      <c r="C276" s="2">
        <f>IFERROR(MATCH($A276,SchedSeq,0),"")</f>
        <v>422</v>
      </c>
      <c r="D276" s="2" t="str">
        <f t="array" ref="D276">IF($C276="","",INDEX(SchedZone,$C276,MAP!$B$6))</f>
        <v>2026_10_WAS_NYG</v>
      </c>
      <c r="E276" s="2">
        <f t="array" ref="E276">IF($C276="","",INDEX(SchedZone,$C276,MAP!$B$3))</f>
        <v>2026</v>
      </c>
      <c r="F276" s="2" t="str">
        <f t="array" ref="F276">IF($C276="","",INDEX(SchedZone,$C276,MAP!$B$5))</f>
        <v>REG</v>
      </c>
      <c r="G276" s="2">
        <f t="array" ref="G276">IF($C276="","",INDEX(SchedZone,$C276,MAP!$B$4))</f>
        <v>10</v>
      </c>
      <c r="H276" s="2" t="str">
        <f t="array" ref="H276">IF($C276="","",INDEX(SchedZone,$C276,MAP!$B$10))</f>
        <v>WAS</v>
      </c>
      <c r="I276" s="2" t="str">
        <f t="array" ref="I276">IF($H276="","",IF(COUNTIF(Teams,$H276)&gt;0,$H276,IFERROR(INDEX(LISTS!$D$2:$D$12,MATCH($H276,LISTS!$C$2:$C$12,0)),"⚠ "&amp;$H276)))</f>
        <v>WAS</v>
      </c>
      <c r="J276" s="2" t="str">
        <f t="array" ref="J276">IF($C276="","",INDEX(SchedZone,$C276,MAP!$B$12))</f>
        <v>NYG</v>
      </c>
      <c r="K276" s="2" t="str">
        <f t="array" ref="K276">IF($J276="","",IF(COUNTIF(Teams,$J276)&gt;0,$J276,IFERROR(INDEX(LISTS!$D$2:$D$12,MATCH($J276,LISTS!$C$2:$C$12,0)),"⚠ "&amp;$J276)))</f>
        <v>NYG</v>
      </c>
      <c r="L276" s="2" t="str">
        <f t="array" ref="L276">IF($C276="","",IF(INDEX(SchedZone,$C276,MAP!$B$14)="Neutral","N",IF($B276="HOME","H","A")))</f>
        <v>A</v>
      </c>
      <c r="M276" s="2" t="str">
        <f t="array" ref="M276">IF($C276="","",IF(INDEX(SchedZone,$C276,MAP!$B$11)="","",INDEX(SchedZone,$C276,MAP!$B$11)))</f>
        <v/>
      </c>
      <c r="N276" s="2" t="str">
        <f t="array" ref="N276">IF($C276="","",IF(INDEX(SchedZone,$C276,MAP!$B$13)="","",INDEX(SchedZone,$C276,MAP!$B$13)))</f>
        <v/>
      </c>
      <c r="O276" s="2">
        <f t="array" ref="O276">IF($C276="","",INDEX(SchedZone,$C276,MAP!$B$15))</f>
        <v>4</v>
      </c>
      <c r="P276" s="2" t="str">
        <f>IF($C276="","",IFERROR(MATCH($E276&amp;"|"&amp;$G276&amp;"|"&amp;$I276,StatsKey,0),""))</f>
        <v/>
      </c>
      <c r="Q276" s="2">
        <f t="array" ref="Q276">IF($P276="",0,INDEX(StatsZone,$P276,MAP!$E$9)+INDEX(StatsZone,$P276,MAP!$E$10)+INDEX(StatsZone,$P276,MAP!$E$11))</f>
        <v>0</v>
      </c>
      <c r="R276" s="2">
        <f t="array" ref="R276">IF($P276="",0,INDEX(StatsZone,$P276,MAP!$E$12))</f>
        <v>0</v>
      </c>
      <c r="S276" s="2">
        <f t="array" ref="S276">IF($P276="",0,INDEX(StatsZone,$P276,MAP!$E$13))</f>
        <v>0</v>
      </c>
      <c r="T276" s="2">
        <f t="shared" si="1"/>
        <v>0</v>
      </c>
      <c r="U276" s="2">
        <f t="array" ref="U276">IF($P276="",0,INDEX(StatsZone,$P276,MAP!$E$14)+INDEX(StatsZone,$P276,MAP!$E$15)+INDEX(StatsZone,$P276,MAP!$E$16))</f>
        <v>0</v>
      </c>
      <c r="V276" s="2">
        <f t="shared" si="2"/>
        <v>0</v>
      </c>
      <c r="W276" s="2">
        <f t="shared" si="3"/>
        <v>0</v>
      </c>
      <c r="X276" s="2">
        <f t="shared" si="4"/>
        <v>0</v>
      </c>
      <c r="Y276" s="2">
        <f t="shared" si="5"/>
        <v>0</v>
      </c>
      <c r="Z276" s="2">
        <f t="shared" si="6"/>
        <v>0</v>
      </c>
      <c r="AA276" s="2">
        <f t="shared" si="7"/>
        <v>-1</v>
      </c>
      <c r="AB276" s="2">
        <f>IF(OR($M276="",$N276=""),0,MEDIAN(-MarginCap,MarginCap,($M276-$N276)-$AA276*HFA_Base))</f>
        <v>0</v>
      </c>
      <c r="AC276" s="2">
        <f t="array" ref="AC276">IF(OR($P276="",INDEX($P$3:$P$722,(ROW()+IF(MOD(ROW()-3,2)=0,1,-1))-3+1)=""),0,MEDIAN(-MarginCap,MarginCap,($T276-$W276)-$AA276*HFA_Base))</f>
        <v>0</v>
      </c>
      <c r="AD276" s="2">
        <f t="shared" si="8"/>
        <v>0</v>
      </c>
      <c r="AE276" s="2">
        <f>IF(OR($M276="",$N276=""),0,IF(AND(WEpa&gt;0,$AD276=1),(1-WEpa)*$AB276+WEpa*$AC276,$AB276))</f>
        <v>0</v>
      </c>
      <c r="AF276" s="2">
        <f>IF(AND($C276&lt;&gt;"",$E276=CurrentSeason,$F276="REG",ISNUMBER($G276),$G276&lt;CurrentWeek,AND($M276&lt;&gt;"",$N276&lt;&gt;"")),1,0)</f>
        <v>0</v>
      </c>
      <c r="AG276" s="2">
        <f>IF($AF276=0,0,IF($G276&gt;=CurrentWeek-RecencyWin,RecencyMult,1))</f>
        <v>0</v>
      </c>
      <c r="AH276" s="2">
        <f>IF(AND($C276&lt;&gt;"",$E276=CurrentSeason,$F276="REG",ISNUMBER($G276),$G276&lt;CurrentWeek-1,AND($M276&lt;&gt;"",$N276&lt;&gt;"")),1,0)</f>
        <v>0</v>
      </c>
      <c r="AI276" s="2">
        <f>IF($AH276=0,0,IF($G276&gt;=CurrentWeek-1-RecencyWin,RecencyMult,1))</f>
        <v>0</v>
      </c>
      <c r="AJ276" s="2">
        <f>IF($AF276=0,0,IF($G276&gt;=CurrentWeek-RecencyWin,TotRecency,1))</f>
        <v>0</v>
      </c>
      <c r="AK276" s="2">
        <f t="shared" si="9"/>
        <v>0</v>
      </c>
      <c r="AL276" s="2">
        <f t="shared" si="10"/>
        <v>0</v>
      </c>
      <c r="AM276" s="2" t="str">
        <f t="array" ref="AM276">IF($K276="",0,IFERROR(INDEX(CALC!$F$2:$F$33,MATCH($K276,CALC!$A$2:$A$33,0)),0))</f>
        <v/>
      </c>
      <c r="AN276" s="2" t="str">
        <f t="array" ref="AN276">IF($K276="",0,IFERROR(INDEX(CALC!$I$2:$I$33,MATCH($K276,CALC!$A$2:$A$33,0)),0))</f>
        <v/>
      </c>
      <c r="AO276" s="2" t="str">
        <f t="array" ref="AO276">IF($K276="",0,IFERROR(INDEX(CALC!$L$2:$L$33,MATCH($K276,CALC!$A$2:$A$33,0)),0))</f>
        <v/>
      </c>
      <c r="AP276" s="2" t="str">
        <f t="array" ref="AP276">IF($K276="",0,IFERROR(INDEX(CALC!$T$2:$T$33,MATCH($K276,CALC!$A$2:$A$33,0)),0))</f>
        <v/>
      </c>
      <c r="AQ276" s="2" t="str">
        <f t="array" ref="AQ276">IF($K276="",0,IFERROR(INDEX(CALC!$W$2:$W$33,MATCH($K276,CALC!$A$2:$A$33,0)),0))</f>
        <v/>
      </c>
      <c r="AR276" s="2" t="str">
        <f t="array" ref="AR276">IF($K276="",0,IFERROR(INDEX(CALC!$Z$2:$Z$33,MATCH($K276,CALC!$A$2:$A$33,0)),0))</f>
        <v/>
      </c>
      <c r="AS276" s="2" t="str">
        <f t="array" ref="AS276">IF($K276="",0,IFERROR(INDEX(CALC!$AJ$2:$AJ$33,MATCH($K276,CALC!$A$2:$A$33,0)),0))</f>
        <v/>
      </c>
      <c r="AT276" s="2" t="str">
        <f t="array" ref="AT276">IF($K276="",0,IFERROR(INDEX(CALC!$AI$2:$AI$33,MATCH($K276,CALC!$A$2:$A$33,0)),0))</f>
        <v/>
      </c>
      <c r="AU276" s="2">
        <f t="shared" si="11"/>
        <v>0</v>
      </c>
      <c r="AV276" s="2">
        <f t="shared" si="12"/>
        <v>0</v>
      </c>
    </row>
    <row r="277" ht="15.0" customHeight="1">
      <c r="A277" s="2">
        <v>138.0</v>
      </c>
      <c r="B277" s="2" t="s">
        <v>2365</v>
      </c>
      <c r="C277" s="2">
        <f>IFERROR(MATCH($A277,SchedSeq,0),"")</f>
        <v>423</v>
      </c>
      <c r="D277" s="2" t="str">
        <f t="array" ref="D277">IF($C277="","",INDEX(SchedZone,$C277,MAP!$B$6))</f>
        <v>2026_10_NE_DET</v>
      </c>
      <c r="E277" s="2">
        <f t="array" ref="E277">IF($C277="","",INDEX(SchedZone,$C277,MAP!$B$3))</f>
        <v>2026</v>
      </c>
      <c r="F277" s="2" t="str">
        <f t="array" ref="F277">IF($C277="","",INDEX(SchedZone,$C277,MAP!$B$5))</f>
        <v>REG</v>
      </c>
      <c r="G277" s="2">
        <f t="array" ref="G277">IF($C277="","",INDEX(SchedZone,$C277,MAP!$B$4))</f>
        <v>10</v>
      </c>
      <c r="H277" s="2" t="str">
        <f t="array" ref="H277">IF($C277="","",INDEX(SchedZone,$C277,MAP!$B$12))</f>
        <v>DET</v>
      </c>
      <c r="I277" s="2" t="str">
        <f t="array" ref="I277">IF($H277="","",IF(COUNTIF(Teams,$H277)&gt;0,$H277,IFERROR(INDEX(LISTS!$D$2:$D$12,MATCH($H277,LISTS!$C$2:$C$12,0)),"⚠ "&amp;$H277)))</f>
        <v>DET</v>
      </c>
      <c r="J277" s="2" t="str">
        <f t="array" ref="J277">IF($C277="","",INDEX(SchedZone,$C277,MAP!$B$10))</f>
        <v>NE</v>
      </c>
      <c r="K277" s="2" t="str">
        <f t="array" ref="K277">IF($J277="","",IF(COUNTIF(Teams,$J277)&gt;0,$J277,IFERROR(INDEX(LISTS!$D$2:$D$12,MATCH($J277,LISTS!$C$2:$C$12,0)),"⚠ "&amp;$J277)))</f>
        <v>NE</v>
      </c>
      <c r="L277" s="2" t="str">
        <f t="array" ref="L277">IF($C277="","",IF(INDEX(SchedZone,$C277,MAP!$B$14)="Neutral","N",IF($B277="HOME","H","A")))</f>
        <v>N</v>
      </c>
      <c r="M277" s="2" t="str">
        <f t="array" ref="M277">IF($C277="","",IF(INDEX(SchedZone,$C277,MAP!$B$13)="","",INDEX(SchedZone,$C277,MAP!$B$13)))</f>
        <v/>
      </c>
      <c r="N277" s="2" t="str">
        <f t="array" ref="N277">IF($C277="","",IF(INDEX(SchedZone,$C277,MAP!$B$11)="","",INDEX(SchedZone,$C277,MAP!$B$11)))</f>
        <v/>
      </c>
      <c r="O277" s="2">
        <f t="array" ref="O277">IF($C277="","",INDEX(SchedZone,$C277,MAP!$B$16))</f>
        <v>7</v>
      </c>
      <c r="P277" s="2" t="str">
        <f>IF($C277="","",IFERROR(MATCH($E277&amp;"|"&amp;$G277&amp;"|"&amp;$I277,StatsKey,0),""))</f>
        <v/>
      </c>
      <c r="Q277" s="2">
        <f t="array" ref="Q277">IF($P277="",0,INDEX(StatsZone,$P277,MAP!$E$9)+INDEX(StatsZone,$P277,MAP!$E$10)+INDEX(StatsZone,$P277,MAP!$E$11))</f>
        <v>0</v>
      </c>
      <c r="R277" s="2">
        <f t="array" ref="R277">IF($P277="",0,INDEX(StatsZone,$P277,MAP!$E$12))</f>
        <v>0</v>
      </c>
      <c r="S277" s="2">
        <f t="array" ref="S277">IF($P277="",0,INDEX(StatsZone,$P277,MAP!$E$13))</f>
        <v>0</v>
      </c>
      <c r="T277" s="2">
        <f t="shared" si="1"/>
        <v>0</v>
      </c>
      <c r="U277" s="2">
        <f t="array" ref="U277">IF($P277="",0,INDEX(StatsZone,$P277,MAP!$E$14)+INDEX(StatsZone,$P277,MAP!$E$15)+INDEX(StatsZone,$P277,MAP!$E$16))</f>
        <v>0</v>
      </c>
      <c r="V277" s="2">
        <f t="shared" si="2"/>
        <v>0</v>
      </c>
      <c r="W277" s="2">
        <f t="shared" si="3"/>
        <v>0</v>
      </c>
      <c r="X277" s="2">
        <f t="shared" si="4"/>
        <v>0</v>
      </c>
      <c r="Y277" s="2">
        <f t="shared" si="5"/>
        <v>0</v>
      </c>
      <c r="Z277" s="2">
        <f t="shared" si="6"/>
        <v>0</v>
      </c>
      <c r="AA277" s="2">
        <f t="shared" si="7"/>
        <v>0</v>
      </c>
      <c r="AB277" s="2">
        <f>IF(OR($M277="",$N277=""),0,MEDIAN(-MarginCap,MarginCap,($M277-$N277)-$AA277*HFA_Base))</f>
        <v>0</v>
      </c>
      <c r="AC277" s="2">
        <f t="array" ref="AC277">IF(OR($P277="",INDEX($P$3:$P$722,(ROW()+IF(MOD(ROW()-3,2)=0,1,-1))-3+1)=""),0,MEDIAN(-MarginCap,MarginCap,($T277-$W277)-$AA277*HFA_Base))</f>
        <v>0</v>
      </c>
      <c r="AD277" s="2">
        <f t="shared" si="8"/>
        <v>0</v>
      </c>
      <c r="AE277" s="2">
        <f>IF(OR($M277="",$N277=""),0,IF(AND(WEpa&gt;0,$AD277=1),(1-WEpa)*$AB277+WEpa*$AC277,$AB277))</f>
        <v>0</v>
      </c>
      <c r="AF277" s="2">
        <f>IF(AND($C277&lt;&gt;"",$E277=CurrentSeason,$F277="REG",ISNUMBER($G277),$G277&lt;CurrentWeek,AND($M277&lt;&gt;"",$N277&lt;&gt;"")),1,0)</f>
        <v>0</v>
      </c>
      <c r="AG277" s="2">
        <f>IF($AF277=0,0,IF($G277&gt;=CurrentWeek-RecencyWin,RecencyMult,1))</f>
        <v>0</v>
      </c>
      <c r="AH277" s="2">
        <f>IF(AND($C277&lt;&gt;"",$E277=CurrentSeason,$F277="REG",ISNUMBER($G277),$G277&lt;CurrentWeek-1,AND($M277&lt;&gt;"",$N277&lt;&gt;"")),1,0)</f>
        <v>0</v>
      </c>
      <c r="AI277" s="2">
        <f>IF($AH277=0,0,IF($G277&gt;=CurrentWeek-1-RecencyWin,RecencyMult,1))</f>
        <v>0</v>
      </c>
      <c r="AJ277" s="2">
        <f>IF($AF277=0,0,IF($G277&gt;=CurrentWeek-RecencyWin,TotRecency,1))</f>
        <v>0</v>
      </c>
      <c r="AK277" s="2">
        <f t="shared" si="9"/>
        <v>0</v>
      </c>
      <c r="AL277" s="2">
        <f t="shared" si="10"/>
        <v>0</v>
      </c>
      <c r="AM277" s="2" t="str">
        <f t="array" ref="AM277">IF($K277="",0,IFERROR(INDEX(CALC!$F$2:$F$33,MATCH($K277,CALC!$A$2:$A$33,0)),0))</f>
        <v/>
      </c>
      <c r="AN277" s="2" t="str">
        <f t="array" ref="AN277">IF($K277="",0,IFERROR(INDEX(CALC!$I$2:$I$33,MATCH($K277,CALC!$A$2:$A$33,0)),0))</f>
        <v/>
      </c>
      <c r="AO277" s="2" t="str">
        <f t="array" ref="AO277">IF($K277="",0,IFERROR(INDEX(CALC!$L$2:$L$33,MATCH($K277,CALC!$A$2:$A$33,0)),0))</f>
        <v/>
      </c>
      <c r="AP277" s="2" t="str">
        <f t="array" ref="AP277">IF($K277="",0,IFERROR(INDEX(CALC!$T$2:$T$33,MATCH($K277,CALC!$A$2:$A$33,0)),0))</f>
        <v/>
      </c>
      <c r="AQ277" s="2" t="str">
        <f t="array" ref="AQ277">IF($K277="",0,IFERROR(INDEX(CALC!$W$2:$W$33,MATCH($K277,CALC!$A$2:$A$33,0)),0))</f>
        <v/>
      </c>
      <c r="AR277" s="2" t="str">
        <f t="array" ref="AR277">IF($K277="",0,IFERROR(INDEX(CALC!$Z$2:$Z$33,MATCH($K277,CALC!$A$2:$A$33,0)),0))</f>
        <v/>
      </c>
      <c r="AS277" s="2" t="str">
        <f t="array" ref="AS277">IF($K277="",0,IFERROR(INDEX(CALC!$AJ$2:$AJ$33,MATCH($K277,CALC!$A$2:$A$33,0)),0))</f>
        <v/>
      </c>
      <c r="AT277" s="2" t="str">
        <f t="array" ref="AT277">IF($K277="",0,IFERROR(INDEX(CALC!$AI$2:$AI$33,MATCH($K277,CALC!$A$2:$A$33,0)),0))</f>
        <v/>
      </c>
      <c r="AU277" s="2">
        <f t="shared" si="11"/>
        <v>0</v>
      </c>
      <c r="AV277" s="2">
        <f t="shared" si="12"/>
        <v>0</v>
      </c>
    </row>
    <row r="278" ht="15.0" customHeight="1">
      <c r="A278" s="2">
        <v>138.0</v>
      </c>
      <c r="B278" s="2" t="s">
        <v>2366</v>
      </c>
      <c r="C278" s="2">
        <f>IFERROR(MATCH($A278,SchedSeq,0),"")</f>
        <v>423</v>
      </c>
      <c r="D278" s="2" t="str">
        <f t="array" ref="D278">IF($C278="","",INDEX(SchedZone,$C278,MAP!$B$6))</f>
        <v>2026_10_NE_DET</v>
      </c>
      <c r="E278" s="2">
        <f t="array" ref="E278">IF($C278="","",INDEX(SchedZone,$C278,MAP!$B$3))</f>
        <v>2026</v>
      </c>
      <c r="F278" s="2" t="str">
        <f t="array" ref="F278">IF($C278="","",INDEX(SchedZone,$C278,MAP!$B$5))</f>
        <v>REG</v>
      </c>
      <c r="G278" s="2">
        <f t="array" ref="G278">IF($C278="","",INDEX(SchedZone,$C278,MAP!$B$4))</f>
        <v>10</v>
      </c>
      <c r="H278" s="2" t="str">
        <f t="array" ref="H278">IF($C278="","",INDEX(SchedZone,$C278,MAP!$B$10))</f>
        <v>NE</v>
      </c>
      <c r="I278" s="2" t="str">
        <f t="array" ref="I278">IF($H278="","",IF(COUNTIF(Teams,$H278)&gt;0,$H278,IFERROR(INDEX(LISTS!$D$2:$D$12,MATCH($H278,LISTS!$C$2:$C$12,0)),"⚠ "&amp;$H278)))</f>
        <v>NE</v>
      </c>
      <c r="J278" s="2" t="str">
        <f t="array" ref="J278">IF($C278="","",INDEX(SchedZone,$C278,MAP!$B$12))</f>
        <v>DET</v>
      </c>
      <c r="K278" s="2" t="str">
        <f t="array" ref="K278">IF($J278="","",IF(COUNTIF(Teams,$J278)&gt;0,$J278,IFERROR(INDEX(LISTS!$D$2:$D$12,MATCH($J278,LISTS!$C$2:$C$12,0)),"⚠ "&amp;$J278)))</f>
        <v>DET</v>
      </c>
      <c r="L278" s="2" t="str">
        <f t="array" ref="L278">IF($C278="","",IF(INDEX(SchedZone,$C278,MAP!$B$14)="Neutral","N",IF($B278="HOME","H","A")))</f>
        <v>N</v>
      </c>
      <c r="M278" s="2" t="str">
        <f t="array" ref="M278">IF($C278="","",IF(INDEX(SchedZone,$C278,MAP!$B$11)="","",INDEX(SchedZone,$C278,MAP!$B$11)))</f>
        <v/>
      </c>
      <c r="N278" s="2" t="str">
        <f t="array" ref="N278">IF($C278="","",IF(INDEX(SchedZone,$C278,MAP!$B$13)="","",INDEX(SchedZone,$C278,MAP!$B$13)))</f>
        <v/>
      </c>
      <c r="O278" s="2">
        <f t="array" ref="O278">IF($C278="","",INDEX(SchedZone,$C278,MAP!$B$15))</f>
        <v>7</v>
      </c>
      <c r="P278" s="2" t="str">
        <f>IF($C278="","",IFERROR(MATCH($E278&amp;"|"&amp;$G278&amp;"|"&amp;$I278,StatsKey,0),""))</f>
        <v/>
      </c>
      <c r="Q278" s="2">
        <f t="array" ref="Q278">IF($P278="",0,INDEX(StatsZone,$P278,MAP!$E$9)+INDEX(StatsZone,$P278,MAP!$E$10)+INDEX(StatsZone,$P278,MAP!$E$11))</f>
        <v>0</v>
      </c>
      <c r="R278" s="2">
        <f t="array" ref="R278">IF($P278="",0,INDEX(StatsZone,$P278,MAP!$E$12))</f>
        <v>0</v>
      </c>
      <c r="S278" s="2">
        <f t="array" ref="S278">IF($P278="",0,INDEX(StatsZone,$P278,MAP!$E$13))</f>
        <v>0</v>
      </c>
      <c r="T278" s="2">
        <f t="shared" si="1"/>
        <v>0</v>
      </c>
      <c r="U278" s="2">
        <f t="array" ref="U278">IF($P278="",0,INDEX(StatsZone,$P278,MAP!$E$14)+INDEX(StatsZone,$P278,MAP!$E$15)+INDEX(StatsZone,$P278,MAP!$E$16))</f>
        <v>0</v>
      </c>
      <c r="V278" s="2">
        <f t="shared" si="2"/>
        <v>0</v>
      </c>
      <c r="W278" s="2">
        <f t="shared" si="3"/>
        <v>0</v>
      </c>
      <c r="X278" s="2">
        <f t="shared" si="4"/>
        <v>0</v>
      </c>
      <c r="Y278" s="2">
        <f t="shared" si="5"/>
        <v>0</v>
      </c>
      <c r="Z278" s="2">
        <f t="shared" si="6"/>
        <v>0</v>
      </c>
      <c r="AA278" s="2">
        <f t="shared" si="7"/>
        <v>0</v>
      </c>
      <c r="AB278" s="2">
        <f>IF(OR($M278="",$N278=""),0,MEDIAN(-MarginCap,MarginCap,($M278-$N278)-$AA278*HFA_Base))</f>
        <v>0</v>
      </c>
      <c r="AC278" s="2">
        <f t="array" ref="AC278">IF(OR($P278="",INDEX($P$3:$P$722,(ROW()+IF(MOD(ROW()-3,2)=0,1,-1))-3+1)=""),0,MEDIAN(-MarginCap,MarginCap,($T278-$W278)-$AA278*HFA_Base))</f>
        <v>0</v>
      </c>
      <c r="AD278" s="2">
        <f t="shared" si="8"/>
        <v>0</v>
      </c>
      <c r="AE278" s="2">
        <f>IF(OR($M278="",$N278=""),0,IF(AND(WEpa&gt;0,$AD278=1),(1-WEpa)*$AB278+WEpa*$AC278,$AB278))</f>
        <v>0</v>
      </c>
      <c r="AF278" s="2">
        <f>IF(AND($C278&lt;&gt;"",$E278=CurrentSeason,$F278="REG",ISNUMBER($G278),$G278&lt;CurrentWeek,AND($M278&lt;&gt;"",$N278&lt;&gt;"")),1,0)</f>
        <v>0</v>
      </c>
      <c r="AG278" s="2">
        <f>IF($AF278=0,0,IF($G278&gt;=CurrentWeek-RecencyWin,RecencyMult,1))</f>
        <v>0</v>
      </c>
      <c r="AH278" s="2">
        <f>IF(AND($C278&lt;&gt;"",$E278=CurrentSeason,$F278="REG",ISNUMBER($G278),$G278&lt;CurrentWeek-1,AND($M278&lt;&gt;"",$N278&lt;&gt;"")),1,0)</f>
        <v>0</v>
      </c>
      <c r="AI278" s="2">
        <f>IF($AH278=0,0,IF($G278&gt;=CurrentWeek-1-RecencyWin,RecencyMult,1))</f>
        <v>0</v>
      </c>
      <c r="AJ278" s="2">
        <f>IF($AF278=0,0,IF($G278&gt;=CurrentWeek-RecencyWin,TotRecency,1))</f>
        <v>0</v>
      </c>
      <c r="AK278" s="2">
        <f t="shared" si="9"/>
        <v>0</v>
      </c>
      <c r="AL278" s="2">
        <f t="shared" si="10"/>
        <v>0</v>
      </c>
      <c r="AM278" s="2" t="str">
        <f t="array" ref="AM278">IF($K278="",0,IFERROR(INDEX(CALC!$F$2:$F$33,MATCH($K278,CALC!$A$2:$A$33,0)),0))</f>
        <v/>
      </c>
      <c r="AN278" s="2" t="str">
        <f t="array" ref="AN278">IF($K278="",0,IFERROR(INDEX(CALC!$I$2:$I$33,MATCH($K278,CALC!$A$2:$A$33,0)),0))</f>
        <v/>
      </c>
      <c r="AO278" s="2" t="str">
        <f t="array" ref="AO278">IF($K278="",0,IFERROR(INDEX(CALC!$L$2:$L$33,MATCH($K278,CALC!$A$2:$A$33,0)),0))</f>
        <v/>
      </c>
      <c r="AP278" s="2" t="str">
        <f t="array" ref="AP278">IF($K278="",0,IFERROR(INDEX(CALC!$T$2:$T$33,MATCH($K278,CALC!$A$2:$A$33,0)),0))</f>
        <v/>
      </c>
      <c r="AQ278" s="2" t="str">
        <f t="array" ref="AQ278">IF($K278="",0,IFERROR(INDEX(CALC!$W$2:$W$33,MATCH($K278,CALC!$A$2:$A$33,0)),0))</f>
        <v/>
      </c>
      <c r="AR278" s="2" t="str">
        <f t="array" ref="AR278">IF($K278="",0,IFERROR(INDEX(CALC!$Z$2:$Z$33,MATCH($K278,CALC!$A$2:$A$33,0)),0))</f>
        <v/>
      </c>
      <c r="AS278" s="2" t="str">
        <f t="array" ref="AS278">IF($K278="",0,IFERROR(INDEX(CALC!$AJ$2:$AJ$33,MATCH($K278,CALC!$A$2:$A$33,0)),0))</f>
        <v/>
      </c>
      <c r="AT278" s="2" t="str">
        <f t="array" ref="AT278">IF($K278="",0,IFERROR(INDEX(CALC!$AI$2:$AI$33,MATCH($K278,CALC!$A$2:$A$33,0)),0))</f>
        <v/>
      </c>
      <c r="AU278" s="2">
        <f t="shared" si="11"/>
        <v>0</v>
      </c>
      <c r="AV278" s="2">
        <f t="shared" si="12"/>
        <v>0</v>
      </c>
    </row>
    <row r="279" ht="15.0" customHeight="1">
      <c r="A279" s="2">
        <v>139.0</v>
      </c>
      <c r="B279" s="2" t="s">
        <v>2365</v>
      </c>
      <c r="C279" s="2">
        <f>IFERROR(MATCH($A279,SchedSeq,0),"")</f>
        <v>424</v>
      </c>
      <c r="D279" s="2" t="str">
        <f t="array" ref="D279">IF($C279="","",INDEX(SchedZone,$C279,MAP!$B$6))</f>
        <v>2026_10_KC_ATL</v>
      </c>
      <c r="E279" s="2">
        <f t="array" ref="E279">IF($C279="","",INDEX(SchedZone,$C279,MAP!$B$3))</f>
        <v>2026</v>
      </c>
      <c r="F279" s="2" t="str">
        <f t="array" ref="F279">IF($C279="","",INDEX(SchedZone,$C279,MAP!$B$5))</f>
        <v>REG</v>
      </c>
      <c r="G279" s="2">
        <f t="array" ref="G279">IF($C279="","",INDEX(SchedZone,$C279,MAP!$B$4))</f>
        <v>10</v>
      </c>
      <c r="H279" s="2" t="str">
        <f t="array" ref="H279">IF($C279="","",INDEX(SchedZone,$C279,MAP!$B$12))</f>
        <v>ATL</v>
      </c>
      <c r="I279" s="2" t="str">
        <f t="array" ref="I279">IF($H279="","",IF(COUNTIF(Teams,$H279)&gt;0,$H279,IFERROR(INDEX(LISTS!$D$2:$D$12,MATCH($H279,LISTS!$C$2:$C$12,0)),"⚠ "&amp;$H279)))</f>
        <v>ATL</v>
      </c>
      <c r="J279" s="2" t="str">
        <f t="array" ref="J279">IF($C279="","",INDEX(SchedZone,$C279,MAP!$B$10))</f>
        <v>KC</v>
      </c>
      <c r="K279" s="2" t="str">
        <f t="array" ref="K279">IF($J279="","",IF(COUNTIF(Teams,$J279)&gt;0,$J279,IFERROR(INDEX(LISTS!$D$2:$D$12,MATCH($J279,LISTS!$C$2:$C$12,0)),"⚠ "&amp;$J279)))</f>
        <v>KC</v>
      </c>
      <c r="L279" s="2" t="str">
        <f t="array" ref="L279">IF($C279="","",IF(INDEX(SchedZone,$C279,MAP!$B$14)="Neutral","N",IF($B279="HOME","H","A")))</f>
        <v>H</v>
      </c>
      <c r="M279" s="2" t="str">
        <f t="array" ref="M279">IF($C279="","",IF(INDEX(SchedZone,$C279,MAP!$B$13)="","",INDEX(SchedZone,$C279,MAP!$B$13)))</f>
        <v/>
      </c>
      <c r="N279" s="2" t="str">
        <f t="array" ref="N279">IF($C279="","",IF(INDEX(SchedZone,$C279,MAP!$B$11)="","",INDEX(SchedZone,$C279,MAP!$B$11)))</f>
        <v/>
      </c>
      <c r="O279" s="2">
        <f t="array" ref="O279">IF($C279="","",INDEX(SchedZone,$C279,MAP!$B$16))</f>
        <v>7</v>
      </c>
      <c r="P279" s="2" t="str">
        <f>IF($C279="","",IFERROR(MATCH($E279&amp;"|"&amp;$G279&amp;"|"&amp;$I279,StatsKey,0),""))</f>
        <v/>
      </c>
      <c r="Q279" s="2">
        <f t="array" ref="Q279">IF($P279="",0,INDEX(StatsZone,$P279,MAP!$E$9)+INDEX(StatsZone,$P279,MAP!$E$10)+INDEX(StatsZone,$P279,MAP!$E$11))</f>
        <v>0</v>
      </c>
      <c r="R279" s="2">
        <f t="array" ref="R279">IF($P279="",0,INDEX(StatsZone,$P279,MAP!$E$12))</f>
        <v>0</v>
      </c>
      <c r="S279" s="2">
        <f t="array" ref="S279">IF($P279="",0,INDEX(StatsZone,$P279,MAP!$E$13))</f>
        <v>0</v>
      </c>
      <c r="T279" s="2">
        <f t="shared" si="1"/>
        <v>0</v>
      </c>
      <c r="U279" s="2">
        <f t="array" ref="U279">IF($P279="",0,INDEX(StatsZone,$P279,MAP!$E$14)+INDEX(StatsZone,$P279,MAP!$E$15)+INDEX(StatsZone,$P279,MAP!$E$16))</f>
        <v>0</v>
      </c>
      <c r="V279" s="2">
        <f t="shared" si="2"/>
        <v>0</v>
      </c>
      <c r="W279" s="2">
        <f t="shared" si="3"/>
        <v>0</v>
      </c>
      <c r="X279" s="2">
        <f t="shared" si="4"/>
        <v>0</v>
      </c>
      <c r="Y279" s="2">
        <f t="shared" si="5"/>
        <v>0</v>
      </c>
      <c r="Z279" s="2">
        <f t="shared" si="6"/>
        <v>0</v>
      </c>
      <c r="AA279" s="2">
        <f t="shared" si="7"/>
        <v>1</v>
      </c>
      <c r="AB279" s="2">
        <f>IF(OR($M279="",$N279=""),0,MEDIAN(-MarginCap,MarginCap,($M279-$N279)-$AA279*HFA_Base))</f>
        <v>0</v>
      </c>
      <c r="AC279" s="2">
        <f t="array" ref="AC279">IF(OR($P279="",INDEX($P$3:$P$722,(ROW()+IF(MOD(ROW()-3,2)=0,1,-1))-3+1)=""),0,MEDIAN(-MarginCap,MarginCap,($T279-$W279)-$AA279*HFA_Base))</f>
        <v>0</v>
      </c>
      <c r="AD279" s="2">
        <f t="shared" si="8"/>
        <v>0</v>
      </c>
      <c r="AE279" s="2">
        <f>IF(OR($M279="",$N279=""),0,IF(AND(WEpa&gt;0,$AD279=1),(1-WEpa)*$AB279+WEpa*$AC279,$AB279))</f>
        <v>0</v>
      </c>
      <c r="AF279" s="2">
        <f>IF(AND($C279&lt;&gt;"",$E279=CurrentSeason,$F279="REG",ISNUMBER($G279),$G279&lt;CurrentWeek,AND($M279&lt;&gt;"",$N279&lt;&gt;"")),1,0)</f>
        <v>0</v>
      </c>
      <c r="AG279" s="2">
        <f>IF($AF279=0,0,IF($G279&gt;=CurrentWeek-RecencyWin,RecencyMult,1))</f>
        <v>0</v>
      </c>
      <c r="AH279" s="2">
        <f>IF(AND($C279&lt;&gt;"",$E279=CurrentSeason,$F279="REG",ISNUMBER($G279),$G279&lt;CurrentWeek-1,AND($M279&lt;&gt;"",$N279&lt;&gt;"")),1,0)</f>
        <v>0</v>
      </c>
      <c r="AI279" s="2">
        <f>IF($AH279=0,0,IF($G279&gt;=CurrentWeek-1-RecencyWin,RecencyMult,1))</f>
        <v>0</v>
      </c>
      <c r="AJ279" s="2">
        <f>IF($AF279=0,0,IF($G279&gt;=CurrentWeek-RecencyWin,TotRecency,1))</f>
        <v>0</v>
      </c>
      <c r="AK279" s="2">
        <f t="shared" si="9"/>
        <v>0</v>
      </c>
      <c r="AL279" s="2">
        <f t="shared" si="10"/>
        <v>0</v>
      </c>
      <c r="AM279" s="2" t="str">
        <f t="array" ref="AM279">IF($K279="",0,IFERROR(INDEX(CALC!$F$2:$F$33,MATCH($K279,CALC!$A$2:$A$33,0)),0))</f>
        <v/>
      </c>
      <c r="AN279" s="2" t="str">
        <f t="array" ref="AN279">IF($K279="",0,IFERROR(INDEX(CALC!$I$2:$I$33,MATCH($K279,CALC!$A$2:$A$33,0)),0))</f>
        <v/>
      </c>
      <c r="AO279" s="2" t="str">
        <f t="array" ref="AO279">IF($K279="",0,IFERROR(INDEX(CALC!$L$2:$L$33,MATCH($K279,CALC!$A$2:$A$33,0)),0))</f>
        <v/>
      </c>
      <c r="AP279" s="2" t="str">
        <f t="array" ref="AP279">IF($K279="",0,IFERROR(INDEX(CALC!$T$2:$T$33,MATCH($K279,CALC!$A$2:$A$33,0)),0))</f>
        <v/>
      </c>
      <c r="AQ279" s="2" t="str">
        <f t="array" ref="AQ279">IF($K279="",0,IFERROR(INDEX(CALC!$W$2:$W$33,MATCH($K279,CALC!$A$2:$A$33,0)),0))</f>
        <v/>
      </c>
      <c r="AR279" s="2" t="str">
        <f t="array" ref="AR279">IF($K279="",0,IFERROR(INDEX(CALC!$Z$2:$Z$33,MATCH($K279,CALC!$A$2:$A$33,0)),0))</f>
        <v/>
      </c>
      <c r="AS279" s="2" t="str">
        <f t="array" ref="AS279">IF($K279="",0,IFERROR(INDEX(CALC!$AJ$2:$AJ$33,MATCH($K279,CALC!$A$2:$A$33,0)),0))</f>
        <v/>
      </c>
      <c r="AT279" s="2" t="str">
        <f t="array" ref="AT279">IF($K279="",0,IFERROR(INDEX(CALC!$AI$2:$AI$33,MATCH($K279,CALC!$A$2:$A$33,0)),0))</f>
        <v/>
      </c>
      <c r="AU279" s="2">
        <f t="shared" si="11"/>
        <v>0</v>
      </c>
      <c r="AV279" s="2">
        <f t="shared" si="12"/>
        <v>0</v>
      </c>
    </row>
    <row r="280" ht="15.0" customHeight="1">
      <c r="A280" s="2">
        <v>139.0</v>
      </c>
      <c r="B280" s="2" t="s">
        <v>2366</v>
      </c>
      <c r="C280" s="2">
        <f>IFERROR(MATCH($A280,SchedSeq,0),"")</f>
        <v>424</v>
      </c>
      <c r="D280" s="2" t="str">
        <f t="array" ref="D280">IF($C280="","",INDEX(SchedZone,$C280,MAP!$B$6))</f>
        <v>2026_10_KC_ATL</v>
      </c>
      <c r="E280" s="2">
        <f t="array" ref="E280">IF($C280="","",INDEX(SchedZone,$C280,MAP!$B$3))</f>
        <v>2026</v>
      </c>
      <c r="F280" s="2" t="str">
        <f t="array" ref="F280">IF($C280="","",INDEX(SchedZone,$C280,MAP!$B$5))</f>
        <v>REG</v>
      </c>
      <c r="G280" s="2">
        <f t="array" ref="G280">IF($C280="","",INDEX(SchedZone,$C280,MAP!$B$4))</f>
        <v>10</v>
      </c>
      <c r="H280" s="2" t="str">
        <f t="array" ref="H280">IF($C280="","",INDEX(SchedZone,$C280,MAP!$B$10))</f>
        <v>KC</v>
      </c>
      <c r="I280" s="2" t="str">
        <f t="array" ref="I280">IF($H280="","",IF(COUNTIF(Teams,$H280)&gt;0,$H280,IFERROR(INDEX(LISTS!$D$2:$D$12,MATCH($H280,LISTS!$C$2:$C$12,0)),"⚠ "&amp;$H280)))</f>
        <v>KC</v>
      </c>
      <c r="J280" s="2" t="str">
        <f t="array" ref="J280">IF($C280="","",INDEX(SchedZone,$C280,MAP!$B$12))</f>
        <v>ATL</v>
      </c>
      <c r="K280" s="2" t="str">
        <f t="array" ref="K280">IF($J280="","",IF(COUNTIF(Teams,$J280)&gt;0,$J280,IFERROR(INDEX(LISTS!$D$2:$D$12,MATCH($J280,LISTS!$C$2:$C$12,0)),"⚠ "&amp;$J280)))</f>
        <v>ATL</v>
      </c>
      <c r="L280" s="2" t="str">
        <f t="array" ref="L280">IF($C280="","",IF(INDEX(SchedZone,$C280,MAP!$B$14)="Neutral","N",IF($B280="HOME","H","A")))</f>
        <v>A</v>
      </c>
      <c r="M280" s="2" t="str">
        <f t="array" ref="M280">IF($C280="","",IF(INDEX(SchedZone,$C280,MAP!$B$11)="","",INDEX(SchedZone,$C280,MAP!$B$11)))</f>
        <v/>
      </c>
      <c r="N280" s="2" t="str">
        <f t="array" ref="N280">IF($C280="","",IF(INDEX(SchedZone,$C280,MAP!$B$13)="","",INDEX(SchedZone,$C280,MAP!$B$13)))</f>
        <v/>
      </c>
      <c r="O280" s="2">
        <f t="array" ref="O280">IF($C280="","",INDEX(SchedZone,$C280,MAP!$B$15))</f>
        <v>7</v>
      </c>
      <c r="P280" s="2" t="str">
        <f>IF($C280="","",IFERROR(MATCH($E280&amp;"|"&amp;$G280&amp;"|"&amp;$I280,StatsKey,0),""))</f>
        <v/>
      </c>
      <c r="Q280" s="2">
        <f t="array" ref="Q280">IF($P280="",0,INDEX(StatsZone,$P280,MAP!$E$9)+INDEX(StatsZone,$P280,MAP!$E$10)+INDEX(StatsZone,$P280,MAP!$E$11))</f>
        <v>0</v>
      </c>
      <c r="R280" s="2">
        <f t="array" ref="R280">IF($P280="",0,INDEX(StatsZone,$P280,MAP!$E$12))</f>
        <v>0</v>
      </c>
      <c r="S280" s="2">
        <f t="array" ref="S280">IF($P280="",0,INDEX(StatsZone,$P280,MAP!$E$13))</f>
        <v>0</v>
      </c>
      <c r="T280" s="2">
        <f t="shared" si="1"/>
        <v>0</v>
      </c>
      <c r="U280" s="2">
        <f t="array" ref="U280">IF($P280="",0,INDEX(StatsZone,$P280,MAP!$E$14)+INDEX(StatsZone,$P280,MAP!$E$15)+INDEX(StatsZone,$P280,MAP!$E$16))</f>
        <v>0</v>
      </c>
      <c r="V280" s="2">
        <f t="shared" si="2"/>
        <v>0</v>
      </c>
      <c r="W280" s="2">
        <f t="shared" si="3"/>
        <v>0</v>
      </c>
      <c r="X280" s="2">
        <f t="shared" si="4"/>
        <v>0</v>
      </c>
      <c r="Y280" s="2">
        <f t="shared" si="5"/>
        <v>0</v>
      </c>
      <c r="Z280" s="2">
        <f t="shared" si="6"/>
        <v>0</v>
      </c>
      <c r="AA280" s="2">
        <f t="shared" si="7"/>
        <v>-1</v>
      </c>
      <c r="AB280" s="2">
        <f>IF(OR($M280="",$N280=""),0,MEDIAN(-MarginCap,MarginCap,($M280-$N280)-$AA280*HFA_Base))</f>
        <v>0</v>
      </c>
      <c r="AC280" s="2">
        <f t="array" ref="AC280">IF(OR($P280="",INDEX($P$3:$P$722,(ROW()+IF(MOD(ROW()-3,2)=0,1,-1))-3+1)=""),0,MEDIAN(-MarginCap,MarginCap,($T280-$W280)-$AA280*HFA_Base))</f>
        <v>0</v>
      </c>
      <c r="AD280" s="2">
        <f t="shared" si="8"/>
        <v>0</v>
      </c>
      <c r="AE280" s="2">
        <f>IF(OR($M280="",$N280=""),0,IF(AND(WEpa&gt;0,$AD280=1),(1-WEpa)*$AB280+WEpa*$AC280,$AB280))</f>
        <v>0</v>
      </c>
      <c r="AF280" s="2">
        <f>IF(AND($C280&lt;&gt;"",$E280=CurrentSeason,$F280="REG",ISNUMBER($G280),$G280&lt;CurrentWeek,AND($M280&lt;&gt;"",$N280&lt;&gt;"")),1,0)</f>
        <v>0</v>
      </c>
      <c r="AG280" s="2">
        <f>IF($AF280=0,0,IF($G280&gt;=CurrentWeek-RecencyWin,RecencyMult,1))</f>
        <v>0</v>
      </c>
      <c r="AH280" s="2">
        <f>IF(AND($C280&lt;&gt;"",$E280=CurrentSeason,$F280="REG",ISNUMBER($G280),$G280&lt;CurrentWeek-1,AND($M280&lt;&gt;"",$N280&lt;&gt;"")),1,0)</f>
        <v>0</v>
      </c>
      <c r="AI280" s="2">
        <f>IF($AH280=0,0,IF($G280&gt;=CurrentWeek-1-RecencyWin,RecencyMult,1))</f>
        <v>0</v>
      </c>
      <c r="AJ280" s="2">
        <f>IF($AF280=0,0,IF($G280&gt;=CurrentWeek-RecencyWin,TotRecency,1))</f>
        <v>0</v>
      </c>
      <c r="AK280" s="2">
        <f t="shared" si="9"/>
        <v>0</v>
      </c>
      <c r="AL280" s="2">
        <f t="shared" si="10"/>
        <v>0</v>
      </c>
      <c r="AM280" s="2" t="str">
        <f t="array" ref="AM280">IF($K280="",0,IFERROR(INDEX(CALC!$F$2:$F$33,MATCH($K280,CALC!$A$2:$A$33,0)),0))</f>
        <v/>
      </c>
      <c r="AN280" s="2" t="str">
        <f t="array" ref="AN280">IF($K280="",0,IFERROR(INDEX(CALC!$I$2:$I$33,MATCH($K280,CALC!$A$2:$A$33,0)),0))</f>
        <v/>
      </c>
      <c r="AO280" s="2" t="str">
        <f t="array" ref="AO280">IF($K280="",0,IFERROR(INDEX(CALC!$L$2:$L$33,MATCH($K280,CALC!$A$2:$A$33,0)),0))</f>
        <v/>
      </c>
      <c r="AP280" s="2" t="str">
        <f t="array" ref="AP280">IF($K280="",0,IFERROR(INDEX(CALC!$T$2:$T$33,MATCH($K280,CALC!$A$2:$A$33,0)),0))</f>
        <v/>
      </c>
      <c r="AQ280" s="2" t="str">
        <f t="array" ref="AQ280">IF($K280="",0,IFERROR(INDEX(CALC!$W$2:$W$33,MATCH($K280,CALC!$A$2:$A$33,0)),0))</f>
        <v/>
      </c>
      <c r="AR280" s="2" t="str">
        <f t="array" ref="AR280">IF($K280="",0,IFERROR(INDEX(CALC!$Z$2:$Z$33,MATCH($K280,CALC!$A$2:$A$33,0)),0))</f>
        <v/>
      </c>
      <c r="AS280" s="2" t="str">
        <f t="array" ref="AS280">IF($K280="",0,IFERROR(INDEX(CALC!$AJ$2:$AJ$33,MATCH($K280,CALC!$A$2:$A$33,0)),0))</f>
        <v/>
      </c>
      <c r="AT280" s="2" t="str">
        <f t="array" ref="AT280">IF($K280="",0,IFERROR(INDEX(CALC!$AI$2:$AI$33,MATCH($K280,CALC!$A$2:$A$33,0)),0))</f>
        <v/>
      </c>
      <c r="AU280" s="2">
        <f t="shared" si="11"/>
        <v>0</v>
      </c>
      <c r="AV280" s="2">
        <f t="shared" si="12"/>
        <v>0</v>
      </c>
    </row>
    <row r="281" ht="15.0" customHeight="1">
      <c r="A281" s="2">
        <v>140.0</v>
      </c>
      <c r="B281" s="2" t="s">
        <v>2365</v>
      </c>
      <c r="C281" s="2">
        <f>IFERROR(MATCH($A281,SchedSeq,0),"")</f>
        <v>425</v>
      </c>
      <c r="D281" s="2" t="str">
        <f t="array" ref="D281">IF($C281="","",INDEX(SchedZone,$C281,MAP!$B$6))</f>
        <v>2026_10_HOU_CLE</v>
      </c>
      <c r="E281" s="2">
        <f t="array" ref="E281">IF($C281="","",INDEX(SchedZone,$C281,MAP!$B$3))</f>
        <v>2026</v>
      </c>
      <c r="F281" s="2" t="str">
        <f t="array" ref="F281">IF($C281="","",INDEX(SchedZone,$C281,MAP!$B$5))</f>
        <v>REG</v>
      </c>
      <c r="G281" s="2">
        <f t="array" ref="G281">IF($C281="","",INDEX(SchedZone,$C281,MAP!$B$4))</f>
        <v>10</v>
      </c>
      <c r="H281" s="2" t="str">
        <f t="array" ref="H281">IF($C281="","",INDEX(SchedZone,$C281,MAP!$B$12))</f>
        <v>CLE</v>
      </c>
      <c r="I281" s="2" t="str">
        <f t="array" ref="I281">IF($H281="","",IF(COUNTIF(Teams,$H281)&gt;0,$H281,IFERROR(INDEX(LISTS!$D$2:$D$12,MATCH($H281,LISTS!$C$2:$C$12,0)),"⚠ "&amp;$H281)))</f>
        <v>CLE</v>
      </c>
      <c r="J281" s="2" t="str">
        <f t="array" ref="J281">IF($C281="","",INDEX(SchedZone,$C281,MAP!$B$10))</f>
        <v>HOU</v>
      </c>
      <c r="K281" s="2" t="str">
        <f t="array" ref="K281">IF($J281="","",IF(COUNTIF(Teams,$J281)&gt;0,$J281,IFERROR(INDEX(LISTS!$D$2:$D$12,MATCH($J281,LISTS!$C$2:$C$12,0)),"⚠ "&amp;$J281)))</f>
        <v>HOU</v>
      </c>
      <c r="L281" s="2" t="str">
        <f t="array" ref="L281">IF($C281="","",IF(INDEX(SchedZone,$C281,MAP!$B$14)="Neutral","N",IF($B281="HOME","H","A")))</f>
        <v>H</v>
      </c>
      <c r="M281" s="2" t="str">
        <f t="array" ref="M281">IF($C281="","",IF(INDEX(SchedZone,$C281,MAP!$B$13)="","",INDEX(SchedZone,$C281,MAP!$B$13)))</f>
        <v/>
      </c>
      <c r="N281" s="2" t="str">
        <f t="array" ref="N281">IF($C281="","",IF(INDEX(SchedZone,$C281,MAP!$B$11)="","",INDEX(SchedZone,$C281,MAP!$B$11)))</f>
        <v/>
      </c>
      <c r="O281" s="2">
        <f t="array" ref="O281">IF($C281="","",INDEX(SchedZone,$C281,MAP!$B$16))</f>
        <v>7</v>
      </c>
      <c r="P281" s="2" t="str">
        <f>IF($C281="","",IFERROR(MATCH($E281&amp;"|"&amp;$G281&amp;"|"&amp;$I281,StatsKey,0),""))</f>
        <v/>
      </c>
      <c r="Q281" s="2">
        <f t="array" ref="Q281">IF($P281="",0,INDEX(StatsZone,$P281,MAP!$E$9)+INDEX(StatsZone,$P281,MAP!$E$10)+INDEX(StatsZone,$P281,MAP!$E$11))</f>
        <v>0</v>
      </c>
      <c r="R281" s="2">
        <f t="array" ref="R281">IF($P281="",0,INDEX(StatsZone,$P281,MAP!$E$12))</f>
        <v>0</v>
      </c>
      <c r="S281" s="2">
        <f t="array" ref="S281">IF($P281="",0,INDEX(StatsZone,$P281,MAP!$E$13))</f>
        <v>0</v>
      </c>
      <c r="T281" s="2">
        <f t="shared" si="1"/>
        <v>0</v>
      </c>
      <c r="U281" s="2">
        <f t="array" ref="U281">IF($P281="",0,INDEX(StatsZone,$P281,MAP!$E$14)+INDEX(StatsZone,$P281,MAP!$E$15)+INDEX(StatsZone,$P281,MAP!$E$16))</f>
        <v>0</v>
      </c>
      <c r="V281" s="2">
        <f t="shared" si="2"/>
        <v>0</v>
      </c>
      <c r="W281" s="2">
        <f t="shared" si="3"/>
        <v>0</v>
      </c>
      <c r="X281" s="2">
        <f t="shared" si="4"/>
        <v>0</v>
      </c>
      <c r="Y281" s="2">
        <f t="shared" si="5"/>
        <v>0</v>
      </c>
      <c r="Z281" s="2">
        <f t="shared" si="6"/>
        <v>0</v>
      </c>
      <c r="AA281" s="2">
        <f t="shared" si="7"/>
        <v>1</v>
      </c>
      <c r="AB281" s="2">
        <f>IF(OR($M281="",$N281=""),0,MEDIAN(-MarginCap,MarginCap,($M281-$N281)-$AA281*HFA_Base))</f>
        <v>0</v>
      </c>
      <c r="AC281" s="2">
        <f t="array" ref="AC281">IF(OR($P281="",INDEX($P$3:$P$722,(ROW()+IF(MOD(ROW()-3,2)=0,1,-1))-3+1)=""),0,MEDIAN(-MarginCap,MarginCap,($T281-$W281)-$AA281*HFA_Base))</f>
        <v>0</v>
      </c>
      <c r="AD281" s="2">
        <f t="shared" si="8"/>
        <v>0</v>
      </c>
      <c r="AE281" s="2">
        <f>IF(OR($M281="",$N281=""),0,IF(AND(WEpa&gt;0,$AD281=1),(1-WEpa)*$AB281+WEpa*$AC281,$AB281))</f>
        <v>0</v>
      </c>
      <c r="AF281" s="2">
        <f>IF(AND($C281&lt;&gt;"",$E281=CurrentSeason,$F281="REG",ISNUMBER($G281),$G281&lt;CurrentWeek,AND($M281&lt;&gt;"",$N281&lt;&gt;"")),1,0)</f>
        <v>0</v>
      </c>
      <c r="AG281" s="2">
        <f>IF($AF281=0,0,IF($G281&gt;=CurrentWeek-RecencyWin,RecencyMult,1))</f>
        <v>0</v>
      </c>
      <c r="AH281" s="2">
        <f>IF(AND($C281&lt;&gt;"",$E281=CurrentSeason,$F281="REG",ISNUMBER($G281),$G281&lt;CurrentWeek-1,AND($M281&lt;&gt;"",$N281&lt;&gt;"")),1,0)</f>
        <v>0</v>
      </c>
      <c r="AI281" s="2">
        <f>IF($AH281=0,0,IF($G281&gt;=CurrentWeek-1-RecencyWin,RecencyMult,1))</f>
        <v>0</v>
      </c>
      <c r="AJ281" s="2">
        <f>IF($AF281=0,0,IF($G281&gt;=CurrentWeek-RecencyWin,TotRecency,1))</f>
        <v>0</v>
      </c>
      <c r="AK281" s="2">
        <f t="shared" si="9"/>
        <v>0</v>
      </c>
      <c r="AL281" s="2">
        <f t="shared" si="10"/>
        <v>0</v>
      </c>
      <c r="AM281" s="2" t="str">
        <f t="array" ref="AM281">IF($K281="",0,IFERROR(INDEX(CALC!$F$2:$F$33,MATCH($K281,CALC!$A$2:$A$33,0)),0))</f>
        <v/>
      </c>
      <c r="AN281" s="2" t="str">
        <f t="array" ref="AN281">IF($K281="",0,IFERROR(INDEX(CALC!$I$2:$I$33,MATCH($K281,CALC!$A$2:$A$33,0)),0))</f>
        <v/>
      </c>
      <c r="AO281" s="2" t="str">
        <f t="array" ref="AO281">IF($K281="",0,IFERROR(INDEX(CALC!$L$2:$L$33,MATCH($K281,CALC!$A$2:$A$33,0)),0))</f>
        <v/>
      </c>
      <c r="AP281" s="2" t="str">
        <f t="array" ref="AP281">IF($K281="",0,IFERROR(INDEX(CALC!$T$2:$T$33,MATCH($K281,CALC!$A$2:$A$33,0)),0))</f>
        <v/>
      </c>
      <c r="AQ281" s="2" t="str">
        <f t="array" ref="AQ281">IF($K281="",0,IFERROR(INDEX(CALC!$W$2:$W$33,MATCH($K281,CALC!$A$2:$A$33,0)),0))</f>
        <v/>
      </c>
      <c r="AR281" s="2" t="str">
        <f t="array" ref="AR281">IF($K281="",0,IFERROR(INDEX(CALC!$Z$2:$Z$33,MATCH($K281,CALC!$A$2:$A$33,0)),0))</f>
        <v/>
      </c>
      <c r="AS281" s="2" t="str">
        <f t="array" ref="AS281">IF($K281="",0,IFERROR(INDEX(CALC!$AJ$2:$AJ$33,MATCH($K281,CALC!$A$2:$A$33,0)),0))</f>
        <v/>
      </c>
      <c r="AT281" s="2" t="str">
        <f t="array" ref="AT281">IF($K281="",0,IFERROR(INDEX(CALC!$AI$2:$AI$33,MATCH($K281,CALC!$A$2:$A$33,0)),0))</f>
        <v/>
      </c>
      <c r="AU281" s="2">
        <f t="shared" si="11"/>
        <v>0</v>
      </c>
      <c r="AV281" s="2">
        <f t="shared" si="12"/>
        <v>0</v>
      </c>
    </row>
    <row r="282" ht="15.0" customHeight="1">
      <c r="A282" s="2">
        <v>140.0</v>
      </c>
      <c r="B282" s="2" t="s">
        <v>2366</v>
      </c>
      <c r="C282" s="2">
        <f>IFERROR(MATCH($A282,SchedSeq,0),"")</f>
        <v>425</v>
      </c>
      <c r="D282" s="2" t="str">
        <f t="array" ref="D282">IF($C282="","",INDEX(SchedZone,$C282,MAP!$B$6))</f>
        <v>2026_10_HOU_CLE</v>
      </c>
      <c r="E282" s="2">
        <f t="array" ref="E282">IF($C282="","",INDEX(SchedZone,$C282,MAP!$B$3))</f>
        <v>2026</v>
      </c>
      <c r="F282" s="2" t="str">
        <f t="array" ref="F282">IF($C282="","",INDEX(SchedZone,$C282,MAP!$B$5))</f>
        <v>REG</v>
      </c>
      <c r="G282" s="2">
        <f t="array" ref="G282">IF($C282="","",INDEX(SchedZone,$C282,MAP!$B$4))</f>
        <v>10</v>
      </c>
      <c r="H282" s="2" t="str">
        <f t="array" ref="H282">IF($C282="","",INDEX(SchedZone,$C282,MAP!$B$10))</f>
        <v>HOU</v>
      </c>
      <c r="I282" s="2" t="str">
        <f t="array" ref="I282">IF($H282="","",IF(COUNTIF(Teams,$H282)&gt;0,$H282,IFERROR(INDEX(LISTS!$D$2:$D$12,MATCH($H282,LISTS!$C$2:$C$12,0)),"⚠ "&amp;$H282)))</f>
        <v>HOU</v>
      </c>
      <c r="J282" s="2" t="str">
        <f t="array" ref="J282">IF($C282="","",INDEX(SchedZone,$C282,MAP!$B$12))</f>
        <v>CLE</v>
      </c>
      <c r="K282" s="2" t="str">
        <f t="array" ref="K282">IF($J282="","",IF(COUNTIF(Teams,$J282)&gt;0,$J282,IFERROR(INDEX(LISTS!$D$2:$D$12,MATCH($J282,LISTS!$C$2:$C$12,0)),"⚠ "&amp;$J282)))</f>
        <v>CLE</v>
      </c>
      <c r="L282" s="2" t="str">
        <f t="array" ref="L282">IF($C282="","",IF(INDEX(SchedZone,$C282,MAP!$B$14)="Neutral","N",IF($B282="HOME","H","A")))</f>
        <v>A</v>
      </c>
      <c r="M282" s="2" t="str">
        <f t="array" ref="M282">IF($C282="","",IF(INDEX(SchedZone,$C282,MAP!$B$11)="","",INDEX(SchedZone,$C282,MAP!$B$11)))</f>
        <v/>
      </c>
      <c r="N282" s="2" t="str">
        <f t="array" ref="N282">IF($C282="","",IF(INDEX(SchedZone,$C282,MAP!$B$13)="","",INDEX(SchedZone,$C282,MAP!$B$13)))</f>
        <v/>
      </c>
      <c r="O282" s="2">
        <f t="array" ref="O282">IF($C282="","",INDEX(SchedZone,$C282,MAP!$B$15))</f>
        <v>7</v>
      </c>
      <c r="P282" s="2" t="str">
        <f>IF($C282="","",IFERROR(MATCH($E282&amp;"|"&amp;$G282&amp;"|"&amp;$I282,StatsKey,0),""))</f>
        <v/>
      </c>
      <c r="Q282" s="2">
        <f t="array" ref="Q282">IF($P282="",0,INDEX(StatsZone,$P282,MAP!$E$9)+INDEX(StatsZone,$P282,MAP!$E$10)+INDEX(StatsZone,$P282,MAP!$E$11))</f>
        <v>0</v>
      </c>
      <c r="R282" s="2">
        <f t="array" ref="R282">IF($P282="",0,INDEX(StatsZone,$P282,MAP!$E$12))</f>
        <v>0</v>
      </c>
      <c r="S282" s="2">
        <f t="array" ref="S282">IF($P282="",0,INDEX(StatsZone,$P282,MAP!$E$13))</f>
        <v>0</v>
      </c>
      <c r="T282" s="2">
        <f t="shared" si="1"/>
        <v>0</v>
      </c>
      <c r="U282" s="2">
        <f t="array" ref="U282">IF($P282="",0,INDEX(StatsZone,$P282,MAP!$E$14)+INDEX(StatsZone,$P282,MAP!$E$15)+INDEX(StatsZone,$P282,MAP!$E$16))</f>
        <v>0</v>
      </c>
      <c r="V282" s="2">
        <f t="shared" si="2"/>
        <v>0</v>
      </c>
      <c r="W282" s="2">
        <f t="shared" si="3"/>
        <v>0</v>
      </c>
      <c r="X282" s="2">
        <f t="shared" si="4"/>
        <v>0</v>
      </c>
      <c r="Y282" s="2">
        <f t="shared" si="5"/>
        <v>0</v>
      </c>
      <c r="Z282" s="2">
        <f t="shared" si="6"/>
        <v>0</v>
      </c>
      <c r="AA282" s="2">
        <f t="shared" si="7"/>
        <v>-1</v>
      </c>
      <c r="AB282" s="2">
        <f>IF(OR($M282="",$N282=""),0,MEDIAN(-MarginCap,MarginCap,($M282-$N282)-$AA282*HFA_Base))</f>
        <v>0</v>
      </c>
      <c r="AC282" s="2">
        <f t="array" ref="AC282">IF(OR($P282="",INDEX($P$3:$P$722,(ROW()+IF(MOD(ROW()-3,2)=0,1,-1))-3+1)=""),0,MEDIAN(-MarginCap,MarginCap,($T282-$W282)-$AA282*HFA_Base))</f>
        <v>0</v>
      </c>
      <c r="AD282" s="2">
        <f t="shared" si="8"/>
        <v>0</v>
      </c>
      <c r="AE282" s="2">
        <f>IF(OR($M282="",$N282=""),0,IF(AND(WEpa&gt;0,$AD282=1),(1-WEpa)*$AB282+WEpa*$AC282,$AB282))</f>
        <v>0</v>
      </c>
      <c r="AF282" s="2">
        <f>IF(AND($C282&lt;&gt;"",$E282=CurrentSeason,$F282="REG",ISNUMBER($G282),$G282&lt;CurrentWeek,AND($M282&lt;&gt;"",$N282&lt;&gt;"")),1,0)</f>
        <v>0</v>
      </c>
      <c r="AG282" s="2">
        <f>IF($AF282=0,0,IF($G282&gt;=CurrentWeek-RecencyWin,RecencyMult,1))</f>
        <v>0</v>
      </c>
      <c r="AH282" s="2">
        <f>IF(AND($C282&lt;&gt;"",$E282=CurrentSeason,$F282="REG",ISNUMBER($G282),$G282&lt;CurrentWeek-1,AND($M282&lt;&gt;"",$N282&lt;&gt;"")),1,0)</f>
        <v>0</v>
      </c>
      <c r="AI282" s="2">
        <f>IF($AH282=0,0,IF($G282&gt;=CurrentWeek-1-RecencyWin,RecencyMult,1))</f>
        <v>0</v>
      </c>
      <c r="AJ282" s="2">
        <f>IF($AF282=0,0,IF($G282&gt;=CurrentWeek-RecencyWin,TotRecency,1))</f>
        <v>0</v>
      </c>
      <c r="AK282" s="2">
        <f t="shared" si="9"/>
        <v>0</v>
      </c>
      <c r="AL282" s="2">
        <f t="shared" si="10"/>
        <v>0</v>
      </c>
      <c r="AM282" s="2" t="str">
        <f t="array" ref="AM282">IF($K282="",0,IFERROR(INDEX(CALC!$F$2:$F$33,MATCH($K282,CALC!$A$2:$A$33,0)),0))</f>
        <v/>
      </c>
      <c r="AN282" s="2" t="str">
        <f t="array" ref="AN282">IF($K282="",0,IFERROR(INDEX(CALC!$I$2:$I$33,MATCH($K282,CALC!$A$2:$A$33,0)),0))</f>
        <v/>
      </c>
      <c r="AO282" s="2" t="str">
        <f t="array" ref="AO282">IF($K282="",0,IFERROR(INDEX(CALC!$L$2:$L$33,MATCH($K282,CALC!$A$2:$A$33,0)),0))</f>
        <v/>
      </c>
      <c r="AP282" s="2" t="str">
        <f t="array" ref="AP282">IF($K282="",0,IFERROR(INDEX(CALC!$T$2:$T$33,MATCH($K282,CALC!$A$2:$A$33,0)),0))</f>
        <v/>
      </c>
      <c r="AQ282" s="2" t="str">
        <f t="array" ref="AQ282">IF($K282="",0,IFERROR(INDEX(CALC!$W$2:$W$33,MATCH($K282,CALC!$A$2:$A$33,0)),0))</f>
        <v/>
      </c>
      <c r="AR282" s="2" t="str">
        <f t="array" ref="AR282">IF($K282="",0,IFERROR(INDEX(CALC!$Z$2:$Z$33,MATCH($K282,CALC!$A$2:$A$33,0)),0))</f>
        <v/>
      </c>
      <c r="AS282" s="2" t="str">
        <f t="array" ref="AS282">IF($K282="",0,IFERROR(INDEX(CALC!$AJ$2:$AJ$33,MATCH($K282,CALC!$A$2:$A$33,0)),0))</f>
        <v/>
      </c>
      <c r="AT282" s="2" t="str">
        <f t="array" ref="AT282">IF($K282="",0,IFERROR(INDEX(CALC!$AI$2:$AI$33,MATCH($K282,CALC!$A$2:$A$33,0)),0))</f>
        <v/>
      </c>
      <c r="AU282" s="2">
        <f t="shared" si="11"/>
        <v>0</v>
      </c>
      <c r="AV282" s="2">
        <f t="shared" si="12"/>
        <v>0</v>
      </c>
    </row>
    <row r="283" ht="15.0" customHeight="1">
      <c r="A283" s="2">
        <v>141.0</v>
      </c>
      <c r="B283" s="2" t="s">
        <v>2365</v>
      </c>
      <c r="C283" s="2">
        <f>IFERROR(MATCH($A283,SchedSeq,0),"")</f>
        <v>426</v>
      </c>
      <c r="D283" s="2" t="str">
        <f t="array" ref="D283">IF($C283="","",INDEX(SchedZone,$C283,MAP!$B$6))</f>
        <v>2026_10_MIN_GB</v>
      </c>
      <c r="E283" s="2">
        <f t="array" ref="E283">IF($C283="","",INDEX(SchedZone,$C283,MAP!$B$3))</f>
        <v>2026</v>
      </c>
      <c r="F283" s="2" t="str">
        <f t="array" ref="F283">IF($C283="","",INDEX(SchedZone,$C283,MAP!$B$5))</f>
        <v>REG</v>
      </c>
      <c r="G283" s="2">
        <f t="array" ref="G283">IF($C283="","",INDEX(SchedZone,$C283,MAP!$B$4))</f>
        <v>10</v>
      </c>
      <c r="H283" s="2" t="str">
        <f t="array" ref="H283">IF($C283="","",INDEX(SchedZone,$C283,MAP!$B$12))</f>
        <v>GB</v>
      </c>
      <c r="I283" s="2" t="str">
        <f t="array" ref="I283">IF($H283="","",IF(COUNTIF(Teams,$H283)&gt;0,$H283,IFERROR(INDEX(LISTS!$D$2:$D$12,MATCH($H283,LISTS!$C$2:$C$12,0)),"⚠ "&amp;$H283)))</f>
        <v>GB</v>
      </c>
      <c r="J283" s="2" t="str">
        <f t="array" ref="J283">IF($C283="","",INDEX(SchedZone,$C283,MAP!$B$10))</f>
        <v>MIN</v>
      </c>
      <c r="K283" s="2" t="str">
        <f t="array" ref="K283">IF($J283="","",IF(COUNTIF(Teams,$J283)&gt;0,$J283,IFERROR(INDEX(LISTS!$D$2:$D$12,MATCH($J283,LISTS!$C$2:$C$12,0)),"⚠ "&amp;$J283)))</f>
        <v>MIN</v>
      </c>
      <c r="L283" s="2" t="str">
        <f t="array" ref="L283">IF($C283="","",IF(INDEX(SchedZone,$C283,MAP!$B$14)="Neutral","N",IF($B283="HOME","H","A")))</f>
        <v>H</v>
      </c>
      <c r="M283" s="2" t="str">
        <f t="array" ref="M283">IF($C283="","",IF(INDEX(SchedZone,$C283,MAP!$B$13)="","",INDEX(SchedZone,$C283,MAP!$B$13)))</f>
        <v/>
      </c>
      <c r="N283" s="2" t="str">
        <f t="array" ref="N283">IF($C283="","",IF(INDEX(SchedZone,$C283,MAP!$B$11)="","",INDEX(SchedZone,$C283,MAP!$B$11)))</f>
        <v/>
      </c>
      <c r="O283" s="2">
        <f t="array" ref="O283">IF($C283="","",INDEX(SchedZone,$C283,MAP!$B$16))</f>
        <v>7</v>
      </c>
      <c r="P283" s="2" t="str">
        <f>IF($C283="","",IFERROR(MATCH($E283&amp;"|"&amp;$G283&amp;"|"&amp;$I283,StatsKey,0),""))</f>
        <v/>
      </c>
      <c r="Q283" s="2">
        <f t="array" ref="Q283">IF($P283="",0,INDEX(StatsZone,$P283,MAP!$E$9)+INDEX(StatsZone,$P283,MAP!$E$10)+INDEX(StatsZone,$P283,MAP!$E$11))</f>
        <v>0</v>
      </c>
      <c r="R283" s="2">
        <f t="array" ref="R283">IF($P283="",0,INDEX(StatsZone,$P283,MAP!$E$12))</f>
        <v>0</v>
      </c>
      <c r="S283" s="2">
        <f t="array" ref="S283">IF($P283="",0,INDEX(StatsZone,$P283,MAP!$E$13))</f>
        <v>0</v>
      </c>
      <c r="T283" s="2">
        <f t="shared" si="1"/>
        <v>0</v>
      </c>
      <c r="U283" s="2">
        <f t="array" ref="U283">IF($P283="",0,INDEX(StatsZone,$P283,MAP!$E$14)+INDEX(StatsZone,$P283,MAP!$E$15)+INDEX(StatsZone,$P283,MAP!$E$16))</f>
        <v>0</v>
      </c>
      <c r="V283" s="2">
        <f t="shared" si="2"/>
        <v>0</v>
      </c>
      <c r="W283" s="2">
        <f t="shared" si="3"/>
        <v>0</v>
      </c>
      <c r="X283" s="2">
        <f t="shared" si="4"/>
        <v>0</v>
      </c>
      <c r="Y283" s="2">
        <f t="shared" si="5"/>
        <v>0</v>
      </c>
      <c r="Z283" s="2">
        <f t="shared" si="6"/>
        <v>0</v>
      </c>
      <c r="AA283" s="2">
        <f t="shared" si="7"/>
        <v>1</v>
      </c>
      <c r="AB283" s="2">
        <f>IF(OR($M283="",$N283=""),0,MEDIAN(-MarginCap,MarginCap,($M283-$N283)-$AA283*HFA_Base))</f>
        <v>0</v>
      </c>
      <c r="AC283" s="2">
        <f t="array" ref="AC283">IF(OR($P283="",INDEX($P$3:$P$722,(ROW()+IF(MOD(ROW()-3,2)=0,1,-1))-3+1)=""),0,MEDIAN(-MarginCap,MarginCap,($T283-$W283)-$AA283*HFA_Base))</f>
        <v>0</v>
      </c>
      <c r="AD283" s="2">
        <f t="shared" si="8"/>
        <v>0</v>
      </c>
      <c r="AE283" s="2">
        <f>IF(OR($M283="",$N283=""),0,IF(AND(WEpa&gt;0,$AD283=1),(1-WEpa)*$AB283+WEpa*$AC283,$AB283))</f>
        <v>0</v>
      </c>
      <c r="AF283" s="2">
        <f>IF(AND($C283&lt;&gt;"",$E283=CurrentSeason,$F283="REG",ISNUMBER($G283),$G283&lt;CurrentWeek,AND($M283&lt;&gt;"",$N283&lt;&gt;"")),1,0)</f>
        <v>0</v>
      </c>
      <c r="AG283" s="2">
        <f>IF($AF283=0,0,IF($G283&gt;=CurrentWeek-RecencyWin,RecencyMult,1))</f>
        <v>0</v>
      </c>
      <c r="AH283" s="2">
        <f>IF(AND($C283&lt;&gt;"",$E283=CurrentSeason,$F283="REG",ISNUMBER($G283),$G283&lt;CurrentWeek-1,AND($M283&lt;&gt;"",$N283&lt;&gt;"")),1,0)</f>
        <v>0</v>
      </c>
      <c r="AI283" s="2">
        <f>IF($AH283=0,0,IF($G283&gt;=CurrentWeek-1-RecencyWin,RecencyMult,1))</f>
        <v>0</v>
      </c>
      <c r="AJ283" s="2">
        <f>IF($AF283=0,0,IF($G283&gt;=CurrentWeek-RecencyWin,TotRecency,1))</f>
        <v>0</v>
      </c>
      <c r="AK283" s="2">
        <f t="shared" si="9"/>
        <v>0</v>
      </c>
      <c r="AL283" s="2">
        <f t="shared" si="10"/>
        <v>0</v>
      </c>
      <c r="AM283" s="2" t="str">
        <f t="array" ref="AM283">IF($K283="",0,IFERROR(INDEX(CALC!$F$2:$F$33,MATCH($K283,CALC!$A$2:$A$33,0)),0))</f>
        <v/>
      </c>
      <c r="AN283" s="2" t="str">
        <f t="array" ref="AN283">IF($K283="",0,IFERROR(INDEX(CALC!$I$2:$I$33,MATCH($K283,CALC!$A$2:$A$33,0)),0))</f>
        <v/>
      </c>
      <c r="AO283" s="2" t="str">
        <f t="array" ref="AO283">IF($K283="",0,IFERROR(INDEX(CALC!$L$2:$L$33,MATCH($K283,CALC!$A$2:$A$33,0)),0))</f>
        <v/>
      </c>
      <c r="AP283" s="2" t="str">
        <f t="array" ref="AP283">IF($K283="",0,IFERROR(INDEX(CALC!$T$2:$T$33,MATCH($K283,CALC!$A$2:$A$33,0)),0))</f>
        <v/>
      </c>
      <c r="AQ283" s="2" t="str">
        <f t="array" ref="AQ283">IF($K283="",0,IFERROR(INDEX(CALC!$W$2:$W$33,MATCH($K283,CALC!$A$2:$A$33,0)),0))</f>
        <v/>
      </c>
      <c r="AR283" s="2" t="str">
        <f t="array" ref="AR283">IF($K283="",0,IFERROR(INDEX(CALC!$Z$2:$Z$33,MATCH($K283,CALC!$A$2:$A$33,0)),0))</f>
        <v/>
      </c>
      <c r="AS283" s="2" t="str">
        <f t="array" ref="AS283">IF($K283="",0,IFERROR(INDEX(CALC!$AJ$2:$AJ$33,MATCH($K283,CALC!$A$2:$A$33,0)),0))</f>
        <v/>
      </c>
      <c r="AT283" s="2" t="str">
        <f t="array" ref="AT283">IF($K283="",0,IFERROR(INDEX(CALC!$AI$2:$AI$33,MATCH($K283,CALC!$A$2:$A$33,0)),0))</f>
        <v/>
      </c>
      <c r="AU283" s="2">
        <f t="shared" si="11"/>
        <v>0</v>
      </c>
      <c r="AV283" s="2">
        <f t="shared" si="12"/>
        <v>0</v>
      </c>
    </row>
    <row r="284" ht="15.0" customHeight="1">
      <c r="A284" s="2">
        <v>141.0</v>
      </c>
      <c r="B284" s="2" t="s">
        <v>2366</v>
      </c>
      <c r="C284" s="2">
        <f>IFERROR(MATCH($A284,SchedSeq,0),"")</f>
        <v>426</v>
      </c>
      <c r="D284" s="2" t="str">
        <f t="array" ref="D284">IF($C284="","",INDEX(SchedZone,$C284,MAP!$B$6))</f>
        <v>2026_10_MIN_GB</v>
      </c>
      <c r="E284" s="2">
        <f t="array" ref="E284">IF($C284="","",INDEX(SchedZone,$C284,MAP!$B$3))</f>
        <v>2026</v>
      </c>
      <c r="F284" s="2" t="str">
        <f t="array" ref="F284">IF($C284="","",INDEX(SchedZone,$C284,MAP!$B$5))</f>
        <v>REG</v>
      </c>
      <c r="G284" s="2">
        <f t="array" ref="G284">IF($C284="","",INDEX(SchedZone,$C284,MAP!$B$4))</f>
        <v>10</v>
      </c>
      <c r="H284" s="2" t="str">
        <f t="array" ref="H284">IF($C284="","",INDEX(SchedZone,$C284,MAP!$B$10))</f>
        <v>MIN</v>
      </c>
      <c r="I284" s="2" t="str">
        <f t="array" ref="I284">IF($H284="","",IF(COUNTIF(Teams,$H284)&gt;0,$H284,IFERROR(INDEX(LISTS!$D$2:$D$12,MATCH($H284,LISTS!$C$2:$C$12,0)),"⚠ "&amp;$H284)))</f>
        <v>MIN</v>
      </c>
      <c r="J284" s="2" t="str">
        <f t="array" ref="J284">IF($C284="","",INDEX(SchedZone,$C284,MAP!$B$12))</f>
        <v>GB</v>
      </c>
      <c r="K284" s="2" t="str">
        <f t="array" ref="K284">IF($J284="","",IF(COUNTIF(Teams,$J284)&gt;0,$J284,IFERROR(INDEX(LISTS!$D$2:$D$12,MATCH($J284,LISTS!$C$2:$C$12,0)),"⚠ "&amp;$J284)))</f>
        <v>GB</v>
      </c>
      <c r="L284" s="2" t="str">
        <f t="array" ref="L284">IF($C284="","",IF(INDEX(SchedZone,$C284,MAP!$B$14)="Neutral","N",IF($B284="HOME","H","A")))</f>
        <v>A</v>
      </c>
      <c r="M284" s="2" t="str">
        <f t="array" ref="M284">IF($C284="","",IF(INDEX(SchedZone,$C284,MAP!$B$11)="","",INDEX(SchedZone,$C284,MAP!$B$11)))</f>
        <v/>
      </c>
      <c r="N284" s="2" t="str">
        <f t="array" ref="N284">IF($C284="","",IF(INDEX(SchedZone,$C284,MAP!$B$13)="","",INDEX(SchedZone,$C284,MAP!$B$13)))</f>
        <v/>
      </c>
      <c r="O284" s="2">
        <f t="array" ref="O284">IF($C284="","",INDEX(SchedZone,$C284,MAP!$B$15))</f>
        <v>6</v>
      </c>
      <c r="P284" s="2" t="str">
        <f>IF($C284="","",IFERROR(MATCH($E284&amp;"|"&amp;$G284&amp;"|"&amp;$I284,StatsKey,0),""))</f>
        <v/>
      </c>
      <c r="Q284" s="2">
        <f t="array" ref="Q284">IF($P284="",0,INDEX(StatsZone,$P284,MAP!$E$9)+INDEX(StatsZone,$P284,MAP!$E$10)+INDEX(StatsZone,$P284,MAP!$E$11))</f>
        <v>0</v>
      </c>
      <c r="R284" s="2">
        <f t="array" ref="R284">IF($P284="",0,INDEX(StatsZone,$P284,MAP!$E$12))</f>
        <v>0</v>
      </c>
      <c r="S284" s="2">
        <f t="array" ref="S284">IF($P284="",0,INDEX(StatsZone,$P284,MAP!$E$13))</f>
        <v>0</v>
      </c>
      <c r="T284" s="2">
        <f t="shared" si="1"/>
        <v>0</v>
      </c>
      <c r="U284" s="2">
        <f t="array" ref="U284">IF($P284="",0,INDEX(StatsZone,$P284,MAP!$E$14)+INDEX(StatsZone,$P284,MAP!$E$15)+INDEX(StatsZone,$P284,MAP!$E$16))</f>
        <v>0</v>
      </c>
      <c r="V284" s="2">
        <f t="shared" si="2"/>
        <v>0</v>
      </c>
      <c r="W284" s="2">
        <f t="shared" si="3"/>
        <v>0</v>
      </c>
      <c r="X284" s="2">
        <f t="shared" si="4"/>
        <v>0</v>
      </c>
      <c r="Y284" s="2">
        <f t="shared" si="5"/>
        <v>0</v>
      </c>
      <c r="Z284" s="2">
        <f t="shared" si="6"/>
        <v>0</v>
      </c>
      <c r="AA284" s="2">
        <f t="shared" si="7"/>
        <v>-1</v>
      </c>
      <c r="AB284" s="2">
        <f>IF(OR($M284="",$N284=""),0,MEDIAN(-MarginCap,MarginCap,($M284-$N284)-$AA284*HFA_Base))</f>
        <v>0</v>
      </c>
      <c r="AC284" s="2">
        <f t="array" ref="AC284">IF(OR($P284="",INDEX($P$3:$P$722,(ROW()+IF(MOD(ROW()-3,2)=0,1,-1))-3+1)=""),0,MEDIAN(-MarginCap,MarginCap,($T284-$W284)-$AA284*HFA_Base))</f>
        <v>0</v>
      </c>
      <c r="AD284" s="2">
        <f t="shared" si="8"/>
        <v>0</v>
      </c>
      <c r="AE284" s="2">
        <f>IF(OR($M284="",$N284=""),0,IF(AND(WEpa&gt;0,$AD284=1),(1-WEpa)*$AB284+WEpa*$AC284,$AB284))</f>
        <v>0</v>
      </c>
      <c r="AF284" s="2">
        <f>IF(AND($C284&lt;&gt;"",$E284=CurrentSeason,$F284="REG",ISNUMBER($G284),$G284&lt;CurrentWeek,AND($M284&lt;&gt;"",$N284&lt;&gt;"")),1,0)</f>
        <v>0</v>
      </c>
      <c r="AG284" s="2">
        <f>IF($AF284=0,0,IF($G284&gt;=CurrentWeek-RecencyWin,RecencyMult,1))</f>
        <v>0</v>
      </c>
      <c r="AH284" s="2">
        <f>IF(AND($C284&lt;&gt;"",$E284=CurrentSeason,$F284="REG",ISNUMBER($G284),$G284&lt;CurrentWeek-1,AND($M284&lt;&gt;"",$N284&lt;&gt;"")),1,0)</f>
        <v>0</v>
      </c>
      <c r="AI284" s="2">
        <f>IF($AH284=0,0,IF($G284&gt;=CurrentWeek-1-RecencyWin,RecencyMult,1))</f>
        <v>0</v>
      </c>
      <c r="AJ284" s="2">
        <f>IF($AF284=0,0,IF($G284&gt;=CurrentWeek-RecencyWin,TotRecency,1))</f>
        <v>0</v>
      </c>
      <c r="AK284" s="2">
        <f t="shared" si="9"/>
        <v>0</v>
      </c>
      <c r="AL284" s="2">
        <f t="shared" si="10"/>
        <v>0</v>
      </c>
      <c r="AM284" s="2" t="str">
        <f t="array" ref="AM284">IF($K284="",0,IFERROR(INDEX(CALC!$F$2:$F$33,MATCH($K284,CALC!$A$2:$A$33,0)),0))</f>
        <v/>
      </c>
      <c r="AN284" s="2" t="str">
        <f t="array" ref="AN284">IF($K284="",0,IFERROR(INDEX(CALC!$I$2:$I$33,MATCH($K284,CALC!$A$2:$A$33,0)),0))</f>
        <v/>
      </c>
      <c r="AO284" s="2" t="str">
        <f t="array" ref="AO284">IF($K284="",0,IFERROR(INDEX(CALC!$L$2:$L$33,MATCH($K284,CALC!$A$2:$A$33,0)),0))</f>
        <v/>
      </c>
      <c r="AP284" s="2" t="str">
        <f t="array" ref="AP284">IF($K284="",0,IFERROR(INDEX(CALC!$T$2:$T$33,MATCH($K284,CALC!$A$2:$A$33,0)),0))</f>
        <v/>
      </c>
      <c r="AQ284" s="2" t="str">
        <f t="array" ref="AQ284">IF($K284="",0,IFERROR(INDEX(CALC!$W$2:$W$33,MATCH($K284,CALC!$A$2:$A$33,0)),0))</f>
        <v/>
      </c>
      <c r="AR284" s="2" t="str">
        <f t="array" ref="AR284">IF($K284="",0,IFERROR(INDEX(CALC!$Z$2:$Z$33,MATCH($K284,CALC!$A$2:$A$33,0)),0))</f>
        <v/>
      </c>
      <c r="AS284" s="2" t="str">
        <f t="array" ref="AS284">IF($K284="",0,IFERROR(INDEX(CALC!$AJ$2:$AJ$33,MATCH($K284,CALC!$A$2:$A$33,0)),0))</f>
        <v/>
      </c>
      <c r="AT284" s="2" t="str">
        <f t="array" ref="AT284">IF($K284="",0,IFERROR(INDEX(CALC!$AI$2:$AI$33,MATCH($K284,CALC!$A$2:$A$33,0)),0))</f>
        <v/>
      </c>
      <c r="AU284" s="2">
        <f t="shared" si="11"/>
        <v>0</v>
      </c>
      <c r="AV284" s="2">
        <f t="shared" si="12"/>
        <v>0</v>
      </c>
    </row>
    <row r="285" ht="15.0" customHeight="1">
      <c r="A285" s="2">
        <v>142.0</v>
      </c>
      <c r="B285" s="2" t="s">
        <v>2365</v>
      </c>
      <c r="C285" s="2">
        <f>IFERROR(MATCH($A285,SchedSeq,0),"")</f>
        <v>427</v>
      </c>
      <c r="D285" s="2" t="str">
        <f t="array" ref="D285">IF($C285="","",INDEX(SchedZone,$C285,MAP!$B$6))</f>
        <v>2026_10_MIA_IND</v>
      </c>
      <c r="E285" s="2">
        <f t="array" ref="E285">IF($C285="","",INDEX(SchedZone,$C285,MAP!$B$3))</f>
        <v>2026</v>
      </c>
      <c r="F285" s="2" t="str">
        <f t="array" ref="F285">IF($C285="","",INDEX(SchedZone,$C285,MAP!$B$5))</f>
        <v>REG</v>
      </c>
      <c r="G285" s="2">
        <f t="array" ref="G285">IF($C285="","",INDEX(SchedZone,$C285,MAP!$B$4))</f>
        <v>10</v>
      </c>
      <c r="H285" s="2" t="str">
        <f t="array" ref="H285">IF($C285="","",INDEX(SchedZone,$C285,MAP!$B$12))</f>
        <v>IND</v>
      </c>
      <c r="I285" s="2" t="str">
        <f t="array" ref="I285">IF($H285="","",IF(COUNTIF(Teams,$H285)&gt;0,$H285,IFERROR(INDEX(LISTS!$D$2:$D$12,MATCH($H285,LISTS!$C$2:$C$12,0)),"⚠ "&amp;$H285)))</f>
        <v>IND</v>
      </c>
      <c r="J285" s="2" t="str">
        <f t="array" ref="J285">IF($C285="","",INDEX(SchedZone,$C285,MAP!$B$10))</f>
        <v>MIA</v>
      </c>
      <c r="K285" s="2" t="str">
        <f t="array" ref="K285">IF($J285="","",IF(COUNTIF(Teams,$J285)&gt;0,$J285,IFERROR(INDEX(LISTS!$D$2:$D$12,MATCH($J285,LISTS!$C$2:$C$12,0)),"⚠ "&amp;$J285)))</f>
        <v>MIA</v>
      </c>
      <c r="L285" s="2" t="str">
        <f t="array" ref="L285">IF($C285="","",IF(INDEX(SchedZone,$C285,MAP!$B$14)="Neutral","N",IF($B285="HOME","H","A")))</f>
        <v>H</v>
      </c>
      <c r="M285" s="2" t="str">
        <f t="array" ref="M285">IF($C285="","",IF(INDEX(SchedZone,$C285,MAP!$B$13)="","",INDEX(SchedZone,$C285,MAP!$B$13)))</f>
        <v/>
      </c>
      <c r="N285" s="2" t="str">
        <f t="array" ref="N285">IF($C285="","",IF(INDEX(SchedZone,$C285,MAP!$B$11)="","",INDEX(SchedZone,$C285,MAP!$B$11)))</f>
        <v/>
      </c>
      <c r="O285" s="2">
        <f t="array" ref="O285">IF($C285="","",INDEX(SchedZone,$C285,MAP!$B$16))</f>
        <v>7</v>
      </c>
      <c r="P285" s="2" t="str">
        <f>IF($C285="","",IFERROR(MATCH($E285&amp;"|"&amp;$G285&amp;"|"&amp;$I285,StatsKey,0),""))</f>
        <v/>
      </c>
      <c r="Q285" s="2">
        <f t="array" ref="Q285">IF($P285="",0,INDEX(StatsZone,$P285,MAP!$E$9)+INDEX(StatsZone,$P285,MAP!$E$10)+INDEX(StatsZone,$P285,MAP!$E$11))</f>
        <v>0</v>
      </c>
      <c r="R285" s="2">
        <f t="array" ref="R285">IF($P285="",0,INDEX(StatsZone,$P285,MAP!$E$12))</f>
        <v>0</v>
      </c>
      <c r="S285" s="2">
        <f t="array" ref="S285">IF($P285="",0,INDEX(StatsZone,$P285,MAP!$E$13))</f>
        <v>0</v>
      </c>
      <c r="T285" s="2">
        <f t="shared" si="1"/>
        <v>0</v>
      </c>
      <c r="U285" s="2">
        <f t="array" ref="U285">IF($P285="",0,INDEX(StatsZone,$P285,MAP!$E$14)+INDEX(StatsZone,$P285,MAP!$E$15)+INDEX(StatsZone,$P285,MAP!$E$16))</f>
        <v>0</v>
      </c>
      <c r="V285" s="2">
        <f t="shared" si="2"/>
        <v>0</v>
      </c>
      <c r="W285" s="2">
        <f t="shared" si="3"/>
        <v>0</v>
      </c>
      <c r="X285" s="2">
        <f t="shared" si="4"/>
        <v>0</v>
      </c>
      <c r="Y285" s="2">
        <f t="shared" si="5"/>
        <v>0</v>
      </c>
      <c r="Z285" s="2">
        <f t="shared" si="6"/>
        <v>0</v>
      </c>
      <c r="AA285" s="2">
        <f t="shared" si="7"/>
        <v>1</v>
      </c>
      <c r="AB285" s="2">
        <f>IF(OR($M285="",$N285=""),0,MEDIAN(-MarginCap,MarginCap,($M285-$N285)-$AA285*HFA_Base))</f>
        <v>0</v>
      </c>
      <c r="AC285" s="2">
        <f t="array" ref="AC285">IF(OR($P285="",INDEX($P$3:$P$722,(ROW()+IF(MOD(ROW()-3,2)=0,1,-1))-3+1)=""),0,MEDIAN(-MarginCap,MarginCap,($T285-$W285)-$AA285*HFA_Base))</f>
        <v>0</v>
      </c>
      <c r="AD285" s="2">
        <f t="shared" si="8"/>
        <v>0</v>
      </c>
      <c r="AE285" s="2">
        <f>IF(OR($M285="",$N285=""),0,IF(AND(WEpa&gt;0,$AD285=1),(1-WEpa)*$AB285+WEpa*$AC285,$AB285))</f>
        <v>0</v>
      </c>
      <c r="AF285" s="2">
        <f>IF(AND($C285&lt;&gt;"",$E285=CurrentSeason,$F285="REG",ISNUMBER($G285),$G285&lt;CurrentWeek,AND($M285&lt;&gt;"",$N285&lt;&gt;"")),1,0)</f>
        <v>0</v>
      </c>
      <c r="AG285" s="2">
        <f>IF($AF285=0,0,IF($G285&gt;=CurrentWeek-RecencyWin,RecencyMult,1))</f>
        <v>0</v>
      </c>
      <c r="AH285" s="2">
        <f>IF(AND($C285&lt;&gt;"",$E285=CurrentSeason,$F285="REG",ISNUMBER($G285),$G285&lt;CurrentWeek-1,AND($M285&lt;&gt;"",$N285&lt;&gt;"")),1,0)</f>
        <v>0</v>
      </c>
      <c r="AI285" s="2">
        <f>IF($AH285=0,0,IF($G285&gt;=CurrentWeek-1-RecencyWin,RecencyMult,1))</f>
        <v>0</v>
      </c>
      <c r="AJ285" s="2">
        <f>IF($AF285=0,0,IF($G285&gt;=CurrentWeek-RecencyWin,TotRecency,1))</f>
        <v>0</v>
      </c>
      <c r="AK285" s="2">
        <f t="shared" si="9"/>
        <v>0</v>
      </c>
      <c r="AL285" s="2">
        <f t="shared" si="10"/>
        <v>0</v>
      </c>
      <c r="AM285" s="2" t="str">
        <f t="array" ref="AM285">IF($K285="",0,IFERROR(INDEX(CALC!$F$2:$F$33,MATCH($K285,CALC!$A$2:$A$33,0)),0))</f>
        <v/>
      </c>
      <c r="AN285" s="2" t="str">
        <f t="array" ref="AN285">IF($K285="",0,IFERROR(INDEX(CALC!$I$2:$I$33,MATCH($K285,CALC!$A$2:$A$33,0)),0))</f>
        <v/>
      </c>
      <c r="AO285" s="2" t="str">
        <f t="array" ref="AO285">IF($K285="",0,IFERROR(INDEX(CALC!$L$2:$L$33,MATCH($K285,CALC!$A$2:$A$33,0)),0))</f>
        <v/>
      </c>
      <c r="AP285" s="2" t="str">
        <f t="array" ref="AP285">IF($K285="",0,IFERROR(INDEX(CALC!$T$2:$T$33,MATCH($K285,CALC!$A$2:$A$33,0)),0))</f>
        <v/>
      </c>
      <c r="AQ285" s="2" t="str">
        <f t="array" ref="AQ285">IF($K285="",0,IFERROR(INDEX(CALC!$W$2:$W$33,MATCH($K285,CALC!$A$2:$A$33,0)),0))</f>
        <v/>
      </c>
      <c r="AR285" s="2" t="str">
        <f t="array" ref="AR285">IF($K285="",0,IFERROR(INDEX(CALC!$Z$2:$Z$33,MATCH($K285,CALC!$A$2:$A$33,0)),0))</f>
        <v/>
      </c>
      <c r="AS285" s="2" t="str">
        <f t="array" ref="AS285">IF($K285="",0,IFERROR(INDEX(CALC!$AJ$2:$AJ$33,MATCH($K285,CALC!$A$2:$A$33,0)),0))</f>
        <v/>
      </c>
      <c r="AT285" s="2" t="str">
        <f t="array" ref="AT285">IF($K285="",0,IFERROR(INDEX(CALC!$AI$2:$AI$33,MATCH($K285,CALC!$A$2:$A$33,0)),0))</f>
        <v/>
      </c>
      <c r="AU285" s="2">
        <f t="shared" si="11"/>
        <v>0</v>
      </c>
      <c r="AV285" s="2">
        <f t="shared" si="12"/>
        <v>0</v>
      </c>
    </row>
    <row r="286" ht="15.0" customHeight="1">
      <c r="A286" s="2">
        <v>142.0</v>
      </c>
      <c r="B286" s="2" t="s">
        <v>2366</v>
      </c>
      <c r="C286" s="2">
        <f>IFERROR(MATCH($A286,SchedSeq,0),"")</f>
        <v>427</v>
      </c>
      <c r="D286" s="2" t="str">
        <f t="array" ref="D286">IF($C286="","",INDEX(SchedZone,$C286,MAP!$B$6))</f>
        <v>2026_10_MIA_IND</v>
      </c>
      <c r="E286" s="2">
        <f t="array" ref="E286">IF($C286="","",INDEX(SchedZone,$C286,MAP!$B$3))</f>
        <v>2026</v>
      </c>
      <c r="F286" s="2" t="str">
        <f t="array" ref="F286">IF($C286="","",INDEX(SchedZone,$C286,MAP!$B$5))</f>
        <v>REG</v>
      </c>
      <c r="G286" s="2">
        <f t="array" ref="G286">IF($C286="","",INDEX(SchedZone,$C286,MAP!$B$4))</f>
        <v>10</v>
      </c>
      <c r="H286" s="2" t="str">
        <f t="array" ref="H286">IF($C286="","",INDEX(SchedZone,$C286,MAP!$B$10))</f>
        <v>MIA</v>
      </c>
      <c r="I286" s="2" t="str">
        <f t="array" ref="I286">IF($H286="","",IF(COUNTIF(Teams,$H286)&gt;0,$H286,IFERROR(INDEX(LISTS!$D$2:$D$12,MATCH($H286,LISTS!$C$2:$C$12,0)),"⚠ "&amp;$H286)))</f>
        <v>MIA</v>
      </c>
      <c r="J286" s="2" t="str">
        <f t="array" ref="J286">IF($C286="","",INDEX(SchedZone,$C286,MAP!$B$12))</f>
        <v>IND</v>
      </c>
      <c r="K286" s="2" t="str">
        <f t="array" ref="K286">IF($J286="","",IF(COUNTIF(Teams,$J286)&gt;0,$J286,IFERROR(INDEX(LISTS!$D$2:$D$12,MATCH($J286,LISTS!$C$2:$C$12,0)),"⚠ "&amp;$J286)))</f>
        <v>IND</v>
      </c>
      <c r="L286" s="2" t="str">
        <f t="array" ref="L286">IF($C286="","",IF(INDEX(SchedZone,$C286,MAP!$B$14)="Neutral","N",IF($B286="HOME","H","A")))</f>
        <v>A</v>
      </c>
      <c r="M286" s="2" t="str">
        <f t="array" ref="M286">IF($C286="","",IF(INDEX(SchedZone,$C286,MAP!$B$11)="","",INDEX(SchedZone,$C286,MAP!$B$11)))</f>
        <v/>
      </c>
      <c r="N286" s="2" t="str">
        <f t="array" ref="N286">IF($C286="","",IF(INDEX(SchedZone,$C286,MAP!$B$13)="","",INDEX(SchedZone,$C286,MAP!$B$13)))</f>
        <v/>
      </c>
      <c r="O286" s="2">
        <f t="array" ref="O286">IF($C286="","",INDEX(SchedZone,$C286,MAP!$B$15))</f>
        <v>7</v>
      </c>
      <c r="P286" s="2" t="str">
        <f>IF($C286="","",IFERROR(MATCH($E286&amp;"|"&amp;$G286&amp;"|"&amp;$I286,StatsKey,0),""))</f>
        <v/>
      </c>
      <c r="Q286" s="2">
        <f t="array" ref="Q286">IF($P286="",0,INDEX(StatsZone,$P286,MAP!$E$9)+INDEX(StatsZone,$P286,MAP!$E$10)+INDEX(StatsZone,$P286,MAP!$E$11))</f>
        <v>0</v>
      </c>
      <c r="R286" s="2">
        <f t="array" ref="R286">IF($P286="",0,INDEX(StatsZone,$P286,MAP!$E$12))</f>
        <v>0</v>
      </c>
      <c r="S286" s="2">
        <f t="array" ref="S286">IF($P286="",0,INDEX(StatsZone,$P286,MAP!$E$13))</f>
        <v>0</v>
      </c>
      <c r="T286" s="2">
        <f t="shared" si="1"/>
        <v>0</v>
      </c>
      <c r="U286" s="2">
        <f t="array" ref="U286">IF($P286="",0,INDEX(StatsZone,$P286,MAP!$E$14)+INDEX(StatsZone,$P286,MAP!$E$15)+INDEX(StatsZone,$P286,MAP!$E$16))</f>
        <v>0</v>
      </c>
      <c r="V286" s="2">
        <f t="shared" si="2"/>
        <v>0</v>
      </c>
      <c r="W286" s="2">
        <f t="shared" si="3"/>
        <v>0</v>
      </c>
      <c r="X286" s="2">
        <f t="shared" si="4"/>
        <v>0</v>
      </c>
      <c r="Y286" s="2">
        <f t="shared" si="5"/>
        <v>0</v>
      </c>
      <c r="Z286" s="2">
        <f t="shared" si="6"/>
        <v>0</v>
      </c>
      <c r="AA286" s="2">
        <f t="shared" si="7"/>
        <v>-1</v>
      </c>
      <c r="AB286" s="2">
        <f>IF(OR($M286="",$N286=""),0,MEDIAN(-MarginCap,MarginCap,($M286-$N286)-$AA286*HFA_Base))</f>
        <v>0</v>
      </c>
      <c r="AC286" s="2">
        <f t="array" ref="AC286">IF(OR($P286="",INDEX($P$3:$P$722,(ROW()+IF(MOD(ROW()-3,2)=0,1,-1))-3+1)=""),0,MEDIAN(-MarginCap,MarginCap,($T286-$W286)-$AA286*HFA_Base))</f>
        <v>0</v>
      </c>
      <c r="AD286" s="2">
        <f t="shared" si="8"/>
        <v>0</v>
      </c>
      <c r="AE286" s="2">
        <f>IF(OR($M286="",$N286=""),0,IF(AND(WEpa&gt;0,$AD286=1),(1-WEpa)*$AB286+WEpa*$AC286,$AB286))</f>
        <v>0</v>
      </c>
      <c r="AF286" s="2">
        <f>IF(AND($C286&lt;&gt;"",$E286=CurrentSeason,$F286="REG",ISNUMBER($G286),$G286&lt;CurrentWeek,AND($M286&lt;&gt;"",$N286&lt;&gt;"")),1,0)</f>
        <v>0</v>
      </c>
      <c r="AG286" s="2">
        <f>IF($AF286=0,0,IF($G286&gt;=CurrentWeek-RecencyWin,RecencyMult,1))</f>
        <v>0</v>
      </c>
      <c r="AH286" s="2">
        <f>IF(AND($C286&lt;&gt;"",$E286=CurrentSeason,$F286="REG",ISNUMBER($G286),$G286&lt;CurrentWeek-1,AND($M286&lt;&gt;"",$N286&lt;&gt;"")),1,0)</f>
        <v>0</v>
      </c>
      <c r="AI286" s="2">
        <f>IF($AH286=0,0,IF($G286&gt;=CurrentWeek-1-RecencyWin,RecencyMult,1))</f>
        <v>0</v>
      </c>
      <c r="AJ286" s="2">
        <f>IF($AF286=0,0,IF($G286&gt;=CurrentWeek-RecencyWin,TotRecency,1))</f>
        <v>0</v>
      </c>
      <c r="AK286" s="2">
        <f t="shared" si="9"/>
        <v>0</v>
      </c>
      <c r="AL286" s="2">
        <f t="shared" si="10"/>
        <v>0</v>
      </c>
      <c r="AM286" s="2" t="str">
        <f t="array" ref="AM286">IF($K286="",0,IFERROR(INDEX(CALC!$F$2:$F$33,MATCH($K286,CALC!$A$2:$A$33,0)),0))</f>
        <v/>
      </c>
      <c r="AN286" s="2" t="str">
        <f t="array" ref="AN286">IF($K286="",0,IFERROR(INDEX(CALC!$I$2:$I$33,MATCH($K286,CALC!$A$2:$A$33,0)),0))</f>
        <v/>
      </c>
      <c r="AO286" s="2" t="str">
        <f t="array" ref="AO286">IF($K286="",0,IFERROR(INDEX(CALC!$L$2:$L$33,MATCH($K286,CALC!$A$2:$A$33,0)),0))</f>
        <v/>
      </c>
      <c r="AP286" s="2" t="str">
        <f t="array" ref="AP286">IF($K286="",0,IFERROR(INDEX(CALC!$T$2:$T$33,MATCH($K286,CALC!$A$2:$A$33,0)),0))</f>
        <v/>
      </c>
      <c r="AQ286" s="2" t="str">
        <f t="array" ref="AQ286">IF($K286="",0,IFERROR(INDEX(CALC!$W$2:$W$33,MATCH($K286,CALC!$A$2:$A$33,0)),0))</f>
        <v/>
      </c>
      <c r="AR286" s="2" t="str">
        <f t="array" ref="AR286">IF($K286="",0,IFERROR(INDEX(CALC!$Z$2:$Z$33,MATCH($K286,CALC!$A$2:$A$33,0)),0))</f>
        <v/>
      </c>
      <c r="AS286" s="2" t="str">
        <f t="array" ref="AS286">IF($K286="",0,IFERROR(INDEX(CALC!$AJ$2:$AJ$33,MATCH($K286,CALC!$A$2:$A$33,0)),0))</f>
        <v/>
      </c>
      <c r="AT286" s="2" t="str">
        <f t="array" ref="AT286">IF($K286="",0,IFERROR(INDEX(CALC!$AI$2:$AI$33,MATCH($K286,CALC!$A$2:$A$33,0)),0))</f>
        <v/>
      </c>
      <c r="AU286" s="2">
        <f t="shared" si="11"/>
        <v>0</v>
      </c>
      <c r="AV286" s="2">
        <f t="shared" si="12"/>
        <v>0</v>
      </c>
    </row>
    <row r="287" ht="15.0" customHeight="1">
      <c r="A287" s="2">
        <v>143.0</v>
      </c>
      <c r="B287" s="2" t="s">
        <v>2365</v>
      </c>
      <c r="C287" s="2">
        <f>IFERROR(MATCH($A287,SchedSeq,0),"")</f>
        <v>428</v>
      </c>
      <c r="D287" s="2" t="str">
        <f t="array" ref="D287">IF($C287="","",INDEX(SchedZone,$C287,MAP!$B$6))</f>
        <v>2026_10_CAR_NO</v>
      </c>
      <c r="E287" s="2">
        <f t="array" ref="E287">IF($C287="","",INDEX(SchedZone,$C287,MAP!$B$3))</f>
        <v>2026</v>
      </c>
      <c r="F287" s="2" t="str">
        <f t="array" ref="F287">IF($C287="","",INDEX(SchedZone,$C287,MAP!$B$5))</f>
        <v>REG</v>
      </c>
      <c r="G287" s="2">
        <f t="array" ref="G287">IF($C287="","",INDEX(SchedZone,$C287,MAP!$B$4))</f>
        <v>10</v>
      </c>
      <c r="H287" s="2" t="str">
        <f t="array" ref="H287">IF($C287="","",INDEX(SchedZone,$C287,MAP!$B$12))</f>
        <v>NO</v>
      </c>
      <c r="I287" s="2" t="str">
        <f t="array" ref="I287">IF($H287="","",IF(COUNTIF(Teams,$H287)&gt;0,$H287,IFERROR(INDEX(LISTS!$D$2:$D$12,MATCH($H287,LISTS!$C$2:$C$12,0)),"⚠ "&amp;$H287)))</f>
        <v>NO</v>
      </c>
      <c r="J287" s="2" t="str">
        <f t="array" ref="J287">IF($C287="","",INDEX(SchedZone,$C287,MAP!$B$10))</f>
        <v>CAR</v>
      </c>
      <c r="K287" s="2" t="str">
        <f t="array" ref="K287">IF($J287="","",IF(COUNTIF(Teams,$J287)&gt;0,$J287,IFERROR(INDEX(LISTS!$D$2:$D$12,MATCH($J287,LISTS!$C$2:$C$12,0)),"⚠ "&amp;$J287)))</f>
        <v>CAR</v>
      </c>
      <c r="L287" s="2" t="str">
        <f t="array" ref="L287">IF($C287="","",IF(INDEX(SchedZone,$C287,MAP!$B$14)="Neutral","N",IF($B287="HOME","H","A")))</f>
        <v>H</v>
      </c>
      <c r="M287" s="2" t="str">
        <f t="array" ref="M287">IF($C287="","",IF(INDEX(SchedZone,$C287,MAP!$B$13)="","",INDEX(SchedZone,$C287,MAP!$B$13)))</f>
        <v/>
      </c>
      <c r="N287" s="2" t="str">
        <f t="array" ref="N287">IF($C287="","",IF(INDEX(SchedZone,$C287,MAP!$B$11)="","",INDEX(SchedZone,$C287,MAP!$B$11)))</f>
        <v/>
      </c>
      <c r="O287" s="2">
        <f t="array" ref="O287">IF($C287="","",INDEX(SchedZone,$C287,MAP!$B$16))</f>
        <v>7</v>
      </c>
      <c r="P287" s="2" t="str">
        <f>IF($C287="","",IFERROR(MATCH($E287&amp;"|"&amp;$G287&amp;"|"&amp;$I287,StatsKey,0),""))</f>
        <v/>
      </c>
      <c r="Q287" s="2">
        <f t="array" ref="Q287">IF($P287="",0,INDEX(StatsZone,$P287,MAP!$E$9)+INDEX(StatsZone,$P287,MAP!$E$10)+INDEX(StatsZone,$P287,MAP!$E$11))</f>
        <v>0</v>
      </c>
      <c r="R287" s="2">
        <f t="array" ref="R287">IF($P287="",0,INDEX(StatsZone,$P287,MAP!$E$12))</f>
        <v>0</v>
      </c>
      <c r="S287" s="2">
        <f t="array" ref="S287">IF($P287="",0,INDEX(StatsZone,$P287,MAP!$E$13))</f>
        <v>0</v>
      </c>
      <c r="T287" s="2">
        <f t="shared" si="1"/>
        <v>0</v>
      </c>
      <c r="U287" s="2">
        <f t="array" ref="U287">IF($P287="",0,INDEX(StatsZone,$P287,MAP!$E$14)+INDEX(StatsZone,$P287,MAP!$E$15)+INDEX(StatsZone,$P287,MAP!$E$16))</f>
        <v>0</v>
      </c>
      <c r="V287" s="2">
        <f t="shared" si="2"/>
        <v>0</v>
      </c>
      <c r="W287" s="2">
        <f t="shared" si="3"/>
        <v>0</v>
      </c>
      <c r="X287" s="2">
        <f t="shared" si="4"/>
        <v>0</v>
      </c>
      <c r="Y287" s="2">
        <f t="shared" si="5"/>
        <v>0</v>
      </c>
      <c r="Z287" s="2">
        <f t="shared" si="6"/>
        <v>0</v>
      </c>
      <c r="AA287" s="2">
        <f t="shared" si="7"/>
        <v>1</v>
      </c>
      <c r="AB287" s="2">
        <f>IF(OR($M287="",$N287=""),0,MEDIAN(-MarginCap,MarginCap,($M287-$N287)-$AA287*HFA_Base))</f>
        <v>0</v>
      </c>
      <c r="AC287" s="2">
        <f t="array" ref="AC287">IF(OR($P287="",INDEX($P$3:$P$722,(ROW()+IF(MOD(ROW()-3,2)=0,1,-1))-3+1)=""),0,MEDIAN(-MarginCap,MarginCap,($T287-$W287)-$AA287*HFA_Base))</f>
        <v>0</v>
      </c>
      <c r="AD287" s="2">
        <f t="shared" si="8"/>
        <v>0</v>
      </c>
      <c r="AE287" s="2">
        <f>IF(OR($M287="",$N287=""),0,IF(AND(WEpa&gt;0,$AD287=1),(1-WEpa)*$AB287+WEpa*$AC287,$AB287))</f>
        <v>0</v>
      </c>
      <c r="AF287" s="2">
        <f>IF(AND($C287&lt;&gt;"",$E287=CurrentSeason,$F287="REG",ISNUMBER($G287),$G287&lt;CurrentWeek,AND($M287&lt;&gt;"",$N287&lt;&gt;"")),1,0)</f>
        <v>0</v>
      </c>
      <c r="AG287" s="2">
        <f>IF($AF287=0,0,IF($G287&gt;=CurrentWeek-RecencyWin,RecencyMult,1))</f>
        <v>0</v>
      </c>
      <c r="AH287" s="2">
        <f>IF(AND($C287&lt;&gt;"",$E287=CurrentSeason,$F287="REG",ISNUMBER($G287),$G287&lt;CurrentWeek-1,AND($M287&lt;&gt;"",$N287&lt;&gt;"")),1,0)</f>
        <v>0</v>
      </c>
      <c r="AI287" s="2">
        <f>IF($AH287=0,0,IF($G287&gt;=CurrentWeek-1-RecencyWin,RecencyMult,1))</f>
        <v>0</v>
      </c>
      <c r="AJ287" s="2">
        <f>IF($AF287=0,0,IF($G287&gt;=CurrentWeek-RecencyWin,TotRecency,1))</f>
        <v>0</v>
      </c>
      <c r="AK287" s="2">
        <f t="shared" si="9"/>
        <v>0</v>
      </c>
      <c r="AL287" s="2">
        <f t="shared" si="10"/>
        <v>0</v>
      </c>
      <c r="AM287" s="2" t="str">
        <f t="array" ref="AM287">IF($K287="",0,IFERROR(INDEX(CALC!$F$2:$F$33,MATCH($K287,CALC!$A$2:$A$33,0)),0))</f>
        <v/>
      </c>
      <c r="AN287" s="2" t="str">
        <f t="array" ref="AN287">IF($K287="",0,IFERROR(INDEX(CALC!$I$2:$I$33,MATCH($K287,CALC!$A$2:$A$33,0)),0))</f>
        <v/>
      </c>
      <c r="AO287" s="2" t="str">
        <f t="array" ref="AO287">IF($K287="",0,IFERROR(INDEX(CALC!$L$2:$L$33,MATCH($K287,CALC!$A$2:$A$33,0)),0))</f>
        <v/>
      </c>
      <c r="AP287" s="2" t="str">
        <f t="array" ref="AP287">IF($K287="",0,IFERROR(INDEX(CALC!$T$2:$T$33,MATCH($K287,CALC!$A$2:$A$33,0)),0))</f>
        <v/>
      </c>
      <c r="AQ287" s="2" t="str">
        <f t="array" ref="AQ287">IF($K287="",0,IFERROR(INDEX(CALC!$W$2:$W$33,MATCH($K287,CALC!$A$2:$A$33,0)),0))</f>
        <v/>
      </c>
      <c r="AR287" s="2" t="str">
        <f t="array" ref="AR287">IF($K287="",0,IFERROR(INDEX(CALC!$Z$2:$Z$33,MATCH($K287,CALC!$A$2:$A$33,0)),0))</f>
        <v/>
      </c>
      <c r="AS287" s="2" t="str">
        <f t="array" ref="AS287">IF($K287="",0,IFERROR(INDEX(CALC!$AJ$2:$AJ$33,MATCH($K287,CALC!$A$2:$A$33,0)),0))</f>
        <v/>
      </c>
      <c r="AT287" s="2" t="str">
        <f t="array" ref="AT287">IF($K287="",0,IFERROR(INDEX(CALC!$AI$2:$AI$33,MATCH($K287,CALC!$A$2:$A$33,0)),0))</f>
        <v/>
      </c>
      <c r="AU287" s="2">
        <f t="shared" si="11"/>
        <v>0</v>
      </c>
      <c r="AV287" s="2">
        <f t="shared" si="12"/>
        <v>0</v>
      </c>
    </row>
    <row r="288" ht="15.0" customHeight="1">
      <c r="A288" s="2">
        <v>143.0</v>
      </c>
      <c r="B288" s="2" t="s">
        <v>2366</v>
      </c>
      <c r="C288" s="2">
        <f>IFERROR(MATCH($A288,SchedSeq,0),"")</f>
        <v>428</v>
      </c>
      <c r="D288" s="2" t="str">
        <f t="array" ref="D288">IF($C288="","",INDEX(SchedZone,$C288,MAP!$B$6))</f>
        <v>2026_10_CAR_NO</v>
      </c>
      <c r="E288" s="2">
        <f t="array" ref="E288">IF($C288="","",INDEX(SchedZone,$C288,MAP!$B$3))</f>
        <v>2026</v>
      </c>
      <c r="F288" s="2" t="str">
        <f t="array" ref="F288">IF($C288="","",INDEX(SchedZone,$C288,MAP!$B$5))</f>
        <v>REG</v>
      </c>
      <c r="G288" s="2">
        <f t="array" ref="G288">IF($C288="","",INDEX(SchedZone,$C288,MAP!$B$4))</f>
        <v>10</v>
      </c>
      <c r="H288" s="2" t="str">
        <f t="array" ref="H288">IF($C288="","",INDEX(SchedZone,$C288,MAP!$B$10))</f>
        <v>CAR</v>
      </c>
      <c r="I288" s="2" t="str">
        <f t="array" ref="I288">IF($H288="","",IF(COUNTIF(Teams,$H288)&gt;0,$H288,IFERROR(INDEX(LISTS!$D$2:$D$12,MATCH($H288,LISTS!$C$2:$C$12,0)),"⚠ "&amp;$H288)))</f>
        <v>CAR</v>
      </c>
      <c r="J288" s="2" t="str">
        <f t="array" ref="J288">IF($C288="","",INDEX(SchedZone,$C288,MAP!$B$12))</f>
        <v>NO</v>
      </c>
      <c r="K288" s="2" t="str">
        <f t="array" ref="K288">IF($J288="","",IF(COUNTIF(Teams,$J288)&gt;0,$J288,IFERROR(INDEX(LISTS!$D$2:$D$12,MATCH($J288,LISTS!$C$2:$C$12,0)),"⚠ "&amp;$J288)))</f>
        <v>NO</v>
      </c>
      <c r="L288" s="2" t="str">
        <f t="array" ref="L288">IF($C288="","",IF(INDEX(SchedZone,$C288,MAP!$B$14)="Neutral","N",IF($B288="HOME","H","A")))</f>
        <v>A</v>
      </c>
      <c r="M288" s="2" t="str">
        <f t="array" ref="M288">IF($C288="","",IF(INDEX(SchedZone,$C288,MAP!$B$11)="","",INDEX(SchedZone,$C288,MAP!$B$11)))</f>
        <v/>
      </c>
      <c r="N288" s="2" t="str">
        <f t="array" ref="N288">IF($C288="","",IF(INDEX(SchedZone,$C288,MAP!$B$13)="","",INDEX(SchedZone,$C288,MAP!$B$13)))</f>
        <v/>
      </c>
      <c r="O288" s="2">
        <f t="array" ref="O288">IF($C288="","",INDEX(SchedZone,$C288,MAP!$B$15))</f>
        <v>7</v>
      </c>
      <c r="P288" s="2" t="str">
        <f>IF($C288="","",IFERROR(MATCH($E288&amp;"|"&amp;$G288&amp;"|"&amp;$I288,StatsKey,0),""))</f>
        <v/>
      </c>
      <c r="Q288" s="2">
        <f t="array" ref="Q288">IF($P288="",0,INDEX(StatsZone,$P288,MAP!$E$9)+INDEX(StatsZone,$P288,MAP!$E$10)+INDEX(StatsZone,$P288,MAP!$E$11))</f>
        <v>0</v>
      </c>
      <c r="R288" s="2">
        <f t="array" ref="R288">IF($P288="",0,INDEX(StatsZone,$P288,MAP!$E$12))</f>
        <v>0</v>
      </c>
      <c r="S288" s="2">
        <f t="array" ref="S288">IF($P288="",0,INDEX(StatsZone,$P288,MAP!$E$13))</f>
        <v>0</v>
      </c>
      <c r="T288" s="2">
        <f t="shared" si="1"/>
        <v>0</v>
      </c>
      <c r="U288" s="2">
        <f t="array" ref="U288">IF($P288="",0,INDEX(StatsZone,$P288,MAP!$E$14)+INDEX(StatsZone,$P288,MAP!$E$15)+INDEX(StatsZone,$P288,MAP!$E$16))</f>
        <v>0</v>
      </c>
      <c r="V288" s="2">
        <f t="shared" si="2"/>
        <v>0</v>
      </c>
      <c r="W288" s="2">
        <f t="shared" si="3"/>
        <v>0</v>
      </c>
      <c r="X288" s="2">
        <f t="shared" si="4"/>
        <v>0</v>
      </c>
      <c r="Y288" s="2">
        <f t="shared" si="5"/>
        <v>0</v>
      </c>
      <c r="Z288" s="2">
        <f t="shared" si="6"/>
        <v>0</v>
      </c>
      <c r="AA288" s="2">
        <f t="shared" si="7"/>
        <v>-1</v>
      </c>
      <c r="AB288" s="2">
        <f>IF(OR($M288="",$N288=""),0,MEDIAN(-MarginCap,MarginCap,($M288-$N288)-$AA288*HFA_Base))</f>
        <v>0</v>
      </c>
      <c r="AC288" s="2">
        <f t="array" ref="AC288">IF(OR($P288="",INDEX($P$3:$P$722,(ROW()+IF(MOD(ROW()-3,2)=0,1,-1))-3+1)=""),0,MEDIAN(-MarginCap,MarginCap,($T288-$W288)-$AA288*HFA_Base))</f>
        <v>0</v>
      </c>
      <c r="AD288" s="2">
        <f t="shared" si="8"/>
        <v>0</v>
      </c>
      <c r="AE288" s="2">
        <f>IF(OR($M288="",$N288=""),0,IF(AND(WEpa&gt;0,$AD288=1),(1-WEpa)*$AB288+WEpa*$AC288,$AB288))</f>
        <v>0</v>
      </c>
      <c r="AF288" s="2">
        <f>IF(AND($C288&lt;&gt;"",$E288=CurrentSeason,$F288="REG",ISNUMBER($G288),$G288&lt;CurrentWeek,AND($M288&lt;&gt;"",$N288&lt;&gt;"")),1,0)</f>
        <v>0</v>
      </c>
      <c r="AG288" s="2">
        <f>IF($AF288=0,0,IF($G288&gt;=CurrentWeek-RecencyWin,RecencyMult,1))</f>
        <v>0</v>
      </c>
      <c r="AH288" s="2">
        <f>IF(AND($C288&lt;&gt;"",$E288=CurrentSeason,$F288="REG",ISNUMBER($G288),$G288&lt;CurrentWeek-1,AND($M288&lt;&gt;"",$N288&lt;&gt;"")),1,0)</f>
        <v>0</v>
      </c>
      <c r="AI288" s="2">
        <f>IF($AH288=0,0,IF($G288&gt;=CurrentWeek-1-RecencyWin,RecencyMult,1))</f>
        <v>0</v>
      </c>
      <c r="AJ288" s="2">
        <f>IF($AF288=0,0,IF($G288&gt;=CurrentWeek-RecencyWin,TotRecency,1))</f>
        <v>0</v>
      </c>
      <c r="AK288" s="2">
        <f t="shared" si="9"/>
        <v>0</v>
      </c>
      <c r="AL288" s="2">
        <f t="shared" si="10"/>
        <v>0</v>
      </c>
      <c r="AM288" s="2" t="str">
        <f t="array" ref="AM288">IF($K288="",0,IFERROR(INDEX(CALC!$F$2:$F$33,MATCH($K288,CALC!$A$2:$A$33,0)),0))</f>
        <v/>
      </c>
      <c r="AN288" s="2" t="str">
        <f t="array" ref="AN288">IF($K288="",0,IFERROR(INDEX(CALC!$I$2:$I$33,MATCH($K288,CALC!$A$2:$A$33,0)),0))</f>
        <v/>
      </c>
      <c r="AO288" s="2" t="str">
        <f t="array" ref="AO288">IF($K288="",0,IFERROR(INDEX(CALC!$L$2:$L$33,MATCH($K288,CALC!$A$2:$A$33,0)),0))</f>
        <v/>
      </c>
      <c r="AP288" s="2" t="str">
        <f t="array" ref="AP288">IF($K288="",0,IFERROR(INDEX(CALC!$T$2:$T$33,MATCH($K288,CALC!$A$2:$A$33,0)),0))</f>
        <v/>
      </c>
      <c r="AQ288" s="2" t="str">
        <f t="array" ref="AQ288">IF($K288="",0,IFERROR(INDEX(CALC!$W$2:$W$33,MATCH($K288,CALC!$A$2:$A$33,0)),0))</f>
        <v/>
      </c>
      <c r="AR288" s="2" t="str">
        <f t="array" ref="AR288">IF($K288="",0,IFERROR(INDEX(CALC!$Z$2:$Z$33,MATCH($K288,CALC!$A$2:$A$33,0)),0))</f>
        <v/>
      </c>
      <c r="AS288" s="2" t="str">
        <f t="array" ref="AS288">IF($K288="",0,IFERROR(INDEX(CALC!$AJ$2:$AJ$33,MATCH($K288,CALC!$A$2:$A$33,0)),0))</f>
        <v/>
      </c>
      <c r="AT288" s="2" t="str">
        <f t="array" ref="AT288">IF($K288="",0,IFERROR(INDEX(CALC!$AI$2:$AI$33,MATCH($K288,CALC!$A$2:$A$33,0)),0))</f>
        <v/>
      </c>
      <c r="AU288" s="2">
        <f t="shared" si="11"/>
        <v>0</v>
      </c>
      <c r="AV288" s="2">
        <f t="shared" si="12"/>
        <v>0</v>
      </c>
    </row>
    <row r="289" ht="15.0" customHeight="1">
      <c r="A289" s="2">
        <v>144.0</v>
      </c>
      <c r="B289" s="2" t="s">
        <v>2365</v>
      </c>
      <c r="C289" s="2">
        <f>IFERROR(MATCH($A289,SchedSeq,0),"")</f>
        <v>429</v>
      </c>
      <c r="D289" s="2" t="str">
        <f t="array" ref="D289">IF($C289="","",INDEX(SchedZone,$C289,MAP!$B$6))</f>
        <v>2026_10_BUF_NYJ</v>
      </c>
      <c r="E289" s="2">
        <f t="array" ref="E289">IF($C289="","",INDEX(SchedZone,$C289,MAP!$B$3))</f>
        <v>2026</v>
      </c>
      <c r="F289" s="2" t="str">
        <f t="array" ref="F289">IF($C289="","",INDEX(SchedZone,$C289,MAP!$B$5))</f>
        <v>REG</v>
      </c>
      <c r="G289" s="2">
        <f t="array" ref="G289">IF($C289="","",INDEX(SchedZone,$C289,MAP!$B$4))</f>
        <v>10</v>
      </c>
      <c r="H289" s="2" t="str">
        <f t="array" ref="H289">IF($C289="","",INDEX(SchedZone,$C289,MAP!$B$12))</f>
        <v>NYJ</v>
      </c>
      <c r="I289" s="2" t="str">
        <f t="array" ref="I289">IF($H289="","",IF(COUNTIF(Teams,$H289)&gt;0,$H289,IFERROR(INDEX(LISTS!$D$2:$D$12,MATCH($H289,LISTS!$C$2:$C$12,0)),"⚠ "&amp;$H289)))</f>
        <v>NYJ</v>
      </c>
      <c r="J289" s="2" t="str">
        <f t="array" ref="J289">IF($C289="","",INDEX(SchedZone,$C289,MAP!$B$10))</f>
        <v>BUF</v>
      </c>
      <c r="K289" s="2" t="str">
        <f t="array" ref="K289">IF($J289="","",IF(COUNTIF(Teams,$J289)&gt;0,$J289,IFERROR(INDEX(LISTS!$D$2:$D$12,MATCH($J289,LISTS!$C$2:$C$12,0)),"⚠ "&amp;$J289)))</f>
        <v>BUF</v>
      </c>
      <c r="L289" s="2" t="str">
        <f t="array" ref="L289">IF($C289="","",IF(INDEX(SchedZone,$C289,MAP!$B$14)="Neutral","N",IF($B289="HOME","H","A")))</f>
        <v>H</v>
      </c>
      <c r="M289" s="2" t="str">
        <f t="array" ref="M289">IF($C289="","",IF(INDEX(SchedZone,$C289,MAP!$B$13)="","",INDEX(SchedZone,$C289,MAP!$B$13)))</f>
        <v/>
      </c>
      <c r="N289" s="2" t="str">
        <f t="array" ref="N289">IF($C289="","",IF(INDEX(SchedZone,$C289,MAP!$B$11)="","",INDEX(SchedZone,$C289,MAP!$B$11)))</f>
        <v/>
      </c>
      <c r="O289" s="2">
        <f t="array" ref="O289">IF($C289="","",INDEX(SchedZone,$C289,MAP!$B$16))</f>
        <v>7</v>
      </c>
      <c r="P289" s="2" t="str">
        <f>IF($C289="","",IFERROR(MATCH($E289&amp;"|"&amp;$G289&amp;"|"&amp;$I289,StatsKey,0),""))</f>
        <v/>
      </c>
      <c r="Q289" s="2">
        <f t="array" ref="Q289">IF($P289="",0,INDEX(StatsZone,$P289,MAP!$E$9)+INDEX(StatsZone,$P289,MAP!$E$10)+INDEX(StatsZone,$P289,MAP!$E$11))</f>
        <v>0</v>
      </c>
      <c r="R289" s="2">
        <f t="array" ref="R289">IF($P289="",0,INDEX(StatsZone,$P289,MAP!$E$12))</f>
        <v>0</v>
      </c>
      <c r="S289" s="2">
        <f t="array" ref="S289">IF($P289="",0,INDEX(StatsZone,$P289,MAP!$E$13))</f>
        <v>0</v>
      </c>
      <c r="T289" s="2">
        <f t="shared" si="1"/>
        <v>0</v>
      </c>
      <c r="U289" s="2">
        <f t="array" ref="U289">IF($P289="",0,INDEX(StatsZone,$P289,MAP!$E$14)+INDEX(StatsZone,$P289,MAP!$E$15)+INDEX(StatsZone,$P289,MAP!$E$16))</f>
        <v>0</v>
      </c>
      <c r="V289" s="2">
        <f t="shared" si="2"/>
        <v>0</v>
      </c>
      <c r="W289" s="2">
        <f t="shared" si="3"/>
        <v>0</v>
      </c>
      <c r="X289" s="2">
        <f t="shared" si="4"/>
        <v>0</v>
      </c>
      <c r="Y289" s="2">
        <f t="shared" si="5"/>
        <v>0</v>
      </c>
      <c r="Z289" s="2">
        <f t="shared" si="6"/>
        <v>0</v>
      </c>
      <c r="AA289" s="2">
        <f t="shared" si="7"/>
        <v>1</v>
      </c>
      <c r="AB289" s="2">
        <f>IF(OR($M289="",$N289=""),0,MEDIAN(-MarginCap,MarginCap,($M289-$N289)-$AA289*HFA_Base))</f>
        <v>0</v>
      </c>
      <c r="AC289" s="2">
        <f t="array" ref="AC289">IF(OR($P289="",INDEX($P$3:$P$722,(ROW()+IF(MOD(ROW()-3,2)=0,1,-1))-3+1)=""),0,MEDIAN(-MarginCap,MarginCap,($T289-$W289)-$AA289*HFA_Base))</f>
        <v>0</v>
      </c>
      <c r="AD289" s="2">
        <f t="shared" si="8"/>
        <v>0</v>
      </c>
      <c r="AE289" s="2">
        <f>IF(OR($M289="",$N289=""),0,IF(AND(WEpa&gt;0,$AD289=1),(1-WEpa)*$AB289+WEpa*$AC289,$AB289))</f>
        <v>0</v>
      </c>
      <c r="AF289" s="2">
        <f>IF(AND($C289&lt;&gt;"",$E289=CurrentSeason,$F289="REG",ISNUMBER($G289),$G289&lt;CurrentWeek,AND($M289&lt;&gt;"",$N289&lt;&gt;"")),1,0)</f>
        <v>0</v>
      </c>
      <c r="AG289" s="2">
        <f>IF($AF289=0,0,IF($G289&gt;=CurrentWeek-RecencyWin,RecencyMult,1))</f>
        <v>0</v>
      </c>
      <c r="AH289" s="2">
        <f>IF(AND($C289&lt;&gt;"",$E289=CurrentSeason,$F289="REG",ISNUMBER($G289),$G289&lt;CurrentWeek-1,AND($M289&lt;&gt;"",$N289&lt;&gt;"")),1,0)</f>
        <v>0</v>
      </c>
      <c r="AI289" s="2">
        <f>IF($AH289=0,0,IF($G289&gt;=CurrentWeek-1-RecencyWin,RecencyMult,1))</f>
        <v>0</v>
      </c>
      <c r="AJ289" s="2">
        <f>IF($AF289=0,0,IF($G289&gt;=CurrentWeek-RecencyWin,TotRecency,1))</f>
        <v>0</v>
      </c>
      <c r="AK289" s="2">
        <f t="shared" si="9"/>
        <v>0</v>
      </c>
      <c r="AL289" s="2">
        <f t="shared" si="10"/>
        <v>0</v>
      </c>
      <c r="AM289" s="2" t="str">
        <f t="array" ref="AM289">IF($K289="",0,IFERROR(INDEX(CALC!$F$2:$F$33,MATCH($K289,CALC!$A$2:$A$33,0)),0))</f>
        <v/>
      </c>
      <c r="AN289" s="2" t="str">
        <f t="array" ref="AN289">IF($K289="",0,IFERROR(INDEX(CALC!$I$2:$I$33,MATCH($K289,CALC!$A$2:$A$33,0)),0))</f>
        <v/>
      </c>
      <c r="AO289" s="2" t="str">
        <f t="array" ref="AO289">IF($K289="",0,IFERROR(INDEX(CALC!$L$2:$L$33,MATCH($K289,CALC!$A$2:$A$33,0)),0))</f>
        <v/>
      </c>
      <c r="AP289" s="2" t="str">
        <f t="array" ref="AP289">IF($K289="",0,IFERROR(INDEX(CALC!$T$2:$T$33,MATCH($K289,CALC!$A$2:$A$33,0)),0))</f>
        <v/>
      </c>
      <c r="AQ289" s="2" t="str">
        <f t="array" ref="AQ289">IF($K289="",0,IFERROR(INDEX(CALC!$W$2:$W$33,MATCH($K289,CALC!$A$2:$A$33,0)),0))</f>
        <v/>
      </c>
      <c r="AR289" s="2" t="str">
        <f t="array" ref="AR289">IF($K289="",0,IFERROR(INDEX(CALC!$Z$2:$Z$33,MATCH($K289,CALC!$A$2:$A$33,0)),0))</f>
        <v/>
      </c>
      <c r="AS289" s="2" t="str">
        <f t="array" ref="AS289">IF($K289="",0,IFERROR(INDEX(CALC!$AJ$2:$AJ$33,MATCH($K289,CALC!$A$2:$A$33,0)),0))</f>
        <v/>
      </c>
      <c r="AT289" s="2" t="str">
        <f t="array" ref="AT289">IF($K289="",0,IFERROR(INDEX(CALC!$AI$2:$AI$33,MATCH($K289,CALC!$A$2:$A$33,0)),0))</f>
        <v/>
      </c>
      <c r="AU289" s="2">
        <f t="shared" si="11"/>
        <v>0</v>
      </c>
      <c r="AV289" s="2">
        <f t="shared" si="12"/>
        <v>0</v>
      </c>
    </row>
    <row r="290" ht="15.0" customHeight="1">
      <c r="A290" s="2">
        <v>144.0</v>
      </c>
      <c r="B290" s="2" t="s">
        <v>2366</v>
      </c>
      <c r="C290" s="2">
        <f>IFERROR(MATCH($A290,SchedSeq,0),"")</f>
        <v>429</v>
      </c>
      <c r="D290" s="2" t="str">
        <f t="array" ref="D290">IF($C290="","",INDEX(SchedZone,$C290,MAP!$B$6))</f>
        <v>2026_10_BUF_NYJ</v>
      </c>
      <c r="E290" s="2">
        <f t="array" ref="E290">IF($C290="","",INDEX(SchedZone,$C290,MAP!$B$3))</f>
        <v>2026</v>
      </c>
      <c r="F290" s="2" t="str">
        <f t="array" ref="F290">IF($C290="","",INDEX(SchedZone,$C290,MAP!$B$5))</f>
        <v>REG</v>
      </c>
      <c r="G290" s="2">
        <f t="array" ref="G290">IF($C290="","",INDEX(SchedZone,$C290,MAP!$B$4))</f>
        <v>10</v>
      </c>
      <c r="H290" s="2" t="str">
        <f t="array" ref="H290">IF($C290="","",INDEX(SchedZone,$C290,MAP!$B$10))</f>
        <v>BUF</v>
      </c>
      <c r="I290" s="2" t="str">
        <f t="array" ref="I290">IF($H290="","",IF(COUNTIF(Teams,$H290)&gt;0,$H290,IFERROR(INDEX(LISTS!$D$2:$D$12,MATCH($H290,LISTS!$C$2:$C$12,0)),"⚠ "&amp;$H290)))</f>
        <v>BUF</v>
      </c>
      <c r="J290" s="2" t="str">
        <f t="array" ref="J290">IF($C290="","",INDEX(SchedZone,$C290,MAP!$B$12))</f>
        <v>NYJ</v>
      </c>
      <c r="K290" s="2" t="str">
        <f t="array" ref="K290">IF($J290="","",IF(COUNTIF(Teams,$J290)&gt;0,$J290,IFERROR(INDEX(LISTS!$D$2:$D$12,MATCH($J290,LISTS!$C$2:$C$12,0)),"⚠ "&amp;$J290)))</f>
        <v>NYJ</v>
      </c>
      <c r="L290" s="2" t="str">
        <f t="array" ref="L290">IF($C290="","",IF(INDEX(SchedZone,$C290,MAP!$B$14)="Neutral","N",IF($B290="HOME","H","A")))</f>
        <v>A</v>
      </c>
      <c r="M290" s="2" t="str">
        <f t="array" ref="M290">IF($C290="","",IF(INDEX(SchedZone,$C290,MAP!$B$11)="","",INDEX(SchedZone,$C290,MAP!$B$11)))</f>
        <v/>
      </c>
      <c r="N290" s="2" t="str">
        <f t="array" ref="N290">IF($C290="","",IF(INDEX(SchedZone,$C290,MAP!$B$13)="","",INDEX(SchedZone,$C290,MAP!$B$13)))</f>
        <v/>
      </c>
      <c r="O290" s="2">
        <f t="array" ref="O290">IF($C290="","",INDEX(SchedZone,$C290,MAP!$B$15))</f>
        <v>6</v>
      </c>
      <c r="P290" s="2" t="str">
        <f>IF($C290="","",IFERROR(MATCH($E290&amp;"|"&amp;$G290&amp;"|"&amp;$I290,StatsKey,0),""))</f>
        <v/>
      </c>
      <c r="Q290" s="2">
        <f t="array" ref="Q290">IF($P290="",0,INDEX(StatsZone,$P290,MAP!$E$9)+INDEX(StatsZone,$P290,MAP!$E$10)+INDEX(StatsZone,$P290,MAP!$E$11))</f>
        <v>0</v>
      </c>
      <c r="R290" s="2">
        <f t="array" ref="R290">IF($P290="",0,INDEX(StatsZone,$P290,MAP!$E$12))</f>
        <v>0</v>
      </c>
      <c r="S290" s="2">
        <f t="array" ref="S290">IF($P290="",0,INDEX(StatsZone,$P290,MAP!$E$13))</f>
        <v>0</v>
      </c>
      <c r="T290" s="2">
        <f t="shared" si="1"/>
        <v>0</v>
      </c>
      <c r="U290" s="2">
        <f t="array" ref="U290">IF($P290="",0,INDEX(StatsZone,$P290,MAP!$E$14)+INDEX(StatsZone,$P290,MAP!$E$15)+INDEX(StatsZone,$P290,MAP!$E$16))</f>
        <v>0</v>
      </c>
      <c r="V290" s="2">
        <f t="shared" si="2"/>
        <v>0</v>
      </c>
      <c r="W290" s="2">
        <f t="shared" si="3"/>
        <v>0</v>
      </c>
      <c r="X290" s="2">
        <f t="shared" si="4"/>
        <v>0</v>
      </c>
      <c r="Y290" s="2">
        <f t="shared" si="5"/>
        <v>0</v>
      </c>
      <c r="Z290" s="2">
        <f t="shared" si="6"/>
        <v>0</v>
      </c>
      <c r="AA290" s="2">
        <f t="shared" si="7"/>
        <v>-1</v>
      </c>
      <c r="AB290" s="2">
        <f>IF(OR($M290="",$N290=""),0,MEDIAN(-MarginCap,MarginCap,($M290-$N290)-$AA290*HFA_Base))</f>
        <v>0</v>
      </c>
      <c r="AC290" s="2">
        <f t="array" ref="AC290">IF(OR($P290="",INDEX($P$3:$P$722,(ROW()+IF(MOD(ROW()-3,2)=0,1,-1))-3+1)=""),0,MEDIAN(-MarginCap,MarginCap,($T290-$W290)-$AA290*HFA_Base))</f>
        <v>0</v>
      </c>
      <c r="AD290" s="2">
        <f t="shared" si="8"/>
        <v>0</v>
      </c>
      <c r="AE290" s="2">
        <f>IF(OR($M290="",$N290=""),0,IF(AND(WEpa&gt;0,$AD290=1),(1-WEpa)*$AB290+WEpa*$AC290,$AB290))</f>
        <v>0</v>
      </c>
      <c r="AF290" s="2">
        <f>IF(AND($C290&lt;&gt;"",$E290=CurrentSeason,$F290="REG",ISNUMBER($G290),$G290&lt;CurrentWeek,AND($M290&lt;&gt;"",$N290&lt;&gt;"")),1,0)</f>
        <v>0</v>
      </c>
      <c r="AG290" s="2">
        <f>IF($AF290=0,0,IF($G290&gt;=CurrentWeek-RecencyWin,RecencyMult,1))</f>
        <v>0</v>
      </c>
      <c r="AH290" s="2">
        <f>IF(AND($C290&lt;&gt;"",$E290=CurrentSeason,$F290="REG",ISNUMBER($G290),$G290&lt;CurrentWeek-1,AND($M290&lt;&gt;"",$N290&lt;&gt;"")),1,0)</f>
        <v>0</v>
      </c>
      <c r="AI290" s="2">
        <f>IF($AH290=0,0,IF($G290&gt;=CurrentWeek-1-RecencyWin,RecencyMult,1))</f>
        <v>0</v>
      </c>
      <c r="AJ290" s="2">
        <f>IF($AF290=0,0,IF($G290&gt;=CurrentWeek-RecencyWin,TotRecency,1))</f>
        <v>0</v>
      </c>
      <c r="AK290" s="2">
        <f t="shared" si="9"/>
        <v>0</v>
      </c>
      <c r="AL290" s="2">
        <f t="shared" si="10"/>
        <v>0</v>
      </c>
      <c r="AM290" s="2" t="str">
        <f t="array" ref="AM290">IF($K290="",0,IFERROR(INDEX(CALC!$F$2:$F$33,MATCH($K290,CALC!$A$2:$A$33,0)),0))</f>
        <v/>
      </c>
      <c r="AN290" s="2" t="str">
        <f t="array" ref="AN290">IF($K290="",0,IFERROR(INDEX(CALC!$I$2:$I$33,MATCH($K290,CALC!$A$2:$A$33,0)),0))</f>
        <v/>
      </c>
      <c r="AO290" s="2" t="str">
        <f t="array" ref="AO290">IF($K290="",0,IFERROR(INDEX(CALC!$L$2:$L$33,MATCH($K290,CALC!$A$2:$A$33,0)),0))</f>
        <v/>
      </c>
      <c r="AP290" s="2" t="str">
        <f t="array" ref="AP290">IF($K290="",0,IFERROR(INDEX(CALC!$T$2:$T$33,MATCH($K290,CALC!$A$2:$A$33,0)),0))</f>
        <v/>
      </c>
      <c r="AQ290" s="2" t="str">
        <f t="array" ref="AQ290">IF($K290="",0,IFERROR(INDEX(CALC!$W$2:$W$33,MATCH($K290,CALC!$A$2:$A$33,0)),0))</f>
        <v/>
      </c>
      <c r="AR290" s="2" t="str">
        <f t="array" ref="AR290">IF($K290="",0,IFERROR(INDEX(CALC!$Z$2:$Z$33,MATCH($K290,CALC!$A$2:$A$33,0)),0))</f>
        <v/>
      </c>
      <c r="AS290" s="2" t="str">
        <f t="array" ref="AS290">IF($K290="",0,IFERROR(INDEX(CALC!$AJ$2:$AJ$33,MATCH($K290,CALC!$A$2:$A$33,0)),0))</f>
        <v/>
      </c>
      <c r="AT290" s="2" t="str">
        <f t="array" ref="AT290">IF($K290="",0,IFERROR(INDEX(CALC!$AI$2:$AI$33,MATCH($K290,CALC!$A$2:$A$33,0)),0))</f>
        <v/>
      </c>
      <c r="AU290" s="2">
        <f t="shared" si="11"/>
        <v>0</v>
      </c>
      <c r="AV290" s="2">
        <f t="shared" si="12"/>
        <v>0</v>
      </c>
    </row>
    <row r="291" ht="15.0" customHeight="1">
      <c r="A291" s="2">
        <v>145.0</v>
      </c>
      <c r="B291" s="2" t="s">
        <v>2365</v>
      </c>
      <c r="C291" s="2">
        <f>IFERROR(MATCH($A291,SchedSeq,0),"")</f>
        <v>430</v>
      </c>
      <c r="D291" s="2" t="str">
        <f t="array" ref="D291">IF($C291="","",INDEX(SchedZone,$C291,MAP!$B$6))</f>
        <v>2026_10_JAX_TEN</v>
      </c>
      <c r="E291" s="2">
        <f t="array" ref="E291">IF($C291="","",INDEX(SchedZone,$C291,MAP!$B$3))</f>
        <v>2026</v>
      </c>
      <c r="F291" s="2" t="str">
        <f t="array" ref="F291">IF($C291="","",INDEX(SchedZone,$C291,MAP!$B$5))</f>
        <v>REG</v>
      </c>
      <c r="G291" s="2">
        <f t="array" ref="G291">IF($C291="","",INDEX(SchedZone,$C291,MAP!$B$4))</f>
        <v>10</v>
      </c>
      <c r="H291" s="2" t="str">
        <f t="array" ref="H291">IF($C291="","",INDEX(SchedZone,$C291,MAP!$B$12))</f>
        <v>TEN</v>
      </c>
      <c r="I291" s="2" t="str">
        <f t="array" ref="I291">IF($H291="","",IF(COUNTIF(Teams,$H291)&gt;0,$H291,IFERROR(INDEX(LISTS!$D$2:$D$12,MATCH($H291,LISTS!$C$2:$C$12,0)),"⚠ "&amp;$H291)))</f>
        <v>TEN</v>
      </c>
      <c r="J291" s="2" t="str">
        <f t="array" ref="J291">IF($C291="","",INDEX(SchedZone,$C291,MAP!$B$10))</f>
        <v>JAX</v>
      </c>
      <c r="K291" s="2" t="str">
        <f t="array" ref="K291">IF($J291="","",IF(COUNTIF(Teams,$J291)&gt;0,$J291,IFERROR(INDEX(LISTS!$D$2:$D$12,MATCH($J291,LISTS!$C$2:$C$12,0)),"⚠ "&amp;$J291)))</f>
        <v>JAX</v>
      </c>
      <c r="L291" s="2" t="str">
        <f t="array" ref="L291">IF($C291="","",IF(INDEX(SchedZone,$C291,MAP!$B$14)="Neutral","N",IF($B291="HOME","H","A")))</f>
        <v>H</v>
      </c>
      <c r="M291" s="2" t="str">
        <f t="array" ref="M291">IF($C291="","",IF(INDEX(SchedZone,$C291,MAP!$B$13)="","",INDEX(SchedZone,$C291,MAP!$B$13)))</f>
        <v/>
      </c>
      <c r="N291" s="2" t="str">
        <f t="array" ref="N291">IF($C291="","",IF(INDEX(SchedZone,$C291,MAP!$B$11)="","",INDEX(SchedZone,$C291,MAP!$B$11)))</f>
        <v/>
      </c>
      <c r="O291" s="2">
        <f t="array" ref="O291">IF($C291="","",INDEX(SchedZone,$C291,MAP!$B$16))</f>
        <v>14</v>
      </c>
      <c r="P291" s="2" t="str">
        <f>IF($C291="","",IFERROR(MATCH($E291&amp;"|"&amp;$G291&amp;"|"&amp;$I291,StatsKey,0),""))</f>
        <v/>
      </c>
      <c r="Q291" s="2">
        <f t="array" ref="Q291">IF($P291="",0,INDEX(StatsZone,$P291,MAP!$E$9)+INDEX(StatsZone,$P291,MAP!$E$10)+INDEX(StatsZone,$P291,MAP!$E$11))</f>
        <v>0</v>
      </c>
      <c r="R291" s="2">
        <f t="array" ref="R291">IF($P291="",0,INDEX(StatsZone,$P291,MAP!$E$12))</f>
        <v>0</v>
      </c>
      <c r="S291" s="2">
        <f t="array" ref="S291">IF($P291="",0,INDEX(StatsZone,$P291,MAP!$E$13))</f>
        <v>0</v>
      </c>
      <c r="T291" s="2">
        <f t="shared" si="1"/>
        <v>0</v>
      </c>
      <c r="U291" s="2">
        <f t="array" ref="U291">IF($P291="",0,INDEX(StatsZone,$P291,MAP!$E$14)+INDEX(StatsZone,$P291,MAP!$E$15)+INDEX(StatsZone,$P291,MAP!$E$16))</f>
        <v>0</v>
      </c>
      <c r="V291" s="2">
        <f t="shared" si="2"/>
        <v>0</v>
      </c>
      <c r="W291" s="2">
        <f t="shared" si="3"/>
        <v>0</v>
      </c>
      <c r="X291" s="2">
        <f t="shared" si="4"/>
        <v>0</v>
      </c>
      <c r="Y291" s="2">
        <f t="shared" si="5"/>
        <v>0</v>
      </c>
      <c r="Z291" s="2">
        <f t="shared" si="6"/>
        <v>0</v>
      </c>
      <c r="AA291" s="2">
        <f t="shared" si="7"/>
        <v>1</v>
      </c>
      <c r="AB291" s="2">
        <f>IF(OR($M291="",$N291=""),0,MEDIAN(-MarginCap,MarginCap,($M291-$N291)-$AA291*HFA_Base))</f>
        <v>0</v>
      </c>
      <c r="AC291" s="2">
        <f t="array" ref="AC291">IF(OR($P291="",INDEX($P$3:$P$722,(ROW()+IF(MOD(ROW()-3,2)=0,1,-1))-3+1)=""),0,MEDIAN(-MarginCap,MarginCap,($T291-$W291)-$AA291*HFA_Base))</f>
        <v>0</v>
      </c>
      <c r="AD291" s="2">
        <f t="shared" si="8"/>
        <v>0</v>
      </c>
      <c r="AE291" s="2">
        <f>IF(OR($M291="",$N291=""),0,IF(AND(WEpa&gt;0,$AD291=1),(1-WEpa)*$AB291+WEpa*$AC291,$AB291))</f>
        <v>0</v>
      </c>
      <c r="AF291" s="2">
        <f>IF(AND($C291&lt;&gt;"",$E291=CurrentSeason,$F291="REG",ISNUMBER($G291),$G291&lt;CurrentWeek,AND($M291&lt;&gt;"",$N291&lt;&gt;"")),1,0)</f>
        <v>0</v>
      </c>
      <c r="AG291" s="2">
        <f>IF($AF291=0,0,IF($G291&gt;=CurrentWeek-RecencyWin,RecencyMult,1))</f>
        <v>0</v>
      </c>
      <c r="AH291" s="2">
        <f>IF(AND($C291&lt;&gt;"",$E291=CurrentSeason,$F291="REG",ISNUMBER($G291),$G291&lt;CurrentWeek-1,AND($M291&lt;&gt;"",$N291&lt;&gt;"")),1,0)</f>
        <v>0</v>
      </c>
      <c r="AI291" s="2">
        <f>IF($AH291=0,0,IF($G291&gt;=CurrentWeek-1-RecencyWin,RecencyMult,1))</f>
        <v>0</v>
      </c>
      <c r="AJ291" s="2">
        <f>IF($AF291=0,0,IF($G291&gt;=CurrentWeek-RecencyWin,TotRecency,1))</f>
        <v>0</v>
      </c>
      <c r="AK291" s="2">
        <f t="shared" si="9"/>
        <v>0</v>
      </c>
      <c r="AL291" s="2">
        <f t="shared" si="10"/>
        <v>0</v>
      </c>
      <c r="AM291" s="2" t="str">
        <f t="array" ref="AM291">IF($K291="",0,IFERROR(INDEX(CALC!$F$2:$F$33,MATCH($K291,CALC!$A$2:$A$33,0)),0))</f>
        <v/>
      </c>
      <c r="AN291" s="2" t="str">
        <f t="array" ref="AN291">IF($K291="",0,IFERROR(INDEX(CALC!$I$2:$I$33,MATCH($K291,CALC!$A$2:$A$33,0)),0))</f>
        <v/>
      </c>
      <c r="AO291" s="2" t="str">
        <f t="array" ref="AO291">IF($K291="",0,IFERROR(INDEX(CALC!$L$2:$L$33,MATCH($K291,CALC!$A$2:$A$33,0)),0))</f>
        <v/>
      </c>
      <c r="AP291" s="2" t="str">
        <f t="array" ref="AP291">IF($K291="",0,IFERROR(INDEX(CALC!$T$2:$T$33,MATCH($K291,CALC!$A$2:$A$33,0)),0))</f>
        <v/>
      </c>
      <c r="AQ291" s="2" t="str">
        <f t="array" ref="AQ291">IF($K291="",0,IFERROR(INDEX(CALC!$W$2:$W$33,MATCH($K291,CALC!$A$2:$A$33,0)),0))</f>
        <v/>
      </c>
      <c r="AR291" s="2" t="str">
        <f t="array" ref="AR291">IF($K291="",0,IFERROR(INDEX(CALC!$Z$2:$Z$33,MATCH($K291,CALC!$A$2:$A$33,0)),0))</f>
        <v/>
      </c>
      <c r="AS291" s="2" t="str">
        <f t="array" ref="AS291">IF($K291="",0,IFERROR(INDEX(CALC!$AJ$2:$AJ$33,MATCH($K291,CALC!$A$2:$A$33,0)),0))</f>
        <v/>
      </c>
      <c r="AT291" s="2" t="str">
        <f t="array" ref="AT291">IF($K291="",0,IFERROR(INDEX(CALC!$AI$2:$AI$33,MATCH($K291,CALC!$A$2:$A$33,0)),0))</f>
        <v/>
      </c>
      <c r="AU291" s="2">
        <f t="shared" si="11"/>
        <v>0</v>
      </c>
      <c r="AV291" s="2">
        <f t="shared" si="12"/>
        <v>0</v>
      </c>
    </row>
    <row r="292" ht="15.0" customHeight="1">
      <c r="A292" s="2">
        <v>145.0</v>
      </c>
      <c r="B292" s="2" t="s">
        <v>2366</v>
      </c>
      <c r="C292" s="2">
        <f>IFERROR(MATCH($A292,SchedSeq,0),"")</f>
        <v>430</v>
      </c>
      <c r="D292" s="2" t="str">
        <f t="array" ref="D292">IF($C292="","",INDEX(SchedZone,$C292,MAP!$B$6))</f>
        <v>2026_10_JAX_TEN</v>
      </c>
      <c r="E292" s="2">
        <f t="array" ref="E292">IF($C292="","",INDEX(SchedZone,$C292,MAP!$B$3))</f>
        <v>2026</v>
      </c>
      <c r="F292" s="2" t="str">
        <f t="array" ref="F292">IF($C292="","",INDEX(SchedZone,$C292,MAP!$B$5))</f>
        <v>REG</v>
      </c>
      <c r="G292" s="2">
        <f t="array" ref="G292">IF($C292="","",INDEX(SchedZone,$C292,MAP!$B$4))</f>
        <v>10</v>
      </c>
      <c r="H292" s="2" t="str">
        <f t="array" ref="H292">IF($C292="","",INDEX(SchedZone,$C292,MAP!$B$10))</f>
        <v>JAX</v>
      </c>
      <c r="I292" s="2" t="str">
        <f t="array" ref="I292">IF($H292="","",IF(COUNTIF(Teams,$H292)&gt;0,$H292,IFERROR(INDEX(LISTS!$D$2:$D$12,MATCH($H292,LISTS!$C$2:$C$12,0)),"⚠ "&amp;$H292)))</f>
        <v>JAX</v>
      </c>
      <c r="J292" s="2" t="str">
        <f t="array" ref="J292">IF($C292="","",INDEX(SchedZone,$C292,MAP!$B$12))</f>
        <v>TEN</v>
      </c>
      <c r="K292" s="2" t="str">
        <f t="array" ref="K292">IF($J292="","",IF(COUNTIF(Teams,$J292)&gt;0,$J292,IFERROR(INDEX(LISTS!$D$2:$D$12,MATCH($J292,LISTS!$C$2:$C$12,0)),"⚠ "&amp;$J292)))</f>
        <v>TEN</v>
      </c>
      <c r="L292" s="2" t="str">
        <f t="array" ref="L292">IF($C292="","",IF(INDEX(SchedZone,$C292,MAP!$B$14)="Neutral","N",IF($B292="HOME","H","A")))</f>
        <v>A</v>
      </c>
      <c r="M292" s="2" t="str">
        <f t="array" ref="M292">IF($C292="","",IF(INDEX(SchedZone,$C292,MAP!$B$11)="","",INDEX(SchedZone,$C292,MAP!$B$11)))</f>
        <v/>
      </c>
      <c r="N292" s="2" t="str">
        <f t="array" ref="N292">IF($C292="","",IF(INDEX(SchedZone,$C292,MAP!$B$13)="","",INDEX(SchedZone,$C292,MAP!$B$13)))</f>
        <v/>
      </c>
      <c r="O292" s="2">
        <f t="array" ref="O292">IF($C292="","",INDEX(SchedZone,$C292,MAP!$B$15))</f>
        <v>10</v>
      </c>
      <c r="P292" s="2" t="str">
        <f>IF($C292="","",IFERROR(MATCH($E292&amp;"|"&amp;$G292&amp;"|"&amp;$I292,StatsKey,0),""))</f>
        <v/>
      </c>
      <c r="Q292" s="2">
        <f t="array" ref="Q292">IF($P292="",0,INDEX(StatsZone,$P292,MAP!$E$9)+INDEX(StatsZone,$P292,MAP!$E$10)+INDEX(StatsZone,$P292,MAP!$E$11))</f>
        <v>0</v>
      </c>
      <c r="R292" s="2">
        <f t="array" ref="R292">IF($P292="",0,INDEX(StatsZone,$P292,MAP!$E$12))</f>
        <v>0</v>
      </c>
      <c r="S292" s="2">
        <f t="array" ref="S292">IF($P292="",0,INDEX(StatsZone,$P292,MAP!$E$13))</f>
        <v>0</v>
      </c>
      <c r="T292" s="2">
        <f t="shared" si="1"/>
        <v>0</v>
      </c>
      <c r="U292" s="2">
        <f t="array" ref="U292">IF($P292="",0,INDEX(StatsZone,$P292,MAP!$E$14)+INDEX(StatsZone,$P292,MAP!$E$15)+INDEX(StatsZone,$P292,MAP!$E$16))</f>
        <v>0</v>
      </c>
      <c r="V292" s="2">
        <f t="shared" si="2"/>
        <v>0</v>
      </c>
      <c r="W292" s="2">
        <f t="shared" si="3"/>
        <v>0</v>
      </c>
      <c r="X292" s="2">
        <f t="shared" si="4"/>
        <v>0</v>
      </c>
      <c r="Y292" s="2">
        <f t="shared" si="5"/>
        <v>0</v>
      </c>
      <c r="Z292" s="2">
        <f t="shared" si="6"/>
        <v>0</v>
      </c>
      <c r="AA292" s="2">
        <f t="shared" si="7"/>
        <v>-1</v>
      </c>
      <c r="AB292" s="2">
        <f>IF(OR($M292="",$N292=""),0,MEDIAN(-MarginCap,MarginCap,($M292-$N292)-$AA292*HFA_Base))</f>
        <v>0</v>
      </c>
      <c r="AC292" s="2">
        <f t="array" ref="AC292">IF(OR($P292="",INDEX($P$3:$P$722,(ROW()+IF(MOD(ROW()-3,2)=0,1,-1))-3+1)=""),0,MEDIAN(-MarginCap,MarginCap,($T292-$W292)-$AA292*HFA_Base))</f>
        <v>0</v>
      </c>
      <c r="AD292" s="2">
        <f t="shared" si="8"/>
        <v>0</v>
      </c>
      <c r="AE292" s="2">
        <f>IF(OR($M292="",$N292=""),0,IF(AND(WEpa&gt;0,$AD292=1),(1-WEpa)*$AB292+WEpa*$AC292,$AB292))</f>
        <v>0</v>
      </c>
      <c r="AF292" s="2">
        <f>IF(AND($C292&lt;&gt;"",$E292=CurrentSeason,$F292="REG",ISNUMBER($G292),$G292&lt;CurrentWeek,AND($M292&lt;&gt;"",$N292&lt;&gt;"")),1,0)</f>
        <v>0</v>
      </c>
      <c r="AG292" s="2">
        <f>IF($AF292=0,0,IF($G292&gt;=CurrentWeek-RecencyWin,RecencyMult,1))</f>
        <v>0</v>
      </c>
      <c r="AH292" s="2">
        <f>IF(AND($C292&lt;&gt;"",$E292=CurrentSeason,$F292="REG",ISNUMBER($G292),$G292&lt;CurrentWeek-1,AND($M292&lt;&gt;"",$N292&lt;&gt;"")),1,0)</f>
        <v>0</v>
      </c>
      <c r="AI292" s="2">
        <f>IF($AH292=0,0,IF($G292&gt;=CurrentWeek-1-RecencyWin,RecencyMult,1))</f>
        <v>0</v>
      </c>
      <c r="AJ292" s="2">
        <f>IF($AF292=0,0,IF($G292&gt;=CurrentWeek-RecencyWin,TotRecency,1))</f>
        <v>0</v>
      </c>
      <c r="AK292" s="2">
        <f t="shared" si="9"/>
        <v>0</v>
      </c>
      <c r="AL292" s="2">
        <f t="shared" si="10"/>
        <v>0</v>
      </c>
      <c r="AM292" s="2" t="str">
        <f t="array" ref="AM292">IF($K292="",0,IFERROR(INDEX(CALC!$F$2:$F$33,MATCH($K292,CALC!$A$2:$A$33,0)),0))</f>
        <v/>
      </c>
      <c r="AN292" s="2" t="str">
        <f t="array" ref="AN292">IF($K292="",0,IFERROR(INDEX(CALC!$I$2:$I$33,MATCH($K292,CALC!$A$2:$A$33,0)),0))</f>
        <v/>
      </c>
      <c r="AO292" s="2" t="str">
        <f t="array" ref="AO292">IF($K292="",0,IFERROR(INDEX(CALC!$L$2:$L$33,MATCH($K292,CALC!$A$2:$A$33,0)),0))</f>
        <v/>
      </c>
      <c r="AP292" s="2" t="str">
        <f t="array" ref="AP292">IF($K292="",0,IFERROR(INDEX(CALC!$T$2:$T$33,MATCH($K292,CALC!$A$2:$A$33,0)),0))</f>
        <v/>
      </c>
      <c r="AQ292" s="2" t="str">
        <f t="array" ref="AQ292">IF($K292="",0,IFERROR(INDEX(CALC!$W$2:$W$33,MATCH($K292,CALC!$A$2:$A$33,0)),0))</f>
        <v/>
      </c>
      <c r="AR292" s="2" t="str">
        <f t="array" ref="AR292">IF($K292="",0,IFERROR(INDEX(CALC!$Z$2:$Z$33,MATCH($K292,CALC!$A$2:$A$33,0)),0))</f>
        <v/>
      </c>
      <c r="AS292" s="2" t="str">
        <f t="array" ref="AS292">IF($K292="",0,IFERROR(INDEX(CALC!$AJ$2:$AJ$33,MATCH($K292,CALC!$A$2:$A$33,0)),0))</f>
        <v/>
      </c>
      <c r="AT292" s="2" t="str">
        <f t="array" ref="AT292">IF($K292="",0,IFERROR(INDEX(CALC!$AI$2:$AI$33,MATCH($K292,CALC!$A$2:$A$33,0)),0))</f>
        <v/>
      </c>
      <c r="AU292" s="2">
        <f t="shared" si="11"/>
        <v>0</v>
      </c>
      <c r="AV292" s="2">
        <f t="shared" si="12"/>
        <v>0</v>
      </c>
    </row>
    <row r="293" ht="15.0" customHeight="1">
      <c r="A293" s="2">
        <v>146.0</v>
      </c>
      <c r="B293" s="2" t="s">
        <v>2365</v>
      </c>
      <c r="C293" s="2">
        <f>IFERROR(MATCH($A293,SchedSeq,0),"")</f>
        <v>431</v>
      </c>
      <c r="D293" s="2" t="str">
        <f t="array" ref="D293">IF($C293="","",INDEX(SchedZone,$C293,MAP!$B$6))</f>
        <v>2026_10_LA_ARI</v>
      </c>
      <c r="E293" s="2">
        <f t="array" ref="E293">IF($C293="","",INDEX(SchedZone,$C293,MAP!$B$3))</f>
        <v>2026</v>
      </c>
      <c r="F293" s="2" t="str">
        <f t="array" ref="F293">IF($C293="","",INDEX(SchedZone,$C293,MAP!$B$5))</f>
        <v>REG</v>
      </c>
      <c r="G293" s="2">
        <f t="array" ref="G293">IF($C293="","",INDEX(SchedZone,$C293,MAP!$B$4))</f>
        <v>10</v>
      </c>
      <c r="H293" s="2" t="str">
        <f t="array" ref="H293">IF($C293="","",INDEX(SchedZone,$C293,MAP!$B$12))</f>
        <v>ARI</v>
      </c>
      <c r="I293" s="2" t="str">
        <f t="array" ref="I293">IF($H293="","",IF(COUNTIF(Teams,$H293)&gt;0,$H293,IFERROR(INDEX(LISTS!$D$2:$D$12,MATCH($H293,LISTS!$C$2:$C$12,0)),"⚠ "&amp;$H293)))</f>
        <v>ARI</v>
      </c>
      <c r="J293" s="2" t="str">
        <f t="array" ref="J293">IF($C293="","",INDEX(SchedZone,$C293,MAP!$B$10))</f>
        <v>LA</v>
      </c>
      <c r="K293" s="2" t="str">
        <f t="array" ref="K293">IF($J293="","",IF(COUNTIF(Teams,$J293)&gt;0,$J293,IFERROR(INDEX(LISTS!$D$2:$D$12,MATCH($J293,LISTS!$C$2:$C$12,0)),"⚠ "&amp;$J293)))</f>
        <v>LA</v>
      </c>
      <c r="L293" s="2" t="str">
        <f t="array" ref="L293">IF($C293="","",IF(INDEX(SchedZone,$C293,MAP!$B$14)="Neutral","N",IF($B293="HOME","H","A")))</f>
        <v>H</v>
      </c>
      <c r="M293" s="2" t="str">
        <f t="array" ref="M293">IF($C293="","",IF(INDEX(SchedZone,$C293,MAP!$B$13)="","",INDEX(SchedZone,$C293,MAP!$B$13)))</f>
        <v/>
      </c>
      <c r="N293" s="2" t="str">
        <f t="array" ref="N293">IF($C293="","",IF(INDEX(SchedZone,$C293,MAP!$B$11)="","",INDEX(SchedZone,$C293,MAP!$B$11)))</f>
        <v/>
      </c>
      <c r="O293" s="2">
        <f t="array" ref="O293">IF($C293="","",INDEX(SchedZone,$C293,MAP!$B$16))</f>
        <v>7</v>
      </c>
      <c r="P293" s="2" t="str">
        <f>IF($C293="","",IFERROR(MATCH($E293&amp;"|"&amp;$G293&amp;"|"&amp;$I293,StatsKey,0),""))</f>
        <v/>
      </c>
      <c r="Q293" s="2">
        <f t="array" ref="Q293">IF($P293="",0,INDEX(StatsZone,$P293,MAP!$E$9)+INDEX(StatsZone,$P293,MAP!$E$10)+INDEX(StatsZone,$P293,MAP!$E$11))</f>
        <v>0</v>
      </c>
      <c r="R293" s="2">
        <f t="array" ref="R293">IF($P293="",0,INDEX(StatsZone,$P293,MAP!$E$12))</f>
        <v>0</v>
      </c>
      <c r="S293" s="2">
        <f t="array" ref="S293">IF($P293="",0,INDEX(StatsZone,$P293,MAP!$E$13))</f>
        <v>0</v>
      </c>
      <c r="T293" s="2">
        <f t="shared" si="1"/>
        <v>0</v>
      </c>
      <c r="U293" s="2">
        <f t="array" ref="U293">IF($P293="",0,INDEX(StatsZone,$P293,MAP!$E$14)+INDEX(StatsZone,$P293,MAP!$E$15)+INDEX(StatsZone,$P293,MAP!$E$16))</f>
        <v>0</v>
      </c>
      <c r="V293" s="2">
        <f t="shared" si="2"/>
        <v>0</v>
      </c>
      <c r="W293" s="2">
        <f t="shared" si="3"/>
        <v>0</v>
      </c>
      <c r="X293" s="2">
        <f t="shared" si="4"/>
        <v>0</v>
      </c>
      <c r="Y293" s="2">
        <f t="shared" si="5"/>
        <v>0</v>
      </c>
      <c r="Z293" s="2">
        <f t="shared" si="6"/>
        <v>0</v>
      </c>
      <c r="AA293" s="2">
        <f t="shared" si="7"/>
        <v>1</v>
      </c>
      <c r="AB293" s="2">
        <f>IF(OR($M293="",$N293=""),0,MEDIAN(-MarginCap,MarginCap,($M293-$N293)-$AA293*HFA_Base))</f>
        <v>0</v>
      </c>
      <c r="AC293" s="2">
        <f t="array" ref="AC293">IF(OR($P293="",INDEX($P$3:$P$722,(ROW()+IF(MOD(ROW()-3,2)=0,1,-1))-3+1)=""),0,MEDIAN(-MarginCap,MarginCap,($T293-$W293)-$AA293*HFA_Base))</f>
        <v>0</v>
      </c>
      <c r="AD293" s="2">
        <f t="shared" si="8"/>
        <v>0</v>
      </c>
      <c r="AE293" s="2">
        <f>IF(OR($M293="",$N293=""),0,IF(AND(WEpa&gt;0,$AD293=1),(1-WEpa)*$AB293+WEpa*$AC293,$AB293))</f>
        <v>0</v>
      </c>
      <c r="AF293" s="2">
        <f>IF(AND($C293&lt;&gt;"",$E293=CurrentSeason,$F293="REG",ISNUMBER($G293),$G293&lt;CurrentWeek,AND($M293&lt;&gt;"",$N293&lt;&gt;"")),1,0)</f>
        <v>0</v>
      </c>
      <c r="AG293" s="2">
        <f>IF($AF293=0,0,IF($G293&gt;=CurrentWeek-RecencyWin,RecencyMult,1))</f>
        <v>0</v>
      </c>
      <c r="AH293" s="2">
        <f>IF(AND($C293&lt;&gt;"",$E293=CurrentSeason,$F293="REG",ISNUMBER($G293),$G293&lt;CurrentWeek-1,AND($M293&lt;&gt;"",$N293&lt;&gt;"")),1,0)</f>
        <v>0</v>
      </c>
      <c r="AI293" s="2">
        <f>IF($AH293=0,0,IF($G293&gt;=CurrentWeek-1-RecencyWin,RecencyMult,1))</f>
        <v>0</v>
      </c>
      <c r="AJ293" s="2">
        <f>IF($AF293=0,0,IF($G293&gt;=CurrentWeek-RecencyWin,TotRecency,1))</f>
        <v>0</v>
      </c>
      <c r="AK293" s="2">
        <f t="shared" si="9"/>
        <v>0</v>
      </c>
      <c r="AL293" s="2">
        <f t="shared" si="10"/>
        <v>0</v>
      </c>
      <c r="AM293" s="2" t="str">
        <f t="array" ref="AM293">IF($K293="",0,IFERROR(INDEX(CALC!$F$2:$F$33,MATCH($K293,CALC!$A$2:$A$33,0)),0))</f>
        <v/>
      </c>
      <c r="AN293" s="2" t="str">
        <f t="array" ref="AN293">IF($K293="",0,IFERROR(INDEX(CALC!$I$2:$I$33,MATCH($K293,CALC!$A$2:$A$33,0)),0))</f>
        <v/>
      </c>
      <c r="AO293" s="2" t="str">
        <f t="array" ref="AO293">IF($K293="",0,IFERROR(INDEX(CALC!$L$2:$L$33,MATCH($K293,CALC!$A$2:$A$33,0)),0))</f>
        <v/>
      </c>
      <c r="AP293" s="2" t="str">
        <f t="array" ref="AP293">IF($K293="",0,IFERROR(INDEX(CALC!$T$2:$T$33,MATCH($K293,CALC!$A$2:$A$33,0)),0))</f>
        <v/>
      </c>
      <c r="AQ293" s="2" t="str">
        <f t="array" ref="AQ293">IF($K293="",0,IFERROR(INDEX(CALC!$W$2:$W$33,MATCH($K293,CALC!$A$2:$A$33,0)),0))</f>
        <v/>
      </c>
      <c r="AR293" s="2" t="str">
        <f t="array" ref="AR293">IF($K293="",0,IFERROR(INDEX(CALC!$Z$2:$Z$33,MATCH($K293,CALC!$A$2:$A$33,0)),0))</f>
        <v/>
      </c>
      <c r="AS293" s="2" t="str">
        <f t="array" ref="AS293">IF($K293="",0,IFERROR(INDEX(CALC!$AJ$2:$AJ$33,MATCH($K293,CALC!$A$2:$A$33,0)),0))</f>
        <v/>
      </c>
      <c r="AT293" s="2" t="str">
        <f t="array" ref="AT293">IF($K293="",0,IFERROR(INDEX(CALC!$AI$2:$AI$33,MATCH($K293,CALC!$A$2:$A$33,0)),0))</f>
        <v/>
      </c>
      <c r="AU293" s="2">
        <f t="shared" si="11"/>
        <v>0</v>
      </c>
      <c r="AV293" s="2">
        <f t="shared" si="12"/>
        <v>0</v>
      </c>
    </row>
    <row r="294" ht="15.0" customHeight="1">
      <c r="A294" s="2">
        <v>146.0</v>
      </c>
      <c r="B294" s="2" t="s">
        <v>2366</v>
      </c>
      <c r="C294" s="2">
        <f>IFERROR(MATCH($A294,SchedSeq,0),"")</f>
        <v>431</v>
      </c>
      <c r="D294" s="2" t="str">
        <f t="array" ref="D294">IF($C294="","",INDEX(SchedZone,$C294,MAP!$B$6))</f>
        <v>2026_10_LA_ARI</v>
      </c>
      <c r="E294" s="2">
        <f t="array" ref="E294">IF($C294="","",INDEX(SchedZone,$C294,MAP!$B$3))</f>
        <v>2026</v>
      </c>
      <c r="F294" s="2" t="str">
        <f t="array" ref="F294">IF($C294="","",INDEX(SchedZone,$C294,MAP!$B$5))</f>
        <v>REG</v>
      </c>
      <c r="G294" s="2">
        <f t="array" ref="G294">IF($C294="","",INDEX(SchedZone,$C294,MAP!$B$4))</f>
        <v>10</v>
      </c>
      <c r="H294" s="2" t="str">
        <f t="array" ref="H294">IF($C294="","",INDEX(SchedZone,$C294,MAP!$B$10))</f>
        <v>LA</v>
      </c>
      <c r="I294" s="2" t="str">
        <f t="array" ref="I294">IF($H294="","",IF(COUNTIF(Teams,$H294)&gt;0,$H294,IFERROR(INDEX(LISTS!$D$2:$D$12,MATCH($H294,LISTS!$C$2:$C$12,0)),"⚠ "&amp;$H294)))</f>
        <v>LA</v>
      </c>
      <c r="J294" s="2" t="str">
        <f t="array" ref="J294">IF($C294="","",INDEX(SchedZone,$C294,MAP!$B$12))</f>
        <v>ARI</v>
      </c>
      <c r="K294" s="2" t="str">
        <f t="array" ref="K294">IF($J294="","",IF(COUNTIF(Teams,$J294)&gt;0,$J294,IFERROR(INDEX(LISTS!$D$2:$D$12,MATCH($J294,LISTS!$C$2:$C$12,0)),"⚠ "&amp;$J294)))</f>
        <v>ARI</v>
      </c>
      <c r="L294" s="2" t="str">
        <f t="array" ref="L294">IF($C294="","",IF(INDEX(SchedZone,$C294,MAP!$B$14)="Neutral","N",IF($B294="HOME","H","A")))</f>
        <v>A</v>
      </c>
      <c r="M294" s="2" t="str">
        <f t="array" ref="M294">IF($C294="","",IF(INDEX(SchedZone,$C294,MAP!$B$11)="","",INDEX(SchedZone,$C294,MAP!$B$11)))</f>
        <v/>
      </c>
      <c r="N294" s="2" t="str">
        <f t="array" ref="N294">IF($C294="","",IF(INDEX(SchedZone,$C294,MAP!$B$13)="","",INDEX(SchedZone,$C294,MAP!$B$13)))</f>
        <v/>
      </c>
      <c r="O294" s="2">
        <f t="array" ref="O294">IF($C294="","",INDEX(SchedZone,$C294,MAP!$B$15))</f>
        <v>7</v>
      </c>
      <c r="P294" s="2" t="str">
        <f>IF($C294="","",IFERROR(MATCH($E294&amp;"|"&amp;$G294&amp;"|"&amp;$I294,StatsKey,0),""))</f>
        <v/>
      </c>
      <c r="Q294" s="2">
        <f t="array" ref="Q294">IF($P294="",0,INDEX(StatsZone,$P294,MAP!$E$9)+INDEX(StatsZone,$P294,MAP!$E$10)+INDEX(StatsZone,$P294,MAP!$E$11))</f>
        <v>0</v>
      </c>
      <c r="R294" s="2">
        <f t="array" ref="R294">IF($P294="",0,INDEX(StatsZone,$P294,MAP!$E$12))</f>
        <v>0</v>
      </c>
      <c r="S294" s="2">
        <f t="array" ref="S294">IF($P294="",0,INDEX(StatsZone,$P294,MAP!$E$13))</f>
        <v>0</v>
      </c>
      <c r="T294" s="2">
        <f t="shared" si="1"/>
        <v>0</v>
      </c>
      <c r="U294" s="2">
        <f t="array" ref="U294">IF($P294="",0,INDEX(StatsZone,$P294,MAP!$E$14)+INDEX(StatsZone,$P294,MAP!$E$15)+INDEX(StatsZone,$P294,MAP!$E$16))</f>
        <v>0</v>
      </c>
      <c r="V294" s="2">
        <f t="shared" si="2"/>
        <v>0</v>
      </c>
      <c r="W294" s="2">
        <f t="shared" si="3"/>
        <v>0</v>
      </c>
      <c r="X294" s="2">
        <f t="shared" si="4"/>
        <v>0</v>
      </c>
      <c r="Y294" s="2">
        <f t="shared" si="5"/>
        <v>0</v>
      </c>
      <c r="Z294" s="2">
        <f t="shared" si="6"/>
        <v>0</v>
      </c>
      <c r="AA294" s="2">
        <f t="shared" si="7"/>
        <v>-1</v>
      </c>
      <c r="AB294" s="2">
        <f>IF(OR($M294="",$N294=""),0,MEDIAN(-MarginCap,MarginCap,($M294-$N294)-$AA294*HFA_Base))</f>
        <v>0</v>
      </c>
      <c r="AC294" s="2">
        <f t="array" ref="AC294">IF(OR($P294="",INDEX($P$3:$P$722,(ROW()+IF(MOD(ROW()-3,2)=0,1,-1))-3+1)=""),0,MEDIAN(-MarginCap,MarginCap,($T294-$W294)-$AA294*HFA_Base))</f>
        <v>0</v>
      </c>
      <c r="AD294" s="2">
        <f t="shared" si="8"/>
        <v>0</v>
      </c>
      <c r="AE294" s="2">
        <f>IF(OR($M294="",$N294=""),0,IF(AND(WEpa&gt;0,$AD294=1),(1-WEpa)*$AB294+WEpa*$AC294,$AB294))</f>
        <v>0</v>
      </c>
      <c r="AF294" s="2">
        <f>IF(AND($C294&lt;&gt;"",$E294=CurrentSeason,$F294="REG",ISNUMBER($G294),$G294&lt;CurrentWeek,AND($M294&lt;&gt;"",$N294&lt;&gt;"")),1,0)</f>
        <v>0</v>
      </c>
      <c r="AG294" s="2">
        <f>IF($AF294=0,0,IF($G294&gt;=CurrentWeek-RecencyWin,RecencyMult,1))</f>
        <v>0</v>
      </c>
      <c r="AH294" s="2">
        <f>IF(AND($C294&lt;&gt;"",$E294=CurrentSeason,$F294="REG",ISNUMBER($G294),$G294&lt;CurrentWeek-1,AND($M294&lt;&gt;"",$N294&lt;&gt;"")),1,0)</f>
        <v>0</v>
      </c>
      <c r="AI294" s="2">
        <f>IF($AH294=0,0,IF($G294&gt;=CurrentWeek-1-RecencyWin,RecencyMult,1))</f>
        <v>0</v>
      </c>
      <c r="AJ294" s="2">
        <f>IF($AF294=0,0,IF($G294&gt;=CurrentWeek-RecencyWin,TotRecency,1))</f>
        <v>0</v>
      </c>
      <c r="AK294" s="2">
        <f t="shared" si="9"/>
        <v>0</v>
      </c>
      <c r="AL294" s="2">
        <f t="shared" si="10"/>
        <v>0</v>
      </c>
      <c r="AM294" s="2" t="str">
        <f t="array" ref="AM294">IF($K294="",0,IFERROR(INDEX(CALC!$F$2:$F$33,MATCH($K294,CALC!$A$2:$A$33,0)),0))</f>
        <v/>
      </c>
      <c r="AN294" s="2" t="str">
        <f t="array" ref="AN294">IF($K294="",0,IFERROR(INDEX(CALC!$I$2:$I$33,MATCH($K294,CALC!$A$2:$A$33,0)),0))</f>
        <v/>
      </c>
      <c r="AO294" s="2" t="str">
        <f t="array" ref="AO294">IF($K294="",0,IFERROR(INDEX(CALC!$L$2:$L$33,MATCH($K294,CALC!$A$2:$A$33,0)),0))</f>
        <v/>
      </c>
      <c r="AP294" s="2" t="str">
        <f t="array" ref="AP294">IF($K294="",0,IFERROR(INDEX(CALC!$T$2:$T$33,MATCH($K294,CALC!$A$2:$A$33,0)),0))</f>
        <v/>
      </c>
      <c r="AQ294" s="2" t="str">
        <f t="array" ref="AQ294">IF($K294="",0,IFERROR(INDEX(CALC!$W$2:$W$33,MATCH($K294,CALC!$A$2:$A$33,0)),0))</f>
        <v/>
      </c>
      <c r="AR294" s="2" t="str">
        <f t="array" ref="AR294">IF($K294="",0,IFERROR(INDEX(CALC!$Z$2:$Z$33,MATCH($K294,CALC!$A$2:$A$33,0)),0))</f>
        <v/>
      </c>
      <c r="AS294" s="2" t="str">
        <f t="array" ref="AS294">IF($K294="",0,IFERROR(INDEX(CALC!$AJ$2:$AJ$33,MATCH($K294,CALC!$A$2:$A$33,0)),0))</f>
        <v/>
      </c>
      <c r="AT294" s="2" t="str">
        <f t="array" ref="AT294">IF($K294="",0,IFERROR(INDEX(CALC!$AI$2:$AI$33,MATCH($K294,CALC!$A$2:$A$33,0)),0))</f>
        <v/>
      </c>
      <c r="AU294" s="2">
        <f t="shared" si="11"/>
        <v>0</v>
      </c>
      <c r="AV294" s="2">
        <f t="shared" si="12"/>
        <v>0</v>
      </c>
    </row>
    <row r="295" ht="15.0" customHeight="1">
      <c r="A295" s="2">
        <v>147.0</v>
      </c>
      <c r="B295" s="2" t="s">
        <v>2365</v>
      </c>
      <c r="C295" s="2">
        <f>IFERROR(MATCH($A295,SchedSeq,0),"")</f>
        <v>432</v>
      </c>
      <c r="D295" s="2" t="str">
        <f t="array" ref="D295">IF($C295="","",INDEX(SchedZone,$C295,MAP!$B$6))</f>
        <v>2026_10_SEA_LV</v>
      </c>
      <c r="E295" s="2">
        <f t="array" ref="E295">IF($C295="","",INDEX(SchedZone,$C295,MAP!$B$3))</f>
        <v>2026</v>
      </c>
      <c r="F295" s="2" t="str">
        <f t="array" ref="F295">IF($C295="","",INDEX(SchedZone,$C295,MAP!$B$5))</f>
        <v>REG</v>
      </c>
      <c r="G295" s="2">
        <f t="array" ref="G295">IF($C295="","",INDEX(SchedZone,$C295,MAP!$B$4))</f>
        <v>10</v>
      </c>
      <c r="H295" s="2" t="str">
        <f t="array" ref="H295">IF($C295="","",INDEX(SchedZone,$C295,MAP!$B$12))</f>
        <v>LV</v>
      </c>
      <c r="I295" s="2" t="str">
        <f t="array" ref="I295">IF($H295="","",IF(COUNTIF(Teams,$H295)&gt;0,$H295,IFERROR(INDEX(LISTS!$D$2:$D$12,MATCH($H295,LISTS!$C$2:$C$12,0)),"⚠ "&amp;$H295)))</f>
        <v>LV</v>
      </c>
      <c r="J295" s="2" t="str">
        <f t="array" ref="J295">IF($C295="","",INDEX(SchedZone,$C295,MAP!$B$10))</f>
        <v>SEA</v>
      </c>
      <c r="K295" s="2" t="str">
        <f t="array" ref="K295">IF($J295="","",IF(COUNTIF(Teams,$J295)&gt;0,$J295,IFERROR(INDEX(LISTS!$D$2:$D$12,MATCH($J295,LISTS!$C$2:$C$12,0)),"⚠ "&amp;$J295)))</f>
        <v>SEA</v>
      </c>
      <c r="L295" s="2" t="str">
        <f t="array" ref="L295">IF($C295="","",IF(INDEX(SchedZone,$C295,MAP!$B$14)="Neutral","N",IF($B295="HOME","H","A")))</f>
        <v>H</v>
      </c>
      <c r="M295" s="2" t="str">
        <f t="array" ref="M295">IF($C295="","",IF(INDEX(SchedZone,$C295,MAP!$B$13)="","",INDEX(SchedZone,$C295,MAP!$B$13)))</f>
        <v/>
      </c>
      <c r="N295" s="2" t="str">
        <f t="array" ref="N295">IF($C295="","",IF(INDEX(SchedZone,$C295,MAP!$B$11)="","",INDEX(SchedZone,$C295,MAP!$B$11)))</f>
        <v/>
      </c>
      <c r="O295" s="2">
        <f t="array" ref="O295">IF($C295="","",INDEX(SchedZone,$C295,MAP!$B$16))</f>
        <v>7</v>
      </c>
      <c r="P295" s="2" t="str">
        <f>IF($C295="","",IFERROR(MATCH($E295&amp;"|"&amp;$G295&amp;"|"&amp;$I295,StatsKey,0),""))</f>
        <v/>
      </c>
      <c r="Q295" s="2">
        <f t="array" ref="Q295">IF($P295="",0,INDEX(StatsZone,$P295,MAP!$E$9)+INDEX(StatsZone,$P295,MAP!$E$10)+INDEX(StatsZone,$P295,MAP!$E$11))</f>
        <v>0</v>
      </c>
      <c r="R295" s="2">
        <f t="array" ref="R295">IF($P295="",0,INDEX(StatsZone,$P295,MAP!$E$12))</f>
        <v>0</v>
      </c>
      <c r="S295" s="2">
        <f t="array" ref="S295">IF($P295="",0,INDEX(StatsZone,$P295,MAP!$E$13))</f>
        <v>0</v>
      </c>
      <c r="T295" s="2">
        <f t="shared" si="1"/>
        <v>0</v>
      </c>
      <c r="U295" s="2">
        <f t="array" ref="U295">IF($P295="",0,INDEX(StatsZone,$P295,MAP!$E$14)+INDEX(StatsZone,$P295,MAP!$E$15)+INDEX(StatsZone,$P295,MAP!$E$16))</f>
        <v>0</v>
      </c>
      <c r="V295" s="2">
        <f t="shared" si="2"/>
        <v>0</v>
      </c>
      <c r="W295" s="2">
        <f t="shared" si="3"/>
        <v>0</v>
      </c>
      <c r="X295" s="2">
        <f t="shared" si="4"/>
        <v>0</v>
      </c>
      <c r="Y295" s="2">
        <f t="shared" si="5"/>
        <v>0</v>
      </c>
      <c r="Z295" s="2">
        <f t="shared" si="6"/>
        <v>0</v>
      </c>
      <c r="AA295" s="2">
        <f t="shared" si="7"/>
        <v>1</v>
      </c>
      <c r="AB295" s="2">
        <f>IF(OR($M295="",$N295=""),0,MEDIAN(-MarginCap,MarginCap,($M295-$N295)-$AA295*HFA_Base))</f>
        <v>0</v>
      </c>
      <c r="AC295" s="2">
        <f t="array" ref="AC295">IF(OR($P295="",INDEX($P$3:$P$722,(ROW()+IF(MOD(ROW()-3,2)=0,1,-1))-3+1)=""),0,MEDIAN(-MarginCap,MarginCap,($T295-$W295)-$AA295*HFA_Base))</f>
        <v>0</v>
      </c>
      <c r="AD295" s="2">
        <f t="shared" si="8"/>
        <v>0</v>
      </c>
      <c r="AE295" s="2">
        <f>IF(OR($M295="",$N295=""),0,IF(AND(WEpa&gt;0,$AD295=1),(1-WEpa)*$AB295+WEpa*$AC295,$AB295))</f>
        <v>0</v>
      </c>
      <c r="AF295" s="2">
        <f>IF(AND($C295&lt;&gt;"",$E295=CurrentSeason,$F295="REG",ISNUMBER($G295),$G295&lt;CurrentWeek,AND($M295&lt;&gt;"",$N295&lt;&gt;"")),1,0)</f>
        <v>0</v>
      </c>
      <c r="AG295" s="2">
        <f>IF($AF295=0,0,IF($G295&gt;=CurrentWeek-RecencyWin,RecencyMult,1))</f>
        <v>0</v>
      </c>
      <c r="AH295" s="2">
        <f>IF(AND($C295&lt;&gt;"",$E295=CurrentSeason,$F295="REG",ISNUMBER($G295),$G295&lt;CurrentWeek-1,AND($M295&lt;&gt;"",$N295&lt;&gt;"")),1,0)</f>
        <v>0</v>
      </c>
      <c r="AI295" s="2">
        <f>IF($AH295=0,0,IF($G295&gt;=CurrentWeek-1-RecencyWin,RecencyMult,1))</f>
        <v>0</v>
      </c>
      <c r="AJ295" s="2">
        <f>IF($AF295=0,0,IF($G295&gt;=CurrentWeek-RecencyWin,TotRecency,1))</f>
        <v>0</v>
      </c>
      <c r="AK295" s="2">
        <f t="shared" si="9"/>
        <v>0</v>
      </c>
      <c r="AL295" s="2">
        <f t="shared" si="10"/>
        <v>0</v>
      </c>
      <c r="AM295" s="2" t="str">
        <f t="array" ref="AM295">IF($K295="",0,IFERROR(INDEX(CALC!$F$2:$F$33,MATCH($K295,CALC!$A$2:$A$33,0)),0))</f>
        <v/>
      </c>
      <c r="AN295" s="2" t="str">
        <f t="array" ref="AN295">IF($K295="",0,IFERROR(INDEX(CALC!$I$2:$I$33,MATCH($K295,CALC!$A$2:$A$33,0)),0))</f>
        <v/>
      </c>
      <c r="AO295" s="2" t="str">
        <f t="array" ref="AO295">IF($K295="",0,IFERROR(INDEX(CALC!$L$2:$L$33,MATCH($K295,CALC!$A$2:$A$33,0)),0))</f>
        <v/>
      </c>
      <c r="AP295" s="2" t="str">
        <f t="array" ref="AP295">IF($K295="",0,IFERROR(INDEX(CALC!$T$2:$T$33,MATCH($K295,CALC!$A$2:$A$33,0)),0))</f>
        <v/>
      </c>
      <c r="AQ295" s="2" t="str">
        <f t="array" ref="AQ295">IF($K295="",0,IFERROR(INDEX(CALC!$W$2:$W$33,MATCH($K295,CALC!$A$2:$A$33,0)),0))</f>
        <v/>
      </c>
      <c r="AR295" s="2" t="str">
        <f t="array" ref="AR295">IF($K295="",0,IFERROR(INDEX(CALC!$Z$2:$Z$33,MATCH($K295,CALC!$A$2:$A$33,0)),0))</f>
        <v/>
      </c>
      <c r="AS295" s="2" t="str">
        <f t="array" ref="AS295">IF($K295="",0,IFERROR(INDEX(CALC!$AJ$2:$AJ$33,MATCH($K295,CALC!$A$2:$A$33,0)),0))</f>
        <v/>
      </c>
      <c r="AT295" s="2" t="str">
        <f t="array" ref="AT295">IF($K295="",0,IFERROR(INDEX(CALC!$AI$2:$AI$33,MATCH($K295,CALC!$A$2:$A$33,0)),0))</f>
        <v/>
      </c>
      <c r="AU295" s="2">
        <f t="shared" si="11"/>
        <v>0</v>
      </c>
      <c r="AV295" s="2">
        <f t="shared" si="12"/>
        <v>0</v>
      </c>
    </row>
    <row r="296" ht="15.0" customHeight="1">
      <c r="A296" s="2">
        <v>147.0</v>
      </c>
      <c r="B296" s="2" t="s">
        <v>2366</v>
      </c>
      <c r="C296" s="2">
        <f>IFERROR(MATCH($A296,SchedSeq,0),"")</f>
        <v>432</v>
      </c>
      <c r="D296" s="2" t="str">
        <f t="array" ref="D296">IF($C296="","",INDEX(SchedZone,$C296,MAP!$B$6))</f>
        <v>2026_10_SEA_LV</v>
      </c>
      <c r="E296" s="2">
        <f t="array" ref="E296">IF($C296="","",INDEX(SchedZone,$C296,MAP!$B$3))</f>
        <v>2026</v>
      </c>
      <c r="F296" s="2" t="str">
        <f t="array" ref="F296">IF($C296="","",INDEX(SchedZone,$C296,MAP!$B$5))</f>
        <v>REG</v>
      </c>
      <c r="G296" s="2">
        <f t="array" ref="G296">IF($C296="","",INDEX(SchedZone,$C296,MAP!$B$4))</f>
        <v>10</v>
      </c>
      <c r="H296" s="2" t="str">
        <f t="array" ref="H296">IF($C296="","",INDEX(SchedZone,$C296,MAP!$B$10))</f>
        <v>SEA</v>
      </c>
      <c r="I296" s="2" t="str">
        <f t="array" ref="I296">IF($H296="","",IF(COUNTIF(Teams,$H296)&gt;0,$H296,IFERROR(INDEX(LISTS!$D$2:$D$12,MATCH($H296,LISTS!$C$2:$C$12,0)),"⚠ "&amp;$H296)))</f>
        <v>SEA</v>
      </c>
      <c r="J296" s="2" t="str">
        <f t="array" ref="J296">IF($C296="","",INDEX(SchedZone,$C296,MAP!$B$12))</f>
        <v>LV</v>
      </c>
      <c r="K296" s="2" t="str">
        <f t="array" ref="K296">IF($J296="","",IF(COUNTIF(Teams,$J296)&gt;0,$J296,IFERROR(INDEX(LISTS!$D$2:$D$12,MATCH($J296,LISTS!$C$2:$C$12,0)),"⚠ "&amp;$J296)))</f>
        <v>LV</v>
      </c>
      <c r="L296" s="2" t="str">
        <f t="array" ref="L296">IF($C296="","",IF(INDEX(SchedZone,$C296,MAP!$B$14)="Neutral","N",IF($B296="HOME","H","A")))</f>
        <v>A</v>
      </c>
      <c r="M296" s="2" t="str">
        <f t="array" ref="M296">IF($C296="","",IF(INDEX(SchedZone,$C296,MAP!$B$11)="","",INDEX(SchedZone,$C296,MAP!$B$11)))</f>
        <v/>
      </c>
      <c r="N296" s="2" t="str">
        <f t="array" ref="N296">IF($C296="","",IF(INDEX(SchedZone,$C296,MAP!$B$13)="","",INDEX(SchedZone,$C296,MAP!$B$13)))</f>
        <v/>
      </c>
      <c r="O296" s="2">
        <f t="array" ref="O296">IF($C296="","",INDEX(SchedZone,$C296,MAP!$B$15))</f>
        <v>7</v>
      </c>
      <c r="P296" s="2" t="str">
        <f>IF($C296="","",IFERROR(MATCH($E296&amp;"|"&amp;$G296&amp;"|"&amp;$I296,StatsKey,0),""))</f>
        <v/>
      </c>
      <c r="Q296" s="2">
        <f t="array" ref="Q296">IF($P296="",0,INDEX(StatsZone,$P296,MAP!$E$9)+INDEX(StatsZone,$P296,MAP!$E$10)+INDEX(StatsZone,$P296,MAP!$E$11))</f>
        <v>0</v>
      </c>
      <c r="R296" s="2">
        <f t="array" ref="R296">IF($P296="",0,INDEX(StatsZone,$P296,MAP!$E$12))</f>
        <v>0</v>
      </c>
      <c r="S296" s="2">
        <f t="array" ref="S296">IF($P296="",0,INDEX(StatsZone,$P296,MAP!$E$13))</f>
        <v>0</v>
      </c>
      <c r="T296" s="2">
        <f t="shared" si="1"/>
        <v>0</v>
      </c>
      <c r="U296" s="2">
        <f t="array" ref="U296">IF($P296="",0,INDEX(StatsZone,$P296,MAP!$E$14)+INDEX(StatsZone,$P296,MAP!$E$15)+INDEX(StatsZone,$P296,MAP!$E$16))</f>
        <v>0</v>
      </c>
      <c r="V296" s="2">
        <f t="shared" si="2"/>
        <v>0</v>
      </c>
      <c r="W296" s="2">
        <f t="shared" si="3"/>
        <v>0</v>
      </c>
      <c r="X296" s="2">
        <f t="shared" si="4"/>
        <v>0</v>
      </c>
      <c r="Y296" s="2">
        <f t="shared" si="5"/>
        <v>0</v>
      </c>
      <c r="Z296" s="2">
        <f t="shared" si="6"/>
        <v>0</v>
      </c>
      <c r="AA296" s="2">
        <f t="shared" si="7"/>
        <v>-1</v>
      </c>
      <c r="AB296" s="2">
        <f>IF(OR($M296="",$N296=""),0,MEDIAN(-MarginCap,MarginCap,($M296-$N296)-$AA296*HFA_Base))</f>
        <v>0</v>
      </c>
      <c r="AC296" s="2">
        <f t="array" ref="AC296">IF(OR($P296="",INDEX($P$3:$P$722,(ROW()+IF(MOD(ROW()-3,2)=0,1,-1))-3+1)=""),0,MEDIAN(-MarginCap,MarginCap,($T296-$W296)-$AA296*HFA_Base))</f>
        <v>0</v>
      </c>
      <c r="AD296" s="2">
        <f t="shared" si="8"/>
        <v>0</v>
      </c>
      <c r="AE296" s="2">
        <f>IF(OR($M296="",$N296=""),0,IF(AND(WEpa&gt;0,$AD296=1),(1-WEpa)*$AB296+WEpa*$AC296,$AB296))</f>
        <v>0</v>
      </c>
      <c r="AF296" s="2">
        <f>IF(AND($C296&lt;&gt;"",$E296=CurrentSeason,$F296="REG",ISNUMBER($G296),$G296&lt;CurrentWeek,AND($M296&lt;&gt;"",$N296&lt;&gt;"")),1,0)</f>
        <v>0</v>
      </c>
      <c r="AG296" s="2">
        <f>IF($AF296=0,0,IF($G296&gt;=CurrentWeek-RecencyWin,RecencyMult,1))</f>
        <v>0</v>
      </c>
      <c r="AH296" s="2">
        <f>IF(AND($C296&lt;&gt;"",$E296=CurrentSeason,$F296="REG",ISNUMBER($G296),$G296&lt;CurrentWeek-1,AND($M296&lt;&gt;"",$N296&lt;&gt;"")),1,0)</f>
        <v>0</v>
      </c>
      <c r="AI296" s="2">
        <f>IF($AH296=0,0,IF($G296&gt;=CurrentWeek-1-RecencyWin,RecencyMult,1))</f>
        <v>0</v>
      </c>
      <c r="AJ296" s="2">
        <f>IF($AF296=0,0,IF($G296&gt;=CurrentWeek-RecencyWin,TotRecency,1))</f>
        <v>0</v>
      </c>
      <c r="AK296" s="2">
        <f t="shared" si="9"/>
        <v>0</v>
      </c>
      <c r="AL296" s="2">
        <f t="shared" si="10"/>
        <v>0</v>
      </c>
      <c r="AM296" s="2" t="str">
        <f t="array" ref="AM296">IF($K296="",0,IFERROR(INDEX(CALC!$F$2:$F$33,MATCH($K296,CALC!$A$2:$A$33,0)),0))</f>
        <v/>
      </c>
      <c r="AN296" s="2" t="str">
        <f t="array" ref="AN296">IF($K296="",0,IFERROR(INDEX(CALC!$I$2:$I$33,MATCH($K296,CALC!$A$2:$A$33,0)),0))</f>
        <v/>
      </c>
      <c r="AO296" s="2" t="str">
        <f t="array" ref="AO296">IF($K296="",0,IFERROR(INDEX(CALC!$L$2:$L$33,MATCH($K296,CALC!$A$2:$A$33,0)),0))</f>
        <v/>
      </c>
      <c r="AP296" s="2" t="str">
        <f t="array" ref="AP296">IF($K296="",0,IFERROR(INDEX(CALC!$T$2:$T$33,MATCH($K296,CALC!$A$2:$A$33,0)),0))</f>
        <v/>
      </c>
      <c r="AQ296" s="2" t="str">
        <f t="array" ref="AQ296">IF($K296="",0,IFERROR(INDEX(CALC!$W$2:$W$33,MATCH($K296,CALC!$A$2:$A$33,0)),0))</f>
        <v/>
      </c>
      <c r="AR296" s="2" t="str">
        <f t="array" ref="AR296">IF($K296="",0,IFERROR(INDEX(CALC!$Z$2:$Z$33,MATCH($K296,CALC!$A$2:$A$33,0)),0))</f>
        <v/>
      </c>
      <c r="AS296" s="2" t="str">
        <f t="array" ref="AS296">IF($K296="",0,IFERROR(INDEX(CALC!$AJ$2:$AJ$33,MATCH($K296,CALC!$A$2:$A$33,0)),0))</f>
        <v/>
      </c>
      <c r="AT296" s="2" t="str">
        <f t="array" ref="AT296">IF($K296="",0,IFERROR(INDEX(CALC!$AI$2:$AI$33,MATCH($K296,CALC!$A$2:$A$33,0)),0))</f>
        <v/>
      </c>
      <c r="AU296" s="2">
        <f t="shared" si="11"/>
        <v>0</v>
      </c>
      <c r="AV296" s="2">
        <f t="shared" si="12"/>
        <v>0</v>
      </c>
    </row>
    <row r="297" ht="15.0" customHeight="1">
      <c r="A297" s="2">
        <v>148.0</v>
      </c>
      <c r="B297" s="2" t="s">
        <v>2365</v>
      </c>
      <c r="C297" s="2">
        <f>IFERROR(MATCH($A297,SchedSeq,0),"")</f>
        <v>433</v>
      </c>
      <c r="D297" s="2" t="str">
        <f t="array" ref="D297">IF($C297="","",INDEX(SchedZone,$C297,MAP!$B$6))</f>
        <v>2026_10_SF_DAL</v>
      </c>
      <c r="E297" s="2">
        <f t="array" ref="E297">IF($C297="","",INDEX(SchedZone,$C297,MAP!$B$3))</f>
        <v>2026</v>
      </c>
      <c r="F297" s="2" t="str">
        <f t="array" ref="F297">IF($C297="","",INDEX(SchedZone,$C297,MAP!$B$5))</f>
        <v>REG</v>
      </c>
      <c r="G297" s="2">
        <f t="array" ref="G297">IF($C297="","",INDEX(SchedZone,$C297,MAP!$B$4))</f>
        <v>10</v>
      </c>
      <c r="H297" s="2" t="str">
        <f t="array" ref="H297">IF($C297="","",INDEX(SchedZone,$C297,MAP!$B$12))</f>
        <v>DAL</v>
      </c>
      <c r="I297" s="2" t="str">
        <f t="array" ref="I297">IF($H297="","",IF(COUNTIF(Teams,$H297)&gt;0,$H297,IFERROR(INDEX(LISTS!$D$2:$D$12,MATCH($H297,LISTS!$C$2:$C$12,0)),"⚠ "&amp;$H297)))</f>
        <v>DAL</v>
      </c>
      <c r="J297" s="2" t="str">
        <f t="array" ref="J297">IF($C297="","",INDEX(SchedZone,$C297,MAP!$B$10))</f>
        <v>SF</v>
      </c>
      <c r="K297" s="2" t="str">
        <f t="array" ref="K297">IF($J297="","",IF(COUNTIF(Teams,$J297)&gt;0,$J297,IFERROR(INDEX(LISTS!$D$2:$D$12,MATCH($J297,LISTS!$C$2:$C$12,0)),"⚠ "&amp;$J297)))</f>
        <v>SF</v>
      </c>
      <c r="L297" s="2" t="str">
        <f t="array" ref="L297">IF($C297="","",IF(INDEX(SchedZone,$C297,MAP!$B$14)="Neutral","N",IF($B297="HOME","H","A")))</f>
        <v>H</v>
      </c>
      <c r="M297" s="2" t="str">
        <f t="array" ref="M297">IF($C297="","",IF(INDEX(SchedZone,$C297,MAP!$B$13)="","",INDEX(SchedZone,$C297,MAP!$B$13)))</f>
        <v/>
      </c>
      <c r="N297" s="2" t="str">
        <f t="array" ref="N297">IF($C297="","",IF(INDEX(SchedZone,$C297,MAP!$B$11)="","",INDEX(SchedZone,$C297,MAP!$B$11)))</f>
        <v/>
      </c>
      <c r="O297" s="2">
        <f t="array" ref="O297">IF($C297="","",INDEX(SchedZone,$C297,MAP!$B$16))</f>
        <v>7</v>
      </c>
      <c r="P297" s="2" t="str">
        <f>IF($C297="","",IFERROR(MATCH($E297&amp;"|"&amp;$G297&amp;"|"&amp;$I297,StatsKey,0),""))</f>
        <v/>
      </c>
      <c r="Q297" s="2">
        <f t="array" ref="Q297">IF($P297="",0,INDEX(StatsZone,$P297,MAP!$E$9)+INDEX(StatsZone,$P297,MAP!$E$10)+INDEX(StatsZone,$P297,MAP!$E$11))</f>
        <v>0</v>
      </c>
      <c r="R297" s="2">
        <f t="array" ref="R297">IF($P297="",0,INDEX(StatsZone,$P297,MAP!$E$12))</f>
        <v>0</v>
      </c>
      <c r="S297" s="2">
        <f t="array" ref="S297">IF($P297="",0,INDEX(StatsZone,$P297,MAP!$E$13))</f>
        <v>0</v>
      </c>
      <c r="T297" s="2">
        <f t="shared" si="1"/>
        <v>0</v>
      </c>
      <c r="U297" s="2">
        <f t="array" ref="U297">IF($P297="",0,INDEX(StatsZone,$P297,MAP!$E$14)+INDEX(StatsZone,$P297,MAP!$E$15)+INDEX(StatsZone,$P297,MAP!$E$16))</f>
        <v>0</v>
      </c>
      <c r="V297" s="2">
        <f t="shared" si="2"/>
        <v>0</v>
      </c>
      <c r="W297" s="2">
        <f t="shared" si="3"/>
        <v>0</v>
      </c>
      <c r="X297" s="2">
        <f t="shared" si="4"/>
        <v>0</v>
      </c>
      <c r="Y297" s="2">
        <f t="shared" si="5"/>
        <v>0</v>
      </c>
      <c r="Z297" s="2">
        <f t="shared" si="6"/>
        <v>0</v>
      </c>
      <c r="AA297" s="2">
        <f t="shared" si="7"/>
        <v>1</v>
      </c>
      <c r="AB297" s="2">
        <f>IF(OR($M297="",$N297=""),0,MEDIAN(-MarginCap,MarginCap,($M297-$N297)-$AA297*HFA_Base))</f>
        <v>0</v>
      </c>
      <c r="AC297" s="2">
        <f t="array" ref="AC297">IF(OR($P297="",INDEX($P$3:$P$722,(ROW()+IF(MOD(ROW()-3,2)=0,1,-1))-3+1)=""),0,MEDIAN(-MarginCap,MarginCap,($T297-$W297)-$AA297*HFA_Base))</f>
        <v>0</v>
      </c>
      <c r="AD297" s="2">
        <f t="shared" si="8"/>
        <v>0</v>
      </c>
      <c r="AE297" s="2">
        <f>IF(OR($M297="",$N297=""),0,IF(AND(WEpa&gt;0,$AD297=1),(1-WEpa)*$AB297+WEpa*$AC297,$AB297))</f>
        <v>0</v>
      </c>
      <c r="AF297" s="2">
        <f>IF(AND($C297&lt;&gt;"",$E297=CurrentSeason,$F297="REG",ISNUMBER($G297),$G297&lt;CurrentWeek,AND($M297&lt;&gt;"",$N297&lt;&gt;"")),1,0)</f>
        <v>0</v>
      </c>
      <c r="AG297" s="2">
        <f>IF($AF297=0,0,IF($G297&gt;=CurrentWeek-RecencyWin,RecencyMult,1))</f>
        <v>0</v>
      </c>
      <c r="AH297" s="2">
        <f>IF(AND($C297&lt;&gt;"",$E297=CurrentSeason,$F297="REG",ISNUMBER($G297),$G297&lt;CurrentWeek-1,AND($M297&lt;&gt;"",$N297&lt;&gt;"")),1,0)</f>
        <v>0</v>
      </c>
      <c r="AI297" s="2">
        <f>IF($AH297=0,0,IF($G297&gt;=CurrentWeek-1-RecencyWin,RecencyMult,1))</f>
        <v>0</v>
      </c>
      <c r="AJ297" s="2">
        <f>IF($AF297=0,0,IF($G297&gt;=CurrentWeek-RecencyWin,TotRecency,1))</f>
        <v>0</v>
      </c>
      <c r="AK297" s="2">
        <f t="shared" si="9"/>
        <v>0</v>
      </c>
      <c r="AL297" s="2">
        <f t="shared" si="10"/>
        <v>0</v>
      </c>
      <c r="AM297" s="2" t="str">
        <f t="array" ref="AM297">IF($K297="",0,IFERROR(INDEX(CALC!$F$2:$F$33,MATCH($K297,CALC!$A$2:$A$33,0)),0))</f>
        <v/>
      </c>
      <c r="AN297" s="2" t="str">
        <f t="array" ref="AN297">IF($K297="",0,IFERROR(INDEX(CALC!$I$2:$I$33,MATCH($K297,CALC!$A$2:$A$33,0)),0))</f>
        <v/>
      </c>
      <c r="AO297" s="2" t="str">
        <f t="array" ref="AO297">IF($K297="",0,IFERROR(INDEX(CALC!$L$2:$L$33,MATCH($K297,CALC!$A$2:$A$33,0)),0))</f>
        <v/>
      </c>
      <c r="AP297" s="2" t="str">
        <f t="array" ref="AP297">IF($K297="",0,IFERROR(INDEX(CALC!$T$2:$T$33,MATCH($K297,CALC!$A$2:$A$33,0)),0))</f>
        <v/>
      </c>
      <c r="AQ297" s="2" t="str">
        <f t="array" ref="AQ297">IF($K297="",0,IFERROR(INDEX(CALC!$W$2:$W$33,MATCH($K297,CALC!$A$2:$A$33,0)),0))</f>
        <v/>
      </c>
      <c r="AR297" s="2" t="str">
        <f t="array" ref="AR297">IF($K297="",0,IFERROR(INDEX(CALC!$Z$2:$Z$33,MATCH($K297,CALC!$A$2:$A$33,0)),0))</f>
        <v/>
      </c>
      <c r="AS297" s="2" t="str">
        <f t="array" ref="AS297">IF($K297="",0,IFERROR(INDEX(CALC!$AJ$2:$AJ$33,MATCH($K297,CALC!$A$2:$A$33,0)),0))</f>
        <v/>
      </c>
      <c r="AT297" s="2" t="str">
        <f t="array" ref="AT297">IF($K297="",0,IFERROR(INDEX(CALC!$AI$2:$AI$33,MATCH($K297,CALC!$A$2:$A$33,0)),0))</f>
        <v/>
      </c>
      <c r="AU297" s="2">
        <f t="shared" si="11"/>
        <v>0</v>
      </c>
      <c r="AV297" s="2">
        <f t="shared" si="12"/>
        <v>0</v>
      </c>
    </row>
    <row r="298" ht="15.0" customHeight="1">
      <c r="A298" s="2">
        <v>148.0</v>
      </c>
      <c r="B298" s="2" t="s">
        <v>2366</v>
      </c>
      <c r="C298" s="2">
        <f>IFERROR(MATCH($A298,SchedSeq,0),"")</f>
        <v>433</v>
      </c>
      <c r="D298" s="2" t="str">
        <f t="array" ref="D298">IF($C298="","",INDEX(SchedZone,$C298,MAP!$B$6))</f>
        <v>2026_10_SF_DAL</v>
      </c>
      <c r="E298" s="2">
        <f t="array" ref="E298">IF($C298="","",INDEX(SchedZone,$C298,MAP!$B$3))</f>
        <v>2026</v>
      </c>
      <c r="F298" s="2" t="str">
        <f t="array" ref="F298">IF($C298="","",INDEX(SchedZone,$C298,MAP!$B$5))</f>
        <v>REG</v>
      </c>
      <c r="G298" s="2">
        <f t="array" ref="G298">IF($C298="","",INDEX(SchedZone,$C298,MAP!$B$4))</f>
        <v>10</v>
      </c>
      <c r="H298" s="2" t="str">
        <f t="array" ref="H298">IF($C298="","",INDEX(SchedZone,$C298,MAP!$B$10))</f>
        <v>SF</v>
      </c>
      <c r="I298" s="2" t="str">
        <f t="array" ref="I298">IF($H298="","",IF(COUNTIF(Teams,$H298)&gt;0,$H298,IFERROR(INDEX(LISTS!$D$2:$D$12,MATCH($H298,LISTS!$C$2:$C$12,0)),"⚠ "&amp;$H298)))</f>
        <v>SF</v>
      </c>
      <c r="J298" s="2" t="str">
        <f t="array" ref="J298">IF($C298="","",INDEX(SchedZone,$C298,MAP!$B$12))</f>
        <v>DAL</v>
      </c>
      <c r="K298" s="2" t="str">
        <f t="array" ref="K298">IF($J298="","",IF(COUNTIF(Teams,$J298)&gt;0,$J298,IFERROR(INDEX(LISTS!$D$2:$D$12,MATCH($J298,LISTS!$C$2:$C$12,0)),"⚠ "&amp;$J298)))</f>
        <v>DAL</v>
      </c>
      <c r="L298" s="2" t="str">
        <f t="array" ref="L298">IF($C298="","",IF(INDEX(SchedZone,$C298,MAP!$B$14)="Neutral","N",IF($B298="HOME","H","A")))</f>
        <v>A</v>
      </c>
      <c r="M298" s="2" t="str">
        <f t="array" ref="M298">IF($C298="","",IF(INDEX(SchedZone,$C298,MAP!$B$11)="","",INDEX(SchedZone,$C298,MAP!$B$11)))</f>
        <v/>
      </c>
      <c r="N298" s="2" t="str">
        <f t="array" ref="N298">IF($C298="","",IF(INDEX(SchedZone,$C298,MAP!$B$13)="","",INDEX(SchedZone,$C298,MAP!$B$13)))</f>
        <v/>
      </c>
      <c r="O298" s="2">
        <f t="array" ref="O298">IF($C298="","",INDEX(SchedZone,$C298,MAP!$B$15))</f>
        <v>7</v>
      </c>
      <c r="P298" s="2" t="str">
        <f>IF($C298="","",IFERROR(MATCH($E298&amp;"|"&amp;$G298&amp;"|"&amp;$I298,StatsKey,0),""))</f>
        <v/>
      </c>
      <c r="Q298" s="2">
        <f t="array" ref="Q298">IF($P298="",0,INDEX(StatsZone,$P298,MAP!$E$9)+INDEX(StatsZone,$P298,MAP!$E$10)+INDEX(StatsZone,$P298,MAP!$E$11))</f>
        <v>0</v>
      </c>
      <c r="R298" s="2">
        <f t="array" ref="R298">IF($P298="",0,INDEX(StatsZone,$P298,MAP!$E$12))</f>
        <v>0</v>
      </c>
      <c r="S298" s="2">
        <f t="array" ref="S298">IF($P298="",0,INDEX(StatsZone,$P298,MAP!$E$13))</f>
        <v>0</v>
      </c>
      <c r="T298" s="2">
        <f t="shared" si="1"/>
        <v>0</v>
      </c>
      <c r="U298" s="2">
        <f t="array" ref="U298">IF($P298="",0,INDEX(StatsZone,$P298,MAP!$E$14)+INDEX(StatsZone,$P298,MAP!$E$15)+INDEX(StatsZone,$P298,MAP!$E$16))</f>
        <v>0</v>
      </c>
      <c r="V298" s="2">
        <f t="shared" si="2"/>
        <v>0</v>
      </c>
      <c r="W298" s="2">
        <f t="shared" si="3"/>
        <v>0</v>
      </c>
      <c r="X298" s="2">
        <f t="shared" si="4"/>
        <v>0</v>
      </c>
      <c r="Y298" s="2">
        <f t="shared" si="5"/>
        <v>0</v>
      </c>
      <c r="Z298" s="2">
        <f t="shared" si="6"/>
        <v>0</v>
      </c>
      <c r="AA298" s="2">
        <f t="shared" si="7"/>
        <v>-1</v>
      </c>
      <c r="AB298" s="2">
        <f>IF(OR($M298="",$N298=""),0,MEDIAN(-MarginCap,MarginCap,($M298-$N298)-$AA298*HFA_Base))</f>
        <v>0</v>
      </c>
      <c r="AC298" s="2">
        <f t="array" ref="AC298">IF(OR($P298="",INDEX($P$3:$P$722,(ROW()+IF(MOD(ROW()-3,2)=0,1,-1))-3+1)=""),0,MEDIAN(-MarginCap,MarginCap,($T298-$W298)-$AA298*HFA_Base))</f>
        <v>0</v>
      </c>
      <c r="AD298" s="2">
        <f t="shared" si="8"/>
        <v>0</v>
      </c>
      <c r="AE298" s="2">
        <f>IF(OR($M298="",$N298=""),0,IF(AND(WEpa&gt;0,$AD298=1),(1-WEpa)*$AB298+WEpa*$AC298,$AB298))</f>
        <v>0</v>
      </c>
      <c r="AF298" s="2">
        <f>IF(AND($C298&lt;&gt;"",$E298=CurrentSeason,$F298="REG",ISNUMBER($G298),$G298&lt;CurrentWeek,AND($M298&lt;&gt;"",$N298&lt;&gt;"")),1,0)</f>
        <v>0</v>
      </c>
      <c r="AG298" s="2">
        <f>IF($AF298=0,0,IF($G298&gt;=CurrentWeek-RecencyWin,RecencyMult,1))</f>
        <v>0</v>
      </c>
      <c r="AH298" s="2">
        <f>IF(AND($C298&lt;&gt;"",$E298=CurrentSeason,$F298="REG",ISNUMBER($G298),$G298&lt;CurrentWeek-1,AND($M298&lt;&gt;"",$N298&lt;&gt;"")),1,0)</f>
        <v>0</v>
      </c>
      <c r="AI298" s="2">
        <f>IF($AH298=0,0,IF($G298&gt;=CurrentWeek-1-RecencyWin,RecencyMult,1))</f>
        <v>0</v>
      </c>
      <c r="AJ298" s="2">
        <f>IF($AF298=0,0,IF($G298&gt;=CurrentWeek-RecencyWin,TotRecency,1))</f>
        <v>0</v>
      </c>
      <c r="AK298" s="2">
        <f t="shared" si="9"/>
        <v>0</v>
      </c>
      <c r="AL298" s="2">
        <f t="shared" si="10"/>
        <v>0</v>
      </c>
      <c r="AM298" s="2" t="str">
        <f t="array" ref="AM298">IF($K298="",0,IFERROR(INDEX(CALC!$F$2:$F$33,MATCH($K298,CALC!$A$2:$A$33,0)),0))</f>
        <v/>
      </c>
      <c r="AN298" s="2" t="str">
        <f t="array" ref="AN298">IF($K298="",0,IFERROR(INDEX(CALC!$I$2:$I$33,MATCH($K298,CALC!$A$2:$A$33,0)),0))</f>
        <v/>
      </c>
      <c r="AO298" s="2" t="str">
        <f t="array" ref="AO298">IF($K298="",0,IFERROR(INDEX(CALC!$L$2:$L$33,MATCH($K298,CALC!$A$2:$A$33,0)),0))</f>
        <v/>
      </c>
      <c r="AP298" s="2" t="str">
        <f t="array" ref="AP298">IF($K298="",0,IFERROR(INDEX(CALC!$T$2:$T$33,MATCH($K298,CALC!$A$2:$A$33,0)),0))</f>
        <v/>
      </c>
      <c r="AQ298" s="2" t="str">
        <f t="array" ref="AQ298">IF($K298="",0,IFERROR(INDEX(CALC!$W$2:$W$33,MATCH($K298,CALC!$A$2:$A$33,0)),0))</f>
        <v/>
      </c>
      <c r="AR298" s="2" t="str">
        <f t="array" ref="AR298">IF($K298="",0,IFERROR(INDEX(CALC!$Z$2:$Z$33,MATCH($K298,CALC!$A$2:$A$33,0)),0))</f>
        <v/>
      </c>
      <c r="AS298" s="2" t="str">
        <f t="array" ref="AS298">IF($K298="",0,IFERROR(INDEX(CALC!$AJ$2:$AJ$33,MATCH($K298,CALC!$A$2:$A$33,0)),0))</f>
        <v/>
      </c>
      <c r="AT298" s="2" t="str">
        <f t="array" ref="AT298">IF($K298="",0,IFERROR(INDEX(CALC!$AI$2:$AI$33,MATCH($K298,CALC!$A$2:$A$33,0)),0))</f>
        <v/>
      </c>
      <c r="AU298" s="2">
        <f t="shared" si="11"/>
        <v>0</v>
      </c>
      <c r="AV298" s="2">
        <f t="shared" si="12"/>
        <v>0</v>
      </c>
    </row>
    <row r="299" ht="15.0" customHeight="1">
      <c r="A299" s="2">
        <v>149.0</v>
      </c>
      <c r="B299" s="2" t="s">
        <v>2365</v>
      </c>
      <c r="C299" s="2">
        <f>IFERROR(MATCH($A299,SchedSeq,0),"")</f>
        <v>434</v>
      </c>
      <c r="D299" s="2" t="str">
        <f t="array" ref="D299">IF($C299="","",INDEX(SchedZone,$C299,MAP!$B$6))</f>
        <v>2026_10_PIT_CIN</v>
      </c>
      <c r="E299" s="2">
        <f t="array" ref="E299">IF($C299="","",INDEX(SchedZone,$C299,MAP!$B$3))</f>
        <v>2026</v>
      </c>
      <c r="F299" s="2" t="str">
        <f t="array" ref="F299">IF($C299="","",INDEX(SchedZone,$C299,MAP!$B$5))</f>
        <v>REG</v>
      </c>
      <c r="G299" s="2">
        <f t="array" ref="G299">IF($C299="","",INDEX(SchedZone,$C299,MAP!$B$4))</f>
        <v>10</v>
      </c>
      <c r="H299" s="2" t="str">
        <f t="array" ref="H299">IF($C299="","",INDEX(SchedZone,$C299,MAP!$B$12))</f>
        <v>CIN</v>
      </c>
      <c r="I299" s="2" t="str">
        <f t="array" ref="I299">IF($H299="","",IF(COUNTIF(Teams,$H299)&gt;0,$H299,IFERROR(INDEX(LISTS!$D$2:$D$12,MATCH($H299,LISTS!$C$2:$C$12,0)),"⚠ "&amp;$H299)))</f>
        <v>CIN</v>
      </c>
      <c r="J299" s="2" t="str">
        <f t="array" ref="J299">IF($C299="","",INDEX(SchedZone,$C299,MAP!$B$10))</f>
        <v>PIT</v>
      </c>
      <c r="K299" s="2" t="str">
        <f t="array" ref="K299">IF($J299="","",IF(COUNTIF(Teams,$J299)&gt;0,$J299,IFERROR(INDEX(LISTS!$D$2:$D$12,MATCH($J299,LISTS!$C$2:$C$12,0)),"⚠ "&amp;$J299)))</f>
        <v>PIT</v>
      </c>
      <c r="L299" s="2" t="str">
        <f t="array" ref="L299">IF($C299="","",IF(INDEX(SchedZone,$C299,MAP!$B$14)="Neutral","N",IF($B299="HOME","H","A")))</f>
        <v>H</v>
      </c>
      <c r="M299" s="2" t="str">
        <f t="array" ref="M299">IF($C299="","",IF(INDEX(SchedZone,$C299,MAP!$B$13)="","",INDEX(SchedZone,$C299,MAP!$B$13)))</f>
        <v/>
      </c>
      <c r="N299" s="2" t="str">
        <f t="array" ref="N299">IF($C299="","",IF(INDEX(SchedZone,$C299,MAP!$B$11)="","",INDEX(SchedZone,$C299,MAP!$B$11)))</f>
        <v/>
      </c>
      <c r="O299" s="2">
        <f t="array" ref="O299">IF($C299="","",INDEX(SchedZone,$C299,MAP!$B$16))</f>
        <v>7</v>
      </c>
      <c r="P299" s="2" t="str">
        <f>IF($C299="","",IFERROR(MATCH($E299&amp;"|"&amp;$G299&amp;"|"&amp;$I299,StatsKey,0),""))</f>
        <v/>
      </c>
      <c r="Q299" s="2">
        <f t="array" ref="Q299">IF($P299="",0,INDEX(StatsZone,$P299,MAP!$E$9)+INDEX(StatsZone,$P299,MAP!$E$10)+INDEX(StatsZone,$P299,MAP!$E$11))</f>
        <v>0</v>
      </c>
      <c r="R299" s="2">
        <f t="array" ref="R299">IF($P299="",0,INDEX(StatsZone,$P299,MAP!$E$12))</f>
        <v>0</v>
      </c>
      <c r="S299" s="2">
        <f t="array" ref="S299">IF($P299="",0,INDEX(StatsZone,$P299,MAP!$E$13))</f>
        <v>0</v>
      </c>
      <c r="T299" s="2">
        <f t="shared" si="1"/>
        <v>0</v>
      </c>
      <c r="U299" s="2">
        <f t="array" ref="U299">IF($P299="",0,INDEX(StatsZone,$P299,MAP!$E$14)+INDEX(StatsZone,$P299,MAP!$E$15)+INDEX(StatsZone,$P299,MAP!$E$16))</f>
        <v>0</v>
      </c>
      <c r="V299" s="2">
        <f t="shared" si="2"/>
        <v>0</v>
      </c>
      <c r="W299" s="2">
        <f t="shared" si="3"/>
        <v>0</v>
      </c>
      <c r="X299" s="2">
        <f t="shared" si="4"/>
        <v>0</v>
      </c>
      <c r="Y299" s="2">
        <f t="shared" si="5"/>
        <v>0</v>
      </c>
      <c r="Z299" s="2">
        <f t="shared" si="6"/>
        <v>0</v>
      </c>
      <c r="AA299" s="2">
        <f t="shared" si="7"/>
        <v>1</v>
      </c>
      <c r="AB299" s="2">
        <f>IF(OR($M299="",$N299=""),0,MEDIAN(-MarginCap,MarginCap,($M299-$N299)-$AA299*HFA_Base))</f>
        <v>0</v>
      </c>
      <c r="AC299" s="2">
        <f t="array" ref="AC299">IF(OR($P299="",INDEX($P$3:$P$722,(ROW()+IF(MOD(ROW()-3,2)=0,1,-1))-3+1)=""),0,MEDIAN(-MarginCap,MarginCap,($T299-$W299)-$AA299*HFA_Base))</f>
        <v>0</v>
      </c>
      <c r="AD299" s="2">
        <f t="shared" si="8"/>
        <v>0</v>
      </c>
      <c r="AE299" s="2">
        <f>IF(OR($M299="",$N299=""),0,IF(AND(WEpa&gt;0,$AD299=1),(1-WEpa)*$AB299+WEpa*$AC299,$AB299))</f>
        <v>0</v>
      </c>
      <c r="AF299" s="2">
        <f>IF(AND($C299&lt;&gt;"",$E299=CurrentSeason,$F299="REG",ISNUMBER($G299),$G299&lt;CurrentWeek,AND($M299&lt;&gt;"",$N299&lt;&gt;"")),1,0)</f>
        <v>0</v>
      </c>
      <c r="AG299" s="2">
        <f>IF($AF299=0,0,IF($G299&gt;=CurrentWeek-RecencyWin,RecencyMult,1))</f>
        <v>0</v>
      </c>
      <c r="AH299" s="2">
        <f>IF(AND($C299&lt;&gt;"",$E299=CurrentSeason,$F299="REG",ISNUMBER($G299),$G299&lt;CurrentWeek-1,AND($M299&lt;&gt;"",$N299&lt;&gt;"")),1,0)</f>
        <v>0</v>
      </c>
      <c r="AI299" s="2">
        <f>IF($AH299=0,0,IF($G299&gt;=CurrentWeek-1-RecencyWin,RecencyMult,1))</f>
        <v>0</v>
      </c>
      <c r="AJ299" s="2">
        <f>IF($AF299=0,0,IF($G299&gt;=CurrentWeek-RecencyWin,TotRecency,1))</f>
        <v>0</v>
      </c>
      <c r="AK299" s="2">
        <f t="shared" si="9"/>
        <v>0</v>
      </c>
      <c r="AL299" s="2">
        <f t="shared" si="10"/>
        <v>0</v>
      </c>
      <c r="AM299" s="2" t="str">
        <f t="array" ref="AM299">IF($K299="",0,IFERROR(INDEX(CALC!$F$2:$F$33,MATCH($K299,CALC!$A$2:$A$33,0)),0))</f>
        <v/>
      </c>
      <c r="AN299" s="2" t="str">
        <f t="array" ref="AN299">IF($K299="",0,IFERROR(INDEX(CALC!$I$2:$I$33,MATCH($K299,CALC!$A$2:$A$33,0)),0))</f>
        <v/>
      </c>
      <c r="AO299" s="2" t="str">
        <f t="array" ref="AO299">IF($K299="",0,IFERROR(INDEX(CALC!$L$2:$L$33,MATCH($K299,CALC!$A$2:$A$33,0)),0))</f>
        <v/>
      </c>
      <c r="AP299" s="2" t="str">
        <f t="array" ref="AP299">IF($K299="",0,IFERROR(INDEX(CALC!$T$2:$T$33,MATCH($K299,CALC!$A$2:$A$33,0)),0))</f>
        <v/>
      </c>
      <c r="AQ299" s="2" t="str">
        <f t="array" ref="AQ299">IF($K299="",0,IFERROR(INDEX(CALC!$W$2:$W$33,MATCH($K299,CALC!$A$2:$A$33,0)),0))</f>
        <v/>
      </c>
      <c r="AR299" s="2" t="str">
        <f t="array" ref="AR299">IF($K299="",0,IFERROR(INDEX(CALC!$Z$2:$Z$33,MATCH($K299,CALC!$A$2:$A$33,0)),0))</f>
        <v/>
      </c>
      <c r="AS299" s="2" t="str">
        <f t="array" ref="AS299">IF($K299="",0,IFERROR(INDEX(CALC!$AJ$2:$AJ$33,MATCH($K299,CALC!$A$2:$A$33,0)),0))</f>
        <v/>
      </c>
      <c r="AT299" s="2" t="str">
        <f t="array" ref="AT299">IF($K299="",0,IFERROR(INDEX(CALC!$AI$2:$AI$33,MATCH($K299,CALC!$A$2:$A$33,0)),0))</f>
        <v/>
      </c>
      <c r="AU299" s="2">
        <f t="shared" si="11"/>
        <v>0</v>
      </c>
      <c r="AV299" s="2">
        <f t="shared" si="12"/>
        <v>0</v>
      </c>
    </row>
    <row r="300" ht="15.0" customHeight="1">
      <c r="A300" s="2">
        <v>149.0</v>
      </c>
      <c r="B300" s="2" t="s">
        <v>2366</v>
      </c>
      <c r="C300" s="2">
        <f>IFERROR(MATCH($A300,SchedSeq,0),"")</f>
        <v>434</v>
      </c>
      <c r="D300" s="2" t="str">
        <f t="array" ref="D300">IF($C300="","",INDEX(SchedZone,$C300,MAP!$B$6))</f>
        <v>2026_10_PIT_CIN</v>
      </c>
      <c r="E300" s="2">
        <f t="array" ref="E300">IF($C300="","",INDEX(SchedZone,$C300,MAP!$B$3))</f>
        <v>2026</v>
      </c>
      <c r="F300" s="2" t="str">
        <f t="array" ref="F300">IF($C300="","",INDEX(SchedZone,$C300,MAP!$B$5))</f>
        <v>REG</v>
      </c>
      <c r="G300" s="2">
        <f t="array" ref="G300">IF($C300="","",INDEX(SchedZone,$C300,MAP!$B$4))</f>
        <v>10</v>
      </c>
      <c r="H300" s="2" t="str">
        <f t="array" ref="H300">IF($C300="","",INDEX(SchedZone,$C300,MAP!$B$10))</f>
        <v>PIT</v>
      </c>
      <c r="I300" s="2" t="str">
        <f t="array" ref="I300">IF($H300="","",IF(COUNTIF(Teams,$H300)&gt;0,$H300,IFERROR(INDEX(LISTS!$D$2:$D$12,MATCH($H300,LISTS!$C$2:$C$12,0)),"⚠ "&amp;$H300)))</f>
        <v>PIT</v>
      </c>
      <c r="J300" s="2" t="str">
        <f t="array" ref="J300">IF($C300="","",INDEX(SchedZone,$C300,MAP!$B$12))</f>
        <v>CIN</v>
      </c>
      <c r="K300" s="2" t="str">
        <f t="array" ref="K300">IF($J300="","",IF(COUNTIF(Teams,$J300)&gt;0,$J300,IFERROR(INDEX(LISTS!$D$2:$D$12,MATCH($J300,LISTS!$C$2:$C$12,0)),"⚠ "&amp;$J300)))</f>
        <v>CIN</v>
      </c>
      <c r="L300" s="2" t="str">
        <f t="array" ref="L300">IF($C300="","",IF(INDEX(SchedZone,$C300,MAP!$B$14)="Neutral","N",IF($B300="HOME","H","A")))</f>
        <v>A</v>
      </c>
      <c r="M300" s="2" t="str">
        <f t="array" ref="M300">IF($C300="","",IF(INDEX(SchedZone,$C300,MAP!$B$11)="","",INDEX(SchedZone,$C300,MAP!$B$11)))</f>
        <v/>
      </c>
      <c r="N300" s="2" t="str">
        <f t="array" ref="N300">IF($C300="","",IF(INDEX(SchedZone,$C300,MAP!$B$13)="","",INDEX(SchedZone,$C300,MAP!$B$13)))</f>
        <v/>
      </c>
      <c r="O300" s="2">
        <f t="array" ref="O300">IF($C300="","",INDEX(SchedZone,$C300,MAP!$B$15))</f>
        <v>14</v>
      </c>
      <c r="P300" s="2" t="str">
        <f>IF($C300="","",IFERROR(MATCH($E300&amp;"|"&amp;$G300&amp;"|"&amp;$I300,StatsKey,0),""))</f>
        <v/>
      </c>
      <c r="Q300" s="2">
        <f t="array" ref="Q300">IF($P300="",0,INDEX(StatsZone,$P300,MAP!$E$9)+INDEX(StatsZone,$P300,MAP!$E$10)+INDEX(StatsZone,$P300,MAP!$E$11))</f>
        <v>0</v>
      </c>
      <c r="R300" s="2">
        <f t="array" ref="R300">IF($P300="",0,INDEX(StatsZone,$P300,MAP!$E$12))</f>
        <v>0</v>
      </c>
      <c r="S300" s="2">
        <f t="array" ref="S300">IF($P300="",0,INDEX(StatsZone,$P300,MAP!$E$13))</f>
        <v>0</v>
      </c>
      <c r="T300" s="2">
        <f t="shared" si="1"/>
        <v>0</v>
      </c>
      <c r="U300" s="2">
        <f t="array" ref="U300">IF($P300="",0,INDEX(StatsZone,$P300,MAP!$E$14)+INDEX(StatsZone,$P300,MAP!$E$15)+INDEX(StatsZone,$P300,MAP!$E$16))</f>
        <v>0</v>
      </c>
      <c r="V300" s="2">
        <f t="shared" si="2"/>
        <v>0</v>
      </c>
      <c r="W300" s="2">
        <f t="shared" si="3"/>
        <v>0</v>
      </c>
      <c r="X300" s="2">
        <f t="shared" si="4"/>
        <v>0</v>
      </c>
      <c r="Y300" s="2">
        <f t="shared" si="5"/>
        <v>0</v>
      </c>
      <c r="Z300" s="2">
        <f t="shared" si="6"/>
        <v>0</v>
      </c>
      <c r="AA300" s="2">
        <f t="shared" si="7"/>
        <v>-1</v>
      </c>
      <c r="AB300" s="2">
        <f>IF(OR($M300="",$N300=""),0,MEDIAN(-MarginCap,MarginCap,($M300-$N300)-$AA300*HFA_Base))</f>
        <v>0</v>
      </c>
      <c r="AC300" s="2">
        <f t="array" ref="AC300">IF(OR($P300="",INDEX($P$3:$P$722,(ROW()+IF(MOD(ROW()-3,2)=0,1,-1))-3+1)=""),0,MEDIAN(-MarginCap,MarginCap,($T300-$W300)-$AA300*HFA_Base))</f>
        <v>0</v>
      </c>
      <c r="AD300" s="2">
        <f t="shared" si="8"/>
        <v>0</v>
      </c>
      <c r="AE300" s="2">
        <f>IF(OR($M300="",$N300=""),0,IF(AND(WEpa&gt;0,$AD300=1),(1-WEpa)*$AB300+WEpa*$AC300,$AB300))</f>
        <v>0</v>
      </c>
      <c r="AF300" s="2">
        <f>IF(AND($C300&lt;&gt;"",$E300=CurrentSeason,$F300="REG",ISNUMBER($G300),$G300&lt;CurrentWeek,AND($M300&lt;&gt;"",$N300&lt;&gt;"")),1,0)</f>
        <v>0</v>
      </c>
      <c r="AG300" s="2">
        <f>IF($AF300=0,0,IF($G300&gt;=CurrentWeek-RecencyWin,RecencyMult,1))</f>
        <v>0</v>
      </c>
      <c r="AH300" s="2">
        <f>IF(AND($C300&lt;&gt;"",$E300=CurrentSeason,$F300="REG",ISNUMBER($G300),$G300&lt;CurrentWeek-1,AND($M300&lt;&gt;"",$N300&lt;&gt;"")),1,0)</f>
        <v>0</v>
      </c>
      <c r="AI300" s="2">
        <f>IF($AH300=0,0,IF($G300&gt;=CurrentWeek-1-RecencyWin,RecencyMult,1))</f>
        <v>0</v>
      </c>
      <c r="AJ300" s="2">
        <f>IF($AF300=0,0,IF($G300&gt;=CurrentWeek-RecencyWin,TotRecency,1))</f>
        <v>0</v>
      </c>
      <c r="AK300" s="2">
        <f t="shared" si="9"/>
        <v>0</v>
      </c>
      <c r="AL300" s="2">
        <f t="shared" si="10"/>
        <v>0</v>
      </c>
      <c r="AM300" s="2" t="str">
        <f t="array" ref="AM300">IF($K300="",0,IFERROR(INDEX(CALC!$F$2:$F$33,MATCH($K300,CALC!$A$2:$A$33,0)),0))</f>
        <v/>
      </c>
      <c r="AN300" s="2" t="str">
        <f t="array" ref="AN300">IF($K300="",0,IFERROR(INDEX(CALC!$I$2:$I$33,MATCH($K300,CALC!$A$2:$A$33,0)),0))</f>
        <v/>
      </c>
      <c r="AO300" s="2" t="str">
        <f t="array" ref="AO300">IF($K300="",0,IFERROR(INDEX(CALC!$L$2:$L$33,MATCH($K300,CALC!$A$2:$A$33,0)),0))</f>
        <v/>
      </c>
      <c r="AP300" s="2" t="str">
        <f t="array" ref="AP300">IF($K300="",0,IFERROR(INDEX(CALC!$T$2:$T$33,MATCH($K300,CALC!$A$2:$A$33,0)),0))</f>
        <v/>
      </c>
      <c r="AQ300" s="2" t="str">
        <f t="array" ref="AQ300">IF($K300="",0,IFERROR(INDEX(CALC!$W$2:$W$33,MATCH($K300,CALC!$A$2:$A$33,0)),0))</f>
        <v/>
      </c>
      <c r="AR300" s="2" t="str">
        <f t="array" ref="AR300">IF($K300="",0,IFERROR(INDEX(CALC!$Z$2:$Z$33,MATCH($K300,CALC!$A$2:$A$33,0)),0))</f>
        <v/>
      </c>
      <c r="AS300" s="2" t="str">
        <f t="array" ref="AS300">IF($K300="",0,IFERROR(INDEX(CALC!$AJ$2:$AJ$33,MATCH($K300,CALC!$A$2:$A$33,0)),0))</f>
        <v/>
      </c>
      <c r="AT300" s="2" t="str">
        <f t="array" ref="AT300">IF($K300="",0,IFERROR(INDEX(CALC!$AI$2:$AI$33,MATCH($K300,CALC!$A$2:$A$33,0)),0))</f>
        <v/>
      </c>
      <c r="AU300" s="2">
        <f t="shared" si="11"/>
        <v>0</v>
      </c>
      <c r="AV300" s="2">
        <f t="shared" si="12"/>
        <v>0</v>
      </c>
    </row>
    <row r="301" ht="15.0" customHeight="1">
      <c r="A301" s="2">
        <v>150.0</v>
      </c>
      <c r="B301" s="2" t="s">
        <v>2365</v>
      </c>
      <c r="C301" s="2">
        <f>IFERROR(MATCH($A301,SchedSeq,0),"")</f>
        <v>435</v>
      </c>
      <c r="D301" s="2" t="str">
        <f t="array" ref="D301">IF($C301="","",INDEX(SchedZone,$C301,MAP!$B$6))</f>
        <v>2026_10_LAC_BAL</v>
      </c>
      <c r="E301" s="2">
        <f t="array" ref="E301">IF($C301="","",INDEX(SchedZone,$C301,MAP!$B$3))</f>
        <v>2026</v>
      </c>
      <c r="F301" s="2" t="str">
        <f t="array" ref="F301">IF($C301="","",INDEX(SchedZone,$C301,MAP!$B$5))</f>
        <v>REG</v>
      </c>
      <c r="G301" s="2">
        <f t="array" ref="G301">IF($C301="","",INDEX(SchedZone,$C301,MAP!$B$4))</f>
        <v>10</v>
      </c>
      <c r="H301" s="2" t="str">
        <f t="array" ref="H301">IF($C301="","",INDEX(SchedZone,$C301,MAP!$B$12))</f>
        <v>BAL</v>
      </c>
      <c r="I301" s="2" t="str">
        <f t="array" ref="I301">IF($H301="","",IF(COUNTIF(Teams,$H301)&gt;0,$H301,IFERROR(INDEX(LISTS!$D$2:$D$12,MATCH($H301,LISTS!$C$2:$C$12,0)),"⚠ "&amp;$H301)))</f>
        <v>BAL</v>
      </c>
      <c r="J301" s="2" t="str">
        <f t="array" ref="J301">IF($C301="","",INDEX(SchedZone,$C301,MAP!$B$10))</f>
        <v>LAC</v>
      </c>
      <c r="K301" s="2" t="str">
        <f t="array" ref="K301">IF($J301="","",IF(COUNTIF(Teams,$J301)&gt;0,$J301,IFERROR(INDEX(LISTS!$D$2:$D$12,MATCH($J301,LISTS!$C$2:$C$12,0)),"⚠ "&amp;$J301)))</f>
        <v>LAC</v>
      </c>
      <c r="L301" s="2" t="str">
        <f t="array" ref="L301">IF($C301="","",IF(INDEX(SchedZone,$C301,MAP!$B$14)="Neutral","N",IF($B301="HOME","H","A")))</f>
        <v>H</v>
      </c>
      <c r="M301" s="2" t="str">
        <f t="array" ref="M301">IF($C301="","",IF(INDEX(SchedZone,$C301,MAP!$B$13)="","",INDEX(SchedZone,$C301,MAP!$B$13)))</f>
        <v/>
      </c>
      <c r="N301" s="2" t="str">
        <f t="array" ref="N301">IF($C301="","",IF(INDEX(SchedZone,$C301,MAP!$B$11)="","",INDEX(SchedZone,$C301,MAP!$B$11)))</f>
        <v/>
      </c>
      <c r="O301" s="2">
        <f t="array" ref="O301">IF($C301="","",INDEX(SchedZone,$C301,MAP!$B$16))</f>
        <v>11</v>
      </c>
      <c r="P301" s="2" t="str">
        <f>IF($C301="","",IFERROR(MATCH($E301&amp;"|"&amp;$G301&amp;"|"&amp;$I301,StatsKey,0),""))</f>
        <v/>
      </c>
      <c r="Q301" s="2">
        <f t="array" ref="Q301">IF($P301="",0,INDEX(StatsZone,$P301,MAP!$E$9)+INDEX(StatsZone,$P301,MAP!$E$10)+INDEX(StatsZone,$P301,MAP!$E$11))</f>
        <v>0</v>
      </c>
      <c r="R301" s="2">
        <f t="array" ref="R301">IF($P301="",0,INDEX(StatsZone,$P301,MAP!$E$12))</f>
        <v>0</v>
      </c>
      <c r="S301" s="2">
        <f t="array" ref="S301">IF($P301="",0,INDEX(StatsZone,$P301,MAP!$E$13))</f>
        <v>0</v>
      </c>
      <c r="T301" s="2">
        <f t="shared" si="1"/>
        <v>0</v>
      </c>
      <c r="U301" s="2">
        <f t="array" ref="U301">IF($P301="",0,INDEX(StatsZone,$P301,MAP!$E$14)+INDEX(StatsZone,$P301,MAP!$E$15)+INDEX(StatsZone,$P301,MAP!$E$16))</f>
        <v>0</v>
      </c>
      <c r="V301" s="2">
        <f t="shared" si="2"/>
        <v>0</v>
      </c>
      <c r="W301" s="2">
        <f t="shared" si="3"/>
        <v>0</v>
      </c>
      <c r="X301" s="2">
        <f t="shared" si="4"/>
        <v>0</v>
      </c>
      <c r="Y301" s="2">
        <f t="shared" si="5"/>
        <v>0</v>
      </c>
      <c r="Z301" s="2">
        <f t="shared" si="6"/>
        <v>0</v>
      </c>
      <c r="AA301" s="2">
        <f t="shared" si="7"/>
        <v>1</v>
      </c>
      <c r="AB301" s="2">
        <f>IF(OR($M301="",$N301=""),0,MEDIAN(-MarginCap,MarginCap,($M301-$N301)-$AA301*HFA_Base))</f>
        <v>0</v>
      </c>
      <c r="AC301" s="2">
        <f t="array" ref="AC301">IF(OR($P301="",INDEX($P$3:$P$722,(ROW()+IF(MOD(ROW()-3,2)=0,1,-1))-3+1)=""),0,MEDIAN(-MarginCap,MarginCap,($T301-$W301)-$AA301*HFA_Base))</f>
        <v>0</v>
      </c>
      <c r="AD301" s="2">
        <f t="shared" si="8"/>
        <v>0</v>
      </c>
      <c r="AE301" s="2">
        <f>IF(OR($M301="",$N301=""),0,IF(AND(WEpa&gt;0,$AD301=1),(1-WEpa)*$AB301+WEpa*$AC301,$AB301))</f>
        <v>0</v>
      </c>
      <c r="AF301" s="2">
        <f>IF(AND($C301&lt;&gt;"",$E301=CurrentSeason,$F301="REG",ISNUMBER($G301),$G301&lt;CurrentWeek,AND($M301&lt;&gt;"",$N301&lt;&gt;"")),1,0)</f>
        <v>0</v>
      </c>
      <c r="AG301" s="2">
        <f>IF($AF301=0,0,IF($G301&gt;=CurrentWeek-RecencyWin,RecencyMult,1))</f>
        <v>0</v>
      </c>
      <c r="AH301" s="2">
        <f>IF(AND($C301&lt;&gt;"",$E301=CurrentSeason,$F301="REG",ISNUMBER($G301),$G301&lt;CurrentWeek-1,AND($M301&lt;&gt;"",$N301&lt;&gt;"")),1,0)</f>
        <v>0</v>
      </c>
      <c r="AI301" s="2">
        <f>IF($AH301=0,0,IF($G301&gt;=CurrentWeek-1-RecencyWin,RecencyMult,1))</f>
        <v>0</v>
      </c>
      <c r="AJ301" s="2">
        <f>IF($AF301=0,0,IF($G301&gt;=CurrentWeek-RecencyWin,TotRecency,1))</f>
        <v>0</v>
      </c>
      <c r="AK301" s="2">
        <f t="shared" si="9"/>
        <v>0</v>
      </c>
      <c r="AL301" s="2">
        <f t="shared" si="10"/>
        <v>0</v>
      </c>
      <c r="AM301" s="2" t="str">
        <f t="array" ref="AM301">IF($K301="",0,IFERROR(INDEX(CALC!$F$2:$F$33,MATCH($K301,CALC!$A$2:$A$33,0)),0))</f>
        <v/>
      </c>
      <c r="AN301" s="2" t="str">
        <f t="array" ref="AN301">IF($K301="",0,IFERROR(INDEX(CALC!$I$2:$I$33,MATCH($K301,CALC!$A$2:$A$33,0)),0))</f>
        <v/>
      </c>
      <c r="AO301" s="2" t="str">
        <f t="array" ref="AO301">IF($K301="",0,IFERROR(INDEX(CALC!$L$2:$L$33,MATCH($K301,CALC!$A$2:$A$33,0)),0))</f>
        <v/>
      </c>
      <c r="AP301" s="2" t="str">
        <f t="array" ref="AP301">IF($K301="",0,IFERROR(INDEX(CALC!$T$2:$T$33,MATCH($K301,CALC!$A$2:$A$33,0)),0))</f>
        <v/>
      </c>
      <c r="AQ301" s="2" t="str">
        <f t="array" ref="AQ301">IF($K301="",0,IFERROR(INDEX(CALC!$W$2:$W$33,MATCH($K301,CALC!$A$2:$A$33,0)),0))</f>
        <v/>
      </c>
      <c r="AR301" s="2" t="str">
        <f t="array" ref="AR301">IF($K301="",0,IFERROR(INDEX(CALC!$Z$2:$Z$33,MATCH($K301,CALC!$A$2:$A$33,0)),0))</f>
        <v/>
      </c>
      <c r="AS301" s="2" t="str">
        <f t="array" ref="AS301">IF($K301="",0,IFERROR(INDEX(CALC!$AJ$2:$AJ$33,MATCH($K301,CALC!$A$2:$A$33,0)),0))</f>
        <v/>
      </c>
      <c r="AT301" s="2" t="str">
        <f t="array" ref="AT301">IF($K301="",0,IFERROR(INDEX(CALC!$AI$2:$AI$33,MATCH($K301,CALC!$A$2:$A$33,0)),0))</f>
        <v/>
      </c>
      <c r="AU301" s="2">
        <f t="shared" si="11"/>
        <v>0</v>
      </c>
      <c r="AV301" s="2">
        <f t="shared" si="12"/>
        <v>0</v>
      </c>
    </row>
    <row r="302" ht="15.0" customHeight="1">
      <c r="A302" s="2">
        <v>150.0</v>
      </c>
      <c r="B302" s="2" t="s">
        <v>2366</v>
      </c>
      <c r="C302" s="2">
        <f>IFERROR(MATCH($A302,SchedSeq,0),"")</f>
        <v>435</v>
      </c>
      <c r="D302" s="2" t="str">
        <f t="array" ref="D302">IF($C302="","",INDEX(SchedZone,$C302,MAP!$B$6))</f>
        <v>2026_10_LAC_BAL</v>
      </c>
      <c r="E302" s="2">
        <f t="array" ref="E302">IF($C302="","",INDEX(SchedZone,$C302,MAP!$B$3))</f>
        <v>2026</v>
      </c>
      <c r="F302" s="2" t="str">
        <f t="array" ref="F302">IF($C302="","",INDEX(SchedZone,$C302,MAP!$B$5))</f>
        <v>REG</v>
      </c>
      <c r="G302" s="2">
        <f t="array" ref="G302">IF($C302="","",INDEX(SchedZone,$C302,MAP!$B$4))</f>
        <v>10</v>
      </c>
      <c r="H302" s="2" t="str">
        <f t="array" ref="H302">IF($C302="","",INDEX(SchedZone,$C302,MAP!$B$10))</f>
        <v>LAC</v>
      </c>
      <c r="I302" s="2" t="str">
        <f t="array" ref="I302">IF($H302="","",IF(COUNTIF(Teams,$H302)&gt;0,$H302,IFERROR(INDEX(LISTS!$D$2:$D$12,MATCH($H302,LISTS!$C$2:$C$12,0)),"⚠ "&amp;$H302)))</f>
        <v>LAC</v>
      </c>
      <c r="J302" s="2" t="str">
        <f t="array" ref="J302">IF($C302="","",INDEX(SchedZone,$C302,MAP!$B$12))</f>
        <v>BAL</v>
      </c>
      <c r="K302" s="2" t="str">
        <f t="array" ref="K302">IF($J302="","",IF(COUNTIF(Teams,$J302)&gt;0,$J302,IFERROR(INDEX(LISTS!$D$2:$D$12,MATCH($J302,LISTS!$C$2:$C$12,0)),"⚠ "&amp;$J302)))</f>
        <v>BAL</v>
      </c>
      <c r="L302" s="2" t="str">
        <f t="array" ref="L302">IF($C302="","",IF(INDEX(SchedZone,$C302,MAP!$B$14)="Neutral","N",IF($B302="HOME","H","A")))</f>
        <v>A</v>
      </c>
      <c r="M302" s="2" t="str">
        <f t="array" ref="M302">IF($C302="","",IF(INDEX(SchedZone,$C302,MAP!$B$11)="","",INDEX(SchedZone,$C302,MAP!$B$11)))</f>
        <v/>
      </c>
      <c r="N302" s="2" t="str">
        <f t="array" ref="N302">IF($C302="","",IF(INDEX(SchedZone,$C302,MAP!$B$13)="","",INDEX(SchedZone,$C302,MAP!$B$13)))</f>
        <v/>
      </c>
      <c r="O302" s="2">
        <f t="array" ref="O302">IF($C302="","",INDEX(SchedZone,$C302,MAP!$B$15))</f>
        <v>8</v>
      </c>
      <c r="P302" s="2" t="str">
        <f>IF($C302="","",IFERROR(MATCH($E302&amp;"|"&amp;$G302&amp;"|"&amp;$I302,StatsKey,0),""))</f>
        <v/>
      </c>
      <c r="Q302" s="2">
        <f t="array" ref="Q302">IF($P302="",0,INDEX(StatsZone,$P302,MAP!$E$9)+INDEX(StatsZone,$P302,MAP!$E$10)+INDEX(StatsZone,$P302,MAP!$E$11))</f>
        <v>0</v>
      </c>
      <c r="R302" s="2">
        <f t="array" ref="R302">IF($P302="",0,INDEX(StatsZone,$P302,MAP!$E$12))</f>
        <v>0</v>
      </c>
      <c r="S302" s="2">
        <f t="array" ref="S302">IF($P302="",0,INDEX(StatsZone,$P302,MAP!$E$13))</f>
        <v>0</v>
      </c>
      <c r="T302" s="2">
        <f t="shared" si="1"/>
        <v>0</v>
      </c>
      <c r="U302" s="2">
        <f t="array" ref="U302">IF($P302="",0,INDEX(StatsZone,$P302,MAP!$E$14)+INDEX(StatsZone,$P302,MAP!$E$15)+INDEX(StatsZone,$P302,MAP!$E$16))</f>
        <v>0</v>
      </c>
      <c r="V302" s="2">
        <f t="shared" si="2"/>
        <v>0</v>
      </c>
      <c r="W302" s="2">
        <f t="shared" si="3"/>
        <v>0</v>
      </c>
      <c r="X302" s="2">
        <f t="shared" si="4"/>
        <v>0</v>
      </c>
      <c r="Y302" s="2">
        <f t="shared" si="5"/>
        <v>0</v>
      </c>
      <c r="Z302" s="2">
        <f t="shared" si="6"/>
        <v>0</v>
      </c>
      <c r="AA302" s="2">
        <f t="shared" si="7"/>
        <v>-1</v>
      </c>
      <c r="AB302" s="2">
        <f>IF(OR($M302="",$N302=""),0,MEDIAN(-MarginCap,MarginCap,($M302-$N302)-$AA302*HFA_Base))</f>
        <v>0</v>
      </c>
      <c r="AC302" s="2">
        <f t="array" ref="AC302">IF(OR($P302="",INDEX($P$3:$P$722,(ROW()+IF(MOD(ROW()-3,2)=0,1,-1))-3+1)=""),0,MEDIAN(-MarginCap,MarginCap,($T302-$W302)-$AA302*HFA_Base))</f>
        <v>0</v>
      </c>
      <c r="AD302" s="2">
        <f t="shared" si="8"/>
        <v>0</v>
      </c>
      <c r="AE302" s="2">
        <f>IF(OR($M302="",$N302=""),0,IF(AND(WEpa&gt;0,$AD302=1),(1-WEpa)*$AB302+WEpa*$AC302,$AB302))</f>
        <v>0</v>
      </c>
      <c r="AF302" s="2">
        <f>IF(AND($C302&lt;&gt;"",$E302=CurrentSeason,$F302="REG",ISNUMBER($G302),$G302&lt;CurrentWeek,AND($M302&lt;&gt;"",$N302&lt;&gt;"")),1,0)</f>
        <v>0</v>
      </c>
      <c r="AG302" s="2">
        <f>IF($AF302=0,0,IF($G302&gt;=CurrentWeek-RecencyWin,RecencyMult,1))</f>
        <v>0</v>
      </c>
      <c r="AH302" s="2">
        <f>IF(AND($C302&lt;&gt;"",$E302=CurrentSeason,$F302="REG",ISNUMBER($G302),$G302&lt;CurrentWeek-1,AND($M302&lt;&gt;"",$N302&lt;&gt;"")),1,0)</f>
        <v>0</v>
      </c>
      <c r="AI302" s="2">
        <f>IF($AH302=0,0,IF($G302&gt;=CurrentWeek-1-RecencyWin,RecencyMult,1))</f>
        <v>0</v>
      </c>
      <c r="AJ302" s="2">
        <f>IF($AF302=0,0,IF($G302&gt;=CurrentWeek-RecencyWin,TotRecency,1))</f>
        <v>0</v>
      </c>
      <c r="AK302" s="2">
        <f t="shared" si="9"/>
        <v>0</v>
      </c>
      <c r="AL302" s="2">
        <f t="shared" si="10"/>
        <v>0</v>
      </c>
      <c r="AM302" s="2" t="str">
        <f t="array" ref="AM302">IF($K302="",0,IFERROR(INDEX(CALC!$F$2:$F$33,MATCH($K302,CALC!$A$2:$A$33,0)),0))</f>
        <v/>
      </c>
      <c r="AN302" s="2" t="str">
        <f t="array" ref="AN302">IF($K302="",0,IFERROR(INDEX(CALC!$I$2:$I$33,MATCH($K302,CALC!$A$2:$A$33,0)),0))</f>
        <v/>
      </c>
      <c r="AO302" s="2" t="str">
        <f t="array" ref="AO302">IF($K302="",0,IFERROR(INDEX(CALC!$L$2:$L$33,MATCH($K302,CALC!$A$2:$A$33,0)),0))</f>
        <v/>
      </c>
      <c r="AP302" s="2" t="str">
        <f t="array" ref="AP302">IF($K302="",0,IFERROR(INDEX(CALC!$T$2:$T$33,MATCH($K302,CALC!$A$2:$A$33,0)),0))</f>
        <v/>
      </c>
      <c r="AQ302" s="2" t="str">
        <f t="array" ref="AQ302">IF($K302="",0,IFERROR(INDEX(CALC!$W$2:$W$33,MATCH($K302,CALC!$A$2:$A$33,0)),0))</f>
        <v/>
      </c>
      <c r="AR302" s="2" t="str">
        <f t="array" ref="AR302">IF($K302="",0,IFERROR(INDEX(CALC!$Z$2:$Z$33,MATCH($K302,CALC!$A$2:$A$33,0)),0))</f>
        <v/>
      </c>
      <c r="AS302" s="2" t="str">
        <f t="array" ref="AS302">IF($K302="",0,IFERROR(INDEX(CALC!$AJ$2:$AJ$33,MATCH($K302,CALC!$A$2:$A$33,0)),0))</f>
        <v/>
      </c>
      <c r="AT302" s="2" t="str">
        <f t="array" ref="AT302">IF($K302="",0,IFERROR(INDEX(CALC!$AI$2:$AI$33,MATCH($K302,CALC!$A$2:$A$33,0)),0))</f>
        <v/>
      </c>
      <c r="AU302" s="2">
        <f t="shared" si="11"/>
        <v>0</v>
      </c>
      <c r="AV302" s="2">
        <f t="shared" si="12"/>
        <v>0</v>
      </c>
    </row>
    <row r="303" ht="15.0" customHeight="1">
      <c r="A303" s="2">
        <v>151.0</v>
      </c>
      <c r="B303" s="2" t="s">
        <v>2365</v>
      </c>
      <c r="C303" s="2">
        <f>IFERROR(MATCH($A303,SchedSeq,0),"")</f>
        <v>436</v>
      </c>
      <c r="D303" s="2" t="str">
        <f t="array" ref="D303">IF($C303="","",INDEX(SchedZone,$C303,MAP!$B$6))</f>
        <v>2026_11_IND_HOU</v>
      </c>
      <c r="E303" s="2">
        <f t="array" ref="E303">IF($C303="","",INDEX(SchedZone,$C303,MAP!$B$3))</f>
        <v>2026</v>
      </c>
      <c r="F303" s="2" t="str">
        <f t="array" ref="F303">IF($C303="","",INDEX(SchedZone,$C303,MAP!$B$5))</f>
        <v>REG</v>
      </c>
      <c r="G303" s="2">
        <f t="array" ref="G303">IF($C303="","",INDEX(SchedZone,$C303,MAP!$B$4))</f>
        <v>11</v>
      </c>
      <c r="H303" s="2" t="str">
        <f t="array" ref="H303">IF($C303="","",INDEX(SchedZone,$C303,MAP!$B$12))</f>
        <v>HOU</v>
      </c>
      <c r="I303" s="2" t="str">
        <f t="array" ref="I303">IF($H303="","",IF(COUNTIF(Teams,$H303)&gt;0,$H303,IFERROR(INDEX(LISTS!$D$2:$D$12,MATCH($H303,LISTS!$C$2:$C$12,0)),"⚠ "&amp;$H303)))</f>
        <v>HOU</v>
      </c>
      <c r="J303" s="2" t="str">
        <f t="array" ref="J303">IF($C303="","",INDEX(SchedZone,$C303,MAP!$B$10))</f>
        <v>IND</v>
      </c>
      <c r="K303" s="2" t="str">
        <f t="array" ref="K303">IF($J303="","",IF(COUNTIF(Teams,$J303)&gt;0,$J303,IFERROR(INDEX(LISTS!$D$2:$D$12,MATCH($J303,LISTS!$C$2:$C$12,0)),"⚠ "&amp;$J303)))</f>
        <v>IND</v>
      </c>
      <c r="L303" s="2" t="str">
        <f t="array" ref="L303">IF($C303="","",IF(INDEX(SchedZone,$C303,MAP!$B$14)="Neutral","N",IF($B303="HOME","H","A")))</f>
        <v>H</v>
      </c>
      <c r="M303" s="2" t="str">
        <f t="array" ref="M303">IF($C303="","",IF(INDEX(SchedZone,$C303,MAP!$B$13)="","",INDEX(SchedZone,$C303,MAP!$B$13)))</f>
        <v/>
      </c>
      <c r="N303" s="2" t="str">
        <f t="array" ref="N303">IF($C303="","",IF(INDEX(SchedZone,$C303,MAP!$B$11)="","",INDEX(SchedZone,$C303,MAP!$B$11)))</f>
        <v/>
      </c>
      <c r="O303" s="2">
        <f t="array" ref="O303">IF($C303="","",INDEX(SchedZone,$C303,MAP!$B$16))</f>
        <v>4</v>
      </c>
      <c r="P303" s="2" t="str">
        <f>IF($C303="","",IFERROR(MATCH($E303&amp;"|"&amp;$G303&amp;"|"&amp;$I303,StatsKey,0),""))</f>
        <v/>
      </c>
      <c r="Q303" s="2">
        <f t="array" ref="Q303">IF($P303="",0,INDEX(StatsZone,$P303,MAP!$E$9)+INDEX(StatsZone,$P303,MAP!$E$10)+INDEX(StatsZone,$P303,MAP!$E$11))</f>
        <v>0</v>
      </c>
      <c r="R303" s="2">
        <f t="array" ref="R303">IF($P303="",0,INDEX(StatsZone,$P303,MAP!$E$12))</f>
        <v>0</v>
      </c>
      <c r="S303" s="2">
        <f t="array" ref="S303">IF($P303="",0,INDEX(StatsZone,$P303,MAP!$E$13))</f>
        <v>0</v>
      </c>
      <c r="T303" s="2">
        <f t="shared" si="1"/>
        <v>0</v>
      </c>
      <c r="U303" s="2">
        <f t="array" ref="U303">IF($P303="",0,INDEX(StatsZone,$P303,MAP!$E$14)+INDEX(StatsZone,$P303,MAP!$E$15)+INDEX(StatsZone,$P303,MAP!$E$16))</f>
        <v>0</v>
      </c>
      <c r="V303" s="2">
        <f t="shared" si="2"/>
        <v>0</v>
      </c>
      <c r="W303" s="2">
        <f t="shared" si="3"/>
        <v>0</v>
      </c>
      <c r="X303" s="2">
        <f t="shared" si="4"/>
        <v>0</v>
      </c>
      <c r="Y303" s="2">
        <f t="shared" si="5"/>
        <v>0</v>
      </c>
      <c r="Z303" s="2">
        <f t="shared" si="6"/>
        <v>0</v>
      </c>
      <c r="AA303" s="2">
        <f t="shared" si="7"/>
        <v>1</v>
      </c>
      <c r="AB303" s="2">
        <f>IF(OR($M303="",$N303=""),0,MEDIAN(-MarginCap,MarginCap,($M303-$N303)-$AA303*HFA_Base))</f>
        <v>0</v>
      </c>
      <c r="AC303" s="2">
        <f t="array" ref="AC303">IF(OR($P303="",INDEX($P$3:$P$722,(ROW()+IF(MOD(ROW()-3,2)=0,1,-1))-3+1)=""),0,MEDIAN(-MarginCap,MarginCap,($T303-$W303)-$AA303*HFA_Base))</f>
        <v>0</v>
      </c>
      <c r="AD303" s="2">
        <f t="shared" si="8"/>
        <v>0</v>
      </c>
      <c r="AE303" s="2">
        <f>IF(OR($M303="",$N303=""),0,IF(AND(WEpa&gt;0,$AD303=1),(1-WEpa)*$AB303+WEpa*$AC303,$AB303))</f>
        <v>0</v>
      </c>
      <c r="AF303" s="2">
        <f>IF(AND($C303&lt;&gt;"",$E303=CurrentSeason,$F303="REG",ISNUMBER($G303),$G303&lt;CurrentWeek,AND($M303&lt;&gt;"",$N303&lt;&gt;"")),1,0)</f>
        <v>0</v>
      </c>
      <c r="AG303" s="2">
        <f>IF($AF303=0,0,IF($G303&gt;=CurrentWeek-RecencyWin,RecencyMult,1))</f>
        <v>0</v>
      </c>
      <c r="AH303" s="2">
        <f>IF(AND($C303&lt;&gt;"",$E303=CurrentSeason,$F303="REG",ISNUMBER($G303),$G303&lt;CurrentWeek-1,AND($M303&lt;&gt;"",$N303&lt;&gt;"")),1,0)</f>
        <v>0</v>
      </c>
      <c r="AI303" s="2">
        <f>IF($AH303=0,0,IF($G303&gt;=CurrentWeek-1-RecencyWin,RecencyMult,1))</f>
        <v>0</v>
      </c>
      <c r="AJ303" s="2">
        <f>IF($AF303=0,0,IF($G303&gt;=CurrentWeek-RecencyWin,TotRecency,1))</f>
        <v>0</v>
      </c>
      <c r="AK303" s="2">
        <f t="shared" si="9"/>
        <v>0</v>
      </c>
      <c r="AL303" s="2">
        <f t="shared" si="10"/>
        <v>0</v>
      </c>
      <c r="AM303" s="2" t="str">
        <f t="array" ref="AM303">IF($K303="",0,IFERROR(INDEX(CALC!$F$2:$F$33,MATCH($K303,CALC!$A$2:$A$33,0)),0))</f>
        <v/>
      </c>
      <c r="AN303" s="2" t="str">
        <f t="array" ref="AN303">IF($K303="",0,IFERROR(INDEX(CALC!$I$2:$I$33,MATCH($K303,CALC!$A$2:$A$33,0)),0))</f>
        <v/>
      </c>
      <c r="AO303" s="2" t="str">
        <f t="array" ref="AO303">IF($K303="",0,IFERROR(INDEX(CALC!$L$2:$L$33,MATCH($K303,CALC!$A$2:$A$33,0)),0))</f>
        <v/>
      </c>
      <c r="AP303" s="2" t="str">
        <f t="array" ref="AP303">IF($K303="",0,IFERROR(INDEX(CALC!$T$2:$T$33,MATCH($K303,CALC!$A$2:$A$33,0)),0))</f>
        <v/>
      </c>
      <c r="AQ303" s="2" t="str">
        <f t="array" ref="AQ303">IF($K303="",0,IFERROR(INDEX(CALC!$W$2:$W$33,MATCH($K303,CALC!$A$2:$A$33,0)),0))</f>
        <v/>
      </c>
      <c r="AR303" s="2" t="str">
        <f t="array" ref="AR303">IF($K303="",0,IFERROR(INDEX(CALC!$Z$2:$Z$33,MATCH($K303,CALC!$A$2:$A$33,0)),0))</f>
        <v/>
      </c>
      <c r="AS303" s="2" t="str">
        <f t="array" ref="AS303">IF($K303="",0,IFERROR(INDEX(CALC!$AJ$2:$AJ$33,MATCH($K303,CALC!$A$2:$A$33,0)),0))</f>
        <v/>
      </c>
      <c r="AT303" s="2" t="str">
        <f t="array" ref="AT303">IF($K303="",0,IFERROR(INDEX(CALC!$AI$2:$AI$33,MATCH($K303,CALC!$A$2:$A$33,0)),0))</f>
        <v/>
      </c>
      <c r="AU303" s="2">
        <f t="shared" si="11"/>
        <v>0</v>
      </c>
      <c r="AV303" s="2">
        <f t="shared" si="12"/>
        <v>0</v>
      </c>
    </row>
    <row r="304" ht="15.0" customHeight="1">
      <c r="A304" s="2">
        <v>151.0</v>
      </c>
      <c r="B304" s="2" t="s">
        <v>2366</v>
      </c>
      <c r="C304" s="2">
        <f>IFERROR(MATCH($A304,SchedSeq,0),"")</f>
        <v>436</v>
      </c>
      <c r="D304" s="2" t="str">
        <f t="array" ref="D304">IF($C304="","",INDEX(SchedZone,$C304,MAP!$B$6))</f>
        <v>2026_11_IND_HOU</v>
      </c>
      <c r="E304" s="2">
        <f t="array" ref="E304">IF($C304="","",INDEX(SchedZone,$C304,MAP!$B$3))</f>
        <v>2026</v>
      </c>
      <c r="F304" s="2" t="str">
        <f t="array" ref="F304">IF($C304="","",INDEX(SchedZone,$C304,MAP!$B$5))</f>
        <v>REG</v>
      </c>
      <c r="G304" s="2">
        <f t="array" ref="G304">IF($C304="","",INDEX(SchedZone,$C304,MAP!$B$4))</f>
        <v>11</v>
      </c>
      <c r="H304" s="2" t="str">
        <f t="array" ref="H304">IF($C304="","",INDEX(SchedZone,$C304,MAP!$B$10))</f>
        <v>IND</v>
      </c>
      <c r="I304" s="2" t="str">
        <f t="array" ref="I304">IF($H304="","",IF(COUNTIF(Teams,$H304)&gt;0,$H304,IFERROR(INDEX(LISTS!$D$2:$D$12,MATCH($H304,LISTS!$C$2:$C$12,0)),"⚠ "&amp;$H304)))</f>
        <v>IND</v>
      </c>
      <c r="J304" s="2" t="str">
        <f t="array" ref="J304">IF($C304="","",INDEX(SchedZone,$C304,MAP!$B$12))</f>
        <v>HOU</v>
      </c>
      <c r="K304" s="2" t="str">
        <f t="array" ref="K304">IF($J304="","",IF(COUNTIF(Teams,$J304)&gt;0,$J304,IFERROR(INDEX(LISTS!$D$2:$D$12,MATCH($J304,LISTS!$C$2:$C$12,0)),"⚠ "&amp;$J304)))</f>
        <v>HOU</v>
      </c>
      <c r="L304" s="2" t="str">
        <f t="array" ref="L304">IF($C304="","",IF(INDEX(SchedZone,$C304,MAP!$B$14)="Neutral","N",IF($B304="HOME","H","A")))</f>
        <v>A</v>
      </c>
      <c r="M304" s="2" t="str">
        <f t="array" ref="M304">IF($C304="","",IF(INDEX(SchedZone,$C304,MAP!$B$11)="","",INDEX(SchedZone,$C304,MAP!$B$11)))</f>
        <v/>
      </c>
      <c r="N304" s="2" t="str">
        <f t="array" ref="N304">IF($C304="","",IF(INDEX(SchedZone,$C304,MAP!$B$13)="","",INDEX(SchedZone,$C304,MAP!$B$13)))</f>
        <v/>
      </c>
      <c r="O304" s="2">
        <f t="array" ref="O304">IF($C304="","",INDEX(SchedZone,$C304,MAP!$B$15))</f>
        <v>4</v>
      </c>
      <c r="P304" s="2" t="str">
        <f>IF($C304="","",IFERROR(MATCH($E304&amp;"|"&amp;$G304&amp;"|"&amp;$I304,StatsKey,0),""))</f>
        <v/>
      </c>
      <c r="Q304" s="2">
        <f t="array" ref="Q304">IF($P304="",0,INDEX(StatsZone,$P304,MAP!$E$9)+INDEX(StatsZone,$P304,MAP!$E$10)+INDEX(StatsZone,$P304,MAP!$E$11))</f>
        <v>0</v>
      </c>
      <c r="R304" s="2">
        <f t="array" ref="R304">IF($P304="",0,INDEX(StatsZone,$P304,MAP!$E$12))</f>
        <v>0</v>
      </c>
      <c r="S304" s="2">
        <f t="array" ref="S304">IF($P304="",0,INDEX(StatsZone,$P304,MAP!$E$13))</f>
        <v>0</v>
      </c>
      <c r="T304" s="2">
        <f t="shared" si="1"/>
        <v>0</v>
      </c>
      <c r="U304" s="2">
        <f t="array" ref="U304">IF($P304="",0,INDEX(StatsZone,$P304,MAP!$E$14)+INDEX(StatsZone,$P304,MAP!$E$15)+INDEX(StatsZone,$P304,MAP!$E$16))</f>
        <v>0</v>
      </c>
      <c r="V304" s="2">
        <f t="shared" si="2"/>
        <v>0</v>
      </c>
      <c r="W304" s="2">
        <f t="shared" si="3"/>
        <v>0</v>
      </c>
      <c r="X304" s="2">
        <f t="shared" si="4"/>
        <v>0</v>
      </c>
      <c r="Y304" s="2">
        <f t="shared" si="5"/>
        <v>0</v>
      </c>
      <c r="Z304" s="2">
        <f t="shared" si="6"/>
        <v>0</v>
      </c>
      <c r="AA304" s="2">
        <f t="shared" si="7"/>
        <v>-1</v>
      </c>
      <c r="AB304" s="2">
        <f>IF(OR($M304="",$N304=""),0,MEDIAN(-MarginCap,MarginCap,($M304-$N304)-$AA304*HFA_Base))</f>
        <v>0</v>
      </c>
      <c r="AC304" s="2">
        <f t="array" ref="AC304">IF(OR($P304="",INDEX($P$3:$P$722,(ROW()+IF(MOD(ROW()-3,2)=0,1,-1))-3+1)=""),0,MEDIAN(-MarginCap,MarginCap,($T304-$W304)-$AA304*HFA_Base))</f>
        <v>0</v>
      </c>
      <c r="AD304" s="2">
        <f t="shared" si="8"/>
        <v>0</v>
      </c>
      <c r="AE304" s="2">
        <f>IF(OR($M304="",$N304=""),0,IF(AND(WEpa&gt;0,$AD304=1),(1-WEpa)*$AB304+WEpa*$AC304,$AB304))</f>
        <v>0</v>
      </c>
      <c r="AF304" s="2">
        <f>IF(AND($C304&lt;&gt;"",$E304=CurrentSeason,$F304="REG",ISNUMBER($G304),$G304&lt;CurrentWeek,AND($M304&lt;&gt;"",$N304&lt;&gt;"")),1,0)</f>
        <v>0</v>
      </c>
      <c r="AG304" s="2">
        <f>IF($AF304=0,0,IF($G304&gt;=CurrentWeek-RecencyWin,RecencyMult,1))</f>
        <v>0</v>
      </c>
      <c r="AH304" s="2">
        <f>IF(AND($C304&lt;&gt;"",$E304=CurrentSeason,$F304="REG",ISNUMBER($G304),$G304&lt;CurrentWeek-1,AND($M304&lt;&gt;"",$N304&lt;&gt;"")),1,0)</f>
        <v>0</v>
      </c>
      <c r="AI304" s="2">
        <f>IF($AH304=0,0,IF($G304&gt;=CurrentWeek-1-RecencyWin,RecencyMult,1))</f>
        <v>0</v>
      </c>
      <c r="AJ304" s="2">
        <f>IF($AF304=0,0,IF($G304&gt;=CurrentWeek-RecencyWin,TotRecency,1))</f>
        <v>0</v>
      </c>
      <c r="AK304" s="2">
        <f t="shared" si="9"/>
        <v>0</v>
      </c>
      <c r="AL304" s="2">
        <f t="shared" si="10"/>
        <v>0</v>
      </c>
      <c r="AM304" s="2" t="str">
        <f t="array" ref="AM304">IF($K304="",0,IFERROR(INDEX(CALC!$F$2:$F$33,MATCH($K304,CALC!$A$2:$A$33,0)),0))</f>
        <v/>
      </c>
      <c r="AN304" s="2" t="str">
        <f t="array" ref="AN304">IF($K304="",0,IFERROR(INDEX(CALC!$I$2:$I$33,MATCH($K304,CALC!$A$2:$A$33,0)),0))</f>
        <v/>
      </c>
      <c r="AO304" s="2" t="str">
        <f t="array" ref="AO304">IF($K304="",0,IFERROR(INDEX(CALC!$L$2:$L$33,MATCH($K304,CALC!$A$2:$A$33,0)),0))</f>
        <v/>
      </c>
      <c r="AP304" s="2" t="str">
        <f t="array" ref="AP304">IF($K304="",0,IFERROR(INDEX(CALC!$T$2:$T$33,MATCH($K304,CALC!$A$2:$A$33,0)),0))</f>
        <v/>
      </c>
      <c r="AQ304" s="2" t="str">
        <f t="array" ref="AQ304">IF($K304="",0,IFERROR(INDEX(CALC!$W$2:$W$33,MATCH($K304,CALC!$A$2:$A$33,0)),0))</f>
        <v/>
      </c>
      <c r="AR304" s="2" t="str">
        <f t="array" ref="AR304">IF($K304="",0,IFERROR(INDEX(CALC!$Z$2:$Z$33,MATCH($K304,CALC!$A$2:$A$33,0)),0))</f>
        <v/>
      </c>
      <c r="AS304" s="2" t="str">
        <f t="array" ref="AS304">IF($K304="",0,IFERROR(INDEX(CALC!$AJ$2:$AJ$33,MATCH($K304,CALC!$A$2:$A$33,0)),0))</f>
        <v/>
      </c>
      <c r="AT304" s="2" t="str">
        <f t="array" ref="AT304">IF($K304="",0,IFERROR(INDEX(CALC!$AI$2:$AI$33,MATCH($K304,CALC!$A$2:$A$33,0)),0))</f>
        <v/>
      </c>
      <c r="AU304" s="2">
        <f t="shared" si="11"/>
        <v>0</v>
      </c>
      <c r="AV304" s="2">
        <f t="shared" si="12"/>
        <v>0</v>
      </c>
    </row>
    <row r="305" ht="15.0" customHeight="1">
      <c r="A305" s="2">
        <v>152.0</v>
      </c>
      <c r="B305" s="2" t="s">
        <v>2365</v>
      </c>
      <c r="C305" s="2">
        <f>IFERROR(MATCH($A305,SchedSeq,0),"")</f>
        <v>437</v>
      </c>
      <c r="D305" s="2" t="str">
        <f t="array" ref="D305">IF($C305="","",INDEX(SchedZone,$C305,MAP!$B$6))</f>
        <v>2026_11_MIA_BUF</v>
      </c>
      <c r="E305" s="2">
        <f t="array" ref="E305">IF($C305="","",INDEX(SchedZone,$C305,MAP!$B$3))</f>
        <v>2026</v>
      </c>
      <c r="F305" s="2" t="str">
        <f t="array" ref="F305">IF($C305="","",INDEX(SchedZone,$C305,MAP!$B$5))</f>
        <v>REG</v>
      </c>
      <c r="G305" s="2">
        <f t="array" ref="G305">IF($C305="","",INDEX(SchedZone,$C305,MAP!$B$4))</f>
        <v>11</v>
      </c>
      <c r="H305" s="2" t="str">
        <f t="array" ref="H305">IF($C305="","",INDEX(SchedZone,$C305,MAP!$B$12))</f>
        <v>BUF</v>
      </c>
      <c r="I305" s="2" t="str">
        <f t="array" ref="I305">IF($H305="","",IF(COUNTIF(Teams,$H305)&gt;0,$H305,IFERROR(INDEX(LISTS!$D$2:$D$12,MATCH($H305,LISTS!$C$2:$C$12,0)),"⚠ "&amp;$H305)))</f>
        <v>BUF</v>
      </c>
      <c r="J305" s="2" t="str">
        <f t="array" ref="J305">IF($C305="","",INDEX(SchedZone,$C305,MAP!$B$10))</f>
        <v>MIA</v>
      </c>
      <c r="K305" s="2" t="str">
        <f t="array" ref="K305">IF($J305="","",IF(COUNTIF(Teams,$J305)&gt;0,$J305,IFERROR(INDEX(LISTS!$D$2:$D$12,MATCH($J305,LISTS!$C$2:$C$12,0)),"⚠ "&amp;$J305)))</f>
        <v>MIA</v>
      </c>
      <c r="L305" s="2" t="str">
        <f t="array" ref="L305">IF($C305="","",IF(INDEX(SchedZone,$C305,MAP!$B$14)="Neutral","N",IF($B305="HOME","H","A")))</f>
        <v>H</v>
      </c>
      <c r="M305" s="2" t="str">
        <f t="array" ref="M305">IF($C305="","",IF(INDEX(SchedZone,$C305,MAP!$B$13)="","",INDEX(SchedZone,$C305,MAP!$B$13)))</f>
        <v/>
      </c>
      <c r="N305" s="2" t="str">
        <f t="array" ref="N305">IF($C305="","",IF(INDEX(SchedZone,$C305,MAP!$B$11)="","",INDEX(SchedZone,$C305,MAP!$B$11)))</f>
        <v/>
      </c>
      <c r="O305" s="2">
        <f t="array" ref="O305">IF($C305="","",INDEX(SchedZone,$C305,MAP!$B$16))</f>
        <v>7</v>
      </c>
      <c r="P305" s="2" t="str">
        <f>IF($C305="","",IFERROR(MATCH($E305&amp;"|"&amp;$G305&amp;"|"&amp;$I305,StatsKey,0),""))</f>
        <v/>
      </c>
      <c r="Q305" s="2">
        <f t="array" ref="Q305">IF($P305="",0,INDEX(StatsZone,$P305,MAP!$E$9)+INDEX(StatsZone,$P305,MAP!$E$10)+INDEX(StatsZone,$P305,MAP!$E$11))</f>
        <v>0</v>
      </c>
      <c r="R305" s="2">
        <f t="array" ref="R305">IF($P305="",0,INDEX(StatsZone,$P305,MAP!$E$12))</f>
        <v>0</v>
      </c>
      <c r="S305" s="2">
        <f t="array" ref="S305">IF($P305="",0,INDEX(StatsZone,$P305,MAP!$E$13))</f>
        <v>0</v>
      </c>
      <c r="T305" s="2">
        <f t="shared" si="1"/>
        <v>0</v>
      </c>
      <c r="U305" s="2">
        <f t="array" ref="U305">IF($P305="",0,INDEX(StatsZone,$P305,MAP!$E$14)+INDEX(StatsZone,$P305,MAP!$E$15)+INDEX(StatsZone,$P305,MAP!$E$16))</f>
        <v>0</v>
      </c>
      <c r="V305" s="2">
        <f t="shared" si="2"/>
        <v>0</v>
      </c>
      <c r="W305" s="2">
        <f t="shared" si="3"/>
        <v>0</v>
      </c>
      <c r="X305" s="2">
        <f t="shared" si="4"/>
        <v>0</v>
      </c>
      <c r="Y305" s="2">
        <f t="shared" si="5"/>
        <v>0</v>
      </c>
      <c r="Z305" s="2">
        <f t="shared" si="6"/>
        <v>0</v>
      </c>
      <c r="AA305" s="2">
        <f t="shared" si="7"/>
        <v>1</v>
      </c>
      <c r="AB305" s="2">
        <f>IF(OR($M305="",$N305=""),0,MEDIAN(-MarginCap,MarginCap,($M305-$N305)-$AA305*HFA_Base))</f>
        <v>0</v>
      </c>
      <c r="AC305" s="2">
        <f t="array" ref="AC305">IF(OR($P305="",INDEX($P$3:$P$722,(ROW()+IF(MOD(ROW()-3,2)=0,1,-1))-3+1)=""),0,MEDIAN(-MarginCap,MarginCap,($T305-$W305)-$AA305*HFA_Base))</f>
        <v>0</v>
      </c>
      <c r="AD305" s="2">
        <f t="shared" si="8"/>
        <v>0</v>
      </c>
      <c r="AE305" s="2">
        <f>IF(OR($M305="",$N305=""),0,IF(AND(WEpa&gt;0,$AD305=1),(1-WEpa)*$AB305+WEpa*$AC305,$AB305))</f>
        <v>0</v>
      </c>
      <c r="AF305" s="2">
        <f>IF(AND($C305&lt;&gt;"",$E305=CurrentSeason,$F305="REG",ISNUMBER($G305),$G305&lt;CurrentWeek,AND($M305&lt;&gt;"",$N305&lt;&gt;"")),1,0)</f>
        <v>0</v>
      </c>
      <c r="AG305" s="2">
        <f>IF($AF305=0,0,IF($G305&gt;=CurrentWeek-RecencyWin,RecencyMult,1))</f>
        <v>0</v>
      </c>
      <c r="AH305" s="2">
        <f>IF(AND($C305&lt;&gt;"",$E305=CurrentSeason,$F305="REG",ISNUMBER($G305),$G305&lt;CurrentWeek-1,AND($M305&lt;&gt;"",$N305&lt;&gt;"")),1,0)</f>
        <v>0</v>
      </c>
      <c r="AI305" s="2">
        <f>IF($AH305=0,0,IF($G305&gt;=CurrentWeek-1-RecencyWin,RecencyMult,1))</f>
        <v>0</v>
      </c>
      <c r="AJ305" s="2">
        <f>IF($AF305=0,0,IF($G305&gt;=CurrentWeek-RecencyWin,TotRecency,1))</f>
        <v>0</v>
      </c>
      <c r="AK305" s="2">
        <f t="shared" si="9"/>
        <v>0</v>
      </c>
      <c r="AL305" s="2">
        <f t="shared" si="10"/>
        <v>0</v>
      </c>
      <c r="AM305" s="2" t="str">
        <f t="array" ref="AM305">IF($K305="",0,IFERROR(INDEX(CALC!$F$2:$F$33,MATCH($K305,CALC!$A$2:$A$33,0)),0))</f>
        <v/>
      </c>
      <c r="AN305" s="2" t="str">
        <f t="array" ref="AN305">IF($K305="",0,IFERROR(INDEX(CALC!$I$2:$I$33,MATCH($K305,CALC!$A$2:$A$33,0)),0))</f>
        <v/>
      </c>
      <c r="AO305" s="2" t="str">
        <f t="array" ref="AO305">IF($K305="",0,IFERROR(INDEX(CALC!$L$2:$L$33,MATCH($K305,CALC!$A$2:$A$33,0)),0))</f>
        <v/>
      </c>
      <c r="AP305" s="2" t="str">
        <f t="array" ref="AP305">IF($K305="",0,IFERROR(INDEX(CALC!$T$2:$T$33,MATCH($K305,CALC!$A$2:$A$33,0)),0))</f>
        <v/>
      </c>
      <c r="AQ305" s="2" t="str">
        <f t="array" ref="AQ305">IF($K305="",0,IFERROR(INDEX(CALC!$W$2:$W$33,MATCH($K305,CALC!$A$2:$A$33,0)),0))</f>
        <v/>
      </c>
      <c r="AR305" s="2" t="str">
        <f t="array" ref="AR305">IF($K305="",0,IFERROR(INDEX(CALC!$Z$2:$Z$33,MATCH($K305,CALC!$A$2:$A$33,0)),0))</f>
        <v/>
      </c>
      <c r="AS305" s="2" t="str">
        <f t="array" ref="AS305">IF($K305="",0,IFERROR(INDEX(CALC!$AJ$2:$AJ$33,MATCH($K305,CALC!$A$2:$A$33,0)),0))</f>
        <v/>
      </c>
      <c r="AT305" s="2" t="str">
        <f t="array" ref="AT305">IF($K305="",0,IFERROR(INDEX(CALC!$AI$2:$AI$33,MATCH($K305,CALC!$A$2:$A$33,0)),0))</f>
        <v/>
      </c>
      <c r="AU305" s="2">
        <f t="shared" si="11"/>
        <v>0</v>
      </c>
      <c r="AV305" s="2">
        <f t="shared" si="12"/>
        <v>0</v>
      </c>
    </row>
    <row r="306" ht="15.0" customHeight="1">
      <c r="A306" s="2">
        <v>152.0</v>
      </c>
      <c r="B306" s="2" t="s">
        <v>2366</v>
      </c>
      <c r="C306" s="2">
        <f>IFERROR(MATCH($A306,SchedSeq,0),"")</f>
        <v>437</v>
      </c>
      <c r="D306" s="2" t="str">
        <f t="array" ref="D306">IF($C306="","",INDEX(SchedZone,$C306,MAP!$B$6))</f>
        <v>2026_11_MIA_BUF</v>
      </c>
      <c r="E306" s="2">
        <f t="array" ref="E306">IF($C306="","",INDEX(SchedZone,$C306,MAP!$B$3))</f>
        <v>2026</v>
      </c>
      <c r="F306" s="2" t="str">
        <f t="array" ref="F306">IF($C306="","",INDEX(SchedZone,$C306,MAP!$B$5))</f>
        <v>REG</v>
      </c>
      <c r="G306" s="2">
        <f t="array" ref="G306">IF($C306="","",INDEX(SchedZone,$C306,MAP!$B$4))</f>
        <v>11</v>
      </c>
      <c r="H306" s="2" t="str">
        <f t="array" ref="H306">IF($C306="","",INDEX(SchedZone,$C306,MAP!$B$10))</f>
        <v>MIA</v>
      </c>
      <c r="I306" s="2" t="str">
        <f t="array" ref="I306">IF($H306="","",IF(COUNTIF(Teams,$H306)&gt;0,$H306,IFERROR(INDEX(LISTS!$D$2:$D$12,MATCH($H306,LISTS!$C$2:$C$12,0)),"⚠ "&amp;$H306)))</f>
        <v>MIA</v>
      </c>
      <c r="J306" s="2" t="str">
        <f t="array" ref="J306">IF($C306="","",INDEX(SchedZone,$C306,MAP!$B$12))</f>
        <v>BUF</v>
      </c>
      <c r="K306" s="2" t="str">
        <f t="array" ref="K306">IF($J306="","",IF(COUNTIF(Teams,$J306)&gt;0,$J306,IFERROR(INDEX(LISTS!$D$2:$D$12,MATCH($J306,LISTS!$C$2:$C$12,0)),"⚠ "&amp;$J306)))</f>
        <v>BUF</v>
      </c>
      <c r="L306" s="2" t="str">
        <f t="array" ref="L306">IF($C306="","",IF(INDEX(SchedZone,$C306,MAP!$B$14)="Neutral","N",IF($B306="HOME","H","A")))</f>
        <v>A</v>
      </c>
      <c r="M306" s="2" t="str">
        <f t="array" ref="M306">IF($C306="","",IF(INDEX(SchedZone,$C306,MAP!$B$11)="","",INDEX(SchedZone,$C306,MAP!$B$11)))</f>
        <v/>
      </c>
      <c r="N306" s="2" t="str">
        <f t="array" ref="N306">IF($C306="","",IF(INDEX(SchedZone,$C306,MAP!$B$13)="","",INDEX(SchedZone,$C306,MAP!$B$13)))</f>
        <v/>
      </c>
      <c r="O306" s="2">
        <f t="array" ref="O306">IF($C306="","",INDEX(SchedZone,$C306,MAP!$B$15))</f>
        <v>7</v>
      </c>
      <c r="P306" s="2" t="str">
        <f>IF($C306="","",IFERROR(MATCH($E306&amp;"|"&amp;$G306&amp;"|"&amp;$I306,StatsKey,0),""))</f>
        <v/>
      </c>
      <c r="Q306" s="2">
        <f t="array" ref="Q306">IF($P306="",0,INDEX(StatsZone,$P306,MAP!$E$9)+INDEX(StatsZone,$P306,MAP!$E$10)+INDEX(StatsZone,$P306,MAP!$E$11))</f>
        <v>0</v>
      </c>
      <c r="R306" s="2">
        <f t="array" ref="R306">IF($P306="",0,INDEX(StatsZone,$P306,MAP!$E$12))</f>
        <v>0</v>
      </c>
      <c r="S306" s="2">
        <f t="array" ref="S306">IF($P306="",0,INDEX(StatsZone,$P306,MAP!$E$13))</f>
        <v>0</v>
      </c>
      <c r="T306" s="2">
        <f t="shared" si="1"/>
        <v>0</v>
      </c>
      <c r="U306" s="2">
        <f t="array" ref="U306">IF($P306="",0,INDEX(StatsZone,$P306,MAP!$E$14)+INDEX(StatsZone,$P306,MAP!$E$15)+INDEX(StatsZone,$P306,MAP!$E$16))</f>
        <v>0</v>
      </c>
      <c r="V306" s="2">
        <f t="shared" si="2"/>
        <v>0</v>
      </c>
      <c r="W306" s="2">
        <f t="shared" si="3"/>
        <v>0</v>
      </c>
      <c r="X306" s="2">
        <f t="shared" si="4"/>
        <v>0</v>
      </c>
      <c r="Y306" s="2">
        <f t="shared" si="5"/>
        <v>0</v>
      </c>
      <c r="Z306" s="2">
        <f t="shared" si="6"/>
        <v>0</v>
      </c>
      <c r="AA306" s="2">
        <f t="shared" si="7"/>
        <v>-1</v>
      </c>
      <c r="AB306" s="2">
        <f>IF(OR($M306="",$N306=""),0,MEDIAN(-MarginCap,MarginCap,($M306-$N306)-$AA306*HFA_Base))</f>
        <v>0</v>
      </c>
      <c r="AC306" s="2">
        <f t="array" ref="AC306">IF(OR($P306="",INDEX($P$3:$P$722,(ROW()+IF(MOD(ROW()-3,2)=0,1,-1))-3+1)=""),0,MEDIAN(-MarginCap,MarginCap,($T306-$W306)-$AA306*HFA_Base))</f>
        <v>0</v>
      </c>
      <c r="AD306" s="2">
        <f t="shared" si="8"/>
        <v>0</v>
      </c>
      <c r="AE306" s="2">
        <f>IF(OR($M306="",$N306=""),0,IF(AND(WEpa&gt;0,$AD306=1),(1-WEpa)*$AB306+WEpa*$AC306,$AB306))</f>
        <v>0</v>
      </c>
      <c r="AF306" s="2">
        <f>IF(AND($C306&lt;&gt;"",$E306=CurrentSeason,$F306="REG",ISNUMBER($G306),$G306&lt;CurrentWeek,AND($M306&lt;&gt;"",$N306&lt;&gt;"")),1,0)</f>
        <v>0</v>
      </c>
      <c r="AG306" s="2">
        <f>IF($AF306=0,0,IF($G306&gt;=CurrentWeek-RecencyWin,RecencyMult,1))</f>
        <v>0</v>
      </c>
      <c r="AH306" s="2">
        <f>IF(AND($C306&lt;&gt;"",$E306=CurrentSeason,$F306="REG",ISNUMBER($G306),$G306&lt;CurrentWeek-1,AND($M306&lt;&gt;"",$N306&lt;&gt;"")),1,0)</f>
        <v>0</v>
      </c>
      <c r="AI306" s="2">
        <f>IF($AH306=0,0,IF($G306&gt;=CurrentWeek-1-RecencyWin,RecencyMult,1))</f>
        <v>0</v>
      </c>
      <c r="AJ306" s="2">
        <f>IF($AF306=0,0,IF($G306&gt;=CurrentWeek-RecencyWin,TotRecency,1))</f>
        <v>0</v>
      </c>
      <c r="AK306" s="2">
        <f t="shared" si="9"/>
        <v>0</v>
      </c>
      <c r="AL306" s="2">
        <f t="shared" si="10"/>
        <v>0</v>
      </c>
      <c r="AM306" s="2" t="str">
        <f t="array" ref="AM306">IF($K306="",0,IFERROR(INDEX(CALC!$F$2:$F$33,MATCH($K306,CALC!$A$2:$A$33,0)),0))</f>
        <v/>
      </c>
      <c r="AN306" s="2" t="str">
        <f t="array" ref="AN306">IF($K306="",0,IFERROR(INDEX(CALC!$I$2:$I$33,MATCH($K306,CALC!$A$2:$A$33,0)),0))</f>
        <v/>
      </c>
      <c r="AO306" s="2" t="str">
        <f t="array" ref="AO306">IF($K306="",0,IFERROR(INDEX(CALC!$L$2:$L$33,MATCH($K306,CALC!$A$2:$A$33,0)),0))</f>
        <v/>
      </c>
      <c r="AP306" s="2" t="str">
        <f t="array" ref="AP306">IF($K306="",0,IFERROR(INDEX(CALC!$T$2:$T$33,MATCH($K306,CALC!$A$2:$A$33,0)),0))</f>
        <v/>
      </c>
      <c r="AQ306" s="2" t="str">
        <f t="array" ref="AQ306">IF($K306="",0,IFERROR(INDEX(CALC!$W$2:$W$33,MATCH($K306,CALC!$A$2:$A$33,0)),0))</f>
        <v/>
      </c>
      <c r="AR306" s="2" t="str">
        <f t="array" ref="AR306">IF($K306="",0,IFERROR(INDEX(CALC!$Z$2:$Z$33,MATCH($K306,CALC!$A$2:$A$33,0)),0))</f>
        <v/>
      </c>
      <c r="AS306" s="2" t="str">
        <f t="array" ref="AS306">IF($K306="",0,IFERROR(INDEX(CALC!$AJ$2:$AJ$33,MATCH($K306,CALC!$A$2:$A$33,0)),0))</f>
        <v/>
      </c>
      <c r="AT306" s="2" t="str">
        <f t="array" ref="AT306">IF($K306="",0,IFERROR(INDEX(CALC!$AI$2:$AI$33,MATCH($K306,CALC!$A$2:$A$33,0)),0))</f>
        <v/>
      </c>
      <c r="AU306" s="2">
        <f t="shared" si="11"/>
        <v>0</v>
      </c>
      <c r="AV306" s="2">
        <f t="shared" si="12"/>
        <v>0</v>
      </c>
    </row>
    <row r="307" ht="15.0" customHeight="1">
      <c r="A307" s="2">
        <v>153.0</v>
      </c>
      <c r="B307" s="2" t="s">
        <v>2365</v>
      </c>
      <c r="C307" s="2">
        <f>IFERROR(MATCH($A307,SchedSeq,0),"")</f>
        <v>438</v>
      </c>
      <c r="D307" s="2" t="str">
        <f t="array" ref="D307">IF($C307="","",INDEX(SchedZone,$C307,MAP!$B$6))</f>
        <v>2026_11_BAL_CAR</v>
      </c>
      <c r="E307" s="2">
        <f t="array" ref="E307">IF($C307="","",INDEX(SchedZone,$C307,MAP!$B$3))</f>
        <v>2026</v>
      </c>
      <c r="F307" s="2" t="str">
        <f t="array" ref="F307">IF($C307="","",INDEX(SchedZone,$C307,MAP!$B$5))</f>
        <v>REG</v>
      </c>
      <c r="G307" s="2">
        <f t="array" ref="G307">IF($C307="","",INDEX(SchedZone,$C307,MAP!$B$4))</f>
        <v>11</v>
      </c>
      <c r="H307" s="2" t="str">
        <f t="array" ref="H307">IF($C307="","",INDEX(SchedZone,$C307,MAP!$B$12))</f>
        <v>CAR</v>
      </c>
      <c r="I307" s="2" t="str">
        <f t="array" ref="I307">IF($H307="","",IF(COUNTIF(Teams,$H307)&gt;0,$H307,IFERROR(INDEX(LISTS!$D$2:$D$12,MATCH($H307,LISTS!$C$2:$C$12,0)),"⚠ "&amp;$H307)))</f>
        <v>CAR</v>
      </c>
      <c r="J307" s="2" t="str">
        <f t="array" ref="J307">IF($C307="","",INDEX(SchedZone,$C307,MAP!$B$10))</f>
        <v>BAL</v>
      </c>
      <c r="K307" s="2" t="str">
        <f t="array" ref="K307">IF($J307="","",IF(COUNTIF(Teams,$J307)&gt;0,$J307,IFERROR(INDEX(LISTS!$D$2:$D$12,MATCH($J307,LISTS!$C$2:$C$12,0)),"⚠ "&amp;$J307)))</f>
        <v>BAL</v>
      </c>
      <c r="L307" s="2" t="str">
        <f t="array" ref="L307">IF($C307="","",IF(INDEX(SchedZone,$C307,MAP!$B$14)="Neutral","N",IF($B307="HOME","H","A")))</f>
        <v>H</v>
      </c>
      <c r="M307" s="2" t="str">
        <f t="array" ref="M307">IF($C307="","",IF(INDEX(SchedZone,$C307,MAP!$B$13)="","",INDEX(SchedZone,$C307,MAP!$B$13)))</f>
        <v/>
      </c>
      <c r="N307" s="2" t="str">
        <f t="array" ref="N307">IF($C307="","",IF(INDEX(SchedZone,$C307,MAP!$B$11)="","",INDEX(SchedZone,$C307,MAP!$B$11)))</f>
        <v/>
      </c>
      <c r="O307" s="2">
        <f t="array" ref="O307">IF($C307="","",INDEX(SchedZone,$C307,MAP!$B$16))</f>
        <v>7</v>
      </c>
      <c r="P307" s="2" t="str">
        <f>IF($C307="","",IFERROR(MATCH($E307&amp;"|"&amp;$G307&amp;"|"&amp;$I307,StatsKey,0),""))</f>
        <v/>
      </c>
      <c r="Q307" s="2">
        <f t="array" ref="Q307">IF($P307="",0,INDEX(StatsZone,$P307,MAP!$E$9)+INDEX(StatsZone,$P307,MAP!$E$10)+INDEX(StatsZone,$P307,MAP!$E$11))</f>
        <v>0</v>
      </c>
      <c r="R307" s="2">
        <f t="array" ref="R307">IF($P307="",0,INDEX(StatsZone,$P307,MAP!$E$12))</f>
        <v>0</v>
      </c>
      <c r="S307" s="2">
        <f t="array" ref="S307">IF($P307="",0,INDEX(StatsZone,$P307,MAP!$E$13))</f>
        <v>0</v>
      </c>
      <c r="T307" s="2">
        <f t="shared" si="1"/>
        <v>0</v>
      </c>
      <c r="U307" s="2">
        <f t="array" ref="U307">IF($P307="",0,INDEX(StatsZone,$P307,MAP!$E$14)+INDEX(StatsZone,$P307,MAP!$E$15)+INDEX(StatsZone,$P307,MAP!$E$16))</f>
        <v>0</v>
      </c>
      <c r="V307" s="2">
        <f t="shared" si="2"/>
        <v>0</v>
      </c>
      <c r="W307" s="2">
        <f t="shared" si="3"/>
        <v>0</v>
      </c>
      <c r="X307" s="2">
        <f t="shared" si="4"/>
        <v>0</v>
      </c>
      <c r="Y307" s="2">
        <f t="shared" si="5"/>
        <v>0</v>
      </c>
      <c r="Z307" s="2">
        <f t="shared" si="6"/>
        <v>0</v>
      </c>
      <c r="AA307" s="2">
        <f t="shared" si="7"/>
        <v>1</v>
      </c>
      <c r="AB307" s="2">
        <f>IF(OR($M307="",$N307=""),0,MEDIAN(-MarginCap,MarginCap,($M307-$N307)-$AA307*HFA_Base))</f>
        <v>0</v>
      </c>
      <c r="AC307" s="2">
        <f t="array" ref="AC307">IF(OR($P307="",INDEX($P$3:$P$722,(ROW()+IF(MOD(ROW()-3,2)=0,1,-1))-3+1)=""),0,MEDIAN(-MarginCap,MarginCap,($T307-$W307)-$AA307*HFA_Base))</f>
        <v>0</v>
      </c>
      <c r="AD307" s="2">
        <f t="shared" si="8"/>
        <v>0</v>
      </c>
      <c r="AE307" s="2">
        <f>IF(OR($M307="",$N307=""),0,IF(AND(WEpa&gt;0,$AD307=1),(1-WEpa)*$AB307+WEpa*$AC307,$AB307))</f>
        <v>0</v>
      </c>
      <c r="AF307" s="2">
        <f>IF(AND($C307&lt;&gt;"",$E307=CurrentSeason,$F307="REG",ISNUMBER($G307),$G307&lt;CurrentWeek,AND($M307&lt;&gt;"",$N307&lt;&gt;"")),1,0)</f>
        <v>0</v>
      </c>
      <c r="AG307" s="2">
        <f>IF($AF307=0,0,IF($G307&gt;=CurrentWeek-RecencyWin,RecencyMult,1))</f>
        <v>0</v>
      </c>
      <c r="AH307" s="2">
        <f>IF(AND($C307&lt;&gt;"",$E307=CurrentSeason,$F307="REG",ISNUMBER($G307),$G307&lt;CurrentWeek-1,AND($M307&lt;&gt;"",$N307&lt;&gt;"")),1,0)</f>
        <v>0</v>
      </c>
      <c r="AI307" s="2">
        <f>IF($AH307=0,0,IF($G307&gt;=CurrentWeek-1-RecencyWin,RecencyMult,1))</f>
        <v>0</v>
      </c>
      <c r="AJ307" s="2">
        <f>IF($AF307=0,0,IF($G307&gt;=CurrentWeek-RecencyWin,TotRecency,1))</f>
        <v>0</v>
      </c>
      <c r="AK307" s="2">
        <f t="shared" si="9"/>
        <v>0</v>
      </c>
      <c r="AL307" s="2">
        <f t="shared" si="10"/>
        <v>0</v>
      </c>
      <c r="AM307" s="2" t="str">
        <f t="array" ref="AM307">IF($K307="",0,IFERROR(INDEX(CALC!$F$2:$F$33,MATCH($K307,CALC!$A$2:$A$33,0)),0))</f>
        <v/>
      </c>
      <c r="AN307" s="2" t="str">
        <f t="array" ref="AN307">IF($K307="",0,IFERROR(INDEX(CALC!$I$2:$I$33,MATCH($K307,CALC!$A$2:$A$33,0)),0))</f>
        <v/>
      </c>
      <c r="AO307" s="2" t="str">
        <f t="array" ref="AO307">IF($K307="",0,IFERROR(INDEX(CALC!$L$2:$L$33,MATCH($K307,CALC!$A$2:$A$33,0)),0))</f>
        <v/>
      </c>
      <c r="AP307" s="2" t="str">
        <f t="array" ref="AP307">IF($K307="",0,IFERROR(INDEX(CALC!$T$2:$T$33,MATCH($K307,CALC!$A$2:$A$33,0)),0))</f>
        <v/>
      </c>
      <c r="AQ307" s="2" t="str">
        <f t="array" ref="AQ307">IF($K307="",0,IFERROR(INDEX(CALC!$W$2:$W$33,MATCH($K307,CALC!$A$2:$A$33,0)),0))</f>
        <v/>
      </c>
      <c r="AR307" s="2" t="str">
        <f t="array" ref="AR307">IF($K307="",0,IFERROR(INDEX(CALC!$Z$2:$Z$33,MATCH($K307,CALC!$A$2:$A$33,0)),0))</f>
        <v/>
      </c>
      <c r="AS307" s="2" t="str">
        <f t="array" ref="AS307">IF($K307="",0,IFERROR(INDEX(CALC!$AJ$2:$AJ$33,MATCH($K307,CALC!$A$2:$A$33,0)),0))</f>
        <v/>
      </c>
      <c r="AT307" s="2" t="str">
        <f t="array" ref="AT307">IF($K307="",0,IFERROR(INDEX(CALC!$AI$2:$AI$33,MATCH($K307,CALC!$A$2:$A$33,0)),0))</f>
        <v/>
      </c>
      <c r="AU307" s="2">
        <f t="shared" si="11"/>
        <v>0</v>
      </c>
      <c r="AV307" s="2">
        <f t="shared" si="12"/>
        <v>0</v>
      </c>
    </row>
    <row r="308" ht="15.0" customHeight="1">
      <c r="A308" s="2">
        <v>153.0</v>
      </c>
      <c r="B308" s="2" t="s">
        <v>2366</v>
      </c>
      <c r="C308" s="2">
        <f>IFERROR(MATCH($A308,SchedSeq,0),"")</f>
        <v>438</v>
      </c>
      <c r="D308" s="2" t="str">
        <f t="array" ref="D308">IF($C308="","",INDEX(SchedZone,$C308,MAP!$B$6))</f>
        <v>2026_11_BAL_CAR</v>
      </c>
      <c r="E308" s="2">
        <f t="array" ref="E308">IF($C308="","",INDEX(SchedZone,$C308,MAP!$B$3))</f>
        <v>2026</v>
      </c>
      <c r="F308" s="2" t="str">
        <f t="array" ref="F308">IF($C308="","",INDEX(SchedZone,$C308,MAP!$B$5))</f>
        <v>REG</v>
      </c>
      <c r="G308" s="2">
        <f t="array" ref="G308">IF($C308="","",INDEX(SchedZone,$C308,MAP!$B$4))</f>
        <v>11</v>
      </c>
      <c r="H308" s="2" t="str">
        <f t="array" ref="H308">IF($C308="","",INDEX(SchedZone,$C308,MAP!$B$10))</f>
        <v>BAL</v>
      </c>
      <c r="I308" s="2" t="str">
        <f t="array" ref="I308">IF($H308="","",IF(COUNTIF(Teams,$H308)&gt;0,$H308,IFERROR(INDEX(LISTS!$D$2:$D$12,MATCH($H308,LISTS!$C$2:$C$12,0)),"⚠ "&amp;$H308)))</f>
        <v>BAL</v>
      </c>
      <c r="J308" s="2" t="str">
        <f t="array" ref="J308">IF($C308="","",INDEX(SchedZone,$C308,MAP!$B$12))</f>
        <v>CAR</v>
      </c>
      <c r="K308" s="2" t="str">
        <f t="array" ref="K308">IF($J308="","",IF(COUNTIF(Teams,$J308)&gt;0,$J308,IFERROR(INDEX(LISTS!$D$2:$D$12,MATCH($J308,LISTS!$C$2:$C$12,0)),"⚠ "&amp;$J308)))</f>
        <v>CAR</v>
      </c>
      <c r="L308" s="2" t="str">
        <f t="array" ref="L308">IF($C308="","",IF(INDEX(SchedZone,$C308,MAP!$B$14)="Neutral","N",IF($B308="HOME","H","A")))</f>
        <v>A</v>
      </c>
      <c r="M308" s="2" t="str">
        <f t="array" ref="M308">IF($C308="","",IF(INDEX(SchedZone,$C308,MAP!$B$11)="","",INDEX(SchedZone,$C308,MAP!$B$11)))</f>
        <v/>
      </c>
      <c r="N308" s="2" t="str">
        <f t="array" ref="N308">IF($C308="","",IF(INDEX(SchedZone,$C308,MAP!$B$13)="","",INDEX(SchedZone,$C308,MAP!$B$13)))</f>
        <v/>
      </c>
      <c r="O308" s="2">
        <f t="array" ref="O308">IF($C308="","",INDEX(SchedZone,$C308,MAP!$B$15))</f>
        <v>6</v>
      </c>
      <c r="P308" s="2" t="str">
        <f>IF($C308="","",IFERROR(MATCH($E308&amp;"|"&amp;$G308&amp;"|"&amp;$I308,StatsKey,0),""))</f>
        <v/>
      </c>
      <c r="Q308" s="2">
        <f t="array" ref="Q308">IF($P308="",0,INDEX(StatsZone,$P308,MAP!$E$9)+INDEX(StatsZone,$P308,MAP!$E$10)+INDEX(StatsZone,$P308,MAP!$E$11))</f>
        <v>0</v>
      </c>
      <c r="R308" s="2">
        <f t="array" ref="R308">IF($P308="",0,INDEX(StatsZone,$P308,MAP!$E$12))</f>
        <v>0</v>
      </c>
      <c r="S308" s="2">
        <f t="array" ref="S308">IF($P308="",0,INDEX(StatsZone,$P308,MAP!$E$13))</f>
        <v>0</v>
      </c>
      <c r="T308" s="2">
        <f t="shared" si="1"/>
        <v>0</v>
      </c>
      <c r="U308" s="2">
        <f t="array" ref="U308">IF($P308="",0,INDEX(StatsZone,$P308,MAP!$E$14)+INDEX(StatsZone,$P308,MAP!$E$15)+INDEX(StatsZone,$P308,MAP!$E$16))</f>
        <v>0</v>
      </c>
      <c r="V308" s="2">
        <f t="shared" si="2"/>
        <v>0</v>
      </c>
      <c r="W308" s="2">
        <f t="shared" si="3"/>
        <v>0</v>
      </c>
      <c r="X308" s="2">
        <f t="shared" si="4"/>
        <v>0</v>
      </c>
      <c r="Y308" s="2">
        <f t="shared" si="5"/>
        <v>0</v>
      </c>
      <c r="Z308" s="2">
        <f t="shared" si="6"/>
        <v>0</v>
      </c>
      <c r="AA308" s="2">
        <f t="shared" si="7"/>
        <v>-1</v>
      </c>
      <c r="AB308" s="2">
        <f>IF(OR($M308="",$N308=""),0,MEDIAN(-MarginCap,MarginCap,($M308-$N308)-$AA308*HFA_Base))</f>
        <v>0</v>
      </c>
      <c r="AC308" s="2">
        <f t="array" ref="AC308">IF(OR($P308="",INDEX($P$3:$P$722,(ROW()+IF(MOD(ROW()-3,2)=0,1,-1))-3+1)=""),0,MEDIAN(-MarginCap,MarginCap,($T308-$W308)-$AA308*HFA_Base))</f>
        <v>0</v>
      </c>
      <c r="AD308" s="2">
        <f t="shared" si="8"/>
        <v>0</v>
      </c>
      <c r="AE308" s="2">
        <f>IF(OR($M308="",$N308=""),0,IF(AND(WEpa&gt;0,$AD308=1),(1-WEpa)*$AB308+WEpa*$AC308,$AB308))</f>
        <v>0</v>
      </c>
      <c r="AF308" s="2">
        <f>IF(AND($C308&lt;&gt;"",$E308=CurrentSeason,$F308="REG",ISNUMBER($G308),$G308&lt;CurrentWeek,AND($M308&lt;&gt;"",$N308&lt;&gt;"")),1,0)</f>
        <v>0</v>
      </c>
      <c r="AG308" s="2">
        <f>IF($AF308=0,0,IF($G308&gt;=CurrentWeek-RecencyWin,RecencyMult,1))</f>
        <v>0</v>
      </c>
      <c r="AH308" s="2">
        <f>IF(AND($C308&lt;&gt;"",$E308=CurrentSeason,$F308="REG",ISNUMBER($G308),$G308&lt;CurrentWeek-1,AND($M308&lt;&gt;"",$N308&lt;&gt;"")),1,0)</f>
        <v>0</v>
      </c>
      <c r="AI308" s="2">
        <f>IF($AH308=0,0,IF($G308&gt;=CurrentWeek-1-RecencyWin,RecencyMult,1))</f>
        <v>0</v>
      </c>
      <c r="AJ308" s="2">
        <f>IF($AF308=0,0,IF($G308&gt;=CurrentWeek-RecencyWin,TotRecency,1))</f>
        <v>0</v>
      </c>
      <c r="AK308" s="2">
        <f t="shared" si="9"/>
        <v>0</v>
      </c>
      <c r="AL308" s="2">
        <f t="shared" si="10"/>
        <v>0</v>
      </c>
      <c r="AM308" s="2" t="str">
        <f t="array" ref="AM308">IF($K308="",0,IFERROR(INDEX(CALC!$F$2:$F$33,MATCH($K308,CALC!$A$2:$A$33,0)),0))</f>
        <v/>
      </c>
      <c r="AN308" s="2" t="str">
        <f t="array" ref="AN308">IF($K308="",0,IFERROR(INDEX(CALC!$I$2:$I$33,MATCH($K308,CALC!$A$2:$A$33,0)),0))</f>
        <v/>
      </c>
      <c r="AO308" s="2" t="str">
        <f t="array" ref="AO308">IF($K308="",0,IFERROR(INDEX(CALC!$L$2:$L$33,MATCH($K308,CALC!$A$2:$A$33,0)),0))</f>
        <v/>
      </c>
      <c r="AP308" s="2" t="str">
        <f t="array" ref="AP308">IF($K308="",0,IFERROR(INDEX(CALC!$T$2:$T$33,MATCH($K308,CALC!$A$2:$A$33,0)),0))</f>
        <v/>
      </c>
      <c r="AQ308" s="2" t="str">
        <f t="array" ref="AQ308">IF($K308="",0,IFERROR(INDEX(CALC!$W$2:$W$33,MATCH($K308,CALC!$A$2:$A$33,0)),0))</f>
        <v/>
      </c>
      <c r="AR308" s="2" t="str">
        <f t="array" ref="AR308">IF($K308="",0,IFERROR(INDEX(CALC!$Z$2:$Z$33,MATCH($K308,CALC!$A$2:$A$33,0)),0))</f>
        <v/>
      </c>
      <c r="AS308" s="2" t="str">
        <f t="array" ref="AS308">IF($K308="",0,IFERROR(INDEX(CALC!$AJ$2:$AJ$33,MATCH($K308,CALC!$A$2:$A$33,0)),0))</f>
        <v/>
      </c>
      <c r="AT308" s="2" t="str">
        <f t="array" ref="AT308">IF($K308="",0,IFERROR(INDEX(CALC!$AI$2:$AI$33,MATCH($K308,CALC!$A$2:$A$33,0)),0))</f>
        <v/>
      </c>
      <c r="AU308" s="2">
        <f t="shared" si="11"/>
        <v>0</v>
      </c>
      <c r="AV308" s="2">
        <f t="shared" si="12"/>
        <v>0</v>
      </c>
    </row>
    <row r="309" ht="15.0" customHeight="1">
      <c r="A309" s="2">
        <v>154.0</v>
      </c>
      <c r="B309" s="2" t="s">
        <v>2365</v>
      </c>
      <c r="C309" s="2">
        <f>IFERROR(MATCH($A309,SchedSeq,0),"")</f>
        <v>439</v>
      </c>
      <c r="D309" s="2" t="str">
        <f t="array" ref="D309">IF($C309="","",INDEX(SchedZone,$C309,MAP!$B$6))</f>
        <v>2026_11_NO_CHI</v>
      </c>
      <c r="E309" s="2">
        <f t="array" ref="E309">IF($C309="","",INDEX(SchedZone,$C309,MAP!$B$3))</f>
        <v>2026</v>
      </c>
      <c r="F309" s="2" t="str">
        <f t="array" ref="F309">IF($C309="","",INDEX(SchedZone,$C309,MAP!$B$5))</f>
        <v>REG</v>
      </c>
      <c r="G309" s="2">
        <f t="array" ref="G309">IF($C309="","",INDEX(SchedZone,$C309,MAP!$B$4))</f>
        <v>11</v>
      </c>
      <c r="H309" s="2" t="str">
        <f t="array" ref="H309">IF($C309="","",INDEX(SchedZone,$C309,MAP!$B$12))</f>
        <v>CHI</v>
      </c>
      <c r="I309" s="2" t="str">
        <f t="array" ref="I309">IF($H309="","",IF(COUNTIF(Teams,$H309)&gt;0,$H309,IFERROR(INDEX(LISTS!$D$2:$D$12,MATCH($H309,LISTS!$C$2:$C$12,0)),"⚠ "&amp;$H309)))</f>
        <v>CHI</v>
      </c>
      <c r="J309" s="2" t="str">
        <f t="array" ref="J309">IF($C309="","",INDEX(SchedZone,$C309,MAP!$B$10))</f>
        <v>NO</v>
      </c>
      <c r="K309" s="2" t="str">
        <f t="array" ref="K309">IF($J309="","",IF(COUNTIF(Teams,$J309)&gt;0,$J309,IFERROR(INDEX(LISTS!$D$2:$D$12,MATCH($J309,LISTS!$C$2:$C$12,0)),"⚠ "&amp;$J309)))</f>
        <v>NO</v>
      </c>
      <c r="L309" s="2" t="str">
        <f t="array" ref="L309">IF($C309="","",IF(INDEX(SchedZone,$C309,MAP!$B$14)="Neutral","N",IF($B309="HOME","H","A")))</f>
        <v>H</v>
      </c>
      <c r="M309" s="2" t="str">
        <f t="array" ref="M309">IF($C309="","",IF(INDEX(SchedZone,$C309,MAP!$B$13)="","",INDEX(SchedZone,$C309,MAP!$B$13)))</f>
        <v/>
      </c>
      <c r="N309" s="2" t="str">
        <f t="array" ref="N309">IF($C309="","",IF(INDEX(SchedZone,$C309,MAP!$B$11)="","",INDEX(SchedZone,$C309,MAP!$B$11)))</f>
        <v/>
      </c>
      <c r="O309" s="2">
        <f t="array" ref="O309">IF($C309="","",INDEX(SchedZone,$C309,MAP!$B$16))</f>
        <v>14</v>
      </c>
      <c r="P309" s="2" t="str">
        <f>IF($C309="","",IFERROR(MATCH($E309&amp;"|"&amp;$G309&amp;"|"&amp;$I309,StatsKey,0),""))</f>
        <v/>
      </c>
      <c r="Q309" s="2">
        <f t="array" ref="Q309">IF($P309="",0,INDEX(StatsZone,$P309,MAP!$E$9)+INDEX(StatsZone,$P309,MAP!$E$10)+INDEX(StatsZone,$P309,MAP!$E$11))</f>
        <v>0</v>
      </c>
      <c r="R309" s="2">
        <f t="array" ref="R309">IF($P309="",0,INDEX(StatsZone,$P309,MAP!$E$12))</f>
        <v>0</v>
      </c>
      <c r="S309" s="2">
        <f t="array" ref="S309">IF($P309="",0,INDEX(StatsZone,$P309,MAP!$E$13))</f>
        <v>0</v>
      </c>
      <c r="T309" s="2">
        <f t="shared" si="1"/>
        <v>0</v>
      </c>
      <c r="U309" s="2">
        <f t="array" ref="U309">IF($P309="",0,INDEX(StatsZone,$P309,MAP!$E$14)+INDEX(StatsZone,$P309,MAP!$E$15)+INDEX(StatsZone,$P309,MAP!$E$16))</f>
        <v>0</v>
      </c>
      <c r="V309" s="2">
        <f t="shared" si="2"/>
        <v>0</v>
      </c>
      <c r="W309" s="2">
        <f t="shared" si="3"/>
        <v>0</v>
      </c>
      <c r="X309" s="2">
        <f t="shared" si="4"/>
        <v>0</v>
      </c>
      <c r="Y309" s="2">
        <f t="shared" si="5"/>
        <v>0</v>
      </c>
      <c r="Z309" s="2">
        <f t="shared" si="6"/>
        <v>0</v>
      </c>
      <c r="AA309" s="2">
        <f t="shared" si="7"/>
        <v>1</v>
      </c>
      <c r="AB309" s="2">
        <f>IF(OR($M309="",$N309=""),0,MEDIAN(-MarginCap,MarginCap,($M309-$N309)-$AA309*HFA_Base))</f>
        <v>0</v>
      </c>
      <c r="AC309" s="2">
        <f t="array" ref="AC309">IF(OR($P309="",INDEX($P$3:$P$722,(ROW()+IF(MOD(ROW()-3,2)=0,1,-1))-3+1)=""),0,MEDIAN(-MarginCap,MarginCap,($T309-$W309)-$AA309*HFA_Base))</f>
        <v>0</v>
      </c>
      <c r="AD309" s="2">
        <f t="shared" si="8"/>
        <v>0</v>
      </c>
      <c r="AE309" s="2">
        <f>IF(OR($M309="",$N309=""),0,IF(AND(WEpa&gt;0,$AD309=1),(1-WEpa)*$AB309+WEpa*$AC309,$AB309))</f>
        <v>0</v>
      </c>
      <c r="AF309" s="2">
        <f>IF(AND($C309&lt;&gt;"",$E309=CurrentSeason,$F309="REG",ISNUMBER($G309),$G309&lt;CurrentWeek,AND($M309&lt;&gt;"",$N309&lt;&gt;"")),1,0)</f>
        <v>0</v>
      </c>
      <c r="AG309" s="2">
        <f>IF($AF309=0,0,IF($G309&gt;=CurrentWeek-RecencyWin,RecencyMult,1))</f>
        <v>0</v>
      </c>
      <c r="AH309" s="2">
        <f>IF(AND($C309&lt;&gt;"",$E309=CurrentSeason,$F309="REG",ISNUMBER($G309),$G309&lt;CurrentWeek-1,AND($M309&lt;&gt;"",$N309&lt;&gt;"")),1,0)</f>
        <v>0</v>
      </c>
      <c r="AI309" s="2">
        <f>IF($AH309=0,0,IF($G309&gt;=CurrentWeek-1-RecencyWin,RecencyMult,1))</f>
        <v>0</v>
      </c>
      <c r="AJ309" s="2">
        <f>IF($AF309=0,0,IF($G309&gt;=CurrentWeek-RecencyWin,TotRecency,1))</f>
        <v>0</v>
      </c>
      <c r="AK309" s="2">
        <f t="shared" si="9"/>
        <v>0</v>
      </c>
      <c r="AL309" s="2">
        <f t="shared" si="10"/>
        <v>0</v>
      </c>
      <c r="AM309" s="2" t="str">
        <f t="array" ref="AM309">IF($K309="",0,IFERROR(INDEX(CALC!$F$2:$F$33,MATCH($K309,CALC!$A$2:$A$33,0)),0))</f>
        <v/>
      </c>
      <c r="AN309" s="2" t="str">
        <f t="array" ref="AN309">IF($K309="",0,IFERROR(INDEX(CALC!$I$2:$I$33,MATCH($K309,CALC!$A$2:$A$33,0)),0))</f>
        <v/>
      </c>
      <c r="AO309" s="2" t="str">
        <f t="array" ref="AO309">IF($K309="",0,IFERROR(INDEX(CALC!$L$2:$L$33,MATCH($K309,CALC!$A$2:$A$33,0)),0))</f>
        <v/>
      </c>
      <c r="AP309" s="2" t="str">
        <f t="array" ref="AP309">IF($K309="",0,IFERROR(INDEX(CALC!$T$2:$T$33,MATCH($K309,CALC!$A$2:$A$33,0)),0))</f>
        <v/>
      </c>
      <c r="AQ309" s="2" t="str">
        <f t="array" ref="AQ309">IF($K309="",0,IFERROR(INDEX(CALC!$W$2:$W$33,MATCH($K309,CALC!$A$2:$A$33,0)),0))</f>
        <v/>
      </c>
      <c r="AR309" s="2" t="str">
        <f t="array" ref="AR309">IF($K309="",0,IFERROR(INDEX(CALC!$Z$2:$Z$33,MATCH($K309,CALC!$A$2:$A$33,0)),0))</f>
        <v/>
      </c>
      <c r="AS309" s="2" t="str">
        <f t="array" ref="AS309">IF($K309="",0,IFERROR(INDEX(CALC!$AJ$2:$AJ$33,MATCH($K309,CALC!$A$2:$A$33,0)),0))</f>
        <v/>
      </c>
      <c r="AT309" s="2" t="str">
        <f t="array" ref="AT309">IF($K309="",0,IFERROR(INDEX(CALC!$AI$2:$AI$33,MATCH($K309,CALC!$A$2:$A$33,0)),0))</f>
        <v/>
      </c>
      <c r="AU309" s="2">
        <f t="shared" si="11"/>
        <v>0</v>
      </c>
      <c r="AV309" s="2">
        <f t="shared" si="12"/>
        <v>0</v>
      </c>
    </row>
    <row r="310" ht="15.0" customHeight="1">
      <c r="A310" s="2">
        <v>154.0</v>
      </c>
      <c r="B310" s="2" t="s">
        <v>2366</v>
      </c>
      <c r="C310" s="2">
        <f>IFERROR(MATCH($A310,SchedSeq,0),"")</f>
        <v>439</v>
      </c>
      <c r="D310" s="2" t="str">
        <f t="array" ref="D310">IF($C310="","",INDEX(SchedZone,$C310,MAP!$B$6))</f>
        <v>2026_11_NO_CHI</v>
      </c>
      <c r="E310" s="2">
        <f t="array" ref="E310">IF($C310="","",INDEX(SchedZone,$C310,MAP!$B$3))</f>
        <v>2026</v>
      </c>
      <c r="F310" s="2" t="str">
        <f t="array" ref="F310">IF($C310="","",INDEX(SchedZone,$C310,MAP!$B$5))</f>
        <v>REG</v>
      </c>
      <c r="G310" s="2">
        <f t="array" ref="G310">IF($C310="","",INDEX(SchedZone,$C310,MAP!$B$4))</f>
        <v>11</v>
      </c>
      <c r="H310" s="2" t="str">
        <f t="array" ref="H310">IF($C310="","",INDEX(SchedZone,$C310,MAP!$B$10))</f>
        <v>NO</v>
      </c>
      <c r="I310" s="2" t="str">
        <f t="array" ref="I310">IF($H310="","",IF(COUNTIF(Teams,$H310)&gt;0,$H310,IFERROR(INDEX(LISTS!$D$2:$D$12,MATCH($H310,LISTS!$C$2:$C$12,0)),"⚠ "&amp;$H310)))</f>
        <v>NO</v>
      </c>
      <c r="J310" s="2" t="str">
        <f t="array" ref="J310">IF($C310="","",INDEX(SchedZone,$C310,MAP!$B$12))</f>
        <v>CHI</v>
      </c>
      <c r="K310" s="2" t="str">
        <f t="array" ref="K310">IF($J310="","",IF(COUNTIF(Teams,$J310)&gt;0,$J310,IFERROR(INDEX(LISTS!$D$2:$D$12,MATCH($J310,LISTS!$C$2:$C$12,0)),"⚠ "&amp;$J310)))</f>
        <v>CHI</v>
      </c>
      <c r="L310" s="2" t="str">
        <f t="array" ref="L310">IF($C310="","",IF(INDEX(SchedZone,$C310,MAP!$B$14)="Neutral","N",IF($B310="HOME","H","A")))</f>
        <v>A</v>
      </c>
      <c r="M310" s="2" t="str">
        <f t="array" ref="M310">IF($C310="","",IF(INDEX(SchedZone,$C310,MAP!$B$11)="","",INDEX(SchedZone,$C310,MAP!$B$11)))</f>
        <v/>
      </c>
      <c r="N310" s="2" t="str">
        <f t="array" ref="N310">IF($C310="","",IF(INDEX(SchedZone,$C310,MAP!$B$13)="","",INDEX(SchedZone,$C310,MAP!$B$13)))</f>
        <v/>
      </c>
      <c r="O310" s="2">
        <f t="array" ref="O310">IF($C310="","",INDEX(SchedZone,$C310,MAP!$B$15))</f>
        <v>7</v>
      </c>
      <c r="P310" s="2" t="str">
        <f>IF($C310="","",IFERROR(MATCH($E310&amp;"|"&amp;$G310&amp;"|"&amp;$I310,StatsKey,0),""))</f>
        <v/>
      </c>
      <c r="Q310" s="2">
        <f t="array" ref="Q310">IF($P310="",0,INDEX(StatsZone,$P310,MAP!$E$9)+INDEX(StatsZone,$P310,MAP!$E$10)+INDEX(StatsZone,$P310,MAP!$E$11))</f>
        <v>0</v>
      </c>
      <c r="R310" s="2">
        <f t="array" ref="R310">IF($P310="",0,INDEX(StatsZone,$P310,MAP!$E$12))</f>
        <v>0</v>
      </c>
      <c r="S310" s="2">
        <f t="array" ref="S310">IF($P310="",0,INDEX(StatsZone,$P310,MAP!$E$13))</f>
        <v>0</v>
      </c>
      <c r="T310" s="2">
        <f t="shared" si="1"/>
        <v>0</v>
      </c>
      <c r="U310" s="2">
        <f t="array" ref="U310">IF($P310="",0,INDEX(StatsZone,$P310,MAP!$E$14)+INDEX(StatsZone,$P310,MAP!$E$15)+INDEX(StatsZone,$P310,MAP!$E$16))</f>
        <v>0</v>
      </c>
      <c r="V310" s="2">
        <f t="shared" si="2"/>
        <v>0</v>
      </c>
      <c r="W310" s="2">
        <f t="shared" si="3"/>
        <v>0</v>
      </c>
      <c r="X310" s="2">
        <f t="shared" si="4"/>
        <v>0</v>
      </c>
      <c r="Y310" s="2">
        <f t="shared" si="5"/>
        <v>0</v>
      </c>
      <c r="Z310" s="2">
        <f t="shared" si="6"/>
        <v>0</v>
      </c>
      <c r="AA310" s="2">
        <f t="shared" si="7"/>
        <v>-1</v>
      </c>
      <c r="AB310" s="2">
        <f>IF(OR($M310="",$N310=""),0,MEDIAN(-MarginCap,MarginCap,($M310-$N310)-$AA310*HFA_Base))</f>
        <v>0</v>
      </c>
      <c r="AC310" s="2">
        <f t="array" ref="AC310">IF(OR($P310="",INDEX($P$3:$P$722,(ROW()+IF(MOD(ROW()-3,2)=0,1,-1))-3+1)=""),0,MEDIAN(-MarginCap,MarginCap,($T310-$W310)-$AA310*HFA_Base))</f>
        <v>0</v>
      </c>
      <c r="AD310" s="2">
        <f t="shared" si="8"/>
        <v>0</v>
      </c>
      <c r="AE310" s="2">
        <f>IF(OR($M310="",$N310=""),0,IF(AND(WEpa&gt;0,$AD310=1),(1-WEpa)*$AB310+WEpa*$AC310,$AB310))</f>
        <v>0</v>
      </c>
      <c r="AF310" s="2">
        <f>IF(AND($C310&lt;&gt;"",$E310=CurrentSeason,$F310="REG",ISNUMBER($G310),$G310&lt;CurrentWeek,AND($M310&lt;&gt;"",$N310&lt;&gt;"")),1,0)</f>
        <v>0</v>
      </c>
      <c r="AG310" s="2">
        <f>IF($AF310=0,0,IF($G310&gt;=CurrentWeek-RecencyWin,RecencyMult,1))</f>
        <v>0</v>
      </c>
      <c r="AH310" s="2">
        <f>IF(AND($C310&lt;&gt;"",$E310=CurrentSeason,$F310="REG",ISNUMBER($G310),$G310&lt;CurrentWeek-1,AND($M310&lt;&gt;"",$N310&lt;&gt;"")),1,0)</f>
        <v>0</v>
      </c>
      <c r="AI310" s="2">
        <f>IF($AH310=0,0,IF($G310&gt;=CurrentWeek-1-RecencyWin,RecencyMult,1))</f>
        <v>0</v>
      </c>
      <c r="AJ310" s="2">
        <f>IF($AF310=0,0,IF($G310&gt;=CurrentWeek-RecencyWin,TotRecency,1))</f>
        <v>0</v>
      </c>
      <c r="AK310" s="2">
        <f t="shared" si="9"/>
        <v>0</v>
      </c>
      <c r="AL310" s="2">
        <f t="shared" si="10"/>
        <v>0</v>
      </c>
      <c r="AM310" s="2" t="str">
        <f t="array" ref="AM310">IF($K310="",0,IFERROR(INDEX(CALC!$F$2:$F$33,MATCH($K310,CALC!$A$2:$A$33,0)),0))</f>
        <v/>
      </c>
      <c r="AN310" s="2" t="str">
        <f t="array" ref="AN310">IF($K310="",0,IFERROR(INDEX(CALC!$I$2:$I$33,MATCH($K310,CALC!$A$2:$A$33,0)),0))</f>
        <v/>
      </c>
      <c r="AO310" s="2" t="str">
        <f t="array" ref="AO310">IF($K310="",0,IFERROR(INDEX(CALC!$L$2:$L$33,MATCH($K310,CALC!$A$2:$A$33,0)),0))</f>
        <v/>
      </c>
      <c r="AP310" s="2" t="str">
        <f t="array" ref="AP310">IF($K310="",0,IFERROR(INDEX(CALC!$T$2:$T$33,MATCH($K310,CALC!$A$2:$A$33,0)),0))</f>
        <v/>
      </c>
      <c r="AQ310" s="2" t="str">
        <f t="array" ref="AQ310">IF($K310="",0,IFERROR(INDEX(CALC!$W$2:$W$33,MATCH($K310,CALC!$A$2:$A$33,0)),0))</f>
        <v/>
      </c>
      <c r="AR310" s="2" t="str">
        <f t="array" ref="AR310">IF($K310="",0,IFERROR(INDEX(CALC!$Z$2:$Z$33,MATCH($K310,CALC!$A$2:$A$33,0)),0))</f>
        <v/>
      </c>
      <c r="AS310" s="2" t="str">
        <f t="array" ref="AS310">IF($K310="",0,IFERROR(INDEX(CALC!$AJ$2:$AJ$33,MATCH($K310,CALC!$A$2:$A$33,0)),0))</f>
        <v/>
      </c>
      <c r="AT310" s="2" t="str">
        <f t="array" ref="AT310">IF($K310="",0,IFERROR(INDEX(CALC!$AI$2:$AI$33,MATCH($K310,CALC!$A$2:$A$33,0)),0))</f>
        <v/>
      </c>
      <c r="AU310" s="2">
        <f t="shared" si="11"/>
        <v>0</v>
      </c>
      <c r="AV310" s="2">
        <f t="shared" si="12"/>
        <v>0</v>
      </c>
    </row>
    <row r="311" ht="15.0" customHeight="1">
      <c r="A311" s="2">
        <v>155.0</v>
      </c>
      <c r="B311" s="2" t="s">
        <v>2365</v>
      </c>
      <c r="C311" s="2">
        <f>IFERROR(MATCH($A311,SchedSeq,0),"")</f>
        <v>440</v>
      </c>
      <c r="D311" s="2" t="str">
        <f t="array" ref="D311">IF($C311="","",INDEX(SchedZone,$C311,MAP!$B$6))</f>
        <v>2026_11_TEN_DAL</v>
      </c>
      <c r="E311" s="2">
        <f t="array" ref="E311">IF($C311="","",INDEX(SchedZone,$C311,MAP!$B$3))</f>
        <v>2026</v>
      </c>
      <c r="F311" s="2" t="str">
        <f t="array" ref="F311">IF($C311="","",INDEX(SchedZone,$C311,MAP!$B$5))</f>
        <v>REG</v>
      </c>
      <c r="G311" s="2">
        <f t="array" ref="G311">IF($C311="","",INDEX(SchedZone,$C311,MAP!$B$4))</f>
        <v>11</v>
      </c>
      <c r="H311" s="2" t="str">
        <f t="array" ref="H311">IF($C311="","",INDEX(SchedZone,$C311,MAP!$B$12))</f>
        <v>DAL</v>
      </c>
      <c r="I311" s="2" t="str">
        <f t="array" ref="I311">IF($H311="","",IF(COUNTIF(Teams,$H311)&gt;0,$H311,IFERROR(INDEX(LISTS!$D$2:$D$12,MATCH($H311,LISTS!$C$2:$C$12,0)),"⚠ "&amp;$H311)))</f>
        <v>DAL</v>
      </c>
      <c r="J311" s="2" t="str">
        <f t="array" ref="J311">IF($C311="","",INDEX(SchedZone,$C311,MAP!$B$10))</f>
        <v>TEN</v>
      </c>
      <c r="K311" s="2" t="str">
        <f t="array" ref="K311">IF($J311="","",IF(COUNTIF(Teams,$J311)&gt;0,$J311,IFERROR(INDEX(LISTS!$D$2:$D$12,MATCH($J311,LISTS!$C$2:$C$12,0)),"⚠ "&amp;$J311)))</f>
        <v>TEN</v>
      </c>
      <c r="L311" s="2" t="str">
        <f t="array" ref="L311">IF($C311="","",IF(INDEX(SchedZone,$C311,MAP!$B$14)="Neutral","N",IF($B311="HOME","H","A")))</f>
        <v>H</v>
      </c>
      <c r="M311" s="2" t="str">
        <f t="array" ref="M311">IF($C311="","",IF(INDEX(SchedZone,$C311,MAP!$B$13)="","",INDEX(SchedZone,$C311,MAP!$B$13)))</f>
        <v/>
      </c>
      <c r="N311" s="2" t="str">
        <f t="array" ref="N311">IF($C311="","",IF(INDEX(SchedZone,$C311,MAP!$B$11)="","",INDEX(SchedZone,$C311,MAP!$B$11)))</f>
        <v/>
      </c>
      <c r="O311" s="2">
        <f t="array" ref="O311">IF($C311="","",INDEX(SchedZone,$C311,MAP!$B$16))</f>
        <v>7</v>
      </c>
      <c r="P311" s="2" t="str">
        <f>IF($C311="","",IFERROR(MATCH($E311&amp;"|"&amp;$G311&amp;"|"&amp;$I311,StatsKey,0),""))</f>
        <v/>
      </c>
      <c r="Q311" s="2">
        <f t="array" ref="Q311">IF($P311="",0,INDEX(StatsZone,$P311,MAP!$E$9)+INDEX(StatsZone,$P311,MAP!$E$10)+INDEX(StatsZone,$P311,MAP!$E$11))</f>
        <v>0</v>
      </c>
      <c r="R311" s="2">
        <f t="array" ref="R311">IF($P311="",0,INDEX(StatsZone,$P311,MAP!$E$12))</f>
        <v>0</v>
      </c>
      <c r="S311" s="2">
        <f t="array" ref="S311">IF($P311="",0,INDEX(StatsZone,$P311,MAP!$E$13))</f>
        <v>0</v>
      </c>
      <c r="T311" s="2">
        <f t="shared" si="1"/>
        <v>0</v>
      </c>
      <c r="U311" s="2">
        <f t="array" ref="U311">IF($P311="",0,INDEX(StatsZone,$P311,MAP!$E$14)+INDEX(StatsZone,$P311,MAP!$E$15)+INDEX(StatsZone,$P311,MAP!$E$16))</f>
        <v>0</v>
      </c>
      <c r="V311" s="2">
        <f t="shared" si="2"/>
        <v>0</v>
      </c>
      <c r="W311" s="2">
        <f t="shared" si="3"/>
        <v>0</v>
      </c>
      <c r="X311" s="2">
        <f t="shared" si="4"/>
        <v>0</v>
      </c>
      <c r="Y311" s="2">
        <f t="shared" si="5"/>
        <v>0</v>
      </c>
      <c r="Z311" s="2">
        <f t="shared" si="6"/>
        <v>0</v>
      </c>
      <c r="AA311" s="2">
        <f t="shared" si="7"/>
        <v>1</v>
      </c>
      <c r="AB311" s="2">
        <f>IF(OR($M311="",$N311=""),0,MEDIAN(-MarginCap,MarginCap,($M311-$N311)-$AA311*HFA_Base))</f>
        <v>0</v>
      </c>
      <c r="AC311" s="2">
        <f t="array" ref="AC311">IF(OR($P311="",INDEX($P$3:$P$722,(ROW()+IF(MOD(ROW()-3,2)=0,1,-1))-3+1)=""),0,MEDIAN(-MarginCap,MarginCap,($T311-$W311)-$AA311*HFA_Base))</f>
        <v>0</v>
      </c>
      <c r="AD311" s="2">
        <f t="shared" si="8"/>
        <v>0</v>
      </c>
      <c r="AE311" s="2">
        <f>IF(OR($M311="",$N311=""),0,IF(AND(WEpa&gt;0,$AD311=1),(1-WEpa)*$AB311+WEpa*$AC311,$AB311))</f>
        <v>0</v>
      </c>
      <c r="AF311" s="2">
        <f>IF(AND($C311&lt;&gt;"",$E311=CurrentSeason,$F311="REG",ISNUMBER($G311),$G311&lt;CurrentWeek,AND($M311&lt;&gt;"",$N311&lt;&gt;"")),1,0)</f>
        <v>0</v>
      </c>
      <c r="AG311" s="2">
        <f>IF($AF311=0,0,IF($G311&gt;=CurrentWeek-RecencyWin,RecencyMult,1))</f>
        <v>0</v>
      </c>
      <c r="AH311" s="2">
        <f>IF(AND($C311&lt;&gt;"",$E311=CurrentSeason,$F311="REG",ISNUMBER($G311),$G311&lt;CurrentWeek-1,AND($M311&lt;&gt;"",$N311&lt;&gt;"")),1,0)</f>
        <v>0</v>
      </c>
      <c r="AI311" s="2">
        <f>IF($AH311=0,0,IF($G311&gt;=CurrentWeek-1-RecencyWin,RecencyMult,1))</f>
        <v>0</v>
      </c>
      <c r="AJ311" s="2">
        <f>IF($AF311=0,0,IF($G311&gt;=CurrentWeek-RecencyWin,TotRecency,1))</f>
        <v>0</v>
      </c>
      <c r="AK311" s="2">
        <f t="shared" si="9"/>
        <v>0</v>
      </c>
      <c r="AL311" s="2">
        <f t="shared" si="10"/>
        <v>0</v>
      </c>
      <c r="AM311" s="2" t="str">
        <f t="array" ref="AM311">IF($K311="",0,IFERROR(INDEX(CALC!$F$2:$F$33,MATCH($K311,CALC!$A$2:$A$33,0)),0))</f>
        <v/>
      </c>
      <c r="AN311" s="2" t="str">
        <f t="array" ref="AN311">IF($K311="",0,IFERROR(INDEX(CALC!$I$2:$I$33,MATCH($K311,CALC!$A$2:$A$33,0)),0))</f>
        <v/>
      </c>
      <c r="AO311" s="2" t="str">
        <f t="array" ref="AO311">IF($K311="",0,IFERROR(INDEX(CALC!$L$2:$L$33,MATCH($K311,CALC!$A$2:$A$33,0)),0))</f>
        <v/>
      </c>
      <c r="AP311" s="2" t="str">
        <f t="array" ref="AP311">IF($K311="",0,IFERROR(INDEX(CALC!$T$2:$T$33,MATCH($K311,CALC!$A$2:$A$33,0)),0))</f>
        <v/>
      </c>
      <c r="AQ311" s="2" t="str">
        <f t="array" ref="AQ311">IF($K311="",0,IFERROR(INDEX(CALC!$W$2:$W$33,MATCH($K311,CALC!$A$2:$A$33,0)),0))</f>
        <v/>
      </c>
      <c r="AR311" s="2" t="str">
        <f t="array" ref="AR311">IF($K311="",0,IFERROR(INDEX(CALC!$Z$2:$Z$33,MATCH($K311,CALC!$A$2:$A$33,0)),0))</f>
        <v/>
      </c>
      <c r="AS311" s="2" t="str">
        <f t="array" ref="AS311">IF($K311="",0,IFERROR(INDEX(CALC!$AJ$2:$AJ$33,MATCH($K311,CALC!$A$2:$A$33,0)),0))</f>
        <v/>
      </c>
      <c r="AT311" s="2" t="str">
        <f t="array" ref="AT311">IF($K311="",0,IFERROR(INDEX(CALC!$AI$2:$AI$33,MATCH($K311,CALC!$A$2:$A$33,0)),0))</f>
        <v/>
      </c>
      <c r="AU311" s="2">
        <f t="shared" si="11"/>
        <v>0</v>
      </c>
      <c r="AV311" s="2">
        <f t="shared" si="12"/>
        <v>0</v>
      </c>
    </row>
    <row r="312" ht="15.0" customHeight="1">
      <c r="A312" s="2">
        <v>155.0</v>
      </c>
      <c r="B312" s="2" t="s">
        <v>2366</v>
      </c>
      <c r="C312" s="2">
        <f>IFERROR(MATCH($A312,SchedSeq,0),"")</f>
        <v>440</v>
      </c>
      <c r="D312" s="2" t="str">
        <f t="array" ref="D312">IF($C312="","",INDEX(SchedZone,$C312,MAP!$B$6))</f>
        <v>2026_11_TEN_DAL</v>
      </c>
      <c r="E312" s="2">
        <f t="array" ref="E312">IF($C312="","",INDEX(SchedZone,$C312,MAP!$B$3))</f>
        <v>2026</v>
      </c>
      <c r="F312" s="2" t="str">
        <f t="array" ref="F312">IF($C312="","",INDEX(SchedZone,$C312,MAP!$B$5))</f>
        <v>REG</v>
      </c>
      <c r="G312" s="2">
        <f t="array" ref="G312">IF($C312="","",INDEX(SchedZone,$C312,MAP!$B$4))</f>
        <v>11</v>
      </c>
      <c r="H312" s="2" t="str">
        <f t="array" ref="H312">IF($C312="","",INDEX(SchedZone,$C312,MAP!$B$10))</f>
        <v>TEN</v>
      </c>
      <c r="I312" s="2" t="str">
        <f t="array" ref="I312">IF($H312="","",IF(COUNTIF(Teams,$H312)&gt;0,$H312,IFERROR(INDEX(LISTS!$D$2:$D$12,MATCH($H312,LISTS!$C$2:$C$12,0)),"⚠ "&amp;$H312)))</f>
        <v>TEN</v>
      </c>
      <c r="J312" s="2" t="str">
        <f t="array" ref="J312">IF($C312="","",INDEX(SchedZone,$C312,MAP!$B$12))</f>
        <v>DAL</v>
      </c>
      <c r="K312" s="2" t="str">
        <f t="array" ref="K312">IF($J312="","",IF(COUNTIF(Teams,$J312)&gt;0,$J312,IFERROR(INDEX(LISTS!$D$2:$D$12,MATCH($J312,LISTS!$C$2:$C$12,0)),"⚠ "&amp;$J312)))</f>
        <v>DAL</v>
      </c>
      <c r="L312" s="2" t="str">
        <f t="array" ref="L312">IF($C312="","",IF(INDEX(SchedZone,$C312,MAP!$B$14)="Neutral","N",IF($B312="HOME","H","A")))</f>
        <v>A</v>
      </c>
      <c r="M312" s="2" t="str">
        <f t="array" ref="M312">IF($C312="","",IF(INDEX(SchedZone,$C312,MAP!$B$11)="","",INDEX(SchedZone,$C312,MAP!$B$11)))</f>
        <v/>
      </c>
      <c r="N312" s="2" t="str">
        <f t="array" ref="N312">IF($C312="","",IF(INDEX(SchedZone,$C312,MAP!$B$13)="","",INDEX(SchedZone,$C312,MAP!$B$13)))</f>
        <v/>
      </c>
      <c r="O312" s="2">
        <f t="array" ref="O312">IF($C312="","",INDEX(SchedZone,$C312,MAP!$B$15))</f>
        <v>7</v>
      </c>
      <c r="P312" s="2" t="str">
        <f>IF($C312="","",IFERROR(MATCH($E312&amp;"|"&amp;$G312&amp;"|"&amp;$I312,StatsKey,0),""))</f>
        <v/>
      </c>
      <c r="Q312" s="2">
        <f t="array" ref="Q312">IF($P312="",0,INDEX(StatsZone,$P312,MAP!$E$9)+INDEX(StatsZone,$P312,MAP!$E$10)+INDEX(StatsZone,$P312,MAP!$E$11))</f>
        <v>0</v>
      </c>
      <c r="R312" s="2">
        <f t="array" ref="R312">IF($P312="",0,INDEX(StatsZone,$P312,MAP!$E$12))</f>
        <v>0</v>
      </c>
      <c r="S312" s="2">
        <f t="array" ref="S312">IF($P312="",0,INDEX(StatsZone,$P312,MAP!$E$13))</f>
        <v>0</v>
      </c>
      <c r="T312" s="2">
        <f t="shared" si="1"/>
        <v>0</v>
      </c>
      <c r="U312" s="2">
        <f t="array" ref="U312">IF($P312="",0,INDEX(StatsZone,$P312,MAP!$E$14)+INDEX(StatsZone,$P312,MAP!$E$15)+INDEX(StatsZone,$P312,MAP!$E$16))</f>
        <v>0</v>
      </c>
      <c r="V312" s="2">
        <f t="shared" si="2"/>
        <v>0</v>
      </c>
      <c r="W312" s="2">
        <f t="shared" si="3"/>
        <v>0</v>
      </c>
      <c r="X312" s="2">
        <f t="shared" si="4"/>
        <v>0</v>
      </c>
      <c r="Y312" s="2">
        <f t="shared" si="5"/>
        <v>0</v>
      </c>
      <c r="Z312" s="2">
        <f t="shared" si="6"/>
        <v>0</v>
      </c>
      <c r="AA312" s="2">
        <f t="shared" si="7"/>
        <v>-1</v>
      </c>
      <c r="AB312" s="2">
        <f>IF(OR($M312="",$N312=""),0,MEDIAN(-MarginCap,MarginCap,($M312-$N312)-$AA312*HFA_Base))</f>
        <v>0</v>
      </c>
      <c r="AC312" s="2">
        <f t="array" ref="AC312">IF(OR($P312="",INDEX($P$3:$P$722,(ROW()+IF(MOD(ROW()-3,2)=0,1,-1))-3+1)=""),0,MEDIAN(-MarginCap,MarginCap,($T312-$W312)-$AA312*HFA_Base))</f>
        <v>0</v>
      </c>
      <c r="AD312" s="2">
        <f t="shared" si="8"/>
        <v>0</v>
      </c>
      <c r="AE312" s="2">
        <f>IF(OR($M312="",$N312=""),0,IF(AND(WEpa&gt;0,$AD312=1),(1-WEpa)*$AB312+WEpa*$AC312,$AB312))</f>
        <v>0</v>
      </c>
      <c r="AF312" s="2">
        <f>IF(AND($C312&lt;&gt;"",$E312=CurrentSeason,$F312="REG",ISNUMBER($G312),$G312&lt;CurrentWeek,AND($M312&lt;&gt;"",$N312&lt;&gt;"")),1,0)</f>
        <v>0</v>
      </c>
      <c r="AG312" s="2">
        <f>IF($AF312=0,0,IF($G312&gt;=CurrentWeek-RecencyWin,RecencyMult,1))</f>
        <v>0</v>
      </c>
      <c r="AH312" s="2">
        <f>IF(AND($C312&lt;&gt;"",$E312=CurrentSeason,$F312="REG",ISNUMBER($G312),$G312&lt;CurrentWeek-1,AND($M312&lt;&gt;"",$N312&lt;&gt;"")),1,0)</f>
        <v>0</v>
      </c>
      <c r="AI312" s="2">
        <f>IF($AH312=0,0,IF($G312&gt;=CurrentWeek-1-RecencyWin,RecencyMult,1))</f>
        <v>0</v>
      </c>
      <c r="AJ312" s="2">
        <f>IF($AF312=0,0,IF($G312&gt;=CurrentWeek-RecencyWin,TotRecency,1))</f>
        <v>0</v>
      </c>
      <c r="AK312" s="2">
        <f t="shared" si="9"/>
        <v>0</v>
      </c>
      <c r="AL312" s="2">
        <f t="shared" si="10"/>
        <v>0</v>
      </c>
      <c r="AM312" s="2" t="str">
        <f t="array" ref="AM312">IF($K312="",0,IFERROR(INDEX(CALC!$F$2:$F$33,MATCH($K312,CALC!$A$2:$A$33,0)),0))</f>
        <v/>
      </c>
      <c r="AN312" s="2" t="str">
        <f t="array" ref="AN312">IF($K312="",0,IFERROR(INDEX(CALC!$I$2:$I$33,MATCH($K312,CALC!$A$2:$A$33,0)),0))</f>
        <v/>
      </c>
      <c r="AO312" s="2" t="str">
        <f t="array" ref="AO312">IF($K312="",0,IFERROR(INDEX(CALC!$L$2:$L$33,MATCH($K312,CALC!$A$2:$A$33,0)),0))</f>
        <v/>
      </c>
      <c r="AP312" s="2" t="str">
        <f t="array" ref="AP312">IF($K312="",0,IFERROR(INDEX(CALC!$T$2:$T$33,MATCH($K312,CALC!$A$2:$A$33,0)),0))</f>
        <v/>
      </c>
      <c r="AQ312" s="2" t="str">
        <f t="array" ref="AQ312">IF($K312="",0,IFERROR(INDEX(CALC!$W$2:$W$33,MATCH($K312,CALC!$A$2:$A$33,0)),0))</f>
        <v/>
      </c>
      <c r="AR312" s="2" t="str">
        <f t="array" ref="AR312">IF($K312="",0,IFERROR(INDEX(CALC!$Z$2:$Z$33,MATCH($K312,CALC!$A$2:$A$33,0)),0))</f>
        <v/>
      </c>
      <c r="AS312" s="2" t="str">
        <f t="array" ref="AS312">IF($K312="",0,IFERROR(INDEX(CALC!$AJ$2:$AJ$33,MATCH($K312,CALC!$A$2:$A$33,0)),0))</f>
        <v/>
      </c>
      <c r="AT312" s="2" t="str">
        <f t="array" ref="AT312">IF($K312="",0,IFERROR(INDEX(CALC!$AI$2:$AI$33,MATCH($K312,CALC!$A$2:$A$33,0)),0))</f>
        <v/>
      </c>
      <c r="AU312" s="2">
        <f t="shared" si="11"/>
        <v>0</v>
      </c>
      <c r="AV312" s="2">
        <f t="shared" si="12"/>
        <v>0</v>
      </c>
    </row>
    <row r="313" ht="15.0" customHeight="1">
      <c r="A313" s="2">
        <v>156.0</v>
      </c>
      <c r="B313" s="2" t="s">
        <v>2365</v>
      </c>
      <c r="C313" s="2">
        <f>IFERROR(MATCH($A313,SchedSeq,0),"")</f>
        <v>441</v>
      </c>
      <c r="D313" s="2" t="str">
        <f t="array" ref="D313">IF($C313="","",INDEX(SchedZone,$C313,MAP!$B$6))</f>
        <v>2026_11_TB_DET</v>
      </c>
      <c r="E313" s="2">
        <f t="array" ref="E313">IF($C313="","",INDEX(SchedZone,$C313,MAP!$B$3))</f>
        <v>2026</v>
      </c>
      <c r="F313" s="2" t="str">
        <f t="array" ref="F313">IF($C313="","",INDEX(SchedZone,$C313,MAP!$B$5))</f>
        <v>REG</v>
      </c>
      <c r="G313" s="2">
        <f t="array" ref="G313">IF($C313="","",INDEX(SchedZone,$C313,MAP!$B$4))</f>
        <v>11</v>
      </c>
      <c r="H313" s="2" t="str">
        <f t="array" ref="H313">IF($C313="","",INDEX(SchedZone,$C313,MAP!$B$12))</f>
        <v>DET</v>
      </c>
      <c r="I313" s="2" t="str">
        <f t="array" ref="I313">IF($H313="","",IF(COUNTIF(Teams,$H313)&gt;0,$H313,IFERROR(INDEX(LISTS!$D$2:$D$12,MATCH($H313,LISTS!$C$2:$C$12,0)),"⚠ "&amp;$H313)))</f>
        <v>DET</v>
      </c>
      <c r="J313" s="2" t="str">
        <f t="array" ref="J313">IF($C313="","",INDEX(SchedZone,$C313,MAP!$B$10))</f>
        <v>TB</v>
      </c>
      <c r="K313" s="2" t="str">
        <f t="array" ref="K313">IF($J313="","",IF(COUNTIF(Teams,$J313)&gt;0,$J313,IFERROR(INDEX(LISTS!$D$2:$D$12,MATCH($J313,LISTS!$C$2:$C$12,0)),"⚠ "&amp;$J313)))</f>
        <v>TB</v>
      </c>
      <c r="L313" s="2" t="str">
        <f t="array" ref="L313">IF($C313="","",IF(INDEX(SchedZone,$C313,MAP!$B$14)="Neutral","N",IF($B313="HOME","H","A")))</f>
        <v>H</v>
      </c>
      <c r="M313" s="2" t="str">
        <f t="array" ref="M313">IF($C313="","",IF(INDEX(SchedZone,$C313,MAP!$B$13)="","",INDEX(SchedZone,$C313,MAP!$B$13)))</f>
        <v/>
      </c>
      <c r="N313" s="2" t="str">
        <f t="array" ref="N313">IF($C313="","",IF(INDEX(SchedZone,$C313,MAP!$B$11)="","",INDEX(SchedZone,$C313,MAP!$B$11)))</f>
        <v/>
      </c>
      <c r="O313" s="2">
        <f t="array" ref="O313">IF($C313="","",INDEX(SchedZone,$C313,MAP!$B$16))</f>
        <v>7</v>
      </c>
      <c r="P313" s="2" t="str">
        <f>IF($C313="","",IFERROR(MATCH($E313&amp;"|"&amp;$G313&amp;"|"&amp;$I313,StatsKey,0),""))</f>
        <v/>
      </c>
      <c r="Q313" s="2">
        <f t="array" ref="Q313">IF($P313="",0,INDEX(StatsZone,$P313,MAP!$E$9)+INDEX(StatsZone,$P313,MAP!$E$10)+INDEX(StatsZone,$P313,MAP!$E$11))</f>
        <v>0</v>
      </c>
      <c r="R313" s="2">
        <f t="array" ref="R313">IF($P313="",0,INDEX(StatsZone,$P313,MAP!$E$12))</f>
        <v>0</v>
      </c>
      <c r="S313" s="2">
        <f t="array" ref="S313">IF($P313="",0,INDEX(StatsZone,$P313,MAP!$E$13))</f>
        <v>0</v>
      </c>
      <c r="T313" s="2">
        <f t="shared" si="1"/>
        <v>0</v>
      </c>
      <c r="U313" s="2">
        <f t="array" ref="U313">IF($P313="",0,INDEX(StatsZone,$P313,MAP!$E$14)+INDEX(StatsZone,$P313,MAP!$E$15)+INDEX(StatsZone,$P313,MAP!$E$16))</f>
        <v>0</v>
      </c>
      <c r="V313" s="2">
        <f t="shared" si="2"/>
        <v>0</v>
      </c>
      <c r="W313" s="2">
        <f t="shared" si="3"/>
        <v>0</v>
      </c>
      <c r="X313" s="2">
        <f t="shared" si="4"/>
        <v>0</v>
      </c>
      <c r="Y313" s="2">
        <f t="shared" si="5"/>
        <v>0</v>
      </c>
      <c r="Z313" s="2">
        <f t="shared" si="6"/>
        <v>0</v>
      </c>
      <c r="AA313" s="2">
        <f t="shared" si="7"/>
        <v>1</v>
      </c>
      <c r="AB313" s="2">
        <f>IF(OR($M313="",$N313=""),0,MEDIAN(-MarginCap,MarginCap,($M313-$N313)-$AA313*HFA_Base))</f>
        <v>0</v>
      </c>
      <c r="AC313" s="2">
        <f t="array" ref="AC313">IF(OR($P313="",INDEX($P$3:$P$722,(ROW()+IF(MOD(ROW()-3,2)=0,1,-1))-3+1)=""),0,MEDIAN(-MarginCap,MarginCap,($T313-$W313)-$AA313*HFA_Base))</f>
        <v>0</v>
      </c>
      <c r="AD313" s="2">
        <f t="shared" si="8"/>
        <v>0</v>
      </c>
      <c r="AE313" s="2">
        <f>IF(OR($M313="",$N313=""),0,IF(AND(WEpa&gt;0,$AD313=1),(1-WEpa)*$AB313+WEpa*$AC313,$AB313))</f>
        <v>0</v>
      </c>
      <c r="AF313" s="2">
        <f>IF(AND($C313&lt;&gt;"",$E313=CurrentSeason,$F313="REG",ISNUMBER($G313),$G313&lt;CurrentWeek,AND($M313&lt;&gt;"",$N313&lt;&gt;"")),1,0)</f>
        <v>0</v>
      </c>
      <c r="AG313" s="2">
        <f>IF($AF313=0,0,IF($G313&gt;=CurrentWeek-RecencyWin,RecencyMult,1))</f>
        <v>0</v>
      </c>
      <c r="AH313" s="2">
        <f>IF(AND($C313&lt;&gt;"",$E313=CurrentSeason,$F313="REG",ISNUMBER($G313),$G313&lt;CurrentWeek-1,AND($M313&lt;&gt;"",$N313&lt;&gt;"")),1,0)</f>
        <v>0</v>
      </c>
      <c r="AI313" s="2">
        <f>IF($AH313=0,0,IF($G313&gt;=CurrentWeek-1-RecencyWin,RecencyMult,1))</f>
        <v>0</v>
      </c>
      <c r="AJ313" s="2">
        <f>IF($AF313=0,0,IF($G313&gt;=CurrentWeek-RecencyWin,TotRecency,1))</f>
        <v>0</v>
      </c>
      <c r="AK313" s="2">
        <f t="shared" si="9"/>
        <v>0</v>
      </c>
      <c r="AL313" s="2">
        <f t="shared" si="10"/>
        <v>0</v>
      </c>
      <c r="AM313" s="2" t="str">
        <f t="array" ref="AM313">IF($K313="",0,IFERROR(INDEX(CALC!$F$2:$F$33,MATCH($K313,CALC!$A$2:$A$33,0)),0))</f>
        <v/>
      </c>
      <c r="AN313" s="2" t="str">
        <f t="array" ref="AN313">IF($K313="",0,IFERROR(INDEX(CALC!$I$2:$I$33,MATCH($K313,CALC!$A$2:$A$33,0)),0))</f>
        <v/>
      </c>
      <c r="AO313" s="2" t="str">
        <f t="array" ref="AO313">IF($K313="",0,IFERROR(INDEX(CALC!$L$2:$L$33,MATCH($K313,CALC!$A$2:$A$33,0)),0))</f>
        <v/>
      </c>
      <c r="AP313" s="2" t="str">
        <f t="array" ref="AP313">IF($K313="",0,IFERROR(INDEX(CALC!$T$2:$T$33,MATCH($K313,CALC!$A$2:$A$33,0)),0))</f>
        <v/>
      </c>
      <c r="AQ313" s="2" t="str">
        <f t="array" ref="AQ313">IF($K313="",0,IFERROR(INDEX(CALC!$W$2:$W$33,MATCH($K313,CALC!$A$2:$A$33,0)),0))</f>
        <v/>
      </c>
      <c r="AR313" s="2" t="str">
        <f t="array" ref="AR313">IF($K313="",0,IFERROR(INDEX(CALC!$Z$2:$Z$33,MATCH($K313,CALC!$A$2:$A$33,0)),0))</f>
        <v/>
      </c>
      <c r="AS313" s="2" t="str">
        <f t="array" ref="AS313">IF($K313="",0,IFERROR(INDEX(CALC!$AJ$2:$AJ$33,MATCH($K313,CALC!$A$2:$A$33,0)),0))</f>
        <v/>
      </c>
      <c r="AT313" s="2" t="str">
        <f t="array" ref="AT313">IF($K313="",0,IFERROR(INDEX(CALC!$AI$2:$AI$33,MATCH($K313,CALC!$A$2:$A$33,0)),0))</f>
        <v/>
      </c>
      <c r="AU313" s="2">
        <f t="shared" si="11"/>
        <v>0</v>
      </c>
      <c r="AV313" s="2">
        <f t="shared" si="12"/>
        <v>0</v>
      </c>
    </row>
    <row r="314" ht="15.0" customHeight="1">
      <c r="A314" s="2">
        <v>156.0</v>
      </c>
      <c r="B314" s="2" t="s">
        <v>2366</v>
      </c>
      <c r="C314" s="2">
        <f>IFERROR(MATCH($A314,SchedSeq,0),"")</f>
        <v>441</v>
      </c>
      <c r="D314" s="2" t="str">
        <f t="array" ref="D314">IF($C314="","",INDEX(SchedZone,$C314,MAP!$B$6))</f>
        <v>2026_11_TB_DET</v>
      </c>
      <c r="E314" s="2">
        <f t="array" ref="E314">IF($C314="","",INDEX(SchedZone,$C314,MAP!$B$3))</f>
        <v>2026</v>
      </c>
      <c r="F314" s="2" t="str">
        <f t="array" ref="F314">IF($C314="","",INDEX(SchedZone,$C314,MAP!$B$5))</f>
        <v>REG</v>
      </c>
      <c r="G314" s="2">
        <f t="array" ref="G314">IF($C314="","",INDEX(SchedZone,$C314,MAP!$B$4))</f>
        <v>11</v>
      </c>
      <c r="H314" s="2" t="str">
        <f t="array" ref="H314">IF($C314="","",INDEX(SchedZone,$C314,MAP!$B$10))</f>
        <v>TB</v>
      </c>
      <c r="I314" s="2" t="str">
        <f t="array" ref="I314">IF($H314="","",IF(COUNTIF(Teams,$H314)&gt;0,$H314,IFERROR(INDEX(LISTS!$D$2:$D$12,MATCH($H314,LISTS!$C$2:$C$12,0)),"⚠ "&amp;$H314)))</f>
        <v>TB</v>
      </c>
      <c r="J314" s="2" t="str">
        <f t="array" ref="J314">IF($C314="","",INDEX(SchedZone,$C314,MAP!$B$12))</f>
        <v>DET</v>
      </c>
      <c r="K314" s="2" t="str">
        <f t="array" ref="K314">IF($J314="","",IF(COUNTIF(Teams,$J314)&gt;0,$J314,IFERROR(INDEX(LISTS!$D$2:$D$12,MATCH($J314,LISTS!$C$2:$C$12,0)),"⚠ "&amp;$J314)))</f>
        <v>DET</v>
      </c>
      <c r="L314" s="2" t="str">
        <f t="array" ref="L314">IF($C314="","",IF(INDEX(SchedZone,$C314,MAP!$B$14)="Neutral","N",IF($B314="HOME","H","A")))</f>
        <v>A</v>
      </c>
      <c r="M314" s="2" t="str">
        <f t="array" ref="M314">IF($C314="","",IF(INDEX(SchedZone,$C314,MAP!$B$11)="","",INDEX(SchedZone,$C314,MAP!$B$11)))</f>
        <v/>
      </c>
      <c r="N314" s="2" t="str">
        <f t="array" ref="N314">IF($C314="","",IF(INDEX(SchedZone,$C314,MAP!$B$13)="","",INDEX(SchedZone,$C314,MAP!$B$13)))</f>
        <v/>
      </c>
      <c r="O314" s="2">
        <f t="array" ref="O314">IF($C314="","",INDEX(SchedZone,$C314,MAP!$B$15))</f>
        <v>14</v>
      </c>
      <c r="P314" s="2" t="str">
        <f>IF($C314="","",IFERROR(MATCH($E314&amp;"|"&amp;$G314&amp;"|"&amp;$I314,StatsKey,0),""))</f>
        <v/>
      </c>
      <c r="Q314" s="2">
        <f t="array" ref="Q314">IF($P314="",0,INDEX(StatsZone,$P314,MAP!$E$9)+INDEX(StatsZone,$P314,MAP!$E$10)+INDEX(StatsZone,$P314,MAP!$E$11))</f>
        <v>0</v>
      </c>
      <c r="R314" s="2">
        <f t="array" ref="R314">IF($P314="",0,INDEX(StatsZone,$P314,MAP!$E$12))</f>
        <v>0</v>
      </c>
      <c r="S314" s="2">
        <f t="array" ref="S314">IF($P314="",0,INDEX(StatsZone,$P314,MAP!$E$13))</f>
        <v>0</v>
      </c>
      <c r="T314" s="2">
        <f t="shared" si="1"/>
        <v>0</v>
      </c>
      <c r="U314" s="2">
        <f t="array" ref="U314">IF($P314="",0,INDEX(StatsZone,$P314,MAP!$E$14)+INDEX(StatsZone,$P314,MAP!$E$15)+INDEX(StatsZone,$P314,MAP!$E$16))</f>
        <v>0</v>
      </c>
      <c r="V314" s="2">
        <f t="shared" si="2"/>
        <v>0</v>
      </c>
      <c r="W314" s="2">
        <f t="shared" si="3"/>
        <v>0</v>
      </c>
      <c r="X314" s="2">
        <f t="shared" si="4"/>
        <v>0</v>
      </c>
      <c r="Y314" s="2">
        <f t="shared" si="5"/>
        <v>0</v>
      </c>
      <c r="Z314" s="2">
        <f t="shared" si="6"/>
        <v>0</v>
      </c>
      <c r="AA314" s="2">
        <f t="shared" si="7"/>
        <v>-1</v>
      </c>
      <c r="AB314" s="2">
        <f>IF(OR($M314="",$N314=""),0,MEDIAN(-MarginCap,MarginCap,($M314-$N314)-$AA314*HFA_Base))</f>
        <v>0</v>
      </c>
      <c r="AC314" s="2">
        <f t="array" ref="AC314">IF(OR($P314="",INDEX($P$3:$P$722,(ROW()+IF(MOD(ROW()-3,2)=0,1,-1))-3+1)=""),0,MEDIAN(-MarginCap,MarginCap,($T314-$W314)-$AA314*HFA_Base))</f>
        <v>0</v>
      </c>
      <c r="AD314" s="2">
        <f t="shared" si="8"/>
        <v>0</v>
      </c>
      <c r="AE314" s="2">
        <f>IF(OR($M314="",$N314=""),0,IF(AND(WEpa&gt;0,$AD314=1),(1-WEpa)*$AB314+WEpa*$AC314,$AB314))</f>
        <v>0</v>
      </c>
      <c r="AF314" s="2">
        <f>IF(AND($C314&lt;&gt;"",$E314=CurrentSeason,$F314="REG",ISNUMBER($G314),$G314&lt;CurrentWeek,AND($M314&lt;&gt;"",$N314&lt;&gt;"")),1,0)</f>
        <v>0</v>
      </c>
      <c r="AG314" s="2">
        <f>IF($AF314=0,0,IF($G314&gt;=CurrentWeek-RecencyWin,RecencyMult,1))</f>
        <v>0</v>
      </c>
      <c r="AH314" s="2">
        <f>IF(AND($C314&lt;&gt;"",$E314=CurrentSeason,$F314="REG",ISNUMBER($G314),$G314&lt;CurrentWeek-1,AND($M314&lt;&gt;"",$N314&lt;&gt;"")),1,0)</f>
        <v>0</v>
      </c>
      <c r="AI314" s="2">
        <f>IF($AH314=0,0,IF($G314&gt;=CurrentWeek-1-RecencyWin,RecencyMult,1))</f>
        <v>0</v>
      </c>
      <c r="AJ314" s="2">
        <f>IF($AF314=0,0,IF($G314&gt;=CurrentWeek-RecencyWin,TotRecency,1))</f>
        <v>0</v>
      </c>
      <c r="AK314" s="2">
        <f t="shared" si="9"/>
        <v>0</v>
      </c>
      <c r="AL314" s="2">
        <f t="shared" si="10"/>
        <v>0</v>
      </c>
      <c r="AM314" s="2" t="str">
        <f t="array" ref="AM314">IF($K314="",0,IFERROR(INDEX(CALC!$F$2:$F$33,MATCH($K314,CALC!$A$2:$A$33,0)),0))</f>
        <v/>
      </c>
      <c r="AN314" s="2" t="str">
        <f t="array" ref="AN314">IF($K314="",0,IFERROR(INDEX(CALC!$I$2:$I$33,MATCH($K314,CALC!$A$2:$A$33,0)),0))</f>
        <v/>
      </c>
      <c r="AO314" s="2" t="str">
        <f t="array" ref="AO314">IF($K314="",0,IFERROR(INDEX(CALC!$L$2:$L$33,MATCH($K314,CALC!$A$2:$A$33,0)),0))</f>
        <v/>
      </c>
      <c r="AP314" s="2" t="str">
        <f t="array" ref="AP314">IF($K314="",0,IFERROR(INDEX(CALC!$T$2:$T$33,MATCH($K314,CALC!$A$2:$A$33,0)),0))</f>
        <v/>
      </c>
      <c r="AQ314" s="2" t="str">
        <f t="array" ref="AQ314">IF($K314="",0,IFERROR(INDEX(CALC!$W$2:$W$33,MATCH($K314,CALC!$A$2:$A$33,0)),0))</f>
        <v/>
      </c>
      <c r="AR314" s="2" t="str">
        <f t="array" ref="AR314">IF($K314="",0,IFERROR(INDEX(CALC!$Z$2:$Z$33,MATCH($K314,CALC!$A$2:$A$33,0)),0))</f>
        <v/>
      </c>
      <c r="AS314" s="2" t="str">
        <f t="array" ref="AS314">IF($K314="",0,IFERROR(INDEX(CALC!$AJ$2:$AJ$33,MATCH($K314,CALC!$A$2:$A$33,0)),0))</f>
        <v/>
      </c>
      <c r="AT314" s="2" t="str">
        <f t="array" ref="AT314">IF($K314="",0,IFERROR(INDEX(CALC!$AI$2:$AI$33,MATCH($K314,CALC!$A$2:$A$33,0)),0))</f>
        <v/>
      </c>
      <c r="AU314" s="2">
        <f t="shared" si="11"/>
        <v>0</v>
      </c>
      <c r="AV314" s="2">
        <f t="shared" si="12"/>
        <v>0</v>
      </c>
    </row>
    <row r="315" ht="15.0" customHeight="1">
      <c r="A315" s="2">
        <v>157.0</v>
      </c>
      <c r="B315" s="2" t="s">
        <v>2365</v>
      </c>
      <c r="C315" s="2">
        <f>IFERROR(MATCH($A315,SchedSeq,0),"")</f>
        <v>442</v>
      </c>
      <c r="D315" s="2" t="str">
        <f t="array" ref="D315">IF($C315="","",INDEX(SchedZone,$C315,MAP!$B$6))</f>
        <v>2026_11_ARI_KC</v>
      </c>
      <c r="E315" s="2">
        <f t="array" ref="E315">IF($C315="","",INDEX(SchedZone,$C315,MAP!$B$3))</f>
        <v>2026</v>
      </c>
      <c r="F315" s="2" t="str">
        <f t="array" ref="F315">IF($C315="","",INDEX(SchedZone,$C315,MAP!$B$5))</f>
        <v>REG</v>
      </c>
      <c r="G315" s="2">
        <f t="array" ref="G315">IF($C315="","",INDEX(SchedZone,$C315,MAP!$B$4))</f>
        <v>11</v>
      </c>
      <c r="H315" s="2" t="str">
        <f t="array" ref="H315">IF($C315="","",INDEX(SchedZone,$C315,MAP!$B$12))</f>
        <v>KC</v>
      </c>
      <c r="I315" s="2" t="str">
        <f t="array" ref="I315">IF($H315="","",IF(COUNTIF(Teams,$H315)&gt;0,$H315,IFERROR(INDEX(LISTS!$D$2:$D$12,MATCH($H315,LISTS!$C$2:$C$12,0)),"⚠ "&amp;$H315)))</f>
        <v>KC</v>
      </c>
      <c r="J315" s="2" t="str">
        <f t="array" ref="J315">IF($C315="","",INDEX(SchedZone,$C315,MAP!$B$10))</f>
        <v>ARI</v>
      </c>
      <c r="K315" s="2" t="str">
        <f t="array" ref="K315">IF($J315="","",IF(COUNTIF(Teams,$J315)&gt;0,$J315,IFERROR(INDEX(LISTS!$D$2:$D$12,MATCH($J315,LISTS!$C$2:$C$12,0)),"⚠ "&amp;$J315)))</f>
        <v>ARI</v>
      </c>
      <c r="L315" s="2" t="str">
        <f t="array" ref="L315">IF($C315="","",IF(INDEX(SchedZone,$C315,MAP!$B$14)="Neutral","N",IF($B315="HOME","H","A")))</f>
        <v>H</v>
      </c>
      <c r="M315" s="2" t="str">
        <f t="array" ref="M315">IF($C315="","",IF(INDEX(SchedZone,$C315,MAP!$B$13)="","",INDEX(SchedZone,$C315,MAP!$B$13)))</f>
        <v/>
      </c>
      <c r="N315" s="2" t="str">
        <f t="array" ref="N315">IF($C315="","",IF(INDEX(SchedZone,$C315,MAP!$B$11)="","",INDEX(SchedZone,$C315,MAP!$B$11)))</f>
        <v/>
      </c>
      <c r="O315" s="2">
        <f t="array" ref="O315">IF($C315="","",INDEX(SchedZone,$C315,MAP!$B$16))</f>
        <v>7</v>
      </c>
      <c r="P315" s="2" t="str">
        <f>IF($C315="","",IFERROR(MATCH($E315&amp;"|"&amp;$G315&amp;"|"&amp;$I315,StatsKey,0),""))</f>
        <v/>
      </c>
      <c r="Q315" s="2">
        <f t="array" ref="Q315">IF($P315="",0,INDEX(StatsZone,$P315,MAP!$E$9)+INDEX(StatsZone,$P315,MAP!$E$10)+INDEX(StatsZone,$P315,MAP!$E$11))</f>
        <v>0</v>
      </c>
      <c r="R315" s="2">
        <f t="array" ref="R315">IF($P315="",0,INDEX(StatsZone,$P315,MAP!$E$12))</f>
        <v>0</v>
      </c>
      <c r="S315" s="2">
        <f t="array" ref="S315">IF($P315="",0,INDEX(StatsZone,$P315,MAP!$E$13))</f>
        <v>0</v>
      </c>
      <c r="T315" s="2">
        <f t="shared" si="1"/>
        <v>0</v>
      </c>
      <c r="U315" s="2">
        <f t="array" ref="U315">IF($P315="",0,INDEX(StatsZone,$P315,MAP!$E$14)+INDEX(StatsZone,$P315,MAP!$E$15)+INDEX(StatsZone,$P315,MAP!$E$16))</f>
        <v>0</v>
      </c>
      <c r="V315" s="2">
        <f t="shared" si="2"/>
        <v>0</v>
      </c>
      <c r="W315" s="2">
        <f t="shared" si="3"/>
        <v>0</v>
      </c>
      <c r="X315" s="2">
        <f t="shared" si="4"/>
        <v>0</v>
      </c>
      <c r="Y315" s="2">
        <f t="shared" si="5"/>
        <v>0</v>
      </c>
      <c r="Z315" s="2">
        <f t="shared" si="6"/>
        <v>0</v>
      </c>
      <c r="AA315" s="2">
        <f t="shared" si="7"/>
        <v>1</v>
      </c>
      <c r="AB315" s="2">
        <f>IF(OR($M315="",$N315=""),0,MEDIAN(-MarginCap,MarginCap,($M315-$N315)-$AA315*HFA_Base))</f>
        <v>0</v>
      </c>
      <c r="AC315" s="2">
        <f t="array" ref="AC315">IF(OR($P315="",INDEX($P$3:$P$722,(ROW()+IF(MOD(ROW()-3,2)=0,1,-1))-3+1)=""),0,MEDIAN(-MarginCap,MarginCap,($T315-$W315)-$AA315*HFA_Base))</f>
        <v>0</v>
      </c>
      <c r="AD315" s="2">
        <f t="shared" si="8"/>
        <v>0</v>
      </c>
      <c r="AE315" s="2">
        <f>IF(OR($M315="",$N315=""),0,IF(AND(WEpa&gt;0,$AD315=1),(1-WEpa)*$AB315+WEpa*$AC315,$AB315))</f>
        <v>0</v>
      </c>
      <c r="AF315" s="2">
        <f>IF(AND($C315&lt;&gt;"",$E315=CurrentSeason,$F315="REG",ISNUMBER($G315),$G315&lt;CurrentWeek,AND($M315&lt;&gt;"",$N315&lt;&gt;"")),1,0)</f>
        <v>0</v>
      </c>
      <c r="AG315" s="2">
        <f>IF($AF315=0,0,IF($G315&gt;=CurrentWeek-RecencyWin,RecencyMult,1))</f>
        <v>0</v>
      </c>
      <c r="AH315" s="2">
        <f>IF(AND($C315&lt;&gt;"",$E315=CurrentSeason,$F315="REG",ISNUMBER($G315),$G315&lt;CurrentWeek-1,AND($M315&lt;&gt;"",$N315&lt;&gt;"")),1,0)</f>
        <v>0</v>
      </c>
      <c r="AI315" s="2">
        <f>IF($AH315=0,0,IF($G315&gt;=CurrentWeek-1-RecencyWin,RecencyMult,1))</f>
        <v>0</v>
      </c>
      <c r="AJ315" s="2">
        <f>IF($AF315=0,0,IF($G315&gt;=CurrentWeek-RecencyWin,TotRecency,1))</f>
        <v>0</v>
      </c>
      <c r="AK315" s="2">
        <f t="shared" si="9"/>
        <v>0</v>
      </c>
      <c r="AL315" s="2">
        <f t="shared" si="10"/>
        <v>0</v>
      </c>
      <c r="AM315" s="2" t="str">
        <f t="array" ref="AM315">IF($K315="",0,IFERROR(INDEX(CALC!$F$2:$F$33,MATCH($K315,CALC!$A$2:$A$33,0)),0))</f>
        <v/>
      </c>
      <c r="AN315" s="2" t="str">
        <f t="array" ref="AN315">IF($K315="",0,IFERROR(INDEX(CALC!$I$2:$I$33,MATCH($K315,CALC!$A$2:$A$33,0)),0))</f>
        <v/>
      </c>
      <c r="AO315" s="2" t="str">
        <f t="array" ref="AO315">IF($K315="",0,IFERROR(INDEX(CALC!$L$2:$L$33,MATCH($K315,CALC!$A$2:$A$33,0)),0))</f>
        <v/>
      </c>
      <c r="AP315" s="2" t="str">
        <f t="array" ref="AP315">IF($K315="",0,IFERROR(INDEX(CALC!$T$2:$T$33,MATCH($K315,CALC!$A$2:$A$33,0)),0))</f>
        <v/>
      </c>
      <c r="AQ315" s="2" t="str">
        <f t="array" ref="AQ315">IF($K315="",0,IFERROR(INDEX(CALC!$W$2:$W$33,MATCH($K315,CALC!$A$2:$A$33,0)),0))</f>
        <v/>
      </c>
      <c r="AR315" s="2" t="str">
        <f t="array" ref="AR315">IF($K315="",0,IFERROR(INDEX(CALC!$Z$2:$Z$33,MATCH($K315,CALC!$A$2:$A$33,0)),0))</f>
        <v/>
      </c>
      <c r="AS315" s="2" t="str">
        <f t="array" ref="AS315">IF($K315="",0,IFERROR(INDEX(CALC!$AJ$2:$AJ$33,MATCH($K315,CALC!$A$2:$A$33,0)),0))</f>
        <v/>
      </c>
      <c r="AT315" s="2" t="str">
        <f t="array" ref="AT315">IF($K315="",0,IFERROR(INDEX(CALC!$AI$2:$AI$33,MATCH($K315,CALC!$A$2:$A$33,0)),0))</f>
        <v/>
      </c>
      <c r="AU315" s="2">
        <f t="shared" si="11"/>
        <v>0</v>
      </c>
      <c r="AV315" s="2">
        <f t="shared" si="12"/>
        <v>0</v>
      </c>
    </row>
    <row r="316" ht="15.0" customHeight="1">
      <c r="A316" s="2">
        <v>157.0</v>
      </c>
      <c r="B316" s="2" t="s">
        <v>2366</v>
      </c>
      <c r="C316" s="2">
        <f>IFERROR(MATCH($A316,SchedSeq,0),"")</f>
        <v>442</v>
      </c>
      <c r="D316" s="2" t="str">
        <f t="array" ref="D316">IF($C316="","",INDEX(SchedZone,$C316,MAP!$B$6))</f>
        <v>2026_11_ARI_KC</v>
      </c>
      <c r="E316" s="2">
        <f t="array" ref="E316">IF($C316="","",INDEX(SchedZone,$C316,MAP!$B$3))</f>
        <v>2026</v>
      </c>
      <c r="F316" s="2" t="str">
        <f t="array" ref="F316">IF($C316="","",INDEX(SchedZone,$C316,MAP!$B$5))</f>
        <v>REG</v>
      </c>
      <c r="G316" s="2">
        <f t="array" ref="G316">IF($C316="","",INDEX(SchedZone,$C316,MAP!$B$4))</f>
        <v>11</v>
      </c>
      <c r="H316" s="2" t="str">
        <f t="array" ref="H316">IF($C316="","",INDEX(SchedZone,$C316,MAP!$B$10))</f>
        <v>ARI</v>
      </c>
      <c r="I316" s="2" t="str">
        <f t="array" ref="I316">IF($H316="","",IF(COUNTIF(Teams,$H316)&gt;0,$H316,IFERROR(INDEX(LISTS!$D$2:$D$12,MATCH($H316,LISTS!$C$2:$C$12,0)),"⚠ "&amp;$H316)))</f>
        <v>ARI</v>
      </c>
      <c r="J316" s="2" t="str">
        <f t="array" ref="J316">IF($C316="","",INDEX(SchedZone,$C316,MAP!$B$12))</f>
        <v>KC</v>
      </c>
      <c r="K316" s="2" t="str">
        <f t="array" ref="K316">IF($J316="","",IF(COUNTIF(Teams,$J316)&gt;0,$J316,IFERROR(INDEX(LISTS!$D$2:$D$12,MATCH($J316,LISTS!$C$2:$C$12,0)),"⚠ "&amp;$J316)))</f>
        <v>KC</v>
      </c>
      <c r="L316" s="2" t="str">
        <f t="array" ref="L316">IF($C316="","",IF(INDEX(SchedZone,$C316,MAP!$B$14)="Neutral","N",IF($B316="HOME","H","A")))</f>
        <v>A</v>
      </c>
      <c r="M316" s="2" t="str">
        <f t="array" ref="M316">IF($C316="","",IF(INDEX(SchedZone,$C316,MAP!$B$11)="","",INDEX(SchedZone,$C316,MAP!$B$11)))</f>
        <v/>
      </c>
      <c r="N316" s="2" t="str">
        <f t="array" ref="N316">IF($C316="","",IF(INDEX(SchedZone,$C316,MAP!$B$13)="","",INDEX(SchedZone,$C316,MAP!$B$13)))</f>
        <v/>
      </c>
      <c r="O316" s="2">
        <f t="array" ref="O316">IF($C316="","",INDEX(SchedZone,$C316,MAP!$B$15))</f>
        <v>7</v>
      </c>
      <c r="P316" s="2" t="str">
        <f>IF($C316="","",IFERROR(MATCH($E316&amp;"|"&amp;$G316&amp;"|"&amp;$I316,StatsKey,0),""))</f>
        <v/>
      </c>
      <c r="Q316" s="2">
        <f t="array" ref="Q316">IF($P316="",0,INDEX(StatsZone,$P316,MAP!$E$9)+INDEX(StatsZone,$P316,MAP!$E$10)+INDEX(StatsZone,$P316,MAP!$E$11))</f>
        <v>0</v>
      </c>
      <c r="R316" s="2">
        <f t="array" ref="R316">IF($P316="",0,INDEX(StatsZone,$P316,MAP!$E$12))</f>
        <v>0</v>
      </c>
      <c r="S316" s="2">
        <f t="array" ref="S316">IF($P316="",0,INDEX(StatsZone,$P316,MAP!$E$13))</f>
        <v>0</v>
      </c>
      <c r="T316" s="2">
        <f t="shared" si="1"/>
        <v>0</v>
      </c>
      <c r="U316" s="2">
        <f t="array" ref="U316">IF($P316="",0,INDEX(StatsZone,$P316,MAP!$E$14)+INDEX(StatsZone,$P316,MAP!$E$15)+INDEX(StatsZone,$P316,MAP!$E$16))</f>
        <v>0</v>
      </c>
      <c r="V316" s="2">
        <f t="shared" si="2"/>
        <v>0</v>
      </c>
      <c r="W316" s="2">
        <f t="shared" si="3"/>
        <v>0</v>
      </c>
      <c r="X316" s="2">
        <f t="shared" si="4"/>
        <v>0</v>
      </c>
      <c r="Y316" s="2">
        <f t="shared" si="5"/>
        <v>0</v>
      </c>
      <c r="Z316" s="2">
        <f t="shared" si="6"/>
        <v>0</v>
      </c>
      <c r="AA316" s="2">
        <f t="shared" si="7"/>
        <v>-1</v>
      </c>
      <c r="AB316" s="2">
        <f>IF(OR($M316="",$N316=""),0,MEDIAN(-MarginCap,MarginCap,($M316-$N316)-$AA316*HFA_Base))</f>
        <v>0</v>
      </c>
      <c r="AC316" s="2">
        <f t="array" ref="AC316">IF(OR($P316="",INDEX($P$3:$P$722,(ROW()+IF(MOD(ROW()-3,2)=0,1,-1))-3+1)=""),0,MEDIAN(-MarginCap,MarginCap,($T316-$W316)-$AA316*HFA_Base))</f>
        <v>0</v>
      </c>
      <c r="AD316" s="2">
        <f t="shared" si="8"/>
        <v>0</v>
      </c>
      <c r="AE316" s="2">
        <f>IF(OR($M316="",$N316=""),0,IF(AND(WEpa&gt;0,$AD316=1),(1-WEpa)*$AB316+WEpa*$AC316,$AB316))</f>
        <v>0</v>
      </c>
      <c r="AF316" s="2">
        <f>IF(AND($C316&lt;&gt;"",$E316=CurrentSeason,$F316="REG",ISNUMBER($G316),$G316&lt;CurrentWeek,AND($M316&lt;&gt;"",$N316&lt;&gt;"")),1,0)</f>
        <v>0</v>
      </c>
      <c r="AG316" s="2">
        <f>IF($AF316=0,0,IF($G316&gt;=CurrentWeek-RecencyWin,RecencyMult,1))</f>
        <v>0</v>
      </c>
      <c r="AH316" s="2">
        <f>IF(AND($C316&lt;&gt;"",$E316=CurrentSeason,$F316="REG",ISNUMBER($G316),$G316&lt;CurrentWeek-1,AND($M316&lt;&gt;"",$N316&lt;&gt;"")),1,0)</f>
        <v>0</v>
      </c>
      <c r="AI316" s="2">
        <f>IF($AH316=0,0,IF($G316&gt;=CurrentWeek-1-RecencyWin,RecencyMult,1))</f>
        <v>0</v>
      </c>
      <c r="AJ316" s="2">
        <f>IF($AF316=0,0,IF($G316&gt;=CurrentWeek-RecencyWin,TotRecency,1))</f>
        <v>0</v>
      </c>
      <c r="AK316" s="2">
        <f t="shared" si="9"/>
        <v>0</v>
      </c>
      <c r="AL316" s="2">
        <f t="shared" si="10"/>
        <v>0</v>
      </c>
      <c r="AM316" s="2" t="str">
        <f t="array" ref="AM316">IF($K316="",0,IFERROR(INDEX(CALC!$F$2:$F$33,MATCH($K316,CALC!$A$2:$A$33,0)),0))</f>
        <v/>
      </c>
      <c r="AN316" s="2" t="str">
        <f t="array" ref="AN316">IF($K316="",0,IFERROR(INDEX(CALC!$I$2:$I$33,MATCH($K316,CALC!$A$2:$A$33,0)),0))</f>
        <v/>
      </c>
      <c r="AO316" s="2" t="str">
        <f t="array" ref="AO316">IF($K316="",0,IFERROR(INDEX(CALC!$L$2:$L$33,MATCH($K316,CALC!$A$2:$A$33,0)),0))</f>
        <v/>
      </c>
      <c r="AP316" s="2" t="str">
        <f t="array" ref="AP316">IF($K316="",0,IFERROR(INDEX(CALC!$T$2:$T$33,MATCH($K316,CALC!$A$2:$A$33,0)),0))</f>
        <v/>
      </c>
      <c r="AQ316" s="2" t="str">
        <f t="array" ref="AQ316">IF($K316="",0,IFERROR(INDEX(CALC!$W$2:$W$33,MATCH($K316,CALC!$A$2:$A$33,0)),0))</f>
        <v/>
      </c>
      <c r="AR316" s="2" t="str">
        <f t="array" ref="AR316">IF($K316="",0,IFERROR(INDEX(CALC!$Z$2:$Z$33,MATCH($K316,CALC!$A$2:$A$33,0)),0))</f>
        <v/>
      </c>
      <c r="AS316" s="2" t="str">
        <f t="array" ref="AS316">IF($K316="",0,IFERROR(INDEX(CALC!$AJ$2:$AJ$33,MATCH($K316,CALC!$A$2:$A$33,0)),0))</f>
        <v/>
      </c>
      <c r="AT316" s="2" t="str">
        <f t="array" ref="AT316">IF($K316="",0,IFERROR(INDEX(CALC!$AI$2:$AI$33,MATCH($K316,CALC!$A$2:$A$33,0)),0))</f>
        <v/>
      </c>
      <c r="AU316" s="2">
        <f t="shared" si="11"/>
        <v>0</v>
      </c>
      <c r="AV316" s="2">
        <f t="shared" si="12"/>
        <v>0</v>
      </c>
    </row>
    <row r="317" ht="15.0" customHeight="1">
      <c r="A317" s="2">
        <v>158.0</v>
      </c>
      <c r="B317" s="2" t="s">
        <v>2365</v>
      </c>
      <c r="C317" s="2">
        <f>IFERROR(MATCH($A317,SchedSeq,0),"")</f>
        <v>443</v>
      </c>
      <c r="D317" s="2" t="str">
        <f t="array" ref="D317">IF($C317="","",INDEX(SchedZone,$C317,MAP!$B$6))</f>
        <v>2026_11_JAX_NYG</v>
      </c>
      <c r="E317" s="2">
        <f t="array" ref="E317">IF($C317="","",INDEX(SchedZone,$C317,MAP!$B$3))</f>
        <v>2026</v>
      </c>
      <c r="F317" s="2" t="str">
        <f t="array" ref="F317">IF($C317="","",INDEX(SchedZone,$C317,MAP!$B$5))</f>
        <v>REG</v>
      </c>
      <c r="G317" s="2">
        <f t="array" ref="G317">IF($C317="","",INDEX(SchedZone,$C317,MAP!$B$4))</f>
        <v>11</v>
      </c>
      <c r="H317" s="2" t="str">
        <f t="array" ref="H317">IF($C317="","",INDEX(SchedZone,$C317,MAP!$B$12))</f>
        <v>NYG</v>
      </c>
      <c r="I317" s="2" t="str">
        <f t="array" ref="I317">IF($H317="","",IF(COUNTIF(Teams,$H317)&gt;0,$H317,IFERROR(INDEX(LISTS!$D$2:$D$12,MATCH($H317,LISTS!$C$2:$C$12,0)),"⚠ "&amp;$H317)))</f>
        <v>NYG</v>
      </c>
      <c r="J317" s="2" t="str">
        <f t="array" ref="J317">IF($C317="","",INDEX(SchedZone,$C317,MAP!$B$10))</f>
        <v>JAX</v>
      </c>
      <c r="K317" s="2" t="str">
        <f t="array" ref="K317">IF($J317="","",IF(COUNTIF(Teams,$J317)&gt;0,$J317,IFERROR(INDEX(LISTS!$D$2:$D$12,MATCH($J317,LISTS!$C$2:$C$12,0)),"⚠ "&amp;$J317)))</f>
        <v>JAX</v>
      </c>
      <c r="L317" s="2" t="str">
        <f t="array" ref="L317">IF($C317="","",IF(INDEX(SchedZone,$C317,MAP!$B$14)="Neutral","N",IF($B317="HOME","H","A")))</f>
        <v>H</v>
      </c>
      <c r="M317" s="2" t="str">
        <f t="array" ref="M317">IF($C317="","",IF(INDEX(SchedZone,$C317,MAP!$B$13)="","",INDEX(SchedZone,$C317,MAP!$B$13)))</f>
        <v/>
      </c>
      <c r="N317" s="2" t="str">
        <f t="array" ref="N317">IF($C317="","",IF(INDEX(SchedZone,$C317,MAP!$B$11)="","",INDEX(SchedZone,$C317,MAP!$B$11)))</f>
        <v/>
      </c>
      <c r="O317" s="2">
        <f t="array" ref="O317">IF($C317="","",INDEX(SchedZone,$C317,MAP!$B$16))</f>
        <v>10</v>
      </c>
      <c r="P317" s="2" t="str">
        <f>IF($C317="","",IFERROR(MATCH($E317&amp;"|"&amp;$G317&amp;"|"&amp;$I317,StatsKey,0),""))</f>
        <v/>
      </c>
      <c r="Q317" s="2">
        <f t="array" ref="Q317">IF($P317="",0,INDEX(StatsZone,$P317,MAP!$E$9)+INDEX(StatsZone,$P317,MAP!$E$10)+INDEX(StatsZone,$P317,MAP!$E$11))</f>
        <v>0</v>
      </c>
      <c r="R317" s="2">
        <f t="array" ref="R317">IF($P317="",0,INDEX(StatsZone,$P317,MAP!$E$12))</f>
        <v>0</v>
      </c>
      <c r="S317" s="2">
        <f t="array" ref="S317">IF($P317="",0,INDEX(StatsZone,$P317,MAP!$E$13))</f>
        <v>0</v>
      </c>
      <c r="T317" s="2">
        <f t="shared" si="1"/>
        <v>0</v>
      </c>
      <c r="U317" s="2">
        <f t="array" ref="U317">IF($P317="",0,INDEX(StatsZone,$P317,MAP!$E$14)+INDEX(StatsZone,$P317,MAP!$E$15)+INDEX(StatsZone,$P317,MAP!$E$16))</f>
        <v>0</v>
      </c>
      <c r="V317" s="2">
        <f t="shared" si="2"/>
        <v>0</v>
      </c>
      <c r="W317" s="2">
        <f t="shared" si="3"/>
        <v>0</v>
      </c>
      <c r="X317" s="2">
        <f t="shared" si="4"/>
        <v>0</v>
      </c>
      <c r="Y317" s="2">
        <f t="shared" si="5"/>
        <v>0</v>
      </c>
      <c r="Z317" s="2">
        <f t="shared" si="6"/>
        <v>0</v>
      </c>
      <c r="AA317" s="2">
        <f t="shared" si="7"/>
        <v>1</v>
      </c>
      <c r="AB317" s="2">
        <f>IF(OR($M317="",$N317=""),0,MEDIAN(-MarginCap,MarginCap,($M317-$N317)-$AA317*HFA_Base))</f>
        <v>0</v>
      </c>
      <c r="AC317" s="2">
        <f t="array" ref="AC317">IF(OR($P317="",INDEX($P$3:$P$722,(ROW()+IF(MOD(ROW()-3,2)=0,1,-1))-3+1)=""),0,MEDIAN(-MarginCap,MarginCap,($T317-$W317)-$AA317*HFA_Base))</f>
        <v>0</v>
      </c>
      <c r="AD317" s="2">
        <f t="shared" si="8"/>
        <v>0</v>
      </c>
      <c r="AE317" s="2">
        <f>IF(OR($M317="",$N317=""),0,IF(AND(WEpa&gt;0,$AD317=1),(1-WEpa)*$AB317+WEpa*$AC317,$AB317))</f>
        <v>0</v>
      </c>
      <c r="AF317" s="2">
        <f>IF(AND($C317&lt;&gt;"",$E317=CurrentSeason,$F317="REG",ISNUMBER($G317),$G317&lt;CurrentWeek,AND($M317&lt;&gt;"",$N317&lt;&gt;"")),1,0)</f>
        <v>0</v>
      </c>
      <c r="AG317" s="2">
        <f>IF($AF317=0,0,IF($G317&gt;=CurrentWeek-RecencyWin,RecencyMult,1))</f>
        <v>0</v>
      </c>
      <c r="AH317" s="2">
        <f>IF(AND($C317&lt;&gt;"",$E317=CurrentSeason,$F317="REG",ISNUMBER($G317),$G317&lt;CurrentWeek-1,AND($M317&lt;&gt;"",$N317&lt;&gt;"")),1,0)</f>
        <v>0</v>
      </c>
      <c r="AI317" s="2">
        <f>IF($AH317=0,0,IF($G317&gt;=CurrentWeek-1-RecencyWin,RecencyMult,1))</f>
        <v>0</v>
      </c>
      <c r="AJ317" s="2">
        <f>IF($AF317=0,0,IF($G317&gt;=CurrentWeek-RecencyWin,TotRecency,1))</f>
        <v>0</v>
      </c>
      <c r="AK317" s="2">
        <f t="shared" si="9"/>
        <v>0</v>
      </c>
      <c r="AL317" s="2">
        <f t="shared" si="10"/>
        <v>0</v>
      </c>
      <c r="AM317" s="2" t="str">
        <f t="array" ref="AM317">IF($K317="",0,IFERROR(INDEX(CALC!$F$2:$F$33,MATCH($K317,CALC!$A$2:$A$33,0)),0))</f>
        <v/>
      </c>
      <c r="AN317" s="2" t="str">
        <f t="array" ref="AN317">IF($K317="",0,IFERROR(INDEX(CALC!$I$2:$I$33,MATCH($K317,CALC!$A$2:$A$33,0)),0))</f>
        <v/>
      </c>
      <c r="AO317" s="2" t="str">
        <f t="array" ref="AO317">IF($K317="",0,IFERROR(INDEX(CALC!$L$2:$L$33,MATCH($K317,CALC!$A$2:$A$33,0)),0))</f>
        <v/>
      </c>
      <c r="AP317" s="2" t="str">
        <f t="array" ref="AP317">IF($K317="",0,IFERROR(INDEX(CALC!$T$2:$T$33,MATCH($K317,CALC!$A$2:$A$33,0)),0))</f>
        <v/>
      </c>
      <c r="AQ317" s="2" t="str">
        <f t="array" ref="AQ317">IF($K317="",0,IFERROR(INDEX(CALC!$W$2:$W$33,MATCH($K317,CALC!$A$2:$A$33,0)),0))</f>
        <v/>
      </c>
      <c r="AR317" s="2" t="str">
        <f t="array" ref="AR317">IF($K317="",0,IFERROR(INDEX(CALC!$Z$2:$Z$33,MATCH($K317,CALC!$A$2:$A$33,0)),0))</f>
        <v/>
      </c>
      <c r="AS317" s="2" t="str">
        <f t="array" ref="AS317">IF($K317="",0,IFERROR(INDEX(CALC!$AJ$2:$AJ$33,MATCH($K317,CALC!$A$2:$A$33,0)),0))</f>
        <v/>
      </c>
      <c r="AT317" s="2" t="str">
        <f t="array" ref="AT317">IF($K317="",0,IFERROR(INDEX(CALC!$AI$2:$AI$33,MATCH($K317,CALC!$A$2:$A$33,0)),0))</f>
        <v/>
      </c>
      <c r="AU317" s="2">
        <f t="shared" si="11"/>
        <v>0</v>
      </c>
      <c r="AV317" s="2">
        <f t="shared" si="12"/>
        <v>0</v>
      </c>
    </row>
    <row r="318" ht="15.0" customHeight="1">
      <c r="A318" s="2">
        <v>158.0</v>
      </c>
      <c r="B318" s="2" t="s">
        <v>2366</v>
      </c>
      <c r="C318" s="2">
        <f>IFERROR(MATCH($A318,SchedSeq,0),"")</f>
        <v>443</v>
      </c>
      <c r="D318" s="2" t="str">
        <f t="array" ref="D318">IF($C318="","",INDEX(SchedZone,$C318,MAP!$B$6))</f>
        <v>2026_11_JAX_NYG</v>
      </c>
      <c r="E318" s="2">
        <f t="array" ref="E318">IF($C318="","",INDEX(SchedZone,$C318,MAP!$B$3))</f>
        <v>2026</v>
      </c>
      <c r="F318" s="2" t="str">
        <f t="array" ref="F318">IF($C318="","",INDEX(SchedZone,$C318,MAP!$B$5))</f>
        <v>REG</v>
      </c>
      <c r="G318" s="2">
        <f t="array" ref="G318">IF($C318="","",INDEX(SchedZone,$C318,MAP!$B$4))</f>
        <v>11</v>
      </c>
      <c r="H318" s="2" t="str">
        <f t="array" ref="H318">IF($C318="","",INDEX(SchedZone,$C318,MAP!$B$10))</f>
        <v>JAX</v>
      </c>
      <c r="I318" s="2" t="str">
        <f t="array" ref="I318">IF($H318="","",IF(COUNTIF(Teams,$H318)&gt;0,$H318,IFERROR(INDEX(LISTS!$D$2:$D$12,MATCH($H318,LISTS!$C$2:$C$12,0)),"⚠ "&amp;$H318)))</f>
        <v>JAX</v>
      </c>
      <c r="J318" s="2" t="str">
        <f t="array" ref="J318">IF($C318="","",INDEX(SchedZone,$C318,MAP!$B$12))</f>
        <v>NYG</v>
      </c>
      <c r="K318" s="2" t="str">
        <f t="array" ref="K318">IF($J318="","",IF(COUNTIF(Teams,$J318)&gt;0,$J318,IFERROR(INDEX(LISTS!$D$2:$D$12,MATCH($J318,LISTS!$C$2:$C$12,0)),"⚠ "&amp;$J318)))</f>
        <v>NYG</v>
      </c>
      <c r="L318" s="2" t="str">
        <f t="array" ref="L318">IF($C318="","",IF(INDEX(SchedZone,$C318,MAP!$B$14)="Neutral","N",IF($B318="HOME","H","A")))</f>
        <v>A</v>
      </c>
      <c r="M318" s="2" t="str">
        <f t="array" ref="M318">IF($C318="","",IF(INDEX(SchedZone,$C318,MAP!$B$11)="","",INDEX(SchedZone,$C318,MAP!$B$11)))</f>
        <v/>
      </c>
      <c r="N318" s="2" t="str">
        <f t="array" ref="N318">IF($C318="","",IF(INDEX(SchedZone,$C318,MAP!$B$13)="","",INDEX(SchedZone,$C318,MAP!$B$13)))</f>
        <v/>
      </c>
      <c r="O318" s="2">
        <f t="array" ref="O318">IF($C318="","",INDEX(SchedZone,$C318,MAP!$B$15))</f>
        <v>7</v>
      </c>
      <c r="P318" s="2" t="str">
        <f>IF($C318="","",IFERROR(MATCH($E318&amp;"|"&amp;$G318&amp;"|"&amp;$I318,StatsKey,0),""))</f>
        <v/>
      </c>
      <c r="Q318" s="2">
        <f t="array" ref="Q318">IF($P318="",0,INDEX(StatsZone,$P318,MAP!$E$9)+INDEX(StatsZone,$P318,MAP!$E$10)+INDEX(StatsZone,$P318,MAP!$E$11))</f>
        <v>0</v>
      </c>
      <c r="R318" s="2">
        <f t="array" ref="R318">IF($P318="",0,INDEX(StatsZone,$P318,MAP!$E$12))</f>
        <v>0</v>
      </c>
      <c r="S318" s="2">
        <f t="array" ref="S318">IF($P318="",0,INDEX(StatsZone,$P318,MAP!$E$13))</f>
        <v>0</v>
      </c>
      <c r="T318" s="2">
        <f t="shared" si="1"/>
        <v>0</v>
      </c>
      <c r="U318" s="2">
        <f t="array" ref="U318">IF($P318="",0,INDEX(StatsZone,$P318,MAP!$E$14)+INDEX(StatsZone,$P318,MAP!$E$15)+INDEX(StatsZone,$P318,MAP!$E$16))</f>
        <v>0</v>
      </c>
      <c r="V318" s="2">
        <f t="shared" si="2"/>
        <v>0</v>
      </c>
      <c r="W318" s="2">
        <f t="shared" si="3"/>
        <v>0</v>
      </c>
      <c r="X318" s="2">
        <f t="shared" si="4"/>
        <v>0</v>
      </c>
      <c r="Y318" s="2">
        <f t="shared" si="5"/>
        <v>0</v>
      </c>
      <c r="Z318" s="2">
        <f t="shared" si="6"/>
        <v>0</v>
      </c>
      <c r="AA318" s="2">
        <f t="shared" si="7"/>
        <v>-1</v>
      </c>
      <c r="AB318" s="2">
        <f>IF(OR($M318="",$N318=""),0,MEDIAN(-MarginCap,MarginCap,($M318-$N318)-$AA318*HFA_Base))</f>
        <v>0</v>
      </c>
      <c r="AC318" s="2">
        <f t="array" ref="AC318">IF(OR($P318="",INDEX($P$3:$P$722,(ROW()+IF(MOD(ROW()-3,2)=0,1,-1))-3+1)=""),0,MEDIAN(-MarginCap,MarginCap,($T318-$W318)-$AA318*HFA_Base))</f>
        <v>0</v>
      </c>
      <c r="AD318" s="2">
        <f t="shared" si="8"/>
        <v>0</v>
      </c>
      <c r="AE318" s="2">
        <f>IF(OR($M318="",$N318=""),0,IF(AND(WEpa&gt;0,$AD318=1),(1-WEpa)*$AB318+WEpa*$AC318,$AB318))</f>
        <v>0</v>
      </c>
      <c r="AF318" s="2">
        <f>IF(AND($C318&lt;&gt;"",$E318=CurrentSeason,$F318="REG",ISNUMBER($G318),$G318&lt;CurrentWeek,AND($M318&lt;&gt;"",$N318&lt;&gt;"")),1,0)</f>
        <v>0</v>
      </c>
      <c r="AG318" s="2">
        <f>IF($AF318=0,0,IF($G318&gt;=CurrentWeek-RecencyWin,RecencyMult,1))</f>
        <v>0</v>
      </c>
      <c r="AH318" s="2">
        <f>IF(AND($C318&lt;&gt;"",$E318=CurrentSeason,$F318="REG",ISNUMBER($G318),$G318&lt;CurrentWeek-1,AND($M318&lt;&gt;"",$N318&lt;&gt;"")),1,0)</f>
        <v>0</v>
      </c>
      <c r="AI318" s="2">
        <f>IF($AH318=0,0,IF($G318&gt;=CurrentWeek-1-RecencyWin,RecencyMult,1))</f>
        <v>0</v>
      </c>
      <c r="AJ318" s="2">
        <f>IF($AF318=0,0,IF($G318&gt;=CurrentWeek-RecencyWin,TotRecency,1))</f>
        <v>0</v>
      </c>
      <c r="AK318" s="2">
        <f t="shared" si="9"/>
        <v>0</v>
      </c>
      <c r="AL318" s="2">
        <f t="shared" si="10"/>
        <v>0</v>
      </c>
      <c r="AM318" s="2" t="str">
        <f t="array" ref="AM318">IF($K318="",0,IFERROR(INDEX(CALC!$F$2:$F$33,MATCH($K318,CALC!$A$2:$A$33,0)),0))</f>
        <v/>
      </c>
      <c r="AN318" s="2" t="str">
        <f t="array" ref="AN318">IF($K318="",0,IFERROR(INDEX(CALC!$I$2:$I$33,MATCH($K318,CALC!$A$2:$A$33,0)),0))</f>
        <v/>
      </c>
      <c r="AO318" s="2" t="str">
        <f t="array" ref="AO318">IF($K318="",0,IFERROR(INDEX(CALC!$L$2:$L$33,MATCH($K318,CALC!$A$2:$A$33,0)),0))</f>
        <v/>
      </c>
      <c r="AP318" s="2" t="str">
        <f t="array" ref="AP318">IF($K318="",0,IFERROR(INDEX(CALC!$T$2:$T$33,MATCH($K318,CALC!$A$2:$A$33,0)),0))</f>
        <v/>
      </c>
      <c r="AQ318" s="2" t="str">
        <f t="array" ref="AQ318">IF($K318="",0,IFERROR(INDEX(CALC!$W$2:$W$33,MATCH($K318,CALC!$A$2:$A$33,0)),0))</f>
        <v/>
      </c>
      <c r="AR318" s="2" t="str">
        <f t="array" ref="AR318">IF($K318="",0,IFERROR(INDEX(CALC!$Z$2:$Z$33,MATCH($K318,CALC!$A$2:$A$33,0)),0))</f>
        <v/>
      </c>
      <c r="AS318" s="2" t="str">
        <f t="array" ref="AS318">IF($K318="",0,IFERROR(INDEX(CALC!$AJ$2:$AJ$33,MATCH($K318,CALC!$A$2:$A$33,0)),0))</f>
        <v/>
      </c>
      <c r="AT318" s="2" t="str">
        <f t="array" ref="AT318">IF($K318="",0,IFERROR(INDEX(CALC!$AI$2:$AI$33,MATCH($K318,CALC!$A$2:$A$33,0)),0))</f>
        <v/>
      </c>
      <c r="AU318" s="2">
        <f t="shared" si="11"/>
        <v>0</v>
      </c>
      <c r="AV318" s="2">
        <f t="shared" si="12"/>
        <v>0</v>
      </c>
    </row>
    <row r="319" ht="15.0" customHeight="1">
      <c r="A319" s="2">
        <v>159.0</v>
      </c>
      <c r="B319" s="2" t="s">
        <v>2365</v>
      </c>
      <c r="C319" s="2">
        <f>IFERROR(MATCH($A319,SchedSeq,0),"")</f>
        <v>444</v>
      </c>
      <c r="D319" s="2" t="str">
        <f t="array" ref="D319">IF($C319="","",INDEX(SchedZone,$C319,MAP!$B$6))</f>
        <v>2026_11_NYJ_LAC</v>
      </c>
      <c r="E319" s="2">
        <f t="array" ref="E319">IF($C319="","",INDEX(SchedZone,$C319,MAP!$B$3))</f>
        <v>2026</v>
      </c>
      <c r="F319" s="2" t="str">
        <f t="array" ref="F319">IF($C319="","",INDEX(SchedZone,$C319,MAP!$B$5))</f>
        <v>REG</v>
      </c>
      <c r="G319" s="2">
        <f t="array" ref="G319">IF($C319="","",INDEX(SchedZone,$C319,MAP!$B$4))</f>
        <v>11</v>
      </c>
      <c r="H319" s="2" t="str">
        <f t="array" ref="H319">IF($C319="","",INDEX(SchedZone,$C319,MAP!$B$12))</f>
        <v>LAC</v>
      </c>
      <c r="I319" s="2" t="str">
        <f t="array" ref="I319">IF($H319="","",IF(COUNTIF(Teams,$H319)&gt;0,$H319,IFERROR(INDEX(LISTS!$D$2:$D$12,MATCH($H319,LISTS!$C$2:$C$12,0)),"⚠ "&amp;$H319)))</f>
        <v>LAC</v>
      </c>
      <c r="J319" s="2" t="str">
        <f t="array" ref="J319">IF($C319="","",INDEX(SchedZone,$C319,MAP!$B$10))</f>
        <v>NYJ</v>
      </c>
      <c r="K319" s="2" t="str">
        <f t="array" ref="K319">IF($J319="","",IF(COUNTIF(Teams,$J319)&gt;0,$J319,IFERROR(INDEX(LISTS!$D$2:$D$12,MATCH($J319,LISTS!$C$2:$C$12,0)),"⚠ "&amp;$J319)))</f>
        <v>NYJ</v>
      </c>
      <c r="L319" s="2" t="str">
        <f t="array" ref="L319">IF($C319="","",IF(INDEX(SchedZone,$C319,MAP!$B$14)="Neutral","N",IF($B319="HOME","H","A")))</f>
        <v>H</v>
      </c>
      <c r="M319" s="2" t="str">
        <f t="array" ref="M319">IF($C319="","",IF(INDEX(SchedZone,$C319,MAP!$B$13)="","",INDEX(SchedZone,$C319,MAP!$B$13)))</f>
        <v/>
      </c>
      <c r="N319" s="2" t="str">
        <f t="array" ref="N319">IF($C319="","",IF(INDEX(SchedZone,$C319,MAP!$B$11)="","",INDEX(SchedZone,$C319,MAP!$B$11)))</f>
        <v/>
      </c>
      <c r="O319" s="2">
        <f t="array" ref="O319">IF($C319="","",INDEX(SchedZone,$C319,MAP!$B$16))</f>
        <v>6</v>
      </c>
      <c r="P319" s="2" t="str">
        <f>IF($C319="","",IFERROR(MATCH($E319&amp;"|"&amp;$G319&amp;"|"&amp;$I319,StatsKey,0),""))</f>
        <v/>
      </c>
      <c r="Q319" s="2">
        <f t="array" ref="Q319">IF($P319="",0,INDEX(StatsZone,$P319,MAP!$E$9)+INDEX(StatsZone,$P319,MAP!$E$10)+INDEX(StatsZone,$P319,MAP!$E$11))</f>
        <v>0</v>
      </c>
      <c r="R319" s="2">
        <f t="array" ref="R319">IF($P319="",0,INDEX(StatsZone,$P319,MAP!$E$12))</f>
        <v>0</v>
      </c>
      <c r="S319" s="2">
        <f t="array" ref="S319">IF($P319="",0,INDEX(StatsZone,$P319,MAP!$E$13))</f>
        <v>0</v>
      </c>
      <c r="T319" s="2">
        <f t="shared" si="1"/>
        <v>0</v>
      </c>
      <c r="U319" s="2">
        <f t="array" ref="U319">IF($P319="",0,INDEX(StatsZone,$P319,MAP!$E$14)+INDEX(StatsZone,$P319,MAP!$E$15)+INDEX(StatsZone,$P319,MAP!$E$16))</f>
        <v>0</v>
      </c>
      <c r="V319" s="2">
        <f t="shared" si="2"/>
        <v>0</v>
      </c>
      <c r="W319" s="2">
        <f t="shared" si="3"/>
        <v>0</v>
      </c>
      <c r="X319" s="2">
        <f t="shared" si="4"/>
        <v>0</v>
      </c>
      <c r="Y319" s="2">
        <f t="shared" si="5"/>
        <v>0</v>
      </c>
      <c r="Z319" s="2">
        <f t="shared" si="6"/>
        <v>0</v>
      </c>
      <c r="AA319" s="2">
        <f t="shared" si="7"/>
        <v>1</v>
      </c>
      <c r="AB319" s="2">
        <f>IF(OR($M319="",$N319=""),0,MEDIAN(-MarginCap,MarginCap,($M319-$N319)-$AA319*HFA_Base))</f>
        <v>0</v>
      </c>
      <c r="AC319" s="2">
        <f t="array" ref="AC319">IF(OR($P319="",INDEX($P$3:$P$722,(ROW()+IF(MOD(ROW()-3,2)=0,1,-1))-3+1)=""),0,MEDIAN(-MarginCap,MarginCap,($T319-$W319)-$AA319*HFA_Base))</f>
        <v>0</v>
      </c>
      <c r="AD319" s="2">
        <f t="shared" si="8"/>
        <v>0</v>
      </c>
      <c r="AE319" s="2">
        <f>IF(OR($M319="",$N319=""),0,IF(AND(WEpa&gt;0,$AD319=1),(1-WEpa)*$AB319+WEpa*$AC319,$AB319))</f>
        <v>0</v>
      </c>
      <c r="AF319" s="2">
        <f>IF(AND($C319&lt;&gt;"",$E319=CurrentSeason,$F319="REG",ISNUMBER($G319),$G319&lt;CurrentWeek,AND($M319&lt;&gt;"",$N319&lt;&gt;"")),1,0)</f>
        <v>0</v>
      </c>
      <c r="AG319" s="2">
        <f>IF($AF319=0,0,IF($G319&gt;=CurrentWeek-RecencyWin,RecencyMult,1))</f>
        <v>0</v>
      </c>
      <c r="AH319" s="2">
        <f>IF(AND($C319&lt;&gt;"",$E319=CurrentSeason,$F319="REG",ISNUMBER($G319),$G319&lt;CurrentWeek-1,AND($M319&lt;&gt;"",$N319&lt;&gt;"")),1,0)</f>
        <v>0</v>
      </c>
      <c r="AI319" s="2">
        <f>IF($AH319=0,0,IF($G319&gt;=CurrentWeek-1-RecencyWin,RecencyMult,1))</f>
        <v>0</v>
      </c>
      <c r="AJ319" s="2">
        <f>IF($AF319=0,0,IF($G319&gt;=CurrentWeek-RecencyWin,TotRecency,1))</f>
        <v>0</v>
      </c>
      <c r="AK319" s="2">
        <f t="shared" si="9"/>
        <v>0</v>
      </c>
      <c r="AL319" s="2">
        <f t="shared" si="10"/>
        <v>0</v>
      </c>
      <c r="AM319" s="2" t="str">
        <f t="array" ref="AM319">IF($K319="",0,IFERROR(INDEX(CALC!$F$2:$F$33,MATCH($K319,CALC!$A$2:$A$33,0)),0))</f>
        <v/>
      </c>
      <c r="AN319" s="2" t="str">
        <f t="array" ref="AN319">IF($K319="",0,IFERROR(INDEX(CALC!$I$2:$I$33,MATCH($K319,CALC!$A$2:$A$33,0)),0))</f>
        <v/>
      </c>
      <c r="AO319" s="2" t="str">
        <f t="array" ref="AO319">IF($K319="",0,IFERROR(INDEX(CALC!$L$2:$L$33,MATCH($K319,CALC!$A$2:$A$33,0)),0))</f>
        <v/>
      </c>
      <c r="AP319" s="2" t="str">
        <f t="array" ref="AP319">IF($K319="",0,IFERROR(INDEX(CALC!$T$2:$T$33,MATCH($K319,CALC!$A$2:$A$33,0)),0))</f>
        <v/>
      </c>
      <c r="AQ319" s="2" t="str">
        <f t="array" ref="AQ319">IF($K319="",0,IFERROR(INDEX(CALC!$W$2:$W$33,MATCH($K319,CALC!$A$2:$A$33,0)),0))</f>
        <v/>
      </c>
      <c r="AR319" s="2" t="str">
        <f t="array" ref="AR319">IF($K319="",0,IFERROR(INDEX(CALC!$Z$2:$Z$33,MATCH($K319,CALC!$A$2:$A$33,0)),0))</f>
        <v/>
      </c>
      <c r="AS319" s="2" t="str">
        <f t="array" ref="AS319">IF($K319="",0,IFERROR(INDEX(CALC!$AJ$2:$AJ$33,MATCH($K319,CALC!$A$2:$A$33,0)),0))</f>
        <v/>
      </c>
      <c r="AT319" s="2" t="str">
        <f t="array" ref="AT319">IF($K319="",0,IFERROR(INDEX(CALC!$AI$2:$AI$33,MATCH($K319,CALC!$A$2:$A$33,0)),0))</f>
        <v/>
      </c>
      <c r="AU319" s="2">
        <f t="shared" si="11"/>
        <v>0</v>
      </c>
      <c r="AV319" s="2">
        <f t="shared" si="12"/>
        <v>0</v>
      </c>
    </row>
    <row r="320" ht="15.0" customHeight="1">
      <c r="A320" s="2">
        <v>159.0</v>
      </c>
      <c r="B320" s="2" t="s">
        <v>2366</v>
      </c>
      <c r="C320" s="2">
        <f>IFERROR(MATCH($A320,SchedSeq,0),"")</f>
        <v>444</v>
      </c>
      <c r="D320" s="2" t="str">
        <f t="array" ref="D320">IF($C320="","",INDEX(SchedZone,$C320,MAP!$B$6))</f>
        <v>2026_11_NYJ_LAC</v>
      </c>
      <c r="E320" s="2">
        <f t="array" ref="E320">IF($C320="","",INDEX(SchedZone,$C320,MAP!$B$3))</f>
        <v>2026</v>
      </c>
      <c r="F320" s="2" t="str">
        <f t="array" ref="F320">IF($C320="","",INDEX(SchedZone,$C320,MAP!$B$5))</f>
        <v>REG</v>
      </c>
      <c r="G320" s="2">
        <f t="array" ref="G320">IF($C320="","",INDEX(SchedZone,$C320,MAP!$B$4))</f>
        <v>11</v>
      </c>
      <c r="H320" s="2" t="str">
        <f t="array" ref="H320">IF($C320="","",INDEX(SchedZone,$C320,MAP!$B$10))</f>
        <v>NYJ</v>
      </c>
      <c r="I320" s="2" t="str">
        <f t="array" ref="I320">IF($H320="","",IF(COUNTIF(Teams,$H320)&gt;0,$H320,IFERROR(INDEX(LISTS!$D$2:$D$12,MATCH($H320,LISTS!$C$2:$C$12,0)),"⚠ "&amp;$H320)))</f>
        <v>NYJ</v>
      </c>
      <c r="J320" s="2" t="str">
        <f t="array" ref="J320">IF($C320="","",INDEX(SchedZone,$C320,MAP!$B$12))</f>
        <v>LAC</v>
      </c>
      <c r="K320" s="2" t="str">
        <f t="array" ref="K320">IF($J320="","",IF(COUNTIF(Teams,$J320)&gt;0,$J320,IFERROR(INDEX(LISTS!$D$2:$D$12,MATCH($J320,LISTS!$C$2:$C$12,0)),"⚠ "&amp;$J320)))</f>
        <v>LAC</v>
      </c>
      <c r="L320" s="2" t="str">
        <f t="array" ref="L320">IF($C320="","",IF(INDEX(SchedZone,$C320,MAP!$B$14)="Neutral","N",IF($B320="HOME","H","A")))</f>
        <v>A</v>
      </c>
      <c r="M320" s="2" t="str">
        <f t="array" ref="M320">IF($C320="","",IF(INDEX(SchedZone,$C320,MAP!$B$11)="","",INDEX(SchedZone,$C320,MAP!$B$11)))</f>
        <v/>
      </c>
      <c r="N320" s="2" t="str">
        <f t="array" ref="N320">IF($C320="","",IF(INDEX(SchedZone,$C320,MAP!$B$13)="","",INDEX(SchedZone,$C320,MAP!$B$13)))</f>
        <v/>
      </c>
      <c r="O320" s="2">
        <f t="array" ref="O320">IF($C320="","",INDEX(SchedZone,$C320,MAP!$B$15))</f>
        <v>7</v>
      </c>
      <c r="P320" s="2" t="str">
        <f>IF($C320="","",IFERROR(MATCH($E320&amp;"|"&amp;$G320&amp;"|"&amp;$I320,StatsKey,0),""))</f>
        <v/>
      </c>
      <c r="Q320" s="2">
        <f t="array" ref="Q320">IF($P320="",0,INDEX(StatsZone,$P320,MAP!$E$9)+INDEX(StatsZone,$P320,MAP!$E$10)+INDEX(StatsZone,$P320,MAP!$E$11))</f>
        <v>0</v>
      </c>
      <c r="R320" s="2">
        <f t="array" ref="R320">IF($P320="",0,INDEX(StatsZone,$P320,MAP!$E$12))</f>
        <v>0</v>
      </c>
      <c r="S320" s="2">
        <f t="array" ref="S320">IF($P320="",0,INDEX(StatsZone,$P320,MAP!$E$13))</f>
        <v>0</v>
      </c>
      <c r="T320" s="2">
        <f t="shared" si="1"/>
        <v>0</v>
      </c>
      <c r="U320" s="2">
        <f t="array" ref="U320">IF($P320="",0,INDEX(StatsZone,$P320,MAP!$E$14)+INDEX(StatsZone,$P320,MAP!$E$15)+INDEX(StatsZone,$P320,MAP!$E$16))</f>
        <v>0</v>
      </c>
      <c r="V320" s="2">
        <f t="shared" si="2"/>
        <v>0</v>
      </c>
      <c r="W320" s="2">
        <f t="shared" si="3"/>
        <v>0</v>
      </c>
      <c r="X320" s="2">
        <f t="shared" si="4"/>
        <v>0</v>
      </c>
      <c r="Y320" s="2">
        <f t="shared" si="5"/>
        <v>0</v>
      </c>
      <c r="Z320" s="2">
        <f t="shared" si="6"/>
        <v>0</v>
      </c>
      <c r="AA320" s="2">
        <f t="shared" si="7"/>
        <v>-1</v>
      </c>
      <c r="AB320" s="2">
        <f>IF(OR($M320="",$N320=""),0,MEDIAN(-MarginCap,MarginCap,($M320-$N320)-$AA320*HFA_Base))</f>
        <v>0</v>
      </c>
      <c r="AC320" s="2">
        <f t="array" ref="AC320">IF(OR($P320="",INDEX($P$3:$P$722,(ROW()+IF(MOD(ROW()-3,2)=0,1,-1))-3+1)=""),0,MEDIAN(-MarginCap,MarginCap,($T320-$W320)-$AA320*HFA_Base))</f>
        <v>0</v>
      </c>
      <c r="AD320" s="2">
        <f t="shared" si="8"/>
        <v>0</v>
      </c>
      <c r="AE320" s="2">
        <f>IF(OR($M320="",$N320=""),0,IF(AND(WEpa&gt;0,$AD320=1),(1-WEpa)*$AB320+WEpa*$AC320,$AB320))</f>
        <v>0</v>
      </c>
      <c r="AF320" s="2">
        <f>IF(AND($C320&lt;&gt;"",$E320=CurrentSeason,$F320="REG",ISNUMBER($G320),$G320&lt;CurrentWeek,AND($M320&lt;&gt;"",$N320&lt;&gt;"")),1,0)</f>
        <v>0</v>
      </c>
      <c r="AG320" s="2">
        <f>IF($AF320=0,0,IF($G320&gt;=CurrentWeek-RecencyWin,RecencyMult,1))</f>
        <v>0</v>
      </c>
      <c r="AH320" s="2">
        <f>IF(AND($C320&lt;&gt;"",$E320=CurrentSeason,$F320="REG",ISNUMBER($G320),$G320&lt;CurrentWeek-1,AND($M320&lt;&gt;"",$N320&lt;&gt;"")),1,0)</f>
        <v>0</v>
      </c>
      <c r="AI320" s="2">
        <f>IF($AH320=0,0,IF($G320&gt;=CurrentWeek-1-RecencyWin,RecencyMult,1))</f>
        <v>0</v>
      </c>
      <c r="AJ320" s="2">
        <f>IF($AF320=0,0,IF($G320&gt;=CurrentWeek-RecencyWin,TotRecency,1))</f>
        <v>0</v>
      </c>
      <c r="AK320" s="2">
        <f t="shared" si="9"/>
        <v>0</v>
      </c>
      <c r="AL320" s="2">
        <f t="shared" si="10"/>
        <v>0</v>
      </c>
      <c r="AM320" s="2" t="str">
        <f t="array" ref="AM320">IF($K320="",0,IFERROR(INDEX(CALC!$F$2:$F$33,MATCH($K320,CALC!$A$2:$A$33,0)),0))</f>
        <v/>
      </c>
      <c r="AN320" s="2" t="str">
        <f t="array" ref="AN320">IF($K320="",0,IFERROR(INDEX(CALC!$I$2:$I$33,MATCH($K320,CALC!$A$2:$A$33,0)),0))</f>
        <v/>
      </c>
      <c r="AO320" s="2" t="str">
        <f t="array" ref="AO320">IF($K320="",0,IFERROR(INDEX(CALC!$L$2:$L$33,MATCH($K320,CALC!$A$2:$A$33,0)),0))</f>
        <v/>
      </c>
      <c r="AP320" s="2" t="str">
        <f t="array" ref="AP320">IF($K320="",0,IFERROR(INDEX(CALC!$T$2:$T$33,MATCH($K320,CALC!$A$2:$A$33,0)),0))</f>
        <v/>
      </c>
      <c r="AQ320" s="2" t="str">
        <f t="array" ref="AQ320">IF($K320="",0,IFERROR(INDEX(CALC!$W$2:$W$33,MATCH($K320,CALC!$A$2:$A$33,0)),0))</f>
        <v/>
      </c>
      <c r="AR320" s="2" t="str">
        <f t="array" ref="AR320">IF($K320="",0,IFERROR(INDEX(CALC!$Z$2:$Z$33,MATCH($K320,CALC!$A$2:$A$33,0)),0))</f>
        <v/>
      </c>
      <c r="AS320" s="2" t="str">
        <f t="array" ref="AS320">IF($K320="",0,IFERROR(INDEX(CALC!$AJ$2:$AJ$33,MATCH($K320,CALC!$A$2:$A$33,0)),0))</f>
        <v/>
      </c>
      <c r="AT320" s="2" t="str">
        <f t="array" ref="AT320">IF($K320="",0,IFERROR(INDEX(CALC!$AI$2:$AI$33,MATCH($K320,CALC!$A$2:$A$33,0)),0))</f>
        <v/>
      </c>
      <c r="AU320" s="2">
        <f t="shared" si="11"/>
        <v>0</v>
      </c>
      <c r="AV320" s="2">
        <f t="shared" si="12"/>
        <v>0</v>
      </c>
    </row>
    <row r="321" ht="15.0" customHeight="1">
      <c r="A321" s="2">
        <v>160.0</v>
      </c>
      <c r="B321" s="2" t="s">
        <v>2365</v>
      </c>
      <c r="C321" s="2">
        <f>IFERROR(MATCH($A321,SchedSeq,0),"")</f>
        <v>445</v>
      </c>
      <c r="D321" s="2" t="str">
        <f t="array" ref="D321">IF($C321="","",INDEX(SchedZone,$C321,MAP!$B$6))</f>
        <v>2026_11_LV_DEN</v>
      </c>
      <c r="E321" s="2">
        <f t="array" ref="E321">IF($C321="","",INDEX(SchedZone,$C321,MAP!$B$3))</f>
        <v>2026</v>
      </c>
      <c r="F321" s="2" t="str">
        <f t="array" ref="F321">IF($C321="","",INDEX(SchedZone,$C321,MAP!$B$5))</f>
        <v>REG</v>
      </c>
      <c r="G321" s="2">
        <f t="array" ref="G321">IF($C321="","",INDEX(SchedZone,$C321,MAP!$B$4))</f>
        <v>11</v>
      </c>
      <c r="H321" s="2" t="str">
        <f t="array" ref="H321">IF($C321="","",INDEX(SchedZone,$C321,MAP!$B$12))</f>
        <v>DEN</v>
      </c>
      <c r="I321" s="2" t="str">
        <f t="array" ref="I321">IF($H321="","",IF(COUNTIF(Teams,$H321)&gt;0,$H321,IFERROR(INDEX(LISTS!$D$2:$D$12,MATCH($H321,LISTS!$C$2:$C$12,0)),"⚠ "&amp;$H321)))</f>
        <v>DEN</v>
      </c>
      <c r="J321" s="2" t="str">
        <f t="array" ref="J321">IF($C321="","",INDEX(SchedZone,$C321,MAP!$B$10))</f>
        <v>LV</v>
      </c>
      <c r="K321" s="2" t="str">
        <f t="array" ref="K321">IF($J321="","",IF(COUNTIF(Teams,$J321)&gt;0,$J321,IFERROR(INDEX(LISTS!$D$2:$D$12,MATCH($J321,LISTS!$C$2:$C$12,0)),"⚠ "&amp;$J321)))</f>
        <v>LV</v>
      </c>
      <c r="L321" s="2" t="str">
        <f t="array" ref="L321">IF($C321="","",IF(INDEX(SchedZone,$C321,MAP!$B$14)="Neutral","N",IF($B321="HOME","H","A")))</f>
        <v>H</v>
      </c>
      <c r="M321" s="2" t="str">
        <f t="array" ref="M321">IF($C321="","",IF(INDEX(SchedZone,$C321,MAP!$B$13)="","",INDEX(SchedZone,$C321,MAP!$B$13)))</f>
        <v/>
      </c>
      <c r="N321" s="2" t="str">
        <f t="array" ref="N321">IF($C321="","",IF(INDEX(SchedZone,$C321,MAP!$B$11)="","",INDEX(SchedZone,$C321,MAP!$B$11)))</f>
        <v/>
      </c>
      <c r="O321" s="2">
        <f t="array" ref="O321">IF($C321="","",INDEX(SchedZone,$C321,MAP!$B$16))</f>
        <v>14</v>
      </c>
      <c r="P321" s="2" t="str">
        <f>IF($C321="","",IFERROR(MATCH($E321&amp;"|"&amp;$G321&amp;"|"&amp;$I321,StatsKey,0),""))</f>
        <v/>
      </c>
      <c r="Q321" s="2">
        <f t="array" ref="Q321">IF($P321="",0,INDEX(StatsZone,$P321,MAP!$E$9)+INDEX(StatsZone,$P321,MAP!$E$10)+INDEX(StatsZone,$P321,MAP!$E$11))</f>
        <v>0</v>
      </c>
      <c r="R321" s="2">
        <f t="array" ref="R321">IF($P321="",0,INDEX(StatsZone,$P321,MAP!$E$12))</f>
        <v>0</v>
      </c>
      <c r="S321" s="2">
        <f t="array" ref="S321">IF($P321="",0,INDEX(StatsZone,$P321,MAP!$E$13))</f>
        <v>0</v>
      </c>
      <c r="T321" s="2">
        <f t="shared" si="1"/>
        <v>0</v>
      </c>
      <c r="U321" s="2">
        <f t="array" ref="U321">IF($P321="",0,INDEX(StatsZone,$P321,MAP!$E$14)+INDEX(StatsZone,$P321,MAP!$E$15)+INDEX(StatsZone,$P321,MAP!$E$16))</f>
        <v>0</v>
      </c>
      <c r="V321" s="2">
        <f t="shared" si="2"/>
        <v>0</v>
      </c>
      <c r="W321" s="2">
        <f t="shared" si="3"/>
        <v>0</v>
      </c>
      <c r="X321" s="2">
        <f t="shared" si="4"/>
        <v>0</v>
      </c>
      <c r="Y321" s="2">
        <f t="shared" si="5"/>
        <v>0</v>
      </c>
      <c r="Z321" s="2">
        <f t="shared" si="6"/>
        <v>0</v>
      </c>
      <c r="AA321" s="2">
        <f t="shared" si="7"/>
        <v>1</v>
      </c>
      <c r="AB321" s="2">
        <f>IF(OR($M321="",$N321=""),0,MEDIAN(-MarginCap,MarginCap,($M321-$N321)-$AA321*HFA_Base))</f>
        <v>0</v>
      </c>
      <c r="AC321" s="2">
        <f t="array" ref="AC321">IF(OR($P321="",INDEX($P$3:$P$722,(ROW()+IF(MOD(ROW()-3,2)=0,1,-1))-3+1)=""),0,MEDIAN(-MarginCap,MarginCap,($T321-$W321)-$AA321*HFA_Base))</f>
        <v>0</v>
      </c>
      <c r="AD321" s="2">
        <f t="shared" si="8"/>
        <v>0</v>
      </c>
      <c r="AE321" s="2">
        <f>IF(OR($M321="",$N321=""),0,IF(AND(WEpa&gt;0,$AD321=1),(1-WEpa)*$AB321+WEpa*$AC321,$AB321))</f>
        <v>0</v>
      </c>
      <c r="AF321" s="2">
        <f>IF(AND($C321&lt;&gt;"",$E321=CurrentSeason,$F321="REG",ISNUMBER($G321),$G321&lt;CurrentWeek,AND($M321&lt;&gt;"",$N321&lt;&gt;"")),1,0)</f>
        <v>0</v>
      </c>
      <c r="AG321" s="2">
        <f>IF($AF321=0,0,IF($G321&gt;=CurrentWeek-RecencyWin,RecencyMult,1))</f>
        <v>0</v>
      </c>
      <c r="AH321" s="2">
        <f>IF(AND($C321&lt;&gt;"",$E321=CurrentSeason,$F321="REG",ISNUMBER($G321),$G321&lt;CurrentWeek-1,AND($M321&lt;&gt;"",$N321&lt;&gt;"")),1,0)</f>
        <v>0</v>
      </c>
      <c r="AI321" s="2">
        <f>IF($AH321=0,0,IF($G321&gt;=CurrentWeek-1-RecencyWin,RecencyMult,1))</f>
        <v>0</v>
      </c>
      <c r="AJ321" s="2">
        <f>IF($AF321=0,0,IF($G321&gt;=CurrentWeek-RecencyWin,TotRecency,1))</f>
        <v>0</v>
      </c>
      <c r="AK321" s="2">
        <f t="shared" si="9"/>
        <v>0</v>
      </c>
      <c r="AL321" s="2">
        <f t="shared" si="10"/>
        <v>0</v>
      </c>
      <c r="AM321" s="2" t="str">
        <f t="array" ref="AM321">IF($K321="",0,IFERROR(INDEX(CALC!$F$2:$F$33,MATCH($K321,CALC!$A$2:$A$33,0)),0))</f>
        <v/>
      </c>
      <c r="AN321" s="2" t="str">
        <f t="array" ref="AN321">IF($K321="",0,IFERROR(INDEX(CALC!$I$2:$I$33,MATCH($K321,CALC!$A$2:$A$33,0)),0))</f>
        <v/>
      </c>
      <c r="AO321" s="2" t="str">
        <f t="array" ref="AO321">IF($K321="",0,IFERROR(INDEX(CALC!$L$2:$L$33,MATCH($K321,CALC!$A$2:$A$33,0)),0))</f>
        <v/>
      </c>
      <c r="AP321" s="2" t="str">
        <f t="array" ref="AP321">IF($K321="",0,IFERROR(INDEX(CALC!$T$2:$T$33,MATCH($K321,CALC!$A$2:$A$33,0)),0))</f>
        <v/>
      </c>
      <c r="AQ321" s="2" t="str">
        <f t="array" ref="AQ321">IF($K321="",0,IFERROR(INDEX(CALC!$W$2:$W$33,MATCH($K321,CALC!$A$2:$A$33,0)),0))</f>
        <v/>
      </c>
      <c r="AR321" s="2" t="str">
        <f t="array" ref="AR321">IF($K321="",0,IFERROR(INDEX(CALC!$Z$2:$Z$33,MATCH($K321,CALC!$A$2:$A$33,0)),0))</f>
        <v/>
      </c>
      <c r="AS321" s="2" t="str">
        <f t="array" ref="AS321">IF($K321="",0,IFERROR(INDEX(CALC!$AJ$2:$AJ$33,MATCH($K321,CALC!$A$2:$A$33,0)),0))</f>
        <v/>
      </c>
      <c r="AT321" s="2" t="str">
        <f t="array" ref="AT321">IF($K321="",0,IFERROR(INDEX(CALC!$AI$2:$AI$33,MATCH($K321,CALC!$A$2:$A$33,0)),0))</f>
        <v/>
      </c>
      <c r="AU321" s="2">
        <f t="shared" si="11"/>
        <v>0</v>
      </c>
      <c r="AV321" s="2">
        <f t="shared" si="12"/>
        <v>0</v>
      </c>
    </row>
    <row r="322" ht="15.0" customHeight="1">
      <c r="A322" s="2">
        <v>160.0</v>
      </c>
      <c r="B322" s="2" t="s">
        <v>2366</v>
      </c>
      <c r="C322" s="2">
        <f>IFERROR(MATCH($A322,SchedSeq,0),"")</f>
        <v>445</v>
      </c>
      <c r="D322" s="2" t="str">
        <f t="array" ref="D322">IF($C322="","",INDEX(SchedZone,$C322,MAP!$B$6))</f>
        <v>2026_11_LV_DEN</v>
      </c>
      <c r="E322" s="2">
        <f t="array" ref="E322">IF($C322="","",INDEX(SchedZone,$C322,MAP!$B$3))</f>
        <v>2026</v>
      </c>
      <c r="F322" s="2" t="str">
        <f t="array" ref="F322">IF($C322="","",INDEX(SchedZone,$C322,MAP!$B$5))</f>
        <v>REG</v>
      </c>
      <c r="G322" s="2">
        <f t="array" ref="G322">IF($C322="","",INDEX(SchedZone,$C322,MAP!$B$4))</f>
        <v>11</v>
      </c>
      <c r="H322" s="2" t="str">
        <f t="array" ref="H322">IF($C322="","",INDEX(SchedZone,$C322,MAP!$B$10))</f>
        <v>LV</v>
      </c>
      <c r="I322" s="2" t="str">
        <f t="array" ref="I322">IF($H322="","",IF(COUNTIF(Teams,$H322)&gt;0,$H322,IFERROR(INDEX(LISTS!$D$2:$D$12,MATCH($H322,LISTS!$C$2:$C$12,0)),"⚠ "&amp;$H322)))</f>
        <v>LV</v>
      </c>
      <c r="J322" s="2" t="str">
        <f t="array" ref="J322">IF($C322="","",INDEX(SchedZone,$C322,MAP!$B$12))</f>
        <v>DEN</v>
      </c>
      <c r="K322" s="2" t="str">
        <f t="array" ref="K322">IF($J322="","",IF(COUNTIF(Teams,$J322)&gt;0,$J322,IFERROR(INDEX(LISTS!$D$2:$D$12,MATCH($J322,LISTS!$C$2:$C$12,0)),"⚠ "&amp;$J322)))</f>
        <v>DEN</v>
      </c>
      <c r="L322" s="2" t="str">
        <f t="array" ref="L322">IF($C322="","",IF(INDEX(SchedZone,$C322,MAP!$B$14)="Neutral","N",IF($B322="HOME","H","A")))</f>
        <v>A</v>
      </c>
      <c r="M322" s="2" t="str">
        <f t="array" ref="M322">IF($C322="","",IF(INDEX(SchedZone,$C322,MAP!$B$11)="","",INDEX(SchedZone,$C322,MAP!$B$11)))</f>
        <v/>
      </c>
      <c r="N322" s="2" t="str">
        <f t="array" ref="N322">IF($C322="","",IF(INDEX(SchedZone,$C322,MAP!$B$13)="","",INDEX(SchedZone,$C322,MAP!$B$13)))</f>
        <v/>
      </c>
      <c r="O322" s="2">
        <f t="array" ref="O322">IF($C322="","",INDEX(SchedZone,$C322,MAP!$B$15))</f>
        <v>7</v>
      </c>
      <c r="P322" s="2" t="str">
        <f>IF($C322="","",IFERROR(MATCH($E322&amp;"|"&amp;$G322&amp;"|"&amp;$I322,StatsKey,0),""))</f>
        <v/>
      </c>
      <c r="Q322" s="2">
        <f t="array" ref="Q322">IF($P322="",0,INDEX(StatsZone,$P322,MAP!$E$9)+INDEX(StatsZone,$P322,MAP!$E$10)+INDEX(StatsZone,$P322,MAP!$E$11))</f>
        <v>0</v>
      </c>
      <c r="R322" s="2">
        <f t="array" ref="R322">IF($P322="",0,INDEX(StatsZone,$P322,MAP!$E$12))</f>
        <v>0</v>
      </c>
      <c r="S322" s="2">
        <f t="array" ref="S322">IF($P322="",0,INDEX(StatsZone,$P322,MAP!$E$13))</f>
        <v>0</v>
      </c>
      <c r="T322" s="2">
        <f t="shared" si="1"/>
        <v>0</v>
      </c>
      <c r="U322" s="2">
        <f t="array" ref="U322">IF($P322="",0,INDEX(StatsZone,$P322,MAP!$E$14)+INDEX(StatsZone,$P322,MAP!$E$15)+INDEX(StatsZone,$P322,MAP!$E$16))</f>
        <v>0</v>
      </c>
      <c r="V322" s="2">
        <f t="shared" si="2"/>
        <v>0</v>
      </c>
      <c r="W322" s="2">
        <f t="shared" si="3"/>
        <v>0</v>
      </c>
      <c r="X322" s="2">
        <f t="shared" si="4"/>
        <v>0</v>
      </c>
      <c r="Y322" s="2">
        <f t="shared" si="5"/>
        <v>0</v>
      </c>
      <c r="Z322" s="2">
        <f t="shared" si="6"/>
        <v>0</v>
      </c>
      <c r="AA322" s="2">
        <f t="shared" si="7"/>
        <v>-1</v>
      </c>
      <c r="AB322" s="2">
        <f>IF(OR($M322="",$N322=""),0,MEDIAN(-MarginCap,MarginCap,($M322-$N322)-$AA322*HFA_Base))</f>
        <v>0</v>
      </c>
      <c r="AC322" s="2">
        <f t="array" ref="AC322">IF(OR($P322="",INDEX($P$3:$P$722,(ROW()+IF(MOD(ROW()-3,2)=0,1,-1))-3+1)=""),0,MEDIAN(-MarginCap,MarginCap,($T322-$W322)-$AA322*HFA_Base))</f>
        <v>0</v>
      </c>
      <c r="AD322" s="2">
        <f t="shared" si="8"/>
        <v>0</v>
      </c>
      <c r="AE322" s="2">
        <f>IF(OR($M322="",$N322=""),0,IF(AND(WEpa&gt;0,$AD322=1),(1-WEpa)*$AB322+WEpa*$AC322,$AB322))</f>
        <v>0</v>
      </c>
      <c r="AF322" s="2">
        <f>IF(AND($C322&lt;&gt;"",$E322=CurrentSeason,$F322="REG",ISNUMBER($G322),$G322&lt;CurrentWeek,AND($M322&lt;&gt;"",$N322&lt;&gt;"")),1,0)</f>
        <v>0</v>
      </c>
      <c r="AG322" s="2">
        <f>IF($AF322=0,0,IF($G322&gt;=CurrentWeek-RecencyWin,RecencyMult,1))</f>
        <v>0</v>
      </c>
      <c r="AH322" s="2">
        <f>IF(AND($C322&lt;&gt;"",$E322=CurrentSeason,$F322="REG",ISNUMBER($G322),$G322&lt;CurrentWeek-1,AND($M322&lt;&gt;"",$N322&lt;&gt;"")),1,0)</f>
        <v>0</v>
      </c>
      <c r="AI322" s="2">
        <f>IF($AH322=0,0,IF($G322&gt;=CurrentWeek-1-RecencyWin,RecencyMult,1))</f>
        <v>0</v>
      </c>
      <c r="AJ322" s="2">
        <f>IF($AF322=0,0,IF($G322&gt;=CurrentWeek-RecencyWin,TotRecency,1))</f>
        <v>0</v>
      </c>
      <c r="AK322" s="2">
        <f t="shared" si="9"/>
        <v>0</v>
      </c>
      <c r="AL322" s="2">
        <f t="shared" si="10"/>
        <v>0</v>
      </c>
      <c r="AM322" s="2" t="str">
        <f t="array" ref="AM322">IF($K322="",0,IFERROR(INDEX(CALC!$F$2:$F$33,MATCH($K322,CALC!$A$2:$A$33,0)),0))</f>
        <v/>
      </c>
      <c r="AN322" s="2" t="str">
        <f t="array" ref="AN322">IF($K322="",0,IFERROR(INDEX(CALC!$I$2:$I$33,MATCH($K322,CALC!$A$2:$A$33,0)),0))</f>
        <v/>
      </c>
      <c r="AO322" s="2" t="str">
        <f t="array" ref="AO322">IF($K322="",0,IFERROR(INDEX(CALC!$L$2:$L$33,MATCH($K322,CALC!$A$2:$A$33,0)),0))</f>
        <v/>
      </c>
      <c r="AP322" s="2" t="str">
        <f t="array" ref="AP322">IF($K322="",0,IFERROR(INDEX(CALC!$T$2:$T$33,MATCH($K322,CALC!$A$2:$A$33,0)),0))</f>
        <v/>
      </c>
      <c r="AQ322" s="2" t="str">
        <f t="array" ref="AQ322">IF($K322="",0,IFERROR(INDEX(CALC!$W$2:$W$33,MATCH($K322,CALC!$A$2:$A$33,0)),0))</f>
        <v/>
      </c>
      <c r="AR322" s="2" t="str">
        <f t="array" ref="AR322">IF($K322="",0,IFERROR(INDEX(CALC!$Z$2:$Z$33,MATCH($K322,CALC!$A$2:$A$33,0)),0))</f>
        <v/>
      </c>
      <c r="AS322" s="2" t="str">
        <f t="array" ref="AS322">IF($K322="",0,IFERROR(INDEX(CALC!$AJ$2:$AJ$33,MATCH($K322,CALC!$A$2:$A$33,0)),0))</f>
        <v/>
      </c>
      <c r="AT322" s="2" t="str">
        <f t="array" ref="AT322">IF($K322="",0,IFERROR(INDEX(CALC!$AI$2:$AI$33,MATCH($K322,CALC!$A$2:$A$33,0)),0))</f>
        <v/>
      </c>
      <c r="AU322" s="2">
        <f t="shared" si="11"/>
        <v>0</v>
      </c>
      <c r="AV322" s="2">
        <f t="shared" si="12"/>
        <v>0</v>
      </c>
    </row>
    <row r="323" ht="15.0" customHeight="1">
      <c r="A323" s="2">
        <v>161.0</v>
      </c>
      <c r="B323" s="2" t="s">
        <v>2365</v>
      </c>
      <c r="C323" s="2">
        <f>IFERROR(MATCH($A323,SchedSeq,0),"")</f>
        <v>446</v>
      </c>
      <c r="D323" s="2" t="str">
        <f t="array" ref="D323">IF($C323="","",INDEX(SchedZone,$C323,MAP!$B$6))</f>
        <v>2026_11_PIT_PHI</v>
      </c>
      <c r="E323" s="2">
        <f t="array" ref="E323">IF($C323="","",INDEX(SchedZone,$C323,MAP!$B$3))</f>
        <v>2026</v>
      </c>
      <c r="F323" s="2" t="str">
        <f t="array" ref="F323">IF($C323="","",INDEX(SchedZone,$C323,MAP!$B$5))</f>
        <v>REG</v>
      </c>
      <c r="G323" s="2">
        <f t="array" ref="G323">IF($C323="","",INDEX(SchedZone,$C323,MAP!$B$4))</f>
        <v>11</v>
      </c>
      <c r="H323" s="2" t="str">
        <f t="array" ref="H323">IF($C323="","",INDEX(SchedZone,$C323,MAP!$B$12))</f>
        <v>PHI</v>
      </c>
      <c r="I323" s="2" t="str">
        <f t="array" ref="I323">IF($H323="","",IF(COUNTIF(Teams,$H323)&gt;0,$H323,IFERROR(INDEX(LISTS!$D$2:$D$12,MATCH($H323,LISTS!$C$2:$C$12,0)),"⚠ "&amp;$H323)))</f>
        <v>PHI</v>
      </c>
      <c r="J323" s="2" t="str">
        <f t="array" ref="J323">IF($C323="","",INDEX(SchedZone,$C323,MAP!$B$10))</f>
        <v>PIT</v>
      </c>
      <c r="K323" s="2" t="str">
        <f t="array" ref="K323">IF($J323="","",IF(COUNTIF(Teams,$J323)&gt;0,$J323,IFERROR(INDEX(LISTS!$D$2:$D$12,MATCH($J323,LISTS!$C$2:$C$12,0)),"⚠ "&amp;$J323)))</f>
        <v>PIT</v>
      </c>
      <c r="L323" s="2" t="str">
        <f t="array" ref="L323">IF($C323="","",IF(INDEX(SchedZone,$C323,MAP!$B$14)="Neutral","N",IF($B323="HOME","H","A")))</f>
        <v>H</v>
      </c>
      <c r="M323" s="2" t="str">
        <f t="array" ref="M323">IF($C323="","",IF(INDEX(SchedZone,$C323,MAP!$B$13)="","",INDEX(SchedZone,$C323,MAP!$B$13)))</f>
        <v/>
      </c>
      <c r="N323" s="2" t="str">
        <f t="array" ref="N323">IF($C323="","",IF(INDEX(SchedZone,$C323,MAP!$B$11)="","",INDEX(SchedZone,$C323,MAP!$B$11)))</f>
        <v/>
      </c>
      <c r="O323" s="2">
        <f t="array" ref="O323">IF($C323="","",INDEX(SchedZone,$C323,MAP!$B$16))</f>
        <v>14</v>
      </c>
      <c r="P323" s="2" t="str">
        <f>IF($C323="","",IFERROR(MATCH($E323&amp;"|"&amp;$G323&amp;"|"&amp;$I323,StatsKey,0),""))</f>
        <v/>
      </c>
      <c r="Q323" s="2">
        <f t="array" ref="Q323">IF($P323="",0,INDEX(StatsZone,$P323,MAP!$E$9)+INDEX(StatsZone,$P323,MAP!$E$10)+INDEX(StatsZone,$P323,MAP!$E$11))</f>
        <v>0</v>
      </c>
      <c r="R323" s="2">
        <f t="array" ref="R323">IF($P323="",0,INDEX(StatsZone,$P323,MAP!$E$12))</f>
        <v>0</v>
      </c>
      <c r="S323" s="2">
        <f t="array" ref="S323">IF($P323="",0,INDEX(StatsZone,$P323,MAP!$E$13))</f>
        <v>0</v>
      </c>
      <c r="T323" s="2">
        <f t="shared" si="1"/>
        <v>0</v>
      </c>
      <c r="U323" s="2">
        <f t="array" ref="U323">IF($P323="",0,INDEX(StatsZone,$P323,MAP!$E$14)+INDEX(StatsZone,$P323,MAP!$E$15)+INDEX(StatsZone,$P323,MAP!$E$16))</f>
        <v>0</v>
      </c>
      <c r="V323" s="2">
        <f t="shared" si="2"/>
        <v>0</v>
      </c>
      <c r="W323" s="2">
        <f t="shared" si="3"/>
        <v>0</v>
      </c>
      <c r="X323" s="2">
        <f t="shared" si="4"/>
        <v>0</v>
      </c>
      <c r="Y323" s="2">
        <f t="shared" si="5"/>
        <v>0</v>
      </c>
      <c r="Z323" s="2">
        <f t="shared" si="6"/>
        <v>0</v>
      </c>
      <c r="AA323" s="2">
        <f t="shared" si="7"/>
        <v>1</v>
      </c>
      <c r="AB323" s="2">
        <f>IF(OR($M323="",$N323=""),0,MEDIAN(-MarginCap,MarginCap,($M323-$N323)-$AA323*HFA_Base))</f>
        <v>0</v>
      </c>
      <c r="AC323" s="2">
        <f t="array" ref="AC323">IF(OR($P323="",INDEX($P$3:$P$722,(ROW()+IF(MOD(ROW()-3,2)=0,1,-1))-3+1)=""),0,MEDIAN(-MarginCap,MarginCap,($T323-$W323)-$AA323*HFA_Base))</f>
        <v>0</v>
      </c>
      <c r="AD323" s="2">
        <f t="shared" si="8"/>
        <v>0</v>
      </c>
      <c r="AE323" s="2">
        <f>IF(OR($M323="",$N323=""),0,IF(AND(WEpa&gt;0,$AD323=1),(1-WEpa)*$AB323+WEpa*$AC323,$AB323))</f>
        <v>0</v>
      </c>
      <c r="AF323" s="2">
        <f>IF(AND($C323&lt;&gt;"",$E323=CurrentSeason,$F323="REG",ISNUMBER($G323),$G323&lt;CurrentWeek,AND($M323&lt;&gt;"",$N323&lt;&gt;"")),1,0)</f>
        <v>0</v>
      </c>
      <c r="AG323" s="2">
        <f>IF($AF323=0,0,IF($G323&gt;=CurrentWeek-RecencyWin,RecencyMult,1))</f>
        <v>0</v>
      </c>
      <c r="AH323" s="2">
        <f>IF(AND($C323&lt;&gt;"",$E323=CurrentSeason,$F323="REG",ISNUMBER($G323),$G323&lt;CurrentWeek-1,AND($M323&lt;&gt;"",$N323&lt;&gt;"")),1,0)</f>
        <v>0</v>
      </c>
      <c r="AI323" s="2">
        <f>IF($AH323=0,0,IF($G323&gt;=CurrentWeek-1-RecencyWin,RecencyMult,1))</f>
        <v>0</v>
      </c>
      <c r="AJ323" s="2">
        <f>IF($AF323=0,0,IF($G323&gt;=CurrentWeek-RecencyWin,TotRecency,1))</f>
        <v>0</v>
      </c>
      <c r="AK323" s="2">
        <f t="shared" si="9"/>
        <v>0</v>
      </c>
      <c r="AL323" s="2">
        <f t="shared" si="10"/>
        <v>0</v>
      </c>
      <c r="AM323" s="2" t="str">
        <f t="array" ref="AM323">IF($K323="",0,IFERROR(INDEX(CALC!$F$2:$F$33,MATCH($K323,CALC!$A$2:$A$33,0)),0))</f>
        <v/>
      </c>
      <c r="AN323" s="2" t="str">
        <f t="array" ref="AN323">IF($K323="",0,IFERROR(INDEX(CALC!$I$2:$I$33,MATCH($K323,CALC!$A$2:$A$33,0)),0))</f>
        <v/>
      </c>
      <c r="AO323" s="2" t="str">
        <f t="array" ref="AO323">IF($K323="",0,IFERROR(INDEX(CALC!$L$2:$L$33,MATCH($K323,CALC!$A$2:$A$33,0)),0))</f>
        <v/>
      </c>
      <c r="AP323" s="2" t="str">
        <f t="array" ref="AP323">IF($K323="",0,IFERROR(INDEX(CALC!$T$2:$T$33,MATCH($K323,CALC!$A$2:$A$33,0)),0))</f>
        <v/>
      </c>
      <c r="AQ323" s="2" t="str">
        <f t="array" ref="AQ323">IF($K323="",0,IFERROR(INDEX(CALC!$W$2:$W$33,MATCH($K323,CALC!$A$2:$A$33,0)),0))</f>
        <v/>
      </c>
      <c r="AR323" s="2" t="str">
        <f t="array" ref="AR323">IF($K323="",0,IFERROR(INDEX(CALC!$Z$2:$Z$33,MATCH($K323,CALC!$A$2:$A$33,0)),0))</f>
        <v/>
      </c>
      <c r="AS323" s="2" t="str">
        <f t="array" ref="AS323">IF($K323="",0,IFERROR(INDEX(CALC!$AJ$2:$AJ$33,MATCH($K323,CALC!$A$2:$A$33,0)),0))</f>
        <v/>
      </c>
      <c r="AT323" s="2" t="str">
        <f t="array" ref="AT323">IF($K323="",0,IFERROR(INDEX(CALC!$AI$2:$AI$33,MATCH($K323,CALC!$A$2:$A$33,0)),0))</f>
        <v/>
      </c>
      <c r="AU323" s="2">
        <f t="shared" si="11"/>
        <v>0</v>
      </c>
      <c r="AV323" s="2">
        <f t="shared" si="12"/>
        <v>0</v>
      </c>
    </row>
    <row r="324" ht="15.0" customHeight="1">
      <c r="A324" s="2">
        <v>161.0</v>
      </c>
      <c r="B324" s="2" t="s">
        <v>2366</v>
      </c>
      <c r="C324" s="2">
        <f>IFERROR(MATCH($A324,SchedSeq,0),"")</f>
        <v>446</v>
      </c>
      <c r="D324" s="2" t="str">
        <f t="array" ref="D324">IF($C324="","",INDEX(SchedZone,$C324,MAP!$B$6))</f>
        <v>2026_11_PIT_PHI</v>
      </c>
      <c r="E324" s="2">
        <f t="array" ref="E324">IF($C324="","",INDEX(SchedZone,$C324,MAP!$B$3))</f>
        <v>2026</v>
      </c>
      <c r="F324" s="2" t="str">
        <f t="array" ref="F324">IF($C324="","",INDEX(SchedZone,$C324,MAP!$B$5))</f>
        <v>REG</v>
      </c>
      <c r="G324" s="2">
        <f t="array" ref="G324">IF($C324="","",INDEX(SchedZone,$C324,MAP!$B$4))</f>
        <v>11</v>
      </c>
      <c r="H324" s="2" t="str">
        <f t="array" ref="H324">IF($C324="","",INDEX(SchedZone,$C324,MAP!$B$10))</f>
        <v>PIT</v>
      </c>
      <c r="I324" s="2" t="str">
        <f t="array" ref="I324">IF($H324="","",IF(COUNTIF(Teams,$H324)&gt;0,$H324,IFERROR(INDEX(LISTS!$D$2:$D$12,MATCH($H324,LISTS!$C$2:$C$12,0)),"⚠ "&amp;$H324)))</f>
        <v>PIT</v>
      </c>
      <c r="J324" s="2" t="str">
        <f t="array" ref="J324">IF($C324="","",INDEX(SchedZone,$C324,MAP!$B$12))</f>
        <v>PHI</v>
      </c>
      <c r="K324" s="2" t="str">
        <f t="array" ref="K324">IF($J324="","",IF(COUNTIF(Teams,$J324)&gt;0,$J324,IFERROR(INDEX(LISTS!$D$2:$D$12,MATCH($J324,LISTS!$C$2:$C$12,0)),"⚠ "&amp;$J324)))</f>
        <v>PHI</v>
      </c>
      <c r="L324" s="2" t="str">
        <f t="array" ref="L324">IF($C324="","",IF(INDEX(SchedZone,$C324,MAP!$B$14)="Neutral","N",IF($B324="HOME","H","A")))</f>
        <v>A</v>
      </c>
      <c r="M324" s="2" t="str">
        <f t="array" ref="M324">IF($C324="","",IF(INDEX(SchedZone,$C324,MAP!$B$11)="","",INDEX(SchedZone,$C324,MAP!$B$11)))</f>
        <v/>
      </c>
      <c r="N324" s="2" t="str">
        <f t="array" ref="N324">IF($C324="","",IF(INDEX(SchedZone,$C324,MAP!$B$13)="","",INDEX(SchedZone,$C324,MAP!$B$13)))</f>
        <v/>
      </c>
      <c r="O324" s="2">
        <f t="array" ref="O324">IF($C324="","",INDEX(SchedZone,$C324,MAP!$B$15))</f>
        <v>7</v>
      </c>
      <c r="P324" s="2" t="str">
        <f>IF($C324="","",IFERROR(MATCH($E324&amp;"|"&amp;$G324&amp;"|"&amp;$I324,StatsKey,0),""))</f>
        <v/>
      </c>
      <c r="Q324" s="2">
        <f t="array" ref="Q324">IF($P324="",0,INDEX(StatsZone,$P324,MAP!$E$9)+INDEX(StatsZone,$P324,MAP!$E$10)+INDEX(StatsZone,$P324,MAP!$E$11))</f>
        <v>0</v>
      </c>
      <c r="R324" s="2">
        <f t="array" ref="R324">IF($P324="",0,INDEX(StatsZone,$P324,MAP!$E$12))</f>
        <v>0</v>
      </c>
      <c r="S324" s="2">
        <f t="array" ref="S324">IF($P324="",0,INDEX(StatsZone,$P324,MAP!$E$13))</f>
        <v>0</v>
      </c>
      <c r="T324" s="2">
        <f t="shared" si="1"/>
        <v>0</v>
      </c>
      <c r="U324" s="2">
        <f t="array" ref="U324">IF($P324="",0,INDEX(StatsZone,$P324,MAP!$E$14)+INDEX(StatsZone,$P324,MAP!$E$15)+INDEX(StatsZone,$P324,MAP!$E$16))</f>
        <v>0</v>
      </c>
      <c r="V324" s="2">
        <f t="shared" si="2"/>
        <v>0</v>
      </c>
      <c r="W324" s="2">
        <f t="shared" si="3"/>
        <v>0</v>
      </c>
      <c r="X324" s="2">
        <f t="shared" si="4"/>
        <v>0</v>
      </c>
      <c r="Y324" s="2">
        <f t="shared" si="5"/>
        <v>0</v>
      </c>
      <c r="Z324" s="2">
        <f t="shared" si="6"/>
        <v>0</v>
      </c>
      <c r="AA324" s="2">
        <f t="shared" si="7"/>
        <v>-1</v>
      </c>
      <c r="AB324" s="2">
        <f>IF(OR($M324="",$N324=""),0,MEDIAN(-MarginCap,MarginCap,($M324-$N324)-$AA324*HFA_Base))</f>
        <v>0</v>
      </c>
      <c r="AC324" s="2">
        <f t="array" ref="AC324">IF(OR($P324="",INDEX($P$3:$P$722,(ROW()+IF(MOD(ROW()-3,2)=0,1,-1))-3+1)=""),0,MEDIAN(-MarginCap,MarginCap,($T324-$W324)-$AA324*HFA_Base))</f>
        <v>0</v>
      </c>
      <c r="AD324" s="2">
        <f t="shared" si="8"/>
        <v>0</v>
      </c>
      <c r="AE324" s="2">
        <f>IF(OR($M324="",$N324=""),0,IF(AND(WEpa&gt;0,$AD324=1),(1-WEpa)*$AB324+WEpa*$AC324,$AB324))</f>
        <v>0</v>
      </c>
      <c r="AF324" s="2">
        <f>IF(AND($C324&lt;&gt;"",$E324=CurrentSeason,$F324="REG",ISNUMBER($G324),$G324&lt;CurrentWeek,AND($M324&lt;&gt;"",$N324&lt;&gt;"")),1,0)</f>
        <v>0</v>
      </c>
      <c r="AG324" s="2">
        <f>IF($AF324=0,0,IF($G324&gt;=CurrentWeek-RecencyWin,RecencyMult,1))</f>
        <v>0</v>
      </c>
      <c r="AH324" s="2">
        <f>IF(AND($C324&lt;&gt;"",$E324=CurrentSeason,$F324="REG",ISNUMBER($G324),$G324&lt;CurrentWeek-1,AND($M324&lt;&gt;"",$N324&lt;&gt;"")),1,0)</f>
        <v>0</v>
      </c>
      <c r="AI324" s="2">
        <f>IF($AH324=0,0,IF($G324&gt;=CurrentWeek-1-RecencyWin,RecencyMult,1))</f>
        <v>0</v>
      </c>
      <c r="AJ324" s="2">
        <f>IF($AF324=0,0,IF($G324&gt;=CurrentWeek-RecencyWin,TotRecency,1))</f>
        <v>0</v>
      </c>
      <c r="AK324" s="2">
        <f t="shared" si="9"/>
        <v>0</v>
      </c>
      <c r="AL324" s="2">
        <f t="shared" si="10"/>
        <v>0</v>
      </c>
      <c r="AM324" s="2" t="str">
        <f t="array" ref="AM324">IF($K324="",0,IFERROR(INDEX(CALC!$F$2:$F$33,MATCH($K324,CALC!$A$2:$A$33,0)),0))</f>
        <v/>
      </c>
      <c r="AN324" s="2" t="str">
        <f t="array" ref="AN324">IF($K324="",0,IFERROR(INDEX(CALC!$I$2:$I$33,MATCH($K324,CALC!$A$2:$A$33,0)),0))</f>
        <v/>
      </c>
      <c r="AO324" s="2" t="str">
        <f t="array" ref="AO324">IF($K324="",0,IFERROR(INDEX(CALC!$L$2:$L$33,MATCH($K324,CALC!$A$2:$A$33,0)),0))</f>
        <v/>
      </c>
      <c r="AP324" s="2" t="str">
        <f t="array" ref="AP324">IF($K324="",0,IFERROR(INDEX(CALC!$T$2:$T$33,MATCH($K324,CALC!$A$2:$A$33,0)),0))</f>
        <v/>
      </c>
      <c r="AQ324" s="2" t="str">
        <f t="array" ref="AQ324">IF($K324="",0,IFERROR(INDEX(CALC!$W$2:$W$33,MATCH($K324,CALC!$A$2:$A$33,0)),0))</f>
        <v/>
      </c>
      <c r="AR324" s="2" t="str">
        <f t="array" ref="AR324">IF($K324="",0,IFERROR(INDEX(CALC!$Z$2:$Z$33,MATCH($K324,CALC!$A$2:$A$33,0)),0))</f>
        <v/>
      </c>
      <c r="AS324" s="2" t="str">
        <f t="array" ref="AS324">IF($K324="",0,IFERROR(INDEX(CALC!$AJ$2:$AJ$33,MATCH($K324,CALC!$A$2:$A$33,0)),0))</f>
        <v/>
      </c>
      <c r="AT324" s="2" t="str">
        <f t="array" ref="AT324">IF($K324="",0,IFERROR(INDEX(CALC!$AI$2:$AI$33,MATCH($K324,CALC!$A$2:$A$33,0)),0))</f>
        <v/>
      </c>
      <c r="AU324" s="2">
        <f t="shared" si="11"/>
        <v>0</v>
      </c>
      <c r="AV324" s="2">
        <f t="shared" si="12"/>
        <v>0</v>
      </c>
    </row>
    <row r="325" ht="15.0" customHeight="1">
      <c r="A325" s="2">
        <v>162.0</v>
      </c>
      <c r="B325" s="2" t="s">
        <v>2365</v>
      </c>
      <c r="C325" s="2">
        <f>IFERROR(MATCH($A325,SchedSeq,0),"")</f>
        <v>447</v>
      </c>
      <c r="D325" s="2" t="str">
        <f t="array" ref="D325">IF($C325="","",INDEX(SchedZone,$C325,MAP!$B$6))</f>
        <v>2026_11_MIN_SF</v>
      </c>
      <c r="E325" s="2">
        <f t="array" ref="E325">IF($C325="","",INDEX(SchedZone,$C325,MAP!$B$3))</f>
        <v>2026</v>
      </c>
      <c r="F325" s="2" t="str">
        <f t="array" ref="F325">IF($C325="","",INDEX(SchedZone,$C325,MAP!$B$5))</f>
        <v>REG</v>
      </c>
      <c r="G325" s="2">
        <f t="array" ref="G325">IF($C325="","",INDEX(SchedZone,$C325,MAP!$B$4))</f>
        <v>11</v>
      </c>
      <c r="H325" s="2" t="str">
        <f t="array" ref="H325">IF($C325="","",INDEX(SchedZone,$C325,MAP!$B$12))</f>
        <v>SF</v>
      </c>
      <c r="I325" s="2" t="str">
        <f t="array" ref="I325">IF($H325="","",IF(COUNTIF(Teams,$H325)&gt;0,$H325,IFERROR(INDEX(LISTS!$D$2:$D$12,MATCH($H325,LISTS!$C$2:$C$12,0)),"⚠ "&amp;$H325)))</f>
        <v>SF</v>
      </c>
      <c r="J325" s="2" t="str">
        <f t="array" ref="J325">IF($C325="","",INDEX(SchedZone,$C325,MAP!$B$10))</f>
        <v>MIN</v>
      </c>
      <c r="K325" s="2" t="str">
        <f t="array" ref="K325">IF($J325="","",IF(COUNTIF(Teams,$J325)&gt;0,$J325,IFERROR(INDEX(LISTS!$D$2:$D$12,MATCH($J325,LISTS!$C$2:$C$12,0)),"⚠ "&amp;$J325)))</f>
        <v>MIN</v>
      </c>
      <c r="L325" s="2" t="str">
        <f t="array" ref="L325">IF($C325="","",IF(INDEX(SchedZone,$C325,MAP!$B$14)="Neutral","N",IF($B325="HOME","H","A")))</f>
        <v>N</v>
      </c>
      <c r="M325" s="2" t="str">
        <f t="array" ref="M325">IF($C325="","",IF(INDEX(SchedZone,$C325,MAP!$B$13)="","",INDEX(SchedZone,$C325,MAP!$B$13)))</f>
        <v/>
      </c>
      <c r="N325" s="2" t="str">
        <f t="array" ref="N325">IF($C325="","",IF(INDEX(SchedZone,$C325,MAP!$B$11)="","",INDEX(SchedZone,$C325,MAP!$B$11)))</f>
        <v/>
      </c>
      <c r="O325" s="2">
        <f t="array" ref="O325">IF($C325="","",INDEX(SchedZone,$C325,MAP!$B$16))</f>
        <v>7</v>
      </c>
      <c r="P325" s="2" t="str">
        <f>IF($C325="","",IFERROR(MATCH($E325&amp;"|"&amp;$G325&amp;"|"&amp;$I325,StatsKey,0),""))</f>
        <v/>
      </c>
      <c r="Q325" s="2">
        <f t="array" ref="Q325">IF($P325="",0,INDEX(StatsZone,$P325,MAP!$E$9)+INDEX(StatsZone,$P325,MAP!$E$10)+INDEX(StatsZone,$P325,MAP!$E$11))</f>
        <v>0</v>
      </c>
      <c r="R325" s="2">
        <f t="array" ref="R325">IF($P325="",0,INDEX(StatsZone,$P325,MAP!$E$12))</f>
        <v>0</v>
      </c>
      <c r="S325" s="2">
        <f t="array" ref="S325">IF($P325="",0,INDEX(StatsZone,$P325,MAP!$E$13))</f>
        <v>0</v>
      </c>
      <c r="T325" s="2">
        <f t="shared" si="1"/>
        <v>0</v>
      </c>
      <c r="U325" s="2">
        <f t="array" ref="U325">IF($P325="",0,INDEX(StatsZone,$P325,MAP!$E$14)+INDEX(StatsZone,$P325,MAP!$E$15)+INDEX(StatsZone,$P325,MAP!$E$16))</f>
        <v>0</v>
      </c>
      <c r="V325" s="2">
        <f t="shared" si="2"/>
        <v>0</v>
      </c>
      <c r="W325" s="2">
        <f t="shared" si="3"/>
        <v>0</v>
      </c>
      <c r="X325" s="2">
        <f t="shared" si="4"/>
        <v>0</v>
      </c>
      <c r="Y325" s="2">
        <f t="shared" si="5"/>
        <v>0</v>
      </c>
      <c r="Z325" s="2">
        <f t="shared" si="6"/>
        <v>0</v>
      </c>
      <c r="AA325" s="2">
        <f t="shared" si="7"/>
        <v>0</v>
      </c>
      <c r="AB325" s="2">
        <f>IF(OR($M325="",$N325=""),0,MEDIAN(-MarginCap,MarginCap,($M325-$N325)-$AA325*HFA_Base))</f>
        <v>0</v>
      </c>
      <c r="AC325" s="2">
        <f t="array" ref="AC325">IF(OR($P325="",INDEX($P$3:$P$722,(ROW()+IF(MOD(ROW()-3,2)=0,1,-1))-3+1)=""),0,MEDIAN(-MarginCap,MarginCap,($T325-$W325)-$AA325*HFA_Base))</f>
        <v>0</v>
      </c>
      <c r="AD325" s="2">
        <f t="shared" si="8"/>
        <v>0</v>
      </c>
      <c r="AE325" s="2">
        <f>IF(OR($M325="",$N325=""),0,IF(AND(WEpa&gt;0,$AD325=1),(1-WEpa)*$AB325+WEpa*$AC325,$AB325))</f>
        <v>0</v>
      </c>
      <c r="AF325" s="2">
        <f>IF(AND($C325&lt;&gt;"",$E325=CurrentSeason,$F325="REG",ISNUMBER($G325),$G325&lt;CurrentWeek,AND($M325&lt;&gt;"",$N325&lt;&gt;"")),1,0)</f>
        <v>0</v>
      </c>
      <c r="AG325" s="2">
        <f>IF($AF325=0,0,IF($G325&gt;=CurrentWeek-RecencyWin,RecencyMult,1))</f>
        <v>0</v>
      </c>
      <c r="AH325" s="2">
        <f>IF(AND($C325&lt;&gt;"",$E325=CurrentSeason,$F325="REG",ISNUMBER($G325),$G325&lt;CurrentWeek-1,AND($M325&lt;&gt;"",$N325&lt;&gt;"")),1,0)</f>
        <v>0</v>
      </c>
      <c r="AI325" s="2">
        <f>IF($AH325=0,0,IF($G325&gt;=CurrentWeek-1-RecencyWin,RecencyMult,1))</f>
        <v>0</v>
      </c>
      <c r="AJ325" s="2">
        <f>IF($AF325=0,0,IF($G325&gt;=CurrentWeek-RecencyWin,TotRecency,1))</f>
        <v>0</v>
      </c>
      <c r="AK325" s="2">
        <f t="shared" si="9"/>
        <v>0</v>
      </c>
      <c r="AL325" s="2">
        <f t="shared" si="10"/>
        <v>0</v>
      </c>
      <c r="AM325" s="2" t="str">
        <f t="array" ref="AM325">IF($K325="",0,IFERROR(INDEX(CALC!$F$2:$F$33,MATCH($K325,CALC!$A$2:$A$33,0)),0))</f>
        <v/>
      </c>
      <c r="AN325" s="2" t="str">
        <f t="array" ref="AN325">IF($K325="",0,IFERROR(INDEX(CALC!$I$2:$I$33,MATCH($K325,CALC!$A$2:$A$33,0)),0))</f>
        <v/>
      </c>
      <c r="AO325" s="2" t="str">
        <f t="array" ref="AO325">IF($K325="",0,IFERROR(INDEX(CALC!$L$2:$L$33,MATCH($K325,CALC!$A$2:$A$33,0)),0))</f>
        <v/>
      </c>
      <c r="AP325" s="2" t="str">
        <f t="array" ref="AP325">IF($K325="",0,IFERROR(INDEX(CALC!$T$2:$T$33,MATCH($K325,CALC!$A$2:$A$33,0)),0))</f>
        <v/>
      </c>
      <c r="AQ325" s="2" t="str">
        <f t="array" ref="AQ325">IF($K325="",0,IFERROR(INDEX(CALC!$W$2:$W$33,MATCH($K325,CALC!$A$2:$A$33,0)),0))</f>
        <v/>
      </c>
      <c r="AR325" s="2" t="str">
        <f t="array" ref="AR325">IF($K325="",0,IFERROR(INDEX(CALC!$Z$2:$Z$33,MATCH($K325,CALC!$A$2:$A$33,0)),0))</f>
        <v/>
      </c>
      <c r="AS325" s="2" t="str">
        <f t="array" ref="AS325">IF($K325="",0,IFERROR(INDEX(CALC!$AJ$2:$AJ$33,MATCH($K325,CALC!$A$2:$A$33,0)),0))</f>
        <v/>
      </c>
      <c r="AT325" s="2" t="str">
        <f t="array" ref="AT325">IF($K325="",0,IFERROR(INDEX(CALC!$AI$2:$AI$33,MATCH($K325,CALC!$A$2:$A$33,0)),0))</f>
        <v/>
      </c>
      <c r="AU325" s="2">
        <f t="shared" si="11"/>
        <v>0</v>
      </c>
      <c r="AV325" s="2">
        <f t="shared" si="12"/>
        <v>0</v>
      </c>
    </row>
    <row r="326" ht="15.0" customHeight="1">
      <c r="A326" s="2">
        <v>162.0</v>
      </c>
      <c r="B326" s="2" t="s">
        <v>2366</v>
      </c>
      <c r="C326" s="2">
        <f>IFERROR(MATCH($A326,SchedSeq,0),"")</f>
        <v>447</v>
      </c>
      <c r="D326" s="2" t="str">
        <f t="array" ref="D326">IF($C326="","",INDEX(SchedZone,$C326,MAP!$B$6))</f>
        <v>2026_11_MIN_SF</v>
      </c>
      <c r="E326" s="2">
        <f t="array" ref="E326">IF($C326="","",INDEX(SchedZone,$C326,MAP!$B$3))</f>
        <v>2026</v>
      </c>
      <c r="F326" s="2" t="str">
        <f t="array" ref="F326">IF($C326="","",INDEX(SchedZone,$C326,MAP!$B$5))</f>
        <v>REG</v>
      </c>
      <c r="G326" s="2">
        <f t="array" ref="G326">IF($C326="","",INDEX(SchedZone,$C326,MAP!$B$4))</f>
        <v>11</v>
      </c>
      <c r="H326" s="2" t="str">
        <f t="array" ref="H326">IF($C326="","",INDEX(SchedZone,$C326,MAP!$B$10))</f>
        <v>MIN</v>
      </c>
      <c r="I326" s="2" t="str">
        <f t="array" ref="I326">IF($H326="","",IF(COUNTIF(Teams,$H326)&gt;0,$H326,IFERROR(INDEX(LISTS!$D$2:$D$12,MATCH($H326,LISTS!$C$2:$C$12,0)),"⚠ "&amp;$H326)))</f>
        <v>MIN</v>
      </c>
      <c r="J326" s="2" t="str">
        <f t="array" ref="J326">IF($C326="","",INDEX(SchedZone,$C326,MAP!$B$12))</f>
        <v>SF</v>
      </c>
      <c r="K326" s="2" t="str">
        <f t="array" ref="K326">IF($J326="","",IF(COUNTIF(Teams,$J326)&gt;0,$J326,IFERROR(INDEX(LISTS!$D$2:$D$12,MATCH($J326,LISTS!$C$2:$C$12,0)),"⚠ "&amp;$J326)))</f>
        <v>SF</v>
      </c>
      <c r="L326" s="2" t="str">
        <f t="array" ref="L326">IF($C326="","",IF(INDEX(SchedZone,$C326,MAP!$B$14)="Neutral","N",IF($B326="HOME","H","A")))</f>
        <v>N</v>
      </c>
      <c r="M326" s="2" t="str">
        <f t="array" ref="M326">IF($C326="","",IF(INDEX(SchedZone,$C326,MAP!$B$11)="","",INDEX(SchedZone,$C326,MAP!$B$11)))</f>
        <v/>
      </c>
      <c r="N326" s="2" t="str">
        <f t="array" ref="N326">IF($C326="","",IF(INDEX(SchedZone,$C326,MAP!$B$13)="","",INDEX(SchedZone,$C326,MAP!$B$13)))</f>
        <v/>
      </c>
      <c r="O326" s="2">
        <f t="array" ref="O326">IF($C326="","",INDEX(SchedZone,$C326,MAP!$B$15))</f>
        <v>7</v>
      </c>
      <c r="P326" s="2" t="str">
        <f>IF($C326="","",IFERROR(MATCH($E326&amp;"|"&amp;$G326&amp;"|"&amp;$I326,StatsKey,0),""))</f>
        <v/>
      </c>
      <c r="Q326" s="2">
        <f t="array" ref="Q326">IF($P326="",0,INDEX(StatsZone,$P326,MAP!$E$9)+INDEX(StatsZone,$P326,MAP!$E$10)+INDEX(StatsZone,$P326,MAP!$E$11))</f>
        <v>0</v>
      </c>
      <c r="R326" s="2">
        <f t="array" ref="R326">IF($P326="",0,INDEX(StatsZone,$P326,MAP!$E$12))</f>
        <v>0</v>
      </c>
      <c r="S326" s="2">
        <f t="array" ref="S326">IF($P326="",0,INDEX(StatsZone,$P326,MAP!$E$13))</f>
        <v>0</v>
      </c>
      <c r="T326" s="2">
        <f t="shared" si="1"/>
        <v>0</v>
      </c>
      <c r="U326" s="2">
        <f t="array" ref="U326">IF($P326="",0,INDEX(StatsZone,$P326,MAP!$E$14)+INDEX(StatsZone,$P326,MAP!$E$15)+INDEX(StatsZone,$P326,MAP!$E$16))</f>
        <v>0</v>
      </c>
      <c r="V326" s="2">
        <f t="shared" si="2"/>
        <v>0</v>
      </c>
      <c r="W326" s="2">
        <f t="shared" si="3"/>
        <v>0</v>
      </c>
      <c r="X326" s="2">
        <f t="shared" si="4"/>
        <v>0</v>
      </c>
      <c r="Y326" s="2">
        <f t="shared" si="5"/>
        <v>0</v>
      </c>
      <c r="Z326" s="2">
        <f t="shared" si="6"/>
        <v>0</v>
      </c>
      <c r="AA326" s="2">
        <f t="shared" si="7"/>
        <v>0</v>
      </c>
      <c r="AB326" s="2">
        <f>IF(OR($M326="",$N326=""),0,MEDIAN(-MarginCap,MarginCap,($M326-$N326)-$AA326*HFA_Base))</f>
        <v>0</v>
      </c>
      <c r="AC326" s="2">
        <f t="array" ref="AC326">IF(OR($P326="",INDEX($P$3:$P$722,(ROW()+IF(MOD(ROW()-3,2)=0,1,-1))-3+1)=""),0,MEDIAN(-MarginCap,MarginCap,($T326-$W326)-$AA326*HFA_Base))</f>
        <v>0</v>
      </c>
      <c r="AD326" s="2">
        <f t="shared" si="8"/>
        <v>0</v>
      </c>
      <c r="AE326" s="2">
        <f>IF(OR($M326="",$N326=""),0,IF(AND(WEpa&gt;0,$AD326=1),(1-WEpa)*$AB326+WEpa*$AC326,$AB326))</f>
        <v>0</v>
      </c>
      <c r="AF326" s="2">
        <f>IF(AND($C326&lt;&gt;"",$E326=CurrentSeason,$F326="REG",ISNUMBER($G326),$G326&lt;CurrentWeek,AND($M326&lt;&gt;"",$N326&lt;&gt;"")),1,0)</f>
        <v>0</v>
      </c>
      <c r="AG326" s="2">
        <f>IF($AF326=0,0,IF($G326&gt;=CurrentWeek-RecencyWin,RecencyMult,1))</f>
        <v>0</v>
      </c>
      <c r="AH326" s="2">
        <f>IF(AND($C326&lt;&gt;"",$E326=CurrentSeason,$F326="REG",ISNUMBER($G326),$G326&lt;CurrentWeek-1,AND($M326&lt;&gt;"",$N326&lt;&gt;"")),1,0)</f>
        <v>0</v>
      </c>
      <c r="AI326" s="2">
        <f>IF($AH326=0,0,IF($G326&gt;=CurrentWeek-1-RecencyWin,RecencyMult,1))</f>
        <v>0</v>
      </c>
      <c r="AJ326" s="2">
        <f>IF($AF326=0,0,IF($G326&gt;=CurrentWeek-RecencyWin,TotRecency,1))</f>
        <v>0</v>
      </c>
      <c r="AK326" s="2">
        <f t="shared" si="9"/>
        <v>0</v>
      </c>
      <c r="AL326" s="2">
        <f t="shared" si="10"/>
        <v>0</v>
      </c>
      <c r="AM326" s="2" t="str">
        <f t="array" ref="AM326">IF($K326="",0,IFERROR(INDEX(CALC!$F$2:$F$33,MATCH($K326,CALC!$A$2:$A$33,0)),0))</f>
        <v/>
      </c>
      <c r="AN326" s="2" t="str">
        <f t="array" ref="AN326">IF($K326="",0,IFERROR(INDEX(CALC!$I$2:$I$33,MATCH($K326,CALC!$A$2:$A$33,0)),0))</f>
        <v/>
      </c>
      <c r="AO326" s="2" t="str">
        <f t="array" ref="AO326">IF($K326="",0,IFERROR(INDEX(CALC!$L$2:$L$33,MATCH($K326,CALC!$A$2:$A$33,0)),0))</f>
        <v/>
      </c>
      <c r="AP326" s="2" t="str">
        <f t="array" ref="AP326">IF($K326="",0,IFERROR(INDEX(CALC!$T$2:$T$33,MATCH($K326,CALC!$A$2:$A$33,0)),0))</f>
        <v/>
      </c>
      <c r="AQ326" s="2" t="str">
        <f t="array" ref="AQ326">IF($K326="",0,IFERROR(INDEX(CALC!$W$2:$W$33,MATCH($K326,CALC!$A$2:$A$33,0)),0))</f>
        <v/>
      </c>
      <c r="AR326" s="2" t="str">
        <f t="array" ref="AR326">IF($K326="",0,IFERROR(INDEX(CALC!$Z$2:$Z$33,MATCH($K326,CALC!$A$2:$A$33,0)),0))</f>
        <v/>
      </c>
      <c r="AS326" s="2" t="str">
        <f t="array" ref="AS326">IF($K326="",0,IFERROR(INDEX(CALC!$AJ$2:$AJ$33,MATCH($K326,CALC!$A$2:$A$33,0)),0))</f>
        <v/>
      </c>
      <c r="AT326" s="2" t="str">
        <f t="array" ref="AT326">IF($K326="",0,IFERROR(INDEX(CALC!$AI$2:$AI$33,MATCH($K326,CALC!$A$2:$A$33,0)),0))</f>
        <v/>
      </c>
      <c r="AU326" s="2">
        <f t="shared" si="11"/>
        <v>0</v>
      </c>
      <c r="AV326" s="2">
        <f t="shared" si="12"/>
        <v>0</v>
      </c>
    </row>
    <row r="327" ht="15.0" customHeight="1">
      <c r="A327" s="2">
        <v>163.0</v>
      </c>
      <c r="B327" s="2" t="s">
        <v>2365</v>
      </c>
      <c r="C327" s="2">
        <f>IFERROR(MATCH($A327,SchedSeq,0),"")</f>
        <v>448</v>
      </c>
      <c r="D327" s="2" t="str">
        <f t="array" ref="D327">IF($C327="","",INDEX(SchedZone,$C327,MAP!$B$6))</f>
        <v>2026_11_CIN_WAS</v>
      </c>
      <c r="E327" s="2">
        <f t="array" ref="E327">IF($C327="","",INDEX(SchedZone,$C327,MAP!$B$3))</f>
        <v>2026</v>
      </c>
      <c r="F327" s="2" t="str">
        <f t="array" ref="F327">IF($C327="","",INDEX(SchedZone,$C327,MAP!$B$5))</f>
        <v>REG</v>
      </c>
      <c r="G327" s="2">
        <f t="array" ref="G327">IF($C327="","",INDEX(SchedZone,$C327,MAP!$B$4))</f>
        <v>11</v>
      </c>
      <c r="H327" s="2" t="str">
        <f t="array" ref="H327">IF($C327="","",INDEX(SchedZone,$C327,MAP!$B$12))</f>
        <v>WAS</v>
      </c>
      <c r="I327" s="2" t="str">
        <f t="array" ref="I327">IF($H327="","",IF(COUNTIF(Teams,$H327)&gt;0,$H327,IFERROR(INDEX(LISTS!$D$2:$D$12,MATCH($H327,LISTS!$C$2:$C$12,0)),"⚠ "&amp;$H327)))</f>
        <v>WAS</v>
      </c>
      <c r="J327" s="2" t="str">
        <f t="array" ref="J327">IF($C327="","",INDEX(SchedZone,$C327,MAP!$B$10))</f>
        <v>CIN</v>
      </c>
      <c r="K327" s="2" t="str">
        <f t="array" ref="K327">IF($J327="","",IF(COUNTIF(Teams,$J327)&gt;0,$J327,IFERROR(INDEX(LISTS!$D$2:$D$12,MATCH($J327,LISTS!$C$2:$C$12,0)),"⚠ "&amp;$J327)))</f>
        <v>CIN</v>
      </c>
      <c r="L327" s="2" t="str">
        <f t="array" ref="L327">IF($C327="","",IF(INDEX(SchedZone,$C327,MAP!$B$14)="Neutral","N",IF($B327="HOME","H","A")))</f>
        <v>H</v>
      </c>
      <c r="M327" s="2" t="str">
        <f t="array" ref="M327">IF($C327="","",IF(INDEX(SchedZone,$C327,MAP!$B$13)="","",INDEX(SchedZone,$C327,MAP!$B$13)))</f>
        <v/>
      </c>
      <c r="N327" s="2" t="str">
        <f t="array" ref="N327">IF($C327="","",IF(INDEX(SchedZone,$C327,MAP!$B$11)="","",INDEX(SchedZone,$C327,MAP!$B$11)))</f>
        <v/>
      </c>
      <c r="O327" s="2">
        <f t="array" ref="O327">IF($C327="","",INDEX(SchedZone,$C327,MAP!$B$16))</f>
        <v>11</v>
      </c>
      <c r="P327" s="2" t="str">
        <f>IF($C327="","",IFERROR(MATCH($E327&amp;"|"&amp;$G327&amp;"|"&amp;$I327,StatsKey,0),""))</f>
        <v/>
      </c>
      <c r="Q327" s="2">
        <f t="array" ref="Q327">IF($P327="",0,INDEX(StatsZone,$P327,MAP!$E$9)+INDEX(StatsZone,$P327,MAP!$E$10)+INDEX(StatsZone,$P327,MAP!$E$11))</f>
        <v>0</v>
      </c>
      <c r="R327" s="2">
        <f t="array" ref="R327">IF($P327="",0,INDEX(StatsZone,$P327,MAP!$E$12))</f>
        <v>0</v>
      </c>
      <c r="S327" s="2">
        <f t="array" ref="S327">IF($P327="",0,INDEX(StatsZone,$P327,MAP!$E$13))</f>
        <v>0</v>
      </c>
      <c r="T327" s="2">
        <f t="shared" si="1"/>
        <v>0</v>
      </c>
      <c r="U327" s="2">
        <f t="array" ref="U327">IF($P327="",0,INDEX(StatsZone,$P327,MAP!$E$14)+INDEX(StatsZone,$P327,MAP!$E$15)+INDEX(StatsZone,$P327,MAP!$E$16))</f>
        <v>0</v>
      </c>
      <c r="V327" s="2">
        <f t="shared" si="2"/>
        <v>0</v>
      </c>
      <c r="W327" s="2">
        <f t="shared" si="3"/>
        <v>0</v>
      </c>
      <c r="X327" s="2">
        <f t="shared" si="4"/>
        <v>0</v>
      </c>
      <c r="Y327" s="2">
        <f t="shared" si="5"/>
        <v>0</v>
      </c>
      <c r="Z327" s="2">
        <f t="shared" si="6"/>
        <v>0</v>
      </c>
      <c r="AA327" s="2">
        <f t="shared" si="7"/>
        <v>1</v>
      </c>
      <c r="AB327" s="2">
        <f>IF(OR($M327="",$N327=""),0,MEDIAN(-MarginCap,MarginCap,($M327-$N327)-$AA327*HFA_Base))</f>
        <v>0</v>
      </c>
      <c r="AC327" s="2">
        <f t="array" ref="AC327">IF(OR($P327="",INDEX($P$3:$P$722,(ROW()+IF(MOD(ROW()-3,2)=0,1,-1))-3+1)=""),0,MEDIAN(-MarginCap,MarginCap,($T327-$W327)-$AA327*HFA_Base))</f>
        <v>0</v>
      </c>
      <c r="AD327" s="2">
        <f t="shared" si="8"/>
        <v>0</v>
      </c>
      <c r="AE327" s="2">
        <f>IF(OR($M327="",$N327=""),0,IF(AND(WEpa&gt;0,$AD327=1),(1-WEpa)*$AB327+WEpa*$AC327,$AB327))</f>
        <v>0</v>
      </c>
      <c r="AF327" s="2">
        <f>IF(AND($C327&lt;&gt;"",$E327=CurrentSeason,$F327="REG",ISNUMBER($G327),$G327&lt;CurrentWeek,AND($M327&lt;&gt;"",$N327&lt;&gt;"")),1,0)</f>
        <v>0</v>
      </c>
      <c r="AG327" s="2">
        <f>IF($AF327=0,0,IF($G327&gt;=CurrentWeek-RecencyWin,RecencyMult,1))</f>
        <v>0</v>
      </c>
      <c r="AH327" s="2">
        <f>IF(AND($C327&lt;&gt;"",$E327=CurrentSeason,$F327="REG",ISNUMBER($G327),$G327&lt;CurrentWeek-1,AND($M327&lt;&gt;"",$N327&lt;&gt;"")),1,0)</f>
        <v>0</v>
      </c>
      <c r="AI327" s="2">
        <f>IF($AH327=0,0,IF($G327&gt;=CurrentWeek-1-RecencyWin,RecencyMult,1))</f>
        <v>0</v>
      </c>
      <c r="AJ327" s="2">
        <f>IF($AF327=0,0,IF($G327&gt;=CurrentWeek-RecencyWin,TotRecency,1))</f>
        <v>0</v>
      </c>
      <c r="AK327" s="2">
        <f t="shared" si="9"/>
        <v>0</v>
      </c>
      <c r="AL327" s="2">
        <f t="shared" si="10"/>
        <v>0</v>
      </c>
      <c r="AM327" s="2" t="str">
        <f t="array" ref="AM327">IF($K327="",0,IFERROR(INDEX(CALC!$F$2:$F$33,MATCH($K327,CALC!$A$2:$A$33,0)),0))</f>
        <v/>
      </c>
      <c r="AN327" s="2" t="str">
        <f t="array" ref="AN327">IF($K327="",0,IFERROR(INDEX(CALC!$I$2:$I$33,MATCH($K327,CALC!$A$2:$A$33,0)),0))</f>
        <v/>
      </c>
      <c r="AO327" s="2" t="str">
        <f t="array" ref="AO327">IF($K327="",0,IFERROR(INDEX(CALC!$L$2:$L$33,MATCH($K327,CALC!$A$2:$A$33,0)),0))</f>
        <v/>
      </c>
      <c r="AP327" s="2" t="str">
        <f t="array" ref="AP327">IF($K327="",0,IFERROR(INDEX(CALC!$T$2:$T$33,MATCH($K327,CALC!$A$2:$A$33,0)),0))</f>
        <v/>
      </c>
      <c r="AQ327" s="2" t="str">
        <f t="array" ref="AQ327">IF($K327="",0,IFERROR(INDEX(CALC!$W$2:$W$33,MATCH($K327,CALC!$A$2:$A$33,0)),0))</f>
        <v/>
      </c>
      <c r="AR327" s="2" t="str">
        <f t="array" ref="AR327">IF($K327="",0,IFERROR(INDEX(CALC!$Z$2:$Z$33,MATCH($K327,CALC!$A$2:$A$33,0)),0))</f>
        <v/>
      </c>
      <c r="AS327" s="2" t="str">
        <f t="array" ref="AS327">IF($K327="",0,IFERROR(INDEX(CALC!$AJ$2:$AJ$33,MATCH($K327,CALC!$A$2:$A$33,0)),0))</f>
        <v/>
      </c>
      <c r="AT327" s="2" t="str">
        <f t="array" ref="AT327">IF($K327="",0,IFERROR(INDEX(CALC!$AI$2:$AI$33,MATCH($K327,CALC!$A$2:$A$33,0)),0))</f>
        <v/>
      </c>
      <c r="AU327" s="2">
        <f t="shared" si="11"/>
        <v>0</v>
      </c>
      <c r="AV327" s="2">
        <f t="shared" si="12"/>
        <v>0</v>
      </c>
    </row>
    <row r="328" ht="15.0" customHeight="1">
      <c r="A328" s="2">
        <v>163.0</v>
      </c>
      <c r="B328" s="2" t="s">
        <v>2366</v>
      </c>
      <c r="C328" s="2">
        <f>IFERROR(MATCH($A328,SchedSeq,0),"")</f>
        <v>448</v>
      </c>
      <c r="D328" s="2" t="str">
        <f t="array" ref="D328">IF($C328="","",INDEX(SchedZone,$C328,MAP!$B$6))</f>
        <v>2026_11_CIN_WAS</v>
      </c>
      <c r="E328" s="2">
        <f t="array" ref="E328">IF($C328="","",INDEX(SchedZone,$C328,MAP!$B$3))</f>
        <v>2026</v>
      </c>
      <c r="F328" s="2" t="str">
        <f t="array" ref="F328">IF($C328="","",INDEX(SchedZone,$C328,MAP!$B$5))</f>
        <v>REG</v>
      </c>
      <c r="G328" s="2">
        <f t="array" ref="G328">IF($C328="","",INDEX(SchedZone,$C328,MAP!$B$4))</f>
        <v>11</v>
      </c>
      <c r="H328" s="2" t="str">
        <f t="array" ref="H328">IF($C328="","",INDEX(SchedZone,$C328,MAP!$B$10))</f>
        <v>CIN</v>
      </c>
      <c r="I328" s="2" t="str">
        <f t="array" ref="I328">IF($H328="","",IF(COUNTIF(Teams,$H328)&gt;0,$H328,IFERROR(INDEX(LISTS!$D$2:$D$12,MATCH($H328,LISTS!$C$2:$C$12,0)),"⚠ "&amp;$H328)))</f>
        <v>CIN</v>
      </c>
      <c r="J328" s="2" t="str">
        <f t="array" ref="J328">IF($C328="","",INDEX(SchedZone,$C328,MAP!$B$12))</f>
        <v>WAS</v>
      </c>
      <c r="K328" s="2" t="str">
        <f t="array" ref="K328">IF($J328="","",IF(COUNTIF(Teams,$J328)&gt;0,$J328,IFERROR(INDEX(LISTS!$D$2:$D$12,MATCH($J328,LISTS!$C$2:$C$12,0)),"⚠ "&amp;$J328)))</f>
        <v>WAS</v>
      </c>
      <c r="L328" s="2" t="str">
        <f t="array" ref="L328">IF($C328="","",IF(INDEX(SchedZone,$C328,MAP!$B$14)="Neutral","N",IF($B328="HOME","H","A")))</f>
        <v>A</v>
      </c>
      <c r="M328" s="2" t="str">
        <f t="array" ref="M328">IF($C328="","",IF(INDEX(SchedZone,$C328,MAP!$B$11)="","",INDEX(SchedZone,$C328,MAP!$B$11)))</f>
        <v/>
      </c>
      <c r="N328" s="2" t="str">
        <f t="array" ref="N328">IF($C328="","",IF(INDEX(SchedZone,$C328,MAP!$B$13)="","",INDEX(SchedZone,$C328,MAP!$B$13)))</f>
        <v/>
      </c>
      <c r="O328" s="2">
        <f t="array" ref="O328">IF($C328="","",INDEX(SchedZone,$C328,MAP!$B$15))</f>
        <v>8</v>
      </c>
      <c r="P328" s="2" t="str">
        <f>IF($C328="","",IFERROR(MATCH($E328&amp;"|"&amp;$G328&amp;"|"&amp;$I328,StatsKey,0),""))</f>
        <v/>
      </c>
      <c r="Q328" s="2">
        <f t="array" ref="Q328">IF($P328="",0,INDEX(StatsZone,$P328,MAP!$E$9)+INDEX(StatsZone,$P328,MAP!$E$10)+INDEX(StatsZone,$P328,MAP!$E$11))</f>
        <v>0</v>
      </c>
      <c r="R328" s="2">
        <f t="array" ref="R328">IF($P328="",0,INDEX(StatsZone,$P328,MAP!$E$12))</f>
        <v>0</v>
      </c>
      <c r="S328" s="2">
        <f t="array" ref="S328">IF($P328="",0,INDEX(StatsZone,$P328,MAP!$E$13))</f>
        <v>0</v>
      </c>
      <c r="T328" s="2">
        <f t="shared" si="1"/>
        <v>0</v>
      </c>
      <c r="U328" s="2">
        <f t="array" ref="U328">IF($P328="",0,INDEX(StatsZone,$P328,MAP!$E$14)+INDEX(StatsZone,$P328,MAP!$E$15)+INDEX(StatsZone,$P328,MAP!$E$16))</f>
        <v>0</v>
      </c>
      <c r="V328" s="2">
        <f t="shared" si="2"/>
        <v>0</v>
      </c>
      <c r="W328" s="2">
        <f t="shared" si="3"/>
        <v>0</v>
      </c>
      <c r="X328" s="2">
        <f t="shared" si="4"/>
        <v>0</v>
      </c>
      <c r="Y328" s="2">
        <f t="shared" si="5"/>
        <v>0</v>
      </c>
      <c r="Z328" s="2">
        <f t="shared" si="6"/>
        <v>0</v>
      </c>
      <c r="AA328" s="2">
        <f t="shared" si="7"/>
        <v>-1</v>
      </c>
      <c r="AB328" s="2">
        <f>IF(OR($M328="",$N328=""),0,MEDIAN(-MarginCap,MarginCap,($M328-$N328)-$AA328*HFA_Base))</f>
        <v>0</v>
      </c>
      <c r="AC328" s="2">
        <f t="array" ref="AC328">IF(OR($P328="",INDEX($P$3:$P$722,(ROW()+IF(MOD(ROW()-3,2)=0,1,-1))-3+1)=""),0,MEDIAN(-MarginCap,MarginCap,($T328-$W328)-$AA328*HFA_Base))</f>
        <v>0</v>
      </c>
      <c r="AD328" s="2">
        <f t="shared" si="8"/>
        <v>0</v>
      </c>
      <c r="AE328" s="2">
        <f>IF(OR($M328="",$N328=""),0,IF(AND(WEpa&gt;0,$AD328=1),(1-WEpa)*$AB328+WEpa*$AC328,$AB328))</f>
        <v>0</v>
      </c>
      <c r="AF328" s="2">
        <f>IF(AND($C328&lt;&gt;"",$E328=CurrentSeason,$F328="REG",ISNUMBER($G328),$G328&lt;CurrentWeek,AND($M328&lt;&gt;"",$N328&lt;&gt;"")),1,0)</f>
        <v>0</v>
      </c>
      <c r="AG328" s="2">
        <f>IF($AF328=0,0,IF($G328&gt;=CurrentWeek-RecencyWin,RecencyMult,1))</f>
        <v>0</v>
      </c>
      <c r="AH328" s="2">
        <f>IF(AND($C328&lt;&gt;"",$E328=CurrentSeason,$F328="REG",ISNUMBER($G328),$G328&lt;CurrentWeek-1,AND($M328&lt;&gt;"",$N328&lt;&gt;"")),1,0)</f>
        <v>0</v>
      </c>
      <c r="AI328" s="2">
        <f>IF($AH328=0,0,IF($G328&gt;=CurrentWeek-1-RecencyWin,RecencyMult,1))</f>
        <v>0</v>
      </c>
      <c r="AJ328" s="2">
        <f>IF($AF328=0,0,IF($G328&gt;=CurrentWeek-RecencyWin,TotRecency,1))</f>
        <v>0</v>
      </c>
      <c r="AK328" s="2">
        <f t="shared" si="9"/>
        <v>0</v>
      </c>
      <c r="AL328" s="2">
        <f t="shared" si="10"/>
        <v>0</v>
      </c>
      <c r="AM328" s="2" t="str">
        <f t="array" ref="AM328">IF($K328="",0,IFERROR(INDEX(CALC!$F$2:$F$33,MATCH($K328,CALC!$A$2:$A$33,0)),0))</f>
        <v/>
      </c>
      <c r="AN328" s="2" t="str">
        <f t="array" ref="AN328">IF($K328="",0,IFERROR(INDEX(CALC!$I$2:$I$33,MATCH($K328,CALC!$A$2:$A$33,0)),0))</f>
        <v/>
      </c>
      <c r="AO328" s="2" t="str">
        <f t="array" ref="AO328">IF($K328="",0,IFERROR(INDEX(CALC!$L$2:$L$33,MATCH($K328,CALC!$A$2:$A$33,0)),0))</f>
        <v/>
      </c>
      <c r="AP328" s="2" t="str">
        <f t="array" ref="AP328">IF($K328="",0,IFERROR(INDEX(CALC!$T$2:$T$33,MATCH($K328,CALC!$A$2:$A$33,0)),0))</f>
        <v/>
      </c>
      <c r="AQ328" s="2" t="str">
        <f t="array" ref="AQ328">IF($K328="",0,IFERROR(INDEX(CALC!$W$2:$W$33,MATCH($K328,CALC!$A$2:$A$33,0)),0))</f>
        <v/>
      </c>
      <c r="AR328" s="2" t="str">
        <f t="array" ref="AR328">IF($K328="",0,IFERROR(INDEX(CALC!$Z$2:$Z$33,MATCH($K328,CALC!$A$2:$A$33,0)),0))</f>
        <v/>
      </c>
      <c r="AS328" s="2" t="str">
        <f t="array" ref="AS328">IF($K328="",0,IFERROR(INDEX(CALC!$AJ$2:$AJ$33,MATCH($K328,CALC!$A$2:$A$33,0)),0))</f>
        <v/>
      </c>
      <c r="AT328" s="2" t="str">
        <f t="array" ref="AT328">IF($K328="",0,IFERROR(INDEX(CALC!$AI$2:$AI$33,MATCH($K328,CALC!$A$2:$A$33,0)),0))</f>
        <v/>
      </c>
      <c r="AU328" s="2">
        <f t="shared" si="11"/>
        <v>0</v>
      </c>
      <c r="AV328" s="2">
        <f t="shared" si="12"/>
        <v>0</v>
      </c>
    </row>
    <row r="329" ht="15.0" customHeight="1">
      <c r="A329" s="2">
        <v>164.0</v>
      </c>
      <c r="B329" s="2" t="s">
        <v>2365</v>
      </c>
      <c r="C329" s="2">
        <f>IFERROR(MATCH($A329,SchedSeq,0),"")</f>
        <v>449</v>
      </c>
      <c r="D329" s="2" t="str">
        <f t="array" ref="D329">IF($C329="","",INDEX(SchedZone,$C329,MAP!$B$6))</f>
        <v>2026_12_GB_LA</v>
      </c>
      <c r="E329" s="2">
        <f t="array" ref="E329">IF($C329="","",INDEX(SchedZone,$C329,MAP!$B$3))</f>
        <v>2026</v>
      </c>
      <c r="F329" s="2" t="str">
        <f t="array" ref="F329">IF($C329="","",INDEX(SchedZone,$C329,MAP!$B$5))</f>
        <v>REG</v>
      </c>
      <c r="G329" s="2">
        <f t="array" ref="G329">IF($C329="","",INDEX(SchedZone,$C329,MAP!$B$4))</f>
        <v>12</v>
      </c>
      <c r="H329" s="2" t="str">
        <f t="array" ref="H329">IF($C329="","",INDEX(SchedZone,$C329,MAP!$B$12))</f>
        <v>LA</v>
      </c>
      <c r="I329" s="2" t="str">
        <f t="array" ref="I329">IF($H329="","",IF(COUNTIF(Teams,$H329)&gt;0,$H329,IFERROR(INDEX(LISTS!$D$2:$D$12,MATCH($H329,LISTS!$C$2:$C$12,0)),"⚠ "&amp;$H329)))</f>
        <v>LA</v>
      </c>
      <c r="J329" s="2" t="str">
        <f t="array" ref="J329">IF($C329="","",INDEX(SchedZone,$C329,MAP!$B$10))</f>
        <v>GB</v>
      </c>
      <c r="K329" s="2" t="str">
        <f t="array" ref="K329">IF($J329="","",IF(COUNTIF(Teams,$J329)&gt;0,$J329,IFERROR(INDEX(LISTS!$D$2:$D$12,MATCH($J329,LISTS!$C$2:$C$12,0)),"⚠ "&amp;$J329)))</f>
        <v>GB</v>
      </c>
      <c r="L329" s="2" t="str">
        <f t="array" ref="L329">IF($C329="","",IF(INDEX(SchedZone,$C329,MAP!$B$14)="Neutral","N",IF($B329="HOME","H","A")))</f>
        <v>H</v>
      </c>
      <c r="M329" s="2" t="str">
        <f t="array" ref="M329">IF($C329="","",IF(INDEX(SchedZone,$C329,MAP!$B$13)="","",INDEX(SchedZone,$C329,MAP!$B$13)))</f>
        <v/>
      </c>
      <c r="N329" s="2" t="str">
        <f t="array" ref="N329">IF($C329="","",IF(INDEX(SchedZone,$C329,MAP!$B$11)="","",INDEX(SchedZone,$C329,MAP!$B$11)))</f>
        <v/>
      </c>
      <c r="O329" s="2">
        <f t="array" ref="O329">IF($C329="","",INDEX(SchedZone,$C329,MAP!$B$16))</f>
        <v>10</v>
      </c>
      <c r="P329" s="2" t="str">
        <f>IF($C329="","",IFERROR(MATCH($E329&amp;"|"&amp;$G329&amp;"|"&amp;$I329,StatsKey,0),""))</f>
        <v/>
      </c>
      <c r="Q329" s="2">
        <f t="array" ref="Q329">IF($P329="",0,INDEX(StatsZone,$P329,MAP!$E$9)+INDEX(StatsZone,$P329,MAP!$E$10)+INDEX(StatsZone,$P329,MAP!$E$11))</f>
        <v>0</v>
      </c>
      <c r="R329" s="2">
        <f t="array" ref="R329">IF($P329="",0,INDEX(StatsZone,$P329,MAP!$E$12))</f>
        <v>0</v>
      </c>
      <c r="S329" s="2">
        <f t="array" ref="S329">IF($P329="",0,INDEX(StatsZone,$P329,MAP!$E$13))</f>
        <v>0</v>
      </c>
      <c r="T329" s="2">
        <f t="shared" si="1"/>
        <v>0</v>
      </c>
      <c r="U329" s="2">
        <f t="array" ref="U329">IF($P329="",0,INDEX(StatsZone,$P329,MAP!$E$14)+INDEX(StatsZone,$P329,MAP!$E$15)+INDEX(StatsZone,$P329,MAP!$E$16))</f>
        <v>0</v>
      </c>
      <c r="V329" s="2">
        <f t="shared" si="2"/>
        <v>0</v>
      </c>
      <c r="W329" s="2">
        <f t="shared" si="3"/>
        <v>0</v>
      </c>
      <c r="X329" s="2">
        <f t="shared" si="4"/>
        <v>0</v>
      </c>
      <c r="Y329" s="2">
        <f t="shared" si="5"/>
        <v>0</v>
      </c>
      <c r="Z329" s="2">
        <f t="shared" si="6"/>
        <v>0</v>
      </c>
      <c r="AA329" s="2">
        <f t="shared" si="7"/>
        <v>1</v>
      </c>
      <c r="AB329" s="2">
        <f>IF(OR($M329="",$N329=""),0,MEDIAN(-MarginCap,MarginCap,($M329-$N329)-$AA329*HFA_Base))</f>
        <v>0</v>
      </c>
      <c r="AC329" s="2">
        <f t="array" ref="AC329">IF(OR($P329="",INDEX($P$3:$P$722,(ROW()+IF(MOD(ROW()-3,2)=0,1,-1))-3+1)=""),0,MEDIAN(-MarginCap,MarginCap,($T329-$W329)-$AA329*HFA_Base))</f>
        <v>0</v>
      </c>
      <c r="AD329" s="2">
        <f t="shared" si="8"/>
        <v>0</v>
      </c>
      <c r="AE329" s="2">
        <f>IF(OR($M329="",$N329=""),0,IF(AND(WEpa&gt;0,$AD329=1),(1-WEpa)*$AB329+WEpa*$AC329,$AB329))</f>
        <v>0</v>
      </c>
      <c r="AF329" s="2">
        <f>IF(AND($C329&lt;&gt;"",$E329=CurrentSeason,$F329="REG",ISNUMBER($G329),$G329&lt;CurrentWeek,AND($M329&lt;&gt;"",$N329&lt;&gt;"")),1,0)</f>
        <v>0</v>
      </c>
      <c r="AG329" s="2">
        <f>IF($AF329=0,0,IF($G329&gt;=CurrentWeek-RecencyWin,RecencyMult,1))</f>
        <v>0</v>
      </c>
      <c r="AH329" s="2">
        <f>IF(AND($C329&lt;&gt;"",$E329=CurrentSeason,$F329="REG",ISNUMBER($G329),$G329&lt;CurrentWeek-1,AND($M329&lt;&gt;"",$N329&lt;&gt;"")),1,0)</f>
        <v>0</v>
      </c>
      <c r="AI329" s="2">
        <f>IF($AH329=0,0,IF($G329&gt;=CurrentWeek-1-RecencyWin,RecencyMult,1))</f>
        <v>0</v>
      </c>
      <c r="AJ329" s="2">
        <f>IF($AF329=0,0,IF($G329&gt;=CurrentWeek-RecencyWin,TotRecency,1))</f>
        <v>0</v>
      </c>
      <c r="AK329" s="2">
        <f t="shared" si="9"/>
        <v>0</v>
      </c>
      <c r="AL329" s="2">
        <f t="shared" si="10"/>
        <v>0</v>
      </c>
      <c r="AM329" s="2" t="str">
        <f t="array" ref="AM329">IF($K329="",0,IFERROR(INDEX(CALC!$F$2:$F$33,MATCH($K329,CALC!$A$2:$A$33,0)),0))</f>
        <v/>
      </c>
      <c r="AN329" s="2" t="str">
        <f t="array" ref="AN329">IF($K329="",0,IFERROR(INDEX(CALC!$I$2:$I$33,MATCH($K329,CALC!$A$2:$A$33,0)),0))</f>
        <v/>
      </c>
      <c r="AO329" s="2" t="str">
        <f t="array" ref="AO329">IF($K329="",0,IFERROR(INDEX(CALC!$L$2:$L$33,MATCH($K329,CALC!$A$2:$A$33,0)),0))</f>
        <v/>
      </c>
      <c r="AP329" s="2" t="str">
        <f t="array" ref="AP329">IF($K329="",0,IFERROR(INDEX(CALC!$T$2:$T$33,MATCH($K329,CALC!$A$2:$A$33,0)),0))</f>
        <v/>
      </c>
      <c r="AQ329" s="2" t="str">
        <f t="array" ref="AQ329">IF($K329="",0,IFERROR(INDEX(CALC!$W$2:$W$33,MATCH($K329,CALC!$A$2:$A$33,0)),0))</f>
        <v/>
      </c>
      <c r="AR329" s="2" t="str">
        <f t="array" ref="AR329">IF($K329="",0,IFERROR(INDEX(CALC!$Z$2:$Z$33,MATCH($K329,CALC!$A$2:$A$33,0)),0))</f>
        <v/>
      </c>
      <c r="AS329" s="2" t="str">
        <f t="array" ref="AS329">IF($K329="",0,IFERROR(INDEX(CALC!$AJ$2:$AJ$33,MATCH($K329,CALC!$A$2:$A$33,0)),0))</f>
        <v/>
      </c>
      <c r="AT329" s="2" t="str">
        <f t="array" ref="AT329">IF($K329="",0,IFERROR(INDEX(CALC!$AI$2:$AI$33,MATCH($K329,CALC!$A$2:$A$33,0)),0))</f>
        <v/>
      </c>
      <c r="AU329" s="2">
        <f t="shared" si="11"/>
        <v>0</v>
      </c>
      <c r="AV329" s="2">
        <f t="shared" si="12"/>
        <v>0</v>
      </c>
    </row>
    <row r="330" ht="15.0" customHeight="1">
      <c r="A330" s="2">
        <v>164.0</v>
      </c>
      <c r="B330" s="2" t="s">
        <v>2366</v>
      </c>
      <c r="C330" s="2">
        <f>IFERROR(MATCH($A330,SchedSeq,0),"")</f>
        <v>449</v>
      </c>
      <c r="D330" s="2" t="str">
        <f t="array" ref="D330">IF($C330="","",INDEX(SchedZone,$C330,MAP!$B$6))</f>
        <v>2026_12_GB_LA</v>
      </c>
      <c r="E330" s="2">
        <f t="array" ref="E330">IF($C330="","",INDEX(SchedZone,$C330,MAP!$B$3))</f>
        <v>2026</v>
      </c>
      <c r="F330" s="2" t="str">
        <f t="array" ref="F330">IF($C330="","",INDEX(SchedZone,$C330,MAP!$B$5))</f>
        <v>REG</v>
      </c>
      <c r="G330" s="2">
        <f t="array" ref="G330">IF($C330="","",INDEX(SchedZone,$C330,MAP!$B$4))</f>
        <v>12</v>
      </c>
      <c r="H330" s="2" t="str">
        <f t="array" ref="H330">IF($C330="","",INDEX(SchedZone,$C330,MAP!$B$10))</f>
        <v>GB</v>
      </c>
      <c r="I330" s="2" t="str">
        <f t="array" ref="I330">IF($H330="","",IF(COUNTIF(Teams,$H330)&gt;0,$H330,IFERROR(INDEX(LISTS!$D$2:$D$12,MATCH($H330,LISTS!$C$2:$C$12,0)),"⚠ "&amp;$H330)))</f>
        <v>GB</v>
      </c>
      <c r="J330" s="2" t="str">
        <f t="array" ref="J330">IF($C330="","",INDEX(SchedZone,$C330,MAP!$B$12))</f>
        <v>LA</v>
      </c>
      <c r="K330" s="2" t="str">
        <f t="array" ref="K330">IF($J330="","",IF(COUNTIF(Teams,$J330)&gt;0,$J330,IFERROR(INDEX(LISTS!$D$2:$D$12,MATCH($J330,LISTS!$C$2:$C$12,0)),"⚠ "&amp;$J330)))</f>
        <v>LA</v>
      </c>
      <c r="L330" s="2" t="str">
        <f t="array" ref="L330">IF($C330="","",IF(INDEX(SchedZone,$C330,MAP!$B$14)="Neutral","N",IF($B330="HOME","H","A")))</f>
        <v>A</v>
      </c>
      <c r="M330" s="2" t="str">
        <f t="array" ref="M330">IF($C330="","",IF(INDEX(SchedZone,$C330,MAP!$B$11)="","",INDEX(SchedZone,$C330,MAP!$B$11)))</f>
        <v/>
      </c>
      <c r="N330" s="2" t="str">
        <f t="array" ref="N330">IF($C330="","",IF(INDEX(SchedZone,$C330,MAP!$B$13)="","",INDEX(SchedZone,$C330,MAP!$B$13)))</f>
        <v/>
      </c>
      <c r="O330" s="2">
        <f t="array" ref="O330">IF($C330="","",INDEX(SchedZone,$C330,MAP!$B$15))</f>
        <v>10</v>
      </c>
      <c r="P330" s="2" t="str">
        <f>IF($C330="","",IFERROR(MATCH($E330&amp;"|"&amp;$G330&amp;"|"&amp;$I330,StatsKey,0),""))</f>
        <v/>
      </c>
      <c r="Q330" s="2">
        <f t="array" ref="Q330">IF($P330="",0,INDEX(StatsZone,$P330,MAP!$E$9)+INDEX(StatsZone,$P330,MAP!$E$10)+INDEX(StatsZone,$P330,MAP!$E$11))</f>
        <v>0</v>
      </c>
      <c r="R330" s="2">
        <f t="array" ref="R330">IF($P330="",0,INDEX(StatsZone,$P330,MAP!$E$12))</f>
        <v>0</v>
      </c>
      <c r="S330" s="2">
        <f t="array" ref="S330">IF($P330="",0,INDEX(StatsZone,$P330,MAP!$E$13))</f>
        <v>0</v>
      </c>
      <c r="T330" s="2">
        <f t="shared" si="1"/>
        <v>0</v>
      </c>
      <c r="U330" s="2">
        <f t="array" ref="U330">IF($P330="",0,INDEX(StatsZone,$P330,MAP!$E$14)+INDEX(StatsZone,$P330,MAP!$E$15)+INDEX(StatsZone,$P330,MAP!$E$16))</f>
        <v>0</v>
      </c>
      <c r="V330" s="2">
        <f t="shared" si="2"/>
        <v>0</v>
      </c>
      <c r="W330" s="2">
        <f t="shared" si="3"/>
        <v>0</v>
      </c>
      <c r="X330" s="2">
        <f t="shared" si="4"/>
        <v>0</v>
      </c>
      <c r="Y330" s="2">
        <f t="shared" si="5"/>
        <v>0</v>
      </c>
      <c r="Z330" s="2">
        <f t="shared" si="6"/>
        <v>0</v>
      </c>
      <c r="AA330" s="2">
        <f t="shared" si="7"/>
        <v>-1</v>
      </c>
      <c r="AB330" s="2">
        <f>IF(OR($M330="",$N330=""),0,MEDIAN(-MarginCap,MarginCap,($M330-$N330)-$AA330*HFA_Base))</f>
        <v>0</v>
      </c>
      <c r="AC330" s="2">
        <f t="array" ref="AC330">IF(OR($P330="",INDEX($P$3:$P$722,(ROW()+IF(MOD(ROW()-3,2)=0,1,-1))-3+1)=""),0,MEDIAN(-MarginCap,MarginCap,($T330-$W330)-$AA330*HFA_Base))</f>
        <v>0</v>
      </c>
      <c r="AD330" s="2">
        <f t="shared" si="8"/>
        <v>0</v>
      </c>
      <c r="AE330" s="2">
        <f>IF(OR($M330="",$N330=""),0,IF(AND(WEpa&gt;0,$AD330=1),(1-WEpa)*$AB330+WEpa*$AC330,$AB330))</f>
        <v>0</v>
      </c>
      <c r="AF330" s="2">
        <f>IF(AND($C330&lt;&gt;"",$E330=CurrentSeason,$F330="REG",ISNUMBER($G330),$G330&lt;CurrentWeek,AND($M330&lt;&gt;"",$N330&lt;&gt;"")),1,0)</f>
        <v>0</v>
      </c>
      <c r="AG330" s="2">
        <f>IF($AF330=0,0,IF($G330&gt;=CurrentWeek-RecencyWin,RecencyMult,1))</f>
        <v>0</v>
      </c>
      <c r="AH330" s="2">
        <f>IF(AND($C330&lt;&gt;"",$E330=CurrentSeason,$F330="REG",ISNUMBER($G330),$G330&lt;CurrentWeek-1,AND($M330&lt;&gt;"",$N330&lt;&gt;"")),1,0)</f>
        <v>0</v>
      </c>
      <c r="AI330" s="2">
        <f>IF($AH330=0,0,IF($G330&gt;=CurrentWeek-1-RecencyWin,RecencyMult,1))</f>
        <v>0</v>
      </c>
      <c r="AJ330" s="2">
        <f>IF($AF330=0,0,IF($G330&gt;=CurrentWeek-RecencyWin,TotRecency,1))</f>
        <v>0</v>
      </c>
      <c r="AK330" s="2">
        <f t="shared" si="9"/>
        <v>0</v>
      </c>
      <c r="AL330" s="2">
        <f t="shared" si="10"/>
        <v>0</v>
      </c>
      <c r="AM330" s="2" t="str">
        <f t="array" ref="AM330">IF($K330="",0,IFERROR(INDEX(CALC!$F$2:$F$33,MATCH($K330,CALC!$A$2:$A$33,0)),0))</f>
        <v/>
      </c>
      <c r="AN330" s="2" t="str">
        <f t="array" ref="AN330">IF($K330="",0,IFERROR(INDEX(CALC!$I$2:$I$33,MATCH($K330,CALC!$A$2:$A$33,0)),0))</f>
        <v/>
      </c>
      <c r="AO330" s="2" t="str">
        <f t="array" ref="AO330">IF($K330="",0,IFERROR(INDEX(CALC!$L$2:$L$33,MATCH($K330,CALC!$A$2:$A$33,0)),0))</f>
        <v/>
      </c>
      <c r="AP330" s="2" t="str">
        <f t="array" ref="AP330">IF($K330="",0,IFERROR(INDEX(CALC!$T$2:$T$33,MATCH($K330,CALC!$A$2:$A$33,0)),0))</f>
        <v/>
      </c>
      <c r="AQ330" s="2" t="str">
        <f t="array" ref="AQ330">IF($K330="",0,IFERROR(INDEX(CALC!$W$2:$W$33,MATCH($K330,CALC!$A$2:$A$33,0)),0))</f>
        <v/>
      </c>
      <c r="AR330" s="2" t="str">
        <f t="array" ref="AR330">IF($K330="",0,IFERROR(INDEX(CALC!$Z$2:$Z$33,MATCH($K330,CALC!$A$2:$A$33,0)),0))</f>
        <v/>
      </c>
      <c r="AS330" s="2" t="str">
        <f t="array" ref="AS330">IF($K330="",0,IFERROR(INDEX(CALC!$AJ$2:$AJ$33,MATCH($K330,CALC!$A$2:$A$33,0)),0))</f>
        <v/>
      </c>
      <c r="AT330" s="2" t="str">
        <f t="array" ref="AT330">IF($K330="",0,IFERROR(INDEX(CALC!$AI$2:$AI$33,MATCH($K330,CALC!$A$2:$A$33,0)),0))</f>
        <v/>
      </c>
      <c r="AU330" s="2">
        <f t="shared" si="11"/>
        <v>0</v>
      </c>
      <c r="AV330" s="2">
        <f t="shared" si="12"/>
        <v>0</v>
      </c>
    </row>
    <row r="331" ht="15.0" customHeight="1">
      <c r="A331" s="2">
        <v>165.0</v>
      </c>
      <c r="B331" s="2" t="s">
        <v>2365</v>
      </c>
      <c r="C331" s="2">
        <f>IFERROR(MATCH($A331,SchedSeq,0),"")</f>
        <v>450</v>
      </c>
      <c r="D331" s="2" t="str">
        <f t="array" ref="D331">IF($C331="","",INDEX(SchedZone,$C331,MAP!$B$6))</f>
        <v>2026_12_CHI_DET</v>
      </c>
      <c r="E331" s="2">
        <f t="array" ref="E331">IF($C331="","",INDEX(SchedZone,$C331,MAP!$B$3))</f>
        <v>2026</v>
      </c>
      <c r="F331" s="2" t="str">
        <f t="array" ref="F331">IF($C331="","",INDEX(SchedZone,$C331,MAP!$B$5))</f>
        <v>REG</v>
      </c>
      <c r="G331" s="2">
        <f t="array" ref="G331">IF($C331="","",INDEX(SchedZone,$C331,MAP!$B$4))</f>
        <v>12</v>
      </c>
      <c r="H331" s="2" t="str">
        <f t="array" ref="H331">IF($C331="","",INDEX(SchedZone,$C331,MAP!$B$12))</f>
        <v>DET</v>
      </c>
      <c r="I331" s="2" t="str">
        <f t="array" ref="I331">IF($H331="","",IF(COUNTIF(Teams,$H331)&gt;0,$H331,IFERROR(INDEX(LISTS!$D$2:$D$12,MATCH($H331,LISTS!$C$2:$C$12,0)),"⚠ "&amp;$H331)))</f>
        <v>DET</v>
      </c>
      <c r="J331" s="2" t="str">
        <f t="array" ref="J331">IF($C331="","",INDEX(SchedZone,$C331,MAP!$B$10))</f>
        <v>CHI</v>
      </c>
      <c r="K331" s="2" t="str">
        <f t="array" ref="K331">IF($J331="","",IF(COUNTIF(Teams,$J331)&gt;0,$J331,IFERROR(INDEX(LISTS!$D$2:$D$12,MATCH($J331,LISTS!$C$2:$C$12,0)),"⚠ "&amp;$J331)))</f>
        <v>CHI</v>
      </c>
      <c r="L331" s="2" t="str">
        <f t="array" ref="L331">IF($C331="","",IF(INDEX(SchedZone,$C331,MAP!$B$14)="Neutral","N",IF($B331="HOME","H","A")))</f>
        <v>H</v>
      </c>
      <c r="M331" s="2" t="str">
        <f t="array" ref="M331">IF($C331="","",IF(INDEX(SchedZone,$C331,MAP!$B$13)="","",INDEX(SchedZone,$C331,MAP!$B$13)))</f>
        <v/>
      </c>
      <c r="N331" s="2" t="str">
        <f t="array" ref="N331">IF($C331="","",IF(INDEX(SchedZone,$C331,MAP!$B$11)="","",INDEX(SchedZone,$C331,MAP!$B$11)))</f>
        <v/>
      </c>
      <c r="O331" s="2">
        <f t="array" ref="O331">IF($C331="","",INDEX(SchedZone,$C331,MAP!$B$16))</f>
        <v>4</v>
      </c>
      <c r="P331" s="2" t="str">
        <f>IF($C331="","",IFERROR(MATCH($E331&amp;"|"&amp;$G331&amp;"|"&amp;$I331,StatsKey,0),""))</f>
        <v/>
      </c>
      <c r="Q331" s="2">
        <f t="array" ref="Q331">IF($P331="",0,INDEX(StatsZone,$P331,MAP!$E$9)+INDEX(StatsZone,$P331,MAP!$E$10)+INDEX(StatsZone,$P331,MAP!$E$11))</f>
        <v>0</v>
      </c>
      <c r="R331" s="2">
        <f t="array" ref="R331">IF($P331="",0,INDEX(StatsZone,$P331,MAP!$E$12))</f>
        <v>0</v>
      </c>
      <c r="S331" s="2">
        <f t="array" ref="S331">IF($P331="",0,INDEX(StatsZone,$P331,MAP!$E$13))</f>
        <v>0</v>
      </c>
      <c r="T331" s="2">
        <f t="shared" si="1"/>
        <v>0</v>
      </c>
      <c r="U331" s="2">
        <f t="array" ref="U331">IF($P331="",0,INDEX(StatsZone,$P331,MAP!$E$14)+INDEX(StatsZone,$P331,MAP!$E$15)+INDEX(StatsZone,$P331,MAP!$E$16))</f>
        <v>0</v>
      </c>
      <c r="V331" s="2">
        <f t="shared" si="2"/>
        <v>0</v>
      </c>
      <c r="W331" s="2">
        <f t="shared" si="3"/>
        <v>0</v>
      </c>
      <c r="X331" s="2">
        <f t="shared" si="4"/>
        <v>0</v>
      </c>
      <c r="Y331" s="2">
        <f t="shared" si="5"/>
        <v>0</v>
      </c>
      <c r="Z331" s="2">
        <f t="shared" si="6"/>
        <v>0</v>
      </c>
      <c r="AA331" s="2">
        <f t="shared" si="7"/>
        <v>1</v>
      </c>
      <c r="AB331" s="2">
        <f>IF(OR($M331="",$N331=""),0,MEDIAN(-MarginCap,MarginCap,($M331-$N331)-$AA331*HFA_Base))</f>
        <v>0</v>
      </c>
      <c r="AC331" s="2">
        <f t="array" ref="AC331">IF(OR($P331="",INDEX($P$3:$P$722,(ROW()+IF(MOD(ROW()-3,2)=0,1,-1))-3+1)=""),0,MEDIAN(-MarginCap,MarginCap,($T331-$W331)-$AA331*HFA_Base))</f>
        <v>0</v>
      </c>
      <c r="AD331" s="2">
        <f t="shared" si="8"/>
        <v>0</v>
      </c>
      <c r="AE331" s="2">
        <f>IF(OR($M331="",$N331=""),0,IF(AND(WEpa&gt;0,$AD331=1),(1-WEpa)*$AB331+WEpa*$AC331,$AB331))</f>
        <v>0</v>
      </c>
      <c r="AF331" s="2">
        <f>IF(AND($C331&lt;&gt;"",$E331=CurrentSeason,$F331="REG",ISNUMBER($G331),$G331&lt;CurrentWeek,AND($M331&lt;&gt;"",$N331&lt;&gt;"")),1,0)</f>
        <v>0</v>
      </c>
      <c r="AG331" s="2">
        <f>IF($AF331=0,0,IF($G331&gt;=CurrentWeek-RecencyWin,RecencyMult,1))</f>
        <v>0</v>
      </c>
      <c r="AH331" s="2">
        <f>IF(AND($C331&lt;&gt;"",$E331=CurrentSeason,$F331="REG",ISNUMBER($G331),$G331&lt;CurrentWeek-1,AND($M331&lt;&gt;"",$N331&lt;&gt;"")),1,0)</f>
        <v>0</v>
      </c>
      <c r="AI331" s="2">
        <f>IF($AH331=0,0,IF($G331&gt;=CurrentWeek-1-RecencyWin,RecencyMult,1))</f>
        <v>0</v>
      </c>
      <c r="AJ331" s="2">
        <f>IF($AF331=0,0,IF($G331&gt;=CurrentWeek-RecencyWin,TotRecency,1))</f>
        <v>0</v>
      </c>
      <c r="AK331" s="2">
        <f t="shared" si="9"/>
        <v>0</v>
      </c>
      <c r="AL331" s="2">
        <f t="shared" si="10"/>
        <v>0</v>
      </c>
      <c r="AM331" s="2" t="str">
        <f t="array" ref="AM331">IF($K331="",0,IFERROR(INDEX(CALC!$F$2:$F$33,MATCH($K331,CALC!$A$2:$A$33,0)),0))</f>
        <v/>
      </c>
      <c r="AN331" s="2" t="str">
        <f t="array" ref="AN331">IF($K331="",0,IFERROR(INDEX(CALC!$I$2:$I$33,MATCH($K331,CALC!$A$2:$A$33,0)),0))</f>
        <v/>
      </c>
      <c r="AO331" s="2" t="str">
        <f t="array" ref="AO331">IF($K331="",0,IFERROR(INDEX(CALC!$L$2:$L$33,MATCH($K331,CALC!$A$2:$A$33,0)),0))</f>
        <v/>
      </c>
      <c r="AP331" s="2" t="str">
        <f t="array" ref="AP331">IF($K331="",0,IFERROR(INDEX(CALC!$T$2:$T$33,MATCH($K331,CALC!$A$2:$A$33,0)),0))</f>
        <v/>
      </c>
      <c r="AQ331" s="2" t="str">
        <f t="array" ref="AQ331">IF($K331="",0,IFERROR(INDEX(CALC!$W$2:$W$33,MATCH($K331,CALC!$A$2:$A$33,0)),0))</f>
        <v/>
      </c>
      <c r="AR331" s="2" t="str">
        <f t="array" ref="AR331">IF($K331="",0,IFERROR(INDEX(CALC!$Z$2:$Z$33,MATCH($K331,CALC!$A$2:$A$33,0)),0))</f>
        <v/>
      </c>
      <c r="AS331" s="2" t="str">
        <f t="array" ref="AS331">IF($K331="",0,IFERROR(INDEX(CALC!$AJ$2:$AJ$33,MATCH($K331,CALC!$A$2:$A$33,0)),0))</f>
        <v/>
      </c>
      <c r="AT331" s="2" t="str">
        <f t="array" ref="AT331">IF($K331="",0,IFERROR(INDEX(CALC!$AI$2:$AI$33,MATCH($K331,CALC!$A$2:$A$33,0)),0))</f>
        <v/>
      </c>
      <c r="AU331" s="2">
        <f t="shared" si="11"/>
        <v>0</v>
      </c>
      <c r="AV331" s="2">
        <f t="shared" si="12"/>
        <v>0</v>
      </c>
    </row>
    <row r="332" ht="15.0" customHeight="1">
      <c r="A332" s="2">
        <v>165.0</v>
      </c>
      <c r="B332" s="2" t="s">
        <v>2366</v>
      </c>
      <c r="C332" s="2">
        <f>IFERROR(MATCH($A332,SchedSeq,0),"")</f>
        <v>450</v>
      </c>
      <c r="D332" s="2" t="str">
        <f t="array" ref="D332">IF($C332="","",INDEX(SchedZone,$C332,MAP!$B$6))</f>
        <v>2026_12_CHI_DET</v>
      </c>
      <c r="E332" s="2">
        <f t="array" ref="E332">IF($C332="","",INDEX(SchedZone,$C332,MAP!$B$3))</f>
        <v>2026</v>
      </c>
      <c r="F332" s="2" t="str">
        <f t="array" ref="F332">IF($C332="","",INDEX(SchedZone,$C332,MAP!$B$5))</f>
        <v>REG</v>
      </c>
      <c r="G332" s="2">
        <f t="array" ref="G332">IF($C332="","",INDEX(SchedZone,$C332,MAP!$B$4))</f>
        <v>12</v>
      </c>
      <c r="H332" s="2" t="str">
        <f t="array" ref="H332">IF($C332="","",INDEX(SchedZone,$C332,MAP!$B$10))</f>
        <v>CHI</v>
      </c>
      <c r="I332" s="2" t="str">
        <f t="array" ref="I332">IF($H332="","",IF(COUNTIF(Teams,$H332)&gt;0,$H332,IFERROR(INDEX(LISTS!$D$2:$D$12,MATCH($H332,LISTS!$C$2:$C$12,0)),"⚠ "&amp;$H332)))</f>
        <v>CHI</v>
      </c>
      <c r="J332" s="2" t="str">
        <f t="array" ref="J332">IF($C332="","",INDEX(SchedZone,$C332,MAP!$B$12))</f>
        <v>DET</v>
      </c>
      <c r="K332" s="2" t="str">
        <f t="array" ref="K332">IF($J332="","",IF(COUNTIF(Teams,$J332)&gt;0,$J332,IFERROR(INDEX(LISTS!$D$2:$D$12,MATCH($J332,LISTS!$C$2:$C$12,0)),"⚠ "&amp;$J332)))</f>
        <v>DET</v>
      </c>
      <c r="L332" s="2" t="str">
        <f t="array" ref="L332">IF($C332="","",IF(INDEX(SchedZone,$C332,MAP!$B$14)="Neutral","N",IF($B332="HOME","H","A")))</f>
        <v>A</v>
      </c>
      <c r="M332" s="2" t="str">
        <f t="array" ref="M332">IF($C332="","",IF(INDEX(SchedZone,$C332,MAP!$B$11)="","",INDEX(SchedZone,$C332,MAP!$B$11)))</f>
        <v/>
      </c>
      <c r="N332" s="2" t="str">
        <f t="array" ref="N332">IF($C332="","",IF(INDEX(SchedZone,$C332,MAP!$B$13)="","",INDEX(SchedZone,$C332,MAP!$B$13)))</f>
        <v/>
      </c>
      <c r="O332" s="2">
        <f t="array" ref="O332">IF($C332="","",INDEX(SchedZone,$C332,MAP!$B$15))</f>
        <v>4</v>
      </c>
      <c r="P332" s="2" t="str">
        <f>IF($C332="","",IFERROR(MATCH($E332&amp;"|"&amp;$G332&amp;"|"&amp;$I332,StatsKey,0),""))</f>
        <v/>
      </c>
      <c r="Q332" s="2">
        <f t="array" ref="Q332">IF($P332="",0,INDEX(StatsZone,$P332,MAP!$E$9)+INDEX(StatsZone,$P332,MAP!$E$10)+INDEX(StatsZone,$P332,MAP!$E$11))</f>
        <v>0</v>
      </c>
      <c r="R332" s="2">
        <f t="array" ref="R332">IF($P332="",0,INDEX(StatsZone,$P332,MAP!$E$12))</f>
        <v>0</v>
      </c>
      <c r="S332" s="2">
        <f t="array" ref="S332">IF($P332="",0,INDEX(StatsZone,$P332,MAP!$E$13))</f>
        <v>0</v>
      </c>
      <c r="T332" s="2">
        <f t="shared" si="1"/>
        <v>0</v>
      </c>
      <c r="U332" s="2">
        <f t="array" ref="U332">IF($P332="",0,INDEX(StatsZone,$P332,MAP!$E$14)+INDEX(StatsZone,$P332,MAP!$E$15)+INDEX(StatsZone,$P332,MAP!$E$16))</f>
        <v>0</v>
      </c>
      <c r="V332" s="2">
        <f t="shared" si="2"/>
        <v>0</v>
      </c>
      <c r="W332" s="2">
        <f t="shared" si="3"/>
        <v>0</v>
      </c>
      <c r="X332" s="2">
        <f t="shared" si="4"/>
        <v>0</v>
      </c>
      <c r="Y332" s="2">
        <f t="shared" si="5"/>
        <v>0</v>
      </c>
      <c r="Z332" s="2">
        <f t="shared" si="6"/>
        <v>0</v>
      </c>
      <c r="AA332" s="2">
        <f t="shared" si="7"/>
        <v>-1</v>
      </c>
      <c r="AB332" s="2">
        <f>IF(OR($M332="",$N332=""),0,MEDIAN(-MarginCap,MarginCap,($M332-$N332)-$AA332*HFA_Base))</f>
        <v>0</v>
      </c>
      <c r="AC332" s="2">
        <f t="array" ref="AC332">IF(OR($P332="",INDEX($P$3:$P$722,(ROW()+IF(MOD(ROW()-3,2)=0,1,-1))-3+1)=""),0,MEDIAN(-MarginCap,MarginCap,($T332-$W332)-$AA332*HFA_Base))</f>
        <v>0</v>
      </c>
      <c r="AD332" s="2">
        <f t="shared" si="8"/>
        <v>0</v>
      </c>
      <c r="AE332" s="2">
        <f>IF(OR($M332="",$N332=""),0,IF(AND(WEpa&gt;0,$AD332=1),(1-WEpa)*$AB332+WEpa*$AC332,$AB332))</f>
        <v>0</v>
      </c>
      <c r="AF332" s="2">
        <f>IF(AND($C332&lt;&gt;"",$E332=CurrentSeason,$F332="REG",ISNUMBER($G332),$G332&lt;CurrentWeek,AND($M332&lt;&gt;"",$N332&lt;&gt;"")),1,0)</f>
        <v>0</v>
      </c>
      <c r="AG332" s="2">
        <f>IF($AF332=0,0,IF($G332&gt;=CurrentWeek-RecencyWin,RecencyMult,1))</f>
        <v>0</v>
      </c>
      <c r="AH332" s="2">
        <f>IF(AND($C332&lt;&gt;"",$E332=CurrentSeason,$F332="REG",ISNUMBER($G332),$G332&lt;CurrentWeek-1,AND($M332&lt;&gt;"",$N332&lt;&gt;"")),1,0)</f>
        <v>0</v>
      </c>
      <c r="AI332" s="2">
        <f>IF($AH332=0,0,IF($G332&gt;=CurrentWeek-1-RecencyWin,RecencyMult,1))</f>
        <v>0</v>
      </c>
      <c r="AJ332" s="2">
        <f>IF($AF332=0,0,IF($G332&gt;=CurrentWeek-RecencyWin,TotRecency,1))</f>
        <v>0</v>
      </c>
      <c r="AK332" s="2">
        <f t="shared" si="9"/>
        <v>0</v>
      </c>
      <c r="AL332" s="2">
        <f t="shared" si="10"/>
        <v>0</v>
      </c>
      <c r="AM332" s="2" t="str">
        <f t="array" ref="AM332">IF($K332="",0,IFERROR(INDEX(CALC!$F$2:$F$33,MATCH($K332,CALC!$A$2:$A$33,0)),0))</f>
        <v/>
      </c>
      <c r="AN332" s="2" t="str">
        <f t="array" ref="AN332">IF($K332="",0,IFERROR(INDEX(CALC!$I$2:$I$33,MATCH($K332,CALC!$A$2:$A$33,0)),0))</f>
        <v/>
      </c>
      <c r="AO332" s="2" t="str">
        <f t="array" ref="AO332">IF($K332="",0,IFERROR(INDEX(CALC!$L$2:$L$33,MATCH($K332,CALC!$A$2:$A$33,0)),0))</f>
        <v/>
      </c>
      <c r="AP332" s="2" t="str">
        <f t="array" ref="AP332">IF($K332="",0,IFERROR(INDEX(CALC!$T$2:$T$33,MATCH($K332,CALC!$A$2:$A$33,0)),0))</f>
        <v/>
      </c>
      <c r="AQ332" s="2" t="str">
        <f t="array" ref="AQ332">IF($K332="",0,IFERROR(INDEX(CALC!$W$2:$W$33,MATCH($K332,CALC!$A$2:$A$33,0)),0))</f>
        <v/>
      </c>
      <c r="AR332" s="2" t="str">
        <f t="array" ref="AR332">IF($K332="",0,IFERROR(INDEX(CALC!$Z$2:$Z$33,MATCH($K332,CALC!$A$2:$A$33,0)),0))</f>
        <v/>
      </c>
      <c r="AS332" s="2" t="str">
        <f t="array" ref="AS332">IF($K332="",0,IFERROR(INDEX(CALC!$AJ$2:$AJ$33,MATCH($K332,CALC!$A$2:$A$33,0)),0))</f>
        <v/>
      </c>
      <c r="AT332" s="2" t="str">
        <f t="array" ref="AT332">IF($K332="",0,IFERROR(INDEX(CALC!$AI$2:$AI$33,MATCH($K332,CALC!$A$2:$A$33,0)),0))</f>
        <v/>
      </c>
      <c r="AU332" s="2">
        <f t="shared" si="11"/>
        <v>0</v>
      </c>
      <c r="AV332" s="2">
        <f t="shared" si="12"/>
        <v>0</v>
      </c>
    </row>
    <row r="333" ht="15.0" customHeight="1">
      <c r="A333" s="2">
        <v>166.0</v>
      </c>
      <c r="B333" s="2" t="s">
        <v>2365</v>
      </c>
      <c r="C333" s="2">
        <f>IFERROR(MATCH($A333,SchedSeq,0),"")</f>
        <v>451</v>
      </c>
      <c r="D333" s="2" t="str">
        <f t="array" ref="D333">IF($C333="","",INDEX(SchedZone,$C333,MAP!$B$6))</f>
        <v>2026_12_PHI_DAL</v>
      </c>
      <c r="E333" s="2">
        <f t="array" ref="E333">IF($C333="","",INDEX(SchedZone,$C333,MAP!$B$3))</f>
        <v>2026</v>
      </c>
      <c r="F333" s="2" t="str">
        <f t="array" ref="F333">IF($C333="","",INDEX(SchedZone,$C333,MAP!$B$5))</f>
        <v>REG</v>
      </c>
      <c r="G333" s="2">
        <f t="array" ref="G333">IF($C333="","",INDEX(SchedZone,$C333,MAP!$B$4))</f>
        <v>12</v>
      </c>
      <c r="H333" s="2" t="str">
        <f t="array" ref="H333">IF($C333="","",INDEX(SchedZone,$C333,MAP!$B$12))</f>
        <v>DAL</v>
      </c>
      <c r="I333" s="2" t="str">
        <f t="array" ref="I333">IF($H333="","",IF(COUNTIF(Teams,$H333)&gt;0,$H333,IFERROR(INDEX(LISTS!$D$2:$D$12,MATCH($H333,LISTS!$C$2:$C$12,0)),"⚠ "&amp;$H333)))</f>
        <v>DAL</v>
      </c>
      <c r="J333" s="2" t="str">
        <f t="array" ref="J333">IF($C333="","",INDEX(SchedZone,$C333,MAP!$B$10))</f>
        <v>PHI</v>
      </c>
      <c r="K333" s="2" t="str">
        <f t="array" ref="K333">IF($J333="","",IF(COUNTIF(Teams,$J333)&gt;0,$J333,IFERROR(INDEX(LISTS!$D$2:$D$12,MATCH($J333,LISTS!$C$2:$C$12,0)),"⚠ "&amp;$J333)))</f>
        <v>PHI</v>
      </c>
      <c r="L333" s="2" t="str">
        <f t="array" ref="L333">IF($C333="","",IF(INDEX(SchedZone,$C333,MAP!$B$14)="Neutral","N",IF($B333="HOME","H","A")))</f>
        <v>H</v>
      </c>
      <c r="M333" s="2" t="str">
        <f t="array" ref="M333">IF($C333="","",IF(INDEX(SchedZone,$C333,MAP!$B$13)="","",INDEX(SchedZone,$C333,MAP!$B$13)))</f>
        <v/>
      </c>
      <c r="N333" s="2" t="str">
        <f t="array" ref="N333">IF($C333="","",IF(INDEX(SchedZone,$C333,MAP!$B$11)="","",INDEX(SchedZone,$C333,MAP!$B$11)))</f>
        <v/>
      </c>
      <c r="O333" s="2">
        <f t="array" ref="O333">IF($C333="","",INDEX(SchedZone,$C333,MAP!$B$16))</f>
        <v>4</v>
      </c>
      <c r="P333" s="2" t="str">
        <f>IF($C333="","",IFERROR(MATCH($E333&amp;"|"&amp;$G333&amp;"|"&amp;$I333,StatsKey,0),""))</f>
        <v/>
      </c>
      <c r="Q333" s="2">
        <f t="array" ref="Q333">IF($P333="",0,INDEX(StatsZone,$P333,MAP!$E$9)+INDEX(StatsZone,$P333,MAP!$E$10)+INDEX(StatsZone,$P333,MAP!$E$11))</f>
        <v>0</v>
      </c>
      <c r="R333" s="2">
        <f t="array" ref="R333">IF($P333="",0,INDEX(StatsZone,$P333,MAP!$E$12))</f>
        <v>0</v>
      </c>
      <c r="S333" s="2">
        <f t="array" ref="S333">IF($P333="",0,INDEX(StatsZone,$P333,MAP!$E$13))</f>
        <v>0</v>
      </c>
      <c r="T333" s="2">
        <f t="shared" si="1"/>
        <v>0</v>
      </c>
      <c r="U333" s="2">
        <f t="array" ref="U333">IF($P333="",0,INDEX(StatsZone,$P333,MAP!$E$14)+INDEX(StatsZone,$P333,MAP!$E$15)+INDEX(StatsZone,$P333,MAP!$E$16))</f>
        <v>0</v>
      </c>
      <c r="V333" s="2">
        <f t="shared" si="2"/>
        <v>0</v>
      </c>
      <c r="W333" s="2">
        <f t="shared" si="3"/>
        <v>0</v>
      </c>
      <c r="X333" s="2">
        <f t="shared" si="4"/>
        <v>0</v>
      </c>
      <c r="Y333" s="2">
        <f t="shared" si="5"/>
        <v>0</v>
      </c>
      <c r="Z333" s="2">
        <f t="shared" si="6"/>
        <v>0</v>
      </c>
      <c r="AA333" s="2">
        <f t="shared" si="7"/>
        <v>1</v>
      </c>
      <c r="AB333" s="2">
        <f>IF(OR($M333="",$N333=""),0,MEDIAN(-MarginCap,MarginCap,($M333-$N333)-$AA333*HFA_Base))</f>
        <v>0</v>
      </c>
      <c r="AC333" s="2">
        <f t="array" ref="AC333">IF(OR($P333="",INDEX($P$3:$P$722,(ROW()+IF(MOD(ROW()-3,2)=0,1,-1))-3+1)=""),0,MEDIAN(-MarginCap,MarginCap,($T333-$W333)-$AA333*HFA_Base))</f>
        <v>0</v>
      </c>
      <c r="AD333" s="2">
        <f t="shared" si="8"/>
        <v>0</v>
      </c>
      <c r="AE333" s="2">
        <f>IF(OR($M333="",$N333=""),0,IF(AND(WEpa&gt;0,$AD333=1),(1-WEpa)*$AB333+WEpa*$AC333,$AB333))</f>
        <v>0</v>
      </c>
      <c r="AF333" s="2">
        <f>IF(AND($C333&lt;&gt;"",$E333=CurrentSeason,$F333="REG",ISNUMBER($G333),$G333&lt;CurrentWeek,AND($M333&lt;&gt;"",$N333&lt;&gt;"")),1,0)</f>
        <v>0</v>
      </c>
      <c r="AG333" s="2">
        <f>IF($AF333=0,0,IF($G333&gt;=CurrentWeek-RecencyWin,RecencyMult,1))</f>
        <v>0</v>
      </c>
      <c r="AH333" s="2">
        <f>IF(AND($C333&lt;&gt;"",$E333=CurrentSeason,$F333="REG",ISNUMBER($G333),$G333&lt;CurrentWeek-1,AND($M333&lt;&gt;"",$N333&lt;&gt;"")),1,0)</f>
        <v>0</v>
      </c>
      <c r="AI333" s="2">
        <f>IF($AH333=0,0,IF($G333&gt;=CurrentWeek-1-RecencyWin,RecencyMult,1))</f>
        <v>0</v>
      </c>
      <c r="AJ333" s="2">
        <f>IF($AF333=0,0,IF($G333&gt;=CurrentWeek-RecencyWin,TotRecency,1))</f>
        <v>0</v>
      </c>
      <c r="AK333" s="2">
        <f t="shared" si="9"/>
        <v>0</v>
      </c>
      <c r="AL333" s="2">
        <f t="shared" si="10"/>
        <v>0</v>
      </c>
      <c r="AM333" s="2" t="str">
        <f t="array" ref="AM333">IF($K333="",0,IFERROR(INDEX(CALC!$F$2:$F$33,MATCH($K333,CALC!$A$2:$A$33,0)),0))</f>
        <v/>
      </c>
      <c r="AN333" s="2" t="str">
        <f t="array" ref="AN333">IF($K333="",0,IFERROR(INDEX(CALC!$I$2:$I$33,MATCH($K333,CALC!$A$2:$A$33,0)),0))</f>
        <v/>
      </c>
      <c r="AO333" s="2" t="str">
        <f t="array" ref="AO333">IF($K333="",0,IFERROR(INDEX(CALC!$L$2:$L$33,MATCH($K333,CALC!$A$2:$A$33,0)),0))</f>
        <v/>
      </c>
      <c r="AP333" s="2" t="str">
        <f t="array" ref="AP333">IF($K333="",0,IFERROR(INDEX(CALC!$T$2:$T$33,MATCH($K333,CALC!$A$2:$A$33,0)),0))</f>
        <v/>
      </c>
      <c r="AQ333" s="2" t="str">
        <f t="array" ref="AQ333">IF($K333="",0,IFERROR(INDEX(CALC!$W$2:$W$33,MATCH($K333,CALC!$A$2:$A$33,0)),0))</f>
        <v/>
      </c>
      <c r="AR333" s="2" t="str">
        <f t="array" ref="AR333">IF($K333="",0,IFERROR(INDEX(CALC!$Z$2:$Z$33,MATCH($K333,CALC!$A$2:$A$33,0)),0))</f>
        <v/>
      </c>
      <c r="AS333" s="2" t="str">
        <f t="array" ref="AS333">IF($K333="",0,IFERROR(INDEX(CALC!$AJ$2:$AJ$33,MATCH($K333,CALC!$A$2:$A$33,0)),0))</f>
        <v/>
      </c>
      <c r="AT333" s="2" t="str">
        <f t="array" ref="AT333">IF($K333="",0,IFERROR(INDEX(CALC!$AI$2:$AI$33,MATCH($K333,CALC!$A$2:$A$33,0)),0))</f>
        <v/>
      </c>
      <c r="AU333" s="2">
        <f t="shared" si="11"/>
        <v>0</v>
      </c>
      <c r="AV333" s="2">
        <f t="shared" si="12"/>
        <v>0</v>
      </c>
    </row>
    <row r="334" ht="15.0" customHeight="1">
      <c r="A334" s="2">
        <v>166.0</v>
      </c>
      <c r="B334" s="2" t="s">
        <v>2366</v>
      </c>
      <c r="C334" s="2">
        <f>IFERROR(MATCH($A334,SchedSeq,0),"")</f>
        <v>451</v>
      </c>
      <c r="D334" s="2" t="str">
        <f t="array" ref="D334">IF($C334="","",INDEX(SchedZone,$C334,MAP!$B$6))</f>
        <v>2026_12_PHI_DAL</v>
      </c>
      <c r="E334" s="2">
        <f t="array" ref="E334">IF($C334="","",INDEX(SchedZone,$C334,MAP!$B$3))</f>
        <v>2026</v>
      </c>
      <c r="F334" s="2" t="str">
        <f t="array" ref="F334">IF($C334="","",INDEX(SchedZone,$C334,MAP!$B$5))</f>
        <v>REG</v>
      </c>
      <c r="G334" s="2">
        <f t="array" ref="G334">IF($C334="","",INDEX(SchedZone,$C334,MAP!$B$4))</f>
        <v>12</v>
      </c>
      <c r="H334" s="2" t="str">
        <f t="array" ref="H334">IF($C334="","",INDEX(SchedZone,$C334,MAP!$B$10))</f>
        <v>PHI</v>
      </c>
      <c r="I334" s="2" t="str">
        <f t="array" ref="I334">IF($H334="","",IF(COUNTIF(Teams,$H334)&gt;0,$H334,IFERROR(INDEX(LISTS!$D$2:$D$12,MATCH($H334,LISTS!$C$2:$C$12,0)),"⚠ "&amp;$H334)))</f>
        <v>PHI</v>
      </c>
      <c r="J334" s="2" t="str">
        <f t="array" ref="J334">IF($C334="","",INDEX(SchedZone,$C334,MAP!$B$12))</f>
        <v>DAL</v>
      </c>
      <c r="K334" s="2" t="str">
        <f t="array" ref="K334">IF($J334="","",IF(COUNTIF(Teams,$J334)&gt;0,$J334,IFERROR(INDEX(LISTS!$D$2:$D$12,MATCH($J334,LISTS!$C$2:$C$12,0)),"⚠ "&amp;$J334)))</f>
        <v>DAL</v>
      </c>
      <c r="L334" s="2" t="str">
        <f t="array" ref="L334">IF($C334="","",IF(INDEX(SchedZone,$C334,MAP!$B$14)="Neutral","N",IF($B334="HOME","H","A")))</f>
        <v>A</v>
      </c>
      <c r="M334" s="2" t="str">
        <f t="array" ref="M334">IF($C334="","",IF(INDEX(SchedZone,$C334,MAP!$B$11)="","",INDEX(SchedZone,$C334,MAP!$B$11)))</f>
        <v/>
      </c>
      <c r="N334" s="2" t="str">
        <f t="array" ref="N334">IF($C334="","",IF(INDEX(SchedZone,$C334,MAP!$B$13)="","",INDEX(SchedZone,$C334,MAP!$B$13)))</f>
        <v/>
      </c>
      <c r="O334" s="2">
        <f t="array" ref="O334">IF($C334="","",INDEX(SchedZone,$C334,MAP!$B$15))</f>
        <v>4</v>
      </c>
      <c r="P334" s="2" t="str">
        <f>IF($C334="","",IFERROR(MATCH($E334&amp;"|"&amp;$G334&amp;"|"&amp;$I334,StatsKey,0),""))</f>
        <v/>
      </c>
      <c r="Q334" s="2">
        <f t="array" ref="Q334">IF($P334="",0,INDEX(StatsZone,$P334,MAP!$E$9)+INDEX(StatsZone,$P334,MAP!$E$10)+INDEX(StatsZone,$P334,MAP!$E$11))</f>
        <v>0</v>
      </c>
      <c r="R334" s="2">
        <f t="array" ref="R334">IF($P334="",0,INDEX(StatsZone,$P334,MAP!$E$12))</f>
        <v>0</v>
      </c>
      <c r="S334" s="2">
        <f t="array" ref="S334">IF($P334="",0,INDEX(StatsZone,$P334,MAP!$E$13))</f>
        <v>0</v>
      </c>
      <c r="T334" s="2">
        <f t="shared" si="1"/>
        <v>0</v>
      </c>
      <c r="U334" s="2">
        <f t="array" ref="U334">IF($P334="",0,INDEX(StatsZone,$P334,MAP!$E$14)+INDEX(StatsZone,$P334,MAP!$E$15)+INDEX(StatsZone,$P334,MAP!$E$16))</f>
        <v>0</v>
      </c>
      <c r="V334" s="2">
        <f t="shared" si="2"/>
        <v>0</v>
      </c>
      <c r="W334" s="2">
        <f t="shared" si="3"/>
        <v>0</v>
      </c>
      <c r="X334" s="2">
        <f t="shared" si="4"/>
        <v>0</v>
      </c>
      <c r="Y334" s="2">
        <f t="shared" si="5"/>
        <v>0</v>
      </c>
      <c r="Z334" s="2">
        <f t="shared" si="6"/>
        <v>0</v>
      </c>
      <c r="AA334" s="2">
        <f t="shared" si="7"/>
        <v>-1</v>
      </c>
      <c r="AB334" s="2">
        <f>IF(OR($M334="",$N334=""),0,MEDIAN(-MarginCap,MarginCap,($M334-$N334)-$AA334*HFA_Base))</f>
        <v>0</v>
      </c>
      <c r="AC334" s="2">
        <f t="array" ref="AC334">IF(OR($P334="",INDEX($P$3:$P$722,(ROW()+IF(MOD(ROW()-3,2)=0,1,-1))-3+1)=""),0,MEDIAN(-MarginCap,MarginCap,($T334-$W334)-$AA334*HFA_Base))</f>
        <v>0</v>
      </c>
      <c r="AD334" s="2">
        <f t="shared" si="8"/>
        <v>0</v>
      </c>
      <c r="AE334" s="2">
        <f>IF(OR($M334="",$N334=""),0,IF(AND(WEpa&gt;0,$AD334=1),(1-WEpa)*$AB334+WEpa*$AC334,$AB334))</f>
        <v>0</v>
      </c>
      <c r="AF334" s="2">
        <f>IF(AND($C334&lt;&gt;"",$E334=CurrentSeason,$F334="REG",ISNUMBER($G334),$G334&lt;CurrentWeek,AND($M334&lt;&gt;"",$N334&lt;&gt;"")),1,0)</f>
        <v>0</v>
      </c>
      <c r="AG334" s="2">
        <f>IF($AF334=0,0,IF($G334&gt;=CurrentWeek-RecencyWin,RecencyMult,1))</f>
        <v>0</v>
      </c>
      <c r="AH334" s="2">
        <f>IF(AND($C334&lt;&gt;"",$E334=CurrentSeason,$F334="REG",ISNUMBER($G334),$G334&lt;CurrentWeek-1,AND($M334&lt;&gt;"",$N334&lt;&gt;"")),1,0)</f>
        <v>0</v>
      </c>
      <c r="AI334" s="2">
        <f>IF($AH334=0,0,IF($G334&gt;=CurrentWeek-1-RecencyWin,RecencyMult,1))</f>
        <v>0</v>
      </c>
      <c r="AJ334" s="2">
        <f>IF($AF334=0,0,IF($G334&gt;=CurrentWeek-RecencyWin,TotRecency,1))</f>
        <v>0</v>
      </c>
      <c r="AK334" s="2">
        <f t="shared" si="9"/>
        <v>0</v>
      </c>
      <c r="AL334" s="2">
        <f t="shared" si="10"/>
        <v>0</v>
      </c>
      <c r="AM334" s="2" t="str">
        <f t="array" ref="AM334">IF($K334="",0,IFERROR(INDEX(CALC!$F$2:$F$33,MATCH($K334,CALC!$A$2:$A$33,0)),0))</f>
        <v/>
      </c>
      <c r="AN334" s="2" t="str">
        <f t="array" ref="AN334">IF($K334="",0,IFERROR(INDEX(CALC!$I$2:$I$33,MATCH($K334,CALC!$A$2:$A$33,0)),0))</f>
        <v/>
      </c>
      <c r="AO334" s="2" t="str">
        <f t="array" ref="AO334">IF($K334="",0,IFERROR(INDEX(CALC!$L$2:$L$33,MATCH($K334,CALC!$A$2:$A$33,0)),0))</f>
        <v/>
      </c>
      <c r="AP334" s="2" t="str">
        <f t="array" ref="AP334">IF($K334="",0,IFERROR(INDEX(CALC!$T$2:$T$33,MATCH($K334,CALC!$A$2:$A$33,0)),0))</f>
        <v/>
      </c>
      <c r="AQ334" s="2" t="str">
        <f t="array" ref="AQ334">IF($K334="",0,IFERROR(INDEX(CALC!$W$2:$W$33,MATCH($K334,CALC!$A$2:$A$33,0)),0))</f>
        <v/>
      </c>
      <c r="AR334" s="2" t="str">
        <f t="array" ref="AR334">IF($K334="",0,IFERROR(INDEX(CALC!$Z$2:$Z$33,MATCH($K334,CALC!$A$2:$A$33,0)),0))</f>
        <v/>
      </c>
      <c r="AS334" s="2" t="str">
        <f t="array" ref="AS334">IF($K334="",0,IFERROR(INDEX(CALC!$AJ$2:$AJ$33,MATCH($K334,CALC!$A$2:$A$33,0)),0))</f>
        <v/>
      </c>
      <c r="AT334" s="2" t="str">
        <f t="array" ref="AT334">IF($K334="",0,IFERROR(INDEX(CALC!$AI$2:$AI$33,MATCH($K334,CALC!$A$2:$A$33,0)),0))</f>
        <v/>
      </c>
      <c r="AU334" s="2">
        <f t="shared" si="11"/>
        <v>0</v>
      </c>
      <c r="AV334" s="2">
        <f t="shared" si="12"/>
        <v>0</v>
      </c>
    </row>
    <row r="335" ht="15.0" customHeight="1">
      <c r="A335" s="2">
        <v>167.0</v>
      </c>
      <c r="B335" s="2" t="s">
        <v>2365</v>
      </c>
      <c r="C335" s="2">
        <f>IFERROR(MATCH($A335,SchedSeq,0),"")</f>
        <v>452</v>
      </c>
      <c r="D335" s="2" t="str">
        <f t="array" ref="D335">IF($C335="","",INDEX(SchedZone,$C335,MAP!$B$6))</f>
        <v>2026_12_KC_BUF</v>
      </c>
      <c r="E335" s="2">
        <f t="array" ref="E335">IF($C335="","",INDEX(SchedZone,$C335,MAP!$B$3))</f>
        <v>2026</v>
      </c>
      <c r="F335" s="2" t="str">
        <f t="array" ref="F335">IF($C335="","",INDEX(SchedZone,$C335,MAP!$B$5))</f>
        <v>REG</v>
      </c>
      <c r="G335" s="2">
        <f t="array" ref="G335">IF($C335="","",INDEX(SchedZone,$C335,MAP!$B$4))</f>
        <v>12</v>
      </c>
      <c r="H335" s="2" t="str">
        <f t="array" ref="H335">IF($C335="","",INDEX(SchedZone,$C335,MAP!$B$12))</f>
        <v>BUF</v>
      </c>
      <c r="I335" s="2" t="str">
        <f t="array" ref="I335">IF($H335="","",IF(COUNTIF(Teams,$H335)&gt;0,$H335,IFERROR(INDEX(LISTS!$D$2:$D$12,MATCH($H335,LISTS!$C$2:$C$12,0)),"⚠ "&amp;$H335)))</f>
        <v>BUF</v>
      </c>
      <c r="J335" s="2" t="str">
        <f t="array" ref="J335">IF($C335="","",INDEX(SchedZone,$C335,MAP!$B$10))</f>
        <v>KC</v>
      </c>
      <c r="K335" s="2" t="str">
        <f t="array" ref="K335">IF($J335="","",IF(COUNTIF(Teams,$J335)&gt;0,$J335,IFERROR(INDEX(LISTS!$D$2:$D$12,MATCH($J335,LISTS!$C$2:$C$12,0)),"⚠ "&amp;$J335)))</f>
        <v>KC</v>
      </c>
      <c r="L335" s="2" t="str">
        <f t="array" ref="L335">IF($C335="","",IF(INDEX(SchedZone,$C335,MAP!$B$14)="Neutral","N",IF($B335="HOME","H","A")))</f>
        <v>H</v>
      </c>
      <c r="M335" s="2" t="str">
        <f t="array" ref="M335">IF($C335="","",IF(INDEX(SchedZone,$C335,MAP!$B$13)="","",INDEX(SchedZone,$C335,MAP!$B$13)))</f>
        <v/>
      </c>
      <c r="N335" s="2" t="str">
        <f t="array" ref="N335">IF($C335="","",IF(INDEX(SchedZone,$C335,MAP!$B$11)="","",INDEX(SchedZone,$C335,MAP!$B$11)))</f>
        <v/>
      </c>
      <c r="O335" s="2">
        <f t="array" ref="O335">IF($C335="","",INDEX(SchedZone,$C335,MAP!$B$16))</f>
        <v>4</v>
      </c>
      <c r="P335" s="2" t="str">
        <f>IF($C335="","",IFERROR(MATCH($E335&amp;"|"&amp;$G335&amp;"|"&amp;$I335,StatsKey,0),""))</f>
        <v/>
      </c>
      <c r="Q335" s="2">
        <f t="array" ref="Q335">IF($P335="",0,INDEX(StatsZone,$P335,MAP!$E$9)+INDEX(StatsZone,$P335,MAP!$E$10)+INDEX(StatsZone,$P335,MAP!$E$11))</f>
        <v>0</v>
      </c>
      <c r="R335" s="2">
        <f t="array" ref="R335">IF($P335="",0,INDEX(StatsZone,$P335,MAP!$E$12))</f>
        <v>0</v>
      </c>
      <c r="S335" s="2">
        <f t="array" ref="S335">IF($P335="",0,INDEX(StatsZone,$P335,MAP!$E$13))</f>
        <v>0</v>
      </c>
      <c r="T335" s="2">
        <f t="shared" si="1"/>
        <v>0</v>
      </c>
      <c r="U335" s="2">
        <f t="array" ref="U335">IF($P335="",0,INDEX(StatsZone,$P335,MAP!$E$14)+INDEX(StatsZone,$P335,MAP!$E$15)+INDEX(StatsZone,$P335,MAP!$E$16))</f>
        <v>0</v>
      </c>
      <c r="V335" s="2">
        <f t="shared" si="2"/>
        <v>0</v>
      </c>
      <c r="W335" s="2">
        <f t="shared" si="3"/>
        <v>0</v>
      </c>
      <c r="X335" s="2">
        <f t="shared" si="4"/>
        <v>0</v>
      </c>
      <c r="Y335" s="2">
        <f t="shared" si="5"/>
        <v>0</v>
      </c>
      <c r="Z335" s="2">
        <f t="shared" si="6"/>
        <v>0</v>
      </c>
      <c r="AA335" s="2">
        <f t="shared" si="7"/>
        <v>1</v>
      </c>
      <c r="AB335" s="2">
        <f>IF(OR($M335="",$N335=""),0,MEDIAN(-MarginCap,MarginCap,($M335-$N335)-$AA335*HFA_Base))</f>
        <v>0</v>
      </c>
      <c r="AC335" s="2">
        <f t="array" ref="AC335">IF(OR($P335="",INDEX($P$3:$P$722,(ROW()+IF(MOD(ROW()-3,2)=0,1,-1))-3+1)=""),0,MEDIAN(-MarginCap,MarginCap,($T335-$W335)-$AA335*HFA_Base))</f>
        <v>0</v>
      </c>
      <c r="AD335" s="2">
        <f t="shared" si="8"/>
        <v>0</v>
      </c>
      <c r="AE335" s="2">
        <f>IF(OR($M335="",$N335=""),0,IF(AND(WEpa&gt;0,$AD335=1),(1-WEpa)*$AB335+WEpa*$AC335,$AB335))</f>
        <v>0</v>
      </c>
      <c r="AF335" s="2">
        <f>IF(AND($C335&lt;&gt;"",$E335=CurrentSeason,$F335="REG",ISNUMBER($G335),$G335&lt;CurrentWeek,AND($M335&lt;&gt;"",$N335&lt;&gt;"")),1,0)</f>
        <v>0</v>
      </c>
      <c r="AG335" s="2">
        <f>IF($AF335=0,0,IF($G335&gt;=CurrentWeek-RecencyWin,RecencyMult,1))</f>
        <v>0</v>
      </c>
      <c r="AH335" s="2">
        <f>IF(AND($C335&lt;&gt;"",$E335=CurrentSeason,$F335="REG",ISNUMBER($G335),$G335&lt;CurrentWeek-1,AND($M335&lt;&gt;"",$N335&lt;&gt;"")),1,0)</f>
        <v>0</v>
      </c>
      <c r="AI335" s="2">
        <f>IF($AH335=0,0,IF($G335&gt;=CurrentWeek-1-RecencyWin,RecencyMult,1))</f>
        <v>0</v>
      </c>
      <c r="AJ335" s="2">
        <f>IF($AF335=0,0,IF($G335&gt;=CurrentWeek-RecencyWin,TotRecency,1))</f>
        <v>0</v>
      </c>
      <c r="AK335" s="2">
        <f t="shared" si="9"/>
        <v>0</v>
      </c>
      <c r="AL335" s="2">
        <f t="shared" si="10"/>
        <v>0</v>
      </c>
      <c r="AM335" s="2" t="str">
        <f t="array" ref="AM335">IF($K335="",0,IFERROR(INDEX(CALC!$F$2:$F$33,MATCH($K335,CALC!$A$2:$A$33,0)),0))</f>
        <v/>
      </c>
      <c r="AN335" s="2" t="str">
        <f t="array" ref="AN335">IF($K335="",0,IFERROR(INDEX(CALC!$I$2:$I$33,MATCH($K335,CALC!$A$2:$A$33,0)),0))</f>
        <v/>
      </c>
      <c r="AO335" s="2" t="str">
        <f t="array" ref="AO335">IF($K335="",0,IFERROR(INDEX(CALC!$L$2:$L$33,MATCH($K335,CALC!$A$2:$A$33,0)),0))</f>
        <v/>
      </c>
      <c r="AP335" s="2" t="str">
        <f t="array" ref="AP335">IF($K335="",0,IFERROR(INDEX(CALC!$T$2:$T$33,MATCH($K335,CALC!$A$2:$A$33,0)),0))</f>
        <v/>
      </c>
      <c r="AQ335" s="2" t="str">
        <f t="array" ref="AQ335">IF($K335="",0,IFERROR(INDEX(CALC!$W$2:$W$33,MATCH($K335,CALC!$A$2:$A$33,0)),0))</f>
        <v/>
      </c>
      <c r="AR335" s="2" t="str">
        <f t="array" ref="AR335">IF($K335="",0,IFERROR(INDEX(CALC!$Z$2:$Z$33,MATCH($K335,CALC!$A$2:$A$33,0)),0))</f>
        <v/>
      </c>
      <c r="AS335" s="2" t="str">
        <f t="array" ref="AS335">IF($K335="",0,IFERROR(INDEX(CALC!$AJ$2:$AJ$33,MATCH($K335,CALC!$A$2:$A$33,0)),0))</f>
        <v/>
      </c>
      <c r="AT335" s="2" t="str">
        <f t="array" ref="AT335">IF($K335="",0,IFERROR(INDEX(CALC!$AI$2:$AI$33,MATCH($K335,CALC!$A$2:$A$33,0)),0))</f>
        <v/>
      </c>
      <c r="AU335" s="2">
        <f t="shared" si="11"/>
        <v>0</v>
      </c>
      <c r="AV335" s="2">
        <f t="shared" si="12"/>
        <v>0</v>
      </c>
    </row>
    <row r="336" ht="15.0" customHeight="1">
      <c r="A336" s="2">
        <v>167.0</v>
      </c>
      <c r="B336" s="2" t="s">
        <v>2366</v>
      </c>
      <c r="C336" s="2">
        <f>IFERROR(MATCH($A336,SchedSeq,0),"")</f>
        <v>452</v>
      </c>
      <c r="D336" s="2" t="str">
        <f t="array" ref="D336">IF($C336="","",INDEX(SchedZone,$C336,MAP!$B$6))</f>
        <v>2026_12_KC_BUF</v>
      </c>
      <c r="E336" s="2">
        <f t="array" ref="E336">IF($C336="","",INDEX(SchedZone,$C336,MAP!$B$3))</f>
        <v>2026</v>
      </c>
      <c r="F336" s="2" t="str">
        <f t="array" ref="F336">IF($C336="","",INDEX(SchedZone,$C336,MAP!$B$5))</f>
        <v>REG</v>
      </c>
      <c r="G336" s="2">
        <f t="array" ref="G336">IF($C336="","",INDEX(SchedZone,$C336,MAP!$B$4))</f>
        <v>12</v>
      </c>
      <c r="H336" s="2" t="str">
        <f t="array" ref="H336">IF($C336="","",INDEX(SchedZone,$C336,MAP!$B$10))</f>
        <v>KC</v>
      </c>
      <c r="I336" s="2" t="str">
        <f t="array" ref="I336">IF($H336="","",IF(COUNTIF(Teams,$H336)&gt;0,$H336,IFERROR(INDEX(LISTS!$D$2:$D$12,MATCH($H336,LISTS!$C$2:$C$12,0)),"⚠ "&amp;$H336)))</f>
        <v>KC</v>
      </c>
      <c r="J336" s="2" t="str">
        <f t="array" ref="J336">IF($C336="","",INDEX(SchedZone,$C336,MAP!$B$12))</f>
        <v>BUF</v>
      </c>
      <c r="K336" s="2" t="str">
        <f t="array" ref="K336">IF($J336="","",IF(COUNTIF(Teams,$J336)&gt;0,$J336,IFERROR(INDEX(LISTS!$D$2:$D$12,MATCH($J336,LISTS!$C$2:$C$12,0)),"⚠ "&amp;$J336)))</f>
        <v>BUF</v>
      </c>
      <c r="L336" s="2" t="str">
        <f t="array" ref="L336">IF($C336="","",IF(INDEX(SchedZone,$C336,MAP!$B$14)="Neutral","N",IF($B336="HOME","H","A")))</f>
        <v>A</v>
      </c>
      <c r="M336" s="2" t="str">
        <f t="array" ref="M336">IF($C336="","",IF(INDEX(SchedZone,$C336,MAP!$B$11)="","",INDEX(SchedZone,$C336,MAP!$B$11)))</f>
        <v/>
      </c>
      <c r="N336" s="2" t="str">
        <f t="array" ref="N336">IF($C336="","",IF(INDEX(SchedZone,$C336,MAP!$B$13)="","",INDEX(SchedZone,$C336,MAP!$B$13)))</f>
        <v/>
      </c>
      <c r="O336" s="2">
        <f t="array" ref="O336">IF($C336="","",INDEX(SchedZone,$C336,MAP!$B$15))</f>
        <v>4</v>
      </c>
      <c r="P336" s="2" t="str">
        <f>IF($C336="","",IFERROR(MATCH($E336&amp;"|"&amp;$G336&amp;"|"&amp;$I336,StatsKey,0),""))</f>
        <v/>
      </c>
      <c r="Q336" s="2">
        <f t="array" ref="Q336">IF($P336="",0,INDEX(StatsZone,$P336,MAP!$E$9)+INDEX(StatsZone,$P336,MAP!$E$10)+INDEX(StatsZone,$P336,MAP!$E$11))</f>
        <v>0</v>
      </c>
      <c r="R336" s="2">
        <f t="array" ref="R336">IF($P336="",0,INDEX(StatsZone,$P336,MAP!$E$12))</f>
        <v>0</v>
      </c>
      <c r="S336" s="2">
        <f t="array" ref="S336">IF($P336="",0,INDEX(StatsZone,$P336,MAP!$E$13))</f>
        <v>0</v>
      </c>
      <c r="T336" s="2">
        <f t="shared" si="1"/>
        <v>0</v>
      </c>
      <c r="U336" s="2">
        <f t="array" ref="U336">IF($P336="",0,INDEX(StatsZone,$P336,MAP!$E$14)+INDEX(StatsZone,$P336,MAP!$E$15)+INDEX(StatsZone,$P336,MAP!$E$16))</f>
        <v>0</v>
      </c>
      <c r="V336" s="2">
        <f t="shared" si="2"/>
        <v>0</v>
      </c>
      <c r="W336" s="2">
        <f t="shared" si="3"/>
        <v>0</v>
      </c>
      <c r="X336" s="2">
        <f t="shared" si="4"/>
        <v>0</v>
      </c>
      <c r="Y336" s="2">
        <f t="shared" si="5"/>
        <v>0</v>
      </c>
      <c r="Z336" s="2">
        <f t="shared" si="6"/>
        <v>0</v>
      </c>
      <c r="AA336" s="2">
        <f t="shared" si="7"/>
        <v>-1</v>
      </c>
      <c r="AB336" s="2">
        <f>IF(OR($M336="",$N336=""),0,MEDIAN(-MarginCap,MarginCap,($M336-$N336)-$AA336*HFA_Base))</f>
        <v>0</v>
      </c>
      <c r="AC336" s="2">
        <f t="array" ref="AC336">IF(OR($P336="",INDEX($P$3:$P$722,(ROW()+IF(MOD(ROW()-3,2)=0,1,-1))-3+1)=""),0,MEDIAN(-MarginCap,MarginCap,($T336-$W336)-$AA336*HFA_Base))</f>
        <v>0</v>
      </c>
      <c r="AD336" s="2">
        <f t="shared" si="8"/>
        <v>0</v>
      </c>
      <c r="AE336" s="2">
        <f>IF(OR($M336="",$N336=""),0,IF(AND(WEpa&gt;0,$AD336=1),(1-WEpa)*$AB336+WEpa*$AC336,$AB336))</f>
        <v>0</v>
      </c>
      <c r="AF336" s="2">
        <f>IF(AND($C336&lt;&gt;"",$E336=CurrentSeason,$F336="REG",ISNUMBER($G336),$G336&lt;CurrentWeek,AND($M336&lt;&gt;"",$N336&lt;&gt;"")),1,0)</f>
        <v>0</v>
      </c>
      <c r="AG336" s="2">
        <f>IF($AF336=0,0,IF($G336&gt;=CurrentWeek-RecencyWin,RecencyMult,1))</f>
        <v>0</v>
      </c>
      <c r="AH336" s="2">
        <f>IF(AND($C336&lt;&gt;"",$E336=CurrentSeason,$F336="REG",ISNUMBER($G336),$G336&lt;CurrentWeek-1,AND($M336&lt;&gt;"",$N336&lt;&gt;"")),1,0)</f>
        <v>0</v>
      </c>
      <c r="AI336" s="2">
        <f>IF($AH336=0,0,IF($G336&gt;=CurrentWeek-1-RecencyWin,RecencyMult,1))</f>
        <v>0</v>
      </c>
      <c r="AJ336" s="2">
        <f>IF($AF336=0,0,IF($G336&gt;=CurrentWeek-RecencyWin,TotRecency,1))</f>
        <v>0</v>
      </c>
      <c r="AK336" s="2">
        <f t="shared" si="9"/>
        <v>0</v>
      </c>
      <c r="AL336" s="2">
        <f t="shared" si="10"/>
        <v>0</v>
      </c>
      <c r="AM336" s="2" t="str">
        <f t="array" ref="AM336">IF($K336="",0,IFERROR(INDEX(CALC!$F$2:$F$33,MATCH($K336,CALC!$A$2:$A$33,0)),0))</f>
        <v/>
      </c>
      <c r="AN336" s="2" t="str">
        <f t="array" ref="AN336">IF($K336="",0,IFERROR(INDEX(CALC!$I$2:$I$33,MATCH($K336,CALC!$A$2:$A$33,0)),0))</f>
        <v/>
      </c>
      <c r="AO336" s="2" t="str">
        <f t="array" ref="AO336">IF($K336="",0,IFERROR(INDEX(CALC!$L$2:$L$33,MATCH($K336,CALC!$A$2:$A$33,0)),0))</f>
        <v/>
      </c>
      <c r="AP336" s="2" t="str">
        <f t="array" ref="AP336">IF($K336="",0,IFERROR(INDEX(CALC!$T$2:$T$33,MATCH($K336,CALC!$A$2:$A$33,0)),0))</f>
        <v/>
      </c>
      <c r="AQ336" s="2" t="str">
        <f t="array" ref="AQ336">IF($K336="",0,IFERROR(INDEX(CALC!$W$2:$W$33,MATCH($K336,CALC!$A$2:$A$33,0)),0))</f>
        <v/>
      </c>
      <c r="AR336" s="2" t="str">
        <f t="array" ref="AR336">IF($K336="",0,IFERROR(INDEX(CALC!$Z$2:$Z$33,MATCH($K336,CALC!$A$2:$A$33,0)),0))</f>
        <v/>
      </c>
      <c r="AS336" s="2" t="str">
        <f t="array" ref="AS336">IF($K336="",0,IFERROR(INDEX(CALC!$AJ$2:$AJ$33,MATCH($K336,CALC!$A$2:$A$33,0)),0))</f>
        <v/>
      </c>
      <c r="AT336" s="2" t="str">
        <f t="array" ref="AT336">IF($K336="",0,IFERROR(INDEX(CALC!$AI$2:$AI$33,MATCH($K336,CALC!$A$2:$A$33,0)),0))</f>
        <v/>
      </c>
      <c r="AU336" s="2">
        <f t="shared" si="11"/>
        <v>0</v>
      </c>
      <c r="AV336" s="2">
        <f t="shared" si="12"/>
        <v>0</v>
      </c>
    </row>
    <row r="337" ht="15.0" customHeight="1">
      <c r="A337" s="2">
        <v>168.0</v>
      </c>
      <c r="B337" s="2" t="s">
        <v>2365</v>
      </c>
      <c r="C337" s="2">
        <f>IFERROR(MATCH($A337,SchedSeq,0),"")</f>
        <v>453</v>
      </c>
      <c r="D337" s="2" t="str">
        <f t="array" ref="D337">IF($C337="","",INDEX(SchedZone,$C337,MAP!$B$6))</f>
        <v>2026_12_DEN_PIT</v>
      </c>
      <c r="E337" s="2">
        <f t="array" ref="E337">IF($C337="","",INDEX(SchedZone,$C337,MAP!$B$3))</f>
        <v>2026</v>
      </c>
      <c r="F337" s="2" t="str">
        <f t="array" ref="F337">IF($C337="","",INDEX(SchedZone,$C337,MAP!$B$5))</f>
        <v>REG</v>
      </c>
      <c r="G337" s="2">
        <f t="array" ref="G337">IF($C337="","",INDEX(SchedZone,$C337,MAP!$B$4))</f>
        <v>12</v>
      </c>
      <c r="H337" s="2" t="str">
        <f t="array" ref="H337">IF($C337="","",INDEX(SchedZone,$C337,MAP!$B$12))</f>
        <v>PIT</v>
      </c>
      <c r="I337" s="2" t="str">
        <f t="array" ref="I337">IF($H337="","",IF(COUNTIF(Teams,$H337)&gt;0,$H337,IFERROR(INDEX(LISTS!$D$2:$D$12,MATCH($H337,LISTS!$C$2:$C$12,0)),"⚠ "&amp;$H337)))</f>
        <v>PIT</v>
      </c>
      <c r="J337" s="2" t="str">
        <f t="array" ref="J337">IF($C337="","",INDEX(SchedZone,$C337,MAP!$B$10))</f>
        <v>DEN</v>
      </c>
      <c r="K337" s="2" t="str">
        <f t="array" ref="K337">IF($J337="","",IF(COUNTIF(Teams,$J337)&gt;0,$J337,IFERROR(INDEX(LISTS!$D$2:$D$12,MATCH($J337,LISTS!$C$2:$C$12,0)),"⚠ "&amp;$J337)))</f>
        <v>DEN</v>
      </c>
      <c r="L337" s="2" t="str">
        <f t="array" ref="L337">IF($C337="","",IF(INDEX(SchedZone,$C337,MAP!$B$14)="Neutral","N",IF($B337="HOME","H","A")))</f>
        <v>H</v>
      </c>
      <c r="M337" s="2" t="str">
        <f t="array" ref="M337">IF($C337="","",IF(INDEX(SchedZone,$C337,MAP!$B$13)="","",INDEX(SchedZone,$C337,MAP!$B$13)))</f>
        <v/>
      </c>
      <c r="N337" s="2" t="str">
        <f t="array" ref="N337">IF($C337="","",IF(INDEX(SchedZone,$C337,MAP!$B$11)="","",INDEX(SchedZone,$C337,MAP!$B$11)))</f>
        <v/>
      </c>
      <c r="O337" s="2">
        <f t="array" ref="O337">IF($C337="","",INDEX(SchedZone,$C337,MAP!$B$16))</f>
        <v>5</v>
      </c>
      <c r="P337" s="2" t="str">
        <f>IF($C337="","",IFERROR(MATCH($E337&amp;"|"&amp;$G337&amp;"|"&amp;$I337,StatsKey,0),""))</f>
        <v/>
      </c>
      <c r="Q337" s="2">
        <f t="array" ref="Q337">IF($P337="",0,INDEX(StatsZone,$P337,MAP!$E$9)+INDEX(StatsZone,$P337,MAP!$E$10)+INDEX(StatsZone,$P337,MAP!$E$11))</f>
        <v>0</v>
      </c>
      <c r="R337" s="2">
        <f t="array" ref="R337">IF($P337="",0,INDEX(StatsZone,$P337,MAP!$E$12))</f>
        <v>0</v>
      </c>
      <c r="S337" s="2">
        <f t="array" ref="S337">IF($P337="",0,INDEX(StatsZone,$P337,MAP!$E$13))</f>
        <v>0</v>
      </c>
      <c r="T337" s="2">
        <f t="shared" si="1"/>
        <v>0</v>
      </c>
      <c r="U337" s="2">
        <f t="array" ref="U337">IF($P337="",0,INDEX(StatsZone,$P337,MAP!$E$14)+INDEX(StatsZone,$P337,MAP!$E$15)+INDEX(StatsZone,$P337,MAP!$E$16))</f>
        <v>0</v>
      </c>
      <c r="V337" s="2">
        <f t="shared" si="2"/>
        <v>0</v>
      </c>
      <c r="W337" s="2">
        <f t="shared" si="3"/>
        <v>0</v>
      </c>
      <c r="X337" s="2">
        <f t="shared" si="4"/>
        <v>0</v>
      </c>
      <c r="Y337" s="2">
        <f t="shared" si="5"/>
        <v>0</v>
      </c>
      <c r="Z337" s="2">
        <f t="shared" si="6"/>
        <v>0</v>
      </c>
      <c r="AA337" s="2">
        <f t="shared" si="7"/>
        <v>1</v>
      </c>
      <c r="AB337" s="2">
        <f>IF(OR($M337="",$N337=""),0,MEDIAN(-MarginCap,MarginCap,($M337-$N337)-$AA337*HFA_Base))</f>
        <v>0</v>
      </c>
      <c r="AC337" s="2">
        <f t="array" ref="AC337">IF(OR($P337="",INDEX($P$3:$P$722,(ROW()+IF(MOD(ROW()-3,2)=0,1,-1))-3+1)=""),0,MEDIAN(-MarginCap,MarginCap,($T337-$W337)-$AA337*HFA_Base))</f>
        <v>0</v>
      </c>
      <c r="AD337" s="2">
        <f t="shared" si="8"/>
        <v>0</v>
      </c>
      <c r="AE337" s="2">
        <f>IF(OR($M337="",$N337=""),0,IF(AND(WEpa&gt;0,$AD337=1),(1-WEpa)*$AB337+WEpa*$AC337,$AB337))</f>
        <v>0</v>
      </c>
      <c r="AF337" s="2">
        <f>IF(AND($C337&lt;&gt;"",$E337=CurrentSeason,$F337="REG",ISNUMBER($G337),$G337&lt;CurrentWeek,AND($M337&lt;&gt;"",$N337&lt;&gt;"")),1,0)</f>
        <v>0</v>
      </c>
      <c r="AG337" s="2">
        <f>IF($AF337=0,0,IF($G337&gt;=CurrentWeek-RecencyWin,RecencyMult,1))</f>
        <v>0</v>
      </c>
      <c r="AH337" s="2">
        <f>IF(AND($C337&lt;&gt;"",$E337=CurrentSeason,$F337="REG",ISNUMBER($G337),$G337&lt;CurrentWeek-1,AND($M337&lt;&gt;"",$N337&lt;&gt;"")),1,0)</f>
        <v>0</v>
      </c>
      <c r="AI337" s="2">
        <f>IF($AH337=0,0,IF($G337&gt;=CurrentWeek-1-RecencyWin,RecencyMult,1))</f>
        <v>0</v>
      </c>
      <c r="AJ337" s="2">
        <f>IF($AF337=0,0,IF($G337&gt;=CurrentWeek-RecencyWin,TotRecency,1))</f>
        <v>0</v>
      </c>
      <c r="AK337" s="2">
        <f t="shared" si="9"/>
        <v>0</v>
      </c>
      <c r="AL337" s="2">
        <f t="shared" si="10"/>
        <v>0</v>
      </c>
      <c r="AM337" s="2" t="str">
        <f t="array" ref="AM337">IF($K337="",0,IFERROR(INDEX(CALC!$F$2:$F$33,MATCH($K337,CALC!$A$2:$A$33,0)),0))</f>
        <v/>
      </c>
      <c r="AN337" s="2" t="str">
        <f t="array" ref="AN337">IF($K337="",0,IFERROR(INDEX(CALC!$I$2:$I$33,MATCH($K337,CALC!$A$2:$A$33,0)),0))</f>
        <v/>
      </c>
      <c r="AO337" s="2" t="str">
        <f t="array" ref="AO337">IF($K337="",0,IFERROR(INDEX(CALC!$L$2:$L$33,MATCH($K337,CALC!$A$2:$A$33,0)),0))</f>
        <v/>
      </c>
      <c r="AP337" s="2" t="str">
        <f t="array" ref="AP337">IF($K337="",0,IFERROR(INDEX(CALC!$T$2:$T$33,MATCH($K337,CALC!$A$2:$A$33,0)),0))</f>
        <v/>
      </c>
      <c r="AQ337" s="2" t="str">
        <f t="array" ref="AQ337">IF($K337="",0,IFERROR(INDEX(CALC!$W$2:$W$33,MATCH($K337,CALC!$A$2:$A$33,0)),0))</f>
        <v/>
      </c>
      <c r="AR337" s="2" t="str">
        <f t="array" ref="AR337">IF($K337="",0,IFERROR(INDEX(CALC!$Z$2:$Z$33,MATCH($K337,CALC!$A$2:$A$33,0)),0))</f>
        <v/>
      </c>
      <c r="AS337" s="2" t="str">
        <f t="array" ref="AS337">IF($K337="",0,IFERROR(INDEX(CALC!$AJ$2:$AJ$33,MATCH($K337,CALC!$A$2:$A$33,0)),0))</f>
        <v/>
      </c>
      <c r="AT337" s="2" t="str">
        <f t="array" ref="AT337">IF($K337="",0,IFERROR(INDEX(CALC!$AI$2:$AI$33,MATCH($K337,CALC!$A$2:$A$33,0)),0))</f>
        <v/>
      </c>
      <c r="AU337" s="2">
        <f t="shared" si="11"/>
        <v>0</v>
      </c>
      <c r="AV337" s="2">
        <f t="shared" si="12"/>
        <v>0</v>
      </c>
    </row>
    <row r="338" ht="15.0" customHeight="1">
      <c r="A338" s="2">
        <v>168.0</v>
      </c>
      <c r="B338" s="2" t="s">
        <v>2366</v>
      </c>
      <c r="C338" s="2">
        <f>IFERROR(MATCH($A338,SchedSeq,0),"")</f>
        <v>453</v>
      </c>
      <c r="D338" s="2" t="str">
        <f t="array" ref="D338">IF($C338="","",INDEX(SchedZone,$C338,MAP!$B$6))</f>
        <v>2026_12_DEN_PIT</v>
      </c>
      <c r="E338" s="2">
        <f t="array" ref="E338">IF($C338="","",INDEX(SchedZone,$C338,MAP!$B$3))</f>
        <v>2026</v>
      </c>
      <c r="F338" s="2" t="str">
        <f t="array" ref="F338">IF($C338="","",INDEX(SchedZone,$C338,MAP!$B$5))</f>
        <v>REG</v>
      </c>
      <c r="G338" s="2">
        <f t="array" ref="G338">IF($C338="","",INDEX(SchedZone,$C338,MAP!$B$4))</f>
        <v>12</v>
      </c>
      <c r="H338" s="2" t="str">
        <f t="array" ref="H338">IF($C338="","",INDEX(SchedZone,$C338,MAP!$B$10))</f>
        <v>DEN</v>
      </c>
      <c r="I338" s="2" t="str">
        <f t="array" ref="I338">IF($H338="","",IF(COUNTIF(Teams,$H338)&gt;0,$H338,IFERROR(INDEX(LISTS!$D$2:$D$12,MATCH($H338,LISTS!$C$2:$C$12,0)),"⚠ "&amp;$H338)))</f>
        <v>DEN</v>
      </c>
      <c r="J338" s="2" t="str">
        <f t="array" ref="J338">IF($C338="","",INDEX(SchedZone,$C338,MAP!$B$12))</f>
        <v>PIT</v>
      </c>
      <c r="K338" s="2" t="str">
        <f t="array" ref="K338">IF($J338="","",IF(COUNTIF(Teams,$J338)&gt;0,$J338,IFERROR(INDEX(LISTS!$D$2:$D$12,MATCH($J338,LISTS!$C$2:$C$12,0)),"⚠ "&amp;$J338)))</f>
        <v>PIT</v>
      </c>
      <c r="L338" s="2" t="str">
        <f t="array" ref="L338">IF($C338="","",IF(INDEX(SchedZone,$C338,MAP!$B$14)="Neutral","N",IF($B338="HOME","H","A")))</f>
        <v>A</v>
      </c>
      <c r="M338" s="2" t="str">
        <f t="array" ref="M338">IF($C338="","",IF(INDEX(SchedZone,$C338,MAP!$B$11)="","",INDEX(SchedZone,$C338,MAP!$B$11)))</f>
        <v/>
      </c>
      <c r="N338" s="2" t="str">
        <f t="array" ref="N338">IF($C338="","",IF(INDEX(SchedZone,$C338,MAP!$B$13)="","",INDEX(SchedZone,$C338,MAP!$B$13)))</f>
        <v/>
      </c>
      <c r="O338" s="2">
        <f t="array" ref="O338">IF($C338="","",INDEX(SchedZone,$C338,MAP!$B$15))</f>
        <v>5</v>
      </c>
      <c r="P338" s="2" t="str">
        <f>IF($C338="","",IFERROR(MATCH($E338&amp;"|"&amp;$G338&amp;"|"&amp;$I338,StatsKey,0),""))</f>
        <v/>
      </c>
      <c r="Q338" s="2">
        <f t="array" ref="Q338">IF($P338="",0,INDEX(StatsZone,$P338,MAP!$E$9)+INDEX(StatsZone,$P338,MAP!$E$10)+INDEX(StatsZone,$P338,MAP!$E$11))</f>
        <v>0</v>
      </c>
      <c r="R338" s="2">
        <f t="array" ref="R338">IF($P338="",0,INDEX(StatsZone,$P338,MAP!$E$12))</f>
        <v>0</v>
      </c>
      <c r="S338" s="2">
        <f t="array" ref="S338">IF($P338="",0,INDEX(StatsZone,$P338,MAP!$E$13))</f>
        <v>0</v>
      </c>
      <c r="T338" s="2">
        <f t="shared" si="1"/>
        <v>0</v>
      </c>
      <c r="U338" s="2">
        <f t="array" ref="U338">IF($P338="",0,INDEX(StatsZone,$P338,MAP!$E$14)+INDEX(StatsZone,$P338,MAP!$E$15)+INDEX(StatsZone,$P338,MAP!$E$16))</f>
        <v>0</v>
      </c>
      <c r="V338" s="2">
        <f t="shared" si="2"/>
        <v>0</v>
      </c>
      <c r="W338" s="2">
        <f t="shared" si="3"/>
        <v>0</v>
      </c>
      <c r="X338" s="2">
        <f t="shared" si="4"/>
        <v>0</v>
      </c>
      <c r="Y338" s="2">
        <f t="shared" si="5"/>
        <v>0</v>
      </c>
      <c r="Z338" s="2">
        <f t="shared" si="6"/>
        <v>0</v>
      </c>
      <c r="AA338" s="2">
        <f t="shared" si="7"/>
        <v>-1</v>
      </c>
      <c r="AB338" s="2">
        <f>IF(OR($M338="",$N338=""),0,MEDIAN(-MarginCap,MarginCap,($M338-$N338)-$AA338*HFA_Base))</f>
        <v>0</v>
      </c>
      <c r="AC338" s="2">
        <f t="array" ref="AC338">IF(OR($P338="",INDEX($P$3:$P$722,(ROW()+IF(MOD(ROW()-3,2)=0,1,-1))-3+1)=""),0,MEDIAN(-MarginCap,MarginCap,($T338-$W338)-$AA338*HFA_Base))</f>
        <v>0</v>
      </c>
      <c r="AD338" s="2">
        <f t="shared" si="8"/>
        <v>0</v>
      </c>
      <c r="AE338" s="2">
        <f>IF(OR($M338="",$N338=""),0,IF(AND(WEpa&gt;0,$AD338=1),(1-WEpa)*$AB338+WEpa*$AC338,$AB338))</f>
        <v>0</v>
      </c>
      <c r="AF338" s="2">
        <f>IF(AND($C338&lt;&gt;"",$E338=CurrentSeason,$F338="REG",ISNUMBER($G338),$G338&lt;CurrentWeek,AND($M338&lt;&gt;"",$N338&lt;&gt;"")),1,0)</f>
        <v>0</v>
      </c>
      <c r="AG338" s="2">
        <f>IF($AF338=0,0,IF($G338&gt;=CurrentWeek-RecencyWin,RecencyMult,1))</f>
        <v>0</v>
      </c>
      <c r="AH338" s="2">
        <f>IF(AND($C338&lt;&gt;"",$E338=CurrentSeason,$F338="REG",ISNUMBER($G338),$G338&lt;CurrentWeek-1,AND($M338&lt;&gt;"",$N338&lt;&gt;"")),1,0)</f>
        <v>0</v>
      </c>
      <c r="AI338" s="2">
        <f>IF($AH338=0,0,IF($G338&gt;=CurrentWeek-1-RecencyWin,RecencyMult,1))</f>
        <v>0</v>
      </c>
      <c r="AJ338" s="2">
        <f>IF($AF338=0,0,IF($G338&gt;=CurrentWeek-RecencyWin,TotRecency,1))</f>
        <v>0</v>
      </c>
      <c r="AK338" s="2">
        <f t="shared" si="9"/>
        <v>0</v>
      </c>
      <c r="AL338" s="2">
        <f t="shared" si="10"/>
        <v>0</v>
      </c>
      <c r="AM338" s="2" t="str">
        <f t="array" ref="AM338">IF($K338="",0,IFERROR(INDEX(CALC!$F$2:$F$33,MATCH($K338,CALC!$A$2:$A$33,0)),0))</f>
        <v/>
      </c>
      <c r="AN338" s="2" t="str">
        <f t="array" ref="AN338">IF($K338="",0,IFERROR(INDEX(CALC!$I$2:$I$33,MATCH($K338,CALC!$A$2:$A$33,0)),0))</f>
        <v/>
      </c>
      <c r="AO338" s="2" t="str">
        <f t="array" ref="AO338">IF($K338="",0,IFERROR(INDEX(CALC!$L$2:$L$33,MATCH($K338,CALC!$A$2:$A$33,0)),0))</f>
        <v/>
      </c>
      <c r="AP338" s="2" t="str">
        <f t="array" ref="AP338">IF($K338="",0,IFERROR(INDEX(CALC!$T$2:$T$33,MATCH($K338,CALC!$A$2:$A$33,0)),0))</f>
        <v/>
      </c>
      <c r="AQ338" s="2" t="str">
        <f t="array" ref="AQ338">IF($K338="",0,IFERROR(INDEX(CALC!$W$2:$W$33,MATCH($K338,CALC!$A$2:$A$33,0)),0))</f>
        <v/>
      </c>
      <c r="AR338" s="2" t="str">
        <f t="array" ref="AR338">IF($K338="",0,IFERROR(INDEX(CALC!$Z$2:$Z$33,MATCH($K338,CALC!$A$2:$A$33,0)),0))</f>
        <v/>
      </c>
      <c r="AS338" s="2" t="str">
        <f t="array" ref="AS338">IF($K338="",0,IFERROR(INDEX(CALC!$AJ$2:$AJ$33,MATCH($K338,CALC!$A$2:$A$33,0)),0))</f>
        <v/>
      </c>
      <c r="AT338" s="2" t="str">
        <f t="array" ref="AT338">IF($K338="",0,IFERROR(INDEX(CALC!$AI$2:$AI$33,MATCH($K338,CALC!$A$2:$A$33,0)),0))</f>
        <v/>
      </c>
      <c r="AU338" s="2">
        <f t="shared" si="11"/>
        <v>0</v>
      </c>
      <c r="AV338" s="2">
        <f t="shared" si="12"/>
        <v>0</v>
      </c>
    </row>
    <row r="339" ht="15.0" customHeight="1">
      <c r="A339" s="2">
        <v>169.0</v>
      </c>
      <c r="B339" s="2" t="s">
        <v>2365</v>
      </c>
      <c r="C339" s="2">
        <f>IFERROR(MATCH($A339,SchedSeq,0),"")</f>
        <v>454</v>
      </c>
      <c r="D339" s="2" t="str">
        <f t="array" ref="D339">IF($C339="","",INDEX(SchedZone,$C339,MAP!$B$6))</f>
        <v>2026_12_NO_CIN</v>
      </c>
      <c r="E339" s="2">
        <f t="array" ref="E339">IF($C339="","",INDEX(SchedZone,$C339,MAP!$B$3))</f>
        <v>2026</v>
      </c>
      <c r="F339" s="2" t="str">
        <f t="array" ref="F339">IF($C339="","",INDEX(SchedZone,$C339,MAP!$B$5))</f>
        <v>REG</v>
      </c>
      <c r="G339" s="2">
        <f t="array" ref="G339">IF($C339="","",INDEX(SchedZone,$C339,MAP!$B$4))</f>
        <v>12</v>
      </c>
      <c r="H339" s="2" t="str">
        <f t="array" ref="H339">IF($C339="","",INDEX(SchedZone,$C339,MAP!$B$12))</f>
        <v>CIN</v>
      </c>
      <c r="I339" s="2" t="str">
        <f t="array" ref="I339">IF($H339="","",IF(COUNTIF(Teams,$H339)&gt;0,$H339,IFERROR(INDEX(LISTS!$D$2:$D$12,MATCH($H339,LISTS!$C$2:$C$12,0)),"⚠ "&amp;$H339)))</f>
        <v>CIN</v>
      </c>
      <c r="J339" s="2" t="str">
        <f t="array" ref="J339">IF($C339="","",INDEX(SchedZone,$C339,MAP!$B$10))</f>
        <v>NO</v>
      </c>
      <c r="K339" s="2" t="str">
        <f t="array" ref="K339">IF($J339="","",IF(COUNTIF(Teams,$J339)&gt;0,$J339,IFERROR(INDEX(LISTS!$D$2:$D$12,MATCH($J339,LISTS!$C$2:$C$12,0)),"⚠ "&amp;$J339)))</f>
        <v>NO</v>
      </c>
      <c r="L339" s="2" t="str">
        <f t="array" ref="L339">IF($C339="","",IF(INDEX(SchedZone,$C339,MAP!$B$14)="Neutral","N",IF($B339="HOME","H","A")))</f>
        <v>H</v>
      </c>
      <c r="M339" s="2" t="str">
        <f t="array" ref="M339">IF($C339="","",IF(INDEX(SchedZone,$C339,MAP!$B$13)="","",INDEX(SchedZone,$C339,MAP!$B$13)))</f>
        <v/>
      </c>
      <c r="N339" s="2" t="str">
        <f t="array" ref="N339">IF($C339="","",IF(INDEX(SchedZone,$C339,MAP!$B$11)="","",INDEX(SchedZone,$C339,MAP!$B$11)))</f>
        <v/>
      </c>
      <c r="O339" s="2">
        <f t="array" ref="O339">IF($C339="","",INDEX(SchedZone,$C339,MAP!$B$16))</f>
        <v>6</v>
      </c>
      <c r="P339" s="2" t="str">
        <f>IF($C339="","",IFERROR(MATCH($E339&amp;"|"&amp;$G339&amp;"|"&amp;$I339,StatsKey,0),""))</f>
        <v/>
      </c>
      <c r="Q339" s="2">
        <f t="array" ref="Q339">IF($P339="",0,INDEX(StatsZone,$P339,MAP!$E$9)+INDEX(StatsZone,$P339,MAP!$E$10)+INDEX(StatsZone,$P339,MAP!$E$11))</f>
        <v>0</v>
      </c>
      <c r="R339" s="2">
        <f t="array" ref="R339">IF($P339="",0,INDEX(StatsZone,$P339,MAP!$E$12))</f>
        <v>0</v>
      </c>
      <c r="S339" s="2">
        <f t="array" ref="S339">IF($P339="",0,INDEX(StatsZone,$P339,MAP!$E$13))</f>
        <v>0</v>
      </c>
      <c r="T339" s="2">
        <f t="shared" si="1"/>
        <v>0</v>
      </c>
      <c r="U339" s="2">
        <f t="array" ref="U339">IF($P339="",0,INDEX(StatsZone,$P339,MAP!$E$14)+INDEX(StatsZone,$P339,MAP!$E$15)+INDEX(StatsZone,$P339,MAP!$E$16))</f>
        <v>0</v>
      </c>
      <c r="V339" s="2">
        <f t="shared" si="2"/>
        <v>0</v>
      </c>
      <c r="W339" s="2">
        <f t="shared" si="3"/>
        <v>0</v>
      </c>
      <c r="X339" s="2">
        <f t="shared" si="4"/>
        <v>0</v>
      </c>
      <c r="Y339" s="2">
        <f t="shared" si="5"/>
        <v>0</v>
      </c>
      <c r="Z339" s="2">
        <f t="shared" si="6"/>
        <v>0</v>
      </c>
      <c r="AA339" s="2">
        <f t="shared" si="7"/>
        <v>1</v>
      </c>
      <c r="AB339" s="2">
        <f>IF(OR($M339="",$N339=""),0,MEDIAN(-MarginCap,MarginCap,($M339-$N339)-$AA339*HFA_Base))</f>
        <v>0</v>
      </c>
      <c r="AC339" s="2">
        <f t="array" ref="AC339">IF(OR($P339="",INDEX($P$3:$P$722,(ROW()+IF(MOD(ROW()-3,2)=0,1,-1))-3+1)=""),0,MEDIAN(-MarginCap,MarginCap,($T339-$W339)-$AA339*HFA_Base))</f>
        <v>0</v>
      </c>
      <c r="AD339" s="2">
        <f t="shared" si="8"/>
        <v>0</v>
      </c>
      <c r="AE339" s="2">
        <f>IF(OR($M339="",$N339=""),0,IF(AND(WEpa&gt;0,$AD339=1),(1-WEpa)*$AB339+WEpa*$AC339,$AB339))</f>
        <v>0</v>
      </c>
      <c r="AF339" s="2">
        <f>IF(AND($C339&lt;&gt;"",$E339=CurrentSeason,$F339="REG",ISNUMBER($G339),$G339&lt;CurrentWeek,AND($M339&lt;&gt;"",$N339&lt;&gt;"")),1,0)</f>
        <v>0</v>
      </c>
      <c r="AG339" s="2">
        <f>IF($AF339=0,0,IF($G339&gt;=CurrentWeek-RecencyWin,RecencyMult,1))</f>
        <v>0</v>
      </c>
      <c r="AH339" s="2">
        <f>IF(AND($C339&lt;&gt;"",$E339=CurrentSeason,$F339="REG",ISNUMBER($G339),$G339&lt;CurrentWeek-1,AND($M339&lt;&gt;"",$N339&lt;&gt;"")),1,0)</f>
        <v>0</v>
      </c>
      <c r="AI339" s="2">
        <f>IF($AH339=0,0,IF($G339&gt;=CurrentWeek-1-RecencyWin,RecencyMult,1))</f>
        <v>0</v>
      </c>
      <c r="AJ339" s="2">
        <f>IF($AF339=0,0,IF($G339&gt;=CurrentWeek-RecencyWin,TotRecency,1))</f>
        <v>0</v>
      </c>
      <c r="AK339" s="2">
        <f t="shared" si="9"/>
        <v>0</v>
      </c>
      <c r="AL339" s="2">
        <f t="shared" si="10"/>
        <v>0</v>
      </c>
      <c r="AM339" s="2" t="str">
        <f t="array" ref="AM339">IF($K339="",0,IFERROR(INDEX(CALC!$F$2:$F$33,MATCH($K339,CALC!$A$2:$A$33,0)),0))</f>
        <v/>
      </c>
      <c r="AN339" s="2" t="str">
        <f t="array" ref="AN339">IF($K339="",0,IFERROR(INDEX(CALC!$I$2:$I$33,MATCH($K339,CALC!$A$2:$A$33,0)),0))</f>
        <v/>
      </c>
      <c r="AO339" s="2" t="str">
        <f t="array" ref="AO339">IF($K339="",0,IFERROR(INDEX(CALC!$L$2:$L$33,MATCH($K339,CALC!$A$2:$A$33,0)),0))</f>
        <v/>
      </c>
      <c r="AP339" s="2" t="str">
        <f t="array" ref="AP339">IF($K339="",0,IFERROR(INDEX(CALC!$T$2:$T$33,MATCH($K339,CALC!$A$2:$A$33,0)),0))</f>
        <v/>
      </c>
      <c r="AQ339" s="2" t="str">
        <f t="array" ref="AQ339">IF($K339="",0,IFERROR(INDEX(CALC!$W$2:$W$33,MATCH($K339,CALC!$A$2:$A$33,0)),0))</f>
        <v/>
      </c>
      <c r="AR339" s="2" t="str">
        <f t="array" ref="AR339">IF($K339="",0,IFERROR(INDEX(CALC!$Z$2:$Z$33,MATCH($K339,CALC!$A$2:$A$33,0)),0))</f>
        <v/>
      </c>
      <c r="AS339" s="2" t="str">
        <f t="array" ref="AS339">IF($K339="",0,IFERROR(INDEX(CALC!$AJ$2:$AJ$33,MATCH($K339,CALC!$A$2:$A$33,0)),0))</f>
        <v/>
      </c>
      <c r="AT339" s="2" t="str">
        <f t="array" ref="AT339">IF($K339="",0,IFERROR(INDEX(CALC!$AI$2:$AI$33,MATCH($K339,CALC!$A$2:$A$33,0)),0))</f>
        <v/>
      </c>
      <c r="AU339" s="2">
        <f t="shared" si="11"/>
        <v>0</v>
      </c>
      <c r="AV339" s="2">
        <f t="shared" si="12"/>
        <v>0</v>
      </c>
    </row>
    <row r="340" ht="15.0" customHeight="1">
      <c r="A340" s="2">
        <v>169.0</v>
      </c>
      <c r="B340" s="2" t="s">
        <v>2366</v>
      </c>
      <c r="C340" s="2">
        <f>IFERROR(MATCH($A340,SchedSeq,0),"")</f>
        <v>454</v>
      </c>
      <c r="D340" s="2" t="str">
        <f t="array" ref="D340">IF($C340="","",INDEX(SchedZone,$C340,MAP!$B$6))</f>
        <v>2026_12_NO_CIN</v>
      </c>
      <c r="E340" s="2">
        <f t="array" ref="E340">IF($C340="","",INDEX(SchedZone,$C340,MAP!$B$3))</f>
        <v>2026</v>
      </c>
      <c r="F340" s="2" t="str">
        <f t="array" ref="F340">IF($C340="","",INDEX(SchedZone,$C340,MAP!$B$5))</f>
        <v>REG</v>
      </c>
      <c r="G340" s="2">
        <f t="array" ref="G340">IF($C340="","",INDEX(SchedZone,$C340,MAP!$B$4))</f>
        <v>12</v>
      </c>
      <c r="H340" s="2" t="str">
        <f t="array" ref="H340">IF($C340="","",INDEX(SchedZone,$C340,MAP!$B$10))</f>
        <v>NO</v>
      </c>
      <c r="I340" s="2" t="str">
        <f t="array" ref="I340">IF($H340="","",IF(COUNTIF(Teams,$H340)&gt;0,$H340,IFERROR(INDEX(LISTS!$D$2:$D$12,MATCH($H340,LISTS!$C$2:$C$12,0)),"⚠ "&amp;$H340)))</f>
        <v>NO</v>
      </c>
      <c r="J340" s="2" t="str">
        <f t="array" ref="J340">IF($C340="","",INDEX(SchedZone,$C340,MAP!$B$12))</f>
        <v>CIN</v>
      </c>
      <c r="K340" s="2" t="str">
        <f t="array" ref="K340">IF($J340="","",IF(COUNTIF(Teams,$J340)&gt;0,$J340,IFERROR(INDEX(LISTS!$D$2:$D$12,MATCH($J340,LISTS!$C$2:$C$12,0)),"⚠ "&amp;$J340)))</f>
        <v>CIN</v>
      </c>
      <c r="L340" s="2" t="str">
        <f t="array" ref="L340">IF($C340="","",IF(INDEX(SchedZone,$C340,MAP!$B$14)="Neutral","N",IF($B340="HOME","H","A")))</f>
        <v>A</v>
      </c>
      <c r="M340" s="2" t="str">
        <f t="array" ref="M340">IF($C340="","",IF(INDEX(SchedZone,$C340,MAP!$B$11)="","",INDEX(SchedZone,$C340,MAP!$B$11)))</f>
        <v/>
      </c>
      <c r="N340" s="2" t="str">
        <f t="array" ref="N340">IF($C340="","",IF(INDEX(SchedZone,$C340,MAP!$B$13)="","",INDEX(SchedZone,$C340,MAP!$B$13)))</f>
        <v/>
      </c>
      <c r="O340" s="2">
        <f t="array" ref="O340">IF($C340="","",INDEX(SchedZone,$C340,MAP!$B$15))</f>
        <v>7</v>
      </c>
      <c r="P340" s="2" t="str">
        <f>IF($C340="","",IFERROR(MATCH($E340&amp;"|"&amp;$G340&amp;"|"&amp;$I340,StatsKey,0),""))</f>
        <v/>
      </c>
      <c r="Q340" s="2">
        <f t="array" ref="Q340">IF($P340="",0,INDEX(StatsZone,$P340,MAP!$E$9)+INDEX(StatsZone,$P340,MAP!$E$10)+INDEX(StatsZone,$P340,MAP!$E$11))</f>
        <v>0</v>
      </c>
      <c r="R340" s="2">
        <f t="array" ref="R340">IF($P340="",0,INDEX(StatsZone,$P340,MAP!$E$12))</f>
        <v>0</v>
      </c>
      <c r="S340" s="2">
        <f t="array" ref="S340">IF($P340="",0,INDEX(StatsZone,$P340,MAP!$E$13))</f>
        <v>0</v>
      </c>
      <c r="T340" s="2">
        <f t="shared" si="1"/>
        <v>0</v>
      </c>
      <c r="U340" s="2">
        <f t="array" ref="U340">IF($P340="",0,INDEX(StatsZone,$P340,MAP!$E$14)+INDEX(StatsZone,$P340,MAP!$E$15)+INDEX(StatsZone,$P340,MAP!$E$16))</f>
        <v>0</v>
      </c>
      <c r="V340" s="2">
        <f t="shared" si="2"/>
        <v>0</v>
      </c>
      <c r="W340" s="2">
        <f t="shared" si="3"/>
        <v>0</v>
      </c>
      <c r="X340" s="2">
        <f t="shared" si="4"/>
        <v>0</v>
      </c>
      <c r="Y340" s="2">
        <f t="shared" si="5"/>
        <v>0</v>
      </c>
      <c r="Z340" s="2">
        <f t="shared" si="6"/>
        <v>0</v>
      </c>
      <c r="AA340" s="2">
        <f t="shared" si="7"/>
        <v>-1</v>
      </c>
      <c r="AB340" s="2">
        <f>IF(OR($M340="",$N340=""),0,MEDIAN(-MarginCap,MarginCap,($M340-$N340)-$AA340*HFA_Base))</f>
        <v>0</v>
      </c>
      <c r="AC340" s="2">
        <f t="array" ref="AC340">IF(OR($P340="",INDEX($P$3:$P$722,(ROW()+IF(MOD(ROW()-3,2)=0,1,-1))-3+1)=""),0,MEDIAN(-MarginCap,MarginCap,($T340-$W340)-$AA340*HFA_Base))</f>
        <v>0</v>
      </c>
      <c r="AD340" s="2">
        <f t="shared" si="8"/>
        <v>0</v>
      </c>
      <c r="AE340" s="2">
        <f>IF(OR($M340="",$N340=""),0,IF(AND(WEpa&gt;0,$AD340=1),(1-WEpa)*$AB340+WEpa*$AC340,$AB340))</f>
        <v>0</v>
      </c>
      <c r="AF340" s="2">
        <f>IF(AND($C340&lt;&gt;"",$E340=CurrentSeason,$F340="REG",ISNUMBER($G340),$G340&lt;CurrentWeek,AND($M340&lt;&gt;"",$N340&lt;&gt;"")),1,0)</f>
        <v>0</v>
      </c>
      <c r="AG340" s="2">
        <f>IF($AF340=0,0,IF($G340&gt;=CurrentWeek-RecencyWin,RecencyMult,1))</f>
        <v>0</v>
      </c>
      <c r="AH340" s="2">
        <f>IF(AND($C340&lt;&gt;"",$E340=CurrentSeason,$F340="REG",ISNUMBER($G340),$G340&lt;CurrentWeek-1,AND($M340&lt;&gt;"",$N340&lt;&gt;"")),1,0)</f>
        <v>0</v>
      </c>
      <c r="AI340" s="2">
        <f>IF($AH340=0,0,IF($G340&gt;=CurrentWeek-1-RecencyWin,RecencyMult,1))</f>
        <v>0</v>
      </c>
      <c r="AJ340" s="2">
        <f>IF($AF340=0,0,IF($G340&gt;=CurrentWeek-RecencyWin,TotRecency,1))</f>
        <v>0</v>
      </c>
      <c r="AK340" s="2">
        <f t="shared" si="9"/>
        <v>0</v>
      </c>
      <c r="AL340" s="2">
        <f t="shared" si="10"/>
        <v>0</v>
      </c>
      <c r="AM340" s="2" t="str">
        <f t="array" ref="AM340">IF($K340="",0,IFERROR(INDEX(CALC!$F$2:$F$33,MATCH($K340,CALC!$A$2:$A$33,0)),0))</f>
        <v/>
      </c>
      <c r="AN340" s="2" t="str">
        <f t="array" ref="AN340">IF($K340="",0,IFERROR(INDEX(CALC!$I$2:$I$33,MATCH($K340,CALC!$A$2:$A$33,0)),0))</f>
        <v/>
      </c>
      <c r="AO340" s="2" t="str">
        <f t="array" ref="AO340">IF($K340="",0,IFERROR(INDEX(CALC!$L$2:$L$33,MATCH($K340,CALC!$A$2:$A$33,0)),0))</f>
        <v/>
      </c>
      <c r="AP340" s="2" t="str">
        <f t="array" ref="AP340">IF($K340="",0,IFERROR(INDEX(CALC!$T$2:$T$33,MATCH($K340,CALC!$A$2:$A$33,0)),0))</f>
        <v/>
      </c>
      <c r="AQ340" s="2" t="str">
        <f t="array" ref="AQ340">IF($K340="",0,IFERROR(INDEX(CALC!$W$2:$W$33,MATCH($K340,CALC!$A$2:$A$33,0)),0))</f>
        <v/>
      </c>
      <c r="AR340" s="2" t="str">
        <f t="array" ref="AR340">IF($K340="",0,IFERROR(INDEX(CALC!$Z$2:$Z$33,MATCH($K340,CALC!$A$2:$A$33,0)),0))</f>
        <v/>
      </c>
      <c r="AS340" s="2" t="str">
        <f t="array" ref="AS340">IF($K340="",0,IFERROR(INDEX(CALC!$AJ$2:$AJ$33,MATCH($K340,CALC!$A$2:$A$33,0)),0))</f>
        <v/>
      </c>
      <c r="AT340" s="2" t="str">
        <f t="array" ref="AT340">IF($K340="",0,IFERROR(INDEX(CALC!$AI$2:$AI$33,MATCH($K340,CALC!$A$2:$A$33,0)),0))</f>
        <v/>
      </c>
      <c r="AU340" s="2">
        <f t="shared" si="11"/>
        <v>0</v>
      </c>
      <c r="AV340" s="2">
        <f t="shared" si="12"/>
        <v>0</v>
      </c>
    </row>
    <row r="341" ht="15.0" customHeight="1">
      <c r="A341" s="2">
        <v>170.0</v>
      </c>
      <c r="B341" s="2" t="s">
        <v>2365</v>
      </c>
      <c r="C341" s="2">
        <f>IFERROR(MATCH($A341,SchedSeq,0),"")</f>
        <v>455</v>
      </c>
      <c r="D341" s="2" t="str">
        <f t="array" ref="D341">IF($C341="","",INDEX(SchedZone,$C341,MAP!$B$6))</f>
        <v>2026_12_LV_CLE</v>
      </c>
      <c r="E341" s="2">
        <f t="array" ref="E341">IF($C341="","",INDEX(SchedZone,$C341,MAP!$B$3))</f>
        <v>2026</v>
      </c>
      <c r="F341" s="2" t="str">
        <f t="array" ref="F341">IF($C341="","",INDEX(SchedZone,$C341,MAP!$B$5))</f>
        <v>REG</v>
      </c>
      <c r="G341" s="2">
        <f t="array" ref="G341">IF($C341="","",INDEX(SchedZone,$C341,MAP!$B$4))</f>
        <v>12</v>
      </c>
      <c r="H341" s="2" t="str">
        <f t="array" ref="H341">IF($C341="","",INDEX(SchedZone,$C341,MAP!$B$12))</f>
        <v>CLE</v>
      </c>
      <c r="I341" s="2" t="str">
        <f t="array" ref="I341">IF($H341="","",IF(COUNTIF(Teams,$H341)&gt;0,$H341,IFERROR(INDEX(LISTS!$D$2:$D$12,MATCH($H341,LISTS!$C$2:$C$12,0)),"⚠ "&amp;$H341)))</f>
        <v>CLE</v>
      </c>
      <c r="J341" s="2" t="str">
        <f t="array" ref="J341">IF($C341="","",INDEX(SchedZone,$C341,MAP!$B$10))</f>
        <v>LV</v>
      </c>
      <c r="K341" s="2" t="str">
        <f t="array" ref="K341">IF($J341="","",IF(COUNTIF(Teams,$J341)&gt;0,$J341,IFERROR(INDEX(LISTS!$D$2:$D$12,MATCH($J341,LISTS!$C$2:$C$12,0)),"⚠ "&amp;$J341)))</f>
        <v>LV</v>
      </c>
      <c r="L341" s="2" t="str">
        <f t="array" ref="L341">IF($C341="","",IF(INDEX(SchedZone,$C341,MAP!$B$14)="Neutral","N",IF($B341="HOME","H","A")))</f>
        <v>H</v>
      </c>
      <c r="M341" s="2" t="str">
        <f t="array" ref="M341">IF($C341="","",IF(INDEX(SchedZone,$C341,MAP!$B$13)="","",INDEX(SchedZone,$C341,MAP!$B$13)))</f>
        <v/>
      </c>
      <c r="N341" s="2" t="str">
        <f t="array" ref="N341">IF($C341="","",IF(INDEX(SchedZone,$C341,MAP!$B$11)="","",INDEX(SchedZone,$C341,MAP!$B$11)))</f>
        <v/>
      </c>
      <c r="O341" s="2">
        <f t="array" ref="O341">IF($C341="","",INDEX(SchedZone,$C341,MAP!$B$16))</f>
        <v>14</v>
      </c>
      <c r="P341" s="2" t="str">
        <f>IF($C341="","",IFERROR(MATCH($E341&amp;"|"&amp;$G341&amp;"|"&amp;$I341,StatsKey,0),""))</f>
        <v/>
      </c>
      <c r="Q341" s="2">
        <f t="array" ref="Q341">IF($P341="",0,INDEX(StatsZone,$P341,MAP!$E$9)+INDEX(StatsZone,$P341,MAP!$E$10)+INDEX(StatsZone,$P341,MAP!$E$11))</f>
        <v>0</v>
      </c>
      <c r="R341" s="2">
        <f t="array" ref="R341">IF($P341="",0,INDEX(StatsZone,$P341,MAP!$E$12))</f>
        <v>0</v>
      </c>
      <c r="S341" s="2">
        <f t="array" ref="S341">IF($P341="",0,INDEX(StatsZone,$P341,MAP!$E$13))</f>
        <v>0</v>
      </c>
      <c r="T341" s="2">
        <f t="shared" si="1"/>
        <v>0</v>
      </c>
      <c r="U341" s="2">
        <f t="array" ref="U341">IF($P341="",0,INDEX(StatsZone,$P341,MAP!$E$14)+INDEX(StatsZone,$P341,MAP!$E$15)+INDEX(StatsZone,$P341,MAP!$E$16))</f>
        <v>0</v>
      </c>
      <c r="V341" s="2">
        <f t="shared" si="2"/>
        <v>0</v>
      </c>
      <c r="W341" s="2">
        <f t="shared" si="3"/>
        <v>0</v>
      </c>
      <c r="X341" s="2">
        <f t="shared" si="4"/>
        <v>0</v>
      </c>
      <c r="Y341" s="2">
        <f t="shared" si="5"/>
        <v>0</v>
      </c>
      <c r="Z341" s="2">
        <f t="shared" si="6"/>
        <v>0</v>
      </c>
      <c r="AA341" s="2">
        <f t="shared" si="7"/>
        <v>1</v>
      </c>
      <c r="AB341" s="2">
        <f>IF(OR($M341="",$N341=""),0,MEDIAN(-MarginCap,MarginCap,($M341-$N341)-$AA341*HFA_Base))</f>
        <v>0</v>
      </c>
      <c r="AC341" s="2">
        <f t="array" ref="AC341">IF(OR($P341="",INDEX($P$3:$P$722,(ROW()+IF(MOD(ROW()-3,2)=0,1,-1))-3+1)=""),0,MEDIAN(-MarginCap,MarginCap,($T341-$W341)-$AA341*HFA_Base))</f>
        <v>0</v>
      </c>
      <c r="AD341" s="2">
        <f t="shared" si="8"/>
        <v>0</v>
      </c>
      <c r="AE341" s="2">
        <f>IF(OR($M341="",$N341=""),0,IF(AND(WEpa&gt;0,$AD341=1),(1-WEpa)*$AB341+WEpa*$AC341,$AB341))</f>
        <v>0</v>
      </c>
      <c r="AF341" s="2">
        <f>IF(AND($C341&lt;&gt;"",$E341=CurrentSeason,$F341="REG",ISNUMBER($G341),$G341&lt;CurrentWeek,AND($M341&lt;&gt;"",$N341&lt;&gt;"")),1,0)</f>
        <v>0</v>
      </c>
      <c r="AG341" s="2">
        <f>IF($AF341=0,0,IF($G341&gt;=CurrentWeek-RecencyWin,RecencyMult,1))</f>
        <v>0</v>
      </c>
      <c r="AH341" s="2">
        <f>IF(AND($C341&lt;&gt;"",$E341=CurrentSeason,$F341="REG",ISNUMBER($G341),$G341&lt;CurrentWeek-1,AND($M341&lt;&gt;"",$N341&lt;&gt;"")),1,0)</f>
        <v>0</v>
      </c>
      <c r="AI341" s="2">
        <f>IF($AH341=0,0,IF($G341&gt;=CurrentWeek-1-RecencyWin,RecencyMult,1))</f>
        <v>0</v>
      </c>
      <c r="AJ341" s="2">
        <f>IF($AF341=0,0,IF($G341&gt;=CurrentWeek-RecencyWin,TotRecency,1))</f>
        <v>0</v>
      </c>
      <c r="AK341" s="2">
        <f t="shared" si="9"/>
        <v>0</v>
      </c>
      <c r="AL341" s="2">
        <f t="shared" si="10"/>
        <v>0</v>
      </c>
      <c r="AM341" s="2" t="str">
        <f t="array" ref="AM341">IF($K341="",0,IFERROR(INDEX(CALC!$F$2:$F$33,MATCH($K341,CALC!$A$2:$A$33,0)),0))</f>
        <v/>
      </c>
      <c r="AN341" s="2" t="str">
        <f t="array" ref="AN341">IF($K341="",0,IFERROR(INDEX(CALC!$I$2:$I$33,MATCH($K341,CALC!$A$2:$A$33,0)),0))</f>
        <v/>
      </c>
      <c r="AO341" s="2" t="str">
        <f t="array" ref="AO341">IF($K341="",0,IFERROR(INDEX(CALC!$L$2:$L$33,MATCH($K341,CALC!$A$2:$A$33,0)),0))</f>
        <v/>
      </c>
      <c r="AP341" s="2" t="str">
        <f t="array" ref="AP341">IF($K341="",0,IFERROR(INDEX(CALC!$T$2:$T$33,MATCH($K341,CALC!$A$2:$A$33,0)),0))</f>
        <v/>
      </c>
      <c r="AQ341" s="2" t="str">
        <f t="array" ref="AQ341">IF($K341="",0,IFERROR(INDEX(CALC!$W$2:$W$33,MATCH($K341,CALC!$A$2:$A$33,0)),0))</f>
        <v/>
      </c>
      <c r="AR341" s="2" t="str">
        <f t="array" ref="AR341">IF($K341="",0,IFERROR(INDEX(CALC!$Z$2:$Z$33,MATCH($K341,CALC!$A$2:$A$33,0)),0))</f>
        <v/>
      </c>
      <c r="AS341" s="2" t="str">
        <f t="array" ref="AS341">IF($K341="",0,IFERROR(INDEX(CALC!$AJ$2:$AJ$33,MATCH($K341,CALC!$A$2:$A$33,0)),0))</f>
        <v/>
      </c>
      <c r="AT341" s="2" t="str">
        <f t="array" ref="AT341">IF($K341="",0,IFERROR(INDEX(CALC!$AI$2:$AI$33,MATCH($K341,CALC!$A$2:$A$33,0)),0))</f>
        <v/>
      </c>
      <c r="AU341" s="2">
        <f t="shared" si="11"/>
        <v>0</v>
      </c>
      <c r="AV341" s="2">
        <f t="shared" si="12"/>
        <v>0</v>
      </c>
    </row>
    <row r="342" ht="15.0" customHeight="1">
      <c r="A342" s="2">
        <v>170.0</v>
      </c>
      <c r="B342" s="2" t="s">
        <v>2366</v>
      </c>
      <c r="C342" s="2">
        <f>IFERROR(MATCH($A342,SchedSeq,0),"")</f>
        <v>455</v>
      </c>
      <c r="D342" s="2" t="str">
        <f t="array" ref="D342">IF($C342="","",INDEX(SchedZone,$C342,MAP!$B$6))</f>
        <v>2026_12_LV_CLE</v>
      </c>
      <c r="E342" s="2">
        <f t="array" ref="E342">IF($C342="","",INDEX(SchedZone,$C342,MAP!$B$3))</f>
        <v>2026</v>
      </c>
      <c r="F342" s="2" t="str">
        <f t="array" ref="F342">IF($C342="","",INDEX(SchedZone,$C342,MAP!$B$5))</f>
        <v>REG</v>
      </c>
      <c r="G342" s="2">
        <f t="array" ref="G342">IF($C342="","",INDEX(SchedZone,$C342,MAP!$B$4))</f>
        <v>12</v>
      </c>
      <c r="H342" s="2" t="str">
        <f t="array" ref="H342">IF($C342="","",INDEX(SchedZone,$C342,MAP!$B$10))</f>
        <v>LV</v>
      </c>
      <c r="I342" s="2" t="str">
        <f t="array" ref="I342">IF($H342="","",IF(COUNTIF(Teams,$H342)&gt;0,$H342,IFERROR(INDEX(LISTS!$D$2:$D$12,MATCH($H342,LISTS!$C$2:$C$12,0)),"⚠ "&amp;$H342)))</f>
        <v>LV</v>
      </c>
      <c r="J342" s="2" t="str">
        <f t="array" ref="J342">IF($C342="","",INDEX(SchedZone,$C342,MAP!$B$12))</f>
        <v>CLE</v>
      </c>
      <c r="K342" s="2" t="str">
        <f t="array" ref="K342">IF($J342="","",IF(COUNTIF(Teams,$J342)&gt;0,$J342,IFERROR(INDEX(LISTS!$D$2:$D$12,MATCH($J342,LISTS!$C$2:$C$12,0)),"⚠ "&amp;$J342)))</f>
        <v>CLE</v>
      </c>
      <c r="L342" s="2" t="str">
        <f t="array" ref="L342">IF($C342="","",IF(INDEX(SchedZone,$C342,MAP!$B$14)="Neutral","N",IF($B342="HOME","H","A")))</f>
        <v>A</v>
      </c>
      <c r="M342" s="2" t="str">
        <f t="array" ref="M342">IF($C342="","",IF(INDEX(SchedZone,$C342,MAP!$B$11)="","",INDEX(SchedZone,$C342,MAP!$B$11)))</f>
        <v/>
      </c>
      <c r="N342" s="2" t="str">
        <f t="array" ref="N342">IF($C342="","",IF(INDEX(SchedZone,$C342,MAP!$B$13)="","",INDEX(SchedZone,$C342,MAP!$B$13)))</f>
        <v/>
      </c>
      <c r="O342" s="2">
        <f t="array" ref="O342">IF($C342="","",INDEX(SchedZone,$C342,MAP!$B$15))</f>
        <v>7</v>
      </c>
      <c r="P342" s="2" t="str">
        <f>IF($C342="","",IFERROR(MATCH($E342&amp;"|"&amp;$G342&amp;"|"&amp;$I342,StatsKey,0),""))</f>
        <v/>
      </c>
      <c r="Q342" s="2">
        <f t="array" ref="Q342">IF($P342="",0,INDEX(StatsZone,$P342,MAP!$E$9)+INDEX(StatsZone,$P342,MAP!$E$10)+INDEX(StatsZone,$P342,MAP!$E$11))</f>
        <v>0</v>
      </c>
      <c r="R342" s="2">
        <f t="array" ref="R342">IF($P342="",0,INDEX(StatsZone,$P342,MAP!$E$12))</f>
        <v>0</v>
      </c>
      <c r="S342" s="2">
        <f t="array" ref="S342">IF($P342="",0,INDEX(StatsZone,$P342,MAP!$E$13))</f>
        <v>0</v>
      </c>
      <c r="T342" s="2">
        <f t="shared" si="1"/>
        <v>0</v>
      </c>
      <c r="U342" s="2">
        <f t="array" ref="U342">IF($P342="",0,INDEX(StatsZone,$P342,MAP!$E$14)+INDEX(StatsZone,$P342,MAP!$E$15)+INDEX(StatsZone,$P342,MAP!$E$16))</f>
        <v>0</v>
      </c>
      <c r="V342" s="2">
        <f t="shared" si="2"/>
        <v>0</v>
      </c>
      <c r="W342" s="2">
        <f t="shared" si="3"/>
        <v>0</v>
      </c>
      <c r="X342" s="2">
        <f t="shared" si="4"/>
        <v>0</v>
      </c>
      <c r="Y342" s="2">
        <f t="shared" si="5"/>
        <v>0</v>
      </c>
      <c r="Z342" s="2">
        <f t="shared" si="6"/>
        <v>0</v>
      </c>
      <c r="AA342" s="2">
        <f t="shared" si="7"/>
        <v>-1</v>
      </c>
      <c r="AB342" s="2">
        <f>IF(OR($M342="",$N342=""),0,MEDIAN(-MarginCap,MarginCap,($M342-$N342)-$AA342*HFA_Base))</f>
        <v>0</v>
      </c>
      <c r="AC342" s="2">
        <f t="array" ref="AC342">IF(OR($P342="",INDEX($P$3:$P$722,(ROW()+IF(MOD(ROW()-3,2)=0,1,-1))-3+1)=""),0,MEDIAN(-MarginCap,MarginCap,($T342-$W342)-$AA342*HFA_Base))</f>
        <v>0</v>
      </c>
      <c r="AD342" s="2">
        <f t="shared" si="8"/>
        <v>0</v>
      </c>
      <c r="AE342" s="2">
        <f>IF(OR($M342="",$N342=""),0,IF(AND(WEpa&gt;0,$AD342=1),(1-WEpa)*$AB342+WEpa*$AC342,$AB342))</f>
        <v>0</v>
      </c>
      <c r="AF342" s="2">
        <f>IF(AND($C342&lt;&gt;"",$E342=CurrentSeason,$F342="REG",ISNUMBER($G342),$G342&lt;CurrentWeek,AND($M342&lt;&gt;"",$N342&lt;&gt;"")),1,0)</f>
        <v>0</v>
      </c>
      <c r="AG342" s="2">
        <f>IF($AF342=0,0,IF($G342&gt;=CurrentWeek-RecencyWin,RecencyMult,1))</f>
        <v>0</v>
      </c>
      <c r="AH342" s="2">
        <f>IF(AND($C342&lt;&gt;"",$E342=CurrentSeason,$F342="REG",ISNUMBER($G342),$G342&lt;CurrentWeek-1,AND($M342&lt;&gt;"",$N342&lt;&gt;"")),1,0)</f>
        <v>0</v>
      </c>
      <c r="AI342" s="2">
        <f>IF($AH342=0,0,IF($G342&gt;=CurrentWeek-1-RecencyWin,RecencyMult,1))</f>
        <v>0</v>
      </c>
      <c r="AJ342" s="2">
        <f>IF($AF342=0,0,IF($G342&gt;=CurrentWeek-RecencyWin,TotRecency,1))</f>
        <v>0</v>
      </c>
      <c r="AK342" s="2">
        <f t="shared" si="9"/>
        <v>0</v>
      </c>
      <c r="AL342" s="2">
        <f t="shared" si="10"/>
        <v>0</v>
      </c>
      <c r="AM342" s="2" t="str">
        <f t="array" ref="AM342">IF($K342="",0,IFERROR(INDEX(CALC!$F$2:$F$33,MATCH($K342,CALC!$A$2:$A$33,0)),0))</f>
        <v/>
      </c>
      <c r="AN342" s="2" t="str">
        <f t="array" ref="AN342">IF($K342="",0,IFERROR(INDEX(CALC!$I$2:$I$33,MATCH($K342,CALC!$A$2:$A$33,0)),0))</f>
        <v/>
      </c>
      <c r="AO342" s="2" t="str">
        <f t="array" ref="AO342">IF($K342="",0,IFERROR(INDEX(CALC!$L$2:$L$33,MATCH($K342,CALC!$A$2:$A$33,0)),0))</f>
        <v/>
      </c>
      <c r="AP342" s="2" t="str">
        <f t="array" ref="AP342">IF($K342="",0,IFERROR(INDEX(CALC!$T$2:$T$33,MATCH($K342,CALC!$A$2:$A$33,0)),0))</f>
        <v/>
      </c>
      <c r="AQ342" s="2" t="str">
        <f t="array" ref="AQ342">IF($K342="",0,IFERROR(INDEX(CALC!$W$2:$W$33,MATCH($K342,CALC!$A$2:$A$33,0)),0))</f>
        <v/>
      </c>
      <c r="AR342" s="2" t="str">
        <f t="array" ref="AR342">IF($K342="",0,IFERROR(INDEX(CALC!$Z$2:$Z$33,MATCH($K342,CALC!$A$2:$A$33,0)),0))</f>
        <v/>
      </c>
      <c r="AS342" s="2" t="str">
        <f t="array" ref="AS342">IF($K342="",0,IFERROR(INDEX(CALC!$AJ$2:$AJ$33,MATCH($K342,CALC!$A$2:$A$33,0)),0))</f>
        <v/>
      </c>
      <c r="AT342" s="2" t="str">
        <f t="array" ref="AT342">IF($K342="",0,IFERROR(INDEX(CALC!$AI$2:$AI$33,MATCH($K342,CALC!$A$2:$A$33,0)),0))</f>
        <v/>
      </c>
      <c r="AU342" s="2">
        <f t="shared" si="11"/>
        <v>0</v>
      </c>
      <c r="AV342" s="2">
        <f t="shared" si="12"/>
        <v>0</v>
      </c>
    </row>
    <row r="343" ht="15.0" customHeight="1">
      <c r="A343" s="2">
        <v>171.0</v>
      </c>
      <c r="B343" s="2" t="s">
        <v>2365</v>
      </c>
      <c r="C343" s="2">
        <f>IFERROR(MATCH($A343,SchedSeq,0),"")</f>
        <v>456</v>
      </c>
      <c r="D343" s="2" t="str">
        <f t="array" ref="D343">IF($C343="","",INDEX(SchedZone,$C343,MAP!$B$6))</f>
        <v>2026_12_BAL_HOU</v>
      </c>
      <c r="E343" s="2">
        <f t="array" ref="E343">IF($C343="","",INDEX(SchedZone,$C343,MAP!$B$3))</f>
        <v>2026</v>
      </c>
      <c r="F343" s="2" t="str">
        <f t="array" ref="F343">IF($C343="","",INDEX(SchedZone,$C343,MAP!$B$5))</f>
        <v>REG</v>
      </c>
      <c r="G343" s="2">
        <f t="array" ref="G343">IF($C343="","",INDEX(SchedZone,$C343,MAP!$B$4))</f>
        <v>12</v>
      </c>
      <c r="H343" s="2" t="str">
        <f t="array" ref="H343">IF($C343="","",INDEX(SchedZone,$C343,MAP!$B$12))</f>
        <v>HOU</v>
      </c>
      <c r="I343" s="2" t="str">
        <f t="array" ref="I343">IF($H343="","",IF(COUNTIF(Teams,$H343)&gt;0,$H343,IFERROR(INDEX(LISTS!$D$2:$D$12,MATCH($H343,LISTS!$C$2:$C$12,0)),"⚠ "&amp;$H343)))</f>
        <v>HOU</v>
      </c>
      <c r="J343" s="2" t="str">
        <f t="array" ref="J343">IF($C343="","",INDEX(SchedZone,$C343,MAP!$B$10))</f>
        <v>BAL</v>
      </c>
      <c r="K343" s="2" t="str">
        <f t="array" ref="K343">IF($J343="","",IF(COUNTIF(Teams,$J343)&gt;0,$J343,IFERROR(INDEX(LISTS!$D$2:$D$12,MATCH($J343,LISTS!$C$2:$C$12,0)),"⚠ "&amp;$J343)))</f>
        <v>BAL</v>
      </c>
      <c r="L343" s="2" t="str">
        <f t="array" ref="L343">IF($C343="","",IF(INDEX(SchedZone,$C343,MAP!$B$14)="Neutral","N",IF($B343="HOME","H","A")))</f>
        <v>H</v>
      </c>
      <c r="M343" s="2" t="str">
        <f t="array" ref="M343">IF($C343="","",IF(INDEX(SchedZone,$C343,MAP!$B$13)="","",INDEX(SchedZone,$C343,MAP!$B$13)))</f>
        <v/>
      </c>
      <c r="N343" s="2" t="str">
        <f t="array" ref="N343">IF($C343="","",IF(INDEX(SchedZone,$C343,MAP!$B$11)="","",INDEX(SchedZone,$C343,MAP!$B$11)))</f>
        <v/>
      </c>
      <c r="O343" s="2">
        <f t="array" ref="O343">IF($C343="","",INDEX(SchedZone,$C343,MAP!$B$16))</f>
        <v>10</v>
      </c>
      <c r="P343" s="2" t="str">
        <f>IF($C343="","",IFERROR(MATCH($E343&amp;"|"&amp;$G343&amp;"|"&amp;$I343,StatsKey,0),""))</f>
        <v/>
      </c>
      <c r="Q343" s="2">
        <f t="array" ref="Q343">IF($P343="",0,INDEX(StatsZone,$P343,MAP!$E$9)+INDEX(StatsZone,$P343,MAP!$E$10)+INDEX(StatsZone,$P343,MAP!$E$11))</f>
        <v>0</v>
      </c>
      <c r="R343" s="2">
        <f t="array" ref="R343">IF($P343="",0,INDEX(StatsZone,$P343,MAP!$E$12))</f>
        <v>0</v>
      </c>
      <c r="S343" s="2">
        <f t="array" ref="S343">IF($P343="",0,INDEX(StatsZone,$P343,MAP!$E$13))</f>
        <v>0</v>
      </c>
      <c r="T343" s="2">
        <f t="shared" si="1"/>
        <v>0</v>
      </c>
      <c r="U343" s="2">
        <f t="array" ref="U343">IF($P343="",0,INDEX(StatsZone,$P343,MAP!$E$14)+INDEX(StatsZone,$P343,MAP!$E$15)+INDEX(StatsZone,$P343,MAP!$E$16))</f>
        <v>0</v>
      </c>
      <c r="V343" s="2">
        <f t="shared" si="2"/>
        <v>0</v>
      </c>
      <c r="W343" s="2">
        <f t="shared" si="3"/>
        <v>0</v>
      </c>
      <c r="X343" s="2">
        <f t="shared" si="4"/>
        <v>0</v>
      </c>
      <c r="Y343" s="2">
        <f t="shared" si="5"/>
        <v>0</v>
      </c>
      <c r="Z343" s="2">
        <f t="shared" si="6"/>
        <v>0</v>
      </c>
      <c r="AA343" s="2">
        <f t="shared" si="7"/>
        <v>1</v>
      </c>
      <c r="AB343" s="2">
        <f>IF(OR($M343="",$N343=""),0,MEDIAN(-MarginCap,MarginCap,($M343-$N343)-$AA343*HFA_Base))</f>
        <v>0</v>
      </c>
      <c r="AC343" s="2">
        <f t="array" ref="AC343">IF(OR($P343="",INDEX($P$3:$P$722,(ROW()+IF(MOD(ROW()-3,2)=0,1,-1))-3+1)=""),0,MEDIAN(-MarginCap,MarginCap,($T343-$W343)-$AA343*HFA_Base))</f>
        <v>0</v>
      </c>
      <c r="AD343" s="2">
        <f t="shared" si="8"/>
        <v>0</v>
      </c>
      <c r="AE343" s="2">
        <f>IF(OR($M343="",$N343=""),0,IF(AND(WEpa&gt;0,$AD343=1),(1-WEpa)*$AB343+WEpa*$AC343,$AB343))</f>
        <v>0</v>
      </c>
      <c r="AF343" s="2">
        <f>IF(AND($C343&lt;&gt;"",$E343=CurrentSeason,$F343="REG",ISNUMBER($G343),$G343&lt;CurrentWeek,AND($M343&lt;&gt;"",$N343&lt;&gt;"")),1,0)</f>
        <v>0</v>
      </c>
      <c r="AG343" s="2">
        <f>IF($AF343=0,0,IF($G343&gt;=CurrentWeek-RecencyWin,RecencyMult,1))</f>
        <v>0</v>
      </c>
      <c r="AH343" s="2">
        <f>IF(AND($C343&lt;&gt;"",$E343=CurrentSeason,$F343="REG",ISNUMBER($G343),$G343&lt;CurrentWeek-1,AND($M343&lt;&gt;"",$N343&lt;&gt;"")),1,0)</f>
        <v>0</v>
      </c>
      <c r="AI343" s="2">
        <f>IF($AH343=0,0,IF($G343&gt;=CurrentWeek-1-RecencyWin,RecencyMult,1))</f>
        <v>0</v>
      </c>
      <c r="AJ343" s="2">
        <f>IF($AF343=0,0,IF($G343&gt;=CurrentWeek-RecencyWin,TotRecency,1))</f>
        <v>0</v>
      </c>
      <c r="AK343" s="2">
        <f t="shared" si="9"/>
        <v>0</v>
      </c>
      <c r="AL343" s="2">
        <f t="shared" si="10"/>
        <v>0</v>
      </c>
      <c r="AM343" s="2" t="str">
        <f t="array" ref="AM343">IF($K343="",0,IFERROR(INDEX(CALC!$F$2:$F$33,MATCH($K343,CALC!$A$2:$A$33,0)),0))</f>
        <v/>
      </c>
      <c r="AN343" s="2" t="str">
        <f t="array" ref="AN343">IF($K343="",0,IFERROR(INDEX(CALC!$I$2:$I$33,MATCH($K343,CALC!$A$2:$A$33,0)),0))</f>
        <v/>
      </c>
      <c r="AO343" s="2" t="str">
        <f t="array" ref="AO343">IF($K343="",0,IFERROR(INDEX(CALC!$L$2:$L$33,MATCH($K343,CALC!$A$2:$A$33,0)),0))</f>
        <v/>
      </c>
      <c r="AP343" s="2" t="str">
        <f t="array" ref="AP343">IF($K343="",0,IFERROR(INDEX(CALC!$T$2:$T$33,MATCH($K343,CALC!$A$2:$A$33,0)),0))</f>
        <v/>
      </c>
      <c r="AQ343" s="2" t="str">
        <f t="array" ref="AQ343">IF($K343="",0,IFERROR(INDEX(CALC!$W$2:$W$33,MATCH($K343,CALC!$A$2:$A$33,0)),0))</f>
        <v/>
      </c>
      <c r="AR343" s="2" t="str">
        <f t="array" ref="AR343">IF($K343="",0,IFERROR(INDEX(CALC!$Z$2:$Z$33,MATCH($K343,CALC!$A$2:$A$33,0)),0))</f>
        <v/>
      </c>
      <c r="AS343" s="2" t="str">
        <f t="array" ref="AS343">IF($K343="",0,IFERROR(INDEX(CALC!$AJ$2:$AJ$33,MATCH($K343,CALC!$A$2:$A$33,0)),0))</f>
        <v/>
      </c>
      <c r="AT343" s="2" t="str">
        <f t="array" ref="AT343">IF($K343="",0,IFERROR(INDEX(CALC!$AI$2:$AI$33,MATCH($K343,CALC!$A$2:$A$33,0)),0))</f>
        <v/>
      </c>
      <c r="AU343" s="2">
        <f t="shared" si="11"/>
        <v>0</v>
      </c>
      <c r="AV343" s="2">
        <f t="shared" si="12"/>
        <v>0</v>
      </c>
    </row>
    <row r="344" ht="15.0" customHeight="1">
      <c r="A344" s="2">
        <v>171.0</v>
      </c>
      <c r="B344" s="2" t="s">
        <v>2366</v>
      </c>
      <c r="C344" s="2">
        <f>IFERROR(MATCH($A344,SchedSeq,0),"")</f>
        <v>456</v>
      </c>
      <c r="D344" s="2" t="str">
        <f t="array" ref="D344">IF($C344="","",INDEX(SchedZone,$C344,MAP!$B$6))</f>
        <v>2026_12_BAL_HOU</v>
      </c>
      <c r="E344" s="2">
        <f t="array" ref="E344">IF($C344="","",INDEX(SchedZone,$C344,MAP!$B$3))</f>
        <v>2026</v>
      </c>
      <c r="F344" s="2" t="str">
        <f t="array" ref="F344">IF($C344="","",INDEX(SchedZone,$C344,MAP!$B$5))</f>
        <v>REG</v>
      </c>
      <c r="G344" s="2">
        <f t="array" ref="G344">IF($C344="","",INDEX(SchedZone,$C344,MAP!$B$4))</f>
        <v>12</v>
      </c>
      <c r="H344" s="2" t="str">
        <f t="array" ref="H344">IF($C344="","",INDEX(SchedZone,$C344,MAP!$B$10))</f>
        <v>BAL</v>
      </c>
      <c r="I344" s="2" t="str">
        <f t="array" ref="I344">IF($H344="","",IF(COUNTIF(Teams,$H344)&gt;0,$H344,IFERROR(INDEX(LISTS!$D$2:$D$12,MATCH($H344,LISTS!$C$2:$C$12,0)),"⚠ "&amp;$H344)))</f>
        <v>BAL</v>
      </c>
      <c r="J344" s="2" t="str">
        <f t="array" ref="J344">IF($C344="","",INDEX(SchedZone,$C344,MAP!$B$12))</f>
        <v>HOU</v>
      </c>
      <c r="K344" s="2" t="str">
        <f t="array" ref="K344">IF($J344="","",IF(COUNTIF(Teams,$J344)&gt;0,$J344,IFERROR(INDEX(LISTS!$D$2:$D$12,MATCH($J344,LISTS!$C$2:$C$12,0)),"⚠ "&amp;$J344)))</f>
        <v>HOU</v>
      </c>
      <c r="L344" s="2" t="str">
        <f t="array" ref="L344">IF($C344="","",IF(INDEX(SchedZone,$C344,MAP!$B$14)="Neutral","N",IF($B344="HOME","H","A")))</f>
        <v>A</v>
      </c>
      <c r="M344" s="2" t="str">
        <f t="array" ref="M344">IF($C344="","",IF(INDEX(SchedZone,$C344,MAP!$B$11)="","",INDEX(SchedZone,$C344,MAP!$B$11)))</f>
        <v/>
      </c>
      <c r="N344" s="2" t="str">
        <f t="array" ref="N344">IF($C344="","",IF(INDEX(SchedZone,$C344,MAP!$B$13)="","",INDEX(SchedZone,$C344,MAP!$B$13)))</f>
        <v/>
      </c>
      <c r="O344" s="2">
        <f t="array" ref="O344">IF($C344="","",INDEX(SchedZone,$C344,MAP!$B$15))</f>
        <v>7</v>
      </c>
      <c r="P344" s="2" t="str">
        <f>IF($C344="","",IFERROR(MATCH($E344&amp;"|"&amp;$G344&amp;"|"&amp;$I344,StatsKey,0),""))</f>
        <v/>
      </c>
      <c r="Q344" s="2">
        <f t="array" ref="Q344">IF($P344="",0,INDEX(StatsZone,$P344,MAP!$E$9)+INDEX(StatsZone,$P344,MAP!$E$10)+INDEX(StatsZone,$P344,MAP!$E$11))</f>
        <v>0</v>
      </c>
      <c r="R344" s="2">
        <f t="array" ref="R344">IF($P344="",0,INDEX(StatsZone,$P344,MAP!$E$12))</f>
        <v>0</v>
      </c>
      <c r="S344" s="2">
        <f t="array" ref="S344">IF($P344="",0,INDEX(StatsZone,$P344,MAP!$E$13))</f>
        <v>0</v>
      </c>
      <c r="T344" s="2">
        <f t="shared" si="1"/>
        <v>0</v>
      </c>
      <c r="U344" s="2">
        <f t="array" ref="U344">IF($P344="",0,INDEX(StatsZone,$P344,MAP!$E$14)+INDEX(StatsZone,$P344,MAP!$E$15)+INDEX(StatsZone,$P344,MAP!$E$16))</f>
        <v>0</v>
      </c>
      <c r="V344" s="2">
        <f t="shared" si="2"/>
        <v>0</v>
      </c>
      <c r="W344" s="2">
        <f t="shared" si="3"/>
        <v>0</v>
      </c>
      <c r="X344" s="2">
        <f t="shared" si="4"/>
        <v>0</v>
      </c>
      <c r="Y344" s="2">
        <f t="shared" si="5"/>
        <v>0</v>
      </c>
      <c r="Z344" s="2">
        <f t="shared" si="6"/>
        <v>0</v>
      </c>
      <c r="AA344" s="2">
        <f t="shared" si="7"/>
        <v>-1</v>
      </c>
      <c r="AB344" s="2">
        <f>IF(OR($M344="",$N344=""),0,MEDIAN(-MarginCap,MarginCap,($M344-$N344)-$AA344*HFA_Base))</f>
        <v>0</v>
      </c>
      <c r="AC344" s="2">
        <f t="array" ref="AC344">IF(OR($P344="",INDEX($P$3:$P$722,(ROW()+IF(MOD(ROW()-3,2)=0,1,-1))-3+1)=""),0,MEDIAN(-MarginCap,MarginCap,($T344-$W344)-$AA344*HFA_Base))</f>
        <v>0</v>
      </c>
      <c r="AD344" s="2">
        <f t="shared" si="8"/>
        <v>0</v>
      </c>
      <c r="AE344" s="2">
        <f>IF(OR($M344="",$N344=""),0,IF(AND(WEpa&gt;0,$AD344=1),(1-WEpa)*$AB344+WEpa*$AC344,$AB344))</f>
        <v>0</v>
      </c>
      <c r="AF344" s="2">
        <f>IF(AND($C344&lt;&gt;"",$E344=CurrentSeason,$F344="REG",ISNUMBER($G344),$G344&lt;CurrentWeek,AND($M344&lt;&gt;"",$N344&lt;&gt;"")),1,0)</f>
        <v>0</v>
      </c>
      <c r="AG344" s="2">
        <f>IF($AF344=0,0,IF($G344&gt;=CurrentWeek-RecencyWin,RecencyMult,1))</f>
        <v>0</v>
      </c>
      <c r="AH344" s="2">
        <f>IF(AND($C344&lt;&gt;"",$E344=CurrentSeason,$F344="REG",ISNUMBER($G344),$G344&lt;CurrentWeek-1,AND($M344&lt;&gt;"",$N344&lt;&gt;"")),1,0)</f>
        <v>0</v>
      </c>
      <c r="AI344" s="2">
        <f>IF($AH344=0,0,IF($G344&gt;=CurrentWeek-1-RecencyWin,RecencyMult,1))</f>
        <v>0</v>
      </c>
      <c r="AJ344" s="2">
        <f>IF($AF344=0,0,IF($G344&gt;=CurrentWeek-RecencyWin,TotRecency,1))</f>
        <v>0</v>
      </c>
      <c r="AK344" s="2">
        <f t="shared" si="9"/>
        <v>0</v>
      </c>
      <c r="AL344" s="2">
        <f t="shared" si="10"/>
        <v>0</v>
      </c>
      <c r="AM344" s="2" t="str">
        <f t="array" ref="AM344">IF($K344="",0,IFERROR(INDEX(CALC!$F$2:$F$33,MATCH($K344,CALC!$A$2:$A$33,0)),0))</f>
        <v/>
      </c>
      <c r="AN344" s="2" t="str">
        <f t="array" ref="AN344">IF($K344="",0,IFERROR(INDEX(CALC!$I$2:$I$33,MATCH($K344,CALC!$A$2:$A$33,0)),0))</f>
        <v/>
      </c>
      <c r="AO344" s="2" t="str">
        <f t="array" ref="AO344">IF($K344="",0,IFERROR(INDEX(CALC!$L$2:$L$33,MATCH($K344,CALC!$A$2:$A$33,0)),0))</f>
        <v/>
      </c>
      <c r="AP344" s="2" t="str">
        <f t="array" ref="AP344">IF($K344="",0,IFERROR(INDEX(CALC!$T$2:$T$33,MATCH($K344,CALC!$A$2:$A$33,0)),0))</f>
        <v/>
      </c>
      <c r="AQ344" s="2" t="str">
        <f t="array" ref="AQ344">IF($K344="",0,IFERROR(INDEX(CALC!$W$2:$W$33,MATCH($K344,CALC!$A$2:$A$33,0)),0))</f>
        <v/>
      </c>
      <c r="AR344" s="2" t="str">
        <f t="array" ref="AR344">IF($K344="",0,IFERROR(INDEX(CALC!$Z$2:$Z$33,MATCH($K344,CALC!$A$2:$A$33,0)),0))</f>
        <v/>
      </c>
      <c r="AS344" s="2" t="str">
        <f t="array" ref="AS344">IF($K344="",0,IFERROR(INDEX(CALC!$AJ$2:$AJ$33,MATCH($K344,CALC!$A$2:$A$33,0)),0))</f>
        <v/>
      </c>
      <c r="AT344" s="2" t="str">
        <f t="array" ref="AT344">IF($K344="",0,IFERROR(INDEX(CALC!$AI$2:$AI$33,MATCH($K344,CALC!$A$2:$A$33,0)),0))</f>
        <v/>
      </c>
      <c r="AU344" s="2">
        <f t="shared" si="11"/>
        <v>0</v>
      </c>
      <c r="AV344" s="2">
        <f t="shared" si="12"/>
        <v>0</v>
      </c>
    </row>
    <row r="345" ht="15.0" customHeight="1">
      <c r="A345" s="2">
        <v>172.0</v>
      </c>
      <c r="B345" s="2" t="s">
        <v>2365</v>
      </c>
      <c r="C345" s="2">
        <f>IFERROR(MATCH($A345,SchedSeq,0),"")</f>
        <v>457</v>
      </c>
      <c r="D345" s="2" t="str">
        <f t="array" ref="D345">IF($C345="","",INDEX(SchedZone,$C345,MAP!$B$6))</f>
        <v>2026_12_NYG_IND</v>
      </c>
      <c r="E345" s="2">
        <f t="array" ref="E345">IF($C345="","",INDEX(SchedZone,$C345,MAP!$B$3))</f>
        <v>2026</v>
      </c>
      <c r="F345" s="2" t="str">
        <f t="array" ref="F345">IF($C345="","",INDEX(SchedZone,$C345,MAP!$B$5))</f>
        <v>REG</v>
      </c>
      <c r="G345" s="2">
        <f t="array" ref="G345">IF($C345="","",INDEX(SchedZone,$C345,MAP!$B$4))</f>
        <v>12</v>
      </c>
      <c r="H345" s="2" t="str">
        <f t="array" ref="H345">IF($C345="","",INDEX(SchedZone,$C345,MAP!$B$12))</f>
        <v>IND</v>
      </c>
      <c r="I345" s="2" t="str">
        <f t="array" ref="I345">IF($H345="","",IF(COUNTIF(Teams,$H345)&gt;0,$H345,IFERROR(INDEX(LISTS!$D$2:$D$12,MATCH($H345,LISTS!$C$2:$C$12,0)),"⚠ "&amp;$H345)))</f>
        <v>IND</v>
      </c>
      <c r="J345" s="2" t="str">
        <f t="array" ref="J345">IF($C345="","",INDEX(SchedZone,$C345,MAP!$B$10))</f>
        <v>NYG</v>
      </c>
      <c r="K345" s="2" t="str">
        <f t="array" ref="K345">IF($J345="","",IF(COUNTIF(Teams,$J345)&gt;0,$J345,IFERROR(INDEX(LISTS!$D$2:$D$12,MATCH($J345,LISTS!$C$2:$C$12,0)),"⚠ "&amp;$J345)))</f>
        <v>NYG</v>
      </c>
      <c r="L345" s="2" t="str">
        <f t="array" ref="L345">IF($C345="","",IF(INDEX(SchedZone,$C345,MAP!$B$14)="Neutral","N",IF($B345="HOME","H","A")))</f>
        <v>H</v>
      </c>
      <c r="M345" s="2" t="str">
        <f t="array" ref="M345">IF($C345="","",IF(INDEX(SchedZone,$C345,MAP!$B$13)="","",INDEX(SchedZone,$C345,MAP!$B$13)))</f>
        <v/>
      </c>
      <c r="N345" s="2" t="str">
        <f t="array" ref="N345">IF($C345="","",IF(INDEX(SchedZone,$C345,MAP!$B$11)="","",INDEX(SchedZone,$C345,MAP!$B$11)))</f>
        <v/>
      </c>
      <c r="O345" s="2">
        <f t="array" ref="O345">IF($C345="","",INDEX(SchedZone,$C345,MAP!$B$16))</f>
        <v>10</v>
      </c>
      <c r="P345" s="2" t="str">
        <f>IF($C345="","",IFERROR(MATCH($E345&amp;"|"&amp;$G345&amp;"|"&amp;$I345,StatsKey,0),""))</f>
        <v/>
      </c>
      <c r="Q345" s="2">
        <f t="array" ref="Q345">IF($P345="",0,INDEX(StatsZone,$P345,MAP!$E$9)+INDEX(StatsZone,$P345,MAP!$E$10)+INDEX(StatsZone,$P345,MAP!$E$11))</f>
        <v>0</v>
      </c>
      <c r="R345" s="2">
        <f t="array" ref="R345">IF($P345="",0,INDEX(StatsZone,$P345,MAP!$E$12))</f>
        <v>0</v>
      </c>
      <c r="S345" s="2">
        <f t="array" ref="S345">IF($P345="",0,INDEX(StatsZone,$P345,MAP!$E$13))</f>
        <v>0</v>
      </c>
      <c r="T345" s="2">
        <f t="shared" si="1"/>
        <v>0</v>
      </c>
      <c r="U345" s="2">
        <f t="array" ref="U345">IF($P345="",0,INDEX(StatsZone,$P345,MAP!$E$14)+INDEX(StatsZone,$P345,MAP!$E$15)+INDEX(StatsZone,$P345,MAP!$E$16))</f>
        <v>0</v>
      </c>
      <c r="V345" s="2">
        <f t="shared" si="2"/>
        <v>0</v>
      </c>
      <c r="W345" s="2">
        <f t="shared" si="3"/>
        <v>0</v>
      </c>
      <c r="X345" s="2">
        <f t="shared" si="4"/>
        <v>0</v>
      </c>
      <c r="Y345" s="2">
        <f t="shared" si="5"/>
        <v>0</v>
      </c>
      <c r="Z345" s="2">
        <f t="shared" si="6"/>
        <v>0</v>
      </c>
      <c r="AA345" s="2">
        <f t="shared" si="7"/>
        <v>1</v>
      </c>
      <c r="AB345" s="2">
        <f>IF(OR($M345="",$N345=""),0,MEDIAN(-MarginCap,MarginCap,($M345-$N345)-$AA345*HFA_Base))</f>
        <v>0</v>
      </c>
      <c r="AC345" s="2">
        <f t="array" ref="AC345">IF(OR($P345="",INDEX($P$3:$P$722,(ROW()+IF(MOD(ROW()-3,2)=0,1,-1))-3+1)=""),0,MEDIAN(-MarginCap,MarginCap,($T345-$W345)-$AA345*HFA_Base))</f>
        <v>0</v>
      </c>
      <c r="AD345" s="2">
        <f t="shared" si="8"/>
        <v>0</v>
      </c>
      <c r="AE345" s="2">
        <f>IF(OR($M345="",$N345=""),0,IF(AND(WEpa&gt;0,$AD345=1),(1-WEpa)*$AB345+WEpa*$AC345,$AB345))</f>
        <v>0</v>
      </c>
      <c r="AF345" s="2">
        <f>IF(AND($C345&lt;&gt;"",$E345=CurrentSeason,$F345="REG",ISNUMBER($G345),$G345&lt;CurrentWeek,AND($M345&lt;&gt;"",$N345&lt;&gt;"")),1,0)</f>
        <v>0</v>
      </c>
      <c r="AG345" s="2">
        <f>IF($AF345=0,0,IF($G345&gt;=CurrentWeek-RecencyWin,RecencyMult,1))</f>
        <v>0</v>
      </c>
      <c r="AH345" s="2">
        <f>IF(AND($C345&lt;&gt;"",$E345=CurrentSeason,$F345="REG",ISNUMBER($G345),$G345&lt;CurrentWeek-1,AND($M345&lt;&gt;"",$N345&lt;&gt;"")),1,0)</f>
        <v>0</v>
      </c>
      <c r="AI345" s="2">
        <f>IF($AH345=0,0,IF($G345&gt;=CurrentWeek-1-RecencyWin,RecencyMult,1))</f>
        <v>0</v>
      </c>
      <c r="AJ345" s="2">
        <f>IF($AF345=0,0,IF($G345&gt;=CurrentWeek-RecencyWin,TotRecency,1))</f>
        <v>0</v>
      </c>
      <c r="AK345" s="2">
        <f t="shared" si="9"/>
        <v>0</v>
      </c>
      <c r="AL345" s="2">
        <f t="shared" si="10"/>
        <v>0</v>
      </c>
      <c r="AM345" s="2" t="str">
        <f t="array" ref="AM345">IF($K345="",0,IFERROR(INDEX(CALC!$F$2:$F$33,MATCH($K345,CALC!$A$2:$A$33,0)),0))</f>
        <v/>
      </c>
      <c r="AN345" s="2" t="str">
        <f t="array" ref="AN345">IF($K345="",0,IFERROR(INDEX(CALC!$I$2:$I$33,MATCH($K345,CALC!$A$2:$A$33,0)),0))</f>
        <v/>
      </c>
      <c r="AO345" s="2" t="str">
        <f t="array" ref="AO345">IF($K345="",0,IFERROR(INDEX(CALC!$L$2:$L$33,MATCH($K345,CALC!$A$2:$A$33,0)),0))</f>
        <v/>
      </c>
      <c r="AP345" s="2" t="str">
        <f t="array" ref="AP345">IF($K345="",0,IFERROR(INDEX(CALC!$T$2:$T$33,MATCH($K345,CALC!$A$2:$A$33,0)),0))</f>
        <v/>
      </c>
      <c r="AQ345" s="2" t="str">
        <f t="array" ref="AQ345">IF($K345="",0,IFERROR(INDEX(CALC!$W$2:$W$33,MATCH($K345,CALC!$A$2:$A$33,0)),0))</f>
        <v/>
      </c>
      <c r="AR345" s="2" t="str">
        <f t="array" ref="AR345">IF($K345="",0,IFERROR(INDEX(CALC!$Z$2:$Z$33,MATCH($K345,CALC!$A$2:$A$33,0)),0))</f>
        <v/>
      </c>
      <c r="AS345" s="2" t="str">
        <f t="array" ref="AS345">IF($K345="",0,IFERROR(INDEX(CALC!$AJ$2:$AJ$33,MATCH($K345,CALC!$A$2:$A$33,0)),0))</f>
        <v/>
      </c>
      <c r="AT345" s="2" t="str">
        <f t="array" ref="AT345">IF($K345="",0,IFERROR(INDEX(CALC!$AI$2:$AI$33,MATCH($K345,CALC!$A$2:$A$33,0)),0))</f>
        <v/>
      </c>
      <c r="AU345" s="2">
        <f t="shared" si="11"/>
        <v>0</v>
      </c>
      <c r="AV345" s="2">
        <f t="shared" si="12"/>
        <v>0</v>
      </c>
    </row>
    <row r="346" ht="15.0" customHeight="1">
      <c r="A346" s="2">
        <v>172.0</v>
      </c>
      <c r="B346" s="2" t="s">
        <v>2366</v>
      </c>
      <c r="C346" s="2">
        <f>IFERROR(MATCH($A346,SchedSeq,0),"")</f>
        <v>457</v>
      </c>
      <c r="D346" s="2" t="str">
        <f t="array" ref="D346">IF($C346="","",INDEX(SchedZone,$C346,MAP!$B$6))</f>
        <v>2026_12_NYG_IND</v>
      </c>
      <c r="E346" s="2">
        <f t="array" ref="E346">IF($C346="","",INDEX(SchedZone,$C346,MAP!$B$3))</f>
        <v>2026</v>
      </c>
      <c r="F346" s="2" t="str">
        <f t="array" ref="F346">IF($C346="","",INDEX(SchedZone,$C346,MAP!$B$5))</f>
        <v>REG</v>
      </c>
      <c r="G346" s="2">
        <f t="array" ref="G346">IF($C346="","",INDEX(SchedZone,$C346,MAP!$B$4))</f>
        <v>12</v>
      </c>
      <c r="H346" s="2" t="str">
        <f t="array" ref="H346">IF($C346="","",INDEX(SchedZone,$C346,MAP!$B$10))</f>
        <v>NYG</v>
      </c>
      <c r="I346" s="2" t="str">
        <f t="array" ref="I346">IF($H346="","",IF(COUNTIF(Teams,$H346)&gt;0,$H346,IFERROR(INDEX(LISTS!$D$2:$D$12,MATCH($H346,LISTS!$C$2:$C$12,0)),"⚠ "&amp;$H346)))</f>
        <v>NYG</v>
      </c>
      <c r="J346" s="2" t="str">
        <f t="array" ref="J346">IF($C346="","",INDEX(SchedZone,$C346,MAP!$B$12))</f>
        <v>IND</v>
      </c>
      <c r="K346" s="2" t="str">
        <f t="array" ref="K346">IF($J346="","",IF(COUNTIF(Teams,$J346)&gt;0,$J346,IFERROR(INDEX(LISTS!$D$2:$D$12,MATCH($J346,LISTS!$C$2:$C$12,0)),"⚠ "&amp;$J346)))</f>
        <v>IND</v>
      </c>
      <c r="L346" s="2" t="str">
        <f t="array" ref="L346">IF($C346="","",IF(INDEX(SchedZone,$C346,MAP!$B$14)="Neutral","N",IF($B346="HOME","H","A")))</f>
        <v>A</v>
      </c>
      <c r="M346" s="2" t="str">
        <f t="array" ref="M346">IF($C346="","",IF(INDEX(SchedZone,$C346,MAP!$B$11)="","",INDEX(SchedZone,$C346,MAP!$B$11)))</f>
        <v/>
      </c>
      <c r="N346" s="2" t="str">
        <f t="array" ref="N346">IF($C346="","",IF(INDEX(SchedZone,$C346,MAP!$B$13)="","",INDEX(SchedZone,$C346,MAP!$B$13)))</f>
        <v/>
      </c>
      <c r="O346" s="2">
        <f t="array" ref="O346">IF($C346="","",INDEX(SchedZone,$C346,MAP!$B$15))</f>
        <v>7</v>
      </c>
      <c r="P346" s="2" t="str">
        <f>IF($C346="","",IFERROR(MATCH($E346&amp;"|"&amp;$G346&amp;"|"&amp;$I346,StatsKey,0),""))</f>
        <v/>
      </c>
      <c r="Q346" s="2">
        <f t="array" ref="Q346">IF($P346="",0,INDEX(StatsZone,$P346,MAP!$E$9)+INDEX(StatsZone,$P346,MAP!$E$10)+INDEX(StatsZone,$P346,MAP!$E$11))</f>
        <v>0</v>
      </c>
      <c r="R346" s="2">
        <f t="array" ref="R346">IF($P346="",0,INDEX(StatsZone,$P346,MAP!$E$12))</f>
        <v>0</v>
      </c>
      <c r="S346" s="2">
        <f t="array" ref="S346">IF($P346="",0,INDEX(StatsZone,$P346,MAP!$E$13))</f>
        <v>0</v>
      </c>
      <c r="T346" s="2">
        <f t="shared" si="1"/>
        <v>0</v>
      </c>
      <c r="U346" s="2">
        <f t="array" ref="U346">IF($P346="",0,INDEX(StatsZone,$P346,MAP!$E$14)+INDEX(StatsZone,$P346,MAP!$E$15)+INDEX(StatsZone,$P346,MAP!$E$16))</f>
        <v>0</v>
      </c>
      <c r="V346" s="2">
        <f t="shared" si="2"/>
        <v>0</v>
      </c>
      <c r="W346" s="2">
        <f t="shared" si="3"/>
        <v>0</v>
      </c>
      <c r="X346" s="2">
        <f t="shared" si="4"/>
        <v>0</v>
      </c>
      <c r="Y346" s="2">
        <f t="shared" si="5"/>
        <v>0</v>
      </c>
      <c r="Z346" s="2">
        <f t="shared" si="6"/>
        <v>0</v>
      </c>
      <c r="AA346" s="2">
        <f t="shared" si="7"/>
        <v>-1</v>
      </c>
      <c r="AB346" s="2">
        <f>IF(OR($M346="",$N346=""),0,MEDIAN(-MarginCap,MarginCap,($M346-$N346)-$AA346*HFA_Base))</f>
        <v>0</v>
      </c>
      <c r="AC346" s="2">
        <f t="array" ref="AC346">IF(OR($P346="",INDEX($P$3:$P$722,(ROW()+IF(MOD(ROW()-3,2)=0,1,-1))-3+1)=""),0,MEDIAN(-MarginCap,MarginCap,($T346-$W346)-$AA346*HFA_Base))</f>
        <v>0</v>
      </c>
      <c r="AD346" s="2">
        <f t="shared" si="8"/>
        <v>0</v>
      </c>
      <c r="AE346" s="2">
        <f>IF(OR($M346="",$N346=""),0,IF(AND(WEpa&gt;0,$AD346=1),(1-WEpa)*$AB346+WEpa*$AC346,$AB346))</f>
        <v>0</v>
      </c>
      <c r="AF346" s="2">
        <f>IF(AND($C346&lt;&gt;"",$E346=CurrentSeason,$F346="REG",ISNUMBER($G346),$G346&lt;CurrentWeek,AND($M346&lt;&gt;"",$N346&lt;&gt;"")),1,0)</f>
        <v>0</v>
      </c>
      <c r="AG346" s="2">
        <f>IF($AF346=0,0,IF($G346&gt;=CurrentWeek-RecencyWin,RecencyMult,1))</f>
        <v>0</v>
      </c>
      <c r="AH346" s="2">
        <f>IF(AND($C346&lt;&gt;"",$E346=CurrentSeason,$F346="REG",ISNUMBER($G346),$G346&lt;CurrentWeek-1,AND($M346&lt;&gt;"",$N346&lt;&gt;"")),1,0)</f>
        <v>0</v>
      </c>
      <c r="AI346" s="2">
        <f>IF($AH346=0,0,IF($G346&gt;=CurrentWeek-1-RecencyWin,RecencyMult,1))</f>
        <v>0</v>
      </c>
      <c r="AJ346" s="2">
        <f>IF($AF346=0,0,IF($G346&gt;=CurrentWeek-RecencyWin,TotRecency,1))</f>
        <v>0</v>
      </c>
      <c r="AK346" s="2">
        <f t="shared" si="9"/>
        <v>0</v>
      </c>
      <c r="AL346" s="2">
        <f t="shared" si="10"/>
        <v>0</v>
      </c>
      <c r="AM346" s="2" t="str">
        <f t="array" ref="AM346">IF($K346="",0,IFERROR(INDEX(CALC!$F$2:$F$33,MATCH($K346,CALC!$A$2:$A$33,0)),0))</f>
        <v/>
      </c>
      <c r="AN346" s="2" t="str">
        <f t="array" ref="AN346">IF($K346="",0,IFERROR(INDEX(CALC!$I$2:$I$33,MATCH($K346,CALC!$A$2:$A$33,0)),0))</f>
        <v/>
      </c>
      <c r="AO346" s="2" t="str">
        <f t="array" ref="AO346">IF($K346="",0,IFERROR(INDEX(CALC!$L$2:$L$33,MATCH($K346,CALC!$A$2:$A$33,0)),0))</f>
        <v/>
      </c>
      <c r="AP346" s="2" t="str">
        <f t="array" ref="AP346">IF($K346="",0,IFERROR(INDEX(CALC!$T$2:$T$33,MATCH($K346,CALC!$A$2:$A$33,0)),0))</f>
        <v/>
      </c>
      <c r="AQ346" s="2" t="str">
        <f t="array" ref="AQ346">IF($K346="",0,IFERROR(INDEX(CALC!$W$2:$W$33,MATCH($K346,CALC!$A$2:$A$33,0)),0))</f>
        <v/>
      </c>
      <c r="AR346" s="2" t="str">
        <f t="array" ref="AR346">IF($K346="",0,IFERROR(INDEX(CALC!$Z$2:$Z$33,MATCH($K346,CALC!$A$2:$A$33,0)),0))</f>
        <v/>
      </c>
      <c r="AS346" s="2" t="str">
        <f t="array" ref="AS346">IF($K346="",0,IFERROR(INDEX(CALC!$AJ$2:$AJ$33,MATCH($K346,CALC!$A$2:$A$33,0)),0))</f>
        <v/>
      </c>
      <c r="AT346" s="2" t="str">
        <f t="array" ref="AT346">IF($K346="",0,IFERROR(INDEX(CALC!$AI$2:$AI$33,MATCH($K346,CALC!$A$2:$A$33,0)),0))</f>
        <v/>
      </c>
      <c r="AU346" s="2">
        <f t="shared" si="11"/>
        <v>0</v>
      </c>
      <c r="AV346" s="2">
        <f t="shared" si="12"/>
        <v>0</v>
      </c>
    </row>
    <row r="347" ht="15.0" customHeight="1">
      <c r="A347" s="2">
        <v>173.0</v>
      </c>
      <c r="B347" s="2" t="s">
        <v>2365</v>
      </c>
      <c r="C347" s="2">
        <f>IFERROR(MATCH($A347,SchedSeq,0),"")</f>
        <v>458</v>
      </c>
      <c r="D347" s="2" t="str">
        <f t="array" ref="D347">IF($C347="","",INDEX(SchedZone,$C347,MAP!$B$6))</f>
        <v>2026_12_NYJ_MIA</v>
      </c>
      <c r="E347" s="2">
        <f t="array" ref="E347">IF($C347="","",INDEX(SchedZone,$C347,MAP!$B$3))</f>
        <v>2026</v>
      </c>
      <c r="F347" s="2" t="str">
        <f t="array" ref="F347">IF($C347="","",INDEX(SchedZone,$C347,MAP!$B$5))</f>
        <v>REG</v>
      </c>
      <c r="G347" s="2">
        <f t="array" ref="G347">IF($C347="","",INDEX(SchedZone,$C347,MAP!$B$4))</f>
        <v>12</v>
      </c>
      <c r="H347" s="2" t="str">
        <f t="array" ref="H347">IF($C347="","",INDEX(SchedZone,$C347,MAP!$B$12))</f>
        <v>MIA</v>
      </c>
      <c r="I347" s="2" t="str">
        <f t="array" ref="I347">IF($H347="","",IF(COUNTIF(Teams,$H347)&gt;0,$H347,IFERROR(INDEX(LISTS!$D$2:$D$12,MATCH($H347,LISTS!$C$2:$C$12,0)),"⚠ "&amp;$H347)))</f>
        <v>MIA</v>
      </c>
      <c r="J347" s="2" t="str">
        <f t="array" ref="J347">IF($C347="","",INDEX(SchedZone,$C347,MAP!$B$10))</f>
        <v>NYJ</v>
      </c>
      <c r="K347" s="2" t="str">
        <f t="array" ref="K347">IF($J347="","",IF(COUNTIF(Teams,$J347)&gt;0,$J347,IFERROR(INDEX(LISTS!$D$2:$D$12,MATCH($J347,LISTS!$C$2:$C$12,0)),"⚠ "&amp;$J347)))</f>
        <v>NYJ</v>
      </c>
      <c r="L347" s="2" t="str">
        <f t="array" ref="L347">IF($C347="","",IF(INDEX(SchedZone,$C347,MAP!$B$14)="Neutral","N",IF($B347="HOME","H","A")))</f>
        <v>H</v>
      </c>
      <c r="M347" s="2" t="str">
        <f t="array" ref="M347">IF($C347="","",IF(INDEX(SchedZone,$C347,MAP!$B$13)="","",INDEX(SchedZone,$C347,MAP!$B$13)))</f>
        <v/>
      </c>
      <c r="N347" s="2" t="str">
        <f t="array" ref="N347">IF($C347="","",IF(INDEX(SchedZone,$C347,MAP!$B$11)="","",INDEX(SchedZone,$C347,MAP!$B$11)))</f>
        <v/>
      </c>
      <c r="O347" s="2">
        <f t="array" ref="O347">IF($C347="","",INDEX(SchedZone,$C347,MAP!$B$16))</f>
        <v>7</v>
      </c>
      <c r="P347" s="2" t="str">
        <f>IF($C347="","",IFERROR(MATCH($E347&amp;"|"&amp;$G347&amp;"|"&amp;$I347,StatsKey,0),""))</f>
        <v/>
      </c>
      <c r="Q347" s="2">
        <f t="array" ref="Q347">IF($P347="",0,INDEX(StatsZone,$P347,MAP!$E$9)+INDEX(StatsZone,$P347,MAP!$E$10)+INDEX(StatsZone,$P347,MAP!$E$11))</f>
        <v>0</v>
      </c>
      <c r="R347" s="2">
        <f t="array" ref="R347">IF($P347="",0,INDEX(StatsZone,$P347,MAP!$E$12))</f>
        <v>0</v>
      </c>
      <c r="S347" s="2">
        <f t="array" ref="S347">IF($P347="",0,INDEX(StatsZone,$P347,MAP!$E$13))</f>
        <v>0</v>
      </c>
      <c r="T347" s="2">
        <f t="shared" si="1"/>
        <v>0</v>
      </c>
      <c r="U347" s="2">
        <f t="array" ref="U347">IF($P347="",0,INDEX(StatsZone,$P347,MAP!$E$14)+INDEX(StatsZone,$P347,MAP!$E$15)+INDEX(StatsZone,$P347,MAP!$E$16))</f>
        <v>0</v>
      </c>
      <c r="V347" s="2">
        <f t="shared" si="2"/>
        <v>0</v>
      </c>
      <c r="W347" s="2">
        <f t="shared" si="3"/>
        <v>0</v>
      </c>
      <c r="X347" s="2">
        <f t="shared" si="4"/>
        <v>0</v>
      </c>
      <c r="Y347" s="2">
        <f t="shared" si="5"/>
        <v>0</v>
      </c>
      <c r="Z347" s="2">
        <f t="shared" si="6"/>
        <v>0</v>
      </c>
      <c r="AA347" s="2">
        <f t="shared" si="7"/>
        <v>1</v>
      </c>
      <c r="AB347" s="2">
        <f>IF(OR($M347="",$N347=""),0,MEDIAN(-MarginCap,MarginCap,($M347-$N347)-$AA347*HFA_Base))</f>
        <v>0</v>
      </c>
      <c r="AC347" s="2">
        <f t="array" ref="AC347">IF(OR($P347="",INDEX($P$3:$P$722,(ROW()+IF(MOD(ROW()-3,2)=0,1,-1))-3+1)=""),0,MEDIAN(-MarginCap,MarginCap,($T347-$W347)-$AA347*HFA_Base))</f>
        <v>0</v>
      </c>
      <c r="AD347" s="2">
        <f t="shared" si="8"/>
        <v>0</v>
      </c>
      <c r="AE347" s="2">
        <f>IF(OR($M347="",$N347=""),0,IF(AND(WEpa&gt;0,$AD347=1),(1-WEpa)*$AB347+WEpa*$AC347,$AB347))</f>
        <v>0</v>
      </c>
      <c r="AF347" s="2">
        <f>IF(AND($C347&lt;&gt;"",$E347=CurrentSeason,$F347="REG",ISNUMBER($G347),$G347&lt;CurrentWeek,AND($M347&lt;&gt;"",$N347&lt;&gt;"")),1,0)</f>
        <v>0</v>
      </c>
      <c r="AG347" s="2">
        <f>IF($AF347=0,0,IF($G347&gt;=CurrentWeek-RecencyWin,RecencyMult,1))</f>
        <v>0</v>
      </c>
      <c r="AH347" s="2">
        <f>IF(AND($C347&lt;&gt;"",$E347=CurrentSeason,$F347="REG",ISNUMBER($G347),$G347&lt;CurrentWeek-1,AND($M347&lt;&gt;"",$N347&lt;&gt;"")),1,0)</f>
        <v>0</v>
      </c>
      <c r="AI347" s="2">
        <f>IF($AH347=0,0,IF($G347&gt;=CurrentWeek-1-RecencyWin,RecencyMult,1))</f>
        <v>0</v>
      </c>
      <c r="AJ347" s="2">
        <f>IF($AF347=0,0,IF($G347&gt;=CurrentWeek-RecencyWin,TotRecency,1))</f>
        <v>0</v>
      </c>
      <c r="AK347" s="2">
        <f t="shared" si="9"/>
        <v>0</v>
      </c>
      <c r="AL347" s="2">
        <f t="shared" si="10"/>
        <v>0</v>
      </c>
      <c r="AM347" s="2" t="str">
        <f t="array" ref="AM347">IF($K347="",0,IFERROR(INDEX(CALC!$F$2:$F$33,MATCH($K347,CALC!$A$2:$A$33,0)),0))</f>
        <v/>
      </c>
      <c r="AN347" s="2" t="str">
        <f t="array" ref="AN347">IF($K347="",0,IFERROR(INDEX(CALC!$I$2:$I$33,MATCH($K347,CALC!$A$2:$A$33,0)),0))</f>
        <v/>
      </c>
      <c r="AO347" s="2" t="str">
        <f t="array" ref="AO347">IF($K347="",0,IFERROR(INDEX(CALC!$L$2:$L$33,MATCH($K347,CALC!$A$2:$A$33,0)),0))</f>
        <v/>
      </c>
      <c r="AP347" s="2" t="str">
        <f t="array" ref="AP347">IF($K347="",0,IFERROR(INDEX(CALC!$T$2:$T$33,MATCH($K347,CALC!$A$2:$A$33,0)),0))</f>
        <v/>
      </c>
      <c r="AQ347" s="2" t="str">
        <f t="array" ref="AQ347">IF($K347="",0,IFERROR(INDEX(CALC!$W$2:$W$33,MATCH($K347,CALC!$A$2:$A$33,0)),0))</f>
        <v/>
      </c>
      <c r="AR347" s="2" t="str">
        <f t="array" ref="AR347">IF($K347="",0,IFERROR(INDEX(CALC!$Z$2:$Z$33,MATCH($K347,CALC!$A$2:$A$33,0)),0))</f>
        <v/>
      </c>
      <c r="AS347" s="2" t="str">
        <f t="array" ref="AS347">IF($K347="",0,IFERROR(INDEX(CALC!$AJ$2:$AJ$33,MATCH($K347,CALC!$A$2:$A$33,0)),0))</f>
        <v/>
      </c>
      <c r="AT347" s="2" t="str">
        <f t="array" ref="AT347">IF($K347="",0,IFERROR(INDEX(CALC!$AI$2:$AI$33,MATCH($K347,CALC!$A$2:$A$33,0)),0))</f>
        <v/>
      </c>
      <c r="AU347" s="2">
        <f t="shared" si="11"/>
        <v>0</v>
      </c>
      <c r="AV347" s="2">
        <f t="shared" si="12"/>
        <v>0</v>
      </c>
    </row>
    <row r="348" ht="15.0" customHeight="1">
      <c r="A348" s="2">
        <v>173.0</v>
      </c>
      <c r="B348" s="2" t="s">
        <v>2366</v>
      </c>
      <c r="C348" s="2">
        <f>IFERROR(MATCH($A348,SchedSeq,0),"")</f>
        <v>458</v>
      </c>
      <c r="D348" s="2" t="str">
        <f t="array" ref="D348">IF($C348="","",INDEX(SchedZone,$C348,MAP!$B$6))</f>
        <v>2026_12_NYJ_MIA</v>
      </c>
      <c r="E348" s="2">
        <f t="array" ref="E348">IF($C348="","",INDEX(SchedZone,$C348,MAP!$B$3))</f>
        <v>2026</v>
      </c>
      <c r="F348" s="2" t="str">
        <f t="array" ref="F348">IF($C348="","",INDEX(SchedZone,$C348,MAP!$B$5))</f>
        <v>REG</v>
      </c>
      <c r="G348" s="2">
        <f t="array" ref="G348">IF($C348="","",INDEX(SchedZone,$C348,MAP!$B$4))</f>
        <v>12</v>
      </c>
      <c r="H348" s="2" t="str">
        <f t="array" ref="H348">IF($C348="","",INDEX(SchedZone,$C348,MAP!$B$10))</f>
        <v>NYJ</v>
      </c>
      <c r="I348" s="2" t="str">
        <f t="array" ref="I348">IF($H348="","",IF(COUNTIF(Teams,$H348)&gt;0,$H348,IFERROR(INDEX(LISTS!$D$2:$D$12,MATCH($H348,LISTS!$C$2:$C$12,0)),"⚠ "&amp;$H348)))</f>
        <v>NYJ</v>
      </c>
      <c r="J348" s="2" t="str">
        <f t="array" ref="J348">IF($C348="","",INDEX(SchedZone,$C348,MAP!$B$12))</f>
        <v>MIA</v>
      </c>
      <c r="K348" s="2" t="str">
        <f t="array" ref="K348">IF($J348="","",IF(COUNTIF(Teams,$J348)&gt;0,$J348,IFERROR(INDEX(LISTS!$D$2:$D$12,MATCH($J348,LISTS!$C$2:$C$12,0)),"⚠ "&amp;$J348)))</f>
        <v>MIA</v>
      </c>
      <c r="L348" s="2" t="str">
        <f t="array" ref="L348">IF($C348="","",IF(INDEX(SchedZone,$C348,MAP!$B$14)="Neutral","N",IF($B348="HOME","H","A")))</f>
        <v>A</v>
      </c>
      <c r="M348" s="2" t="str">
        <f t="array" ref="M348">IF($C348="","",IF(INDEX(SchedZone,$C348,MAP!$B$11)="","",INDEX(SchedZone,$C348,MAP!$B$11)))</f>
        <v/>
      </c>
      <c r="N348" s="2" t="str">
        <f t="array" ref="N348">IF($C348="","",IF(INDEX(SchedZone,$C348,MAP!$B$13)="","",INDEX(SchedZone,$C348,MAP!$B$13)))</f>
        <v/>
      </c>
      <c r="O348" s="2">
        <f t="array" ref="O348">IF($C348="","",INDEX(SchedZone,$C348,MAP!$B$15))</f>
        <v>7</v>
      </c>
      <c r="P348" s="2" t="str">
        <f>IF($C348="","",IFERROR(MATCH($E348&amp;"|"&amp;$G348&amp;"|"&amp;$I348,StatsKey,0),""))</f>
        <v/>
      </c>
      <c r="Q348" s="2">
        <f t="array" ref="Q348">IF($P348="",0,INDEX(StatsZone,$P348,MAP!$E$9)+INDEX(StatsZone,$P348,MAP!$E$10)+INDEX(StatsZone,$P348,MAP!$E$11))</f>
        <v>0</v>
      </c>
      <c r="R348" s="2">
        <f t="array" ref="R348">IF($P348="",0,INDEX(StatsZone,$P348,MAP!$E$12))</f>
        <v>0</v>
      </c>
      <c r="S348" s="2">
        <f t="array" ref="S348">IF($P348="",0,INDEX(StatsZone,$P348,MAP!$E$13))</f>
        <v>0</v>
      </c>
      <c r="T348" s="2">
        <f t="shared" si="1"/>
        <v>0</v>
      </c>
      <c r="U348" s="2">
        <f t="array" ref="U348">IF($P348="",0,INDEX(StatsZone,$P348,MAP!$E$14)+INDEX(StatsZone,$P348,MAP!$E$15)+INDEX(StatsZone,$P348,MAP!$E$16))</f>
        <v>0</v>
      </c>
      <c r="V348" s="2">
        <f t="shared" si="2"/>
        <v>0</v>
      </c>
      <c r="W348" s="2">
        <f t="shared" si="3"/>
        <v>0</v>
      </c>
      <c r="X348" s="2">
        <f t="shared" si="4"/>
        <v>0</v>
      </c>
      <c r="Y348" s="2">
        <f t="shared" si="5"/>
        <v>0</v>
      </c>
      <c r="Z348" s="2">
        <f t="shared" si="6"/>
        <v>0</v>
      </c>
      <c r="AA348" s="2">
        <f t="shared" si="7"/>
        <v>-1</v>
      </c>
      <c r="AB348" s="2">
        <f>IF(OR($M348="",$N348=""),0,MEDIAN(-MarginCap,MarginCap,($M348-$N348)-$AA348*HFA_Base))</f>
        <v>0</v>
      </c>
      <c r="AC348" s="2">
        <f t="array" ref="AC348">IF(OR($P348="",INDEX($P$3:$P$722,(ROW()+IF(MOD(ROW()-3,2)=0,1,-1))-3+1)=""),0,MEDIAN(-MarginCap,MarginCap,($T348-$W348)-$AA348*HFA_Base))</f>
        <v>0</v>
      </c>
      <c r="AD348" s="2">
        <f t="shared" si="8"/>
        <v>0</v>
      </c>
      <c r="AE348" s="2">
        <f>IF(OR($M348="",$N348=""),0,IF(AND(WEpa&gt;0,$AD348=1),(1-WEpa)*$AB348+WEpa*$AC348,$AB348))</f>
        <v>0</v>
      </c>
      <c r="AF348" s="2">
        <f>IF(AND($C348&lt;&gt;"",$E348=CurrentSeason,$F348="REG",ISNUMBER($G348),$G348&lt;CurrentWeek,AND($M348&lt;&gt;"",$N348&lt;&gt;"")),1,0)</f>
        <v>0</v>
      </c>
      <c r="AG348" s="2">
        <f>IF($AF348=0,0,IF($G348&gt;=CurrentWeek-RecencyWin,RecencyMult,1))</f>
        <v>0</v>
      </c>
      <c r="AH348" s="2">
        <f>IF(AND($C348&lt;&gt;"",$E348=CurrentSeason,$F348="REG",ISNUMBER($G348),$G348&lt;CurrentWeek-1,AND($M348&lt;&gt;"",$N348&lt;&gt;"")),1,0)</f>
        <v>0</v>
      </c>
      <c r="AI348" s="2">
        <f>IF($AH348=0,0,IF($G348&gt;=CurrentWeek-1-RecencyWin,RecencyMult,1))</f>
        <v>0</v>
      </c>
      <c r="AJ348" s="2">
        <f>IF($AF348=0,0,IF($G348&gt;=CurrentWeek-RecencyWin,TotRecency,1))</f>
        <v>0</v>
      </c>
      <c r="AK348" s="2">
        <f t="shared" si="9"/>
        <v>0</v>
      </c>
      <c r="AL348" s="2">
        <f t="shared" si="10"/>
        <v>0</v>
      </c>
      <c r="AM348" s="2" t="str">
        <f t="array" ref="AM348">IF($K348="",0,IFERROR(INDEX(CALC!$F$2:$F$33,MATCH($K348,CALC!$A$2:$A$33,0)),0))</f>
        <v/>
      </c>
      <c r="AN348" s="2" t="str">
        <f t="array" ref="AN348">IF($K348="",0,IFERROR(INDEX(CALC!$I$2:$I$33,MATCH($K348,CALC!$A$2:$A$33,0)),0))</f>
        <v/>
      </c>
      <c r="AO348" s="2" t="str">
        <f t="array" ref="AO348">IF($K348="",0,IFERROR(INDEX(CALC!$L$2:$L$33,MATCH($K348,CALC!$A$2:$A$33,0)),0))</f>
        <v/>
      </c>
      <c r="AP348" s="2" t="str">
        <f t="array" ref="AP348">IF($K348="",0,IFERROR(INDEX(CALC!$T$2:$T$33,MATCH($K348,CALC!$A$2:$A$33,0)),0))</f>
        <v/>
      </c>
      <c r="AQ348" s="2" t="str">
        <f t="array" ref="AQ348">IF($K348="",0,IFERROR(INDEX(CALC!$W$2:$W$33,MATCH($K348,CALC!$A$2:$A$33,0)),0))</f>
        <v/>
      </c>
      <c r="AR348" s="2" t="str">
        <f t="array" ref="AR348">IF($K348="",0,IFERROR(INDEX(CALC!$Z$2:$Z$33,MATCH($K348,CALC!$A$2:$A$33,0)),0))</f>
        <v/>
      </c>
      <c r="AS348" s="2" t="str">
        <f t="array" ref="AS348">IF($K348="",0,IFERROR(INDEX(CALC!$AJ$2:$AJ$33,MATCH($K348,CALC!$A$2:$A$33,0)),0))</f>
        <v/>
      </c>
      <c r="AT348" s="2" t="str">
        <f t="array" ref="AT348">IF($K348="",0,IFERROR(INDEX(CALC!$AI$2:$AI$33,MATCH($K348,CALC!$A$2:$A$33,0)),0))</f>
        <v/>
      </c>
      <c r="AU348" s="2">
        <f t="shared" si="11"/>
        <v>0</v>
      </c>
      <c r="AV348" s="2">
        <f t="shared" si="12"/>
        <v>0</v>
      </c>
    </row>
    <row r="349" ht="15.0" customHeight="1">
      <c r="A349" s="2">
        <v>174.0</v>
      </c>
      <c r="B349" s="2" t="s">
        <v>2365</v>
      </c>
      <c r="C349" s="2">
        <f>IFERROR(MATCH($A349,SchedSeq,0),"")</f>
        <v>459</v>
      </c>
      <c r="D349" s="2" t="str">
        <f t="array" ref="D349">IF($C349="","",INDEX(SchedZone,$C349,MAP!$B$6))</f>
        <v>2026_12_ATL_MIN</v>
      </c>
      <c r="E349" s="2">
        <f t="array" ref="E349">IF($C349="","",INDEX(SchedZone,$C349,MAP!$B$3))</f>
        <v>2026</v>
      </c>
      <c r="F349" s="2" t="str">
        <f t="array" ref="F349">IF($C349="","",INDEX(SchedZone,$C349,MAP!$B$5))</f>
        <v>REG</v>
      </c>
      <c r="G349" s="2">
        <f t="array" ref="G349">IF($C349="","",INDEX(SchedZone,$C349,MAP!$B$4))</f>
        <v>12</v>
      </c>
      <c r="H349" s="2" t="str">
        <f t="array" ref="H349">IF($C349="","",INDEX(SchedZone,$C349,MAP!$B$12))</f>
        <v>MIN</v>
      </c>
      <c r="I349" s="2" t="str">
        <f t="array" ref="I349">IF($H349="","",IF(COUNTIF(Teams,$H349)&gt;0,$H349,IFERROR(INDEX(LISTS!$D$2:$D$12,MATCH($H349,LISTS!$C$2:$C$12,0)),"⚠ "&amp;$H349)))</f>
        <v>MIN</v>
      </c>
      <c r="J349" s="2" t="str">
        <f t="array" ref="J349">IF($C349="","",INDEX(SchedZone,$C349,MAP!$B$10))</f>
        <v>ATL</v>
      </c>
      <c r="K349" s="2" t="str">
        <f t="array" ref="K349">IF($J349="","",IF(COUNTIF(Teams,$J349)&gt;0,$J349,IFERROR(INDEX(LISTS!$D$2:$D$12,MATCH($J349,LISTS!$C$2:$C$12,0)),"⚠ "&amp;$J349)))</f>
        <v>ATL</v>
      </c>
      <c r="L349" s="2" t="str">
        <f t="array" ref="L349">IF($C349="","",IF(INDEX(SchedZone,$C349,MAP!$B$14)="Neutral","N",IF($B349="HOME","H","A")))</f>
        <v>H</v>
      </c>
      <c r="M349" s="2" t="str">
        <f t="array" ref="M349">IF($C349="","",IF(INDEX(SchedZone,$C349,MAP!$B$13)="","",INDEX(SchedZone,$C349,MAP!$B$13)))</f>
        <v/>
      </c>
      <c r="N349" s="2" t="str">
        <f t="array" ref="N349">IF($C349="","",IF(INDEX(SchedZone,$C349,MAP!$B$11)="","",INDEX(SchedZone,$C349,MAP!$B$11)))</f>
        <v/>
      </c>
      <c r="O349" s="2">
        <f t="array" ref="O349">IF($C349="","",INDEX(SchedZone,$C349,MAP!$B$16))</f>
        <v>7</v>
      </c>
      <c r="P349" s="2" t="str">
        <f>IF($C349="","",IFERROR(MATCH($E349&amp;"|"&amp;$G349&amp;"|"&amp;$I349,StatsKey,0),""))</f>
        <v/>
      </c>
      <c r="Q349" s="2">
        <f t="array" ref="Q349">IF($P349="",0,INDEX(StatsZone,$P349,MAP!$E$9)+INDEX(StatsZone,$P349,MAP!$E$10)+INDEX(StatsZone,$P349,MAP!$E$11))</f>
        <v>0</v>
      </c>
      <c r="R349" s="2">
        <f t="array" ref="R349">IF($P349="",0,INDEX(StatsZone,$P349,MAP!$E$12))</f>
        <v>0</v>
      </c>
      <c r="S349" s="2">
        <f t="array" ref="S349">IF($P349="",0,INDEX(StatsZone,$P349,MAP!$E$13))</f>
        <v>0</v>
      </c>
      <c r="T349" s="2">
        <f t="shared" si="1"/>
        <v>0</v>
      </c>
      <c r="U349" s="2">
        <f t="array" ref="U349">IF($P349="",0,INDEX(StatsZone,$P349,MAP!$E$14)+INDEX(StatsZone,$P349,MAP!$E$15)+INDEX(StatsZone,$P349,MAP!$E$16))</f>
        <v>0</v>
      </c>
      <c r="V349" s="2">
        <f t="shared" si="2"/>
        <v>0</v>
      </c>
      <c r="W349" s="2">
        <f t="shared" si="3"/>
        <v>0</v>
      </c>
      <c r="X349" s="2">
        <f t="shared" si="4"/>
        <v>0</v>
      </c>
      <c r="Y349" s="2">
        <f t="shared" si="5"/>
        <v>0</v>
      </c>
      <c r="Z349" s="2">
        <f t="shared" si="6"/>
        <v>0</v>
      </c>
      <c r="AA349" s="2">
        <f t="shared" si="7"/>
        <v>1</v>
      </c>
      <c r="AB349" s="2">
        <f>IF(OR($M349="",$N349=""),0,MEDIAN(-MarginCap,MarginCap,($M349-$N349)-$AA349*HFA_Base))</f>
        <v>0</v>
      </c>
      <c r="AC349" s="2">
        <f t="array" ref="AC349">IF(OR($P349="",INDEX($P$3:$P$722,(ROW()+IF(MOD(ROW()-3,2)=0,1,-1))-3+1)=""),0,MEDIAN(-MarginCap,MarginCap,($T349-$W349)-$AA349*HFA_Base))</f>
        <v>0</v>
      </c>
      <c r="AD349" s="2">
        <f t="shared" si="8"/>
        <v>0</v>
      </c>
      <c r="AE349" s="2">
        <f>IF(OR($M349="",$N349=""),0,IF(AND(WEpa&gt;0,$AD349=1),(1-WEpa)*$AB349+WEpa*$AC349,$AB349))</f>
        <v>0</v>
      </c>
      <c r="AF349" s="2">
        <f>IF(AND($C349&lt;&gt;"",$E349=CurrentSeason,$F349="REG",ISNUMBER($G349),$G349&lt;CurrentWeek,AND($M349&lt;&gt;"",$N349&lt;&gt;"")),1,0)</f>
        <v>0</v>
      </c>
      <c r="AG349" s="2">
        <f>IF($AF349=0,0,IF($G349&gt;=CurrentWeek-RecencyWin,RecencyMult,1))</f>
        <v>0</v>
      </c>
      <c r="AH349" s="2">
        <f>IF(AND($C349&lt;&gt;"",$E349=CurrentSeason,$F349="REG",ISNUMBER($G349),$G349&lt;CurrentWeek-1,AND($M349&lt;&gt;"",$N349&lt;&gt;"")),1,0)</f>
        <v>0</v>
      </c>
      <c r="AI349" s="2">
        <f>IF($AH349=0,0,IF($G349&gt;=CurrentWeek-1-RecencyWin,RecencyMult,1))</f>
        <v>0</v>
      </c>
      <c r="AJ349" s="2">
        <f>IF($AF349=0,0,IF($G349&gt;=CurrentWeek-RecencyWin,TotRecency,1))</f>
        <v>0</v>
      </c>
      <c r="AK349" s="2">
        <f t="shared" si="9"/>
        <v>0</v>
      </c>
      <c r="AL349" s="2">
        <f t="shared" si="10"/>
        <v>0</v>
      </c>
      <c r="AM349" s="2" t="str">
        <f t="array" ref="AM349">IF($K349="",0,IFERROR(INDEX(CALC!$F$2:$F$33,MATCH($K349,CALC!$A$2:$A$33,0)),0))</f>
        <v/>
      </c>
      <c r="AN349" s="2" t="str">
        <f t="array" ref="AN349">IF($K349="",0,IFERROR(INDEX(CALC!$I$2:$I$33,MATCH($K349,CALC!$A$2:$A$33,0)),0))</f>
        <v/>
      </c>
      <c r="AO349" s="2" t="str">
        <f t="array" ref="AO349">IF($K349="",0,IFERROR(INDEX(CALC!$L$2:$L$33,MATCH($K349,CALC!$A$2:$A$33,0)),0))</f>
        <v/>
      </c>
      <c r="AP349" s="2" t="str">
        <f t="array" ref="AP349">IF($K349="",0,IFERROR(INDEX(CALC!$T$2:$T$33,MATCH($K349,CALC!$A$2:$A$33,0)),0))</f>
        <v/>
      </c>
      <c r="AQ349" s="2" t="str">
        <f t="array" ref="AQ349">IF($K349="",0,IFERROR(INDEX(CALC!$W$2:$W$33,MATCH($K349,CALC!$A$2:$A$33,0)),0))</f>
        <v/>
      </c>
      <c r="AR349" s="2" t="str">
        <f t="array" ref="AR349">IF($K349="",0,IFERROR(INDEX(CALC!$Z$2:$Z$33,MATCH($K349,CALC!$A$2:$A$33,0)),0))</f>
        <v/>
      </c>
      <c r="AS349" s="2" t="str">
        <f t="array" ref="AS349">IF($K349="",0,IFERROR(INDEX(CALC!$AJ$2:$AJ$33,MATCH($K349,CALC!$A$2:$A$33,0)),0))</f>
        <v/>
      </c>
      <c r="AT349" s="2" t="str">
        <f t="array" ref="AT349">IF($K349="",0,IFERROR(INDEX(CALC!$AI$2:$AI$33,MATCH($K349,CALC!$A$2:$A$33,0)),0))</f>
        <v/>
      </c>
      <c r="AU349" s="2">
        <f t="shared" si="11"/>
        <v>0</v>
      </c>
      <c r="AV349" s="2">
        <f t="shared" si="12"/>
        <v>0</v>
      </c>
    </row>
    <row r="350" ht="15.0" customHeight="1">
      <c r="A350" s="2">
        <v>174.0</v>
      </c>
      <c r="B350" s="2" t="s">
        <v>2366</v>
      </c>
      <c r="C350" s="2">
        <f>IFERROR(MATCH($A350,SchedSeq,0),"")</f>
        <v>459</v>
      </c>
      <c r="D350" s="2" t="str">
        <f t="array" ref="D350">IF($C350="","",INDEX(SchedZone,$C350,MAP!$B$6))</f>
        <v>2026_12_ATL_MIN</v>
      </c>
      <c r="E350" s="2">
        <f t="array" ref="E350">IF($C350="","",INDEX(SchedZone,$C350,MAP!$B$3))</f>
        <v>2026</v>
      </c>
      <c r="F350" s="2" t="str">
        <f t="array" ref="F350">IF($C350="","",INDEX(SchedZone,$C350,MAP!$B$5))</f>
        <v>REG</v>
      </c>
      <c r="G350" s="2">
        <f t="array" ref="G350">IF($C350="","",INDEX(SchedZone,$C350,MAP!$B$4))</f>
        <v>12</v>
      </c>
      <c r="H350" s="2" t="str">
        <f t="array" ref="H350">IF($C350="","",INDEX(SchedZone,$C350,MAP!$B$10))</f>
        <v>ATL</v>
      </c>
      <c r="I350" s="2" t="str">
        <f t="array" ref="I350">IF($H350="","",IF(COUNTIF(Teams,$H350)&gt;0,$H350,IFERROR(INDEX(LISTS!$D$2:$D$12,MATCH($H350,LISTS!$C$2:$C$12,0)),"⚠ "&amp;$H350)))</f>
        <v>ATL</v>
      </c>
      <c r="J350" s="2" t="str">
        <f t="array" ref="J350">IF($C350="","",INDEX(SchedZone,$C350,MAP!$B$12))</f>
        <v>MIN</v>
      </c>
      <c r="K350" s="2" t="str">
        <f t="array" ref="K350">IF($J350="","",IF(COUNTIF(Teams,$J350)&gt;0,$J350,IFERROR(INDEX(LISTS!$D$2:$D$12,MATCH($J350,LISTS!$C$2:$C$12,0)),"⚠ "&amp;$J350)))</f>
        <v>MIN</v>
      </c>
      <c r="L350" s="2" t="str">
        <f t="array" ref="L350">IF($C350="","",IF(INDEX(SchedZone,$C350,MAP!$B$14)="Neutral","N",IF($B350="HOME","H","A")))</f>
        <v>A</v>
      </c>
      <c r="M350" s="2" t="str">
        <f t="array" ref="M350">IF($C350="","",IF(INDEX(SchedZone,$C350,MAP!$B$11)="","",INDEX(SchedZone,$C350,MAP!$B$11)))</f>
        <v/>
      </c>
      <c r="N350" s="2" t="str">
        <f t="array" ref="N350">IF($C350="","",IF(INDEX(SchedZone,$C350,MAP!$B$13)="","",INDEX(SchedZone,$C350,MAP!$B$13)))</f>
        <v/>
      </c>
      <c r="O350" s="2">
        <f t="array" ref="O350">IF($C350="","",INDEX(SchedZone,$C350,MAP!$B$15))</f>
        <v>14</v>
      </c>
      <c r="P350" s="2" t="str">
        <f>IF($C350="","",IFERROR(MATCH($E350&amp;"|"&amp;$G350&amp;"|"&amp;$I350,StatsKey,0),""))</f>
        <v/>
      </c>
      <c r="Q350" s="2">
        <f t="array" ref="Q350">IF($P350="",0,INDEX(StatsZone,$P350,MAP!$E$9)+INDEX(StatsZone,$P350,MAP!$E$10)+INDEX(StatsZone,$P350,MAP!$E$11))</f>
        <v>0</v>
      </c>
      <c r="R350" s="2">
        <f t="array" ref="R350">IF($P350="",0,INDEX(StatsZone,$P350,MAP!$E$12))</f>
        <v>0</v>
      </c>
      <c r="S350" s="2">
        <f t="array" ref="S350">IF($P350="",0,INDEX(StatsZone,$P350,MAP!$E$13))</f>
        <v>0</v>
      </c>
      <c r="T350" s="2">
        <f t="shared" si="1"/>
        <v>0</v>
      </c>
      <c r="U350" s="2">
        <f t="array" ref="U350">IF($P350="",0,INDEX(StatsZone,$P350,MAP!$E$14)+INDEX(StatsZone,$P350,MAP!$E$15)+INDEX(StatsZone,$P350,MAP!$E$16))</f>
        <v>0</v>
      </c>
      <c r="V350" s="2">
        <f t="shared" si="2"/>
        <v>0</v>
      </c>
      <c r="W350" s="2">
        <f t="shared" si="3"/>
        <v>0</v>
      </c>
      <c r="X350" s="2">
        <f t="shared" si="4"/>
        <v>0</v>
      </c>
      <c r="Y350" s="2">
        <f t="shared" si="5"/>
        <v>0</v>
      </c>
      <c r="Z350" s="2">
        <f t="shared" si="6"/>
        <v>0</v>
      </c>
      <c r="AA350" s="2">
        <f t="shared" si="7"/>
        <v>-1</v>
      </c>
      <c r="AB350" s="2">
        <f>IF(OR($M350="",$N350=""),0,MEDIAN(-MarginCap,MarginCap,($M350-$N350)-$AA350*HFA_Base))</f>
        <v>0</v>
      </c>
      <c r="AC350" s="2">
        <f t="array" ref="AC350">IF(OR($P350="",INDEX($P$3:$P$722,(ROW()+IF(MOD(ROW()-3,2)=0,1,-1))-3+1)=""),0,MEDIAN(-MarginCap,MarginCap,($T350-$W350)-$AA350*HFA_Base))</f>
        <v>0</v>
      </c>
      <c r="AD350" s="2">
        <f t="shared" si="8"/>
        <v>0</v>
      </c>
      <c r="AE350" s="2">
        <f>IF(OR($M350="",$N350=""),0,IF(AND(WEpa&gt;0,$AD350=1),(1-WEpa)*$AB350+WEpa*$AC350,$AB350))</f>
        <v>0</v>
      </c>
      <c r="AF350" s="2">
        <f>IF(AND($C350&lt;&gt;"",$E350=CurrentSeason,$F350="REG",ISNUMBER($G350),$G350&lt;CurrentWeek,AND($M350&lt;&gt;"",$N350&lt;&gt;"")),1,0)</f>
        <v>0</v>
      </c>
      <c r="AG350" s="2">
        <f>IF($AF350=0,0,IF($G350&gt;=CurrentWeek-RecencyWin,RecencyMult,1))</f>
        <v>0</v>
      </c>
      <c r="AH350" s="2">
        <f>IF(AND($C350&lt;&gt;"",$E350=CurrentSeason,$F350="REG",ISNUMBER($G350),$G350&lt;CurrentWeek-1,AND($M350&lt;&gt;"",$N350&lt;&gt;"")),1,0)</f>
        <v>0</v>
      </c>
      <c r="AI350" s="2">
        <f>IF($AH350=0,0,IF($G350&gt;=CurrentWeek-1-RecencyWin,RecencyMult,1))</f>
        <v>0</v>
      </c>
      <c r="AJ350" s="2">
        <f>IF($AF350=0,0,IF($G350&gt;=CurrentWeek-RecencyWin,TotRecency,1))</f>
        <v>0</v>
      </c>
      <c r="AK350" s="2">
        <f t="shared" si="9"/>
        <v>0</v>
      </c>
      <c r="AL350" s="2">
        <f t="shared" si="10"/>
        <v>0</v>
      </c>
      <c r="AM350" s="2" t="str">
        <f t="array" ref="AM350">IF($K350="",0,IFERROR(INDEX(CALC!$F$2:$F$33,MATCH($K350,CALC!$A$2:$A$33,0)),0))</f>
        <v/>
      </c>
      <c r="AN350" s="2" t="str">
        <f t="array" ref="AN350">IF($K350="",0,IFERROR(INDEX(CALC!$I$2:$I$33,MATCH($K350,CALC!$A$2:$A$33,0)),0))</f>
        <v/>
      </c>
      <c r="AO350" s="2" t="str">
        <f t="array" ref="AO350">IF($K350="",0,IFERROR(INDEX(CALC!$L$2:$L$33,MATCH($K350,CALC!$A$2:$A$33,0)),0))</f>
        <v/>
      </c>
      <c r="AP350" s="2" t="str">
        <f t="array" ref="AP350">IF($K350="",0,IFERROR(INDEX(CALC!$T$2:$T$33,MATCH($K350,CALC!$A$2:$A$33,0)),0))</f>
        <v/>
      </c>
      <c r="AQ350" s="2" t="str">
        <f t="array" ref="AQ350">IF($K350="",0,IFERROR(INDEX(CALC!$W$2:$W$33,MATCH($K350,CALC!$A$2:$A$33,0)),0))</f>
        <v/>
      </c>
      <c r="AR350" s="2" t="str">
        <f t="array" ref="AR350">IF($K350="",0,IFERROR(INDEX(CALC!$Z$2:$Z$33,MATCH($K350,CALC!$A$2:$A$33,0)),0))</f>
        <v/>
      </c>
      <c r="AS350" s="2" t="str">
        <f t="array" ref="AS350">IF($K350="",0,IFERROR(INDEX(CALC!$AJ$2:$AJ$33,MATCH($K350,CALC!$A$2:$A$33,0)),0))</f>
        <v/>
      </c>
      <c r="AT350" s="2" t="str">
        <f t="array" ref="AT350">IF($K350="",0,IFERROR(INDEX(CALC!$AI$2:$AI$33,MATCH($K350,CALC!$A$2:$A$33,0)),0))</f>
        <v/>
      </c>
      <c r="AU350" s="2">
        <f t="shared" si="11"/>
        <v>0</v>
      </c>
      <c r="AV350" s="2">
        <f t="shared" si="12"/>
        <v>0</v>
      </c>
    </row>
    <row r="351" ht="15.0" customHeight="1">
      <c r="A351" s="2">
        <v>175.0</v>
      </c>
      <c r="B351" s="2" t="s">
        <v>2365</v>
      </c>
      <c r="C351" s="2">
        <f>IFERROR(MATCH($A351,SchedSeq,0),"")</f>
        <v>460</v>
      </c>
      <c r="D351" s="2" t="str">
        <f t="array" ref="D351">IF($C351="","",INDEX(SchedZone,$C351,MAP!$B$6))</f>
        <v>2026_12_TEN_JAX</v>
      </c>
      <c r="E351" s="2">
        <f t="array" ref="E351">IF($C351="","",INDEX(SchedZone,$C351,MAP!$B$3))</f>
        <v>2026</v>
      </c>
      <c r="F351" s="2" t="str">
        <f t="array" ref="F351">IF($C351="","",INDEX(SchedZone,$C351,MAP!$B$5))</f>
        <v>REG</v>
      </c>
      <c r="G351" s="2">
        <f t="array" ref="G351">IF($C351="","",INDEX(SchedZone,$C351,MAP!$B$4))</f>
        <v>12</v>
      </c>
      <c r="H351" s="2" t="str">
        <f t="array" ref="H351">IF($C351="","",INDEX(SchedZone,$C351,MAP!$B$12))</f>
        <v>JAX</v>
      </c>
      <c r="I351" s="2" t="str">
        <f t="array" ref="I351">IF($H351="","",IF(COUNTIF(Teams,$H351)&gt;0,$H351,IFERROR(INDEX(LISTS!$D$2:$D$12,MATCH($H351,LISTS!$C$2:$C$12,0)),"⚠ "&amp;$H351)))</f>
        <v>JAX</v>
      </c>
      <c r="J351" s="2" t="str">
        <f t="array" ref="J351">IF($C351="","",INDEX(SchedZone,$C351,MAP!$B$10))</f>
        <v>TEN</v>
      </c>
      <c r="K351" s="2" t="str">
        <f t="array" ref="K351">IF($J351="","",IF(COUNTIF(Teams,$J351)&gt;0,$J351,IFERROR(INDEX(LISTS!$D$2:$D$12,MATCH($J351,LISTS!$C$2:$C$12,0)),"⚠ "&amp;$J351)))</f>
        <v>TEN</v>
      </c>
      <c r="L351" s="2" t="str">
        <f t="array" ref="L351">IF($C351="","",IF(INDEX(SchedZone,$C351,MAP!$B$14)="Neutral","N",IF($B351="HOME","H","A")))</f>
        <v>H</v>
      </c>
      <c r="M351" s="2" t="str">
        <f t="array" ref="M351">IF($C351="","",IF(INDEX(SchedZone,$C351,MAP!$B$13)="","",INDEX(SchedZone,$C351,MAP!$B$13)))</f>
        <v/>
      </c>
      <c r="N351" s="2" t="str">
        <f t="array" ref="N351">IF($C351="","",IF(INDEX(SchedZone,$C351,MAP!$B$11)="","",INDEX(SchedZone,$C351,MAP!$B$11)))</f>
        <v/>
      </c>
      <c r="O351" s="2">
        <f t="array" ref="O351">IF($C351="","",INDEX(SchedZone,$C351,MAP!$B$16))</f>
        <v>7</v>
      </c>
      <c r="P351" s="2" t="str">
        <f>IF($C351="","",IFERROR(MATCH($E351&amp;"|"&amp;$G351&amp;"|"&amp;$I351,StatsKey,0),""))</f>
        <v/>
      </c>
      <c r="Q351" s="2">
        <f t="array" ref="Q351">IF($P351="",0,INDEX(StatsZone,$P351,MAP!$E$9)+INDEX(StatsZone,$P351,MAP!$E$10)+INDEX(StatsZone,$P351,MAP!$E$11))</f>
        <v>0</v>
      </c>
      <c r="R351" s="2">
        <f t="array" ref="R351">IF($P351="",0,INDEX(StatsZone,$P351,MAP!$E$12))</f>
        <v>0</v>
      </c>
      <c r="S351" s="2">
        <f t="array" ref="S351">IF($P351="",0,INDEX(StatsZone,$P351,MAP!$E$13))</f>
        <v>0</v>
      </c>
      <c r="T351" s="2">
        <f t="shared" si="1"/>
        <v>0</v>
      </c>
      <c r="U351" s="2">
        <f t="array" ref="U351">IF($P351="",0,INDEX(StatsZone,$P351,MAP!$E$14)+INDEX(StatsZone,$P351,MAP!$E$15)+INDEX(StatsZone,$P351,MAP!$E$16))</f>
        <v>0</v>
      </c>
      <c r="V351" s="2">
        <f t="shared" si="2"/>
        <v>0</v>
      </c>
      <c r="W351" s="2">
        <f t="shared" si="3"/>
        <v>0</v>
      </c>
      <c r="X351" s="2">
        <f t="shared" si="4"/>
        <v>0</v>
      </c>
      <c r="Y351" s="2">
        <f t="shared" si="5"/>
        <v>0</v>
      </c>
      <c r="Z351" s="2">
        <f t="shared" si="6"/>
        <v>0</v>
      </c>
      <c r="AA351" s="2">
        <f t="shared" si="7"/>
        <v>1</v>
      </c>
      <c r="AB351" s="2">
        <f>IF(OR($M351="",$N351=""),0,MEDIAN(-MarginCap,MarginCap,($M351-$N351)-$AA351*HFA_Base))</f>
        <v>0</v>
      </c>
      <c r="AC351" s="2">
        <f t="array" ref="AC351">IF(OR($P351="",INDEX($P$3:$P$722,(ROW()+IF(MOD(ROW()-3,2)=0,1,-1))-3+1)=""),0,MEDIAN(-MarginCap,MarginCap,($T351-$W351)-$AA351*HFA_Base))</f>
        <v>0</v>
      </c>
      <c r="AD351" s="2">
        <f t="shared" si="8"/>
        <v>0</v>
      </c>
      <c r="AE351" s="2">
        <f>IF(OR($M351="",$N351=""),0,IF(AND(WEpa&gt;0,$AD351=1),(1-WEpa)*$AB351+WEpa*$AC351,$AB351))</f>
        <v>0</v>
      </c>
      <c r="AF351" s="2">
        <f>IF(AND($C351&lt;&gt;"",$E351=CurrentSeason,$F351="REG",ISNUMBER($G351),$G351&lt;CurrentWeek,AND($M351&lt;&gt;"",$N351&lt;&gt;"")),1,0)</f>
        <v>0</v>
      </c>
      <c r="AG351" s="2">
        <f>IF($AF351=0,0,IF($G351&gt;=CurrentWeek-RecencyWin,RecencyMult,1))</f>
        <v>0</v>
      </c>
      <c r="AH351" s="2">
        <f>IF(AND($C351&lt;&gt;"",$E351=CurrentSeason,$F351="REG",ISNUMBER($G351),$G351&lt;CurrentWeek-1,AND($M351&lt;&gt;"",$N351&lt;&gt;"")),1,0)</f>
        <v>0</v>
      </c>
      <c r="AI351" s="2">
        <f>IF($AH351=0,0,IF($G351&gt;=CurrentWeek-1-RecencyWin,RecencyMult,1))</f>
        <v>0</v>
      </c>
      <c r="AJ351" s="2">
        <f>IF($AF351=0,0,IF($G351&gt;=CurrentWeek-RecencyWin,TotRecency,1))</f>
        <v>0</v>
      </c>
      <c r="AK351" s="2">
        <f t="shared" si="9"/>
        <v>0</v>
      </c>
      <c r="AL351" s="2">
        <f t="shared" si="10"/>
        <v>0</v>
      </c>
      <c r="AM351" s="2" t="str">
        <f t="array" ref="AM351">IF($K351="",0,IFERROR(INDEX(CALC!$F$2:$F$33,MATCH($K351,CALC!$A$2:$A$33,0)),0))</f>
        <v/>
      </c>
      <c r="AN351" s="2" t="str">
        <f t="array" ref="AN351">IF($K351="",0,IFERROR(INDEX(CALC!$I$2:$I$33,MATCH($K351,CALC!$A$2:$A$33,0)),0))</f>
        <v/>
      </c>
      <c r="AO351" s="2" t="str">
        <f t="array" ref="AO351">IF($K351="",0,IFERROR(INDEX(CALC!$L$2:$L$33,MATCH($K351,CALC!$A$2:$A$33,0)),0))</f>
        <v/>
      </c>
      <c r="AP351" s="2" t="str">
        <f t="array" ref="AP351">IF($K351="",0,IFERROR(INDEX(CALC!$T$2:$T$33,MATCH($K351,CALC!$A$2:$A$33,0)),0))</f>
        <v/>
      </c>
      <c r="AQ351" s="2" t="str">
        <f t="array" ref="AQ351">IF($K351="",0,IFERROR(INDEX(CALC!$W$2:$W$33,MATCH($K351,CALC!$A$2:$A$33,0)),0))</f>
        <v/>
      </c>
      <c r="AR351" s="2" t="str">
        <f t="array" ref="AR351">IF($K351="",0,IFERROR(INDEX(CALC!$Z$2:$Z$33,MATCH($K351,CALC!$A$2:$A$33,0)),0))</f>
        <v/>
      </c>
      <c r="AS351" s="2" t="str">
        <f t="array" ref="AS351">IF($K351="",0,IFERROR(INDEX(CALC!$AJ$2:$AJ$33,MATCH($K351,CALC!$A$2:$A$33,0)),0))</f>
        <v/>
      </c>
      <c r="AT351" s="2" t="str">
        <f t="array" ref="AT351">IF($K351="",0,IFERROR(INDEX(CALC!$AI$2:$AI$33,MATCH($K351,CALC!$A$2:$A$33,0)),0))</f>
        <v/>
      </c>
      <c r="AU351" s="2">
        <f t="shared" si="11"/>
        <v>0</v>
      </c>
      <c r="AV351" s="2">
        <f t="shared" si="12"/>
        <v>0</v>
      </c>
    </row>
    <row r="352" ht="15.0" customHeight="1">
      <c r="A352" s="2">
        <v>175.0</v>
      </c>
      <c r="B352" s="2" t="s">
        <v>2366</v>
      </c>
      <c r="C352" s="2">
        <f>IFERROR(MATCH($A352,SchedSeq,0),"")</f>
        <v>460</v>
      </c>
      <c r="D352" s="2" t="str">
        <f t="array" ref="D352">IF($C352="","",INDEX(SchedZone,$C352,MAP!$B$6))</f>
        <v>2026_12_TEN_JAX</v>
      </c>
      <c r="E352" s="2">
        <f t="array" ref="E352">IF($C352="","",INDEX(SchedZone,$C352,MAP!$B$3))</f>
        <v>2026</v>
      </c>
      <c r="F352" s="2" t="str">
        <f t="array" ref="F352">IF($C352="","",INDEX(SchedZone,$C352,MAP!$B$5))</f>
        <v>REG</v>
      </c>
      <c r="G352" s="2">
        <f t="array" ref="G352">IF($C352="","",INDEX(SchedZone,$C352,MAP!$B$4))</f>
        <v>12</v>
      </c>
      <c r="H352" s="2" t="str">
        <f t="array" ref="H352">IF($C352="","",INDEX(SchedZone,$C352,MAP!$B$10))</f>
        <v>TEN</v>
      </c>
      <c r="I352" s="2" t="str">
        <f t="array" ref="I352">IF($H352="","",IF(COUNTIF(Teams,$H352)&gt;0,$H352,IFERROR(INDEX(LISTS!$D$2:$D$12,MATCH($H352,LISTS!$C$2:$C$12,0)),"⚠ "&amp;$H352)))</f>
        <v>TEN</v>
      </c>
      <c r="J352" s="2" t="str">
        <f t="array" ref="J352">IF($C352="","",INDEX(SchedZone,$C352,MAP!$B$12))</f>
        <v>JAX</v>
      </c>
      <c r="K352" s="2" t="str">
        <f t="array" ref="K352">IF($J352="","",IF(COUNTIF(Teams,$J352)&gt;0,$J352,IFERROR(INDEX(LISTS!$D$2:$D$12,MATCH($J352,LISTS!$C$2:$C$12,0)),"⚠ "&amp;$J352)))</f>
        <v>JAX</v>
      </c>
      <c r="L352" s="2" t="str">
        <f t="array" ref="L352">IF($C352="","",IF(INDEX(SchedZone,$C352,MAP!$B$14)="Neutral","N",IF($B352="HOME","H","A")))</f>
        <v>A</v>
      </c>
      <c r="M352" s="2" t="str">
        <f t="array" ref="M352">IF($C352="","",IF(INDEX(SchedZone,$C352,MAP!$B$11)="","",INDEX(SchedZone,$C352,MAP!$B$11)))</f>
        <v/>
      </c>
      <c r="N352" s="2" t="str">
        <f t="array" ref="N352">IF($C352="","",IF(INDEX(SchedZone,$C352,MAP!$B$13)="","",INDEX(SchedZone,$C352,MAP!$B$13)))</f>
        <v/>
      </c>
      <c r="O352" s="2">
        <f t="array" ref="O352">IF($C352="","",INDEX(SchedZone,$C352,MAP!$B$15))</f>
        <v>7</v>
      </c>
      <c r="P352" s="2" t="str">
        <f>IF($C352="","",IFERROR(MATCH($E352&amp;"|"&amp;$G352&amp;"|"&amp;$I352,StatsKey,0),""))</f>
        <v/>
      </c>
      <c r="Q352" s="2">
        <f t="array" ref="Q352">IF($P352="",0,INDEX(StatsZone,$P352,MAP!$E$9)+INDEX(StatsZone,$P352,MAP!$E$10)+INDEX(StatsZone,$P352,MAP!$E$11))</f>
        <v>0</v>
      </c>
      <c r="R352" s="2">
        <f t="array" ref="R352">IF($P352="",0,INDEX(StatsZone,$P352,MAP!$E$12))</f>
        <v>0</v>
      </c>
      <c r="S352" s="2">
        <f t="array" ref="S352">IF($P352="",0,INDEX(StatsZone,$P352,MAP!$E$13))</f>
        <v>0</v>
      </c>
      <c r="T352" s="2">
        <f t="shared" si="1"/>
        <v>0</v>
      </c>
      <c r="U352" s="2">
        <f t="array" ref="U352">IF($P352="",0,INDEX(StatsZone,$P352,MAP!$E$14)+INDEX(StatsZone,$P352,MAP!$E$15)+INDEX(StatsZone,$P352,MAP!$E$16))</f>
        <v>0</v>
      </c>
      <c r="V352" s="2">
        <f t="shared" si="2"/>
        <v>0</v>
      </c>
      <c r="W352" s="2">
        <f t="shared" si="3"/>
        <v>0</v>
      </c>
      <c r="X352" s="2">
        <f t="shared" si="4"/>
        <v>0</v>
      </c>
      <c r="Y352" s="2">
        <f t="shared" si="5"/>
        <v>0</v>
      </c>
      <c r="Z352" s="2">
        <f t="shared" si="6"/>
        <v>0</v>
      </c>
      <c r="AA352" s="2">
        <f t="shared" si="7"/>
        <v>-1</v>
      </c>
      <c r="AB352" s="2">
        <f>IF(OR($M352="",$N352=""),0,MEDIAN(-MarginCap,MarginCap,($M352-$N352)-$AA352*HFA_Base))</f>
        <v>0</v>
      </c>
      <c r="AC352" s="2">
        <f t="array" ref="AC352">IF(OR($P352="",INDEX($P$3:$P$722,(ROW()+IF(MOD(ROW()-3,2)=0,1,-1))-3+1)=""),0,MEDIAN(-MarginCap,MarginCap,($T352-$W352)-$AA352*HFA_Base))</f>
        <v>0</v>
      </c>
      <c r="AD352" s="2">
        <f t="shared" si="8"/>
        <v>0</v>
      </c>
      <c r="AE352" s="2">
        <f>IF(OR($M352="",$N352=""),0,IF(AND(WEpa&gt;0,$AD352=1),(1-WEpa)*$AB352+WEpa*$AC352,$AB352))</f>
        <v>0</v>
      </c>
      <c r="AF352" s="2">
        <f>IF(AND($C352&lt;&gt;"",$E352=CurrentSeason,$F352="REG",ISNUMBER($G352),$G352&lt;CurrentWeek,AND($M352&lt;&gt;"",$N352&lt;&gt;"")),1,0)</f>
        <v>0</v>
      </c>
      <c r="AG352" s="2">
        <f>IF($AF352=0,0,IF($G352&gt;=CurrentWeek-RecencyWin,RecencyMult,1))</f>
        <v>0</v>
      </c>
      <c r="AH352" s="2">
        <f>IF(AND($C352&lt;&gt;"",$E352=CurrentSeason,$F352="REG",ISNUMBER($G352),$G352&lt;CurrentWeek-1,AND($M352&lt;&gt;"",$N352&lt;&gt;"")),1,0)</f>
        <v>0</v>
      </c>
      <c r="AI352" s="2">
        <f>IF($AH352=0,0,IF($G352&gt;=CurrentWeek-1-RecencyWin,RecencyMult,1))</f>
        <v>0</v>
      </c>
      <c r="AJ352" s="2">
        <f>IF($AF352=0,0,IF($G352&gt;=CurrentWeek-RecencyWin,TotRecency,1))</f>
        <v>0</v>
      </c>
      <c r="AK352" s="2">
        <f t="shared" si="9"/>
        <v>0</v>
      </c>
      <c r="AL352" s="2">
        <f t="shared" si="10"/>
        <v>0</v>
      </c>
      <c r="AM352" s="2" t="str">
        <f t="array" ref="AM352">IF($K352="",0,IFERROR(INDEX(CALC!$F$2:$F$33,MATCH($K352,CALC!$A$2:$A$33,0)),0))</f>
        <v/>
      </c>
      <c r="AN352" s="2" t="str">
        <f t="array" ref="AN352">IF($K352="",0,IFERROR(INDEX(CALC!$I$2:$I$33,MATCH($K352,CALC!$A$2:$A$33,0)),0))</f>
        <v/>
      </c>
      <c r="AO352" s="2" t="str">
        <f t="array" ref="AO352">IF($K352="",0,IFERROR(INDEX(CALC!$L$2:$L$33,MATCH($K352,CALC!$A$2:$A$33,0)),0))</f>
        <v/>
      </c>
      <c r="AP352" s="2" t="str">
        <f t="array" ref="AP352">IF($K352="",0,IFERROR(INDEX(CALC!$T$2:$T$33,MATCH($K352,CALC!$A$2:$A$33,0)),0))</f>
        <v/>
      </c>
      <c r="AQ352" s="2" t="str">
        <f t="array" ref="AQ352">IF($K352="",0,IFERROR(INDEX(CALC!$W$2:$W$33,MATCH($K352,CALC!$A$2:$A$33,0)),0))</f>
        <v/>
      </c>
      <c r="AR352" s="2" t="str">
        <f t="array" ref="AR352">IF($K352="",0,IFERROR(INDEX(CALC!$Z$2:$Z$33,MATCH($K352,CALC!$A$2:$A$33,0)),0))</f>
        <v/>
      </c>
      <c r="AS352" s="2" t="str">
        <f t="array" ref="AS352">IF($K352="",0,IFERROR(INDEX(CALC!$AJ$2:$AJ$33,MATCH($K352,CALC!$A$2:$A$33,0)),0))</f>
        <v/>
      </c>
      <c r="AT352" s="2" t="str">
        <f t="array" ref="AT352">IF($K352="",0,IFERROR(INDEX(CALC!$AI$2:$AI$33,MATCH($K352,CALC!$A$2:$A$33,0)),0))</f>
        <v/>
      </c>
      <c r="AU352" s="2">
        <f t="shared" si="11"/>
        <v>0</v>
      </c>
      <c r="AV352" s="2">
        <f t="shared" si="12"/>
        <v>0</v>
      </c>
    </row>
    <row r="353" ht="15.0" customHeight="1">
      <c r="A353" s="2">
        <v>176.0</v>
      </c>
      <c r="B353" s="2" t="s">
        <v>2365</v>
      </c>
      <c r="C353" s="2">
        <f>IFERROR(MATCH($A353,SchedSeq,0),"")</f>
        <v>461</v>
      </c>
      <c r="D353" s="2" t="str">
        <f t="array" ref="D353">IF($C353="","",INDEX(SchedZone,$C353,MAP!$B$6))</f>
        <v>2026_12_WAS_ARI</v>
      </c>
      <c r="E353" s="2">
        <f t="array" ref="E353">IF($C353="","",INDEX(SchedZone,$C353,MAP!$B$3))</f>
        <v>2026</v>
      </c>
      <c r="F353" s="2" t="str">
        <f t="array" ref="F353">IF($C353="","",INDEX(SchedZone,$C353,MAP!$B$5))</f>
        <v>REG</v>
      </c>
      <c r="G353" s="2">
        <f t="array" ref="G353">IF($C353="","",INDEX(SchedZone,$C353,MAP!$B$4))</f>
        <v>12</v>
      </c>
      <c r="H353" s="2" t="str">
        <f t="array" ref="H353">IF($C353="","",INDEX(SchedZone,$C353,MAP!$B$12))</f>
        <v>ARI</v>
      </c>
      <c r="I353" s="2" t="str">
        <f t="array" ref="I353">IF($H353="","",IF(COUNTIF(Teams,$H353)&gt;0,$H353,IFERROR(INDEX(LISTS!$D$2:$D$12,MATCH($H353,LISTS!$C$2:$C$12,0)),"⚠ "&amp;$H353)))</f>
        <v>ARI</v>
      </c>
      <c r="J353" s="2" t="str">
        <f t="array" ref="J353">IF($C353="","",INDEX(SchedZone,$C353,MAP!$B$10))</f>
        <v>WAS</v>
      </c>
      <c r="K353" s="2" t="str">
        <f t="array" ref="K353">IF($J353="","",IF(COUNTIF(Teams,$J353)&gt;0,$J353,IFERROR(INDEX(LISTS!$D$2:$D$12,MATCH($J353,LISTS!$C$2:$C$12,0)),"⚠ "&amp;$J353)))</f>
        <v>WAS</v>
      </c>
      <c r="L353" s="2" t="str">
        <f t="array" ref="L353">IF($C353="","",IF(INDEX(SchedZone,$C353,MAP!$B$14)="Neutral","N",IF($B353="HOME","H","A")))</f>
        <v>H</v>
      </c>
      <c r="M353" s="2" t="str">
        <f t="array" ref="M353">IF($C353="","",IF(INDEX(SchedZone,$C353,MAP!$B$13)="","",INDEX(SchedZone,$C353,MAP!$B$13)))</f>
        <v/>
      </c>
      <c r="N353" s="2" t="str">
        <f t="array" ref="N353">IF($C353="","",IF(INDEX(SchedZone,$C353,MAP!$B$11)="","",INDEX(SchedZone,$C353,MAP!$B$11)))</f>
        <v/>
      </c>
      <c r="O353" s="2">
        <f t="array" ref="O353">IF($C353="","",INDEX(SchedZone,$C353,MAP!$B$16))</f>
        <v>7</v>
      </c>
      <c r="P353" s="2" t="str">
        <f>IF($C353="","",IFERROR(MATCH($E353&amp;"|"&amp;$G353&amp;"|"&amp;$I353,StatsKey,0),""))</f>
        <v/>
      </c>
      <c r="Q353" s="2">
        <f t="array" ref="Q353">IF($P353="",0,INDEX(StatsZone,$P353,MAP!$E$9)+INDEX(StatsZone,$P353,MAP!$E$10)+INDEX(StatsZone,$P353,MAP!$E$11))</f>
        <v>0</v>
      </c>
      <c r="R353" s="2">
        <f t="array" ref="R353">IF($P353="",0,INDEX(StatsZone,$P353,MAP!$E$12))</f>
        <v>0</v>
      </c>
      <c r="S353" s="2">
        <f t="array" ref="S353">IF($P353="",0,INDEX(StatsZone,$P353,MAP!$E$13))</f>
        <v>0</v>
      </c>
      <c r="T353" s="2">
        <f t="shared" si="1"/>
        <v>0</v>
      </c>
      <c r="U353" s="2">
        <f t="array" ref="U353">IF($P353="",0,INDEX(StatsZone,$P353,MAP!$E$14)+INDEX(StatsZone,$P353,MAP!$E$15)+INDEX(StatsZone,$P353,MAP!$E$16))</f>
        <v>0</v>
      </c>
      <c r="V353" s="2">
        <f t="shared" si="2"/>
        <v>0</v>
      </c>
      <c r="W353" s="2">
        <f t="shared" si="3"/>
        <v>0</v>
      </c>
      <c r="X353" s="2">
        <f t="shared" si="4"/>
        <v>0</v>
      </c>
      <c r="Y353" s="2">
        <f t="shared" si="5"/>
        <v>0</v>
      </c>
      <c r="Z353" s="2">
        <f t="shared" si="6"/>
        <v>0</v>
      </c>
      <c r="AA353" s="2">
        <f t="shared" si="7"/>
        <v>1</v>
      </c>
      <c r="AB353" s="2">
        <f>IF(OR($M353="",$N353=""),0,MEDIAN(-MarginCap,MarginCap,($M353-$N353)-$AA353*HFA_Base))</f>
        <v>0</v>
      </c>
      <c r="AC353" s="2">
        <f t="array" ref="AC353">IF(OR($P353="",INDEX($P$3:$P$722,(ROW()+IF(MOD(ROW()-3,2)=0,1,-1))-3+1)=""),0,MEDIAN(-MarginCap,MarginCap,($T353-$W353)-$AA353*HFA_Base))</f>
        <v>0</v>
      </c>
      <c r="AD353" s="2">
        <f t="shared" si="8"/>
        <v>0</v>
      </c>
      <c r="AE353" s="2">
        <f>IF(OR($M353="",$N353=""),0,IF(AND(WEpa&gt;0,$AD353=1),(1-WEpa)*$AB353+WEpa*$AC353,$AB353))</f>
        <v>0</v>
      </c>
      <c r="AF353" s="2">
        <f>IF(AND($C353&lt;&gt;"",$E353=CurrentSeason,$F353="REG",ISNUMBER($G353),$G353&lt;CurrentWeek,AND($M353&lt;&gt;"",$N353&lt;&gt;"")),1,0)</f>
        <v>0</v>
      </c>
      <c r="AG353" s="2">
        <f>IF($AF353=0,0,IF($G353&gt;=CurrentWeek-RecencyWin,RecencyMult,1))</f>
        <v>0</v>
      </c>
      <c r="AH353" s="2">
        <f>IF(AND($C353&lt;&gt;"",$E353=CurrentSeason,$F353="REG",ISNUMBER($G353),$G353&lt;CurrentWeek-1,AND($M353&lt;&gt;"",$N353&lt;&gt;"")),1,0)</f>
        <v>0</v>
      </c>
      <c r="AI353" s="2">
        <f>IF($AH353=0,0,IF($G353&gt;=CurrentWeek-1-RecencyWin,RecencyMult,1))</f>
        <v>0</v>
      </c>
      <c r="AJ353" s="2">
        <f>IF($AF353=0,0,IF($G353&gt;=CurrentWeek-RecencyWin,TotRecency,1))</f>
        <v>0</v>
      </c>
      <c r="AK353" s="2">
        <f t="shared" si="9"/>
        <v>0</v>
      </c>
      <c r="AL353" s="2">
        <f t="shared" si="10"/>
        <v>0</v>
      </c>
      <c r="AM353" s="2" t="str">
        <f t="array" ref="AM353">IF($K353="",0,IFERROR(INDEX(CALC!$F$2:$F$33,MATCH($K353,CALC!$A$2:$A$33,0)),0))</f>
        <v/>
      </c>
      <c r="AN353" s="2" t="str">
        <f t="array" ref="AN353">IF($K353="",0,IFERROR(INDEX(CALC!$I$2:$I$33,MATCH($K353,CALC!$A$2:$A$33,0)),0))</f>
        <v/>
      </c>
      <c r="AO353" s="2" t="str">
        <f t="array" ref="AO353">IF($K353="",0,IFERROR(INDEX(CALC!$L$2:$L$33,MATCH($K353,CALC!$A$2:$A$33,0)),0))</f>
        <v/>
      </c>
      <c r="AP353" s="2" t="str">
        <f t="array" ref="AP353">IF($K353="",0,IFERROR(INDEX(CALC!$T$2:$T$33,MATCH($K353,CALC!$A$2:$A$33,0)),0))</f>
        <v/>
      </c>
      <c r="AQ353" s="2" t="str">
        <f t="array" ref="AQ353">IF($K353="",0,IFERROR(INDEX(CALC!$W$2:$W$33,MATCH($K353,CALC!$A$2:$A$33,0)),0))</f>
        <v/>
      </c>
      <c r="AR353" s="2" t="str">
        <f t="array" ref="AR353">IF($K353="",0,IFERROR(INDEX(CALC!$Z$2:$Z$33,MATCH($K353,CALC!$A$2:$A$33,0)),0))</f>
        <v/>
      </c>
      <c r="AS353" s="2" t="str">
        <f t="array" ref="AS353">IF($K353="",0,IFERROR(INDEX(CALC!$AJ$2:$AJ$33,MATCH($K353,CALC!$A$2:$A$33,0)),0))</f>
        <v/>
      </c>
      <c r="AT353" s="2" t="str">
        <f t="array" ref="AT353">IF($K353="",0,IFERROR(INDEX(CALC!$AI$2:$AI$33,MATCH($K353,CALC!$A$2:$A$33,0)),0))</f>
        <v/>
      </c>
      <c r="AU353" s="2">
        <f t="shared" si="11"/>
        <v>0</v>
      </c>
      <c r="AV353" s="2">
        <f t="shared" si="12"/>
        <v>0</v>
      </c>
    </row>
    <row r="354" ht="15.0" customHeight="1">
      <c r="A354" s="2">
        <v>176.0</v>
      </c>
      <c r="B354" s="2" t="s">
        <v>2366</v>
      </c>
      <c r="C354" s="2">
        <f>IFERROR(MATCH($A354,SchedSeq,0),"")</f>
        <v>461</v>
      </c>
      <c r="D354" s="2" t="str">
        <f t="array" ref="D354">IF($C354="","",INDEX(SchedZone,$C354,MAP!$B$6))</f>
        <v>2026_12_WAS_ARI</v>
      </c>
      <c r="E354" s="2">
        <f t="array" ref="E354">IF($C354="","",INDEX(SchedZone,$C354,MAP!$B$3))</f>
        <v>2026</v>
      </c>
      <c r="F354" s="2" t="str">
        <f t="array" ref="F354">IF($C354="","",INDEX(SchedZone,$C354,MAP!$B$5))</f>
        <v>REG</v>
      </c>
      <c r="G354" s="2">
        <f t="array" ref="G354">IF($C354="","",INDEX(SchedZone,$C354,MAP!$B$4))</f>
        <v>12</v>
      </c>
      <c r="H354" s="2" t="str">
        <f t="array" ref="H354">IF($C354="","",INDEX(SchedZone,$C354,MAP!$B$10))</f>
        <v>WAS</v>
      </c>
      <c r="I354" s="2" t="str">
        <f t="array" ref="I354">IF($H354="","",IF(COUNTIF(Teams,$H354)&gt;0,$H354,IFERROR(INDEX(LISTS!$D$2:$D$12,MATCH($H354,LISTS!$C$2:$C$12,0)),"⚠ "&amp;$H354)))</f>
        <v>WAS</v>
      </c>
      <c r="J354" s="2" t="str">
        <f t="array" ref="J354">IF($C354="","",INDEX(SchedZone,$C354,MAP!$B$12))</f>
        <v>ARI</v>
      </c>
      <c r="K354" s="2" t="str">
        <f t="array" ref="K354">IF($J354="","",IF(COUNTIF(Teams,$J354)&gt;0,$J354,IFERROR(INDEX(LISTS!$D$2:$D$12,MATCH($J354,LISTS!$C$2:$C$12,0)),"⚠ "&amp;$J354)))</f>
        <v>ARI</v>
      </c>
      <c r="L354" s="2" t="str">
        <f t="array" ref="L354">IF($C354="","",IF(INDEX(SchedZone,$C354,MAP!$B$14)="Neutral","N",IF($B354="HOME","H","A")))</f>
        <v>A</v>
      </c>
      <c r="M354" s="2" t="str">
        <f t="array" ref="M354">IF($C354="","",IF(INDEX(SchedZone,$C354,MAP!$B$11)="","",INDEX(SchedZone,$C354,MAP!$B$11)))</f>
        <v/>
      </c>
      <c r="N354" s="2" t="str">
        <f t="array" ref="N354">IF($C354="","",IF(INDEX(SchedZone,$C354,MAP!$B$13)="","",INDEX(SchedZone,$C354,MAP!$B$13)))</f>
        <v/>
      </c>
      <c r="O354" s="2">
        <f t="array" ref="O354">IF($C354="","",INDEX(SchedZone,$C354,MAP!$B$15))</f>
        <v>6</v>
      </c>
      <c r="P354" s="2" t="str">
        <f>IF($C354="","",IFERROR(MATCH($E354&amp;"|"&amp;$G354&amp;"|"&amp;$I354,StatsKey,0),""))</f>
        <v/>
      </c>
      <c r="Q354" s="2">
        <f t="array" ref="Q354">IF($P354="",0,INDEX(StatsZone,$P354,MAP!$E$9)+INDEX(StatsZone,$P354,MAP!$E$10)+INDEX(StatsZone,$P354,MAP!$E$11))</f>
        <v>0</v>
      </c>
      <c r="R354" s="2">
        <f t="array" ref="R354">IF($P354="",0,INDEX(StatsZone,$P354,MAP!$E$12))</f>
        <v>0</v>
      </c>
      <c r="S354" s="2">
        <f t="array" ref="S354">IF($P354="",0,INDEX(StatsZone,$P354,MAP!$E$13))</f>
        <v>0</v>
      </c>
      <c r="T354" s="2">
        <f t="shared" si="1"/>
        <v>0</v>
      </c>
      <c r="U354" s="2">
        <f t="array" ref="U354">IF($P354="",0,INDEX(StatsZone,$P354,MAP!$E$14)+INDEX(StatsZone,$P354,MAP!$E$15)+INDEX(StatsZone,$P354,MAP!$E$16))</f>
        <v>0</v>
      </c>
      <c r="V354" s="2">
        <f t="shared" si="2"/>
        <v>0</v>
      </c>
      <c r="W354" s="2">
        <f t="shared" si="3"/>
        <v>0</v>
      </c>
      <c r="X354" s="2">
        <f t="shared" si="4"/>
        <v>0</v>
      </c>
      <c r="Y354" s="2">
        <f t="shared" si="5"/>
        <v>0</v>
      </c>
      <c r="Z354" s="2">
        <f t="shared" si="6"/>
        <v>0</v>
      </c>
      <c r="AA354" s="2">
        <f t="shared" si="7"/>
        <v>-1</v>
      </c>
      <c r="AB354" s="2">
        <f>IF(OR($M354="",$N354=""),0,MEDIAN(-MarginCap,MarginCap,($M354-$N354)-$AA354*HFA_Base))</f>
        <v>0</v>
      </c>
      <c r="AC354" s="2">
        <f t="array" ref="AC354">IF(OR($P354="",INDEX($P$3:$P$722,(ROW()+IF(MOD(ROW()-3,2)=0,1,-1))-3+1)=""),0,MEDIAN(-MarginCap,MarginCap,($T354-$W354)-$AA354*HFA_Base))</f>
        <v>0</v>
      </c>
      <c r="AD354" s="2">
        <f t="shared" si="8"/>
        <v>0</v>
      </c>
      <c r="AE354" s="2">
        <f>IF(OR($M354="",$N354=""),0,IF(AND(WEpa&gt;0,$AD354=1),(1-WEpa)*$AB354+WEpa*$AC354,$AB354))</f>
        <v>0</v>
      </c>
      <c r="AF354" s="2">
        <f>IF(AND($C354&lt;&gt;"",$E354=CurrentSeason,$F354="REG",ISNUMBER($G354),$G354&lt;CurrentWeek,AND($M354&lt;&gt;"",$N354&lt;&gt;"")),1,0)</f>
        <v>0</v>
      </c>
      <c r="AG354" s="2">
        <f>IF($AF354=0,0,IF($G354&gt;=CurrentWeek-RecencyWin,RecencyMult,1))</f>
        <v>0</v>
      </c>
      <c r="AH354" s="2">
        <f>IF(AND($C354&lt;&gt;"",$E354=CurrentSeason,$F354="REG",ISNUMBER($G354),$G354&lt;CurrentWeek-1,AND($M354&lt;&gt;"",$N354&lt;&gt;"")),1,0)</f>
        <v>0</v>
      </c>
      <c r="AI354" s="2">
        <f>IF($AH354=0,0,IF($G354&gt;=CurrentWeek-1-RecencyWin,RecencyMult,1))</f>
        <v>0</v>
      </c>
      <c r="AJ354" s="2">
        <f>IF($AF354=0,0,IF($G354&gt;=CurrentWeek-RecencyWin,TotRecency,1))</f>
        <v>0</v>
      </c>
      <c r="AK354" s="2">
        <f t="shared" si="9"/>
        <v>0</v>
      </c>
      <c r="AL354" s="2">
        <f t="shared" si="10"/>
        <v>0</v>
      </c>
      <c r="AM354" s="2" t="str">
        <f t="array" ref="AM354">IF($K354="",0,IFERROR(INDEX(CALC!$F$2:$F$33,MATCH($K354,CALC!$A$2:$A$33,0)),0))</f>
        <v/>
      </c>
      <c r="AN354" s="2" t="str">
        <f t="array" ref="AN354">IF($K354="",0,IFERROR(INDEX(CALC!$I$2:$I$33,MATCH($K354,CALC!$A$2:$A$33,0)),0))</f>
        <v/>
      </c>
      <c r="AO354" s="2" t="str">
        <f t="array" ref="AO354">IF($K354="",0,IFERROR(INDEX(CALC!$L$2:$L$33,MATCH($K354,CALC!$A$2:$A$33,0)),0))</f>
        <v/>
      </c>
      <c r="AP354" s="2" t="str">
        <f t="array" ref="AP354">IF($K354="",0,IFERROR(INDEX(CALC!$T$2:$T$33,MATCH($K354,CALC!$A$2:$A$33,0)),0))</f>
        <v/>
      </c>
      <c r="AQ354" s="2" t="str">
        <f t="array" ref="AQ354">IF($K354="",0,IFERROR(INDEX(CALC!$W$2:$W$33,MATCH($K354,CALC!$A$2:$A$33,0)),0))</f>
        <v/>
      </c>
      <c r="AR354" s="2" t="str">
        <f t="array" ref="AR354">IF($K354="",0,IFERROR(INDEX(CALC!$Z$2:$Z$33,MATCH($K354,CALC!$A$2:$A$33,0)),0))</f>
        <v/>
      </c>
      <c r="AS354" s="2" t="str">
        <f t="array" ref="AS354">IF($K354="",0,IFERROR(INDEX(CALC!$AJ$2:$AJ$33,MATCH($K354,CALC!$A$2:$A$33,0)),0))</f>
        <v/>
      </c>
      <c r="AT354" s="2" t="str">
        <f t="array" ref="AT354">IF($K354="",0,IFERROR(INDEX(CALC!$AI$2:$AI$33,MATCH($K354,CALC!$A$2:$A$33,0)),0))</f>
        <v/>
      </c>
      <c r="AU354" s="2">
        <f t="shared" si="11"/>
        <v>0</v>
      </c>
      <c r="AV354" s="2">
        <f t="shared" si="12"/>
        <v>0</v>
      </c>
    </row>
    <row r="355" ht="15.0" customHeight="1">
      <c r="A355" s="2">
        <v>177.0</v>
      </c>
      <c r="B355" s="2" t="s">
        <v>2365</v>
      </c>
      <c r="C355" s="2">
        <f>IFERROR(MATCH($A355,SchedSeq,0),"")</f>
        <v>462</v>
      </c>
      <c r="D355" s="2" t="str">
        <f t="array" ref="D355">IF($C355="","",INDEX(SchedZone,$C355,MAP!$B$6))</f>
        <v>2026_12_SEA_SF</v>
      </c>
      <c r="E355" s="2">
        <f t="array" ref="E355">IF($C355="","",INDEX(SchedZone,$C355,MAP!$B$3))</f>
        <v>2026</v>
      </c>
      <c r="F355" s="2" t="str">
        <f t="array" ref="F355">IF($C355="","",INDEX(SchedZone,$C355,MAP!$B$5))</f>
        <v>REG</v>
      </c>
      <c r="G355" s="2">
        <f t="array" ref="G355">IF($C355="","",INDEX(SchedZone,$C355,MAP!$B$4))</f>
        <v>12</v>
      </c>
      <c r="H355" s="2" t="str">
        <f t="array" ref="H355">IF($C355="","",INDEX(SchedZone,$C355,MAP!$B$12))</f>
        <v>SF</v>
      </c>
      <c r="I355" s="2" t="str">
        <f t="array" ref="I355">IF($H355="","",IF(COUNTIF(Teams,$H355)&gt;0,$H355,IFERROR(INDEX(LISTS!$D$2:$D$12,MATCH($H355,LISTS!$C$2:$C$12,0)),"⚠ "&amp;$H355)))</f>
        <v>SF</v>
      </c>
      <c r="J355" s="2" t="str">
        <f t="array" ref="J355">IF($C355="","",INDEX(SchedZone,$C355,MAP!$B$10))</f>
        <v>SEA</v>
      </c>
      <c r="K355" s="2" t="str">
        <f t="array" ref="K355">IF($J355="","",IF(COUNTIF(Teams,$J355)&gt;0,$J355,IFERROR(INDEX(LISTS!$D$2:$D$12,MATCH($J355,LISTS!$C$2:$C$12,0)),"⚠ "&amp;$J355)))</f>
        <v>SEA</v>
      </c>
      <c r="L355" s="2" t="str">
        <f t="array" ref="L355">IF($C355="","",IF(INDEX(SchedZone,$C355,MAP!$B$14)="Neutral","N",IF($B355="HOME","H","A")))</f>
        <v>H</v>
      </c>
      <c r="M355" s="2" t="str">
        <f t="array" ref="M355">IF($C355="","",IF(INDEX(SchedZone,$C355,MAP!$B$13)="","",INDEX(SchedZone,$C355,MAP!$B$13)))</f>
        <v/>
      </c>
      <c r="N355" s="2" t="str">
        <f t="array" ref="N355">IF($C355="","",IF(INDEX(SchedZone,$C355,MAP!$B$11)="","",INDEX(SchedZone,$C355,MAP!$B$11)))</f>
        <v/>
      </c>
      <c r="O355" s="2">
        <f t="array" ref="O355">IF($C355="","",INDEX(SchedZone,$C355,MAP!$B$16))</f>
        <v>7</v>
      </c>
      <c r="P355" s="2" t="str">
        <f>IF($C355="","",IFERROR(MATCH($E355&amp;"|"&amp;$G355&amp;"|"&amp;$I355,StatsKey,0),""))</f>
        <v/>
      </c>
      <c r="Q355" s="2">
        <f t="array" ref="Q355">IF($P355="",0,INDEX(StatsZone,$P355,MAP!$E$9)+INDEX(StatsZone,$P355,MAP!$E$10)+INDEX(StatsZone,$P355,MAP!$E$11))</f>
        <v>0</v>
      </c>
      <c r="R355" s="2">
        <f t="array" ref="R355">IF($P355="",0,INDEX(StatsZone,$P355,MAP!$E$12))</f>
        <v>0</v>
      </c>
      <c r="S355" s="2">
        <f t="array" ref="S355">IF($P355="",0,INDEX(StatsZone,$P355,MAP!$E$13))</f>
        <v>0</v>
      </c>
      <c r="T355" s="2">
        <f t="shared" si="1"/>
        <v>0</v>
      </c>
      <c r="U355" s="2">
        <f t="array" ref="U355">IF($P355="",0,INDEX(StatsZone,$P355,MAP!$E$14)+INDEX(StatsZone,$P355,MAP!$E$15)+INDEX(StatsZone,$P355,MAP!$E$16))</f>
        <v>0</v>
      </c>
      <c r="V355" s="2">
        <f t="shared" si="2"/>
        <v>0</v>
      </c>
      <c r="W355" s="2">
        <f t="shared" si="3"/>
        <v>0</v>
      </c>
      <c r="X355" s="2">
        <f t="shared" si="4"/>
        <v>0</v>
      </c>
      <c r="Y355" s="2">
        <f t="shared" si="5"/>
        <v>0</v>
      </c>
      <c r="Z355" s="2">
        <f t="shared" si="6"/>
        <v>0</v>
      </c>
      <c r="AA355" s="2">
        <f t="shared" si="7"/>
        <v>1</v>
      </c>
      <c r="AB355" s="2">
        <f>IF(OR($M355="",$N355=""),0,MEDIAN(-MarginCap,MarginCap,($M355-$N355)-$AA355*HFA_Base))</f>
        <v>0</v>
      </c>
      <c r="AC355" s="2">
        <f t="array" ref="AC355">IF(OR($P355="",INDEX($P$3:$P$722,(ROW()+IF(MOD(ROW()-3,2)=0,1,-1))-3+1)=""),0,MEDIAN(-MarginCap,MarginCap,($T355-$W355)-$AA355*HFA_Base))</f>
        <v>0</v>
      </c>
      <c r="AD355" s="2">
        <f t="shared" si="8"/>
        <v>0</v>
      </c>
      <c r="AE355" s="2">
        <f>IF(OR($M355="",$N355=""),0,IF(AND(WEpa&gt;0,$AD355=1),(1-WEpa)*$AB355+WEpa*$AC355,$AB355))</f>
        <v>0</v>
      </c>
      <c r="AF355" s="2">
        <f>IF(AND($C355&lt;&gt;"",$E355=CurrentSeason,$F355="REG",ISNUMBER($G355),$G355&lt;CurrentWeek,AND($M355&lt;&gt;"",$N355&lt;&gt;"")),1,0)</f>
        <v>0</v>
      </c>
      <c r="AG355" s="2">
        <f>IF($AF355=0,0,IF($G355&gt;=CurrentWeek-RecencyWin,RecencyMult,1))</f>
        <v>0</v>
      </c>
      <c r="AH355" s="2">
        <f>IF(AND($C355&lt;&gt;"",$E355=CurrentSeason,$F355="REG",ISNUMBER($G355),$G355&lt;CurrentWeek-1,AND($M355&lt;&gt;"",$N355&lt;&gt;"")),1,0)</f>
        <v>0</v>
      </c>
      <c r="AI355" s="2">
        <f>IF($AH355=0,0,IF($G355&gt;=CurrentWeek-1-RecencyWin,RecencyMult,1))</f>
        <v>0</v>
      </c>
      <c r="AJ355" s="2">
        <f>IF($AF355=0,0,IF($G355&gt;=CurrentWeek-RecencyWin,TotRecency,1))</f>
        <v>0</v>
      </c>
      <c r="AK355" s="2">
        <f t="shared" si="9"/>
        <v>0</v>
      </c>
      <c r="AL355" s="2">
        <f t="shared" si="10"/>
        <v>0</v>
      </c>
      <c r="AM355" s="2" t="str">
        <f t="array" ref="AM355">IF($K355="",0,IFERROR(INDEX(CALC!$F$2:$F$33,MATCH($K355,CALC!$A$2:$A$33,0)),0))</f>
        <v/>
      </c>
      <c r="AN355" s="2" t="str">
        <f t="array" ref="AN355">IF($K355="",0,IFERROR(INDEX(CALC!$I$2:$I$33,MATCH($K355,CALC!$A$2:$A$33,0)),0))</f>
        <v/>
      </c>
      <c r="AO355" s="2" t="str">
        <f t="array" ref="AO355">IF($K355="",0,IFERROR(INDEX(CALC!$L$2:$L$33,MATCH($K355,CALC!$A$2:$A$33,0)),0))</f>
        <v/>
      </c>
      <c r="AP355" s="2" t="str">
        <f t="array" ref="AP355">IF($K355="",0,IFERROR(INDEX(CALC!$T$2:$T$33,MATCH($K355,CALC!$A$2:$A$33,0)),0))</f>
        <v/>
      </c>
      <c r="AQ355" s="2" t="str">
        <f t="array" ref="AQ355">IF($K355="",0,IFERROR(INDEX(CALC!$W$2:$W$33,MATCH($K355,CALC!$A$2:$A$33,0)),0))</f>
        <v/>
      </c>
      <c r="AR355" s="2" t="str">
        <f t="array" ref="AR355">IF($K355="",0,IFERROR(INDEX(CALC!$Z$2:$Z$33,MATCH($K355,CALC!$A$2:$A$33,0)),0))</f>
        <v/>
      </c>
      <c r="AS355" s="2" t="str">
        <f t="array" ref="AS355">IF($K355="",0,IFERROR(INDEX(CALC!$AJ$2:$AJ$33,MATCH($K355,CALC!$A$2:$A$33,0)),0))</f>
        <v/>
      </c>
      <c r="AT355" s="2" t="str">
        <f t="array" ref="AT355">IF($K355="",0,IFERROR(INDEX(CALC!$AI$2:$AI$33,MATCH($K355,CALC!$A$2:$A$33,0)),0))</f>
        <v/>
      </c>
      <c r="AU355" s="2">
        <f t="shared" si="11"/>
        <v>0</v>
      </c>
      <c r="AV355" s="2">
        <f t="shared" si="12"/>
        <v>0</v>
      </c>
    </row>
    <row r="356" ht="15.0" customHeight="1">
      <c r="A356" s="2">
        <v>177.0</v>
      </c>
      <c r="B356" s="2" t="s">
        <v>2366</v>
      </c>
      <c r="C356" s="2">
        <f>IFERROR(MATCH($A356,SchedSeq,0),"")</f>
        <v>462</v>
      </c>
      <c r="D356" s="2" t="str">
        <f t="array" ref="D356">IF($C356="","",INDEX(SchedZone,$C356,MAP!$B$6))</f>
        <v>2026_12_SEA_SF</v>
      </c>
      <c r="E356" s="2">
        <f t="array" ref="E356">IF($C356="","",INDEX(SchedZone,$C356,MAP!$B$3))</f>
        <v>2026</v>
      </c>
      <c r="F356" s="2" t="str">
        <f t="array" ref="F356">IF($C356="","",INDEX(SchedZone,$C356,MAP!$B$5))</f>
        <v>REG</v>
      </c>
      <c r="G356" s="2">
        <f t="array" ref="G356">IF($C356="","",INDEX(SchedZone,$C356,MAP!$B$4))</f>
        <v>12</v>
      </c>
      <c r="H356" s="2" t="str">
        <f t="array" ref="H356">IF($C356="","",INDEX(SchedZone,$C356,MAP!$B$10))</f>
        <v>SEA</v>
      </c>
      <c r="I356" s="2" t="str">
        <f t="array" ref="I356">IF($H356="","",IF(COUNTIF(Teams,$H356)&gt;0,$H356,IFERROR(INDEX(LISTS!$D$2:$D$12,MATCH($H356,LISTS!$C$2:$C$12,0)),"⚠ "&amp;$H356)))</f>
        <v>SEA</v>
      </c>
      <c r="J356" s="2" t="str">
        <f t="array" ref="J356">IF($C356="","",INDEX(SchedZone,$C356,MAP!$B$12))</f>
        <v>SF</v>
      </c>
      <c r="K356" s="2" t="str">
        <f t="array" ref="K356">IF($J356="","",IF(COUNTIF(Teams,$J356)&gt;0,$J356,IFERROR(INDEX(LISTS!$D$2:$D$12,MATCH($J356,LISTS!$C$2:$C$12,0)),"⚠ "&amp;$J356)))</f>
        <v>SF</v>
      </c>
      <c r="L356" s="2" t="str">
        <f t="array" ref="L356">IF($C356="","",IF(INDEX(SchedZone,$C356,MAP!$B$14)="Neutral","N",IF($B356="HOME","H","A")))</f>
        <v>A</v>
      </c>
      <c r="M356" s="2" t="str">
        <f t="array" ref="M356">IF($C356="","",IF(INDEX(SchedZone,$C356,MAP!$B$11)="","",INDEX(SchedZone,$C356,MAP!$B$11)))</f>
        <v/>
      </c>
      <c r="N356" s="2" t="str">
        <f t="array" ref="N356">IF($C356="","",IF(INDEX(SchedZone,$C356,MAP!$B$13)="","",INDEX(SchedZone,$C356,MAP!$B$13)))</f>
        <v/>
      </c>
      <c r="O356" s="2">
        <f t="array" ref="O356">IF($C356="","",INDEX(SchedZone,$C356,MAP!$B$15))</f>
        <v>14</v>
      </c>
      <c r="P356" s="2" t="str">
        <f>IF($C356="","",IFERROR(MATCH($E356&amp;"|"&amp;$G356&amp;"|"&amp;$I356,StatsKey,0),""))</f>
        <v/>
      </c>
      <c r="Q356" s="2">
        <f t="array" ref="Q356">IF($P356="",0,INDEX(StatsZone,$P356,MAP!$E$9)+INDEX(StatsZone,$P356,MAP!$E$10)+INDEX(StatsZone,$P356,MAP!$E$11))</f>
        <v>0</v>
      </c>
      <c r="R356" s="2">
        <f t="array" ref="R356">IF($P356="",0,INDEX(StatsZone,$P356,MAP!$E$12))</f>
        <v>0</v>
      </c>
      <c r="S356" s="2">
        <f t="array" ref="S356">IF($P356="",0,INDEX(StatsZone,$P356,MAP!$E$13))</f>
        <v>0</v>
      </c>
      <c r="T356" s="2">
        <f t="shared" si="1"/>
        <v>0</v>
      </c>
      <c r="U356" s="2">
        <f t="array" ref="U356">IF($P356="",0,INDEX(StatsZone,$P356,MAP!$E$14)+INDEX(StatsZone,$P356,MAP!$E$15)+INDEX(StatsZone,$P356,MAP!$E$16))</f>
        <v>0</v>
      </c>
      <c r="V356" s="2">
        <f t="shared" si="2"/>
        <v>0</v>
      </c>
      <c r="W356" s="2">
        <f t="shared" si="3"/>
        <v>0</v>
      </c>
      <c r="X356" s="2">
        <f t="shared" si="4"/>
        <v>0</v>
      </c>
      <c r="Y356" s="2">
        <f t="shared" si="5"/>
        <v>0</v>
      </c>
      <c r="Z356" s="2">
        <f t="shared" si="6"/>
        <v>0</v>
      </c>
      <c r="AA356" s="2">
        <f t="shared" si="7"/>
        <v>-1</v>
      </c>
      <c r="AB356" s="2">
        <f>IF(OR($M356="",$N356=""),0,MEDIAN(-MarginCap,MarginCap,($M356-$N356)-$AA356*HFA_Base))</f>
        <v>0</v>
      </c>
      <c r="AC356" s="2">
        <f t="array" ref="AC356">IF(OR($P356="",INDEX($P$3:$P$722,(ROW()+IF(MOD(ROW()-3,2)=0,1,-1))-3+1)=""),0,MEDIAN(-MarginCap,MarginCap,($T356-$W356)-$AA356*HFA_Base))</f>
        <v>0</v>
      </c>
      <c r="AD356" s="2">
        <f t="shared" si="8"/>
        <v>0</v>
      </c>
      <c r="AE356" s="2">
        <f>IF(OR($M356="",$N356=""),0,IF(AND(WEpa&gt;0,$AD356=1),(1-WEpa)*$AB356+WEpa*$AC356,$AB356))</f>
        <v>0</v>
      </c>
      <c r="AF356" s="2">
        <f>IF(AND($C356&lt;&gt;"",$E356=CurrentSeason,$F356="REG",ISNUMBER($G356),$G356&lt;CurrentWeek,AND($M356&lt;&gt;"",$N356&lt;&gt;"")),1,0)</f>
        <v>0</v>
      </c>
      <c r="AG356" s="2">
        <f>IF($AF356=0,0,IF($G356&gt;=CurrentWeek-RecencyWin,RecencyMult,1))</f>
        <v>0</v>
      </c>
      <c r="AH356" s="2">
        <f>IF(AND($C356&lt;&gt;"",$E356=CurrentSeason,$F356="REG",ISNUMBER($G356),$G356&lt;CurrentWeek-1,AND($M356&lt;&gt;"",$N356&lt;&gt;"")),1,0)</f>
        <v>0</v>
      </c>
      <c r="AI356" s="2">
        <f>IF($AH356=0,0,IF($G356&gt;=CurrentWeek-1-RecencyWin,RecencyMult,1))</f>
        <v>0</v>
      </c>
      <c r="AJ356" s="2">
        <f>IF($AF356=0,0,IF($G356&gt;=CurrentWeek-RecencyWin,TotRecency,1))</f>
        <v>0</v>
      </c>
      <c r="AK356" s="2">
        <f t="shared" si="9"/>
        <v>0</v>
      </c>
      <c r="AL356" s="2">
        <f t="shared" si="10"/>
        <v>0</v>
      </c>
      <c r="AM356" s="2" t="str">
        <f t="array" ref="AM356">IF($K356="",0,IFERROR(INDEX(CALC!$F$2:$F$33,MATCH($K356,CALC!$A$2:$A$33,0)),0))</f>
        <v/>
      </c>
      <c r="AN356" s="2" t="str">
        <f t="array" ref="AN356">IF($K356="",0,IFERROR(INDEX(CALC!$I$2:$I$33,MATCH($K356,CALC!$A$2:$A$33,0)),0))</f>
        <v/>
      </c>
      <c r="AO356" s="2" t="str">
        <f t="array" ref="AO356">IF($K356="",0,IFERROR(INDEX(CALC!$L$2:$L$33,MATCH($K356,CALC!$A$2:$A$33,0)),0))</f>
        <v/>
      </c>
      <c r="AP356" s="2" t="str">
        <f t="array" ref="AP356">IF($K356="",0,IFERROR(INDEX(CALC!$T$2:$T$33,MATCH($K356,CALC!$A$2:$A$33,0)),0))</f>
        <v/>
      </c>
      <c r="AQ356" s="2" t="str">
        <f t="array" ref="AQ356">IF($K356="",0,IFERROR(INDEX(CALC!$W$2:$W$33,MATCH($K356,CALC!$A$2:$A$33,0)),0))</f>
        <v/>
      </c>
      <c r="AR356" s="2" t="str">
        <f t="array" ref="AR356">IF($K356="",0,IFERROR(INDEX(CALC!$Z$2:$Z$33,MATCH($K356,CALC!$A$2:$A$33,0)),0))</f>
        <v/>
      </c>
      <c r="AS356" s="2" t="str">
        <f t="array" ref="AS356">IF($K356="",0,IFERROR(INDEX(CALC!$AJ$2:$AJ$33,MATCH($K356,CALC!$A$2:$A$33,0)),0))</f>
        <v/>
      </c>
      <c r="AT356" s="2" t="str">
        <f t="array" ref="AT356">IF($K356="",0,IFERROR(INDEX(CALC!$AI$2:$AI$33,MATCH($K356,CALC!$A$2:$A$33,0)),0))</f>
        <v/>
      </c>
      <c r="AU356" s="2">
        <f t="shared" si="11"/>
        <v>0</v>
      </c>
      <c r="AV356" s="2">
        <f t="shared" si="12"/>
        <v>0</v>
      </c>
    </row>
    <row r="357" ht="15.0" customHeight="1">
      <c r="A357" s="2">
        <v>178.0</v>
      </c>
      <c r="B357" s="2" t="s">
        <v>2365</v>
      </c>
      <c r="C357" s="2">
        <f>IFERROR(MATCH($A357,SchedSeq,0),"")</f>
        <v>463</v>
      </c>
      <c r="D357" s="2" t="str">
        <f t="array" ref="D357">IF($C357="","",INDEX(SchedZone,$C357,MAP!$B$6))</f>
        <v>2026_12_NE_LAC</v>
      </c>
      <c r="E357" s="2">
        <f t="array" ref="E357">IF($C357="","",INDEX(SchedZone,$C357,MAP!$B$3))</f>
        <v>2026</v>
      </c>
      <c r="F357" s="2" t="str">
        <f t="array" ref="F357">IF($C357="","",INDEX(SchedZone,$C357,MAP!$B$5))</f>
        <v>REG</v>
      </c>
      <c r="G357" s="2">
        <f t="array" ref="G357">IF($C357="","",INDEX(SchedZone,$C357,MAP!$B$4))</f>
        <v>12</v>
      </c>
      <c r="H357" s="2" t="str">
        <f t="array" ref="H357">IF($C357="","",INDEX(SchedZone,$C357,MAP!$B$12))</f>
        <v>LAC</v>
      </c>
      <c r="I357" s="2" t="str">
        <f t="array" ref="I357">IF($H357="","",IF(COUNTIF(Teams,$H357)&gt;0,$H357,IFERROR(INDEX(LISTS!$D$2:$D$12,MATCH($H357,LISTS!$C$2:$C$12,0)),"⚠ "&amp;$H357)))</f>
        <v>LAC</v>
      </c>
      <c r="J357" s="2" t="str">
        <f t="array" ref="J357">IF($C357="","",INDEX(SchedZone,$C357,MAP!$B$10))</f>
        <v>NE</v>
      </c>
      <c r="K357" s="2" t="str">
        <f t="array" ref="K357">IF($J357="","",IF(COUNTIF(Teams,$J357)&gt;0,$J357,IFERROR(INDEX(LISTS!$D$2:$D$12,MATCH($J357,LISTS!$C$2:$C$12,0)),"⚠ "&amp;$J357)))</f>
        <v>NE</v>
      </c>
      <c r="L357" s="2" t="str">
        <f t="array" ref="L357">IF($C357="","",IF(INDEX(SchedZone,$C357,MAP!$B$14)="Neutral","N",IF($B357="HOME","H","A")))</f>
        <v>H</v>
      </c>
      <c r="M357" s="2" t="str">
        <f t="array" ref="M357">IF($C357="","",IF(INDEX(SchedZone,$C357,MAP!$B$13)="","",INDEX(SchedZone,$C357,MAP!$B$13)))</f>
        <v/>
      </c>
      <c r="N357" s="2" t="str">
        <f t="array" ref="N357">IF($C357="","",IF(INDEX(SchedZone,$C357,MAP!$B$11)="","",INDEX(SchedZone,$C357,MAP!$B$11)))</f>
        <v/>
      </c>
      <c r="O357" s="2">
        <f t="array" ref="O357">IF($C357="","",INDEX(SchedZone,$C357,MAP!$B$16))</f>
        <v>7</v>
      </c>
      <c r="P357" s="2" t="str">
        <f>IF($C357="","",IFERROR(MATCH($E357&amp;"|"&amp;$G357&amp;"|"&amp;$I357,StatsKey,0),""))</f>
        <v/>
      </c>
      <c r="Q357" s="2">
        <f t="array" ref="Q357">IF($P357="",0,INDEX(StatsZone,$P357,MAP!$E$9)+INDEX(StatsZone,$P357,MAP!$E$10)+INDEX(StatsZone,$P357,MAP!$E$11))</f>
        <v>0</v>
      </c>
      <c r="R357" s="2">
        <f t="array" ref="R357">IF($P357="",0,INDEX(StatsZone,$P357,MAP!$E$12))</f>
        <v>0</v>
      </c>
      <c r="S357" s="2">
        <f t="array" ref="S357">IF($P357="",0,INDEX(StatsZone,$P357,MAP!$E$13))</f>
        <v>0</v>
      </c>
      <c r="T357" s="2">
        <f t="shared" si="1"/>
        <v>0</v>
      </c>
      <c r="U357" s="2">
        <f t="array" ref="U357">IF($P357="",0,INDEX(StatsZone,$P357,MAP!$E$14)+INDEX(StatsZone,$P357,MAP!$E$15)+INDEX(StatsZone,$P357,MAP!$E$16))</f>
        <v>0</v>
      </c>
      <c r="V357" s="2">
        <f t="shared" si="2"/>
        <v>0</v>
      </c>
      <c r="W357" s="2">
        <f t="shared" si="3"/>
        <v>0</v>
      </c>
      <c r="X357" s="2">
        <f t="shared" si="4"/>
        <v>0</v>
      </c>
      <c r="Y357" s="2">
        <f t="shared" si="5"/>
        <v>0</v>
      </c>
      <c r="Z357" s="2">
        <f t="shared" si="6"/>
        <v>0</v>
      </c>
      <c r="AA357" s="2">
        <f t="shared" si="7"/>
        <v>1</v>
      </c>
      <c r="AB357" s="2">
        <f>IF(OR($M357="",$N357=""),0,MEDIAN(-MarginCap,MarginCap,($M357-$N357)-$AA357*HFA_Base))</f>
        <v>0</v>
      </c>
      <c r="AC357" s="2">
        <f t="array" ref="AC357">IF(OR($P357="",INDEX($P$3:$P$722,(ROW()+IF(MOD(ROW()-3,2)=0,1,-1))-3+1)=""),0,MEDIAN(-MarginCap,MarginCap,($T357-$W357)-$AA357*HFA_Base))</f>
        <v>0</v>
      </c>
      <c r="AD357" s="2">
        <f t="shared" si="8"/>
        <v>0</v>
      </c>
      <c r="AE357" s="2">
        <f>IF(OR($M357="",$N357=""),0,IF(AND(WEpa&gt;0,$AD357=1),(1-WEpa)*$AB357+WEpa*$AC357,$AB357))</f>
        <v>0</v>
      </c>
      <c r="AF357" s="2">
        <f>IF(AND($C357&lt;&gt;"",$E357=CurrentSeason,$F357="REG",ISNUMBER($G357),$G357&lt;CurrentWeek,AND($M357&lt;&gt;"",$N357&lt;&gt;"")),1,0)</f>
        <v>0</v>
      </c>
      <c r="AG357" s="2">
        <f>IF($AF357=0,0,IF($G357&gt;=CurrentWeek-RecencyWin,RecencyMult,1))</f>
        <v>0</v>
      </c>
      <c r="AH357" s="2">
        <f>IF(AND($C357&lt;&gt;"",$E357=CurrentSeason,$F357="REG",ISNUMBER($G357),$G357&lt;CurrentWeek-1,AND($M357&lt;&gt;"",$N357&lt;&gt;"")),1,0)</f>
        <v>0</v>
      </c>
      <c r="AI357" s="2">
        <f>IF($AH357=0,0,IF($G357&gt;=CurrentWeek-1-RecencyWin,RecencyMult,1))</f>
        <v>0</v>
      </c>
      <c r="AJ357" s="2">
        <f>IF($AF357=0,0,IF($G357&gt;=CurrentWeek-RecencyWin,TotRecency,1))</f>
        <v>0</v>
      </c>
      <c r="AK357" s="2">
        <f t="shared" si="9"/>
        <v>0</v>
      </c>
      <c r="AL357" s="2">
        <f t="shared" si="10"/>
        <v>0</v>
      </c>
      <c r="AM357" s="2" t="str">
        <f t="array" ref="AM357">IF($K357="",0,IFERROR(INDEX(CALC!$F$2:$F$33,MATCH($K357,CALC!$A$2:$A$33,0)),0))</f>
        <v/>
      </c>
      <c r="AN357" s="2" t="str">
        <f t="array" ref="AN357">IF($K357="",0,IFERROR(INDEX(CALC!$I$2:$I$33,MATCH($K357,CALC!$A$2:$A$33,0)),0))</f>
        <v/>
      </c>
      <c r="AO357" s="2" t="str">
        <f t="array" ref="AO357">IF($K357="",0,IFERROR(INDEX(CALC!$L$2:$L$33,MATCH($K357,CALC!$A$2:$A$33,0)),0))</f>
        <v/>
      </c>
      <c r="AP357" s="2" t="str">
        <f t="array" ref="AP357">IF($K357="",0,IFERROR(INDEX(CALC!$T$2:$T$33,MATCH($K357,CALC!$A$2:$A$33,0)),0))</f>
        <v/>
      </c>
      <c r="AQ357" s="2" t="str">
        <f t="array" ref="AQ357">IF($K357="",0,IFERROR(INDEX(CALC!$W$2:$W$33,MATCH($K357,CALC!$A$2:$A$33,0)),0))</f>
        <v/>
      </c>
      <c r="AR357" s="2" t="str">
        <f t="array" ref="AR357">IF($K357="",0,IFERROR(INDEX(CALC!$Z$2:$Z$33,MATCH($K357,CALC!$A$2:$A$33,0)),0))</f>
        <v/>
      </c>
      <c r="AS357" s="2" t="str">
        <f t="array" ref="AS357">IF($K357="",0,IFERROR(INDEX(CALC!$AJ$2:$AJ$33,MATCH($K357,CALC!$A$2:$A$33,0)),0))</f>
        <v/>
      </c>
      <c r="AT357" s="2" t="str">
        <f t="array" ref="AT357">IF($K357="",0,IFERROR(INDEX(CALC!$AI$2:$AI$33,MATCH($K357,CALC!$A$2:$A$33,0)),0))</f>
        <v/>
      </c>
      <c r="AU357" s="2">
        <f t="shared" si="11"/>
        <v>0</v>
      </c>
      <c r="AV357" s="2">
        <f t="shared" si="12"/>
        <v>0</v>
      </c>
    </row>
    <row r="358" ht="15.0" customHeight="1">
      <c r="A358" s="2">
        <v>178.0</v>
      </c>
      <c r="B358" s="2" t="s">
        <v>2366</v>
      </c>
      <c r="C358" s="2">
        <f>IFERROR(MATCH($A358,SchedSeq,0),"")</f>
        <v>463</v>
      </c>
      <c r="D358" s="2" t="str">
        <f t="array" ref="D358">IF($C358="","",INDEX(SchedZone,$C358,MAP!$B$6))</f>
        <v>2026_12_NE_LAC</v>
      </c>
      <c r="E358" s="2">
        <f t="array" ref="E358">IF($C358="","",INDEX(SchedZone,$C358,MAP!$B$3))</f>
        <v>2026</v>
      </c>
      <c r="F358" s="2" t="str">
        <f t="array" ref="F358">IF($C358="","",INDEX(SchedZone,$C358,MAP!$B$5))</f>
        <v>REG</v>
      </c>
      <c r="G358" s="2">
        <f t="array" ref="G358">IF($C358="","",INDEX(SchedZone,$C358,MAP!$B$4))</f>
        <v>12</v>
      </c>
      <c r="H358" s="2" t="str">
        <f t="array" ref="H358">IF($C358="","",INDEX(SchedZone,$C358,MAP!$B$10))</f>
        <v>NE</v>
      </c>
      <c r="I358" s="2" t="str">
        <f t="array" ref="I358">IF($H358="","",IF(COUNTIF(Teams,$H358)&gt;0,$H358,IFERROR(INDEX(LISTS!$D$2:$D$12,MATCH($H358,LISTS!$C$2:$C$12,0)),"⚠ "&amp;$H358)))</f>
        <v>NE</v>
      </c>
      <c r="J358" s="2" t="str">
        <f t="array" ref="J358">IF($C358="","",INDEX(SchedZone,$C358,MAP!$B$12))</f>
        <v>LAC</v>
      </c>
      <c r="K358" s="2" t="str">
        <f t="array" ref="K358">IF($J358="","",IF(COUNTIF(Teams,$J358)&gt;0,$J358,IFERROR(INDEX(LISTS!$D$2:$D$12,MATCH($J358,LISTS!$C$2:$C$12,0)),"⚠ "&amp;$J358)))</f>
        <v>LAC</v>
      </c>
      <c r="L358" s="2" t="str">
        <f t="array" ref="L358">IF($C358="","",IF(INDEX(SchedZone,$C358,MAP!$B$14)="Neutral","N",IF($B358="HOME","H","A")))</f>
        <v>A</v>
      </c>
      <c r="M358" s="2" t="str">
        <f t="array" ref="M358">IF($C358="","",IF(INDEX(SchedZone,$C358,MAP!$B$11)="","",INDEX(SchedZone,$C358,MAP!$B$11)))</f>
        <v/>
      </c>
      <c r="N358" s="2" t="str">
        <f t="array" ref="N358">IF($C358="","",IF(INDEX(SchedZone,$C358,MAP!$B$13)="","",INDEX(SchedZone,$C358,MAP!$B$13)))</f>
        <v/>
      </c>
      <c r="O358" s="2">
        <f t="array" ref="O358">IF($C358="","",INDEX(SchedZone,$C358,MAP!$B$15))</f>
        <v>14</v>
      </c>
      <c r="P358" s="2" t="str">
        <f>IF($C358="","",IFERROR(MATCH($E358&amp;"|"&amp;$G358&amp;"|"&amp;$I358,StatsKey,0),""))</f>
        <v/>
      </c>
      <c r="Q358" s="2">
        <f t="array" ref="Q358">IF($P358="",0,INDEX(StatsZone,$P358,MAP!$E$9)+INDEX(StatsZone,$P358,MAP!$E$10)+INDEX(StatsZone,$P358,MAP!$E$11))</f>
        <v>0</v>
      </c>
      <c r="R358" s="2">
        <f t="array" ref="R358">IF($P358="",0,INDEX(StatsZone,$P358,MAP!$E$12))</f>
        <v>0</v>
      </c>
      <c r="S358" s="2">
        <f t="array" ref="S358">IF($P358="",0,INDEX(StatsZone,$P358,MAP!$E$13))</f>
        <v>0</v>
      </c>
      <c r="T358" s="2">
        <f t="shared" si="1"/>
        <v>0</v>
      </c>
      <c r="U358" s="2">
        <f t="array" ref="U358">IF($P358="",0,INDEX(StatsZone,$P358,MAP!$E$14)+INDEX(StatsZone,$P358,MAP!$E$15)+INDEX(StatsZone,$P358,MAP!$E$16))</f>
        <v>0</v>
      </c>
      <c r="V358" s="2">
        <f t="shared" si="2"/>
        <v>0</v>
      </c>
      <c r="W358" s="2">
        <f t="shared" si="3"/>
        <v>0</v>
      </c>
      <c r="X358" s="2">
        <f t="shared" si="4"/>
        <v>0</v>
      </c>
      <c r="Y358" s="2">
        <f t="shared" si="5"/>
        <v>0</v>
      </c>
      <c r="Z358" s="2">
        <f t="shared" si="6"/>
        <v>0</v>
      </c>
      <c r="AA358" s="2">
        <f t="shared" si="7"/>
        <v>-1</v>
      </c>
      <c r="AB358" s="2">
        <f>IF(OR($M358="",$N358=""),0,MEDIAN(-MarginCap,MarginCap,($M358-$N358)-$AA358*HFA_Base))</f>
        <v>0</v>
      </c>
      <c r="AC358" s="2">
        <f t="array" ref="AC358">IF(OR($P358="",INDEX($P$3:$P$722,(ROW()+IF(MOD(ROW()-3,2)=0,1,-1))-3+1)=""),0,MEDIAN(-MarginCap,MarginCap,($T358-$W358)-$AA358*HFA_Base))</f>
        <v>0</v>
      </c>
      <c r="AD358" s="2">
        <f t="shared" si="8"/>
        <v>0</v>
      </c>
      <c r="AE358" s="2">
        <f>IF(OR($M358="",$N358=""),0,IF(AND(WEpa&gt;0,$AD358=1),(1-WEpa)*$AB358+WEpa*$AC358,$AB358))</f>
        <v>0</v>
      </c>
      <c r="AF358" s="2">
        <f>IF(AND($C358&lt;&gt;"",$E358=CurrentSeason,$F358="REG",ISNUMBER($G358),$G358&lt;CurrentWeek,AND($M358&lt;&gt;"",$N358&lt;&gt;"")),1,0)</f>
        <v>0</v>
      </c>
      <c r="AG358" s="2">
        <f>IF($AF358=0,0,IF($G358&gt;=CurrentWeek-RecencyWin,RecencyMult,1))</f>
        <v>0</v>
      </c>
      <c r="AH358" s="2">
        <f>IF(AND($C358&lt;&gt;"",$E358=CurrentSeason,$F358="REG",ISNUMBER($G358),$G358&lt;CurrentWeek-1,AND($M358&lt;&gt;"",$N358&lt;&gt;"")),1,0)</f>
        <v>0</v>
      </c>
      <c r="AI358" s="2">
        <f>IF($AH358=0,0,IF($G358&gt;=CurrentWeek-1-RecencyWin,RecencyMult,1))</f>
        <v>0</v>
      </c>
      <c r="AJ358" s="2">
        <f>IF($AF358=0,0,IF($G358&gt;=CurrentWeek-RecencyWin,TotRecency,1))</f>
        <v>0</v>
      </c>
      <c r="AK358" s="2">
        <f t="shared" si="9"/>
        <v>0</v>
      </c>
      <c r="AL358" s="2">
        <f t="shared" si="10"/>
        <v>0</v>
      </c>
      <c r="AM358" s="2" t="str">
        <f t="array" ref="AM358">IF($K358="",0,IFERROR(INDEX(CALC!$F$2:$F$33,MATCH($K358,CALC!$A$2:$A$33,0)),0))</f>
        <v/>
      </c>
      <c r="AN358" s="2" t="str">
        <f t="array" ref="AN358">IF($K358="",0,IFERROR(INDEX(CALC!$I$2:$I$33,MATCH($K358,CALC!$A$2:$A$33,0)),0))</f>
        <v/>
      </c>
      <c r="AO358" s="2" t="str">
        <f t="array" ref="AO358">IF($K358="",0,IFERROR(INDEX(CALC!$L$2:$L$33,MATCH($K358,CALC!$A$2:$A$33,0)),0))</f>
        <v/>
      </c>
      <c r="AP358" s="2" t="str">
        <f t="array" ref="AP358">IF($K358="",0,IFERROR(INDEX(CALC!$T$2:$T$33,MATCH($K358,CALC!$A$2:$A$33,0)),0))</f>
        <v/>
      </c>
      <c r="AQ358" s="2" t="str">
        <f t="array" ref="AQ358">IF($K358="",0,IFERROR(INDEX(CALC!$W$2:$W$33,MATCH($K358,CALC!$A$2:$A$33,0)),0))</f>
        <v/>
      </c>
      <c r="AR358" s="2" t="str">
        <f t="array" ref="AR358">IF($K358="",0,IFERROR(INDEX(CALC!$Z$2:$Z$33,MATCH($K358,CALC!$A$2:$A$33,0)),0))</f>
        <v/>
      </c>
      <c r="AS358" s="2" t="str">
        <f t="array" ref="AS358">IF($K358="",0,IFERROR(INDEX(CALC!$AJ$2:$AJ$33,MATCH($K358,CALC!$A$2:$A$33,0)),0))</f>
        <v/>
      </c>
      <c r="AT358" s="2" t="str">
        <f t="array" ref="AT358">IF($K358="",0,IFERROR(INDEX(CALC!$AI$2:$AI$33,MATCH($K358,CALC!$A$2:$A$33,0)),0))</f>
        <v/>
      </c>
      <c r="AU358" s="2">
        <f t="shared" si="11"/>
        <v>0</v>
      </c>
      <c r="AV358" s="2">
        <f t="shared" si="12"/>
        <v>0</v>
      </c>
    </row>
    <row r="359" ht="15.0" customHeight="1">
      <c r="A359" s="2">
        <v>179.0</v>
      </c>
      <c r="B359" s="2" t="s">
        <v>2365</v>
      </c>
      <c r="C359" s="2">
        <f>IFERROR(MATCH($A359,SchedSeq,0),"")</f>
        <v>464</v>
      </c>
      <c r="D359" s="2" t="str">
        <f t="array" ref="D359">IF($C359="","",INDEX(SchedZone,$C359,MAP!$B$6))</f>
        <v>2026_12_CAR_TB</v>
      </c>
      <c r="E359" s="2">
        <f t="array" ref="E359">IF($C359="","",INDEX(SchedZone,$C359,MAP!$B$3))</f>
        <v>2026</v>
      </c>
      <c r="F359" s="2" t="str">
        <f t="array" ref="F359">IF($C359="","",INDEX(SchedZone,$C359,MAP!$B$5))</f>
        <v>REG</v>
      </c>
      <c r="G359" s="2">
        <f t="array" ref="G359">IF($C359="","",INDEX(SchedZone,$C359,MAP!$B$4))</f>
        <v>12</v>
      </c>
      <c r="H359" s="2" t="str">
        <f t="array" ref="H359">IF($C359="","",INDEX(SchedZone,$C359,MAP!$B$12))</f>
        <v>TB</v>
      </c>
      <c r="I359" s="2" t="str">
        <f t="array" ref="I359">IF($H359="","",IF(COUNTIF(Teams,$H359)&gt;0,$H359,IFERROR(INDEX(LISTS!$D$2:$D$12,MATCH($H359,LISTS!$C$2:$C$12,0)),"⚠ "&amp;$H359)))</f>
        <v>TB</v>
      </c>
      <c r="J359" s="2" t="str">
        <f t="array" ref="J359">IF($C359="","",INDEX(SchedZone,$C359,MAP!$B$10))</f>
        <v>CAR</v>
      </c>
      <c r="K359" s="2" t="str">
        <f t="array" ref="K359">IF($J359="","",IF(COUNTIF(Teams,$J359)&gt;0,$J359,IFERROR(INDEX(LISTS!$D$2:$D$12,MATCH($J359,LISTS!$C$2:$C$12,0)),"⚠ "&amp;$J359)))</f>
        <v>CAR</v>
      </c>
      <c r="L359" s="2" t="str">
        <f t="array" ref="L359">IF($C359="","",IF(INDEX(SchedZone,$C359,MAP!$B$14)="Neutral","N",IF($B359="HOME","H","A")))</f>
        <v>H</v>
      </c>
      <c r="M359" s="2" t="str">
        <f t="array" ref="M359">IF($C359="","",IF(INDEX(SchedZone,$C359,MAP!$B$13)="","",INDEX(SchedZone,$C359,MAP!$B$13)))</f>
        <v/>
      </c>
      <c r="N359" s="2" t="str">
        <f t="array" ref="N359">IF($C359="","",IF(INDEX(SchedZone,$C359,MAP!$B$11)="","",INDEX(SchedZone,$C359,MAP!$B$11)))</f>
        <v/>
      </c>
      <c r="O359" s="2">
        <f t="array" ref="O359">IF($C359="","",INDEX(SchedZone,$C359,MAP!$B$16))</f>
        <v>8</v>
      </c>
      <c r="P359" s="2" t="str">
        <f>IF($C359="","",IFERROR(MATCH($E359&amp;"|"&amp;$G359&amp;"|"&amp;$I359,StatsKey,0),""))</f>
        <v/>
      </c>
      <c r="Q359" s="2">
        <f t="array" ref="Q359">IF($P359="",0,INDEX(StatsZone,$P359,MAP!$E$9)+INDEX(StatsZone,$P359,MAP!$E$10)+INDEX(StatsZone,$P359,MAP!$E$11))</f>
        <v>0</v>
      </c>
      <c r="R359" s="2">
        <f t="array" ref="R359">IF($P359="",0,INDEX(StatsZone,$P359,MAP!$E$12))</f>
        <v>0</v>
      </c>
      <c r="S359" s="2">
        <f t="array" ref="S359">IF($P359="",0,INDEX(StatsZone,$P359,MAP!$E$13))</f>
        <v>0</v>
      </c>
      <c r="T359" s="2">
        <f t="shared" si="1"/>
        <v>0</v>
      </c>
      <c r="U359" s="2">
        <f t="array" ref="U359">IF($P359="",0,INDEX(StatsZone,$P359,MAP!$E$14)+INDEX(StatsZone,$P359,MAP!$E$15)+INDEX(StatsZone,$P359,MAP!$E$16))</f>
        <v>0</v>
      </c>
      <c r="V359" s="2">
        <f t="shared" si="2"/>
        <v>0</v>
      </c>
      <c r="W359" s="2">
        <f t="shared" si="3"/>
        <v>0</v>
      </c>
      <c r="X359" s="2">
        <f t="shared" si="4"/>
        <v>0</v>
      </c>
      <c r="Y359" s="2">
        <f t="shared" si="5"/>
        <v>0</v>
      </c>
      <c r="Z359" s="2">
        <f t="shared" si="6"/>
        <v>0</v>
      </c>
      <c r="AA359" s="2">
        <f t="shared" si="7"/>
        <v>1</v>
      </c>
      <c r="AB359" s="2">
        <f>IF(OR($M359="",$N359=""),0,MEDIAN(-MarginCap,MarginCap,($M359-$N359)-$AA359*HFA_Base))</f>
        <v>0</v>
      </c>
      <c r="AC359" s="2">
        <f t="array" ref="AC359">IF(OR($P359="",INDEX($P$3:$P$722,(ROW()+IF(MOD(ROW()-3,2)=0,1,-1))-3+1)=""),0,MEDIAN(-MarginCap,MarginCap,($T359-$W359)-$AA359*HFA_Base))</f>
        <v>0</v>
      </c>
      <c r="AD359" s="2">
        <f t="shared" si="8"/>
        <v>0</v>
      </c>
      <c r="AE359" s="2">
        <f>IF(OR($M359="",$N359=""),0,IF(AND(WEpa&gt;0,$AD359=1),(1-WEpa)*$AB359+WEpa*$AC359,$AB359))</f>
        <v>0</v>
      </c>
      <c r="AF359" s="2">
        <f>IF(AND($C359&lt;&gt;"",$E359=CurrentSeason,$F359="REG",ISNUMBER($G359),$G359&lt;CurrentWeek,AND($M359&lt;&gt;"",$N359&lt;&gt;"")),1,0)</f>
        <v>0</v>
      </c>
      <c r="AG359" s="2">
        <f>IF($AF359=0,0,IF($G359&gt;=CurrentWeek-RecencyWin,RecencyMult,1))</f>
        <v>0</v>
      </c>
      <c r="AH359" s="2">
        <f>IF(AND($C359&lt;&gt;"",$E359=CurrentSeason,$F359="REG",ISNUMBER($G359),$G359&lt;CurrentWeek-1,AND($M359&lt;&gt;"",$N359&lt;&gt;"")),1,0)</f>
        <v>0</v>
      </c>
      <c r="AI359" s="2">
        <f>IF($AH359=0,0,IF($G359&gt;=CurrentWeek-1-RecencyWin,RecencyMult,1))</f>
        <v>0</v>
      </c>
      <c r="AJ359" s="2">
        <f>IF($AF359=0,0,IF($G359&gt;=CurrentWeek-RecencyWin,TotRecency,1))</f>
        <v>0</v>
      </c>
      <c r="AK359" s="2">
        <f t="shared" si="9"/>
        <v>0</v>
      </c>
      <c r="AL359" s="2">
        <f t="shared" si="10"/>
        <v>0</v>
      </c>
      <c r="AM359" s="2" t="str">
        <f t="array" ref="AM359">IF($K359="",0,IFERROR(INDEX(CALC!$F$2:$F$33,MATCH($K359,CALC!$A$2:$A$33,0)),0))</f>
        <v/>
      </c>
      <c r="AN359" s="2" t="str">
        <f t="array" ref="AN359">IF($K359="",0,IFERROR(INDEX(CALC!$I$2:$I$33,MATCH($K359,CALC!$A$2:$A$33,0)),0))</f>
        <v/>
      </c>
      <c r="AO359" s="2" t="str">
        <f t="array" ref="AO359">IF($K359="",0,IFERROR(INDEX(CALC!$L$2:$L$33,MATCH($K359,CALC!$A$2:$A$33,0)),0))</f>
        <v/>
      </c>
      <c r="AP359" s="2" t="str">
        <f t="array" ref="AP359">IF($K359="",0,IFERROR(INDEX(CALC!$T$2:$T$33,MATCH($K359,CALC!$A$2:$A$33,0)),0))</f>
        <v/>
      </c>
      <c r="AQ359" s="2" t="str">
        <f t="array" ref="AQ359">IF($K359="",0,IFERROR(INDEX(CALC!$W$2:$W$33,MATCH($K359,CALC!$A$2:$A$33,0)),0))</f>
        <v/>
      </c>
      <c r="AR359" s="2" t="str">
        <f t="array" ref="AR359">IF($K359="",0,IFERROR(INDEX(CALC!$Z$2:$Z$33,MATCH($K359,CALC!$A$2:$A$33,0)),0))</f>
        <v/>
      </c>
      <c r="AS359" s="2" t="str">
        <f t="array" ref="AS359">IF($K359="",0,IFERROR(INDEX(CALC!$AJ$2:$AJ$33,MATCH($K359,CALC!$A$2:$A$33,0)),0))</f>
        <v/>
      </c>
      <c r="AT359" s="2" t="str">
        <f t="array" ref="AT359">IF($K359="",0,IFERROR(INDEX(CALC!$AI$2:$AI$33,MATCH($K359,CALC!$A$2:$A$33,0)),0))</f>
        <v/>
      </c>
      <c r="AU359" s="2">
        <f t="shared" si="11"/>
        <v>0</v>
      </c>
      <c r="AV359" s="2">
        <f t="shared" si="12"/>
        <v>0</v>
      </c>
    </row>
    <row r="360" ht="15.0" customHeight="1">
      <c r="A360" s="2">
        <v>179.0</v>
      </c>
      <c r="B360" s="2" t="s">
        <v>2366</v>
      </c>
      <c r="C360" s="2">
        <f>IFERROR(MATCH($A360,SchedSeq,0),"")</f>
        <v>464</v>
      </c>
      <c r="D360" s="2" t="str">
        <f t="array" ref="D360">IF($C360="","",INDEX(SchedZone,$C360,MAP!$B$6))</f>
        <v>2026_12_CAR_TB</v>
      </c>
      <c r="E360" s="2">
        <f t="array" ref="E360">IF($C360="","",INDEX(SchedZone,$C360,MAP!$B$3))</f>
        <v>2026</v>
      </c>
      <c r="F360" s="2" t="str">
        <f t="array" ref="F360">IF($C360="","",INDEX(SchedZone,$C360,MAP!$B$5))</f>
        <v>REG</v>
      </c>
      <c r="G360" s="2">
        <f t="array" ref="G360">IF($C360="","",INDEX(SchedZone,$C360,MAP!$B$4))</f>
        <v>12</v>
      </c>
      <c r="H360" s="2" t="str">
        <f t="array" ref="H360">IF($C360="","",INDEX(SchedZone,$C360,MAP!$B$10))</f>
        <v>CAR</v>
      </c>
      <c r="I360" s="2" t="str">
        <f t="array" ref="I360">IF($H360="","",IF(COUNTIF(Teams,$H360)&gt;0,$H360,IFERROR(INDEX(LISTS!$D$2:$D$12,MATCH($H360,LISTS!$C$2:$C$12,0)),"⚠ "&amp;$H360)))</f>
        <v>CAR</v>
      </c>
      <c r="J360" s="2" t="str">
        <f t="array" ref="J360">IF($C360="","",INDEX(SchedZone,$C360,MAP!$B$12))</f>
        <v>TB</v>
      </c>
      <c r="K360" s="2" t="str">
        <f t="array" ref="K360">IF($J360="","",IF(COUNTIF(Teams,$J360)&gt;0,$J360,IFERROR(INDEX(LISTS!$D$2:$D$12,MATCH($J360,LISTS!$C$2:$C$12,0)),"⚠ "&amp;$J360)))</f>
        <v>TB</v>
      </c>
      <c r="L360" s="2" t="str">
        <f t="array" ref="L360">IF($C360="","",IF(INDEX(SchedZone,$C360,MAP!$B$14)="Neutral","N",IF($B360="HOME","H","A")))</f>
        <v>A</v>
      </c>
      <c r="M360" s="2" t="str">
        <f t="array" ref="M360">IF($C360="","",IF(INDEX(SchedZone,$C360,MAP!$B$11)="","",INDEX(SchedZone,$C360,MAP!$B$11)))</f>
        <v/>
      </c>
      <c r="N360" s="2" t="str">
        <f t="array" ref="N360">IF($C360="","",IF(INDEX(SchedZone,$C360,MAP!$B$13)="","",INDEX(SchedZone,$C360,MAP!$B$13)))</f>
        <v/>
      </c>
      <c r="O360" s="2">
        <f t="array" ref="O360">IF($C360="","",INDEX(SchedZone,$C360,MAP!$B$15))</f>
        <v>8</v>
      </c>
      <c r="P360" s="2" t="str">
        <f>IF($C360="","",IFERROR(MATCH($E360&amp;"|"&amp;$G360&amp;"|"&amp;$I360,StatsKey,0),""))</f>
        <v/>
      </c>
      <c r="Q360" s="2">
        <f t="array" ref="Q360">IF($P360="",0,INDEX(StatsZone,$P360,MAP!$E$9)+INDEX(StatsZone,$P360,MAP!$E$10)+INDEX(StatsZone,$P360,MAP!$E$11))</f>
        <v>0</v>
      </c>
      <c r="R360" s="2">
        <f t="array" ref="R360">IF($P360="",0,INDEX(StatsZone,$P360,MAP!$E$12))</f>
        <v>0</v>
      </c>
      <c r="S360" s="2">
        <f t="array" ref="S360">IF($P360="",0,INDEX(StatsZone,$P360,MAP!$E$13))</f>
        <v>0</v>
      </c>
      <c r="T360" s="2">
        <f t="shared" si="1"/>
        <v>0</v>
      </c>
      <c r="U360" s="2">
        <f t="array" ref="U360">IF($P360="",0,INDEX(StatsZone,$P360,MAP!$E$14)+INDEX(StatsZone,$P360,MAP!$E$15)+INDEX(StatsZone,$P360,MAP!$E$16))</f>
        <v>0</v>
      </c>
      <c r="V360" s="2">
        <f t="shared" si="2"/>
        <v>0</v>
      </c>
      <c r="W360" s="2">
        <f t="shared" si="3"/>
        <v>0</v>
      </c>
      <c r="X360" s="2">
        <f t="shared" si="4"/>
        <v>0</v>
      </c>
      <c r="Y360" s="2">
        <f t="shared" si="5"/>
        <v>0</v>
      </c>
      <c r="Z360" s="2">
        <f t="shared" si="6"/>
        <v>0</v>
      </c>
      <c r="AA360" s="2">
        <f t="shared" si="7"/>
        <v>-1</v>
      </c>
      <c r="AB360" s="2">
        <f>IF(OR($M360="",$N360=""),0,MEDIAN(-MarginCap,MarginCap,($M360-$N360)-$AA360*HFA_Base))</f>
        <v>0</v>
      </c>
      <c r="AC360" s="2">
        <f t="array" ref="AC360">IF(OR($P360="",INDEX($P$3:$P$722,(ROW()+IF(MOD(ROW()-3,2)=0,1,-1))-3+1)=""),0,MEDIAN(-MarginCap,MarginCap,($T360-$W360)-$AA360*HFA_Base))</f>
        <v>0</v>
      </c>
      <c r="AD360" s="2">
        <f t="shared" si="8"/>
        <v>0</v>
      </c>
      <c r="AE360" s="2">
        <f>IF(OR($M360="",$N360=""),0,IF(AND(WEpa&gt;0,$AD360=1),(1-WEpa)*$AB360+WEpa*$AC360,$AB360))</f>
        <v>0</v>
      </c>
      <c r="AF360" s="2">
        <f>IF(AND($C360&lt;&gt;"",$E360=CurrentSeason,$F360="REG",ISNUMBER($G360),$G360&lt;CurrentWeek,AND($M360&lt;&gt;"",$N360&lt;&gt;"")),1,0)</f>
        <v>0</v>
      </c>
      <c r="AG360" s="2">
        <f>IF($AF360=0,0,IF($G360&gt;=CurrentWeek-RecencyWin,RecencyMult,1))</f>
        <v>0</v>
      </c>
      <c r="AH360" s="2">
        <f>IF(AND($C360&lt;&gt;"",$E360=CurrentSeason,$F360="REG",ISNUMBER($G360),$G360&lt;CurrentWeek-1,AND($M360&lt;&gt;"",$N360&lt;&gt;"")),1,0)</f>
        <v>0</v>
      </c>
      <c r="AI360" s="2">
        <f>IF($AH360=0,0,IF($G360&gt;=CurrentWeek-1-RecencyWin,RecencyMult,1))</f>
        <v>0</v>
      </c>
      <c r="AJ360" s="2">
        <f>IF($AF360=0,0,IF($G360&gt;=CurrentWeek-RecencyWin,TotRecency,1))</f>
        <v>0</v>
      </c>
      <c r="AK360" s="2">
        <f t="shared" si="9"/>
        <v>0</v>
      </c>
      <c r="AL360" s="2">
        <f t="shared" si="10"/>
        <v>0</v>
      </c>
      <c r="AM360" s="2" t="str">
        <f t="array" ref="AM360">IF($K360="",0,IFERROR(INDEX(CALC!$F$2:$F$33,MATCH($K360,CALC!$A$2:$A$33,0)),0))</f>
        <v/>
      </c>
      <c r="AN360" s="2" t="str">
        <f t="array" ref="AN360">IF($K360="",0,IFERROR(INDEX(CALC!$I$2:$I$33,MATCH($K360,CALC!$A$2:$A$33,0)),0))</f>
        <v/>
      </c>
      <c r="AO360" s="2" t="str">
        <f t="array" ref="AO360">IF($K360="",0,IFERROR(INDEX(CALC!$L$2:$L$33,MATCH($K360,CALC!$A$2:$A$33,0)),0))</f>
        <v/>
      </c>
      <c r="AP360" s="2" t="str">
        <f t="array" ref="AP360">IF($K360="",0,IFERROR(INDEX(CALC!$T$2:$T$33,MATCH($K360,CALC!$A$2:$A$33,0)),0))</f>
        <v/>
      </c>
      <c r="AQ360" s="2" t="str">
        <f t="array" ref="AQ360">IF($K360="",0,IFERROR(INDEX(CALC!$W$2:$W$33,MATCH($K360,CALC!$A$2:$A$33,0)),0))</f>
        <v/>
      </c>
      <c r="AR360" s="2" t="str">
        <f t="array" ref="AR360">IF($K360="",0,IFERROR(INDEX(CALC!$Z$2:$Z$33,MATCH($K360,CALC!$A$2:$A$33,0)),0))</f>
        <v/>
      </c>
      <c r="AS360" s="2" t="str">
        <f t="array" ref="AS360">IF($K360="",0,IFERROR(INDEX(CALC!$AJ$2:$AJ$33,MATCH($K360,CALC!$A$2:$A$33,0)),0))</f>
        <v/>
      </c>
      <c r="AT360" s="2" t="str">
        <f t="array" ref="AT360">IF($K360="",0,IFERROR(INDEX(CALC!$AI$2:$AI$33,MATCH($K360,CALC!$A$2:$A$33,0)),0))</f>
        <v/>
      </c>
      <c r="AU360" s="2">
        <f t="shared" si="11"/>
        <v>0</v>
      </c>
      <c r="AV360" s="2">
        <f t="shared" si="12"/>
        <v>0</v>
      </c>
    </row>
    <row r="361" ht="15.0" customHeight="1">
      <c r="A361" s="2">
        <v>180.0</v>
      </c>
      <c r="B361" s="2" t="s">
        <v>2365</v>
      </c>
      <c r="C361" s="2">
        <f>IFERROR(MATCH($A361,SchedSeq,0),"")</f>
        <v>465</v>
      </c>
      <c r="D361" s="2" t="str">
        <f t="array" ref="D361">IF($C361="","",INDEX(SchedZone,$C361,MAP!$B$6))</f>
        <v>2026_13_KC_LA</v>
      </c>
      <c r="E361" s="2">
        <f t="array" ref="E361">IF($C361="","",INDEX(SchedZone,$C361,MAP!$B$3))</f>
        <v>2026</v>
      </c>
      <c r="F361" s="2" t="str">
        <f t="array" ref="F361">IF($C361="","",INDEX(SchedZone,$C361,MAP!$B$5))</f>
        <v>REG</v>
      </c>
      <c r="G361" s="2">
        <f t="array" ref="G361">IF($C361="","",INDEX(SchedZone,$C361,MAP!$B$4))</f>
        <v>13</v>
      </c>
      <c r="H361" s="2" t="str">
        <f t="array" ref="H361">IF($C361="","",INDEX(SchedZone,$C361,MAP!$B$12))</f>
        <v>LA</v>
      </c>
      <c r="I361" s="2" t="str">
        <f t="array" ref="I361">IF($H361="","",IF(COUNTIF(Teams,$H361)&gt;0,$H361,IFERROR(INDEX(LISTS!$D$2:$D$12,MATCH($H361,LISTS!$C$2:$C$12,0)),"⚠ "&amp;$H361)))</f>
        <v>LA</v>
      </c>
      <c r="J361" s="2" t="str">
        <f t="array" ref="J361">IF($C361="","",INDEX(SchedZone,$C361,MAP!$B$10))</f>
        <v>KC</v>
      </c>
      <c r="K361" s="2" t="str">
        <f t="array" ref="K361">IF($J361="","",IF(COUNTIF(Teams,$J361)&gt;0,$J361,IFERROR(INDEX(LISTS!$D$2:$D$12,MATCH($J361,LISTS!$C$2:$C$12,0)),"⚠ "&amp;$J361)))</f>
        <v>KC</v>
      </c>
      <c r="L361" s="2" t="str">
        <f t="array" ref="L361">IF($C361="","",IF(INDEX(SchedZone,$C361,MAP!$B$14)="Neutral","N",IF($B361="HOME","H","A")))</f>
        <v>H</v>
      </c>
      <c r="M361" s="2" t="str">
        <f t="array" ref="M361">IF($C361="","",IF(INDEX(SchedZone,$C361,MAP!$B$13)="","",INDEX(SchedZone,$C361,MAP!$B$13)))</f>
        <v/>
      </c>
      <c r="N361" s="2" t="str">
        <f t="array" ref="N361">IF($C361="","",IF(INDEX(SchedZone,$C361,MAP!$B$11)="","",INDEX(SchedZone,$C361,MAP!$B$11)))</f>
        <v/>
      </c>
      <c r="O361" s="2">
        <f t="array" ref="O361">IF($C361="","",INDEX(SchedZone,$C361,MAP!$B$16))</f>
        <v>8</v>
      </c>
      <c r="P361" s="2" t="str">
        <f>IF($C361="","",IFERROR(MATCH($E361&amp;"|"&amp;$G361&amp;"|"&amp;$I361,StatsKey,0),""))</f>
        <v/>
      </c>
      <c r="Q361" s="2">
        <f t="array" ref="Q361">IF($P361="",0,INDEX(StatsZone,$P361,MAP!$E$9)+INDEX(StatsZone,$P361,MAP!$E$10)+INDEX(StatsZone,$P361,MAP!$E$11))</f>
        <v>0</v>
      </c>
      <c r="R361" s="2">
        <f t="array" ref="R361">IF($P361="",0,INDEX(StatsZone,$P361,MAP!$E$12))</f>
        <v>0</v>
      </c>
      <c r="S361" s="2">
        <f t="array" ref="S361">IF($P361="",0,INDEX(StatsZone,$P361,MAP!$E$13))</f>
        <v>0</v>
      </c>
      <c r="T361" s="2">
        <f t="shared" si="1"/>
        <v>0</v>
      </c>
      <c r="U361" s="2">
        <f t="array" ref="U361">IF($P361="",0,INDEX(StatsZone,$P361,MAP!$E$14)+INDEX(StatsZone,$P361,MAP!$E$15)+INDEX(StatsZone,$P361,MAP!$E$16))</f>
        <v>0</v>
      </c>
      <c r="V361" s="2">
        <f t="shared" si="2"/>
        <v>0</v>
      </c>
      <c r="W361" s="2">
        <f t="shared" si="3"/>
        <v>0</v>
      </c>
      <c r="X361" s="2">
        <f t="shared" si="4"/>
        <v>0</v>
      </c>
      <c r="Y361" s="2">
        <f t="shared" si="5"/>
        <v>0</v>
      </c>
      <c r="Z361" s="2">
        <f t="shared" si="6"/>
        <v>0</v>
      </c>
      <c r="AA361" s="2">
        <f t="shared" si="7"/>
        <v>1</v>
      </c>
      <c r="AB361" s="2">
        <f>IF(OR($M361="",$N361=""),0,MEDIAN(-MarginCap,MarginCap,($M361-$N361)-$AA361*HFA_Base))</f>
        <v>0</v>
      </c>
      <c r="AC361" s="2">
        <f t="array" ref="AC361">IF(OR($P361="",INDEX($P$3:$P$722,(ROW()+IF(MOD(ROW()-3,2)=0,1,-1))-3+1)=""),0,MEDIAN(-MarginCap,MarginCap,($T361-$W361)-$AA361*HFA_Base))</f>
        <v>0</v>
      </c>
      <c r="AD361" s="2">
        <f t="shared" si="8"/>
        <v>0</v>
      </c>
      <c r="AE361" s="2">
        <f>IF(OR($M361="",$N361=""),0,IF(AND(WEpa&gt;0,$AD361=1),(1-WEpa)*$AB361+WEpa*$AC361,$AB361))</f>
        <v>0</v>
      </c>
      <c r="AF361" s="2">
        <f>IF(AND($C361&lt;&gt;"",$E361=CurrentSeason,$F361="REG",ISNUMBER($G361),$G361&lt;CurrentWeek,AND($M361&lt;&gt;"",$N361&lt;&gt;"")),1,0)</f>
        <v>0</v>
      </c>
      <c r="AG361" s="2">
        <f>IF($AF361=0,0,IF($G361&gt;=CurrentWeek-RecencyWin,RecencyMult,1))</f>
        <v>0</v>
      </c>
      <c r="AH361" s="2">
        <f>IF(AND($C361&lt;&gt;"",$E361=CurrentSeason,$F361="REG",ISNUMBER($G361),$G361&lt;CurrentWeek-1,AND($M361&lt;&gt;"",$N361&lt;&gt;"")),1,0)</f>
        <v>0</v>
      </c>
      <c r="AI361" s="2">
        <f>IF($AH361=0,0,IF($G361&gt;=CurrentWeek-1-RecencyWin,RecencyMult,1))</f>
        <v>0</v>
      </c>
      <c r="AJ361" s="2">
        <f>IF($AF361=0,0,IF($G361&gt;=CurrentWeek-RecencyWin,TotRecency,1))</f>
        <v>0</v>
      </c>
      <c r="AK361" s="2">
        <f t="shared" si="9"/>
        <v>0</v>
      </c>
      <c r="AL361" s="2">
        <f t="shared" si="10"/>
        <v>0</v>
      </c>
      <c r="AM361" s="2" t="str">
        <f t="array" ref="AM361">IF($K361="",0,IFERROR(INDEX(CALC!$F$2:$F$33,MATCH($K361,CALC!$A$2:$A$33,0)),0))</f>
        <v/>
      </c>
      <c r="AN361" s="2" t="str">
        <f t="array" ref="AN361">IF($K361="",0,IFERROR(INDEX(CALC!$I$2:$I$33,MATCH($K361,CALC!$A$2:$A$33,0)),0))</f>
        <v/>
      </c>
      <c r="AO361" s="2" t="str">
        <f t="array" ref="AO361">IF($K361="",0,IFERROR(INDEX(CALC!$L$2:$L$33,MATCH($K361,CALC!$A$2:$A$33,0)),0))</f>
        <v/>
      </c>
      <c r="AP361" s="2" t="str">
        <f t="array" ref="AP361">IF($K361="",0,IFERROR(INDEX(CALC!$T$2:$T$33,MATCH($K361,CALC!$A$2:$A$33,0)),0))</f>
        <v/>
      </c>
      <c r="AQ361" s="2" t="str">
        <f t="array" ref="AQ361">IF($K361="",0,IFERROR(INDEX(CALC!$W$2:$W$33,MATCH($K361,CALC!$A$2:$A$33,0)),0))</f>
        <v/>
      </c>
      <c r="AR361" s="2" t="str">
        <f t="array" ref="AR361">IF($K361="",0,IFERROR(INDEX(CALC!$Z$2:$Z$33,MATCH($K361,CALC!$A$2:$A$33,0)),0))</f>
        <v/>
      </c>
      <c r="AS361" s="2" t="str">
        <f t="array" ref="AS361">IF($K361="",0,IFERROR(INDEX(CALC!$AJ$2:$AJ$33,MATCH($K361,CALC!$A$2:$A$33,0)),0))</f>
        <v/>
      </c>
      <c r="AT361" s="2" t="str">
        <f t="array" ref="AT361">IF($K361="",0,IFERROR(INDEX(CALC!$AI$2:$AI$33,MATCH($K361,CALC!$A$2:$A$33,0)),0))</f>
        <v/>
      </c>
      <c r="AU361" s="2">
        <f t="shared" si="11"/>
        <v>0</v>
      </c>
      <c r="AV361" s="2">
        <f t="shared" si="12"/>
        <v>0</v>
      </c>
    </row>
    <row r="362" ht="15.0" customHeight="1">
      <c r="A362" s="2">
        <v>180.0</v>
      </c>
      <c r="B362" s="2" t="s">
        <v>2366</v>
      </c>
      <c r="C362" s="2">
        <f>IFERROR(MATCH($A362,SchedSeq,0),"")</f>
        <v>465</v>
      </c>
      <c r="D362" s="2" t="str">
        <f t="array" ref="D362">IF($C362="","",INDEX(SchedZone,$C362,MAP!$B$6))</f>
        <v>2026_13_KC_LA</v>
      </c>
      <c r="E362" s="2">
        <f t="array" ref="E362">IF($C362="","",INDEX(SchedZone,$C362,MAP!$B$3))</f>
        <v>2026</v>
      </c>
      <c r="F362" s="2" t="str">
        <f t="array" ref="F362">IF($C362="","",INDEX(SchedZone,$C362,MAP!$B$5))</f>
        <v>REG</v>
      </c>
      <c r="G362" s="2">
        <f t="array" ref="G362">IF($C362="","",INDEX(SchedZone,$C362,MAP!$B$4))</f>
        <v>13</v>
      </c>
      <c r="H362" s="2" t="str">
        <f t="array" ref="H362">IF($C362="","",INDEX(SchedZone,$C362,MAP!$B$10))</f>
        <v>KC</v>
      </c>
      <c r="I362" s="2" t="str">
        <f t="array" ref="I362">IF($H362="","",IF(COUNTIF(Teams,$H362)&gt;0,$H362,IFERROR(INDEX(LISTS!$D$2:$D$12,MATCH($H362,LISTS!$C$2:$C$12,0)),"⚠ "&amp;$H362)))</f>
        <v>KC</v>
      </c>
      <c r="J362" s="2" t="str">
        <f t="array" ref="J362">IF($C362="","",INDEX(SchedZone,$C362,MAP!$B$12))</f>
        <v>LA</v>
      </c>
      <c r="K362" s="2" t="str">
        <f t="array" ref="K362">IF($J362="","",IF(COUNTIF(Teams,$J362)&gt;0,$J362,IFERROR(INDEX(LISTS!$D$2:$D$12,MATCH($J362,LISTS!$C$2:$C$12,0)),"⚠ "&amp;$J362)))</f>
        <v>LA</v>
      </c>
      <c r="L362" s="2" t="str">
        <f t="array" ref="L362">IF($C362="","",IF(INDEX(SchedZone,$C362,MAP!$B$14)="Neutral","N",IF($B362="HOME","H","A")))</f>
        <v>A</v>
      </c>
      <c r="M362" s="2" t="str">
        <f t="array" ref="M362">IF($C362="","",IF(INDEX(SchedZone,$C362,MAP!$B$11)="","",INDEX(SchedZone,$C362,MAP!$B$11)))</f>
        <v/>
      </c>
      <c r="N362" s="2" t="str">
        <f t="array" ref="N362">IF($C362="","",IF(INDEX(SchedZone,$C362,MAP!$B$13)="","",INDEX(SchedZone,$C362,MAP!$B$13)))</f>
        <v/>
      </c>
      <c r="O362" s="2">
        <f t="array" ref="O362">IF($C362="","",INDEX(SchedZone,$C362,MAP!$B$15))</f>
        <v>7</v>
      </c>
      <c r="P362" s="2" t="str">
        <f>IF($C362="","",IFERROR(MATCH($E362&amp;"|"&amp;$G362&amp;"|"&amp;$I362,StatsKey,0),""))</f>
        <v/>
      </c>
      <c r="Q362" s="2">
        <f t="array" ref="Q362">IF($P362="",0,INDEX(StatsZone,$P362,MAP!$E$9)+INDEX(StatsZone,$P362,MAP!$E$10)+INDEX(StatsZone,$P362,MAP!$E$11))</f>
        <v>0</v>
      </c>
      <c r="R362" s="2">
        <f t="array" ref="R362">IF($P362="",0,INDEX(StatsZone,$P362,MAP!$E$12))</f>
        <v>0</v>
      </c>
      <c r="S362" s="2">
        <f t="array" ref="S362">IF($P362="",0,INDEX(StatsZone,$P362,MAP!$E$13))</f>
        <v>0</v>
      </c>
      <c r="T362" s="2">
        <f t="shared" si="1"/>
        <v>0</v>
      </c>
      <c r="U362" s="2">
        <f t="array" ref="U362">IF($P362="",0,INDEX(StatsZone,$P362,MAP!$E$14)+INDEX(StatsZone,$P362,MAP!$E$15)+INDEX(StatsZone,$P362,MAP!$E$16))</f>
        <v>0</v>
      </c>
      <c r="V362" s="2">
        <f t="shared" si="2"/>
        <v>0</v>
      </c>
      <c r="W362" s="2">
        <f t="shared" si="3"/>
        <v>0</v>
      </c>
      <c r="X362" s="2">
        <f t="shared" si="4"/>
        <v>0</v>
      </c>
      <c r="Y362" s="2">
        <f t="shared" si="5"/>
        <v>0</v>
      </c>
      <c r="Z362" s="2">
        <f t="shared" si="6"/>
        <v>0</v>
      </c>
      <c r="AA362" s="2">
        <f t="shared" si="7"/>
        <v>-1</v>
      </c>
      <c r="AB362" s="2">
        <f>IF(OR($M362="",$N362=""),0,MEDIAN(-MarginCap,MarginCap,($M362-$N362)-$AA362*HFA_Base))</f>
        <v>0</v>
      </c>
      <c r="AC362" s="2">
        <f t="array" ref="AC362">IF(OR($P362="",INDEX($P$3:$P$722,(ROW()+IF(MOD(ROW()-3,2)=0,1,-1))-3+1)=""),0,MEDIAN(-MarginCap,MarginCap,($T362-$W362)-$AA362*HFA_Base))</f>
        <v>0</v>
      </c>
      <c r="AD362" s="2">
        <f t="shared" si="8"/>
        <v>0</v>
      </c>
      <c r="AE362" s="2">
        <f>IF(OR($M362="",$N362=""),0,IF(AND(WEpa&gt;0,$AD362=1),(1-WEpa)*$AB362+WEpa*$AC362,$AB362))</f>
        <v>0</v>
      </c>
      <c r="AF362" s="2">
        <f>IF(AND($C362&lt;&gt;"",$E362=CurrentSeason,$F362="REG",ISNUMBER($G362),$G362&lt;CurrentWeek,AND($M362&lt;&gt;"",$N362&lt;&gt;"")),1,0)</f>
        <v>0</v>
      </c>
      <c r="AG362" s="2">
        <f>IF($AF362=0,0,IF($G362&gt;=CurrentWeek-RecencyWin,RecencyMult,1))</f>
        <v>0</v>
      </c>
      <c r="AH362" s="2">
        <f>IF(AND($C362&lt;&gt;"",$E362=CurrentSeason,$F362="REG",ISNUMBER($G362),$G362&lt;CurrentWeek-1,AND($M362&lt;&gt;"",$N362&lt;&gt;"")),1,0)</f>
        <v>0</v>
      </c>
      <c r="AI362" s="2">
        <f>IF($AH362=0,0,IF($G362&gt;=CurrentWeek-1-RecencyWin,RecencyMult,1))</f>
        <v>0</v>
      </c>
      <c r="AJ362" s="2">
        <f>IF($AF362=0,0,IF($G362&gt;=CurrentWeek-RecencyWin,TotRecency,1))</f>
        <v>0</v>
      </c>
      <c r="AK362" s="2">
        <f t="shared" si="9"/>
        <v>0</v>
      </c>
      <c r="AL362" s="2">
        <f t="shared" si="10"/>
        <v>0</v>
      </c>
      <c r="AM362" s="2" t="str">
        <f t="array" ref="AM362">IF($K362="",0,IFERROR(INDEX(CALC!$F$2:$F$33,MATCH($K362,CALC!$A$2:$A$33,0)),0))</f>
        <v/>
      </c>
      <c r="AN362" s="2" t="str">
        <f t="array" ref="AN362">IF($K362="",0,IFERROR(INDEX(CALC!$I$2:$I$33,MATCH($K362,CALC!$A$2:$A$33,0)),0))</f>
        <v/>
      </c>
      <c r="AO362" s="2" t="str">
        <f t="array" ref="AO362">IF($K362="",0,IFERROR(INDEX(CALC!$L$2:$L$33,MATCH($K362,CALC!$A$2:$A$33,0)),0))</f>
        <v/>
      </c>
      <c r="AP362" s="2" t="str">
        <f t="array" ref="AP362">IF($K362="",0,IFERROR(INDEX(CALC!$T$2:$T$33,MATCH($K362,CALC!$A$2:$A$33,0)),0))</f>
        <v/>
      </c>
      <c r="AQ362" s="2" t="str">
        <f t="array" ref="AQ362">IF($K362="",0,IFERROR(INDEX(CALC!$W$2:$W$33,MATCH($K362,CALC!$A$2:$A$33,0)),0))</f>
        <v/>
      </c>
      <c r="AR362" s="2" t="str">
        <f t="array" ref="AR362">IF($K362="",0,IFERROR(INDEX(CALC!$Z$2:$Z$33,MATCH($K362,CALC!$A$2:$A$33,0)),0))</f>
        <v/>
      </c>
      <c r="AS362" s="2" t="str">
        <f t="array" ref="AS362">IF($K362="",0,IFERROR(INDEX(CALC!$AJ$2:$AJ$33,MATCH($K362,CALC!$A$2:$A$33,0)),0))</f>
        <v/>
      </c>
      <c r="AT362" s="2" t="str">
        <f t="array" ref="AT362">IF($K362="",0,IFERROR(INDEX(CALC!$AI$2:$AI$33,MATCH($K362,CALC!$A$2:$A$33,0)),0))</f>
        <v/>
      </c>
      <c r="AU362" s="2">
        <f t="shared" si="11"/>
        <v>0</v>
      </c>
      <c r="AV362" s="2">
        <f t="shared" si="12"/>
        <v>0</v>
      </c>
    </row>
    <row r="363" ht="15.0" customHeight="1">
      <c r="A363" s="2">
        <v>181.0</v>
      </c>
      <c r="B363" s="2" t="s">
        <v>2365</v>
      </c>
      <c r="C363" s="2">
        <f>IFERROR(MATCH($A363,SchedSeq,0),"")</f>
        <v>466</v>
      </c>
      <c r="D363" s="2" t="str">
        <f t="array" ref="D363">IF($C363="","",INDEX(SchedZone,$C363,MAP!$B$6))</f>
        <v>2026_13_DET_ATL</v>
      </c>
      <c r="E363" s="2">
        <f t="array" ref="E363">IF($C363="","",INDEX(SchedZone,$C363,MAP!$B$3))</f>
        <v>2026</v>
      </c>
      <c r="F363" s="2" t="str">
        <f t="array" ref="F363">IF($C363="","",INDEX(SchedZone,$C363,MAP!$B$5))</f>
        <v>REG</v>
      </c>
      <c r="G363" s="2">
        <f t="array" ref="G363">IF($C363="","",INDEX(SchedZone,$C363,MAP!$B$4))</f>
        <v>13</v>
      </c>
      <c r="H363" s="2" t="str">
        <f t="array" ref="H363">IF($C363="","",INDEX(SchedZone,$C363,MAP!$B$12))</f>
        <v>ATL</v>
      </c>
      <c r="I363" s="2" t="str">
        <f t="array" ref="I363">IF($H363="","",IF(COUNTIF(Teams,$H363)&gt;0,$H363,IFERROR(INDEX(LISTS!$D$2:$D$12,MATCH($H363,LISTS!$C$2:$C$12,0)),"⚠ "&amp;$H363)))</f>
        <v>ATL</v>
      </c>
      <c r="J363" s="2" t="str">
        <f t="array" ref="J363">IF($C363="","",INDEX(SchedZone,$C363,MAP!$B$10))</f>
        <v>DET</v>
      </c>
      <c r="K363" s="2" t="str">
        <f t="array" ref="K363">IF($J363="","",IF(COUNTIF(Teams,$J363)&gt;0,$J363,IFERROR(INDEX(LISTS!$D$2:$D$12,MATCH($J363,LISTS!$C$2:$C$12,0)),"⚠ "&amp;$J363)))</f>
        <v>DET</v>
      </c>
      <c r="L363" s="2" t="str">
        <f t="array" ref="L363">IF($C363="","",IF(INDEX(SchedZone,$C363,MAP!$B$14)="Neutral","N",IF($B363="HOME","H","A")))</f>
        <v>H</v>
      </c>
      <c r="M363" s="2" t="str">
        <f t="array" ref="M363">IF($C363="","",IF(INDEX(SchedZone,$C363,MAP!$B$13)="","",INDEX(SchedZone,$C363,MAP!$B$13)))</f>
        <v/>
      </c>
      <c r="N363" s="2" t="str">
        <f t="array" ref="N363">IF($C363="","",IF(INDEX(SchedZone,$C363,MAP!$B$11)="","",INDEX(SchedZone,$C363,MAP!$B$11)))</f>
        <v/>
      </c>
      <c r="O363" s="2">
        <f t="array" ref="O363">IF($C363="","",INDEX(SchedZone,$C363,MAP!$B$16))</f>
        <v>7</v>
      </c>
      <c r="P363" s="2" t="str">
        <f>IF($C363="","",IFERROR(MATCH($E363&amp;"|"&amp;$G363&amp;"|"&amp;$I363,StatsKey,0),""))</f>
        <v/>
      </c>
      <c r="Q363" s="2">
        <f t="array" ref="Q363">IF($P363="",0,INDEX(StatsZone,$P363,MAP!$E$9)+INDEX(StatsZone,$P363,MAP!$E$10)+INDEX(StatsZone,$P363,MAP!$E$11))</f>
        <v>0</v>
      </c>
      <c r="R363" s="2">
        <f t="array" ref="R363">IF($P363="",0,INDEX(StatsZone,$P363,MAP!$E$12))</f>
        <v>0</v>
      </c>
      <c r="S363" s="2">
        <f t="array" ref="S363">IF($P363="",0,INDEX(StatsZone,$P363,MAP!$E$13))</f>
        <v>0</v>
      </c>
      <c r="T363" s="2">
        <f t="shared" si="1"/>
        <v>0</v>
      </c>
      <c r="U363" s="2">
        <f t="array" ref="U363">IF($P363="",0,INDEX(StatsZone,$P363,MAP!$E$14)+INDEX(StatsZone,$P363,MAP!$E$15)+INDEX(StatsZone,$P363,MAP!$E$16))</f>
        <v>0</v>
      </c>
      <c r="V363" s="2">
        <f t="shared" si="2"/>
        <v>0</v>
      </c>
      <c r="W363" s="2">
        <f t="shared" si="3"/>
        <v>0</v>
      </c>
      <c r="X363" s="2">
        <f t="shared" si="4"/>
        <v>0</v>
      </c>
      <c r="Y363" s="2">
        <f t="shared" si="5"/>
        <v>0</v>
      </c>
      <c r="Z363" s="2">
        <f t="shared" si="6"/>
        <v>0</v>
      </c>
      <c r="AA363" s="2">
        <f t="shared" si="7"/>
        <v>1</v>
      </c>
      <c r="AB363" s="2">
        <f>IF(OR($M363="",$N363=""),0,MEDIAN(-MarginCap,MarginCap,($M363-$N363)-$AA363*HFA_Base))</f>
        <v>0</v>
      </c>
      <c r="AC363" s="2">
        <f t="array" ref="AC363">IF(OR($P363="",INDEX($P$3:$P$722,(ROW()+IF(MOD(ROW()-3,2)=0,1,-1))-3+1)=""),0,MEDIAN(-MarginCap,MarginCap,($T363-$W363)-$AA363*HFA_Base))</f>
        <v>0</v>
      </c>
      <c r="AD363" s="2">
        <f t="shared" si="8"/>
        <v>0</v>
      </c>
      <c r="AE363" s="2">
        <f>IF(OR($M363="",$N363=""),0,IF(AND(WEpa&gt;0,$AD363=1),(1-WEpa)*$AB363+WEpa*$AC363,$AB363))</f>
        <v>0</v>
      </c>
      <c r="AF363" s="2">
        <f>IF(AND($C363&lt;&gt;"",$E363=CurrentSeason,$F363="REG",ISNUMBER($G363),$G363&lt;CurrentWeek,AND($M363&lt;&gt;"",$N363&lt;&gt;"")),1,0)</f>
        <v>0</v>
      </c>
      <c r="AG363" s="2">
        <f>IF($AF363=0,0,IF($G363&gt;=CurrentWeek-RecencyWin,RecencyMult,1))</f>
        <v>0</v>
      </c>
      <c r="AH363" s="2">
        <f>IF(AND($C363&lt;&gt;"",$E363=CurrentSeason,$F363="REG",ISNUMBER($G363),$G363&lt;CurrentWeek-1,AND($M363&lt;&gt;"",$N363&lt;&gt;"")),1,0)</f>
        <v>0</v>
      </c>
      <c r="AI363" s="2">
        <f>IF($AH363=0,0,IF($G363&gt;=CurrentWeek-1-RecencyWin,RecencyMult,1))</f>
        <v>0</v>
      </c>
      <c r="AJ363" s="2">
        <f>IF($AF363=0,0,IF($G363&gt;=CurrentWeek-RecencyWin,TotRecency,1))</f>
        <v>0</v>
      </c>
      <c r="AK363" s="2">
        <f t="shared" si="9"/>
        <v>0</v>
      </c>
      <c r="AL363" s="2">
        <f t="shared" si="10"/>
        <v>0</v>
      </c>
      <c r="AM363" s="2" t="str">
        <f t="array" ref="AM363">IF($K363="",0,IFERROR(INDEX(CALC!$F$2:$F$33,MATCH($K363,CALC!$A$2:$A$33,0)),0))</f>
        <v/>
      </c>
      <c r="AN363" s="2" t="str">
        <f t="array" ref="AN363">IF($K363="",0,IFERROR(INDEX(CALC!$I$2:$I$33,MATCH($K363,CALC!$A$2:$A$33,0)),0))</f>
        <v/>
      </c>
      <c r="AO363" s="2" t="str">
        <f t="array" ref="AO363">IF($K363="",0,IFERROR(INDEX(CALC!$L$2:$L$33,MATCH($K363,CALC!$A$2:$A$33,0)),0))</f>
        <v/>
      </c>
      <c r="AP363" s="2" t="str">
        <f t="array" ref="AP363">IF($K363="",0,IFERROR(INDEX(CALC!$T$2:$T$33,MATCH($K363,CALC!$A$2:$A$33,0)),0))</f>
        <v/>
      </c>
      <c r="AQ363" s="2" t="str">
        <f t="array" ref="AQ363">IF($K363="",0,IFERROR(INDEX(CALC!$W$2:$W$33,MATCH($K363,CALC!$A$2:$A$33,0)),0))</f>
        <v/>
      </c>
      <c r="AR363" s="2" t="str">
        <f t="array" ref="AR363">IF($K363="",0,IFERROR(INDEX(CALC!$Z$2:$Z$33,MATCH($K363,CALC!$A$2:$A$33,0)),0))</f>
        <v/>
      </c>
      <c r="AS363" s="2" t="str">
        <f t="array" ref="AS363">IF($K363="",0,IFERROR(INDEX(CALC!$AJ$2:$AJ$33,MATCH($K363,CALC!$A$2:$A$33,0)),0))</f>
        <v/>
      </c>
      <c r="AT363" s="2" t="str">
        <f t="array" ref="AT363">IF($K363="",0,IFERROR(INDEX(CALC!$AI$2:$AI$33,MATCH($K363,CALC!$A$2:$A$33,0)),0))</f>
        <v/>
      </c>
      <c r="AU363" s="2">
        <f t="shared" si="11"/>
        <v>0</v>
      </c>
      <c r="AV363" s="2">
        <f t="shared" si="12"/>
        <v>0</v>
      </c>
    </row>
    <row r="364" ht="15.0" customHeight="1">
      <c r="A364" s="2">
        <v>181.0</v>
      </c>
      <c r="B364" s="2" t="s">
        <v>2366</v>
      </c>
      <c r="C364" s="2">
        <f>IFERROR(MATCH($A364,SchedSeq,0),"")</f>
        <v>466</v>
      </c>
      <c r="D364" s="2" t="str">
        <f t="array" ref="D364">IF($C364="","",INDEX(SchedZone,$C364,MAP!$B$6))</f>
        <v>2026_13_DET_ATL</v>
      </c>
      <c r="E364" s="2">
        <f t="array" ref="E364">IF($C364="","",INDEX(SchedZone,$C364,MAP!$B$3))</f>
        <v>2026</v>
      </c>
      <c r="F364" s="2" t="str">
        <f t="array" ref="F364">IF($C364="","",INDEX(SchedZone,$C364,MAP!$B$5))</f>
        <v>REG</v>
      </c>
      <c r="G364" s="2">
        <f t="array" ref="G364">IF($C364="","",INDEX(SchedZone,$C364,MAP!$B$4))</f>
        <v>13</v>
      </c>
      <c r="H364" s="2" t="str">
        <f t="array" ref="H364">IF($C364="","",INDEX(SchedZone,$C364,MAP!$B$10))</f>
        <v>DET</v>
      </c>
      <c r="I364" s="2" t="str">
        <f t="array" ref="I364">IF($H364="","",IF(COUNTIF(Teams,$H364)&gt;0,$H364,IFERROR(INDEX(LISTS!$D$2:$D$12,MATCH($H364,LISTS!$C$2:$C$12,0)),"⚠ "&amp;$H364)))</f>
        <v>DET</v>
      </c>
      <c r="J364" s="2" t="str">
        <f t="array" ref="J364">IF($C364="","",INDEX(SchedZone,$C364,MAP!$B$12))</f>
        <v>ATL</v>
      </c>
      <c r="K364" s="2" t="str">
        <f t="array" ref="K364">IF($J364="","",IF(COUNTIF(Teams,$J364)&gt;0,$J364,IFERROR(INDEX(LISTS!$D$2:$D$12,MATCH($J364,LISTS!$C$2:$C$12,0)),"⚠ "&amp;$J364)))</f>
        <v>ATL</v>
      </c>
      <c r="L364" s="2" t="str">
        <f t="array" ref="L364">IF($C364="","",IF(INDEX(SchedZone,$C364,MAP!$B$14)="Neutral","N",IF($B364="HOME","H","A")))</f>
        <v>A</v>
      </c>
      <c r="M364" s="2" t="str">
        <f t="array" ref="M364">IF($C364="","",IF(INDEX(SchedZone,$C364,MAP!$B$11)="","",INDEX(SchedZone,$C364,MAP!$B$11)))</f>
        <v/>
      </c>
      <c r="N364" s="2" t="str">
        <f t="array" ref="N364">IF($C364="","",IF(INDEX(SchedZone,$C364,MAP!$B$13)="","",INDEX(SchedZone,$C364,MAP!$B$13)))</f>
        <v/>
      </c>
      <c r="O364" s="2">
        <f t="array" ref="O364">IF($C364="","",INDEX(SchedZone,$C364,MAP!$B$15))</f>
        <v>10</v>
      </c>
      <c r="P364" s="2" t="str">
        <f>IF($C364="","",IFERROR(MATCH($E364&amp;"|"&amp;$G364&amp;"|"&amp;$I364,StatsKey,0),""))</f>
        <v/>
      </c>
      <c r="Q364" s="2">
        <f t="array" ref="Q364">IF($P364="",0,INDEX(StatsZone,$P364,MAP!$E$9)+INDEX(StatsZone,$P364,MAP!$E$10)+INDEX(StatsZone,$P364,MAP!$E$11))</f>
        <v>0</v>
      </c>
      <c r="R364" s="2">
        <f t="array" ref="R364">IF($P364="",0,INDEX(StatsZone,$P364,MAP!$E$12))</f>
        <v>0</v>
      </c>
      <c r="S364" s="2">
        <f t="array" ref="S364">IF($P364="",0,INDEX(StatsZone,$P364,MAP!$E$13))</f>
        <v>0</v>
      </c>
      <c r="T364" s="2">
        <f t="shared" si="1"/>
        <v>0</v>
      </c>
      <c r="U364" s="2">
        <f t="array" ref="U364">IF($P364="",0,INDEX(StatsZone,$P364,MAP!$E$14)+INDEX(StatsZone,$P364,MAP!$E$15)+INDEX(StatsZone,$P364,MAP!$E$16))</f>
        <v>0</v>
      </c>
      <c r="V364" s="2">
        <f t="shared" si="2"/>
        <v>0</v>
      </c>
      <c r="W364" s="2">
        <f t="shared" si="3"/>
        <v>0</v>
      </c>
      <c r="X364" s="2">
        <f t="shared" si="4"/>
        <v>0</v>
      </c>
      <c r="Y364" s="2">
        <f t="shared" si="5"/>
        <v>0</v>
      </c>
      <c r="Z364" s="2">
        <f t="shared" si="6"/>
        <v>0</v>
      </c>
      <c r="AA364" s="2">
        <f t="shared" si="7"/>
        <v>-1</v>
      </c>
      <c r="AB364" s="2">
        <f>IF(OR($M364="",$N364=""),0,MEDIAN(-MarginCap,MarginCap,($M364-$N364)-$AA364*HFA_Base))</f>
        <v>0</v>
      </c>
      <c r="AC364" s="2">
        <f t="array" ref="AC364">IF(OR($P364="",INDEX($P$3:$P$722,(ROW()+IF(MOD(ROW()-3,2)=0,1,-1))-3+1)=""),0,MEDIAN(-MarginCap,MarginCap,($T364-$W364)-$AA364*HFA_Base))</f>
        <v>0</v>
      </c>
      <c r="AD364" s="2">
        <f t="shared" si="8"/>
        <v>0</v>
      </c>
      <c r="AE364" s="2">
        <f>IF(OR($M364="",$N364=""),0,IF(AND(WEpa&gt;0,$AD364=1),(1-WEpa)*$AB364+WEpa*$AC364,$AB364))</f>
        <v>0</v>
      </c>
      <c r="AF364" s="2">
        <f>IF(AND($C364&lt;&gt;"",$E364=CurrentSeason,$F364="REG",ISNUMBER($G364),$G364&lt;CurrentWeek,AND($M364&lt;&gt;"",$N364&lt;&gt;"")),1,0)</f>
        <v>0</v>
      </c>
      <c r="AG364" s="2">
        <f>IF($AF364=0,0,IF($G364&gt;=CurrentWeek-RecencyWin,RecencyMult,1))</f>
        <v>0</v>
      </c>
      <c r="AH364" s="2">
        <f>IF(AND($C364&lt;&gt;"",$E364=CurrentSeason,$F364="REG",ISNUMBER($G364),$G364&lt;CurrentWeek-1,AND($M364&lt;&gt;"",$N364&lt;&gt;"")),1,0)</f>
        <v>0</v>
      </c>
      <c r="AI364" s="2">
        <f>IF($AH364=0,0,IF($G364&gt;=CurrentWeek-1-RecencyWin,RecencyMult,1))</f>
        <v>0</v>
      </c>
      <c r="AJ364" s="2">
        <f>IF($AF364=0,0,IF($G364&gt;=CurrentWeek-RecencyWin,TotRecency,1))</f>
        <v>0</v>
      </c>
      <c r="AK364" s="2">
        <f t="shared" si="9"/>
        <v>0</v>
      </c>
      <c r="AL364" s="2">
        <f t="shared" si="10"/>
        <v>0</v>
      </c>
      <c r="AM364" s="2" t="str">
        <f t="array" ref="AM364">IF($K364="",0,IFERROR(INDEX(CALC!$F$2:$F$33,MATCH($K364,CALC!$A$2:$A$33,0)),0))</f>
        <v/>
      </c>
      <c r="AN364" s="2" t="str">
        <f t="array" ref="AN364">IF($K364="",0,IFERROR(INDEX(CALC!$I$2:$I$33,MATCH($K364,CALC!$A$2:$A$33,0)),0))</f>
        <v/>
      </c>
      <c r="AO364" s="2" t="str">
        <f t="array" ref="AO364">IF($K364="",0,IFERROR(INDEX(CALC!$L$2:$L$33,MATCH($K364,CALC!$A$2:$A$33,0)),0))</f>
        <v/>
      </c>
      <c r="AP364" s="2" t="str">
        <f t="array" ref="AP364">IF($K364="",0,IFERROR(INDEX(CALC!$T$2:$T$33,MATCH($K364,CALC!$A$2:$A$33,0)),0))</f>
        <v/>
      </c>
      <c r="AQ364" s="2" t="str">
        <f t="array" ref="AQ364">IF($K364="",0,IFERROR(INDEX(CALC!$W$2:$W$33,MATCH($K364,CALC!$A$2:$A$33,0)),0))</f>
        <v/>
      </c>
      <c r="AR364" s="2" t="str">
        <f t="array" ref="AR364">IF($K364="",0,IFERROR(INDEX(CALC!$Z$2:$Z$33,MATCH($K364,CALC!$A$2:$A$33,0)),0))</f>
        <v/>
      </c>
      <c r="AS364" s="2" t="str">
        <f t="array" ref="AS364">IF($K364="",0,IFERROR(INDEX(CALC!$AJ$2:$AJ$33,MATCH($K364,CALC!$A$2:$A$33,0)),0))</f>
        <v/>
      </c>
      <c r="AT364" s="2" t="str">
        <f t="array" ref="AT364">IF($K364="",0,IFERROR(INDEX(CALC!$AI$2:$AI$33,MATCH($K364,CALC!$A$2:$A$33,0)),0))</f>
        <v/>
      </c>
      <c r="AU364" s="2">
        <f t="shared" si="11"/>
        <v>0</v>
      </c>
      <c r="AV364" s="2">
        <f t="shared" si="12"/>
        <v>0</v>
      </c>
    </row>
    <row r="365" ht="15.0" customHeight="1">
      <c r="A365" s="2">
        <v>182.0</v>
      </c>
      <c r="B365" s="2" t="s">
        <v>2365</v>
      </c>
      <c r="C365" s="2">
        <f>IFERROR(MATCH($A365,SchedSeq,0),"")</f>
        <v>467</v>
      </c>
      <c r="D365" s="2" t="str">
        <f t="array" ref="D365">IF($C365="","",INDEX(SchedZone,$C365,MAP!$B$6))</f>
        <v>2026_13_JAX_CHI</v>
      </c>
      <c r="E365" s="2">
        <f t="array" ref="E365">IF($C365="","",INDEX(SchedZone,$C365,MAP!$B$3))</f>
        <v>2026</v>
      </c>
      <c r="F365" s="2" t="str">
        <f t="array" ref="F365">IF($C365="","",INDEX(SchedZone,$C365,MAP!$B$5))</f>
        <v>REG</v>
      </c>
      <c r="G365" s="2">
        <f t="array" ref="G365">IF($C365="","",INDEX(SchedZone,$C365,MAP!$B$4))</f>
        <v>13</v>
      </c>
      <c r="H365" s="2" t="str">
        <f t="array" ref="H365">IF($C365="","",INDEX(SchedZone,$C365,MAP!$B$12))</f>
        <v>CHI</v>
      </c>
      <c r="I365" s="2" t="str">
        <f t="array" ref="I365">IF($H365="","",IF(COUNTIF(Teams,$H365)&gt;0,$H365,IFERROR(INDEX(LISTS!$D$2:$D$12,MATCH($H365,LISTS!$C$2:$C$12,0)),"⚠ "&amp;$H365)))</f>
        <v>CHI</v>
      </c>
      <c r="J365" s="2" t="str">
        <f t="array" ref="J365">IF($C365="","",INDEX(SchedZone,$C365,MAP!$B$10))</f>
        <v>JAX</v>
      </c>
      <c r="K365" s="2" t="str">
        <f t="array" ref="K365">IF($J365="","",IF(COUNTIF(Teams,$J365)&gt;0,$J365,IFERROR(INDEX(LISTS!$D$2:$D$12,MATCH($J365,LISTS!$C$2:$C$12,0)),"⚠ "&amp;$J365)))</f>
        <v>JAX</v>
      </c>
      <c r="L365" s="2" t="str">
        <f t="array" ref="L365">IF($C365="","",IF(INDEX(SchedZone,$C365,MAP!$B$14)="Neutral","N",IF($B365="HOME","H","A")))</f>
        <v>H</v>
      </c>
      <c r="M365" s="2" t="str">
        <f t="array" ref="M365">IF($C365="","",IF(INDEX(SchedZone,$C365,MAP!$B$13)="","",INDEX(SchedZone,$C365,MAP!$B$13)))</f>
        <v/>
      </c>
      <c r="N365" s="2" t="str">
        <f t="array" ref="N365">IF($C365="","",IF(INDEX(SchedZone,$C365,MAP!$B$11)="","",INDEX(SchedZone,$C365,MAP!$B$11)))</f>
        <v/>
      </c>
      <c r="O365" s="2">
        <f t="array" ref="O365">IF($C365="","",INDEX(SchedZone,$C365,MAP!$B$16))</f>
        <v>10</v>
      </c>
      <c r="P365" s="2" t="str">
        <f>IF($C365="","",IFERROR(MATCH($E365&amp;"|"&amp;$G365&amp;"|"&amp;$I365,StatsKey,0),""))</f>
        <v/>
      </c>
      <c r="Q365" s="2">
        <f t="array" ref="Q365">IF($P365="",0,INDEX(StatsZone,$P365,MAP!$E$9)+INDEX(StatsZone,$P365,MAP!$E$10)+INDEX(StatsZone,$P365,MAP!$E$11))</f>
        <v>0</v>
      </c>
      <c r="R365" s="2">
        <f t="array" ref="R365">IF($P365="",0,INDEX(StatsZone,$P365,MAP!$E$12))</f>
        <v>0</v>
      </c>
      <c r="S365" s="2">
        <f t="array" ref="S365">IF($P365="",0,INDEX(StatsZone,$P365,MAP!$E$13))</f>
        <v>0</v>
      </c>
      <c r="T365" s="2">
        <f t="shared" si="1"/>
        <v>0</v>
      </c>
      <c r="U365" s="2">
        <f t="array" ref="U365">IF($P365="",0,INDEX(StatsZone,$P365,MAP!$E$14)+INDEX(StatsZone,$P365,MAP!$E$15)+INDEX(StatsZone,$P365,MAP!$E$16))</f>
        <v>0</v>
      </c>
      <c r="V365" s="2">
        <f t="shared" si="2"/>
        <v>0</v>
      </c>
      <c r="W365" s="2">
        <f t="shared" si="3"/>
        <v>0</v>
      </c>
      <c r="X365" s="2">
        <f t="shared" si="4"/>
        <v>0</v>
      </c>
      <c r="Y365" s="2">
        <f t="shared" si="5"/>
        <v>0</v>
      </c>
      <c r="Z365" s="2">
        <f t="shared" si="6"/>
        <v>0</v>
      </c>
      <c r="AA365" s="2">
        <f t="shared" si="7"/>
        <v>1</v>
      </c>
      <c r="AB365" s="2">
        <f>IF(OR($M365="",$N365=""),0,MEDIAN(-MarginCap,MarginCap,($M365-$N365)-$AA365*HFA_Base))</f>
        <v>0</v>
      </c>
      <c r="AC365" s="2">
        <f t="array" ref="AC365">IF(OR($P365="",INDEX($P$3:$P$722,(ROW()+IF(MOD(ROW()-3,2)=0,1,-1))-3+1)=""),0,MEDIAN(-MarginCap,MarginCap,($T365-$W365)-$AA365*HFA_Base))</f>
        <v>0</v>
      </c>
      <c r="AD365" s="2">
        <f t="shared" si="8"/>
        <v>0</v>
      </c>
      <c r="AE365" s="2">
        <f>IF(OR($M365="",$N365=""),0,IF(AND(WEpa&gt;0,$AD365=1),(1-WEpa)*$AB365+WEpa*$AC365,$AB365))</f>
        <v>0</v>
      </c>
      <c r="AF365" s="2">
        <f>IF(AND($C365&lt;&gt;"",$E365=CurrentSeason,$F365="REG",ISNUMBER($G365),$G365&lt;CurrentWeek,AND($M365&lt;&gt;"",$N365&lt;&gt;"")),1,0)</f>
        <v>0</v>
      </c>
      <c r="AG365" s="2">
        <f>IF($AF365=0,0,IF($G365&gt;=CurrentWeek-RecencyWin,RecencyMult,1))</f>
        <v>0</v>
      </c>
      <c r="AH365" s="2">
        <f>IF(AND($C365&lt;&gt;"",$E365=CurrentSeason,$F365="REG",ISNUMBER($G365),$G365&lt;CurrentWeek-1,AND($M365&lt;&gt;"",$N365&lt;&gt;"")),1,0)</f>
        <v>0</v>
      </c>
      <c r="AI365" s="2">
        <f>IF($AH365=0,0,IF($G365&gt;=CurrentWeek-1-RecencyWin,RecencyMult,1))</f>
        <v>0</v>
      </c>
      <c r="AJ365" s="2">
        <f>IF($AF365=0,0,IF($G365&gt;=CurrentWeek-RecencyWin,TotRecency,1))</f>
        <v>0</v>
      </c>
      <c r="AK365" s="2">
        <f t="shared" si="9"/>
        <v>0</v>
      </c>
      <c r="AL365" s="2">
        <f t="shared" si="10"/>
        <v>0</v>
      </c>
      <c r="AM365" s="2" t="str">
        <f t="array" ref="AM365">IF($K365="",0,IFERROR(INDEX(CALC!$F$2:$F$33,MATCH($K365,CALC!$A$2:$A$33,0)),0))</f>
        <v/>
      </c>
      <c r="AN365" s="2" t="str">
        <f t="array" ref="AN365">IF($K365="",0,IFERROR(INDEX(CALC!$I$2:$I$33,MATCH($K365,CALC!$A$2:$A$33,0)),0))</f>
        <v/>
      </c>
      <c r="AO365" s="2" t="str">
        <f t="array" ref="AO365">IF($K365="",0,IFERROR(INDEX(CALC!$L$2:$L$33,MATCH($K365,CALC!$A$2:$A$33,0)),0))</f>
        <v/>
      </c>
      <c r="AP365" s="2" t="str">
        <f t="array" ref="AP365">IF($K365="",0,IFERROR(INDEX(CALC!$T$2:$T$33,MATCH($K365,CALC!$A$2:$A$33,0)),0))</f>
        <v/>
      </c>
      <c r="AQ365" s="2" t="str">
        <f t="array" ref="AQ365">IF($K365="",0,IFERROR(INDEX(CALC!$W$2:$W$33,MATCH($K365,CALC!$A$2:$A$33,0)),0))</f>
        <v/>
      </c>
      <c r="AR365" s="2" t="str">
        <f t="array" ref="AR365">IF($K365="",0,IFERROR(INDEX(CALC!$Z$2:$Z$33,MATCH($K365,CALC!$A$2:$A$33,0)),0))</f>
        <v/>
      </c>
      <c r="AS365" s="2" t="str">
        <f t="array" ref="AS365">IF($K365="",0,IFERROR(INDEX(CALC!$AJ$2:$AJ$33,MATCH($K365,CALC!$A$2:$A$33,0)),0))</f>
        <v/>
      </c>
      <c r="AT365" s="2" t="str">
        <f t="array" ref="AT365">IF($K365="",0,IFERROR(INDEX(CALC!$AI$2:$AI$33,MATCH($K365,CALC!$A$2:$A$33,0)),0))</f>
        <v/>
      </c>
      <c r="AU365" s="2">
        <f t="shared" si="11"/>
        <v>0</v>
      </c>
      <c r="AV365" s="2">
        <f t="shared" si="12"/>
        <v>0</v>
      </c>
    </row>
    <row r="366" ht="15.0" customHeight="1">
      <c r="A366" s="2">
        <v>182.0</v>
      </c>
      <c r="B366" s="2" t="s">
        <v>2366</v>
      </c>
      <c r="C366" s="2">
        <f>IFERROR(MATCH($A366,SchedSeq,0),"")</f>
        <v>467</v>
      </c>
      <c r="D366" s="2" t="str">
        <f t="array" ref="D366">IF($C366="","",INDEX(SchedZone,$C366,MAP!$B$6))</f>
        <v>2026_13_JAX_CHI</v>
      </c>
      <c r="E366" s="2">
        <f t="array" ref="E366">IF($C366="","",INDEX(SchedZone,$C366,MAP!$B$3))</f>
        <v>2026</v>
      </c>
      <c r="F366" s="2" t="str">
        <f t="array" ref="F366">IF($C366="","",INDEX(SchedZone,$C366,MAP!$B$5))</f>
        <v>REG</v>
      </c>
      <c r="G366" s="2">
        <f t="array" ref="G366">IF($C366="","",INDEX(SchedZone,$C366,MAP!$B$4))</f>
        <v>13</v>
      </c>
      <c r="H366" s="2" t="str">
        <f t="array" ref="H366">IF($C366="","",INDEX(SchedZone,$C366,MAP!$B$10))</f>
        <v>JAX</v>
      </c>
      <c r="I366" s="2" t="str">
        <f t="array" ref="I366">IF($H366="","",IF(COUNTIF(Teams,$H366)&gt;0,$H366,IFERROR(INDEX(LISTS!$D$2:$D$12,MATCH($H366,LISTS!$C$2:$C$12,0)),"⚠ "&amp;$H366)))</f>
        <v>JAX</v>
      </c>
      <c r="J366" s="2" t="str">
        <f t="array" ref="J366">IF($C366="","",INDEX(SchedZone,$C366,MAP!$B$12))</f>
        <v>CHI</v>
      </c>
      <c r="K366" s="2" t="str">
        <f t="array" ref="K366">IF($J366="","",IF(COUNTIF(Teams,$J366)&gt;0,$J366,IFERROR(INDEX(LISTS!$D$2:$D$12,MATCH($J366,LISTS!$C$2:$C$12,0)),"⚠ "&amp;$J366)))</f>
        <v>CHI</v>
      </c>
      <c r="L366" s="2" t="str">
        <f t="array" ref="L366">IF($C366="","",IF(INDEX(SchedZone,$C366,MAP!$B$14)="Neutral","N",IF($B366="HOME","H","A")))</f>
        <v>A</v>
      </c>
      <c r="M366" s="2" t="str">
        <f t="array" ref="M366">IF($C366="","",IF(INDEX(SchedZone,$C366,MAP!$B$11)="","",INDEX(SchedZone,$C366,MAP!$B$11)))</f>
        <v/>
      </c>
      <c r="N366" s="2" t="str">
        <f t="array" ref="N366">IF($C366="","",IF(INDEX(SchedZone,$C366,MAP!$B$13)="","",INDEX(SchedZone,$C366,MAP!$B$13)))</f>
        <v/>
      </c>
      <c r="O366" s="2">
        <f t="array" ref="O366">IF($C366="","",INDEX(SchedZone,$C366,MAP!$B$15))</f>
        <v>7</v>
      </c>
      <c r="P366" s="2" t="str">
        <f>IF($C366="","",IFERROR(MATCH($E366&amp;"|"&amp;$G366&amp;"|"&amp;$I366,StatsKey,0),""))</f>
        <v/>
      </c>
      <c r="Q366" s="2">
        <f t="array" ref="Q366">IF($P366="",0,INDEX(StatsZone,$P366,MAP!$E$9)+INDEX(StatsZone,$P366,MAP!$E$10)+INDEX(StatsZone,$P366,MAP!$E$11))</f>
        <v>0</v>
      </c>
      <c r="R366" s="2">
        <f t="array" ref="R366">IF($P366="",0,INDEX(StatsZone,$P366,MAP!$E$12))</f>
        <v>0</v>
      </c>
      <c r="S366" s="2">
        <f t="array" ref="S366">IF($P366="",0,INDEX(StatsZone,$P366,MAP!$E$13))</f>
        <v>0</v>
      </c>
      <c r="T366" s="2">
        <f t="shared" si="1"/>
        <v>0</v>
      </c>
      <c r="U366" s="2">
        <f t="array" ref="U366">IF($P366="",0,INDEX(StatsZone,$P366,MAP!$E$14)+INDEX(StatsZone,$P366,MAP!$E$15)+INDEX(StatsZone,$P366,MAP!$E$16))</f>
        <v>0</v>
      </c>
      <c r="V366" s="2">
        <f t="shared" si="2"/>
        <v>0</v>
      </c>
      <c r="W366" s="2">
        <f t="shared" si="3"/>
        <v>0</v>
      </c>
      <c r="X366" s="2">
        <f t="shared" si="4"/>
        <v>0</v>
      </c>
      <c r="Y366" s="2">
        <f t="shared" si="5"/>
        <v>0</v>
      </c>
      <c r="Z366" s="2">
        <f t="shared" si="6"/>
        <v>0</v>
      </c>
      <c r="AA366" s="2">
        <f t="shared" si="7"/>
        <v>-1</v>
      </c>
      <c r="AB366" s="2">
        <f>IF(OR($M366="",$N366=""),0,MEDIAN(-MarginCap,MarginCap,($M366-$N366)-$AA366*HFA_Base))</f>
        <v>0</v>
      </c>
      <c r="AC366" s="2">
        <f t="array" ref="AC366">IF(OR($P366="",INDEX($P$3:$P$722,(ROW()+IF(MOD(ROW()-3,2)=0,1,-1))-3+1)=""),0,MEDIAN(-MarginCap,MarginCap,($T366-$W366)-$AA366*HFA_Base))</f>
        <v>0</v>
      </c>
      <c r="AD366" s="2">
        <f t="shared" si="8"/>
        <v>0</v>
      </c>
      <c r="AE366" s="2">
        <f>IF(OR($M366="",$N366=""),0,IF(AND(WEpa&gt;0,$AD366=1),(1-WEpa)*$AB366+WEpa*$AC366,$AB366))</f>
        <v>0</v>
      </c>
      <c r="AF366" s="2">
        <f>IF(AND($C366&lt;&gt;"",$E366=CurrentSeason,$F366="REG",ISNUMBER($G366),$G366&lt;CurrentWeek,AND($M366&lt;&gt;"",$N366&lt;&gt;"")),1,0)</f>
        <v>0</v>
      </c>
      <c r="AG366" s="2">
        <f>IF($AF366=0,0,IF($G366&gt;=CurrentWeek-RecencyWin,RecencyMult,1))</f>
        <v>0</v>
      </c>
      <c r="AH366" s="2">
        <f>IF(AND($C366&lt;&gt;"",$E366=CurrentSeason,$F366="REG",ISNUMBER($G366),$G366&lt;CurrentWeek-1,AND($M366&lt;&gt;"",$N366&lt;&gt;"")),1,0)</f>
        <v>0</v>
      </c>
      <c r="AI366" s="2">
        <f>IF($AH366=0,0,IF($G366&gt;=CurrentWeek-1-RecencyWin,RecencyMult,1))</f>
        <v>0</v>
      </c>
      <c r="AJ366" s="2">
        <f>IF($AF366=0,0,IF($G366&gt;=CurrentWeek-RecencyWin,TotRecency,1))</f>
        <v>0</v>
      </c>
      <c r="AK366" s="2">
        <f t="shared" si="9"/>
        <v>0</v>
      </c>
      <c r="AL366" s="2">
        <f t="shared" si="10"/>
        <v>0</v>
      </c>
      <c r="AM366" s="2" t="str">
        <f t="array" ref="AM366">IF($K366="",0,IFERROR(INDEX(CALC!$F$2:$F$33,MATCH($K366,CALC!$A$2:$A$33,0)),0))</f>
        <v/>
      </c>
      <c r="AN366" s="2" t="str">
        <f t="array" ref="AN366">IF($K366="",0,IFERROR(INDEX(CALC!$I$2:$I$33,MATCH($K366,CALC!$A$2:$A$33,0)),0))</f>
        <v/>
      </c>
      <c r="AO366" s="2" t="str">
        <f t="array" ref="AO366">IF($K366="",0,IFERROR(INDEX(CALC!$L$2:$L$33,MATCH($K366,CALC!$A$2:$A$33,0)),0))</f>
        <v/>
      </c>
      <c r="AP366" s="2" t="str">
        <f t="array" ref="AP366">IF($K366="",0,IFERROR(INDEX(CALC!$T$2:$T$33,MATCH($K366,CALC!$A$2:$A$33,0)),0))</f>
        <v/>
      </c>
      <c r="AQ366" s="2" t="str">
        <f t="array" ref="AQ366">IF($K366="",0,IFERROR(INDEX(CALC!$W$2:$W$33,MATCH($K366,CALC!$A$2:$A$33,0)),0))</f>
        <v/>
      </c>
      <c r="AR366" s="2" t="str">
        <f t="array" ref="AR366">IF($K366="",0,IFERROR(INDEX(CALC!$Z$2:$Z$33,MATCH($K366,CALC!$A$2:$A$33,0)),0))</f>
        <v/>
      </c>
      <c r="AS366" s="2" t="str">
        <f t="array" ref="AS366">IF($K366="",0,IFERROR(INDEX(CALC!$AJ$2:$AJ$33,MATCH($K366,CALC!$A$2:$A$33,0)),0))</f>
        <v/>
      </c>
      <c r="AT366" s="2" t="str">
        <f t="array" ref="AT366">IF($K366="",0,IFERROR(INDEX(CALC!$AI$2:$AI$33,MATCH($K366,CALC!$A$2:$A$33,0)),0))</f>
        <v/>
      </c>
      <c r="AU366" s="2">
        <f t="shared" si="11"/>
        <v>0</v>
      </c>
      <c r="AV366" s="2">
        <f t="shared" si="12"/>
        <v>0</v>
      </c>
    </row>
    <row r="367" ht="15.0" customHeight="1">
      <c r="A367" s="2">
        <v>183.0</v>
      </c>
      <c r="B367" s="2" t="s">
        <v>2365</v>
      </c>
      <c r="C367" s="2">
        <f>IFERROR(MATCH($A367,SchedSeq,0),"")</f>
        <v>468</v>
      </c>
      <c r="D367" s="2" t="str">
        <f t="array" ref="D367">IF($C367="","",INDEX(SchedZone,$C367,MAP!$B$6))</f>
        <v>2026_13_CIN_CLE</v>
      </c>
      <c r="E367" s="2">
        <f t="array" ref="E367">IF($C367="","",INDEX(SchedZone,$C367,MAP!$B$3))</f>
        <v>2026</v>
      </c>
      <c r="F367" s="2" t="str">
        <f t="array" ref="F367">IF($C367="","",INDEX(SchedZone,$C367,MAP!$B$5))</f>
        <v>REG</v>
      </c>
      <c r="G367" s="2">
        <f t="array" ref="G367">IF($C367="","",INDEX(SchedZone,$C367,MAP!$B$4))</f>
        <v>13</v>
      </c>
      <c r="H367" s="2" t="str">
        <f t="array" ref="H367">IF($C367="","",INDEX(SchedZone,$C367,MAP!$B$12))</f>
        <v>CLE</v>
      </c>
      <c r="I367" s="2" t="str">
        <f t="array" ref="I367">IF($H367="","",IF(COUNTIF(Teams,$H367)&gt;0,$H367,IFERROR(INDEX(LISTS!$D$2:$D$12,MATCH($H367,LISTS!$C$2:$C$12,0)),"⚠ "&amp;$H367)))</f>
        <v>CLE</v>
      </c>
      <c r="J367" s="2" t="str">
        <f t="array" ref="J367">IF($C367="","",INDEX(SchedZone,$C367,MAP!$B$10))</f>
        <v>CIN</v>
      </c>
      <c r="K367" s="2" t="str">
        <f t="array" ref="K367">IF($J367="","",IF(COUNTIF(Teams,$J367)&gt;0,$J367,IFERROR(INDEX(LISTS!$D$2:$D$12,MATCH($J367,LISTS!$C$2:$C$12,0)),"⚠ "&amp;$J367)))</f>
        <v>CIN</v>
      </c>
      <c r="L367" s="2" t="str">
        <f t="array" ref="L367">IF($C367="","",IF(INDEX(SchedZone,$C367,MAP!$B$14)="Neutral","N",IF($B367="HOME","H","A")))</f>
        <v>H</v>
      </c>
      <c r="M367" s="2" t="str">
        <f t="array" ref="M367">IF($C367="","",IF(INDEX(SchedZone,$C367,MAP!$B$13)="","",INDEX(SchedZone,$C367,MAP!$B$13)))</f>
        <v/>
      </c>
      <c r="N367" s="2" t="str">
        <f t="array" ref="N367">IF($C367="","",IF(INDEX(SchedZone,$C367,MAP!$B$11)="","",INDEX(SchedZone,$C367,MAP!$B$11)))</f>
        <v/>
      </c>
      <c r="O367" s="2">
        <f t="array" ref="O367">IF($C367="","",INDEX(SchedZone,$C367,MAP!$B$16))</f>
        <v>7</v>
      </c>
      <c r="P367" s="2" t="str">
        <f>IF($C367="","",IFERROR(MATCH($E367&amp;"|"&amp;$G367&amp;"|"&amp;$I367,StatsKey,0),""))</f>
        <v/>
      </c>
      <c r="Q367" s="2">
        <f t="array" ref="Q367">IF($P367="",0,INDEX(StatsZone,$P367,MAP!$E$9)+INDEX(StatsZone,$P367,MAP!$E$10)+INDEX(StatsZone,$P367,MAP!$E$11))</f>
        <v>0</v>
      </c>
      <c r="R367" s="2">
        <f t="array" ref="R367">IF($P367="",0,INDEX(StatsZone,$P367,MAP!$E$12))</f>
        <v>0</v>
      </c>
      <c r="S367" s="2">
        <f t="array" ref="S367">IF($P367="",0,INDEX(StatsZone,$P367,MAP!$E$13))</f>
        <v>0</v>
      </c>
      <c r="T367" s="2">
        <f t="shared" si="1"/>
        <v>0</v>
      </c>
      <c r="U367" s="2">
        <f t="array" ref="U367">IF($P367="",0,INDEX(StatsZone,$P367,MAP!$E$14)+INDEX(StatsZone,$P367,MAP!$E$15)+INDEX(StatsZone,$P367,MAP!$E$16))</f>
        <v>0</v>
      </c>
      <c r="V367" s="2">
        <f t="shared" si="2"/>
        <v>0</v>
      </c>
      <c r="W367" s="2">
        <f t="shared" si="3"/>
        <v>0</v>
      </c>
      <c r="X367" s="2">
        <f t="shared" si="4"/>
        <v>0</v>
      </c>
      <c r="Y367" s="2">
        <f t="shared" si="5"/>
        <v>0</v>
      </c>
      <c r="Z367" s="2">
        <f t="shared" si="6"/>
        <v>0</v>
      </c>
      <c r="AA367" s="2">
        <f t="shared" si="7"/>
        <v>1</v>
      </c>
      <c r="AB367" s="2">
        <f>IF(OR($M367="",$N367=""),0,MEDIAN(-MarginCap,MarginCap,($M367-$N367)-$AA367*HFA_Base))</f>
        <v>0</v>
      </c>
      <c r="AC367" s="2">
        <f t="array" ref="AC367">IF(OR($P367="",INDEX($P$3:$P$722,(ROW()+IF(MOD(ROW()-3,2)=0,1,-1))-3+1)=""),0,MEDIAN(-MarginCap,MarginCap,($T367-$W367)-$AA367*HFA_Base))</f>
        <v>0</v>
      </c>
      <c r="AD367" s="2">
        <f t="shared" si="8"/>
        <v>0</v>
      </c>
      <c r="AE367" s="2">
        <f>IF(OR($M367="",$N367=""),0,IF(AND(WEpa&gt;0,$AD367=1),(1-WEpa)*$AB367+WEpa*$AC367,$AB367))</f>
        <v>0</v>
      </c>
      <c r="AF367" s="2">
        <f>IF(AND($C367&lt;&gt;"",$E367=CurrentSeason,$F367="REG",ISNUMBER($G367),$G367&lt;CurrentWeek,AND($M367&lt;&gt;"",$N367&lt;&gt;"")),1,0)</f>
        <v>0</v>
      </c>
      <c r="AG367" s="2">
        <f>IF($AF367=0,0,IF($G367&gt;=CurrentWeek-RecencyWin,RecencyMult,1))</f>
        <v>0</v>
      </c>
      <c r="AH367" s="2">
        <f>IF(AND($C367&lt;&gt;"",$E367=CurrentSeason,$F367="REG",ISNUMBER($G367),$G367&lt;CurrentWeek-1,AND($M367&lt;&gt;"",$N367&lt;&gt;"")),1,0)</f>
        <v>0</v>
      </c>
      <c r="AI367" s="2">
        <f>IF($AH367=0,0,IF($G367&gt;=CurrentWeek-1-RecencyWin,RecencyMult,1))</f>
        <v>0</v>
      </c>
      <c r="AJ367" s="2">
        <f>IF($AF367=0,0,IF($G367&gt;=CurrentWeek-RecencyWin,TotRecency,1))</f>
        <v>0</v>
      </c>
      <c r="AK367" s="2">
        <f t="shared" si="9"/>
        <v>0</v>
      </c>
      <c r="AL367" s="2">
        <f t="shared" si="10"/>
        <v>0</v>
      </c>
      <c r="AM367" s="2" t="str">
        <f t="array" ref="AM367">IF($K367="",0,IFERROR(INDEX(CALC!$F$2:$F$33,MATCH($K367,CALC!$A$2:$A$33,0)),0))</f>
        <v/>
      </c>
      <c r="AN367" s="2" t="str">
        <f t="array" ref="AN367">IF($K367="",0,IFERROR(INDEX(CALC!$I$2:$I$33,MATCH($K367,CALC!$A$2:$A$33,0)),0))</f>
        <v/>
      </c>
      <c r="AO367" s="2" t="str">
        <f t="array" ref="AO367">IF($K367="",0,IFERROR(INDEX(CALC!$L$2:$L$33,MATCH($K367,CALC!$A$2:$A$33,0)),0))</f>
        <v/>
      </c>
      <c r="AP367" s="2" t="str">
        <f t="array" ref="AP367">IF($K367="",0,IFERROR(INDEX(CALC!$T$2:$T$33,MATCH($K367,CALC!$A$2:$A$33,0)),0))</f>
        <v/>
      </c>
      <c r="AQ367" s="2" t="str">
        <f t="array" ref="AQ367">IF($K367="",0,IFERROR(INDEX(CALC!$W$2:$W$33,MATCH($K367,CALC!$A$2:$A$33,0)),0))</f>
        <v/>
      </c>
      <c r="AR367" s="2" t="str">
        <f t="array" ref="AR367">IF($K367="",0,IFERROR(INDEX(CALC!$Z$2:$Z$33,MATCH($K367,CALC!$A$2:$A$33,0)),0))</f>
        <v/>
      </c>
      <c r="AS367" s="2" t="str">
        <f t="array" ref="AS367">IF($K367="",0,IFERROR(INDEX(CALC!$AJ$2:$AJ$33,MATCH($K367,CALC!$A$2:$A$33,0)),0))</f>
        <v/>
      </c>
      <c r="AT367" s="2" t="str">
        <f t="array" ref="AT367">IF($K367="",0,IFERROR(INDEX(CALC!$AI$2:$AI$33,MATCH($K367,CALC!$A$2:$A$33,0)),0))</f>
        <v/>
      </c>
      <c r="AU367" s="2">
        <f t="shared" si="11"/>
        <v>0</v>
      </c>
      <c r="AV367" s="2">
        <f t="shared" si="12"/>
        <v>0</v>
      </c>
    </row>
    <row r="368" ht="15.0" customHeight="1">
      <c r="A368" s="2">
        <v>183.0</v>
      </c>
      <c r="B368" s="2" t="s">
        <v>2366</v>
      </c>
      <c r="C368" s="2">
        <f>IFERROR(MATCH($A368,SchedSeq,0),"")</f>
        <v>468</v>
      </c>
      <c r="D368" s="2" t="str">
        <f t="array" ref="D368">IF($C368="","",INDEX(SchedZone,$C368,MAP!$B$6))</f>
        <v>2026_13_CIN_CLE</v>
      </c>
      <c r="E368" s="2">
        <f t="array" ref="E368">IF($C368="","",INDEX(SchedZone,$C368,MAP!$B$3))</f>
        <v>2026</v>
      </c>
      <c r="F368" s="2" t="str">
        <f t="array" ref="F368">IF($C368="","",INDEX(SchedZone,$C368,MAP!$B$5))</f>
        <v>REG</v>
      </c>
      <c r="G368" s="2">
        <f t="array" ref="G368">IF($C368="","",INDEX(SchedZone,$C368,MAP!$B$4))</f>
        <v>13</v>
      </c>
      <c r="H368" s="2" t="str">
        <f t="array" ref="H368">IF($C368="","",INDEX(SchedZone,$C368,MAP!$B$10))</f>
        <v>CIN</v>
      </c>
      <c r="I368" s="2" t="str">
        <f t="array" ref="I368">IF($H368="","",IF(COUNTIF(Teams,$H368)&gt;0,$H368,IFERROR(INDEX(LISTS!$D$2:$D$12,MATCH($H368,LISTS!$C$2:$C$12,0)),"⚠ "&amp;$H368)))</f>
        <v>CIN</v>
      </c>
      <c r="J368" s="2" t="str">
        <f t="array" ref="J368">IF($C368="","",INDEX(SchedZone,$C368,MAP!$B$12))</f>
        <v>CLE</v>
      </c>
      <c r="K368" s="2" t="str">
        <f t="array" ref="K368">IF($J368="","",IF(COUNTIF(Teams,$J368)&gt;0,$J368,IFERROR(INDEX(LISTS!$D$2:$D$12,MATCH($J368,LISTS!$C$2:$C$12,0)),"⚠ "&amp;$J368)))</f>
        <v>CLE</v>
      </c>
      <c r="L368" s="2" t="str">
        <f t="array" ref="L368">IF($C368="","",IF(INDEX(SchedZone,$C368,MAP!$B$14)="Neutral","N",IF($B368="HOME","H","A")))</f>
        <v>A</v>
      </c>
      <c r="M368" s="2" t="str">
        <f t="array" ref="M368">IF($C368="","",IF(INDEX(SchedZone,$C368,MAP!$B$11)="","",INDEX(SchedZone,$C368,MAP!$B$11)))</f>
        <v/>
      </c>
      <c r="N368" s="2" t="str">
        <f t="array" ref="N368">IF($C368="","",IF(INDEX(SchedZone,$C368,MAP!$B$13)="","",INDEX(SchedZone,$C368,MAP!$B$13)))</f>
        <v/>
      </c>
      <c r="O368" s="2">
        <f t="array" ref="O368">IF($C368="","",INDEX(SchedZone,$C368,MAP!$B$15))</f>
        <v>7</v>
      </c>
      <c r="P368" s="2" t="str">
        <f>IF($C368="","",IFERROR(MATCH($E368&amp;"|"&amp;$G368&amp;"|"&amp;$I368,StatsKey,0),""))</f>
        <v/>
      </c>
      <c r="Q368" s="2">
        <f t="array" ref="Q368">IF($P368="",0,INDEX(StatsZone,$P368,MAP!$E$9)+INDEX(StatsZone,$P368,MAP!$E$10)+INDEX(StatsZone,$P368,MAP!$E$11))</f>
        <v>0</v>
      </c>
      <c r="R368" s="2">
        <f t="array" ref="R368">IF($P368="",0,INDEX(StatsZone,$P368,MAP!$E$12))</f>
        <v>0</v>
      </c>
      <c r="S368" s="2">
        <f t="array" ref="S368">IF($P368="",0,INDEX(StatsZone,$P368,MAP!$E$13))</f>
        <v>0</v>
      </c>
      <c r="T368" s="2">
        <f t="shared" si="1"/>
        <v>0</v>
      </c>
      <c r="U368" s="2">
        <f t="array" ref="U368">IF($P368="",0,INDEX(StatsZone,$P368,MAP!$E$14)+INDEX(StatsZone,$P368,MAP!$E$15)+INDEX(StatsZone,$P368,MAP!$E$16))</f>
        <v>0</v>
      </c>
      <c r="V368" s="2">
        <f t="shared" si="2"/>
        <v>0</v>
      </c>
      <c r="W368" s="2">
        <f t="shared" si="3"/>
        <v>0</v>
      </c>
      <c r="X368" s="2">
        <f t="shared" si="4"/>
        <v>0</v>
      </c>
      <c r="Y368" s="2">
        <f t="shared" si="5"/>
        <v>0</v>
      </c>
      <c r="Z368" s="2">
        <f t="shared" si="6"/>
        <v>0</v>
      </c>
      <c r="AA368" s="2">
        <f t="shared" si="7"/>
        <v>-1</v>
      </c>
      <c r="AB368" s="2">
        <f>IF(OR($M368="",$N368=""),0,MEDIAN(-MarginCap,MarginCap,($M368-$N368)-$AA368*HFA_Base))</f>
        <v>0</v>
      </c>
      <c r="AC368" s="2">
        <f t="array" ref="AC368">IF(OR($P368="",INDEX($P$3:$P$722,(ROW()+IF(MOD(ROW()-3,2)=0,1,-1))-3+1)=""),0,MEDIAN(-MarginCap,MarginCap,($T368-$W368)-$AA368*HFA_Base))</f>
        <v>0</v>
      </c>
      <c r="AD368" s="2">
        <f t="shared" si="8"/>
        <v>0</v>
      </c>
      <c r="AE368" s="2">
        <f>IF(OR($M368="",$N368=""),0,IF(AND(WEpa&gt;0,$AD368=1),(1-WEpa)*$AB368+WEpa*$AC368,$AB368))</f>
        <v>0</v>
      </c>
      <c r="AF368" s="2">
        <f>IF(AND($C368&lt;&gt;"",$E368=CurrentSeason,$F368="REG",ISNUMBER($G368),$G368&lt;CurrentWeek,AND($M368&lt;&gt;"",$N368&lt;&gt;"")),1,0)</f>
        <v>0</v>
      </c>
      <c r="AG368" s="2">
        <f>IF($AF368=0,0,IF($G368&gt;=CurrentWeek-RecencyWin,RecencyMult,1))</f>
        <v>0</v>
      </c>
      <c r="AH368" s="2">
        <f>IF(AND($C368&lt;&gt;"",$E368=CurrentSeason,$F368="REG",ISNUMBER($G368),$G368&lt;CurrentWeek-1,AND($M368&lt;&gt;"",$N368&lt;&gt;"")),1,0)</f>
        <v>0</v>
      </c>
      <c r="AI368" s="2">
        <f>IF($AH368=0,0,IF($G368&gt;=CurrentWeek-1-RecencyWin,RecencyMult,1))</f>
        <v>0</v>
      </c>
      <c r="AJ368" s="2">
        <f>IF($AF368=0,0,IF($G368&gt;=CurrentWeek-RecencyWin,TotRecency,1))</f>
        <v>0</v>
      </c>
      <c r="AK368" s="2">
        <f t="shared" si="9"/>
        <v>0</v>
      </c>
      <c r="AL368" s="2">
        <f t="shared" si="10"/>
        <v>0</v>
      </c>
      <c r="AM368" s="2" t="str">
        <f t="array" ref="AM368">IF($K368="",0,IFERROR(INDEX(CALC!$F$2:$F$33,MATCH($K368,CALC!$A$2:$A$33,0)),0))</f>
        <v/>
      </c>
      <c r="AN368" s="2" t="str">
        <f t="array" ref="AN368">IF($K368="",0,IFERROR(INDEX(CALC!$I$2:$I$33,MATCH($K368,CALC!$A$2:$A$33,0)),0))</f>
        <v/>
      </c>
      <c r="AO368" s="2" t="str">
        <f t="array" ref="AO368">IF($K368="",0,IFERROR(INDEX(CALC!$L$2:$L$33,MATCH($K368,CALC!$A$2:$A$33,0)),0))</f>
        <v/>
      </c>
      <c r="AP368" s="2" t="str">
        <f t="array" ref="AP368">IF($K368="",0,IFERROR(INDEX(CALC!$T$2:$T$33,MATCH($K368,CALC!$A$2:$A$33,0)),0))</f>
        <v/>
      </c>
      <c r="AQ368" s="2" t="str">
        <f t="array" ref="AQ368">IF($K368="",0,IFERROR(INDEX(CALC!$W$2:$W$33,MATCH($K368,CALC!$A$2:$A$33,0)),0))</f>
        <v/>
      </c>
      <c r="AR368" s="2" t="str">
        <f t="array" ref="AR368">IF($K368="",0,IFERROR(INDEX(CALC!$Z$2:$Z$33,MATCH($K368,CALC!$A$2:$A$33,0)),0))</f>
        <v/>
      </c>
      <c r="AS368" s="2" t="str">
        <f t="array" ref="AS368">IF($K368="",0,IFERROR(INDEX(CALC!$AJ$2:$AJ$33,MATCH($K368,CALC!$A$2:$A$33,0)),0))</f>
        <v/>
      </c>
      <c r="AT368" s="2" t="str">
        <f t="array" ref="AT368">IF($K368="",0,IFERROR(INDEX(CALC!$AI$2:$AI$33,MATCH($K368,CALC!$A$2:$A$33,0)),0))</f>
        <v/>
      </c>
      <c r="AU368" s="2">
        <f t="shared" si="11"/>
        <v>0</v>
      </c>
      <c r="AV368" s="2">
        <f t="shared" si="12"/>
        <v>0</v>
      </c>
    </row>
    <row r="369" ht="15.0" customHeight="1">
      <c r="A369" s="2">
        <v>184.0</v>
      </c>
      <c r="B369" s="2" t="s">
        <v>2365</v>
      </c>
      <c r="C369" s="2">
        <f>IFERROR(MATCH($A369,SchedSeq,0),"")</f>
        <v>469</v>
      </c>
      <c r="D369" s="2" t="str">
        <f t="array" ref="D369">IF($C369="","",INDEX(SchedZone,$C369,MAP!$B$6))</f>
        <v>2026_13_GB_NO</v>
      </c>
      <c r="E369" s="2">
        <f t="array" ref="E369">IF($C369="","",INDEX(SchedZone,$C369,MAP!$B$3))</f>
        <v>2026</v>
      </c>
      <c r="F369" s="2" t="str">
        <f t="array" ref="F369">IF($C369="","",INDEX(SchedZone,$C369,MAP!$B$5))</f>
        <v>REG</v>
      </c>
      <c r="G369" s="2">
        <f t="array" ref="G369">IF($C369="","",INDEX(SchedZone,$C369,MAP!$B$4))</f>
        <v>13</v>
      </c>
      <c r="H369" s="2" t="str">
        <f t="array" ref="H369">IF($C369="","",INDEX(SchedZone,$C369,MAP!$B$12))</f>
        <v>NO</v>
      </c>
      <c r="I369" s="2" t="str">
        <f t="array" ref="I369">IF($H369="","",IF(COUNTIF(Teams,$H369)&gt;0,$H369,IFERROR(INDEX(LISTS!$D$2:$D$12,MATCH($H369,LISTS!$C$2:$C$12,0)),"⚠ "&amp;$H369)))</f>
        <v>NO</v>
      </c>
      <c r="J369" s="2" t="str">
        <f t="array" ref="J369">IF($C369="","",INDEX(SchedZone,$C369,MAP!$B$10))</f>
        <v>GB</v>
      </c>
      <c r="K369" s="2" t="str">
        <f t="array" ref="K369">IF($J369="","",IF(COUNTIF(Teams,$J369)&gt;0,$J369,IFERROR(INDEX(LISTS!$D$2:$D$12,MATCH($J369,LISTS!$C$2:$C$12,0)),"⚠ "&amp;$J369)))</f>
        <v>GB</v>
      </c>
      <c r="L369" s="2" t="str">
        <f t="array" ref="L369">IF($C369="","",IF(INDEX(SchedZone,$C369,MAP!$B$14)="Neutral","N",IF($B369="HOME","H","A")))</f>
        <v>H</v>
      </c>
      <c r="M369" s="2" t="str">
        <f t="array" ref="M369">IF($C369="","",IF(INDEX(SchedZone,$C369,MAP!$B$13)="","",INDEX(SchedZone,$C369,MAP!$B$13)))</f>
        <v/>
      </c>
      <c r="N369" s="2" t="str">
        <f t="array" ref="N369">IF($C369="","",IF(INDEX(SchedZone,$C369,MAP!$B$11)="","",INDEX(SchedZone,$C369,MAP!$B$11)))</f>
        <v/>
      </c>
      <c r="O369" s="2">
        <f t="array" ref="O369">IF($C369="","",INDEX(SchedZone,$C369,MAP!$B$16))</f>
        <v>7</v>
      </c>
      <c r="P369" s="2" t="str">
        <f>IF($C369="","",IFERROR(MATCH($E369&amp;"|"&amp;$G369&amp;"|"&amp;$I369,StatsKey,0),""))</f>
        <v/>
      </c>
      <c r="Q369" s="2">
        <f t="array" ref="Q369">IF($P369="",0,INDEX(StatsZone,$P369,MAP!$E$9)+INDEX(StatsZone,$P369,MAP!$E$10)+INDEX(StatsZone,$P369,MAP!$E$11))</f>
        <v>0</v>
      </c>
      <c r="R369" s="2">
        <f t="array" ref="R369">IF($P369="",0,INDEX(StatsZone,$P369,MAP!$E$12))</f>
        <v>0</v>
      </c>
      <c r="S369" s="2">
        <f t="array" ref="S369">IF($P369="",0,INDEX(StatsZone,$P369,MAP!$E$13))</f>
        <v>0</v>
      </c>
      <c r="T369" s="2">
        <f t="shared" si="1"/>
        <v>0</v>
      </c>
      <c r="U369" s="2">
        <f t="array" ref="U369">IF($P369="",0,INDEX(StatsZone,$P369,MAP!$E$14)+INDEX(StatsZone,$P369,MAP!$E$15)+INDEX(StatsZone,$P369,MAP!$E$16))</f>
        <v>0</v>
      </c>
      <c r="V369" s="2">
        <f t="shared" si="2"/>
        <v>0</v>
      </c>
      <c r="W369" s="2">
        <f t="shared" si="3"/>
        <v>0</v>
      </c>
      <c r="X369" s="2">
        <f t="shared" si="4"/>
        <v>0</v>
      </c>
      <c r="Y369" s="2">
        <f t="shared" si="5"/>
        <v>0</v>
      </c>
      <c r="Z369" s="2">
        <f t="shared" si="6"/>
        <v>0</v>
      </c>
      <c r="AA369" s="2">
        <f t="shared" si="7"/>
        <v>1</v>
      </c>
      <c r="AB369" s="2">
        <f>IF(OR($M369="",$N369=""),0,MEDIAN(-MarginCap,MarginCap,($M369-$N369)-$AA369*HFA_Base))</f>
        <v>0</v>
      </c>
      <c r="AC369" s="2">
        <f t="array" ref="AC369">IF(OR($P369="",INDEX($P$3:$P$722,(ROW()+IF(MOD(ROW()-3,2)=0,1,-1))-3+1)=""),0,MEDIAN(-MarginCap,MarginCap,($T369-$W369)-$AA369*HFA_Base))</f>
        <v>0</v>
      </c>
      <c r="AD369" s="2">
        <f t="shared" si="8"/>
        <v>0</v>
      </c>
      <c r="AE369" s="2">
        <f>IF(OR($M369="",$N369=""),0,IF(AND(WEpa&gt;0,$AD369=1),(1-WEpa)*$AB369+WEpa*$AC369,$AB369))</f>
        <v>0</v>
      </c>
      <c r="AF369" s="2">
        <f>IF(AND($C369&lt;&gt;"",$E369=CurrentSeason,$F369="REG",ISNUMBER($G369),$G369&lt;CurrentWeek,AND($M369&lt;&gt;"",$N369&lt;&gt;"")),1,0)</f>
        <v>0</v>
      </c>
      <c r="AG369" s="2">
        <f>IF($AF369=0,0,IF($G369&gt;=CurrentWeek-RecencyWin,RecencyMult,1))</f>
        <v>0</v>
      </c>
      <c r="AH369" s="2">
        <f>IF(AND($C369&lt;&gt;"",$E369=CurrentSeason,$F369="REG",ISNUMBER($G369),$G369&lt;CurrentWeek-1,AND($M369&lt;&gt;"",$N369&lt;&gt;"")),1,0)</f>
        <v>0</v>
      </c>
      <c r="AI369" s="2">
        <f>IF($AH369=0,0,IF($G369&gt;=CurrentWeek-1-RecencyWin,RecencyMult,1))</f>
        <v>0</v>
      </c>
      <c r="AJ369" s="2">
        <f>IF($AF369=0,0,IF($G369&gt;=CurrentWeek-RecencyWin,TotRecency,1))</f>
        <v>0</v>
      </c>
      <c r="AK369" s="2">
        <f t="shared" si="9"/>
        <v>0</v>
      </c>
      <c r="AL369" s="2">
        <f t="shared" si="10"/>
        <v>0</v>
      </c>
      <c r="AM369" s="2" t="str">
        <f t="array" ref="AM369">IF($K369="",0,IFERROR(INDEX(CALC!$F$2:$F$33,MATCH($K369,CALC!$A$2:$A$33,0)),0))</f>
        <v/>
      </c>
      <c r="AN369" s="2" t="str">
        <f t="array" ref="AN369">IF($K369="",0,IFERROR(INDEX(CALC!$I$2:$I$33,MATCH($K369,CALC!$A$2:$A$33,0)),0))</f>
        <v/>
      </c>
      <c r="AO369" s="2" t="str">
        <f t="array" ref="AO369">IF($K369="",0,IFERROR(INDEX(CALC!$L$2:$L$33,MATCH($K369,CALC!$A$2:$A$33,0)),0))</f>
        <v/>
      </c>
      <c r="AP369" s="2" t="str">
        <f t="array" ref="AP369">IF($K369="",0,IFERROR(INDEX(CALC!$T$2:$T$33,MATCH($K369,CALC!$A$2:$A$33,0)),0))</f>
        <v/>
      </c>
      <c r="AQ369" s="2" t="str">
        <f t="array" ref="AQ369">IF($K369="",0,IFERROR(INDEX(CALC!$W$2:$W$33,MATCH($K369,CALC!$A$2:$A$33,0)),0))</f>
        <v/>
      </c>
      <c r="AR369" s="2" t="str">
        <f t="array" ref="AR369">IF($K369="",0,IFERROR(INDEX(CALC!$Z$2:$Z$33,MATCH($K369,CALC!$A$2:$A$33,0)),0))</f>
        <v/>
      </c>
      <c r="AS369" s="2" t="str">
        <f t="array" ref="AS369">IF($K369="",0,IFERROR(INDEX(CALC!$AJ$2:$AJ$33,MATCH($K369,CALC!$A$2:$A$33,0)),0))</f>
        <v/>
      </c>
      <c r="AT369" s="2" t="str">
        <f t="array" ref="AT369">IF($K369="",0,IFERROR(INDEX(CALC!$AI$2:$AI$33,MATCH($K369,CALC!$A$2:$A$33,0)),0))</f>
        <v/>
      </c>
      <c r="AU369" s="2">
        <f t="shared" si="11"/>
        <v>0</v>
      </c>
      <c r="AV369" s="2">
        <f t="shared" si="12"/>
        <v>0</v>
      </c>
    </row>
    <row r="370" ht="15.0" customHeight="1">
      <c r="A370" s="2">
        <v>184.0</v>
      </c>
      <c r="B370" s="2" t="s">
        <v>2366</v>
      </c>
      <c r="C370" s="2">
        <f>IFERROR(MATCH($A370,SchedSeq,0),"")</f>
        <v>469</v>
      </c>
      <c r="D370" s="2" t="str">
        <f t="array" ref="D370">IF($C370="","",INDEX(SchedZone,$C370,MAP!$B$6))</f>
        <v>2026_13_GB_NO</v>
      </c>
      <c r="E370" s="2">
        <f t="array" ref="E370">IF($C370="","",INDEX(SchedZone,$C370,MAP!$B$3))</f>
        <v>2026</v>
      </c>
      <c r="F370" s="2" t="str">
        <f t="array" ref="F370">IF($C370="","",INDEX(SchedZone,$C370,MAP!$B$5))</f>
        <v>REG</v>
      </c>
      <c r="G370" s="2">
        <f t="array" ref="G370">IF($C370="","",INDEX(SchedZone,$C370,MAP!$B$4))</f>
        <v>13</v>
      </c>
      <c r="H370" s="2" t="str">
        <f t="array" ref="H370">IF($C370="","",INDEX(SchedZone,$C370,MAP!$B$10))</f>
        <v>GB</v>
      </c>
      <c r="I370" s="2" t="str">
        <f t="array" ref="I370">IF($H370="","",IF(COUNTIF(Teams,$H370)&gt;0,$H370,IFERROR(INDEX(LISTS!$D$2:$D$12,MATCH($H370,LISTS!$C$2:$C$12,0)),"⚠ "&amp;$H370)))</f>
        <v>GB</v>
      </c>
      <c r="J370" s="2" t="str">
        <f t="array" ref="J370">IF($C370="","",INDEX(SchedZone,$C370,MAP!$B$12))</f>
        <v>NO</v>
      </c>
      <c r="K370" s="2" t="str">
        <f t="array" ref="K370">IF($J370="","",IF(COUNTIF(Teams,$J370)&gt;0,$J370,IFERROR(INDEX(LISTS!$D$2:$D$12,MATCH($J370,LISTS!$C$2:$C$12,0)),"⚠ "&amp;$J370)))</f>
        <v>NO</v>
      </c>
      <c r="L370" s="2" t="str">
        <f t="array" ref="L370">IF($C370="","",IF(INDEX(SchedZone,$C370,MAP!$B$14)="Neutral","N",IF($B370="HOME","H","A")))</f>
        <v>A</v>
      </c>
      <c r="M370" s="2" t="str">
        <f t="array" ref="M370">IF($C370="","",IF(INDEX(SchedZone,$C370,MAP!$B$11)="","",INDEX(SchedZone,$C370,MAP!$B$11)))</f>
        <v/>
      </c>
      <c r="N370" s="2" t="str">
        <f t="array" ref="N370">IF($C370="","",IF(INDEX(SchedZone,$C370,MAP!$B$13)="","",INDEX(SchedZone,$C370,MAP!$B$13)))</f>
        <v/>
      </c>
      <c r="O370" s="2">
        <f t="array" ref="O370">IF($C370="","",INDEX(SchedZone,$C370,MAP!$B$15))</f>
        <v>11</v>
      </c>
      <c r="P370" s="2" t="str">
        <f>IF($C370="","",IFERROR(MATCH($E370&amp;"|"&amp;$G370&amp;"|"&amp;$I370,StatsKey,0),""))</f>
        <v/>
      </c>
      <c r="Q370" s="2">
        <f t="array" ref="Q370">IF($P370="",0,INDEX(StatsZone,$P370,MAP!$E$9)+INDEX(StatsZone,$P370,MAP!$E$10)+INDEX(StatsZone,$P370,MAP!$E$11))</f>
        <v>0</v>
      </c>
      <c r="R370" s="2">
        <f t="array" ref="R370">IF($P370="",0,INDEX(StatsZone,$P370,MAP!$E$12))</f>
        <v>0</v>
      </c>
      <c r="S370" s="2">
        <f t="array" ref="S370">IF($P370="",0,INDEX(StatsZone,$P370,MAP!$E$13))</f>
        <v>0</v>
      </c>
      <c r="T370" s="2">
        <f t="shared" si="1"/>
        <v>0</v>
      </c>
      <c r="U370" s="2">
        <f t="array" ref="U370">IF($P370="",0,INDEX(StatsZone,$P370,MAP!$E$14)+INDEX(StatsZone,$P370,MAP!$E$15)+INDEX(StatsZone,$P370,MAP!$E$16))</f>
        <v>0</v>
      </c>
      <c r="V370" s="2">
        <f t="shared" si="2"/>
        <v>0</v>
      </c>
      <c r="W370" s="2">
        <f t="shared" si="3"/>
        <v>0</v>
      </c>
      <c r="X370" s="2">
        <f t="shared" si="4"/>
        <v>0</v>
      </c>
      <c r="Y370" s="2">
        <f t="shared" si="5"/>
        <v>0</v>
      </c>
      <c r="Z370" s="2">
        <f t="shared" si="6"/>
        <v>0</v>
      </c>
      <c r="AA370" s="2">
        <f t="shared" si="7"/>
        <v>-1</v>
      </c>
      <c r="AB370" s="2">
        <f>IF(OR($M370="",$N370=""),0,MEDIAN(-MarginCap,MarginCap,($M370-$N370)-$AA370*HFA_Base))</f>
        <v>0</v>
      </c>
      <c r="AC370" s="2">
        <f t="array" ref="AC370">IF(OR($P370="",INDEX($P$3:$P$722,(ROW()+IF(MOD(ROW()-3,2)=0,1,-1))-3+1)=""),0,MEDIAN(-MarginCap,MarginCap,($T370-$W370)-$AA370*HFA_Base))</f>
        <v>0</v>
      </c>
      <c r="AD370" s="2">
        <f t="shared" si="8"/>
        <v>0</v>
      </c>
      <c r="AE370" s="2">
        <f>IF(OR($M370="",$N370=""),0,IF(AND(WEpa&gt;0,$AD370=1),(1-WEpa)*$AB370+WEpa*$AC370,$AB370))</f>
        <v>0</v>
      </c>
      <c r="AF370" s="2">
        <f>IF(AND($C370&lt;&gt;"",$E370=CurrentSeason,$F370="REG",ISNUMBER($G370),$G370&lt;CurrentWeek,AND($M370&lt;&gt;"",$N370&lt;&gt;"")),1,0)</f>
        <v>0</v>
      </c>
      <c r="AG370" s="2">
        <f>IF($AF370=0,0,IF($G370&gt;=CurrentWeek-RecencyWin,RecencyMult,1))</f>
        <v>0</v>
      </c>
      <c r="AH370" s="2">
        <f>IF(AND($C370&lt;&gt;"",$E370=CurrentSeason,$F370="REG",ISNUMBER($G370),$G370&lt;CurrentWeek-1,AND($M370&lt;&gt;"",$N370&lt;&gt;"")),1,0)</f>
        <v>0</v>
      </c>
      <c r="AI370" s="2">
        <f>IF($AH370=0,0,IF($G370&gt;=CurrentWeek-1-RecencyWin,RecencyMult,1))</f>
        <v>0</v>
      </c>
      <c r="AJ370" s="2">
        <f>IF($AF370=0,0,IF($G370&gt;=CurrentWeek-RecencyWin,TotRecency,1))</f>
        <v>0</v>
      </c>
      <c r="AK370" s="2">
        <f t="shared" si="9"/>
        <v>0</v>
      </c>
      <c r="AL370" s="2">
        <f t="shared" si="10"/>
        <v>0</v>
      </c>
      <c r="AM370" s="2" t="str">
        <f t="array" ref="AM370">IF($K370="",0,IFERROR(INDEX(CALC!$F$2:$F$33,MATCH($K370,CALC!$A$2:$A$33,0)),0))</f>
        <v/>
      </c>
      <c r="AN370" s="2" t="str">
        <f t="array" ref="AN370">IF($K370="",0,IFERROR(INDEX(CALC!$I$2:$I$33,MATCH($K370,CALC!$A$2:$A$33,0)),0))</f>
        <v/>
      </c>
      <c r="AO370" s="2" t="str">
        <f t="array" ref="AO370">IF($K370="",0,IFERROR(INDEX(CALC!$L$2:$L$33,MATCH($K370,CALC!$A$2:$A$33,0)),0))</f>
        <v/>
      </c>
      <c r="AP370" s="2" t="str">
        <f t="array" ref="AP370">IF($K370="",0,IFERROR(INDEX(CALC!$T$2:$T$33,MATCH($K370,CALC!$A$2:$A$33,0)),0))</f>
        <v/>
      </c>
      <c r="AQ370" s="2" t="str">
        <f t="array" ref="AQ370">IF($K370="",0,IFERROR(INDEX(CALC!$W$2:$W$33,MATCH($K370,CALC!$A$2:$A$33,0)),0))</f>
        <v/>
      </c>
      <c r="AR370" s="2" t="str">
        <f t="array" ref="AR370">IF($K370="",0,IFERROR(INDEX(CALC!$Z$2:$Z$33,MATCH($K370,CALC!$A$2:$A$33,0)),0))</f>
        <v/>
      </c>
      <c r="AS370" s="2" t="str">
        <f t="array" ref="AS370">IF($K370="",0,IFERROR(INDEX(CALC!$AJ$2:$AJ$33,MATCH($K370,CALC!$A$2:$A$33,0)),0))</f>
        <v/>
      </c>
      <c r="AT370" s="2" t="str">
        <f t="array" ref="AT370">IF($K370="",0,IFERROR(INDEX(CALC!$AI$2:$AI$33,MATCH($K370,CALC!$A$2:$A$33,0)),0))</f>
        <v/>
      </c>
      <c r="AU370" s="2">
        <f t="shared" si="11"/>
        <v>0</v>
      </c>
      <c r="AV370" s="2">
        <f t="shared" si="12"/>
        <v>0</v>
      </c>
    </row>
    <row r="371" ht="15.0" customHeight="1">
      <c r="A371" s="2">
        <v>185.0</v>
      </c>
      <c r="B371" s="2" t="s">
        <v>2365</v>
      </c>
      <c r="C371" s="2">
        <f>IFERROR(MATCH($A371,SchedSeq,0),"")</f>
        <v>470</v>
      </c>
      <c r="D371" s="2" t="str">
        <f t="array" ref="D371">IF($C371="","",INDEX(SchedZone,$C371,MAP!$B$6))</f>
        <v>2026_13_SF_NYG</v>
      </c>
      <c r="E371" s="2">
        <f t="array" ref="E371">IF($C371="","",INDEX(SchedZone,$C371,MAP!$B$3))</f>
        <v>2026</v>
      </c>
      <c r="F371" s="2" t="str">
        <f t="array" ref="F371">IF($C371="","",INDEX(SchedZone,$C371,MAP!$B$5))</f>
        <v>REG</v>
      </c>
      <c r="G371" s="2">
        <f t="array" ref="G371">IF($C371="","",INDEX(SchedZone,$C371,MAP!$B$4))</f>
        <v>13</v>
      </c>
      <c r="H371" s="2" t="str">
        <f t="array" ref="H371">IF($C371="","",INDEX(SchedZone,$C371,MAP!$B$12))</f>
        <v>NYG</v>
      </c>
      <c r="I371" s="2" t="str">
        <f t="array" ref="I371">IF($H371="","",IF(COUNTIF(Teams,$H371)&gt;0,$H371,IFERROR(INDEX(LISTS!$D$2:$D$12,MATCH($H371,LISTS!$C$2:$C$12,0)),"⚠ "&amp;$H371)))</f>
        <v>NYG</v>
      </c>
      <c r="J371" s="2" t="str">
        <f t="array" ref="J371">IF($C371="","",INDEX(SchedZone,$C371,MAP!$B$10))</f>
        <v>SF</v>
      </c>
      <c r="K371" s="2" t="str">
        <f t="array" ref="K371">IF($J371="","",IF(COUNTIF(Teams,$J371)&gt;0,$J371,IFERROR(INDEX(LISTS!$D$2:$D$12,MATCH($J371,LISTS!$C$2:$C$12,0)),"⚠ "&amp;$J371)))</f>
        <v>SF</v>
      </c>
      <c r="L371" s="2" t="str">
        <f t="array" ref="L371">IF($C371="","",IF(INDEX(SchedZone,$C371,MAP!$B$14)="Neutral","N",IF($B371="HOME","H","A")))</f>
        <v>H</v>
      </c>
      <c r="M371" s="2" t="str">
        <f t="array" ref="M371">IF($C371="","",IF(INDEX(SchedZone,$C371,MAP!$B$13)="","",INDEX(SchedZone,$C371,MAP!$B$13)))</f>
        <v/>
      </c>
      <c r="N371" s="2" t="str">
        <f t="array" ref="N371">IF($C371="","",IF(INDEX(SchedZone,$C371,MAP!$B$11)="","",INDEX(SchedZone,$C371,MAP!$B$11)))</f>
        <v/>
      </c>
      <c r="O371" s="2">
        <f t="array" ref="O371">IF($C371="","",INDEX(SchedZone,$C371,MAP!$B$16))</f>
        <v>7</v>
      </c>
      <c r="P371" s="2" t="str">
        <f>IF($C371="","",IFERROR(MATCH($E371&amp;"|"&amp;$G371&amp;"|"&amp;$I371,StatsKey,0),""))</f>
        <v/>
      </c>
      <c r="Q371" s="2">
        <f t="array" ref="Q371">IF($P371="",0,INDEX(StatsZone,$P371,MAP!$E$9)+INDEX(StatsZone,$P371,MAP!$E$10)+INDEX(StatsZone,$P371,MAP!$E$11))</f>
        <v>0</v>
      </c>
      <c r="R371" s="2">
        <f t="array" ref="R371">IF($P371="",0,INDEX(StatsZone,$P371,MAP!$E$12))</f>
        <v>0</v>
      </c>
      <c r="S371" s="2">
        <f t="array" ref="S371">IF($P371="",0,INDEX(StatsZone,$P371,MAP!$E$13))</f>
        <v>0</v>
      </c>
      <c r="T371" s="2">
        <f t="shared" si="1"/>
        <v>0</v>
      </c>
      <c r="U371" s="2">
        <f t="array" ref="U371">IF($P371="",0,INDEX(StatsZone,$P371,MAP!$E$14)+INDEX(StatsZone,$P371,MAP!$E$15)+INDEX(StatsZone,$P371,MAP!$E$16))</f>
        <v>0</v>
      </c>
      <c r="V371" s="2">
        <f t="shared" si="2"/>
        <v>0</v>
      </c>
      <c r="W371" s="2">
        <f t="shared" si="3"/>
        <v>0</v>
      </c>
      <c r="X371" s="2">
        <f t="shared" si="4"/>
        <v>0</v>
      </c>
      <c r="Y371" s="2">
        <f t="shared" si="5"/>
        <v>0</v>
      </c>
      <c r="Z371" s="2">
        <f t="shared" si="6"/>
        <v>0</v>
      </c>
      <c r="AA371" s="2">
        <f t="shared" si="7"/>
        <v>1</v>
      </c>
      <c r="AB371" s="2">
        <f>IF(OR($M371="",$N371=""),0,MEDIAN(-MarginCap,MarginCap,($M371-$N371)-$AA371*HFA_Base))</f>
        <v>0</v>
      </c>
      <c r="AC371" s="2">
        <f t="array" ref="AC371">IF(OR($P371="",INDEX($P$3:$P$722,(ROW()+IF(MOD(ROW()-3,2)=0,1,-1))-3+1)=""),0,MEDIAN(-MarginCap,MarginCap,($T371-$W371)-$AA371*HFA_Base))</f>
        <v>0</v>
      </c>
      <c r="AD371" s="2">
        <f t="shared" si="8"/>
        <v>0</v>
      </c>
      <c r="AE371" s="2">
        <f>IF(OR($M371="",$N371=""),0,IF(AND(WEpa&gt;0,$AD371=1),(1-WEpa)*$AB371+WEpa*$AC371,$AB371))</f>
        <v>0</v>
      </c>
      <c r="AF371" s="2">
        <f>IF(AND($C371&lt;&gt;"",$E371=CurrentSeason,$F371="REG",ISNUMBER($G371),$G371&lt;CurrentWeek,AND($M371&lt;&gt;"",$N371&lt;&gt;"")),1,0)</f>
        <v>0</v>
      </c>
      <c r="AG371" s="2">
        <f>IF($AF371=0,0,IF($G371&gt;=CurrentWeek-RecencyWin,RecencyMult,1))</f>
        <v>0</v>
      </c>
      <c r="AH371" s="2">
        <f>IF(AND($C371&lt;&gt;"",$E371=CurrentSeason,$F371="REG",ISNUMBER($G371),$G371&lt;CurrentWeek-1,AND($M371&lt;&gt;"",$N371&lt;&gt;"")),1,0)</f>
        <v>0</v>
      </c>
      <c r="AI371" s="2">
        <f>IF($AH371=0,0,IF($G371&gt;=CurrentWeek-1-RecencyWin,RecencyMult,1))</f>
        <v>0</v>
      </c>
      <c r="AJ371" s="2">
        <f>IF($AF371=0,0,IF($G371&gt;=CurrentWeek-RecencyWin,TotRecency,1))</f>
        <v>0</v>
      </c>
      <c r="AK371" s="2">
        <f t="shared" si="9"/>
        <v>0</v>
      </c>
      <c r="AL371" s="2">
        <f t="shared" si="10"/>
        <v>0</v>
      </c>
      <c r="AM371" s="2" t="str">
        <f t="array" ref="AM371">IF($K371="",0,IFERROR(INDEX(CALC!$F$2:$F$33,MATCH($K371,CALC!$A$2:$A$33,0)),0))</f>
        <v/>
      </c>
      <c r="AN371" s="2" t="str">
        <f t="array" ref="AN371">IF($K371="",0,IFERROR(INDEX(CALC!$I$2:$I$33,MATCH($K371,CALC!$A$2:$A$33,0)),0))</f>
        <v/>
      </c>
      <c r="AO371" s="2" t="str">
        <f t="array" ref="AO371">IF($K371="",0,IFERROR(INDEX(CALC!$L$2:$L$33,MATCH($K371,CALC!$A$2:$A$33,0)),0))</f>
        <v/>
      </c>
      <c r="AP371" s="2" t="str">
        <f t="array" ref="AP371">IF($K371="",0,IFERROR(INDEX(CALC!$T$2:$T$33,MATCH($K371,CALC!$A$2:$A$33,0)),0))</f>
        <v/>
      </c>
      <c r="AQ371" s="2" t="str">
        <f t="array" ref="AQ371">IF($K371="",0,IFERROR(INDEX(CALC!$W$2:$W$33,MATCH($K371,CALC!$A$2:$A$33,0)),0))</f>
        <v/>
      </c>
      <c r="AR371" s="2" t="str">
        <f t="array" ref="AR371">IF($K371="",0,IFERROR(INDEX(CALC!$Z$2:$Z$33,MATCH($K371,CALC!$A$2:$A$33,0)),0))</f>
        <v/>
      </c>
      <c r="AS371" s="2" t="str">
        <f t="array" ref="AS371">IF($K371="",0,IFERROR(INDEX(CALC!$AJ$2:$AJ$33,MATCH($K371,CALC!$A$2:$A$33,0)),0))</f>
        <v/>
      </c>
      <c r="AT371" s="2" t="str">
        <f t="array" ref="AT371">IF($K371="",0,IFERROR(INDEX(CALC!$AI$2:$AI$33,MATCH($K371,CALC!$A$2:$A$33,0)),0))</f>
        <v/>
      </c>
      <c r="AU371" s="2">
        <f t="shared" si="11"/>
        <v>0</v>
      </c>
      <c r="AV371" s="2">
        <f t="shared" si="12"/>
        <v>0</v>
      </c>
    </row>
    <row r="372" ht="15.0" customHeight="1">
      <c r="A372" s="2">
        <v>185.0</v>
      </c>
      <c r="B372" s="2" t="s">
        <v>2366</v>
      </c>
      <c r="C372" s="2">
        <f>IFERROR(MATCH($A372,SchedSeq,0),"")</f>
        <v>470</v>
      </c>
      <c r="D372" s="2" t="str">
        <f t="array" ref="D372">IF($C372="","",INDEX(SchedZone,$C372,MAP!$B$6))</f>
        <v>2026_13_SF_NYG</v>
      </c>
      <c r="E372" s="2">
        <f t="array" ref="E372">IF($C372="","",INDEX(SchedZone,$C372,MAP!$B$3))</f>
        <v>2026</v>
      </c>
      <c r="F372" s="2" t="str">
        <f t="array" ref="F372">IF($C372="","",INDEX(SchedZone,$C372,MAP!$B$5))</f>
        <v>REG</v>
      </c>
      <c r="G372" s="2">
        <f t="array" ref="G372">IF($C372="","",INDEX(SchedZone,$C372,MAP!$B$4))</f>
        <v>13</v>
      </c>
      <c r="H372" s="2" t="str">
        <f t="array" ref="H372">IF($C372="","",INDEX(SchedZone,$C372,MAP!$B$10))</f>
        <v>SF</v>
      </c>
      <c r="I372" s="2" t="str">
        <f t="array" ref="I372">IF($H372="","",IF(COUNTIF(Teams,$H372)&gt;0,$H372,IFERROR(INDEX(LISTS!$D$2:$D$12,MATCH($H372,LISTS!$C$2:$C$12,0)),"⚠ "&amp;$H372)))</f>
        <v>SF</v>
      </c>
      <c r="J372" s="2" t="str">
        <f t="array" ref="J372">IF($C372="","",INDEX(SchedZone,$C372,MAP!$B$12))</f>
        <v>NYG</v>
      </c>
      <c r="K372" s="2" t="str">
        <f t="array" ref="K372">IF($J372="","",IF(COUNTIF(Teams,$J372)&gt;0,$J372,IFERROR(INDEX(LISTS!$D$2:$D$12,MATCH($J372,LISTS!$C$2:$C$12,0)),"⚠ "&amp;$J372)))</f>
        <v>NYG</v>
      </c>
      <c r="L372" s="2" t="str">
        <f t="array" ref="L372">IF($C372="","",IF(INDEX(SchedZone,$C372,MAP!$B$14)="Neutral","N",IF($B372="HOME","H","A")))</f>
        <v>A</v>
      </c>
      <c r="M372" s="2" t="str">
        <f t="array" ref="M372">IF($C372="","",IF(INDEX(SchedZone,$C372,MAP!$B$11)="","",INDEX(SchedZone,$C372,MAP!$B$11)))</f>
        <v/>
      </c>
      <c r="N372" s="2" t="str">
        <f t="array" ref="N372">IF($C372="","",IF(INDEX(SchedZone,$C372,MAP!$B$13)="","",INDEX(SchedZone,$C372,MAP!$B$13)))</f>
        <v/>
      </c>
      <c r="O372" s="2">
        <f t="array" ref="O372">IF($C372="","",INDEX(SchedZone,$C372,MAP!$B$15))</f>
        <v>7</v>
      </c>
      <c r="P372" s="2" t="str">
        <f>IF($C372="","",IFERROR(MATCH($E372&amp;"|"&amp;$G372&amp;"|"&amp;$I372,StatsKey,0),""))</f>
        <v/>
      </c>
      <c r="Q372" s="2">
        <f t="array" ref="Q372">IF($P372="",0,INDEX(StatsZone,$P372,MAP!$E$9)+INDEX(StatsZone,$P372,MAP!$E$10)+INDEX(StatsZone,$P372,MAP!$E$11))</f>
        <v>0</v>
      </c>
      <c r="R372" s="2">
        <f t="array" ref="R372">IF($P372="",0,INDEX(StatsZone,$P372,MAP!$E$12))</f>
        <v>0</v>
      </c>
      <c r="S372" s="2">
        <f t="array" ref="S372">IF($P372="",0,INDEX(StatsZone,$P372,MAP!$E$13))</f>
        <v>0</v>
      </c>
      <c r="T372" s="2">
        <f t="shared" si="1"/>
        <v>0</v>
      </c>
      <c r="U372" s="2">
        <f t="array" ref="U372">IF($P372="",0,INDEX(StatsZone,$P372,MAP!$E$14)+INDEX(StatsZone,$P372,MAP!$E$15)+INDEX(StatsZone,$P372,MAP!$E$16))</f>
        <v>0</v>
      </c>
      <c r="V372" s="2">
        <f t="shared" si="2"/>
        <v>0</v>
      </c>
      <c r="W372" s="2">
        <f t="shared" si="3"/>
        <v>0</v>
      </c>
      <c r="X372" s="2">
        <f t="shared" si="4"/>
        <v>0</v>
      </c>
      <c r="Y372" s="2">
        <f t="shared" si="5"/>
        <v>0</v>
      </c>
      <c r="Z372" s="2">
        <f t="shared" si="6"/>
        <v>0</v>
      </c>
      <c r="AA372" s="2">
        <f t="shared" si="7"/>
        <v>-1</v>
      </c>
      <c r="AB372" s="2">
        <f>IF(OR($M372="",$N372=""),0,MEDIAN(-MarginCap,MarginCap,($M372-$N372)-$AA372*HFA_Base))</f>
        <v>0</v>
      </c>
      <c r="AC372" s="2">
        <f t="array" ref="AC372">IF(OR($P372="",INDEX($P$3:$P$722,(ROW()+IF(MOD(ROW()-3,2)=0,1,-1))-3+1)=""),0,MEDIAN(-MarginCap,MarginCap,($T372-$W372)-$AA372*HFA_Base))</f>
        <v>0</v>
      </c>
      <c r="AD372" s="2">
        <f t="shared" si="8"/>
        <v>0</v>
      </c>
      <c r="AE372" s="2">
        <f>IF(OR($M372="",$N372=""),0,IF(AND(WEpa&gt;0,$AD372=1),(1-WEpa)*$AB372+WEpa*$AC372,$AB372))</f>
        <v>0</v>
      </c>
      <c r="AF372" s="2">
        <f>IF(AND($C372&lt;&gt;"",$E372=CurrentSeason,$F372="REG",ISNUMBER($G372),$G372&lt;CurrentWeek,AND($M372&lt;&gt;"",$N372&lt;&gt;"")),1,0)</f>
        <v>0</v>
      </c>
      <c r="AG372" s="2">
        <f>IF($AF372=0,0,IF($G372&gt;=CurrentWeek-RecencyWin,RecencyMult,1))</f>
        <v>0</v>
      </c>
      <c r="AH372" s="2">
        <f>IF(AND($C372&lt;&gt;"",$E372=CurrentSeason,$F372="REG",ISNUMBER($G372),$G372&lt;CurrentWeek-1,AND($M372&lt;&gt;"",$N372&lt;&gt;"")),1,0)</f>
        <v>0</v>
      </c>
      <c r="AI372" s="2">
        <f>IF($AH372=0,0,IF($G372&gt;=CurrentWeek-1-RecencyWin,RecencyMult,1))</f>
        <v>0</v>
      </c>
      <c r="AJ372" s="2">
        <f>IF($AF372=0,0,IF($G372&gt;=CurrentWeek-RecencyWin,TotRecency,1))</f>
        <v>0</v>
      </c>
      <c r="AK372" s="2">
        <f t="shared" si="9"/>
        <v>0</v>
      </c>
      <c r="AL372" s="2">
        <f t="shared" si="10"/>
        <v>0</v>
      </c>
      <c r="AM372" s="2" t="str">
        <f t="array" ref="AM372">IF($K372="",0,IFERROR(INDEX(CALC!$F$2:$F$33,MATCH($K372,CALC!$A$2:$A$33,0)),0))</f>
        <v/>
      </c>
      <c r="AN372" s="2" t="str">
        <f t="array" ref="AN372">IF($K372="",0,IFERROR(INDEX(CALC!$I$2:$I$33,MATCH($K372,CALC!$A$2:$A$33,0)),0))</f>
        <v/>
      </c>
      <c r="AO372" s="2" t="str">
        <f t="array" ref="AO372">IF($K372="",0,IFERROR(INDEX(CALC!$L$2:$L$33,MATCH($K372,CALC!$A$2:$A$33,0)),0))</f>
        <v/>
      </c>
      <c r="AP372" s="2" t="str">
        <f t="array" ref="AP372">IF($K372="",0,IFERROR(INDEX(CALC!$T$2:$T$33,MATCH($K372,CALC!$A$2:$A$33,0)),0))</f>
        <v/>
      </c>
      <c r="AQ372" s="2" t="str">
        <f t="array" ref="AQ372">IF($K372="",0,IFERROR(INDEX(CALC!$W$2:$W$33,MATCH($K372,CALC!$A$2:$A$33,0)),0))</f>
        <v/>
      </c>
      <c r="AR372" s="2" t="str">
        <f t="array" ref="AR372">IF($K372="",0,IFERROR(INDEX(CALC!$Z$2:$Z$33,MATCH($K372,CALC!$A$2:$A$33,0)),0))</f>
        <v/>
      </c>
      <c r="AS372" s="2" t="str">
        <f t="array" ref="AS372">IF($K372="",0,IFERROR(INDEX(CALC!$AJ$2:$AJ$33,MATCH($K372,CALC!$A$2:$A$33,0)),0))</f>
        <v/>
      </c>
      <c r="AT372" s="2" t="str">
        <f t="array" ref="AT372">IF($K372="",0,IFERROR(INDEX(CALC!$AI$2:$AI$33,MATCH($K372,CALC!$A$2:$A$33,0)),0))</f>
        <v/>
      </c>
      <c r="AU372" s="2">
        <f t="shared" si="11"/>
        <v>0</v>
      </c>
      <c r="AV372" s="2">
        <f t="shared" si="12"/>
        <v>0</v>
      </c>
    </row>
    <row r="373" ht="15.0" customHeight="1">
      <c r="A373" s="2">
        <v>186.0</v>
      </c>
      <c r="B373" s="2" t="s">
        <v>2365</v>
      </c>
      <c r="C373" s="2">
        <f>IFERROR(MATCH($A373,SchedSeq,0),"")</f>
        <v>471</v>
      </c>
      <c r="D373" s="2" t="str">
        <f t="array" ref="D373">IF($C373="","",INDEX(SchedZone,$C373,MAP!$B$6))</f>
        <v>2026_13_LAC_TB</v>
      </c>
      <c r="E373" s="2">
        <f t="array" ref="E373">IF($C373="","",INDEX(SchedZone,$C373,MAP!$B$3))</f>
        <v>2026</v>
      </c>
      <c r="F373" s="2" t="str">
        <f t="array" ref="F373">IF($C373="","",INDEX(SchedZone,$C373,MAP!$B$5))</f>
        <v>REG</v>
      </c>
      <c r="G373" s="2">
        <f t="array" ref="G373">IF($C373="","",INDEX(SchedZone,$C373,MAP!$B$4))</f>
        <v>13</v>
      </c>
      <c r="H373" s="2" t="str">
        <f t="array" ref="H373">IF($C373="","",INDEX(SchedZone,$C373,MAP!$B$12))</f>
        <v>TB</v>
      </c>
      <c r="I373" s="2" t="str">
        <f t="array" ref="I373">IF($H373="","",IF(COUNTIF(Teams,$H373)&gt;0,$H373,IFERROR(INDEX(LISTS!$D$2:$D$12,MATCH($H373,LISTS!$C$2:$C$12,0)),"⚠ "&amp;$H373)))</f>
        <v>TB</v>
      </c>
      <c r="J373" s="2" t="str">
        <f t="array" ref="J373">IF($C373="","",INDEX(SchedZone,$C373,MAP!$B$10))</f>
        <v>LAC</v>
      </c>
      <c r="K373" s="2" t="str">
        <f t="array" ref="K373">IF($J373="","",IF(COUNTIF(Teams,$J373)&gt;0,$J373,IFERROR(INDEX(LISTS!$D$2:$D$12,MATCH($J373,LISTS!$C$2:$C$12,0)),"⚠ "&amp;$J373)))</f>
        <v>LAC</v>
      </c>
      <c r="L373" s="2" t="str">
        <f t="array" ref="L373">IF($C373="","",IF(INDEX(SchedZone,$C373,MAP!$B$14)="Neutral","N",IF($B373="HOME","H","A")))</f>
        <v>H</v>
      </c>
      <c r="M373" s="2" t="str">
        <f t="array" ref="M373">IF($C373="","",IF(INDEX(SchedZone,$C373,MAP!$B$13)="","",INDEX(SchedZone,$C373,MAP!$B$13)))</f>
        <v/>
      </c>
      <c r="N373" s="2" t="str">
        <f t="array" ref="N373">IF($C373="","",IF(INDEX(SchedZone,$C373,MAP!$B$11)="","",INDEX(SchedZone,$C373,MAP!$B$11)))</f>
        <v/>
      </c>
      <c r="O373" s="2">
        <f t="array" ref="O373">IF($C373="","",INDEX(SchedZone,$C373,MAP!$B$16))</f>
        <v>6</v>
      </c>
      <c r="P373" s="2" t="str">
        <f>IF($C373="","",IFERROR(MATCH($E373&amp;"|"&amp;$G373&amp;"|"&amp;$I373,StatsKey,0),""))</f>
        <v/>
      </c>
      <c r="Q373" s="2">
        <f t="array" ref="Q373">IF($P373="",0,INDEX(StatsZone,$P373,MAP!$E$9)+INDEX(StatsZone,$P373,MAP!$E$10)+INDEX(StatsZone,$P373,MAP!$E$11))</f>
        <v>0</v>
      </c>
      <c r="R373" s="2">
        <f t="array" ref="R373">IF($P373="",0,INDEX(StatsZone,$P373,MAP!$E$12))</f>
        <v>0</v>
      </c>
      <c r="S373" s="2">
        <f t="array" ref="S373">IF($P373="",0,INDEX(StatsZone,$P373,MAP!$E$13))</f>
        <v>0</v>
      </c>
      <c r="T373" s="2">
        <f t="shared" si="1"/>
        <v>0</v>
      </c>
      <c r="U373" s="2">
        <f t="array" ref="U373">IF($P373="",0,INDEX(StatsZone,$P373,MAP!$E$14)+INDEX(StatsZone,$P373,MAP!$E$15)+INDEX(StatsZone,$P373,MAP!$E$16))</f>
        <v>0</v>
      </c>
      <c r="V373" s="2">
        <f t="shared" si="2"/>
        <v>0</v>
      </c>
      <c r="W373" s="2">
        <f t="shared" si="3"/>
        <v>0</v>
      </c>
      <c r="X373" s="2">
        <f t="shared" si="4"/>
        <v>0</v>
      </c>
      <c r="Y373" s="2">
        <f t="shared" si="5"/>
        <v>0</v>
      </c>
      <c r="Z373" s="2">
        <f t="shared" si="6"/>
        <v>0</v>
      </c>
      <c r="AA373" s="2">
        <f t="shared" si="7"/>
        <v>1</v>
      </c>
      <c r="AB373" s="2">
        <f>IF(OR($M373="",$N373=""),0,MEDIAN(-MarginCap,MarginCap,($M373-$N373)-$AA373*HFA_Base))</f>
        <v>0</v>
      </c>
      <c r="AC373" s="2">
        <f t="array" ref="AC373">IF(OR($P373="",INDEX($P$3:$P$722,(ROW()+IF(MOD(ROW()-3,2)=0,1,-1))-3+1)=""),0,MEDIAN(-MarginCap,MarginCap,($T373-$W373)-$AA373*HFA_Base))</f>
        <v>0</v>
      </c>
      <c r="AD373" s="2">
        <f t="shared" si="8"/>
        <v>0</v>
      </c>
      <c r="AE373" s="2">
        <f>IF(OR($M373="",$N373=""),0,IF(AND(WEpa&gt;0,$AD373=1),(1-WEpa)*$AB373+WEpa*$AC373,$AB373))</f>
        <v>0</v>
      </c>
      <c r="AF373" s="2">
        <f>IF(AND($C373&lt;&gt;"",$E373=CurrentSeason,$F373="REG",ISNUMBER($G373),$G373&lt;CurrentWeek,AND($M373&lt;&gt;"",$N373&lt;&gt;"")),1,0)</f>
        <v>0</v>
      </c>
      <c r="AG373" s="2">
        <f>IF($AF373=0,0,IF($G373&gt;=CurrentWeek-RecencyWin,RecencyMult,1))</f>
        <v>0</v>
      </c>
      <c r="AH373" s="2">
        <f>IF(AND($C373&lt;&gt;"",$E373=CurrentSeason,$F373="REG",ISNUMBER($G373),$G373&lt;CurrentWeek-1,AND($M373&lt;&gt;"",$N373&lt;&gt;"")),1,0)</f>
        <v>0</v>
      </c>
      <c r="AI373" s="2">
        <f>IF($AH373=0,0,IF($G373&gt;=CurrentWeek-1-RecencyWin,RecencyMult,1))</f>
        <v>0</v>
      </c>
      <c r="AJ373" s="2">
        <f>IF($AF373=0,0,IF($G373&gt;=CurrentWeek-RecencyWin,TotRecency,1))</f>
        <v>0</v>
      </c>
      <c r="AK373" s="2">
        <f t="shared" si="9"/>
        <v>0</v>
      </c>
      <c r="AL373" s="2">
        <f t="shared" si="10"/>
        <v>0</v>
      </c>
      <c r="AM373" s="2" t="str">
        <f t="array" ref="AM373">IF($K373="",0,IFERROR(INDEX(CALC!$F$2:$F$33,MATCH($K373,CALC!$A$2:$A$33,0)),0))</f>
        <v/>
      </c>
      <c r="AN373" s="2" t="str">
        <f t="array" ref="AN373">IF($K373="",0,IFERROR(INDEX(CALC!$I$2:$I$33,MATCH($K373,CALC!$A$2:$A$33,0)),0))</f>
        <v/>
      </c>
      <c r="AO373" s="2" t="str">
        <f t="array" ref="AO373">IF($K373="",0,IFERROR(INDEX(CALC!$L$2:$L$33,MATCH($K373,CALC!$A$2:$A$33,0)),0))</f>
        <v/>
      </c>
      <c r="AP373" s="2" t="str">
        <f t="array" ref="AP373">IF($K373="",0,IFERROR(INDEX(CALC!$T$2:$T$33,MATCH($K373,CALC!$A$2:$A$33,0)),0))</f>
        <v/>
      </c>
      <c r="AQ373" s="2" t="str">
        <f t="array" ref="AQ373">IF($K373="",0,IFERROR(INDEX(CALC!$W$2:$W$33,MATCH($K373,CALC!$A$2:$A$33,0)),0))</f>
        <v/>
      </c>
      <c r="AR373" s="2" t="str">
        <f t="array" ref="AR373">IF($K373="",0,IFERROR(INDEX(CALC!$Z$2:$Z$33,MATCH($K373,CALC!$A$2:$A$33,0)),0))</f>
        <v/>
      </c>
      <c r="AS373" s="2" t="str">
        <f t="array" ref="AS373">IF($K373="",0,IFERROR(INDEX(CALC!$AJ$2:$AJ$33,MATCH($K373,CALC!$A$2:$A$33,0)),0))</f>
        <v/>
      </c>
      <c r="AT373" s="2" t="str">
        <f t="array" ref="AT373">IF($K373="",0,IFERROR(INDEX(CALC!$AI$2:$AI$33,MATCH($K373,CALC!$A$2:$A$33,0)),0))</f>
        <v/>
      </c>
      <c r="AU373" s="2">
        <f t="shared" si="11"/>
        <v>0</v>
      </c>
      <c r="AV373" s="2">
        <f t="shared" si="12"/>
        <v>0</v>
      </c>
    </row>
    <row r="374" ht="15.0" customHeight="1">
      <c r="A374" s="2">
        <v>186.0</v>
      </c>
      <c r="B374" s="2" t="s">
        <v>2366</v>
      </c>
      <c r="C374" s="2">
        <f>IFERROR(MATCH($A374,SchedSeq,0),"")</f>
        <v>471</v>
      </c>
      <c r="D374" s="2" t="str">
        <f t="array" ref="D374">IF($C374="","",INDEX(SchedZone,$C374,MAP!$B$6))</f>
        <v>2026_13_LAC_TB</v>
      </c>
      <c r="E374" s="2">
        <f t="array" ref="E374">IF($C374="","",INDEX(SchedZone,$C374,MAP!$B$3))</f>
        <v>2026</v>
      </c>
      <c r="F374" s="2" t="str">
        <f t="array" ref="F374">IF($C374="","",INDEX(SchedZone,$C374,MAP!$B$5))</f>
        <v>REG</v>
      </c>
      <c r="G374" s="2">
        <f t="array" ref="G374">IF($C374="","",INDEX(SchedZone,$C374,MAP!$B$4))</f>
        <v>13</v>
      </c>
      <c r="H374" s="2" t="str">
        <f t="array" ref="H374">IF($C374="","",INDEX(SchedZone,$C374,MAP!$B$10))</f>
        <v>LAC</v>
      </c>
      <c r="I374" s="2" t="str">
        <f t="array" ref="I374">IF($H374="","",IF(COUNTIF(Teams,$H374)&gt;0,$H374,IFERROR(INDEX(LISTS!$D$2:$D$12,MATCH($H374,LISTS!$C$2:$C$12,0)),"⚠ "&amp;$H374)))</f>
        <v>LAC</v>
      </c>
      <c r="J374" s="2" t="str">
        <f t="array" ref="J374">IF($C374="","",INDEX(SchedZone,$C374,MAP!$B$12))</f>
        <v>TB</v>
      </c>
      <c r="K374" s="2" t="str">
        <f t="array" ref="K374">IF($J374="","",IF(COUNTIF(Teams,$J374)&gt;0,$J374,IFERROR(INDEX(LISTS!$D$2:$D$12,MATCH($J374,LISTS!$C$2:$C$12,0)),"⚠ "&amp;$J374)))</f>
        <v>TB</v>
      </c>
      <c r="L374" s="2" t="str">
        <f t="array" ref="L374">IF($C374="","",IF(INDEX(SchedZone,$C374,MAP!$B$14)="Neutral","N",IF($B374="HOME","H","A")))</f>
        <v>A</v>
      </c>
      <c r="M374" s="2" t="str">
        <f t="array" ref="M374">IF($C374="","",IF(INDEX(SchedZone,$C374,MAP!$B$11)="","",INDEX(SchedZone,$C374,MAP!$B$11)))</f>
        <v/>
      </c>
      <c r="N374" s="2" t="str">
        <f t="array" ref="N374">IF($C374="","",IF(INDEX(SchedZone,$C374,MAP!$B$13)="","",INDEX(SchedZone,$C374,MAP!$B$13)))</f>
        <v/>
      </c>
      <c r="O374" s="2">
        <f t="array" ref="O374">IF($C374="","",INDEX(SchedZone,$C374,MAP!$B$15))</f>
        <v>7</v>
      </c>
      <c r="P374" s="2" t="str">
        <f>IF($C374="","",IFERROR(MATCH($E374&amp;"|"&amp;$G374&amp;"|"&amp;$I374,StatsKey,0),""))</f>
        <v/>
      </c>
      <c r="Q374" s="2">
        <f t="array" ref="Q374">IF($P374="",0,INDEX(StatsZone,$P374,MAP!$E$9)+INDEX(StatsZone,$P374,MAP!$E$10)+INDEX(StatsZone,$P374,MAP!$E$11))</f>
        <v>0</v>
      </c>
      <c r="R374" s="2">
        <f t="array" ref="R374">IF($P374="",0,INDEX(StatsZone,$P374,MAP!$E$12))</f>
        <v>0</v>
      </c>
      <c r="S374" s="2">
        <f t="array" ref="S374">IF($P374="",0,INDEX(StatsZone,$P374,MAP!$E$13))</f>
        <v>0</v>
      </c>
      <c r="T374" s="2">
        <f t="shared" si="1"/>
        <v>0</v>
      </c>
      <c r="U374" s="2">
        <f t="array" ref="U374">IF($P374="",0,INDEX(StatsZone,$P374,MAP!$E$14)+INDEX(StatsZone,$P374,MAP!$E$15)+INDEX(StatsZone,$P374,MAP!$E$16))</f>
        <v>0</v>
      </c>
      <c r="V374" s="2">
        <f t="shared" si="2"/>
        <v>0</v>
      </c>
      <c r="W374" s="2">
        <f t="shared" si="3"/>
        <v>0</v>
      </c>
      <c r="X374" s="2">
        <f t="shared" si="4"/>
        <v>0</v>
      </c>
      <c r="Y374" s="2">
        <f t="shared" si="5"/>
        <v>0</v>
      </c>
      <c r="Z374" s="2">
        <f t="shared" si="6"/>
        <v>0</v>
      </c>
      <c r="AA374" s="2">
        <f t="shared" si="7"/>
        <v>-1</v>
      </c>
      <c r="AB374" s="2">
        <f>IF(OR($M374="",$N374=""),0,MEDIAN(-MarginCap,MarginCap,($M374-$N374)-$AA374*HFA_Base))</f>
        <v>0</v>
      </c>
      <c r="AC374" s="2">
        <f t="array" ref="AC374">IF(OR($P374="",INDEX($P$3:$P$722,(ROW()+IF(MOD(ROW()-3,2)=0,1,-1))-3+1)=""),0,MEDIAN(-MarginCap,MarginCap,($T374-$W374)-$AA374*HFA_Base))</f>
        <v>0</v>
      </c>
      <c r="AD374" s="2">
        <f t="shared" si="8"/>
        <v>0</v>
      </c>
      <c r="AE374" s="2">
        <f>IF(OR($M374="",$N374=""),0,IF(AND(WEpa&gt;0,$AD374=1),(1-WEpa)*$AB374+WEpa*$AC374,$AB374))</f>
        <v>0</v>
      </c>
      <c r="AF374" s="2">
        <f>IF(AND($C374&lt;&gt;"",$E374=CurrentSeason,$F374="REG",ISNUMBER($G374),$G374&lt;CurrentWeek,AND($M374&lt;&gt;"",$N374&lt;&gt;"")),1,0)</f>
        <v>0</v>
      </c>
      <c r="AG374" s="2">
        <f>IF($AF374=0,0,IF($G374&gt;=CurrentWeek-RecencyWin,RecencyMult,1))</f>
        <v>0</v>
      </c>
      <c r="AH374" s="2">
        <f>IF(AND($C374&lt;&gt;"",$E374=CurrentSeason,$F374="REG",ISNUMBER($G374),$G374&lt;CurrentWeek-1,AND($M374&lt;&gt;"",$N374&lt;&gt;"")),1,0)</f>
        <v>0</v>
      </c>
      <c r="AI374" s="2">
        <f>IF($AH374=0,0,IF($G374&gt;=CurrentWeek-1-RecencyWin,RecencyMult,1))</f>
        <v>0</v>
      </c>
      <c r="AJ374" s="2">
        <f>IF($AF374=0,0,IF($G374&gt;=CurrentWeek-RecencyWin,TotRecency,1))</f>
        <v>0</v>
      </c>
      <c r="AK374" s="2">
        <f t="shared" si="9"/>
        <v>0</v>
      </c>
      <c r="AL374" s="2">
        <f t="shared" si="10"/>
        <v>0</v>
      </c>
      <c r="AM374" s="2" t="str">
        <f t="array" ref="AM374">IF($K374="",0,IFERROR(INDEX(CALC!$F$2:$F$33,MATCH($K374,CALC!$A$2:$A$33,0)),0))</f>
        <v/>
      </c>
      <c r="AN374" s="2" t="str">
        <f t="array" ref="AN374">IF($K374="",0,IFERROR(INDEX(CALC!$I$2:$I$33,MATCH($K374,CALC!$A$2:$A$33,0)),0))</f>
        <v/>
      </c>
      <c r="AO374" s="2" t="str">
        <f t="array" ref="AO374">IF($K374="",0,IFERROR(INDEX(CALC!$L$2:$L$33,MATCH($K374,CALC!$A$2:$A$33,0)),0))</f>
        <v/>
      </c>
      <c r="AP374" s="2" t="str">
        <f t="array" ref="AP374">IF($K374="",0,IFERROR(INDEX(CALC!$T$2:$T$33,MATCH($K374,CALC!$A$2:$A$33,0)),0))</f>
        <v/>
      </c>
      <c r="AQ374" s="2" t="str">
        <f t="array" ref="AQ374">IF($K374="",0,IFERROR(INDEX(CALC!$W$2:$W$33,MATCH($K374,CALC!$A$2:$A$33,0)),0))</f>
        <v/>
      </c>
      <c r="AR374" s="2" t="str">
        <f t="array" ref="AR374">IF($K374="",0,IFERROR(INDEX(CALC!$Z$2:$Z$33,MATCH($K374,CALC!$A$2:$A$33,0)),0))</f>
        <v/>
      </c>
      <c r="AS374" s="2" t="str">
        <f t="array" ref="AS374">IF($K374="",0,IFERROR(INDEX(CALC!$AJ$2:$AJ$33,MATCH($K374,CALC!$A$2:$A$33,0)),0))</f>
        <v/>
      </c>
      <c r="AT374" s="2" t="str">
        <f t="array" ref="AT374">IF($K374="",0,IFERROR(INDEX(CALC!$AI$2:$AI$33,MATCH($K374,CALC!$A$2:$A$33,0)),0))</f>
        <v/>
      </c>
      <c r="AU374" s="2">
        <f t="shared" si="11"/>
        <v>0</v>
      </c>
      <c r="AV374" s="2">
        <f t="shared" si="12"/>
        <v>0</v>
      </c>
    </row>
    <row r="375" ht="15.0" customHeight="1">
      <c r="A375" s="2">
        <v>187.0</v>
      </c>
      <c r="B375" s="2" t="s">
        <v>2365</v>
      </c>
      <c r="C375" s="2">
        <f>IFERROR(MATCH($A375,SchedSeq,0),"")</f>
        <v>472</v>
      </c>
      <c r="D375" s="2" t="str">
        <f t="array" ref="D375">IF($C375="","",INDEX(SchedZone,$C375,MAP!$B$6))</f>
        <v>2026_13_WAS_TEN</v>
      </c>
      <c r="E375" s="2">
        <f t="array" ref="E375">IF($C375="","",INDEX(SchedZone,$C375,MAP!$B$3))</f>
        <v>2026</v>
      </c>
      <c r="F375" s="2" t="str">
        <f t="array" ref="F375">IF($C375="","",INDEX(SchedZone,$C375,MAP!$B$5))</f>
        <v>REG</v>
      </c>
      <c r="G375" s="2">
        <f t="array" ref="G375">IF($C375="","",INDEX(SchedZone,$C375,MAP!$B$4))</f>
        <v>13</v>
      </c>
      <c r="H375" s="2" t="str">
        <f t="array" ref="H375">IF($C375="","",INDEX(SchedZone,$C375,MAP!$B$12))</f>
        <v>TEN</v>
      </c>
      <c r="I375" s="2" t="str">
        <f t="array" ref="I375">IF($H375="","",IF(COUNTIF(Teams,$H375)&gt;0,$H375,IFERROR(INDEX(LISTS!$D$2:$D$12,MATCH($H375,LISTS!$C$2:$C$12,0)),"⚠ "&amp;$H375)))</f>
        <v>TEN</v>
      </c>
      <c r="J375" s="2" t="str">
        <f t="array" ref="J375">IF($C375="","",INDEX(SchedZone,$C375,MAP!$B$10))</f>
        <v>WAS</v>
      </c>
      <c r="K375" s="2" t="str">
        <f t="array" ref="K375">IF($J375="","",IF(COUNTIF(Teams,$J375)&gt;0,$J375,IFERROR(INDEX(LISTS!$D$2:$D$12,MATCH($J375,LISTS!$C$2:$C$12,0)),"⚠ "&amp;$J375)))</f>
        <v>WAS</v>
      </c>
      <c r="L375" s="2" t="str">
        <f t="array" ref="L375">IF($C375="","",IF(INDEX(SchedZone,$C375,MAP!$B$14)="Neutral","N",IF($B375="HOME","H","A")))</f>
        <v>H</v>
      </c>
      <c r="M375" s="2" t="str">
        <f t="array" ref="M375">IF($C375="","",IF(INDEX(SchedZone,$C375,MAP!$B$13)="","",INDEX(SchedZone,$C375,MAP!$B$13)))</f>
        <v/>
      </c>
      <c r="N375" s="2" t="str">
        <f t="array" ref="N375">IF($C375="","",IF(INDEX(SchedZone,$C375,MAP!$B$11)="","",INDEX(SchedZone,$C375,MAP!$B$11)))</f>
        <v/>
      </c>
      <c r="O375" s="2">
        <f t="array" ref="O375">IF($C375="","",INDEX(SchedZone,$C375,MAP!$B$16))</f>
        <v>7</v>
      </c>
      <c r="P375" s="2" t="str">
        <f>IF($C375="","",IFERROR(MATCH($E375&amp;"|"&amp;$G375&amp;"|"&amp;$I375,StatsKey,0),""))</f>
        <v/>
      </c>
      <c r="Q375" s="2">
        <f t="array" ref="Q375">IF($P375="",0,INDEX(StatsZone,$P375,MAP!$E$9)+INDEX(StatsZone,$P375,MAP!$E$10)+INDEX(StatsZone,$P375,MAP!$E$11))</f>
        <v>0</v>
      </c>
      <c r="R375" s="2">
        <f t="array" ref="R375">IF($P375="",0,INDEX(StatsZone,$P375,MAP!$E$12))</f>
        <v>0</v>
      </c>
      <c r="S375" s="2">
        <f t="array" ref="S375">IF($P375="",0,INDEX(StatsZone,$P375,MAP!$E$13))</f>
        <v>0</v>
      </c>
      <c r="T375" s="2">
        <f t="shared" si="1"/>
        <v>0</v>
      </c>
      <c r="U375" s="2">
        <f t="array" ref="U375">IF($P375="",0,INDEX(StatsZone,$P375,MAP!$E$14)+INDEX(StatsZone,$P375,MAP!$E$15)+INDEX(StatsZone,$P375,MAP!$E$16))</f>
        <v>0</v>
      </c>
      <c r="V375" s="2">
        <f t="shared" si="2"/>
        <v>0</v>
      </c>
      <c r="W375" s="2">
        <f t="shared" si="3"/>
        <v>0</v>
      </c>
      <c r="X375" s="2">
        <f t="shared" si="4"/>
        <v>0</v>
      </c>
      <c r="Y375" s="2">
        <f t="shared" si="5"/>
        <v>0</v>
      </c>
      <c r="Z375" s="2">
        <f t="shared" si="6"/>
        <v>0</v>
      </c>
      <c r="AA375" s="2">
        <f t="shared" si="7"/>
        <v>1</v>
      </c>
      <c r="AB375" s="2">
        <f>IF(OR($M375="",$N375=""),0,MEDIAN(-MarginCap,MarginCap,($M375-$N375)-$AA375*HFA_Base))</f>
        <v>0</v>
      </c>
      <c r="AC375" s="2">
        <f t="array" ref="AC375">IF(OR($P375="",INDEX($P$3:$P$722,(ROW()+IF(MOD(ROW()-3,2)=0,1,-1))-3+1)=""),0,MEDIAN(-MarginCap,MarginCap,($T375-$W375)-$AA375*HFA_Base))</f>
        <v>0</v>
      </c>
      <c r="AD375" s="2">
        <f t="shared" si="8"/>
        <v>0</v>
      </c>
      <c r="AE375" s="2">
        <f>IF(OR($M375="",$N375=""),0,IF(AND(WEpa&gt;0,$AD375=1),(1-WEpa)*$AB375+WEpa*$AC375,$AB375))</f>
        <v>0</v>
      </c>
      <c r="AF375" s="2">
        <f>IF(AND($C375&lt;&gt;"",$E375=CurrentSeason,$F375="REG",ISNUMBER($G375),$G375&lt;CurrentWeek,AND($M375&lt;&gt;"",$N375&lt;&gt;"")),1,0)</f>
        <v>0</v>
      </c>
      <c r="AG375" s="2">
        <f>IF($AF375=0,0,IF($G375&gt;=CurrentWeek-RecencyWin,RecencyMult,1))</f>
        <v>0</v>
      </c>
      <c r="AH375" s="2">
        <f>IF(AND($C375&lt;&gt;"",$E375=CurrentSeason,$F375="REG",ISNUMBER($G375),$G375&lt;CurrentWeek-1,AND($M375&lt;&gt;"",$N375&lt;&gt;"")),1,0)</f>
        <v>0</v>
      </c>
      <c r="AI375" s="2">
        <f>IF($AH375=0,0,IF($G375&gt;=CurrentWeek-1-RecencyWin,RecencyMult,1))</f>
        <v>0</v>
      </c>
      <c r="AJ375" s="2">
        <f>IF($AF375=0,0,IF($G375&gt;=CurrentWeek-RecencyWin,TotRecency,1))</f>
        <v>0</v>
      </c>
      <c r="AK375" s="2">
        <f t="shared" si="9"/>
        <v>0</v>
      </c>
      <c r="AL375" s="2">
        <f t="shared" si="10"/>
        <v>0</v>
      </c>
      <c r="AM375" s="2" t="str">
        <f t="array" ref="AM375">IF($K375="",0,IFERROR(INDEX(CALC!$F$2:$F$33,MATCH($K375,CALC!$A$2:$A$33,0)),0))</f>
        <v/>
      </c>
      <c r="AN375" s="2" t="str">
        <f t="array" ref="AN375">IF($K375="",0,IFERROR(INDEX(CALC!$I$2:$I$33,MATCH($K375,CALC!$A$2:$A$33,0)),0))</f>
        <v/>
      </c>
      <c r="AO375" s="2" t="str">
        <f t="array" ref="AO375">IF($K375="",0,IFERROR(INDEX(CALC!$L$2:$L$33,MATCH($K375,CALC!$A$2:$A$33,0)),0))</f>
        <v/>
      </c>
      <c r="AP375" s="2" t="str">
        <f t="array" ref="AP375">IF($K375="",0,IFERROR(INDEX(CALC!$T$2:$T$33,MATCH($K375,CALC!$A$2:$A$33,0)),0))</f>
        <v/>
      </c>
      <c r="AQ375" s="2" t="str">
        <f t="array" ref="AQ375">IF($K375="",0,IFERROR(INDEX(CALC!$W$2:$W$33,MATCH($K375,CALC!$A$2:$A$33,0)),0))</f>
        <v/>
      </c>
      <c r="AR375" s="2" t="str">
        <f t="array" ref="AR375">IF($K375="",0,IFERROR(INDEX(CALC!$Z$2:$Z$33,MATCH($K375,CALC!$A$2:$A$33,0)),0))</f>
        <v/>
      </c>
      <c r="AS375" s="2" t="str">
        <f t="array" ref="AS375">IF($K375="",0,IFERROR(INDEX(CALC!$AJ$2:$AJ$33,MATCH($K375,CALC!$A$2:$A$33,0)),0))</f>
        <v/>
      </c>
      <c r="AT375" s="2" t="str">
        <f t="array" ref="AT375">IF($K375="",0,IFERROR(INDEX(CALC!$AI$2:$AI$33,MATCH($K375,CALC!$A$2:$A$33,0)),0))</f>
        <v/>
      </c>
      <c r="AU375" s="2">
        <f t="shared" si="11"/>
        <v>0</v>
      </c>
      <c r="AV375" s="2">
        <f t="shared" si="12"/>
        <v>0</v>
      </c>
    </row>
    <row r="376" ht="15.0" customHeight="1">
      <c r="A376" s="2">
        <v>187.0</v>
      </c>
      <c r="B376" s="2" t="s">
        <v>2366</v>
      </c>
      <c r="C376" s="2">
        <f>IFERROR(MATCH($A376,SchedSeq,0),"")</f>
        <v>472</v>
      </c>
      <c r="D376" s="2" t="str">
        <f t="array" ref="D376">IF($C376="","",INDEX(SchedZone,$C376,MAP!$B$6))</f>
        <v>2026_13_WAS_TEN</v>
      </c>
      <c r="E376" s="2">
        <f t="array" ref="E376">IF($C376="","",INDEX(SchedZone,$C376,MAP!$B$3))</f>
        <v>2026</v>
      </c>
      <c r="F376" s="2" t="str">
        <f t="array" ref="F376">IF($C376="","",INDEX(SchedZone,$C376,MAP!$B$5))</f>
        <v>REG</v>
      </c>
      <c r="G376" s="2">
        <f t="array" ref="G376">IF($C376="","",INDEX(SchedZone,$C376,MAP!$B$4))</f>
        <v>13</v>
      </c>
      <c r="H376" s="2" t="str">
        <f t="array" ref="H376">IF($C376="","",INDEX(SchedZone,$C376,MAP!$B$10))</f>
        <v>WAS</v>
      </c>
      <c r="I376" s="2" t="str">
        <f t="array" ref="I376">IF($H376="","",IF(COUNTIF(Teams,$H376)&gt;0,$H376,IFERROR(INDEX(LISTS!$D$2:$D$12,MATCH($H376,LISTS!$C$2:$C$12,0)),"⚠ "&amp;$H376)))</f>
        <v>WAS</v>
      </c>
      <c r="J376" s="2" t="str">
        <f t="array" ref="J376">IF($C376="","",INDEX(SchedZone,$C376,MAP!$B$12))</f>
        <v>TEN</v>
      </c>
      <c r="K376" s="2" t="str">
        <f t="array" ref="K376">IF($J376="","",IF(COUNTIF(Teams,$J376)&gt;0,$J376,IFERROR(INDEX(LISTS!$D$2:$D$12,MATCH($J376,LISTS!$C$2:$C$12,0)),"⚠ "&amp;$J376)))</f>
        <v>TEN</v>
      </c>
      <c r="L376" s="2" t="str">
        <f t="array" ref="L376">IF($C376="","",IF(INDEX(SchedZone,$C376,MAP!$B$14)="Neutral","N",IF($B376="HOME","H","A")))</f>
        <v>A</v>
      </c>
      <c r="M376" s="2" t="str">
        <f t="array" ref="M376">IF($C376="","",IF(INDEX(SchedZone,$C376,MAP!$B$11)="","",INDEX(SchedZone,$C376,MAP!$B$11)))</f>
        <v/>
      </c>
      <c r="N376" s="2" t="str">
        <f t="array" ref="N376">IF($C376="","",IF(INDEX(SchedZone,$C376,MAP!$B$13)="","",INDEX(SchedZone,$C376,MAP!$B$13)))</f>
        <v/>
      </c>
      <c r="O376" s="2">
        <f t="array" ref="O376">IF($C376="","",INDEX(SchedZone,$C376,MAP!$B$15))</f>
        <v>7</v>
      </c>
      <c r="P376" s="2" t="str">
        <f>IF($C376="","",IFERROR(MATCH($E376&amp;"|"&amp;$G376&amp;"|"&amp;$I376,StatsKey,0),""))</f>
        <v/>
      </c>
      <c r="Q376" s="2">
        <f t="array" ref="Q376">IF($P376="",0,INDEX(StatsZone,$P376,MAP!$E$9)+INDEX(StatsZone,$P376,MAP!$E$10)+INDEX(StatsZone,$P376,MAP!$E$11))</f>
        <v>0</v>
      </c>
      <c r="R376" s="2">
        <f t="array" ref="R376">IF($P376="",0,INDEX(StatsZone,$P376,MAP!$E$12))</f>
        <v>0</v>
      </c>
      <c r="S376" s="2">
        <f t="array" ref="S376">IF($P376="",0,INDEX(StatsZone,$P376,MAP!$E$13))</f>
        <v>0</v>
      </c>
      <c r="T376" s="2">
        <f t="shared" si="1"/>
        <v>0</v>
      </c>
      <c r="U376" s="2">
        <f t="array" ref="U376">IF($P376="",0,INDEX(StatsZone,$P376,MAP!$E$14)+INDEX(StatsZone,$P376,MAP!$E$15)+INDEX(StatsZone,$P376,MAP!$E$16))</f>
        <v>0</v>
      </c>
      <c r="V376" s="2">
        <f t="shared" si="2"/>
        <v>0</v>
      </c>
      <c r="W376" s="2">
        <f t="shared" si="3"/>
        <v>0</v>
      </c>
      <c r="X376" s="2">
        <f t="shared" si="4"/>
        <v>0</v>
      </c>
      <c r="Y376" s="2">
        <f t="shared" si="5"/>
        <v>0</v>
      </c>
      <c r="Z376" s="2">
        <f t="shared" si="6"/>
        <v>0</v>
      </c>
      <c r="AA376" s="2">
        <f t="shared" si="7"/>
        <v>-1</v>
      </c>
      <c r="AB376" s="2">
        <f>IF(OR($M376="",$N376=""),0,MEDIAN(-MarginCap,MarginCap,($M376-$N376)-$AA376*HFA_Base))</f>
        <v>0</v>
      </c>
      <c r="AC376" s="2">
        <f t="array" ref="AC376">IF(OR($P376="",INDEX($P$3:$P$722,(ROW()+IF(MOD(ROW()-3,2)=0,1,-1))-3+1)=""),0,MEDIAN(-MarginCap,MarginCap,($T376-$W376)-$AA376*HFA_Base))</f>
        <v>0</v>
      </c>
      <c r="AD376" s="2">
        <f t="shared" si="8"/>
        <v>0</v>
      </c>
      <c r="AE376" s="2">
        <f>IF(OR($M376="",$N376=""),0,IF(AND(WEpa&gt;0,$AD376=1),(1-WEpa)*$AB376+WEpa*$AC376,$AB376))</f>
        <v>0</v>
      </c>
      <c r="AF376" s="2">
        <f>IF(AND($C376&lt;&gt;"",$E376=CurrentSeason,$F376="REG",ISNUMBER($G376),$G376&lt;CurrentWeek,AND($M376&lt;&gt;"",$N376&lt;&gt;"")),1,0)</f>
        <v>0</v>
      </c>
      <c r="AG376" s="2">
        <f>IF($AF376=0,0,IF($G376&gt;=CurrentWeek-RecencyWin,RecencyMult,1))</f>
        <v>0</v>
      </c>
      <c r="AH376" s="2">
        <f>IF(AND($C376&lt;&gt;"",$E376=CurrentSeason,$F376="REG",ISNUMBER($G376),$G376&lt;CurrentWeek-1,AND($M376&lt;&gt;"",$N376&lt;&gt;"")),1,0)</f>
        <v>0</v>
      </c>
      <c r="AI376" s="2">
        <f>IF($AH376=0,0,IF($G376&gt;=CurrentWeek-1-RecencyWin,RecencyMult,1))</f>
        <v>0</v>
      </c>
      <c r="AJ376" s="2">
        <f>IF($AF376=0,0,IF($G376&gt;=CurrentWeek-RecencyWin,TotRecency,1))</f>
        <v>0</v>
      </c>
      <c r="AK376" s="2">
        <f t="shared" si="9"/>
        <v>0</v>
      </c>
      <c r="AL376" s="2">
        <f t="shared" si="10"/>
        <v>0</v>
      </c>
      <c r="AM376" s="2" t="str">
        <f t="array" ref="AM376">IF($K376="",0,IFERROR(INDEX(CALC!$F$2:$F$33,MATCH($K376,CALC!$A$2:$A$33,0)),0))</f>
        <v/>
      </c>
      <c r="AN376" s="2" t="str">
        <f t="array" ref="AN376">IF($K376="",0,IFERROR(INDEX(CALC!$I$2:$I$33,MATCH($K376,CALC!$A$2:$A$33,0)),0))</f>
        <v/>
      </c>
      <c r="AO376" s="2" t="str">
        <f t="array" ref="AO376">IF($K376="",0,IFERROR(INDEX(CALC!$L$2:$L$33,MATCH($K376,CALC!$A$2:$A$33,0)),0))</f>
        <v/>
      </c>
      <c r="AP376" s="2" t="str">
        <f t="array" ref="AP376">IF($K376="",0,IFERROR(INDEX(CALC!$T$2:$T$33,MATCH($K376,CALC!$A$2:$A$33,0)),0))</f>
        <v/>
      </c>
      <c r="AQ376" s="2" t="str">
        <f t="array" ref="AQ376">IF($K376="",0,IFERROR(INDEX(CALC!$W$2:$W$33,MATCH($K376,CALC!$A$2:$A$33,0)),0))</f>
        <v/>
      </c>
      <c r="AR376" s="2" t="str">
        <f t="array" ref="AR376">IF($K376="",0,IFERROR(INDEX(CALC!$Z$2:$Z$33,MATCH($K376,CALC!$A$2:$A$33,0)),0))</f>
        <v/>
      </c>
      <c r="AS376" s="2" t="str">
        <f t="array" ref="AS376">IF($K376="",0,IFERROR(INDEX(CALC!$AJ$2:$AJ$33,MATCH($K376,CALC!$A$2:$A$33,0)),0))</f>
        <v/>
      </c>
      <c r="AT376" s="2" t="str">
        <f t="array" ref="AT376">IF($K376="",0,IFERROR(INDEX(CALC!$AI$2:$AI$33,MATCH($K376,CALC!$A$2:$A$33,0)),0))</f>
        <v/>
      </c>
      <c r="AU376" s="2">
        <f t="shared" si="11"/>
        <v>0</v>
      </c>
      <c r="AV376" s="2">
        <f t="shared" si="12"/>
        <v>0</v>
      </c>
    </row>
    <row r="377" ht="15.0" customHeight="1">
      <c r="A377" s="2">
        <v>188.0</v>
      </c>
      <c r="B377" s="2" t="s">
        <v>2365</v>
      </c>
      <c r="C377" s="2">
        <f>IFERROR(MATCH($A377,SchedSeq,0),"")</f>
        <v>473</v>
      </c>
      <c r="D377" s="2" t="str">
        <f t="array" ref="D377">IF($C377="","",INDEX(SchedZone,$C377,MAP!$B$6))</f>
        <v>2026_13_PHI_ARI</v>
      </c>
      <c r="E377" s="2">
        <f t="array" ref="E377">IF($C377="","",INDEX(SchedZone,$C377,MAP!$B$3))</f>
        <v>2026</v>
      </c>
      <c r="F377" s="2" t="str">
        <f t="array" ref="F377">IF($C377="","",INDEX(SchedZone,$C377,MAP!$B$5))</f>
        <v>REG</v>
      </c>
      <c r="G377" s="2">
        <f t="array" ref="G377">IF($C377="","",INDEX(SchedZone,$C377,MAP!$B$4))</f>
        <v>13</v>
      </c>
      <c r="H377" s="2" t="str">
        <f t="array" ref="H377">IF($C377="","",INDEX(SchedZone,$C377,MAP!$B$12))</f>
        <v>ARI</v>
      </c>
      <c r="I377" s="2" t="str">
        <f t="array" ref="I377">IF($H377="","",IF(COUNTIF(Teams,$H377)&gt;0,$H377,IFERROR(INDEX(LISTS!$D$2:$D$12,MATCH($H377,LISTS!$C$2:$C$12,0)),"⚠ "&amp;$H377)))</f>
        <v>ARI</v>
      </c>
      <c r="J377" s="2" t="str">
        <f t="array" ref="J377">IF($C377="","",INDEX(SchedZone,$C377,MAP!$B$10))</f>
        <v>PHI</v>
      </c>
      <c r="K377" s="2" t="str">
        <f t="array" ref="K377">IF($J377="","",IF(COUNTIF(Teams,$J377)&gt;0,$J377,IFERROR(INDEX(LISTS!$D$2:$D$12,MATCH($J377,LISTS!$C$2:$C$12,0)),"⚠ "&amp;$J377)))</f>
        <v>PHI</v>
      </c>
      <c r="L377" s="2" t="str">
        <f t="array" ref="L377">IF($C377="","",IF(INDEX(SchedZone,$C377,MAP!$B$14)="Neutral","N",IF($B377="HOME","H","A")))</f>
        <v>H</v>
      </c>
      <c r="M377" s="2" t="str">
        <f t="array" ref="M377">IF($C377="","",IF(INDEX(SchedZone,$C377,MAP!$B$13)="","",INDEX(SchedZone,$C377,MAP!$B$13)))</f>
        <v/>
      </c>
      <c r="N377" s="2" t="str">
        <f t="array" ref="N377">IF($C377="","",IF(INDEX(SchedZone,$C377,MAP!$B$11)="","",INDEX(SchedZone,$C377,MAP!$B$11)))</f>
        <v/>
      </c>
      <c r="O377" s="2">
        <f t="array" ref="O377">IF($C377="","",INDEX(SchedZone,$C377,MAP!$B$16))</f>
        <v>7</v>
      </c>
      <c r="P377" s="2" t="str">
        <f>IF($C377="","",IFERROR(MATCH($E377&amp;"|"&amp;$G377&amp;"|"&amp;$I377,StatsKey,0),""))</f>
        <v/>
      </c>
      <c r="Q377" s="2">
        <f t="array" ref="Q377">IF($P377="",0,INDEX(StatsZone,$P377,MAP!$E$9)+INDEX(StatsZone,$P377,MAP!$E$10)+INDEX(StatsZone,$P377,MAP!$E$11))</f>
        <v>0</v>
      </c>
      <c r="R377" s="2">
        <f t="array" ref="R377">IF($P377="",0,INDEX(StatsZone,$P377,MAP!$E$12))</f>
        <v>0</v>
      </c>
      <c r="S377" s="2">
        <f t="array" ref="S377">IF($P377="",0,INDEX(StatsZone,$P377,MAP!$E$13))</f>
        <v>0</v>
      </c>
      <c r="T377" s="2">
        <f t="shared" si="1"/>
        <v>0</v>
      </c>
      <c r="U377" s="2">
        <f t="array" ref="U377">IF($P377="",0,INDEX(StatsZone,$P377,MAP!$E$14)+INDEX(StatsZone,$P377,MAP!$E$15)+INDEX(StatsZone,$P377,MAP!$E$16))</f>
        <v>0</v>
      </c>
      <c r="V377" s="2">
        <f t="shared" si="2"/>
        <v>0</v>
      </c>
      <c r="W377" s="2">
        <f t="shared" si="3"/>
        <v>0</v>
      </c>
      <c r="X377" s="2">
        <f t="shared" si="4"/>
        <v>0</v>
      </c>
      <c r="Y377" s="2">
        <f t="shared" si="5"/>
        <v>0</v>
      </c>
      <c r="Z377" s="2">
        <f t="shared" si="6"/>
        <v>0</v>
      </c>
      <c r="AA377" s="2">
        <f t="shared" si="7"/>
        <v>1</v>
      </c>
      <c r="AB377" s="2">
        <f>IF(OR($M377="",$N377=""),0,MEDIAN(-MarginCap,MarginCap,($M377-$N377)-$AA377*HFA_Base))</f>
        <v>0</v>
      </c>
      <c r="AC377" s="2">
        <f t="array" ref="AC377">IF(OR($P377="",INDEX($P$3:$P$722,(ROW()+IF(MOD(ROW()-3,2)=0,1,-1))-3+1)=""),0,MEDIAN(-MarginCap,MarginCap,($T377-$W377)-$AA377*HFA_Base))</f>
        <v>0</v>
      </c>
      <c r="AD377" s="2">
        <f t="shared" si="8"/>
        <v>0</v>
      </c>
      <c r="AE377" s="2">
        <f>IF(OR($M377="",$N377=""),0,IF(AND(WEpa&gt;0,$AD377=1),(1-WEpa)*$AB377+WEpa*$AC377,$AB377))</f>
        <v>0</v>
      </c>
      <c r="AF377" s="2">
        <f>IF(AND($C377&lt;&gt;"",$E377=CurrentSeason,$F377="REG",ISNUMBER($G377),$G377&lt;CurrentWeek,AND($M377&lt;&gt;"",$N377&lt;&gt;"")),1,0)</f>
        <v>0</v>
      </c>
      <c r="AG377" s="2">
        <f>IF($AF377=0,0,IF($G377&gt;=CurrentWeek-RecencyWin,RecencyMult,1))</f>
        <v>0</v>
      </c>
      <c r="AH377" s="2">
        <f>IF(AND($C377&lt;&gt;"",$E377=CurrentSeason,$F377="REG",ISNUMBER($G377),$G377&lt;CurrentWeek-1,AND($M377&lt;&gt;"",$N377&lt;&gt;"")),1,0)</f>
        <v>0</v>
      </c>
      <c r="AI377" s="2">
        <f>IF($AH377=0,0,IF($G377&gt;=CurrentWeek-1-RecencyWin,RecencyMult,1))</f>
        <v>0</v>
      </c>
      <c r="AJ377" s="2">
        <f>IF($AF377=0,0,IF($G377&gt;=CurrentWeek-RecencyWin,TotRecency,1))</f>
        <v>0</v>
      </c>
      <c r="AK377" s="2">
        <f t="shared" si="9"/>
        <v>0</v>
      </c>
      <c r="AL377" s="2">
        <f t="shared" si="10"/>
        <v>0</v>
      </c>
      <c r="AM377" s="2" t="str">
        <f t="array" ref="AM377">IF($K377="",0,IFERROR(INDEX(CALC!$F$2:$F$33,MATCH($K377,CALC!$A$2:$A$33,0)),0))</f>
        <v/>
      </c>
      <c r="AN377" s="2" t="str">
        <f t="array" ref="AN377">IF($K377="",0,IFERROR(INDEX(CALC!$I$2:$I$33,MATCH($K377,CALC!$A$2:$A$33,0)),0))</f>
        <v/>
      </c>
      <c r="AO377" s="2" t="str">
        <f t="array" ref="AO377">IF($K377="",0,IFERROR(INDEX(CALC!$L$2:$L$33,MATCH($K377,CALC!$A$2:$A$33,0)),0))</f>
        <v/>
      </c>
      <c r="AP377" s="2" t="str">
        <f t="array" ref="AP377">IF($K377="",0,IFERROR(INDEX(CALC!$T$2:$T$33,MATCH($K377,CALC!$A$2:$A$33,0)),0))</f>
        <v/>
      </c>
      <c r="AQ377" s="2" t="str">
        <f t="array" ref="AQ377">IF($K377="",0,IFERROR(INDEX(CALC!$W$2:$W$33,MATCH($K377,CALC!$A$2:$A$33,0)),0))</f>
        <v/>
      </c>
      <c r="AR377" s="2" t="str">
        <f t="array" ref="AR377">IF($K377="",0,IFERROR(INDEX(CALC!$Z$2:$Z$33,MATCH($K377,CALC!$A$2:$A$33,0)),0))</f>
        <v/>
      </c>
      <c r="AS377" s="2" t="str">
        <f t="array" ref="AS377">IF($K377="",0,IFERROR(INDEX(CALC!$AJ$2:$AJ$33,MATCH($K377,CALC!$A$2:$A$33,0)),0))</f>
        <v/>
      </c>
      <c r="AT377" s="2" t="str">
        <f t="array" ref="AT377">IF($K377="",0,IFERROR(INDEX(CALC!$AI$2:$AI$33,MATCH($K377,CALC!$A$2:$A$33,0)),0))</f>
        <v/>
      </c>
      <c r="AU377" s="2">
        <f t="shared" si="11"/>
        <v>0</v>
      </c>
      <c r="AV377" s="2">
        <f t="shared" si="12"/>
        <v>0</v>
      </c>
    </row>
    <row r="378" ht="15.0" customHeight="1">
      <c r="A378" s="2">
        <v>188.0</v>
      </c>
      <c r="B378" s="2" t="s">
        <v>2366</v>
      </c>
      <c r="C378" s="2">
        <f>IFERROR(MATCH($A378,SchedSeq,0),"")</f>
        <v>473</v>
      </c>
      <c r="D378" s="2" t="str">
        <f t="array" ref="D378">IF($C378="","",INDEX(SchedZone,$C378,MAP!$B$6))</f>
        <v>2026_13_PHI_ARI</v>
      </c>
      <c r="E378" s="2">
        <f t="array" ref="E378">IF($C378="","",INDEX(SchedZone,$C378,MAP!$B$3))</f>
        <v>2026</v>
      </c>
      <c r="F378" s="2" t="str">
        <f t="array" ref="F378">IF($C378="","",INDEX(SchedZone,$C378,MAP!$B$5))</f>
        <v>REG</v>
      </c>
      <c r="G378" s="2">
        <f t="array" ref="G378">IF($C378="","",INDEX(SchedZone,$C378,MAP!$B$4))</f>
        <v>13</v>
      </c>
      <c r="H378" s="2" t="str">
        <f t="array" ref="H378">IF($C378="","",INDEX(SchedZone,$C378,MAP!$B$10))</f>
        <v>PHI</v>
      </c>
      <c r="I378" s="2" t="str">
        <f t="array" ref="I378">IF($H378="","",IF(COUNTIF(Teams,$H378)&gt;0,$H378,IFERROR(INDEX(LISTS!$D$2:$D$12,MATCH($H378,LISTS!$C$2:$C$12,0)),"⚠ "&amp;$H378)))</f>
        <v>PHI</v>
      </c>
      <c r="J378" s="2" t="str">
        <f t="array" ref="J378">IF($C378="","",INDEX(SchedZone,$C378,MAP!$B$12))</f>
        <v>ARI</v>
      </c>
      <c r="K378" s="2" t="str">
        <f t="array" ref="K378">IF($J378="","",IF(COUNTIF(Teams,$J378)&gt;0,$J378,IFERROR(INDEX(LISTS!$D$2:$D$12,MATCH($J378,LISTS!$C$2:$C$12,0)),"⚠ "&amp;$J378)))</f>
        <v>ARI</v>
      </c>
      <c r="L378" s="2" t="str">
        <f t="array" ref="L378">IF($C378="","",IF(INDEX(SchedZone,$C378,MAP!$B$14)="Neutral","N",IF($B378="HOME","H","A")))</f>
        <v>A</v>
      </c>
      <c r="M378" s="2" t="str">
        <f t="array" ref="M378">IF($C378="","",IF(INDEX(SchedZone,$C378,MAP!$B$11)="","",INDEX(SchedZone,$C378,MAP!$B$11)))</f>
        <v/>
      </c>
      <c r="N378" s="2" t="str">
        <f t="array" ref="N378">IF($C378="","",IF(INDEX(SchedZone,$C378,MAP!$B$13)="","",INDEX(SchedZone,$C378,MAP!$B$13)))</f>
        <v/>
      </c>
      <c r="O378" s="2">
        <f t="array" ref="O378">IF($C378="","",INDEX(SchedZone,$C378,MAP!$B$15))</f>
        <v>10</v>
      </c>
      <c r="P378" s="2" t="str">
        <f>IF($C378="","",IFERROR(MATCH($E378&amp;"|"&amp;$G378&amp;"|"&amp;$I378,StatsKey,0),""))</f>
        <v/>
      </c>
      <c r="Q378" s="2">
        <f t="array" ref="Q378">IF($P378="",0,INDEX(StatsZone,$P378,MAP!$E$9)+INDEX(StatsZone,$P378,MAP!$E$10)+INDEX(StatsZone,$P378,MAP!$E$11))</f>
        <v>0</v>
      </c>
      <c r="R378" s="2">
        <f t="array" ref="R378">IF($P378="",0,INDEX(StatsZone,$P378,MAP!$E$12))</f>
        <v>0</v>
      </c>
      <c r="S378" s="2">
        <f t="array" ref="S378">IF($P378="",0,INDEX(StatsZone,$P378,MAP!$E$13))</f>
        <v>0</v>
      </c>
      <c r="T378" s="2">
        <f t="shared" si="1"/>
        <v>0</v>
      </c>
      <c r="U378" s="2">
        <f t="array" ref="U378">IF($P378="",0,INDEX(StatsZone,$P378,MAP!$E$14)+INDEX(StatsZone,$P378,MAP!$E$15)+INDEX(StatsZone,$P378,MAP!$E$16))</f>
        <v>0</v>
      </c>
      <c r="V378" s="2">
        <f t="shared" si="2"/>
        <v>0</v>
      </c>
      <c r="W378" s="2">
        <f t="shared" si="3"/>
        <v>0</v>
      </c>
      <c r="X378" s="2">
        <f t="shared" si="4"/>
        <v>0</v>
      </c>
      <c r="Y378" s="2">
        <f t="shared" si="5"/>
        <v>0</v>
      </c>
      <c r="Z378" s="2">
        <f t="shared" si="6"/>
        <v>0</v>
      </c>
      <c r="AA378" s="2">
        <f t="shared" si="7"/>
        <v>-1</v>
      </c>
      <c r="AB378" s="2">
        <f>IF(OR($M378="",$N378=""),0,MEDIAN(-MarginCap,MarginCap,($M378-$N378)-$AA378*HFA_Base))</f>
        <v>0</v>
      </c>
      <c r="AC378" s="2">
        <f t="array" ref="AC378">IF(OR($P378="",INDEX($P$3:$P$722,(ROW()+IF(MOD(ROW()-3,2)=0,1,-1))-3+1)=""),0,MEDIAN(-MarginCap,MarginCap,($T378-$W378)-$AA378*HFA_Base))</f>
        <v>0</v>
      </c>
      <c r="AD378" s="2">
        <f t="shared" si="8"/>
        <v>0</v>
      </c>
      <c r="AE378" s="2">
        <f>IF(OR($M378="",$N378=""),0,IF(AND(WEpa&gt;0,$AD378=1),(1-WEpa)*$AB378+WEpa*$AC378,$AB378))</f>
        <v>0</v>
      </c>
      <c r="AF378" s="2">
        <f>IF(AND($C378&lt;&gt;"",$E378=CurrentSeason,$F378="REG",ISNUMBER($G378),$G378&lt;CurrentWeek,AND($M378&lt;&gt;"",$N378&lt;&gt;"")),1,0)</f>
        <v>0</v>
      </c>
      <c r="AG378" s="2">
        <f>IF($AF378=0,0,IF($G378&gt;=CurrentWeek-RecencyWin,RecencyMult,1))</f>
        <v>0</v>
      </c>
      <c r="AH378" s="2">
        <f>IF(AND($C378&lt;&gt;"",$E378=CurrentSeason,$F378="REG",ISNUMBER($G378),$G378&lt;CurrentWeek-1,AND($M378&lt;&gt;"",$N378&lt;&gt;"")),1,0)</f>
        <v>0</v>
      </c>
      <c r="AI378" s="2">
        <f>IF($AH378=0,0,IF($G378&gt;=CurrentWeek-1-RecencyWin,RecencyMult,1))</f>
        <v>0</v>
      </c>
      <c r="AJ378" s="2">
        <f>IF($AF378=0,0,IF($G378&gt;=CurrentWeek-RecencyWin,TotRecency,1))</f>
        <v>0</v>
      </c>
      <c r="AK378" s="2">
        <f t="shared" si="9"/>
        <v>0</v>
      </c>
      <c r="AL378" s="2">
        <f t="shared" si="10"/>
        <v>0</v>
      </c>
      <c r="AM378" s="2" t="str">
        <f t="array" ref="AM378">IF($K378="",0,IFERROR(INDEX(CALC!$F$2:$F$33,MATCH($K378,CALC!$A$2:$A$33,0)),0))</f>
        <v/>
      </c>
      <c r="AN378" s="2" t="str">
        <f t="array" ref="AN378">IF($K378="",0,IFERROR(INDEX(CALC!$I$2:$I$33,MATCH($K378,CALC!$A$2:$A$33,0)),0))</f>
        <v/>
      </c>
      <c r="AO378" s="2" t="str">
        <f t="array" ref="AO378">IF($K378="",0,IFERROR(INDEX(CALC!$L$2:$L$33,MATCH($K378,CALC!$A$2:$A$33,0)),0))</f>
        <v/>
      </c>
      <c r="AP378" s="2" t="str">
        <f t="array" ref="AP378">IF($K378="",0,IFERROR(INDEX(CALC!$T$2:$T$33,MATCH($K378,CALC!$A$2:$A$33,0)),0))</f>
        <v/>
      </c>
      <c r="AQ378" s="2" t="str">
        <f t="array" ref="AQ378">IF($K378="",0,IFERROR(INDEX(CALC!$W$2:$W$33,MATCH($K378,CALC!$A$2:$A$33,0)),0))</f>
        <v/>
      </c>
      <c r="AR378" s="2" t="str">
        <f t="array" ref="AR378">IF($K378="",0,IFERROR(INDEX(CALC!$Z$2:$Z$33,MATCH($K378,CALC!$A$2:$A$33,0)),0))</f>
        <v/>
      </c>
      <c r="AS378" s="2" t="str">
        <f t="array" ref="AS378">IF($K378="",0,IFERROR(INDEX(CALC!$AJ$2:$AJ$33,MATCH($K378,CALC!$A$2:$A$33,0)),0))</f>
        <v/>
      </c>
      <c r="AT378" s="2" t="str">
        <f t="array" ref="AT378">IF($K378="",0,IFERROR(INDEX(CALC!$AI$2:$AI$33,MATCH($K378,CALC!$A$2:$A$33,0)),0))</f>
        <v/>
      </c>
      <c r="AU378" s="2">
        <f t="shared" si="11"/>
        <v>0</v>
      </c>
      <c r="AV378" s="2">
        <f t="shared" si="12"/>
        <v>0</v>
      </c>
    </row>
    <row r="379" ht="15.0" customHeight="1">
      <c r="A379" s="2">
        <v>189.0</v>
      </c>
      <c r="B379" s="2" t="s">
        <v>2365</v>
      </c>
      <c r="C379" s="2">
        <f>IFERROR(MATCH($A379,SchedSeq,0),"")</f>
        <v>474</v>
      </c>
      <c r="D379" s="2" t="str">
        <f t="array" ref="D379">IF($C379="","",INDEX(SchedZone,$C379,MAP!$B$6))</f>
        <v>2026_13_MIA_DEN</v>
      </c>
      <c r="E379" s="2">
        <f t="array" ref="E379">IF($C379="","",INDEX(SchedZone,$C379,MAP!$B$3))</f>
        <v>2026</v>
      </c>
      <c r="F379" s="2" t="str">
        <f t="array" ref="F379">IF($C379="","",INDEX(SchedZone,$C379,MAP!$B$5))</f>
        <v>REG</v>
      </c>
      <c r="G379" s="2">
        <f t="array" ref="G379">IF($C379="","",INDEX(SchedZone,$C379,MAP!$B$4))</f>
        <v>13</v>
      </c>
      <c r="H379" s="2" t="str">
        <f t="array" ref="H379">IF($C379="","",INDEX(SchedZone,$C379,MAP!$B$12))</f>
        <v>DEN</v>
      </c>
      <c r="I379" s="2" t="str">
        <f t="array" ref="I379">IF($H379="","",IF(COUNTIF(Teams,$H379)&gt;0,$H379,IFERROR(INDEX(LISTS!$D$2:$D$12,MATCH($H379,LISTS!$C$2:$C$12,0)),"⚠ "&amp;$H379)))</f>
        <v>DEN</v>
      </c>
      <c r="J379" s="2" t="str">
        <f t="array" ref="J379">IF($C379="","",INDEX(SchedZone,$C379,MAP!$B$10))</f>
        <v>MIA</v>
      </c>
      <c r="K379" s="2" t="str">
        <f t="array" ref="K379">IF($J379="","",IF(COUNTIF(Teams,$J379)&gt;0,$J379,IFERROR(INDEX(LISTS!$D$2:$D$12,MATCH($J379,LISTS!$C$2:$C$12,0)),"⚠ "&amp;$J379)))</f>
        <v>MIA</v>
      </c>
      <c r="L379" s="2" t="str">
        <f t="array" ref="L379">IF($C379="","",IF(INDEX(SchedZone,$C379,MAP!$B$14)="Neutral","N",IF($B379="HOME","H","A")))</f>
        <v>H</v>
      </c>
      <c r="M379" s="2" t="str">
        <f t="array" ref="M379">IF($C379="","",IF(INDEX(SchedZone,$C379,MAP!$B$13)="","",INDEX(SchedZone,$C379,MAP!$B$13)))</f>
        <v/>
      </c>
      <c r="N379" s="2" t="str">
        <f t="array" ref="N379">IF($C379="","",IF(INDEX(SchedZone,$C379,MAP!$B$11)="","",INDEX(SchedZone,$C379,MAP!$B$11)))</f>
        <v/>
      </c>
      <c r="O379" s="2">
        <f t="array" ref="O379">IF($C379="","",INDEX(SchedZone,$C379,MAP!$B$16))</f>
        <v>9</v>
      </c>
      <c r="P379" s="2" t="str">
        <f>IF($C379="","",IFERROR(MATCH($E379&amp;"|"&amp;$G379&amp;"|"&amp;$I379,StatsKey,0),""))</f>
        <v/>
      </c>
      <c r="Q379" s="2">
        <f t="array" ref="Q379">IF($P379="",0,INDEX(StatsZone,$P379,MAP!$E$9)+INDEX(StatsZone,$P379,MAP!$E$10)+INDEX(StatsZone,$P379,MAP!$E$11))</f>
        <v>0</v>
      </c>
      <c r="R379" s="2">
        <f t="array" ref="R379">IF($P379="",0,INDEX(StatsZone,$P379,MAP!$E$12))</f>
        <v>0</v>
      </c>
      <c r="S379" s="2">
        <f t="array" ref="S379">IF($P379="",0,INDEX(StatsZone,$P379,MAP!$E$13))</f>
        <v>0</v>
      </c>
      <c r="T379" s="2">
        <f t="shared" si="1"/>
        <v>0</v>
      </c>
      <c r="U379" s="2">
        <f t="array" ref="U379">IF($P379="",0,INDEX(StatsZone,$P379,MAP!$E$14)+INDEX(StatsZone,$P379,MAP!$E$15)+INDEX(StatsZone,$P379,MAP!$E$16))</f>
        <v>0</v>
      </c>
      <c r="V379" s="2">
        <f t="shared" si="2"/>
        <v>0</v>
      </c>
      <c r="W379" s="2">
        <f t="shared" si="3"/>
        <v>0</v>
      </c>
      <c r="X379" s="2">
        <f t="shared" si="4"/>
        <v>0</v>
      </c>
      <c r="Y379" s="2">
        <f t="shared" si="5"/>
        <v>0</v>
      </c>
      <c r="Z379" s="2">
        <f t="shared" si="6"/>
        <v>0</v>
      </c>
      <c r="AA379" s="2">
        <f t="shared" si="7"/>
        <v>1</v>
      </c>
      <c r="AB379" s="2">
        <f>IF(OR($M379="",$N379=""),0,MEDIAN(-MarginCap,MarginCap,($M379-$N379)-$AA379*HFA_Base))</f>
        <v>0</v>
      </c>
      <c r="AC379" s="2">
        <f t="array" ref="AC379">IF(OR($P379="",INDEX($P$3:$P$722,(ROW()+IF(MOD(ROW()-3,2)=0,1,-1))-3+1)=""),0,MEDIAN(-MarginCap,MarginCap,($T379-$W379)-$AA379*HFA_Base))</f>
        <v>0</v>
      </c>
      <c r="AD379" s="2">
        <f t="shared" si="8"/>
        <v>0</v>
      </c>
      <c r="AE379" s="2">
        <f>IF(OR($M379="",$N379=""),0,IF(AND(WEpa&gt;0,$AD379=1),(1-WEpa)*$AB379+WEpa*$AC379,$AB379))</f>
        <v>0</v>
      </c>
      <c r="AF379" s="2">
        <f>IF(AND($C379&lt;&gt;"",$E379=CurrentSeason,$F379="REG",ISNUMBER($G379),$G379&lt;CurrentWeek,AND($M379&lt;&gt;"",$N379&lt;&gt;"")),1,0)</f>
        <v>0</v>
      </c>
      <c r="AG379" s="2">
        <f>IF($AF379=0,0,IF($G379&gt;=CurrentWeek-RecencyWin,RecencyMult,1))</f>
        <v>0</v>
      </c>
      <c r="AH379" s="2">
        <f>IF(AND($C379&lt;&gt;"",$E379=CurrentSeason,$F379="REG",ISNUMBER($G379),$G379&lt;CurrentWeek-1,AND($M379&lt;&gt;"",$N379&lt;&gt;"")),1,0)</f>
        <v>0</v>
      </c>
      <c r="AI379" s="2">
        <f>IF($AH379=0,0,IF($G379&gt;=CurrentWeek-1-RecencyWin,RecencyMult,1))</f>
        <v>0</v>
      </c>
      <c r="AJ379" s="2">
        <f>IF($AF379=0,0,IF($G379&gt;=CurrentWeek-RecencyWin,TotRecency,1))</f>
        <v>0</v>
      </c>
      <c r="AK379" s="2">
        <f t="shared" si="9"/>
        <v>0</v>
      </c>
      <c r="AL379" s="2">
        <f t="shared" si="10"/>
        <v>0</v>
      </c>
      <c r="AM379" s="2" t="str">
        <f t="array" ref="AM379">IF($K379="",0,IFERROR(INDEX(CALC!$F$2:$F$33,MATCH($K379,CALC!$A$2:$A$33,0)),0))</f>
        <v/>
      </c>
      <c r="AN379" s="2" t="str">
        <f t="array" ref="AN379">IF($K379="",0,IFERROR(INDEX(CALC!$I$2:$I$33,MATCH($K379,CALC!$A$2:$A$33,0)),0))</f>
        <v/>
      </c>
      <c r="AO379" s="2" t="str">
        <f t="array" ref="AO379">IF($K379="",0,IFERROR(INDEX(CALC!$L$2:$L$33,MATCH($K379,CALC!$A$2:$A$33,0)),0))</f>
        <v/>
      </c>
      <c r="AP379" s="2" t="str">
        <f t="array" ref="AP379">IF($K379="",0,IFERROR(INDEX(CALC!$T$2:$T$33,MATCH($K379,CALC!$A$2:$A$33,0)),0))</f>
        <v/>
      </c>
      <c r="AQ379" s="2" t="str">
        <f t="array" ref="AQ379">IF($K379="",0,IFERROR(INDEX(CALC!$W$2:$W$33,MATCH($K379,CALC!$A$2:$A$33,0)),0))</f>
        <v/>
      </c>
      <c r="AR379" s="2" t="str">
        <f t="array" ref="AR379">IF($K379="",0,IFERROR(INDEX(CALC!$Z$2:$Z$33,MATCH($K379,CALC!$A$2:$A$33,0)),0))</f>
        <v/>
      </c>
      <c r="AS379" s="2" t="str">
        <f t="array" ref="AS379">IF($K379="",0,IFERROR(INDEX(CALC!$AJ$2:$AJ$33,MATCH($K379,CALC!$A$2:$A$33,0)),0))</f>
        <v/>
      </c>
      <c r="AT379" s="2" t="str">
        <f t="array" ref="AT379">IF($K379="",0,IFERROR(INDEX(CALC!$AI$2:$AI$33,MATCH($K379,CALC!$A$2:$A$33,0)),0))</f>
        <v/>
      </c>
      <c r="AU379" s="2">
        <f t="shared" si="11"/>
        <v>0</v>
      </c>
      <c r="AV379" s="2">
        <f t="shared" si="12"/>
        <v>0</v>
      </c>
    </row>
    <row r="380" ht="15.0" customHeight="1">
      <c r="A380" s="2">
        <v>189.0</v>
      </c>
      <c r="B380" s="2" t="s">
        <v>2366</v>
      </c>
      <c r="C380" s="2">
        <f>IFERROR(MATCH($A380,SchedSeq,0),"")</f>
        <v>474</v>
      </c>
      <c r="D380" s="2" t="str">
        <f t="array" ref="D380">IF($C380="","",INDEX(SchedZone,$C380,MAP!$B$6))</f>
        <v>2026_13_MIA_DEN</v>
      </c>
      <c r="E380" s="2">
        <f t="array" ref="E380">IF($C380="","",INDEX(SchedZone,$C380,MAP!$B$3))</f>
        <v>2026</v>
      </c>
      <c r="F380" s="2" t="str">
        <f t="array" ref="F380">IF($C380="","",INDEX(SchedZone,$C380,MAP!$B$5))</f>
        <v>REG</v>
      </c>
      <c r="G380" s="2">
        <f t="array" ref="G380">IF($C380="","",INDEX(SchedZone,$C380,MAP!$B$4))</f>
        <v>13</v>
      </c>
      <c r="H380" s="2" t="str">
        <f t="array" ref="H380">IF($C380="","",INDEX(SchedZone,$C380,MAP!$B$10))</f>
        <v>MIA</v>
      </c>
      <c r="I380" s="2" t="str">
        <f t="array" ref="I380">IF($H380="","",IF(COUNTIF(Teams,$H380)&gt;0,$H380,IFERROR(INDEX(LISTS!$D$2:$D$12,MATCH($H380,LISTS!$C$2:$C$12,0)),"⚠ "&amp;$H380)))</f>
        <v>MIA</v>
      </c>
      <c r="J380" s="2" t="str">
        <f t="array" ref="J380">IF($C380="","",INDEX(SchedZone,$C380,MAP!$B$12))</f>
        <v>DEN</v>
      </c>
      <c r="K380" s="2" t="str">
        <f t="array" ref="K380">IF($J380="","",IF(COUNTIF(Teams,$J380)&gt;0,$J380,IFERROR(INDEX(LISTS!$D$2:$D$12,MATCH($J380,LISTS!$C$2:$C$12,0)),"⚠ "&amp;$J380)))</f>
        <v>DEN</v>
      </c>
      <c r="L380" s="2" t="str">
        <f t="array" ref="L380">IF($C380="","",IF(INDEX(SchedZone,$C380,MAP!$B$14)="Neutral","N",IF($B380="HOME","H","A")))</f>
        <v>A</v>
      </c>
      <c r="M380" s="2" t="str">
        <f t="array" ref="M380">IF($C380="","",IF(INDEX(SchedZone,$C380,MAP!$B$11)="","",INDEX(SchedZone,$C380,MAP!$B$11)))</f>
        <v/>
      </c>
      <c r="N380" s="2" t="str">
        <f t="array" ref="N380">IF($C380="","",IF(INDEX(SchedZone,$C380,MAP!$B$13)="","",INDEX(SchedZone,$C380,MAP!$B$13)))</f>
        <v/>
      </c>
      <c r="O380" s="2">
        <f t="array" ref="O380">IF($C380="","",INDEX(SchedZone,$C380,MAP!$B$15))</f>
        <v>7</v>
      </c>
      <c r="P380" s="2" t="str">
        <f>IF($C380="","",IFERROR(MATCH($E380&amp;"|"&amp;$G380&amp;"|"&amp;$I380,StatsKey,0),""))</f>
        <v/>
      </c>
      <c r="Q380" s="2">
        <f t="array" ref="Q380">IF($P380="",0,INDEX(StatsZone,$P380,MAP!$E$9)+INDEX(StatsZone,$P380,MAP!$E$10)+INDEX(StatsZone,$P380,MAP!$E$11))</f>
        <v>0</v>
      </c>
      <c r="R380" s="2">
        <f t="array" ref="R380">IF($P380="",0,INDEX(StatsZone,$P380,MAP!$E$12))</f>
        <v>0</v>
      </c>
      <c r="S380" s="2">
        <f t="array" ref="S380">IF($P380="",0,INDEX(StatsZone,$P380,MAP!$E$13))</f>
        <v>0</v>
      </c>
      <c r="T380" s="2">
        <f t="shared" si="1"/>
        <v>0</v>
      </c>
      <c r="U380" s="2">
        <f t="array" ref="U380">IF($P380="",0,INDEX(StatsZone,$P380,MAP!$E$14)+INDEX(StatsZone,$P380,MAP!$E$15)+INDEX(StatsZone,$P380,MAP!$E$16))</f>
        <v>0</v>
      </c>
      <c r="V380" s="2">
        <f t="shared" si="2"/>
        <v>0</v>
      </c>
      <c r="W380" s="2">
        <f t="shared" si="3"/>
        <v>0</v>
      </c>
      <c r="X380" s="2">
        <f t="shared" si="4"/>
        <v>0</v>
      </c>
      <c r="Y380" s="2">
        <f t="shared" si="5"/>
        <v>0</v>
      </c>
      <c r="Z380" s="2">
        <f t="shared" si="6"/>
        <v>0</v>
      </c>
      <c r="AA380" s="2">
        <f t="shared" si="7"/>
        <v>-1</v>
      </c>
      <c r="AB380" s="2">
        <f>IF(OR($M380="",$N380=""),0,MEDIAN(-MarginCap,MarginCap,($M380-$N380)-$AA380*HFA_Base))</f>
        <v>0</v>
      </c>
      <c r="AC380" s="2">
        <f t="array" ref="AC380">IF(OR($P380="",INDEX($P$3:$P$722,(ROW()+IF(MOD(ROW()-3,2)=0,1,-1))-3+1)=""),0,MEDIAN(-MarginCap,MarginCap,($T380-$W380)-$AA380*HFA_Base))</f>
        <v>0</v>
      </c>
      <c r="AD380" s="2">
        <f t="shared" si="8"/>
        <v>0</v>
      </c>
      <c r="AE380" s="2">
        <f>IF(OR($M380="",$N380=""),0,IF(AND(WEpa&gt;0,$AD380=1),(1-WEpa)*$AB380+WEpa*$AC380,$AB380))</f>
        <v>0</v>
      </c>
      <c r="AF380" s="2">
        <f>IF(AND($C380&lt;&gt;"",$E380=CurrentSeason,$F380="REG",ISNUMBER($G380),$G380&lt;CurrentWeek,AND($M380&lt;&gt;"",$N380&lt;&gt;"")),1,0)</f>
        <v>0</v>
      </c>
      <c r="AG380" s="2">
        <f>IF($AF380=0,0,IF($G380&gt;=CurrentWeek-RecencyWin,RecencyMult,1))</f>
        <v>0</v>
      </c>
      <c r="AH380" s="2">
        <f>IF(AND($C380&lt;&gt;"",$E380=CurrentSeason,$F380="REG",ISNUMBER($G380),$G380&lt;CurrentWeek-1,AND($M380&lt;&gt;"",$N380&lt;&gt;"")),1,0)</f>
        <v>0</v>
      </c>
      <c r="AI380" s="2">
        <f>IF($AH380=0,0,IF($G380&gt;=CurrentWeek-1-RecencyWin,RecencyMult,1))</f>
        <v>0</v>
      </c>
      <c r="AJ380" s="2">
        <f>IF($AF380=0,0,IF($G380&gt;=CurrentWeek-RecencyWin,TotRecency,1))</f>
        <v>0</v>
      </c>
      <c r="AK380" s="2">
        <f t="shared" si="9"/>
        <v>0</v>
      </c>
      <c r="AL380" s="2">
        <f t="shared" si="10"/>
        <v>0</v>
      </c>
      <c r="AM380" s="2" t="str">
        <f t="array" ref="AM380">IF($K380="",0,IFERROR(INDEX(CALC!$F$2:$F$33,MATCH($K380,CALC!$A$2:$A$33,0)),0))</f>
        <v/>
      </c>
      <c r="AN380" s="2" t="str">
        <f t="array" ref="AN380">IF($K380="",0,IFERROR(INDEX(CALC!$I$2:$I$33,MATCH($K380,CALC!$A$2:$A$33,0)),0))</f>
        <v/>
      </c>
      <c r="AO380" s="2" t="str">
        <f t="array" ref="AO380">IF($K380="",0,IFERROR(INDEX(CALC!$L$2:$L$33,MATCH($K380,CALC!$A$2:$A$33,0)),0))</f>
        <v/>
      </c>
      <c r="AP380" s="2" t="str">
        <f t="array" ref="AP380">IF($K380="",0,IFERROR(INDEX(CALC!$T$2:$T$33,MATCH($K380,CALC!$A$2:$A$33,0)),0))</f>
        <v/>
      </c>
      <c r="AQ380" s="2" t="str">
        <f t="array" ref="AQ380">IF($K380="",0,IFERROR(INDEX(CALC!$W$2:$W$33,MATCH($K380,CALC!$A$2:$A$33,0)),0))</f>
        <v/>
      </c>
      <c r="AR380" s="2" t="str">
        <f t="array" ref="AR380">IF($K380="",0,IFERROR(INDEX(CALC!$Z$2:$Z$33,MATCH($K380,CALC!$A$2:$A$33,0)),0))</f>
        <v/>
      </c>
      <c r="AS380" s="2" t="str">
        <f t="array" ref="AS380">IF($K380="",0,IFERROR(INDEX(CALC!$AJ$2:$AJ$33,MATCH($K380,CALC!$A$2:$A$33,0)),0))</f>
        <v/>
      </c>
      <c r="AT380" s="2" t="str">
        <f t="array" ref="AT380">IF($K380="",0,IFERROR(INDEX(CALC!$AI$2:$AI$33,MATCH($K380,CALC!$A$2:$A$33,0)),0))</f>
        <v/>
      </c>
      <c r="AU380" s="2">
        <f t="shared" si="11"/>
        <v>0</v>
      </c>
      <c r="AV380" s="2">
        <f t="shared" si="12"/>
        <v>0</v>
      </c>
    </row>
    <row r="381" ht="15.0" customHeight="1">
      <c r="A381" s="2">
        <v>190.0</v>
      </c>
      <c r="B381" s="2" t="s">
        <v>2365</v>
      </c>
      <c r="C381" s="2">
        <f>IFERROR(MATCH($A381,SchedSeq,0),"")</f>
        <v>475</v>
      </c>
      <c r="D381" s="2" t="str">
        <f t="array" ref="D381">IF($C381="","",INDEX(SchedZone,$C381,MAP!$B$6))</f>
        <v>2026_13_CAR_MIN</v>
      </c>
      <c r="E381" s="2">
        <f t="array" ref="E381">IF($C381="","",INDEX(SchedZone,$C381,MAP!$B$3))</f>
        <v>2026</v>
      </c>
      <c r="F381" s="2" t="str">
        <f t="array" ref="F381">IF($C381="","",INDEX(SchedZone,$C381,MAP!$B$5))</f>
        <v>REG</v>
      </c>
      <c r="G381" s="2">
        <f t="array" ref="G381">IF($C381="","",INDEX(SchedZone,$C381,MAP!$B$4))</f>
        <v>13</v>
      </c>
      <c r="H381" s="2" t="str">
        <f t="array" ref="H381">IF($C381="","",INDEX(SchedZone,$C381,MAP!$B$12))</f>
        <v>MIN</v>
      </c>
      <c r="I381" s="2" t="str">
        <f t="array" ref="I381">IF($H381="","",IF(COUNTIF(Teams,$H381)&gt;0,$H381,IFERROR(INDEX(LISTS!$D$2:$D$12,MATCH($H381,LISTS!$C$2:$C$12,0)),"⚠ "&amp;$H381)))</f>
        <v>MIN</v>
      </c>
      <c r="J381" s="2" t="str">
        <f t="array" ref="J381">IF($C381="","",INDEX(SchedZone,$C381,MAP!$B$10))</f>
        <v>CAR</v>
      </c>
      <c r="K381" s="2" t="str">
        <f t="array" ref="K381">IF($J381="","",IF(COUNTIF(Teams,$J381)&gt;0,$J381,IFERROR(INDEX(LISTS!$D$2:$D$12,MATCH($J381,LISTS!$C$2:$C$12,0)),"⚠ "&amp;$J381)))</f>
        <v>CAR</v>
      </c>
      <c r="L381" s="2" t="str">
        <f t="array" ref="L381">IF($C381="","",IF(INDEX(SchedZone,$C381,MAP!$B$14)="Neutral","N",IF($B381="HOME","H","A")))</f>
        <v>H</v>
      </c>
      <c r="M381" s="2" t="str">
        <f t="array" ref="M381">IF($C381="","",IF(INDEX(SchedZone,$C381,MAP!$B$13)="","",INDEX(SchedZone,$C381,MAP!$B$13)))</f>
        <v/>
      </c>
      <c r="N381" s="2" t="str">
        <f t="array" ref="N381">IF($C381="","",IF(INDEX(SchedZone,$C381,MAP!$B$11)="","",INDEX(SchedZone,$C381,MAP!$B$11)))</f>
        <v/>
      </c>
      <c r="O381" s="2">
        <f t="array" ref="O381">IF($C381="","",INDEX(SchedZone,$C381,MAP!$B$16))</f>
        <v>7</v>
      </c>
      <c r="P381" s="2" t="str">
        <f>IF($C381="","",IFERROR(MATCH($E381&amp;"|"&amp;$G381&amp;"|"&amp;$I381,StatsKey,0),""))</f>
        <v/>
      </c>
      <c r="Q381" s="2">
        <f t="array" ref="Q381">IF($P381="",0,INDEX(StatsZone,$P381,MAP!$E$9)+INDEX(StatsZone,$P381,MAP!$E$10)+INDEX(StatsZone,$P381,MAP!$E$11))</f>
        <v>0</v>
      </c>
      <c r="R381" s="2">
        <f t="array" ref="R381">IF($P381="",0,INDEX(StatsZone,$P381,MAP!$E$12))</f>
        <v>0</v>
      </c>
      <c r="S381" s="2">
        <f t="array" ref="S381">IF($P381="",0,INDEX(StatsZone,$P381,MAP!$E$13))</f>
        <v>0</v>
      </c>
      <c r="T381" s="2">
        <f t="shared" si="1"/>
        <v>0</v>
      </c>
      <c r="U381" s="2">
        <f t="array" ref="U381">IF($P381="",0,INDEX(StatsZone,$P381,MAP!$E$14)+INDEX(StatsZone,$P381,MAP!$E$15)+INDEX(StatsZone,$P381,MAP!$E$16))</f>
        <v>0</v>
      </c>
      <c r="V381" s="2">
        <f t="shared" si="2"/>
        <v>0</v>
      </c>
      <c r="W381" s="2">
        <f t="shared" si="3"/>
        <v>0</v>
      </c>
      <c r="X381" s="2">
        <f t="shared" si="4"/>
        <v>0</v>
      </c>
      <c r="Y381" s="2">
        <f t="shared" si="5"/>
        <v>0</v>
      </c>
      <c r="Z381" s="2">
        <f t="shared" si="6"/>
        <v>0</v>
      </c>
      <c r="AA381" s="2">
        <f t="shared" si="7"/>
        <v>1</v>
      </c>
      <c r="AB381" s="2">
        <f>IF(OR($M381="",$N381=""),0,MEDIAN(-MarginCap,MarginCap,($M381-$N381)-$AA381*HFA_Base))</f>
        <v>0</v>
      </c>
      <c r="AC381" s="2">
        <f t="array" ref="AC381">IF(OR($P381="",INDEX($P$3:$P$722,(ROW()+IF(MOD(ROW()-3,2)=0,1,-1))-3+1)=""),0,MEDIAN(-MarginCap,MarginCap,($T381-$W381)-$AA381*HFA_Base))</f>
        <v>0</v>
      </c>
      <c r="AD381" s="2">
        <f t="shared" si="8"/>
        <v>0</v>
      </c>
      <c r="AE381" s="2">
        <f>IF(OR($M381="",$N381=""),0,IF(AND(WEpa&gt;0,$AD381=1),(1-WEpa)*$AB381+WEpa*$AC381,$AB381))</f>
        <v>0</v>
      </c>
      <c r="AF381" s="2">
        <f>IF(AND($C381&lt;&gt;"",$E381=CurrentSeason,$F381="REG",ISNUMBER($G381),$G381&lt;CurrentWeek,AND($M381&lt;&gt;"",$N381&lt;&gt;"")),1,0)</f>
        <v>0</v>
      </c>
      <c r="AG381" s="2">
        <f>IF($AF381=0,0,IF($G381&gt;=CurrentWeek-RecencyWin,RecencyMult,1))</f>
        <v>0</v>
      </c>
      <c r="AH381" s="2">
        <f>IF(AND($C381&lt;&gt;"",$E381=CurrentSeason,$F381="REG",ISNUMBER($G381),$G381&lt;CurrentWeek-1,AND($M381&lt;&gt;"",$N381&lt;&gt;"")),1,0)</f>
        <v>0</v>
      </c>
      <c r="AI381" s="2">
        <f>IF($AH381=0,0,IF($G381&gt;=CurrentWeek-1-RecencyWin,RecencyMult,1))</f>
        <v>0</v>
      </c>
      <c r="AJ381" s="2">
        <f>IF($AF381=0,0,IF($G381&gt;=CurrentWeek-RecencyWin,TotRecency,1))</f>
        <v>0</v>
      </c>
      <c r="AK381" s="2">
        <f t="shared" si="9"/>
        <v>0</v>
      </c>
      <c r="AL381" s="2">
        <f t="shared" si="10"/>
        <v>0</v>
      </c>
      <c r="AM381" s="2" t="str">
        <f t="array" ref="AM381">IF($K381="",0,IFERROR(INDEX(CALC!$F$2:$F$33,MATCH($K381,CALC!$A$2:$A$33,0)),0))</f>
        <v/>
      </c>
      <c r="AN381" s="2" t="str">
        <f t="array" ref="AN381">IF($K381="",0,IFERROR(INDEX(CALC!$I$2:$I$33,MATCH($K381,CALC!$A$2:$A$33,0)),0))</f>
        <v/>
      </c>
      <c r="AO381" s="2" t="str">
        <f t="array" ref="AO381">IF($K381="",0,IFERROR(INDEX(CALC!$L$2:$L$33,MATCH($K381,CALC!$A$2:$A$33,0)),0))</f>
        <v/>
      </c>
      <c r="AP381" s="2" t="str">
        <f t="array" ref="AP381">IF($K381="",0,IFERROR(INDEX(CALC!$T$2:$T$33,MATCH($K381,CALC!$A$2:$A$33,0)),0))</f>
        <v/>
      </c>
      <c r="AQ381" s="2" t="str">
        <f t="array" ref="AQ381">IF($K381="",0,IFERROR(INDEX(CALC!$W$2:$W$33,MATCH($K381,CALC!$A$2:$A$33,0)),0))</f>
        <v/>
      </c>
      <c r="AR381" s="2" t="str">
        <f t="array" ref="AR381">IF($K381="",0,IFERROR(INDEX(CALC!$Z$2:$Z$33,MATCH($K381,CALC!$A$2:$A$33,0)),0))</f>
        <v/>
      </c>
      <c r="AS381" s="2" t="str">
        <f t="array" ref="AS381">IF($K381="",0,IFERROR(INDEX(CALC!$AJ$2:$AJ$33,MATCH($K381,CALC!$A$2:$A$33,0)),0))</f>
        <v/>
      </c>
      <c r="AT381" s="2" t="str">
        <f t="array" ref="AT381">IF($K381="",0,IFERROR(INDEX(CALC!$AI$2:$AI$33,MATCH($K381,CALC!$A$2:$A$33,0)),0))</f>
        <v/>
      </c>
      <c r="AU381" s="2">
        <f t="shared" si="11"/>
        <v>0</v>
      </c>
      <c r="AV381" s="2">
        <f t="shared" si="12"/>
        <v>0</v>
      </c>
    </row>
    <row r="382" ht="15.0" customHeight="1">
      <c r="A382" s="2">
        <v>190.0</v>
      </c>
      <c r="B382" s="2" t="s">
        <v>2366</v>
      </c>
      <c r="C382" s="2">
        <f>IFERROR(MATCH($A382,SchedSeq,0),"")</f>
        <v>475</v>
      </c>
      <c r="D382" s="2" t="str">
        <f t="array" ref="D382">IF($C382="","",INDEX(SchedZone,$C382,MAP!$B$6))</f>
        <v>2026_13_CAR_MIN</v>
      </c>
      <c r="E382" s="2">
        <f t="array" ref="E382">IF($C382="","",INDEX(SchedZone,$C382,MAP!$B$3))</f>
        <v>2026</v>
      </c>
      <c r="F382" s="2" t="str">
        <f t="array" ref="F382">IF($C382="","",INDEX(SchedZone,$C382,MAP!$B$5))</f>
        <v>REG</v>
      </c>
      <c r="G382" s="2">
        <f t="array" ref="G382">IF($C382="","",INDEX(SchedZone,$C382,MAP!$B$4))</f>
        <v>13</v>
      </c>
      <c r="H382" s="2" t="str">
        <f t="array" ref="H382">IF($C382="","",INDEX(SchedZone,$C382,MAP!$B$10))</f>
        <v>CAR</v>
      </c>
      <c r="I382" s="2" t="str">
        <f t="array" ref="I382">IF($H382="","",IF(COUNTIF(Teams,$H382)&gt;0,$H382,IFERROR(INDEX(LISTS!$D$2:$D$12,MATCH($H382,LISTS!$C$2:$C$12,0)),"⚠ "&amp;$H382)))</f>
        <v>CAR</v>
      </c>
      <c r="J382" s="2" t="str">
        <f t="array" ref="J382">IF($C382="","",INDEX(SchedZone,$C382,MAP!$B$12))</f>
        <v>MIN</v>
      </c>
      <c r="K382" s="2" t="str">
        <f t="array" ref="K382">IF($J382="","",IF(COUNTIF(Teams,$J382)&gt;0,$J382,IFERROR(INDEX(LISTS!$D$2:$D$12,MATCH($J382,LISTS!$C$2:$C$12,0)),"⚠ "&amp;$J382)))</f>
        <v>MIN</v>
      </c>
      <c r="L382" s="2" t="str">
        <f t="array" ref="L382">IF($C382="","",IF(INDEX(SchedZone,$C382,MAP!$B$14)="Neutral","N",IF($B382="HOME","H","A")))</f>
        <v>A</v>
      </c>
      <c r="M382" s="2" t="str">
        <f t="array" ref="M382">IF($C382="","",IF(INDEX(SchedZone,$C382,MAP!$B$11)="","",INDEX(SchedZone,$C382,MAP!$B$11)))</f>
        <v/>
      </c>
      <c r="N382" s="2" t="str">
        <f t="array" ref="N382">IF($C382="","",IF(INDEX(SchedZone,$C382,MAP!$B$13)="","",INDEX(SchedZone,$C382,MAP!$B$13)))</f>
        <v/>
      </c>
      <c r="O382" s="2">
        <f t="array" ref="O382">IF($C382="","",INDEX(SchedZone,$C382,MAP!$B$15))</f>
        <v>6</v>
      </c>
      <c r="P382" s="2" t="str">
        <f>IF($C382="","",IFERROR(MATCH($E382&amp;"|"&amp;$G382&amp;"|"&amp;$I382,StatsKey,0),""))</f>
        <v/>
      </c>
      <c r="Q382" s="2">
        <f t="array" ref="Q382">IF($P382="",0,INDEX(StatsZone,$P382,MAP!$E$9)+INDEX(StatsZone,$P382,MAP!$E$10)+INDEX(StatsZone,$P382,MAP!$E$11))</f>
        <v>0</v>
      </c>
      <c r="R382" s="2">
        <f t="array" ref="R382">IF($P382="",0,INDEX(StatsZone,$P382,MAP!$E$12))</f>
        <v>0</v>
      </c>
      <c r="S382" s="2">
        <f t="array" ref="S382">IF($P382="",0,INDEX(StatsZone,$P382,MAP!$E$13))</f>
        <v>0</v>
      </c>
      <c r="T382" s="2">
        <f t="shared" si="1"/>
        <v>0</v>
      </c>
      <c r="U382" s="2">
        <f t="array" ref="U382">IF($P382="",0,INDEX(StatsZone,$P382,MAP!$E$14)+INDEX(StatsZone,$P382,MAP!$E$15)+INDEX(StatsZone,$P382,MAP!$E$16))</f>
        <v>0</v>
      </c>
      <c r="V382" s="2">
        <f t="shared" si="2"/>
        <v>0</v>
      </c>
      <c r="W382" s="2">
        <f t="shared" si="3"/>
        <v>0</v>
      </c>
      <c r="X382" s="2">
        <f t="shared" si="4"/>
        <v>0</v>
      </c>
      <c r="Y382" s="2">
        <f t="shared" si="5"/>
        <v>0</v>
      </c>
      <c r="Z382" s="2">
        <f t="shared" si="6"/>
        <v>0</v>
      </c>
      <c r="AA382" s="2">
        <f t="shared" si="7"/>
        <v>-1</v>
      </c>
      <c r="AB382" s="2">
        <f>IF(OR($M382="",$N382=""),0,MEDIAN(-MarginCap,MarginCap,($M382-$N382)-$AA382*HFA_Base))</f>
        <v>0</v>
      </c>
      <c r="AC382" s="2">
        <f t="array" ref="AC382">IF(OR($P382="",INDEX($P$3:$P$722,(ROW()+IF(MOD(ROW()-3,2)=0,1,-1))-3+1)=""),0,MEDIAN(-MarginCap,MarginCap,($T382-$W382)-$AA382*HFA_Base))</f>
        <v>0</v>
      </c>
      <c r="AD382" s="2">
        <f t="shared" si="8"/>
        <v>0</v>
      </c>
      <c r="AE382" s="2">
        <f>IF(OR($M382="",$N382=""),0,IF(AND(WEpa&gt;0,$AD382=1),(1-WEpa)*$AB382+WEpa*$AC382,$AB382))</f>
        <v>0</v>
      </c>
      <c r="AF382" s="2">
        <f>IF(AND($C382&lt;&gt;"",$E382=CurrentSeason,$F382="REG",ISNUMBER($G382),$G382&lt;CurrentWeek,AND($M382&lt;&gt;"",$N382&lt;&gt;"")),1,0)</f>
        <v>0</v>
      </c>
      <c r="AG382" s="2">
        <f>IF($AF382=0,0,IF($G382&gt;=CurrentWeek-RecencyWin,RecencyMult,1))</f>
        <v>0</v>
      </c>
      <c r="AH382" s="2">
        <f>IF(AND($C382&lt;&gt;"",$E382=CurrentSeason,$F382="REG",ISNUMBER($G382),$G382&lt;CurrentWeek-1,AND($M382&lt;&gt;"",$N382&lt;&gt;"")),1,0)</f>
        <v>0</v>
      </c>
      <c r="AI382" s="2">
        <f>IF($AH382=0,0,IF($G382&gt;=CurrentWeek-1-RecencyWin,RecencyMult,1))</f>
        <v>0</v>
      </c>
      <c r="AJ382" s="2">
        <f>IF($AF382=0,0,IF($G382&gt;=CurrentWeek-RecencyWin,TotRecency,1))</f>
        <v>0</v>
      </c>
      <c r="AK382" s="2">
        <f t="shared" si="9"/>
        <v>0</v>
      </c>
      <c r="AL382" s="2">
        <f t="shared" si="10"/>
        <v>0</v>
      </c>
      <c r="AM382" s="2" t="str">
        <f t="array" ref="AM382">IF($K382="",0,IFERROR(INDEX(CALC!$F$2:$F$33,MATCH($K382,CALC!$A$2:$A$33,0)),0))</f>
        <v/>
      </c>
      <c r="AN382" s="2" t="str">
        <f t="array" ref="AN382">IF($K382="",0,IFERROR(INDEX(CALC!$I$2:$I$33,MATCH($K382,CALC!$A$2:$A$33,0)),0))</f>
        <v/>
      </c>
      <c r="AO382" s="2" t="str">
        <f t="array" ref="AO382">IF($K382="",0,IFERROR(INDEX(CALC!$L$2:$L$33,MATCH($K382,CALC!$A$2:$A$33,0)),0))</f>
        <v/>
      </c>
      <c r="AP382" s="2" t="str">
        <f t="array" ref="AP382">IF($K382="",0,IFERROR(INDEX(CALC!$T$2:$T$33,MATCH($K382,CALC!$A$2:$A$33,0)),0))</f>
        <v/>
      </c>
      <c r="AQ382" s="2" t="str">
        <f t="array" ref="AQ382">IF($K382="",0,IFERROR(INDEX(CALC!$W$2:$W$33,MATCH($K382,CALC!$A$2:$A$33,0)),0))</f>
        <v/>
      </c>
      <c r="AR382" s="2" t="str">
        <f t="array" ref="AR382">IF($K382="",0,IFERROR(INDEX(CALC!$Z$2:$Z$33,MATCH($K382,CALC!$A$2:$A$33,0)),0))</f>
        <v/>
      </c>
      <c r="AS382" s="2" t="str">
        <f t="array" ref="AS382">IF($K382="",0,IFERROR(INDEX(CALC!$AJ$2:$AJ$33,MATCH($K382,CALC!$A$2:$A$33,0)),0))</f>
        <v/>
      </c>
      <c r="AT382" s="2" t="str">
        <f t="array" ref="AT382">IF($K382="",0,IFERROR(INDEX(CALC!$AI$2:$AI$33,MATCH($K382,CALC!$A$2:$A$33,0)),0))</f>
        <v/>
      </c>
      <c r="AU382" s="2">
        <f t="shared" si="11"/>
        <v>0</v>
      </c>
      <c r="AV382" s="2">
        <f t="shared" si="12"/>
        <v>0</v>
      </c>
    </row>
    <row r="383" ht="15.0" customHeight="1">
      <c r="A383" s="2">
        <v>191.0</v>
      </c>
      <c r="B383" s="2" t="s">
        <v>2365</v>
      </c>
      <c r="C383" s="2">
        <f>IFERROR(MATCH($A383,SchedSeq,0),"")</f>
        <v>476</v>
      </c>
      <c r="D383" s="2" t="str">
        <f t="array" ref="D383">IF($C383="","",INDEX(SchedZone,$C383,MAP!$B$6))</f>
        <v>2026_13_BUF_NE</v>
      </c>
      <c r="E383" s="2">
        <f t="array" ref="E383">IF($C383="","",INDEX(SchedZone,$C383,MAP!$B$3))</f>
        <v>2026</v>
      </c>
      <c r="F383" s="2" t="str">
        <f t="array" ref="F383">IF($C383="","",INDEX(SchedZone,$C383,MAP!$B$5))</f>
        <v>REG</v>
      </c>
      <c r="G383" s="2">
        <f t="array" ref="G383">IF($C383="","",INDEX(SchedZone,$C383,MAP!$B$4))</f>
        <v>13</v>
      </c>
      <c r="H383" s="2" t="str">
        <f t="array" ref="H383">IF($C383="","",INDEX(SchedZone,$C383,MAP!$B$12))</f>
        <v>NE</v>
      </c>
      <c r="I383" s="2" t="str">
        <f t="array" ref="I383">IF($H383="","",IF(COUNTIF(Teams,$H383)&gt;0,$H383,IFERROR(INDEX(LISTS!$D$2:$D$12,MATCH($H383,LISTS!$C$2:$C$12,0)),"⚠ "&amp;$H383)))</f>
        <v>NE</v>
      </c>
      <c r="J383" s="2" t="str">
        <f t="array" ref="J383">IF($C383="","",INDEX(SchedZone,$C383,MAP!$B$10))</f>
        <v>BUF</v>
      </c>
      <c r="K383" s="2" t="str">
        <f t="array" ref="K383">IF($J383="","",IF(COUNTIF(Teams,$J383)&gt;0,$J383,IFERROR(INDEX(LISTS!$D$2:$D$12,MATCH($J383,LISTS!$C$2:$C$12,0)),"⚠ "&amp;$J383)))</f>
        <v>BUF</v>
      </c>
      <c r="L383" s="2" t="str">
        <f t="array" ref="L383">IF($C383="","",IF(INDEX(SchedZone,$C383,MAP!$B$14)="Neutral","N",IF($B383="HOME","H","A")))</f>
        <v>H</v>
      </c>
      <c r="M383" s="2" t="str">
        <f t="array" ref="M383">IF($C383="","",IF(INDEX(SchedZone,$C383,MAP!$B$13)="","",INDEX(SchedZone,$C383,MAP!$B$13)))</f>
        <v/>
      </c>
      <c r="N383" s="2" t="str">
        <f t="array" ref="N383">IF($C383="","",IF(INDEX(SchedZone,$C383,MAP!$B$11)="","",INDEX(SchedZone,$C383,MAP!$B$11)))</f>
        <v/>
      </c>
      <c r="O383" s="2">
        <f t="array" ref="O383">IF($C383="","",INDEX(SchedZone,$C383,MAP!$B$16))</f>
        <v>7</v>
      </c>
      <c r="P383" s="2" t="str">
        <f>IF($C383="","",IFERROR(MATCH($E383&amp;"|"&amp;$G383&amp;"|"&amp;$I383,StatsKey,0),""))</f>
        <v/>
      </c>
      <c r="Q383" s="2">
        <f t="array" ref="Q383">IF($P383="",0,INDEX(StatsZone,$P383,MAP!$E$9)+INDEX(StatsZone,$P383,MAP!$E$10)+INDEX(StatsZone,$P383,MAP!$E$11))</f>
        <v>0</v>
      </c>
      <c r="R383" s="2">
        <f t="array" ref="R383">IF($P383="",0,INDEX(StatsZone,$P383,MAP!$E$12))</f>
        <v>0</v>
      </c>
      <c r="S383" s="2">
        <f t="array" ref="S383">IF($P383="",0,INDEX(StatsZone,$P383,MAP!$E$13))</f>
        <v>0</v>
      </c>
      <c r="T383" s="2">
        <f t="shared" si="1"/>
        <v>0</v>
      </c>
      <c r="U383" s="2">
        <f t="array" ref="U383">IF($P383="",0,INDEX(StatsZone,$P383,MAP!$E$14)+INDEX(StatsZone,$P383,MAP!$E$15)+INDEX(StatsZone,$P383,MAP!$E$16))</f>
        <v>0</v>
      </c>
      <c r="V383" s="2">
        <f t="shared" si="2"/>
        <v>0</v>
      </c>
      <c r="W383" s="2">
        <f t="shared" si="3"/>
        <v>0</v>
      </c>
      <c r="X383" s="2">
        <f t="shared" si="4"/>
        <v>0</v>
      </c>
      <c r="Y383" s="2">
        <f t="shared" si="5"/>
        <v>0</v>
      </c>
      <c r="Z383" s="2">
        <f t="shared" si="6"/>
        <v>0</v>
      </c>
      <c r="AA383" s="2">
        <f t="shared" si="7"/>
        <v>1</v>
      </c>
      <c r="AB383" s="2">
        <f>IF(OR($M383="",$N383=""),0,MEDIAN(-MarginCap,MarginCap,($M383-$N383)-$AA383*HFA_Base))</f>
        <v>0</v>
      </c>
      <c r="AC383" s="2">
        <f t="array" ref="AC383">IF(OR($P383="",INDEX($P$3:$P$722,(ROW()+IF(MOD(ROW()-3,2)=0,1,-1))-3+1)=""),0,MEDIAN(-MarginCap,MarginCap,($T383-$W383)-$AA383*HFA_Base))</f>
        <v>0</v>
      </c>
      <c r="AD383" s="2">
        <f t="shared" si="8"/>
        <v>0</v>
      </c>
      <c r="AE383" s="2">
        <f>IF(OR($M383="",$N383=""),0,IF(AND(WEpa&gt;0,$AD383=1),(1-WEpa)*$AB383+WEpa*$AC383,$AB383))</f>
        <v>0</v>
      </c>
      <c r="AF383" s="2">
        <f>IF(AND($C383&lt;&gt;"",$E383=CurrentSeason,$F383="REG",ISNUMBER($G383),$G383&lt;CurrentWeek,AND($M383&lt;&gt;"",$N383&lt;&gt;"")),1,0)</f>
        <v>0</v>
      </c>
      <c r="AG383" s="2">
        <f>IF($AF383=0,0,IF($G383&gt;=CurrentWeek-RecencyWin,RecencyMult,1))</f>
        <v>0</v>
      </c>
      <c r="AH383" s="2">
        <f>IF(AND($C383&lt;&gt;"",$E383=CurrentSeason,$F383="REG",ISNUMBER($G383),$G383&lt;CurrentWeek-1,AND($M383&lt;&gt;"",$N383&lt;&gt;"")),1,0)</f>
        <v>0</v>
      </c>
      <c r="AI383" s="2">
        <f>IF($AH383=0,0,IF($G383&gt;=CurrentWeek-1-RecencyWin,RecencyMult,1))</f>
        <v>0</v>
      </c>
      <c r="AJ383" s="2">
        <f>IF($AF383=0,0,IF($G383&gt;=CurrentWeek-RecencyWin,TotRecency,1))</f>
        <v>0</v>
      </c>
      <c r="AK383" s="2">
        <f t="shared" si="9"/>
        <v>0</v>
      </c>
      <c r="AL383" s="2">
        <f t="shared" si="10"/>
        <v>0</v>
      </c>
      <c r="AM383" s="2" t="str">
        <f t="array" ref="AM383">IF($K383="",0,IFERROR(INDEX(CALC!$F$2:$F$33,MATCH($K383,CALC!$A$2:$A$33,0)),0))</f>
        <v/>
      </c>
      <c r="AN383" s="2" t="str">
        <f t="array" ref="AN383">IF($K383="",0,IFERROR(INDEX(CALC!$I$2:$I$33,MATCH($K383,CALC!$A$2:$A$33,0)),0))</f>
        <v/>
      </c>
      <c r="AO383" s="2" t="str">
        <f t="array" ref="AO383">IF($K383="",0,IFERROR(INDEX(CALC!$L$2:$L$33,MATCH($K383,CALC!$A$2:$A$33,0)),0))</f>
        <v/>
      </c>
      <c r="AP383" s="2" t="str">
        <f t="array" ref="AP383">IF($K383="",0,IFERROR(INDEX(CALC!$T$2:$T$33,MATCH($K383,CALC!$A$2:$A$33,0)),0))</f>
        <v/>
      </c>
      <c r="AQ383" s="2" t="str">
        <f t="array" ref="AQ383">IF($K383="",0,IFERROR(INDEX(CALC!$W$2:$W$33,MATCH($K383,CALC!$A$2:$A$33,0)),0))</f>
        <v/>
      </c>
      <c r="AR383" s="2" t="str">
        <f t="array" ref="AR383">IF($K383="",0,IFERROR(INDEX(CALC!$Z$2:$Z$33,MATCH($K383,CALC!$A$2:$A$33,0)),0))</f>
        <v/>
      </c>
      <c r="AS383" s="2" t="str">
        <f t="array" ref="AS383">IF($K383="",0,IFERROR(INDEX(CALC!$AJ$2:$AJ$33,MATCH($K383,CALC!$A$2:$A$33,0)),0))</f>
        <v/>
      </c>
      <c r="AT383" s="2" t="str">
        <f t="array" ref="AT383">IF($K383="",0,IFERROR(INDEX(CALC!$AI$2:$AI$33,MATCH($K383,CALC!$A$2:$A$33,0)),0))</f>
        <v/>
      </c>
      <c r="AU383" s="2">
        <f t="shared" si="11"/>
        <v>0</v>
      </c>
      <c r="AV383" s="2">
        <f t="shared" si="12"/>
        <v>0</v>
      </c>
    </row>
    <row r="384" ht="15.0" customHeight="1">
      <c r="A384" s="2">
        <v>191.0</v>
      </c>
      <c r="B384" s="2" t="s">
        <v>2366</v>
      </c>
      <c r="C384" s="2">
        <f>IFERROR(MATCH($A384,SchedSeq,0),"")</f>
        <v>476</v>
      </c>
      <c r="D384" s="2" t="str">
        <f t="array" ref="D384">IF($C384="","",INDEX(SchedZone,$C384,MAP!$B$6))</f>
        <v>2026_13_BUF_NE</v>
      </c>
      <c r="E384" s="2">
        <f t="array" ref="E384">IF($C384="","",INDEX(SchedZone,$C384,MAP!$B$3))</f>
        <v>2026</v>
      </c>
      <c r="F384" s="2" t="str">
        <f t="array" ref="F384">IF($C384="","",INDEX(SchedZone,$C384,MAP!$B$5))</f>
        <v>REG</v>
      </c>
      <c r="G384" s="2">
        <f t="array" ref="G384">IF($C384="","",INDEX(SchedZone,$C384,MAP!$B$4))</f>
        <v>13</v>
      </c>
      <c r="H384" s="2" t="str">
        <f t="array" ref="H384">IF($C384="","",INDEX(SchedZone,$C384,MAP!$B$10))</f>
        <v>BUF</v>
      </c>
      <c r="I384" s="2" t="str">
        <f t="array" ref="I384">IF($H384="","",IF(COUNTIF(Teams,$H384)&gt;0,$H384,IFERROR(INDEX(LISTS!$D$2:$D$12,MATCH($H384,LISTS!$C$2:$C$12,0)),"⚠ "&amp;$H384)))</f>
        <v>BUF</v>
      </c>
      <c r="J384" s="2" t="str">
        <f t="array" ref="J384">IF($C384="","",INDEX(SchedZone,$C384,MAP!$B$12))</f>
        <v>NE</v>
      </c>
      <c r="K384" s="2" t="str">
        <f t="array" ref="K384">IF($J384="","",IF(COUNTIF(Teams,$J384)&gt;0,$J384,IFERROR(INDEX(LISTS!$D$2:$D$12,MATCH($J384,LISTS!$C$2:$C$12,0)),"⚠ "&amp;$J384)))</f>
        <v>NE</v>
      </c>
      <c r="L384" s="2" t="str">
        <f t="array" ref="L384">IF($C384="","",IF(INDEX(SchedZone,$C384,MAP!$B$14)="Neutral","N",IF($B384="HOME","H","A")))</f>
        <v>A</v>
      </c>
      <c r="M384" s="2" t="str">
        <f t="array" ref="M384">IF($C384="","",IF(INDEX(SchedZone,$C384,MAP!$B$11)="","",INDEX(SchedZone,$C384,MAP!$B$11)))</f>
        <v/>
      </c>
      <c r="N384" s="2" t="str">
        <f t="array" ref="N384">IF($C384="","",IF(INDEX(SchedZone,$C384,MAP!$B$13)="","",INDEX(SchedZone,$C384,MAP!$B$13)))</f>
        <v/>
      </c>
      <c r="O384" s="2">
        <f t="array" ref="O384">IF($C384="","",INDEX(SchedZone,$C384,MAP!$B$15))</f>
        <v>10</v>
      </c>
      <c r="P384" s="2" t="str">
        <f>IF($C384="","",IFERROR(MATCH($E384&amp;"|"&amp;$G384&amp;"|"&amp;$I384,StatsKey,0),""))</f>
        <v/>
      </c>
      <c r="Q384" s="2">
        <f t="array" ref="Q384">IF($P384="",0,INDEX(StatsZone,$P384,MAP!$E$9)+INDEX(StatsZone,$P384,MAP!$E$10)+INDEX(StatsZone,$P384,MAP!$E$11))</f>
        <v>0</v>
      </c>
      <c r="R384" s="2">
        <f t="array" ref="R384">IF($P384="",0,INDEX(StatsZone,$P384,MAP!$E$12))</f>
        <v>0</v>
      </c>
      <c r="S384" s="2">
        <f t="array" ref="S384">IF($P384="",0,INDEX(StatsZone,$P384,MAP!$E$13))</f>
        <v>0</v>
      </c>
      <c r="T384" s="2">
        <f t="shared" si="1"/>
        <v>0</v>
      </c>
      <c r="U384" s="2">
        <f t="array" ref="U384">IF($P384="",0,INDEX(StatsZone,$P384,MAP!$E$14)+INDEX(StatsZone,$P384,MAP!$E$15)+INDEX(StatsZone,$P384,MAP!$E$16))</f>
        <v>0</v>
      </c>
      <c r="V384" s="2">
        <f t="shared" si="2"/>
        <v>0</v>
      </c>
      <c r="W384" s="2">
        <f t="shared" si="3"/>
        <v>0</v>
      </c>
      <c r="X384" s="2">
        <f t="shared" si="4"/>
        <v>0</v>
      </c>
      <c r="Y384" s="2">
        <f t="shared" si="5"/>
        <v>0</v>
      </c>
      <c r="Z384" s="2">
        <f t="shared" si="6"/>
        <v>0</v>
      </c>
      <c r="AA384" s="2">
        <f t="shared" si="7"/>
        <v>-1</v>
      </c>
      <c r="AB384" s="2">
        <f>IF(OR($M384="",$N384=""),0,MEDIAN(-MarginCap,MarginCap,($M384-$N384)-$AA384*HFA_Base))</f>
        <v>0</v>
      </c>
      <c r="AC384" s="2">
        <f t="array" ref="AC384">IF(OR($P384="",INDEX($P$3:$P$722,(ROW()+IF(MOD(ROW()-3,2)=0,1,-1))-3+1)=""),0,MEDIAN(-MarginCap,MarginCap,($T384-$W384)-$AA384*HFA_Base))</f>
        <v>0</v>
      </c>
      <c r="AD384" s="2">
        <f t="shared" si="8"/>
        <v>0</v>
      </c>
      <c r="AE384" s="2">
        <f>IF(OR($M384="",$N384=""),0,IF(AND(WEpa&gt;0,$AD384=1),(1-WEpa)*$AB384+WEpa*$AC384,$AB384))</f>
        <v>0</v>
      </c>
      <c r="AF384" s="2">
        <f>IF(AND($C384&lt;&gt;"",$E384=CurrentSeason,$F384="REG",ISNUMBER($G384),$G384&lt;CurrentWeek,AND($M384&lt;&gt;"",$N384&lt;&gt;"")),1,0)</f>
        <v>0</v>
      </c>
      <c r="AG384" s="2">
        <f>IF($AF384=0,0,IF($G384&gt;=CurrentWeek-RecencyWin,RecencyMult,1))</f>
        <v>0</v>
      </c>
      <c r="AH384" s="2">
        <f>IF(AND($C384&lt;&gt;"",$E384=CurrentSeason,$F384="REG",ISNUMBER($G384),$G384&lt;CurrentWeek-1,AND($M384&lt;&gt;"",$N384&lt;&gt;"")),1,0)</f>
        <v>0</v>
      </c>
      <c r="AI384" s="2">
        <f>IF($AH384=0,0,IF($G384&gt;=CurrentWeek-1-RecencyWin,RecencyMult,1))</f>
        <v>0</v>
      </c>
      <c r="AJ384" s="2">
        <f>IF($AF384=0,0,IF($G384&gt;=CurrentWeek-RecencyWin,TotRecency,1))</f>
        <v>0</v>
      </c>
      <c r="AK384" s="2">
        <f t="shared" si="9"/>
        <v>0</v>
      </c>
      <c r="AL384" s="2">
        <f t="shared" si="10"/>
        <v>0</v>
      </c>
      <c r="AM384" s="2" t="str">
        <f t="array" ref="AM384">IF($K384="",0,IFERROR(INDEX(CALC!$F$2:$F$33,MATCH($K384,CALC!$A$2:$A$33,0)),0))</f>
        <v/>
      </c>
      <c r="AN384" s="2" t="str">
        <f t="array" ref="AN384">IF($K384="",0,IFERROR(INDEX(CALC!$I$2:$I$33,MATCH($K384,CALC!$A$2:$A$33,0)),0))</f>
        <v/>
      </c>
      <c r="AO384" s="2" t="str">
        <f t="array" ref="AO384">IF($K384="",0,IFERROR(INDEX(CALC!$L$2:$L$33,MATCH($K384,CALC!$A$2:$A$33,0)),0))</f>
        <v/>
      </c>
      <c r="AP384" s="2" t="str">
        <f t="array" ref="AP384">IF($K384="",0,IFERROR(INDEX(CALC!$T$2:$T$33,MATCH($K384,CALC!$A$2:$A$33,0)),0))</f>
        <v/>
      </c>
      <c r="AQ384" s="2" t="str">
        <f t="array" ref="AQ384">IF($K384="",0,IFERROR(INDEX(CALC!$W$2:$W$33,MATCH($K384,CALC!$A$2:$A$33,0)),0))</f>
        <v/>
      </c>
      <c r="AR384" s="2" t="str">
        <f t="array" ref="AR384">IF($K384="",0,IFERROR(INDEX(CALC!$Z$2:$Z$33,MATCH($K384,CALC!$A$2:$A$33,0)),0))</f>
        <v/>
      </c>
      <c r="AS384" s="2" t="str">
        <f t="array" ref="AS384">IF($K384="",0,IFERROR(INDEX(CALC!$AJ$2:$AJ$33,MATCH($K384,CALC!$A$2:$A$33,0)),0))</f>
        <v/>
      </c>
      <c r="AT384" s="2" t="str">
        <f t="array" ref="AT384">IF($K384="",0,IFERROR(INDEX(CALC!$AI$2:$AI$33,MATCH($K384,CALC!$A$2:$A$33,0)),0))</f>
        <v/>
      </c>
      <c r="AU384" s="2">
        <f t="shared" si="11"/>
        <v>0</v>
      </c>
      <c r="AV384" s="2">
        <f t="shared" si="12"/>
        <v>0</v>
      </c>
    </row>
    <row r="385" ht="15.0" customHeight="1">
      <c r="A385" s="2">
        <v>192.0</v>
      </c>
      <c r="B385" s="2" t="s">
        <v>2365</v>
      </c>
      <c r="C385" s="2">
        <f>IFERROR(MATCH($A385,SchedSeq,0),"")</f>
        <v>477</v>
      </c>
      <c r="D385" s="2" t="str">
        <f t="array" ref="D385">IF($C385="","",INDEX(SchedZone,$C385,MAP!$B$6))</f>
        <v>2026_13_HOU_PIT</v>
      </c>
      <c r="E385" s="2">
        <f t="array" ref="E385">IF($C385="","",INDEX(SchedZone,$C385,MAP!$B$3))</f>
        <v>2026</v>
      </c>
      <c r="F385" s="2" t="str">
        <f t="array" ref="F385">IF($C385="","",INDEX(SchedZone,$C385,MAP!$B$5))</f>
        <v>REG</v>
      </c>
      <c r="G385" s="2">
        <f t="array" ref="G385">IF($C385="","",INDEX(SchedZone,$C385,MAP!$B$4))</f>
        <v>13</v>
      </c>
      <c r="H385" s="2" t="str">
        <f t="array" ref="H385">IF($C385="","",INDEX(SchedZone,$C385,MAP!$B$12))</f>
        <v>PIT</v>
      </c>
      <c r="I385" s="2" t="str">
        <f t="array" ref="I385">IF($H385="","",IF(COUNTIF(Teams,$H385)&gt;0,$H385,IFERROR(INDEX(LISTS!$D$2:$D$12,MATCH($H385,LISTS!$C$2:$C$12,0)),"⚠ "&amp;$H385)))</f>
        <v>PIT</v>
      </c>
      <c r="J385" s="2" t="str">
        <f t="array" ref="J385">IF($C385="","",INDEX(SchedZone,$C385,MAP!$B$10))</f>
        <v>HOU</v>
      </c>
      <c r="K385" s="2" t="str">
        <f t="array" ref="K385">IF($J385="","",IF(COUNTIF(Teams,$J385)&gt;0,$J385,IFERROR(INDEX(LISTS!$D$2:$D$12,MATCH($J385,LISTS!$C$2:$C$12,0)),"⚠ "&amp;$J385)))</f>
        <v>HOU</v>
      </c>
      <c r="L385" s="2" t="str">
        <f t="array" ref="L385">IF($C385="","",IF(INDEX(SchedZone,$C385,MAP!$B$14)="Neutral","N",IF($B385="HOME","H","A")))</f>
        <v>H</v>
      </c>
      <c r="M385" s="2" t="str">
        <f t="array" ref="M385">IF($C385="","",IF(INDEX(SchedZone,$C385,MAP!$B$13)="","",INDEX(SchedZone,$C385,MAP!$B$13)))</f>
        <v/>
      </c>
      <c r="N385" s="2" t="str">
        <f t="array" ref="N385">IF($C385="","",IF(INDEX(SchedZone,$C385,MAP!$B$11)="","",INDEX(SchedZone,$C385,MAP!$B$11)))</f>
        <v/>
      </c>
      <c r="O385" s="2">
        <f t="array" ref="O385">IF($C385="","",INDEX(SchedZone,$C385,MAP!$B$16))</f>
        <v>9</v>
      </c>
      <c r="P385" s="2" t="str">
        <f>IF($C385="","",IFERROR(MATCH($E385&amp;"|"&amp;$G385&amp;"|"&amp;$I385,StatsKey,0),""))</f>
        <v/>
      </c>
      <c r="Q385" s="2">
        <f t="array" ref="Q385">IF($P385="",0,INDEX(StatsZone,$P385,MAP!$E$9)+INDEX(StatsZone,$P385,MAP!$E$10)+INDEX(StatsZone,$P385,MAP!$E$11))</f>
        <v>0</v>
      </c>
      <c r="R385" s="2">
        <f t="array" ref="R385">IF($P385="",0,INDEX(StatsZone,$P385,MAP!$E$12))</f>
        <v>0</v>
      </c>
      <c r="S385" s="2">
        <f t="array" ref="S385">IF($P385="",0,INDEX(StatsZone,$P385,MAP!$E$13))</f>
        <v>0</v>
      </c>
      <c r="T385" s="2">
        <f t="shared" si="1"/>
        <v>0</v>
      </c>
      <c r="U385" s="2">
        <f t="array" ref="U385">IF($P385="",0,INDEX(StatsZone,$P385,MAP!$E$14)+INDEX(StatsZone,$P385,MAP!$E$15)+INDEX(StatsZone,$P385,MAP!$E$16))</f>
        <v>0</v>
      </c>
      <c r="V385" s="2">
        <f t="shared" si="2"/>
        <v>0</v>
      </c>
      <c r="W385" s="2">
        <f t="shared" si="3"/>
        <v>0</v>
      </c>
      <c r="X385" s="2">
        <f t="shared" si="4"/>
        <v>0</v>
      </c>
      <c r="Y385" s="2">
        <f t="shared" si="5"/>
        <v>0</v>
      </c>
      <c r="Z385" s="2">
        <f t="shared" si="6"/>
        <v>0</v>
      </c>
      <c r="AA385" s="2">
        <f t="shared" si="7"/>
        <v>1</v>
      </c>
      <c r="AB385" s="2">
        <f>IF(OR($M385="",$N385=""),0,MEDIAN(-MarginCap,MarginCap,($M385-$N385)-$AA385*HFA_Base))</f>
        <v>0</v>
      </c>
      <c r="AC385" s="2">
        <f t="array" ref="AC385">IF(OR($P385="",INDEX($P$3:$P$722,(ROW()+IF(MOD(ROW()-3,2)=0,1,-1))-3+1)=""),0,MEDIAN(-MarginCap,MarginCap,($T385-$W385)-$AA385*HFA_Base))</f>
        <v>0</v>
      </c>
      <c r="AD385" s="2">
        <f t="shared" si="8"/>
        <v>0</v>
      </c>
      <c r="AE385" s="2">
        <f>IF(OR($M385="",$N385=""),0,IF(AND(WEpa&gt;0,$AD385=1),(1-WEpa)*$AB385+WEpa*$AC385,$AB385))</f>
        <v>0</v>
      </c>
      <c r="AF385" s="2">
        <f>IF(AND($C385&lt;&gt;"",$E385=CurrentSeason,$F385="REG",ISNUMBER($G385),$G385&lt;CurrentWeek,AND($M385&lt;&gt;"",$N385&lt;&gt;"")),1,0)</f>
        <v>0</v>
      </c>
      <c r="AG385" s="2">
        <f>IF($AF385=0,0,IF($G385&gt;=CurrentWeek-RecencyWin,RecencyMult,1))</f>
        <v>0</v>
      </c>
      <c r="AH385" s="2">
        <f>IF(AND($C385&lt;&gt;"",$E385=CurrentSeason,$F385="REG",ISNUMBER($G385),$G385&lt;CurrentWeek-1,AND($M385&lt;&gt;"",$N385&lt;&gt;"")),1,0)</f>
        <v>0</v>
      </c>
      <c r="AI385" s="2">
        <f>IF($AH385=0,0,IF($G385&gt;=CurrentWeek-1-RecencyWin,RecencyMult,1))</f>
        <v>0</v>
      </c>
      <c r="AJ385" s="2">
        <f>IF($AF385=0,0,IF($G385&gt;=CurrentWeek-RecencyWin,TotRecency,1))</f>
        <v>0</v>
      </c>
      <c r="AK385" s="2">
        <f t="shared" si="9"/>
        <v>0</v>
      </c>
      <c r="AL385" s="2">
        <f t="shared" si="10"/>
        <v>0</v>
      </c>
      <c r="AM385" s="2" t="str">
        <f t="array" ref="AM385">IF($K385="",0,IFERROR(INDEX(CALC!$F$2:$F$33,MATCH($K385,CALC!$A$2:$A$33,0)),0))</f>
        <v/>
      </c>
      <c r="AN385" s="2" t="str">
        <f t="array" ref="AN385">IF($K385="",0,IFERROR(INDEX(CALC!$I$2:$I$33,MATCH($K385,CALC!$A$2:$A$33,0)),0))</f>
        <v/>
      </c>
      <c r="AO385" s="2" t="str">
        <f t="array" ref="AO385">IF($K385="",0,IFERROR(INDEX(CALC!$L$2:$L$33,MATCH($K385,CALC!$A$2:$A$33,0)),0))</f>
        <v/>
      </c>
      <c r="AP385" s="2" t="str">
        <f t="array" ref="AP385">IF($K385="",0,IFERROR(INDEX(CALC!$T$2:$T$33,MATCH($K385,CALC!$A$2:$A$33,0)),0))</f>
        <v/>
      </c>
      <c r="AQ385" s="2" t="str">
        <f t="array" ref="AQ385">IF($K385="",0,IFERROR(INDEX(CALC!$W$2:$W$33,MATCH($K385,CALC!$A$2:$A$33,0)),0))</f>
        <v/>
      </c>
      <c r="AR385" s="2" t="str">
        <f t="array" ref="AR385">IF($K385="",0,IFERROR(INDEX(CALC!$Z$2:$Z$33,MATCH($K385,CALC!$A$2:$A$33,0)),0))</f>
        <v/>
      </c>
      <c r="AS385" s="2" t="str">
        <f t="array" ref="AS385">IF($K385="",0,IFERROR(INDEX(CALC!$AJ$2:$AJ$33,MATCH($K385,CALC!$A$2:$A$33,0)),0))</f>
        <v/>
      </c>
      <c r="AT385" s="2" t="str">
        <f t="array" ref="AT385">IF($K385="",0,IFERROR(INDEX(CALC!$AI$2:$AI$33,MATCH($K385,CALC!$A$2:$A$33,0)),0))</f>
        <v/>
      </c>
      <c r="AU385" s="2">
        <f t="shared" si="11"/>
        <v>0</v>
      </c>
      <c r="AV385" s="2">
        <f t="shared" si="12"/>
        <v>0</v>
      </c>
    </row>
    <row r="386" ht="15.0" customHeight="1">
      <c r="A386" s="2">
        <v>192.0</v>
      </c>
      <c r="B386" s="2" t="s">
        <v>2366</v>
      </c>
      <c r="C386" s="2">
        <f>IFERROR(MATCH($A386,SchedSeq,0),"")</f>
        <v>477</v>
      </c>
      <c r="D386" s="2" t="str">
        <f t="array" ref="D386">IF($C386="","",INDEX(SchedZone,$C386,MAP!$B$6))</f>
        <v>2026_13_HOU_PIT</v>
      </c>
      <c r="E386" s="2">
        <f t="array" ref="E386">IF($C386="","",INDEX(SchedZone,$C386,MAP!$B$3))</f>
        <v>2026</v>
      </c>
      <c r="F386" s="2" t="str">
        <f t="array" ref="F386">IF($C386="","",INDEX(SchedZone,$C386,MAP!$B$5))</f>
        <v>REG</v>
      </c>
      <c r="G386" s="2">
        <f t="array" ref="G386">IF($C386="","",INDEX(SchedZone,$C386,MAP!$B$4))</f>
        <v>13</v>
      </c>
      <c r="H386" s="2" t="str">
        <f t="array" ref="H386">IF($C386="","",INDEX(SchedZone,$C386,MAP!$B$10))</f>
        <v>HOU</v>
      </c>
      <c r="I386" s="2" t="str">
        <f t="array" ref="I386">IF($H386="","",IF(COUNTIF(Teams,$H386)&gt;0,$H386,IFERROR(INDEX(LISTS!$D$2:$D$12,MATCH($H386,LISTS!$C$2:$C$12,0)),"⚠ "&amp;$H386)))</f>
        <v>HOU</v>
      </c>
      <c r="J386" s="2" t="str">
        <f t="array" ref="J386">IF($C386="","",INDEX(SchedZone,$C386,MAP!$B$12))</f>
        <v>PIT</v>
      </c>
      <c r="K386" s="2" t="str">
        <f t="array" ref="K386">IF($J386="","",IF(COUNTIF(Teams,$J386)&gt;0,$J386,IFERROR(INDEX(LISTS!$D$2:$D$12,MATCH($J386,LISTS!$C$2:$C$12,0)),"⚠ "&amp;$J386)))</f>
        <v>PIT</v>
      </c>
      <c r="L386" s="2" t="str">
        <f t="array" ref="L386">IF($C386="","",IF(INDEX(SchedZone,$C386,MAP!$B$14)="Neutral","N",IF($B386="HOME","H","A")))</f>
        <v>A</v>
      </c>
      <c r="M386" s="2" t="str">
        <f t="array" ref="M386">IF($C386="","",IF(INDEX(SchedZone,$C386,MAP!$B$11)="","",INDEX(SchedZone,$C386,MAP!$B$11)))</f>
        <v/>
      </c>
      <c r="N386" s="2" t="str">
        <f t="array" ref="N386">IF($C386="","",IF(INDEX(SchedZone,$C386,MAP!$B$13)="","",INDEX(SchedZone,$C386,MAP!$B$13)))</f>
        <v/>
      </c>
      <c r="O386" s="2">
        <f t="array" ref="O386">IF($C386="","",INDEX(SchedZone,$C386,MAP!$B$15))</f>
        <v>7</v>
      </c>
      <c r="P386" s="2" t="str">
        <f>IF($C386="","",IFERROR(MATCH($E386&amp;"|"&amp;$G386&amp;"|"&amp;$I386,StatsKey,0),""))</f>
        <v/>
      </c>
      <c r="Q386" s="2">
        <f t="array" ref="Q386">IF($P386="",0,INDEX(StatsZone,$P386,MAP!$E$9)+INDEX(StatsZone,$P386,MAP!$E$10)+INDEX(StatsZone,$P386,MAP!$E$11))</f>
        <v>0</v>
      </c>
      <c r="R386" s="2">
        <f t="array" ref="R386">IF($P386="",0,INDEX(StatsZone,$P386,MAP!$E$12))</f>
        <v>0</v>
      </c>
      <c r="S386" s="2">
        <f t="array" ref="S386">IF($P386="",0,INDEX(StatsZone,$P386,MAP!$E$13))</f>
        <v>0</v>
      </c>
      <c r="T386" s="2">
        <f t="shared" si="1"/>
        <v>0</v>
      </c>
      <c r="U386" s="2">
        <f t="array" ref="U386">IF($P386="",0,INDEX(StatsZone,$P386,MAP!$E$14)+INDEX(StatsZone,$P386,MAP!$E$15)+INDEX(StatsZone,$P386,MAP!$E$16))</f>
        <v>0</v>
      </c>
      <c r="V386" s="2">
        <f t="shared" si="2"/>
        <v>0</v>
      </c>
      <c r="W386" s="2">
        <f t="shared" si="3"/>
        <v>0</v>
      </c>
      <c r="X386" s="2">
        <f t="shared" si="4"/>
        <v>0</v>
      </c>
      <c r="Y386" s="2">
        <f t="shared" si="5"/>
        <v>0</v>
      </c>
      <c r="Z386" s="2">
        <f t="shared" si="6"/>
        <v>0</v>
      </c>
      <c r="AA386" s="2">
        <f t="shared" si="7"/>
        <v>-1</v>
      </c>
      <c r="AB386" s="2">
        <f>IF(OR($M386="",$N386=""),0,MEDIAN(-MarginCap,MarginCap,($M386-$N386)-$AA386*HFA_Base))</f>
        <v>0</v>
      </c>
      <c r="AC386" s="2">
        <f t="array" ref="AC386">IF(OR($P386="",INDEX($P$3:$P$722,(ROW()+IF(MOD(ROW()-3,2)=0,1,-1))-3+1)=""),0,MEDIAN(-MarginCap,MarginCap,($T386-$W386)-$AA386*HFA_Base))</f>
        <v>0</v>
      </c>
      <c r="AD386" s="2">
        <f t="shared" si="8"/>
        <v>0</v>
      </c>
      <c r="AE386" s="2">
        <f>IF(OR($M386="",$N386=""),0,IF(AND(WEpa&gt;0,$AD386=1),(1-WEpa)*$AB386+WEpa*$AC386,$AB386))</f>
        <v>0</v>
      </c>
      <c r="AF386" s="2">
        <f>IF(AND($C386&lt;&gt;"",$E386=CurrentSeason,$F386="REG",ISNUMBER($G386),$G386&lt;CurrentWeek,AND($M386&lt;&gt;"",$N386&lt;&gt;"")),1,0)</f>
        <v>0</v>
      </c>
      <c r="AG386" s="2">
        <f>IF($AF386=0,0,IF($G386&gt;=CurrentWeek-RecencyWin,RecencyMult,1))</f>
        <v>0</v>
      </c>
      <c r="AH386" s="2">
        <f>IF(AND($C386&lt;&gt;"",$E386=CurrentSeason,$F386="REG",ISNUMBER($G386),$G386&lt;CurrentWeek-1,AND($M386&lt;&gt;"",$N386&lt;&gt;"")),1,0)</f>
        <v>0</v>
      </c>
      <c r="AI386" s="2">
        <f>IF($AH386=0,0,IF($G386&gt;=CurrentWeek-1-RecencyWin,RecencyMult,1))</f>
        <v>0</v>
      </c>
      <c r="AJ386" s="2">
        <f>IF($AF386=0,0,IF($G386&gt;=CurrentWeek-RecencyWin,TotRecency,1))</f>
        <v>0</v>
      </c>
      <c r="AK386" s="2">
        <f t="shared" si="9"/>
        <v>0</v>
      </c>
      <c r="AL386" s="2">
        <f t="shared" si="10"/>
        <v>0</v>
      </c>
      <c r="AM386" s="2" t="str">
        <f t="array" ref="AM386">IF($K386="",0,IFERROR(INDEX(CALC!$F$2:$F$33,MATCH($K386,CALC!$A$2:$A$33,0)),0))</f>
        <v/>
      </c>
      <c r="AN386" s="2" t="str">
        <f t="array" ref="AN386">IF($K386="",0,IFERROR(INDEX(CALC!$I$2:$I$33,MATCH($K386,CALC!$A$2:$A$33,0)),0))</f>
        <v/>
      </c>
      <c r="AO386" s="2" t="str">
        <f t="array" ref="AO386">IF($K386="",0,IFERROR(INDEX(CALC!$L$2:$L$33,MATCH($K386,CALC!$A$2:$A$33,0)),0))</f>
        <v/>
      </c>
      <c r="AP386" s="2" t="str">
        <f t="array" ref="AP386">IF($K386="",0,IFERROR(INDEX(CALC!$T$2:$T$33,MATCH($K386,CALC!$A$2:$A$33,0)),0))</f>
        <v/>
      </c>
      <c r="AQ386" s="2" t="str">
        <f t="array" ref="AQ386">IF($K386="",0,IFERROR(INDEX(CALC!$W$2:$W$33,MATCH($K386,CALC!$A$2:$A$33,0)),0))</f>
        <v/>
      </c>
      <c r="AR386" s="2" t="str">
        <f t="array" ref="AR386">IF($K386="",0,IFERROR(INDEX(CALC!$Z$2:$Z$33,MATCH($K386,CALC!$A$2:$A$33,0)),0))</f>
        <v/>
      </c>
      <c r="AS386" s="2" t="str">
        <f t="array" ref="AS386">IF($K386="",0,IFERROR(INDEX(CALC!$AJ$2:$AJ$33,MATCH($K386,CALC!$A$2:$A$33,0)),0))</f>
        <v/>
      </c>
      <c r="AT386" s="2" t="str">
        <f t="array" ref="AT386">IF($K386="",0,IFERROR(INDEX(CALC!$AI$2:$AI$33,MATCH($K386,CALC!$A$2:$A$33,0)),0))</f>
        <v/>
      </c>
      <c r="AU386" s="2">
        <f t="shared" si="11"/>
        <v>0</v>
      </c>
      <c r="AV386" s="2">
        <f t="shared" si="12"/>
        <v>0</v>
      </c>
    </row>
    <row r="387" ht="15.0" customHeight="1">
      <c r="A387" s="2">
        <v>193.0</v>
      </c>
      <c r="B387" s="2" t="s">
        <v>2365</v>
      </c>
      <c r="C387" s="2">
        <f>IFERROR(MATCH($A387,SchedSeq,0),"")</f>
        <v>478</v>
      </c>
      <c r="D387" s="2" t="str">
        <f t="array" ref="D387">IF($C387="","",INDEX(SchedZone,$C387,MAP!$B$6))</f>
        <v>2026_13_DAL_SEA</v>
      </c>
      <c r="E387" s="2">
        <f t="array" ref="E387">IF($C387="","",INDEX(SchedZone,$C387,MAP!$B$3))</f>
        <v>2026</v>
      </c>
      <c r="F387" s="2" t="str">
        <f t="array" ref="F387">IF($C387="","",INDEX(SchedZone,$C387,MAP!$B$5))</f>
        <v>REG</v>
      </c>
      <c r="G387" s="2">
        <f t="array" ref="G387">IF($C387="","",INDEX(SchedZone,$C387,MAP!$B$4))</f>
        <v>13</v>
      </c>
      <c r="H387" s="2" t="str">
        <f t="array" ref="H387">IF($C387="","",INDEX(SchedZone,$C387,MAP!$B$12))</f>
        <v>SEA</v>
      </c>
      <c r="I387" s="2" t="str">
        <f t="array" ref="I387">IF($H387="","",IF(COUNTIF(Teams,$H387)&gt;0,$H387,IFERROR(INDEX(LISTS!$D$2:$D$12,MATCH($H387,LISTS!$C$2:$C$12,0)),"⚠ "&amp;$H387)))</f>
        <v>SEA</v>
      </c>
      <c r="J387" s="2" t="str">
        <f t="array" ref="J387">IF($C387="","",INDEX(SchedZone,$C387,MAP!$B$10))</f>
        <v>DAL</v>
      </c>
      <c r="K387" s="2" t="str">
        <f t="array" ref="K387">IF($J387="","",IF(COUNTIF(Teams,$J387)&gt;0,$J387,IFERROR(INDEX(LISTS!$D$2:$D$12,MATCH($J387,LISTS!$C$2:$C$12,0)),"⚠ "&amp;$J387)))</f>
        <v>DAL</v>
      </c>
      <c r="L387" s="2" t="str">
        <f t="array" ref="L387">IF($C387="","",IF(INDEX(SchedZone,$C387,MAP!$B$14)="Neutral","N",IF($B387="HOME","H","A")))</f>
        <v>H</v>
      </c>
      <c r="M387" s="2" t="str">
        <f t="array" ref="M387">IF($C387="","",IF(INDEX(SchedZone,$C387,MAP!$B$13)="","",INDEX(SchedZone,$C387,MAP!$B$13)))</f>
        <v/>
      </c>
      <c r="N387" s="2" t="str">
        <f t="array" ref="N387">IF($C387="","",IF(INDEX(SchedZone,$C387,MAP!$B$11)="","",INDEX(SchedZone,$C387,MAP!$B$11)))</f>
        <v/>
      </c>
      <c r="O387" s="2">
        <f t="array" ref="O387">IF($C387="","",INDEX(SchedZone,$C387,MAP!$B$16))</f>
        <v>8</v>
      </c>
      <c r="P387" s="2" t="str">
        <f>IF($C387="","",IFERROR(MATCH($E387&amp;"|"&amp;$G387&amp;"|"&amp;$I387,StatsKey,0),""))</f>
        <v/>
      </c>
      <c r="Q387" s="2">
        <f t="array" ref="Q387">IF($P387="",0,INDEX(StatsZone,$P387,MAP!$E$9)+INDEX(StatsZone,$P387,MAP!$E$10)+INDEX(StatsZone,$P387,MAP!$E$11))</f>
        <v>0</v>
      </c>
      <c r="R387" s="2">
        <f t="array" ref="R387">IF($P387="",0,INDEX(StatsZone,$P387,MAP!$E$12))</f>
        <v>0</v>
      </c>
      <c r="S387" s="2">
        <f t="array" ref="S387">IF($P387="",0,INDEX(StatsZone,$P387,MAP!$E$13))</f>
        <v>0</v>
      </c>
      <c r="T387" s="2">
        <f t="shared" si="1"/>
        <v>0</v>
      </c>
      <c r="U387" s="2">
        <f t="array" ref="U387">IF($P387="",0,INDEX(StatsZone,$P387,MAP!$E$14)+INDEX(StatsZone,$P387,MAP!$E$15)+INDEX(StatsZone,$P387,MAP!$E$16))</f>
        <v>0</v>
      </c>
      <c r="V387" s="2">
        <f t="shared" si="2"/>
        <v>0</v>
      </c>
      <c r="W387" s="2">
        <f t="shared" si="3"/>
        <v>0</v>
      </c>
      <c r="X387" s="2">
        <f t="shared" si="4"/>
        <v>0</v>
      </c>
      <c r="Y387" s="2">
        <f t="shared" si="5"/>
        <v>0</v>
      </c>
      <c r="Z387" s="2">
        <f t="shared" si="6"/>
        <v>0</v>
      </c>
      <c r="AA387" s="2">
        <f t="shared" si="7"/>
        <v>1</v>
      </c>
      <c r="AB387" s="2">
        <f>IF(OR($M387="",$N387=""),0,MEDIAN(-MarginCap,MarginCap,($M387-$N387)-$AA387*HFA_Base))</f>
        <v>0</v>
      </c>
      <c r="AC387" s="2">
        <f t="array" ref="AC387">IF(OR($P387="",INDEX($P$3:$P$722,(ROW()+IF(MOD(ROW()-3,2)=0,1,-1))-3+1)=""),0,MEDIAN(-MarginCap,MarginCap,($T387-$W387)-$AA387*HFA_Base))</f>
        <v>0</v>
      </c>
      <c r="AD387" s="2">
        <f t="shared" si="8"/>
        <v>0</v>
      </c>
      <c r="AE387" s="2">
        <f>IF(OR($M387="",$N387=""),0,IF(AND(WEpa&gt;0,$AD387=1),(1-WEpa)*$AB387+WEpa*$AC387,$AB387))</f>
        <v>0</v>
      </c>
      <c r="AF387" s="2">
        <f>IF(AND($C387&lt;&gt;"",$E387=CurrentSeason,$F387="REG",ISNUMBER($G387),$G387&lt;CurrentWeek,AND($M387&lt;&gt;"",$N387&lt;&gt;"")),1,0)</f>
        <v>0</v>
      </c>
      <c r="AG387" s="2">
        <f>IF($AF387=0,0,IF($G387&gt;=CurrentWeek-RecencyWin,RecencyMult,1))</f>
        <v>0</v>
      </c>
      <c r="AH387" s="2">
        <f>IF(AND($C387&lt;&gt;"",$E387=CurrentSeason,$F387="REG",ISNUMBER($G387),$G387&lt;CurrentWeek-1,AND($M387&lt;&gt;"",$N387&lt;&gt;"")),1,0)</f>
        <v>0</v>
      </c>
      <c r="AI387" s="2">
        <f>IF($AH387=0,0,IF($G387&gt;=CurrentWeek-1-RecencyWin,RecencyMult,1))</f>
        <v>0</v>
      </c>
      <c r="AJ387" s="2">
        <f>IF($AF387=0,0,IF($G387&gt;=CurrentWeek-RecencyWin,TotRecency,1))</f>
        <v>0</v>
      </c>
      <c r="AK387" s="2">
        <f t="shared" si="9"/>
        <v>0</v>
      </c>
      <c r="AL387" s="2">
        <f t="shared" si="10"/>
        <v>0</v>
      </c>
      <c r="AM387" s="2" t="str">
        <f t="array" ref="AM387">IF($K387="",0,IFERROR(INDEX(CALC!$F$2:$F$33,MATCH($K387,CALC!$A$2:$A$33,0)),0))</f>
        <v/>
      </c>
      <c r="AN387" s="2" t="str">
        <f t="array" ref="AN387">IF($K387="",0,IFERROR(INDEX(CALC!$I$2:$I$33,MATCH($K387,CALC!$A$2:$A$33,0)),0))</f>
        <v/>
      </c>
      <c r="AO387" s="2" t="str">
        <f t="array" ref="AO387">IF($K387="",0,IFERROR(INDEX(CALC!$L$2:$L$33,MATCH($K387,CALC!$A$2:$A$33,0)),0))</f>
        <v/>
      </c>
      <c r="AP387" s="2" t="str">
        <f t="array" ref="AP387">IF($K387="",0,IFERROR(INDEX(CALC!$T$2:$T$33,MATCH($K387,CALC!$A$2:$A$33,0)),0))</f>
        <v/>
      </c>
      <c r="AQ387" s="2" t="str">
        <f t="array" ref="AQ387">IF($K387="",0,IFERROR(INDEX(CALC!$W$2:$W$33,MATCH($K387,CALC!$A$2:$A$33,0)),0))</f>
        <v/>
      </c>
      <c r="AR387" s="2" t="str">
        <f t="array" ref="AR387">IF($K387="",0,IFERROR(INDEX(CALC!$Z$2:$Z$33,MATCH($K387,CALC!$A$2:$A$33,0)),0))</f>
        <v/>
      </c>
      <c r="AS387" s="2" t="str">
        <f t="array" ref="AS387">IF($K387="",0,IFERROR(INDEX(CALC!$AJ$2:$AJ$33,MATCH($K387,CALC!$A$2:$A$33,0)),0))</f>
        <v/>
      </c>
      <c r="AT387" s="2" t="str">
        <f t="array" ref="AT387">IF($K387="",0,IFERROR(INDEX(CALC!$AI$2:$AI$33,MATCH($K387,CALC!$A$2:$A$33,0)),0))</f>
        <v/>
      </c>
      <c r="AU387" s="2">
        <f t="shared" si="11"/>
        <v>0</v>
      </c>
      <c r="AV387" s="2">
        <f t="shared" si="12"/>
        <v>0</v>
      </c>
    </row>
    <row r="388" ht="15.0" customHeight="1">
      <c r="A388" s="2">
        <v>193.0</v>
      </c>
      <c r="B388" s="2" t="s">
        <v>2366</v>
      </c>
      <c r="C388" s="2">
        <f>IFERROR(MATCH($A388,SchedSeq,0),"")</f>
        <v>478</v>
      </c>
      <c r="D388" s="2" t="str">
        <f t="array" ref="D388">IF($C388="","",INDEX(SchedZone,$C388,MAP!$B$6))</f>
        <v>2026_13_DAL_SEA</v>
      </c>
      <c r="E388" s="2">
        <f t="array" ref="E388">IF($C388="","",INDEX(SchedZone,$C388,MAP!$B$3))</f>
        <v>2026</v>
      </c>
      <c r="F388" s="2" t="str">
        <f t="array" ref="F388">IF($C388="","",INDEX(SchedZone,$C388,MAP!$B$5))</f>
        <v>REG</v>
      </c>
      <c r="G388" s="2">
        <f t="array" ref="G388">IF($C388="","",INDEX(SchedZone,$C388,MAP!$B$4))</f>
        <v>13</v>
      </c>
      <c r="H388" s="2" t="str">
        <f t="array" ref="H388">IF($C388="","",INDEX(SchedZone,$C388,MAP!$B$10))</f>
        <v>DAL</v>
      </c>
      <c r="I388" s="2" t="str">
        <f t="array" ref="I388">IF($H388="","",IF(COUNTIF(Teams,$H388)&gt;0,$H388,IFERROR(INDEX(LISTS!$D$2:$D$12,MATCH($H388,LISTS!$C$2:$C$12,0)),"⚠ "&amp;$H388)))</f>
        <v>DAL</v>
      </c>
      <c r="J388" s="2" t="str">
        <f t="array" ref="J388">IF($C388="","",INDEX(SchedZone,$C388,MAP!$B$12))</f>
        <v>SEA</v>
      </c>
      <c r="K388" s="2" t="str">
        <f t="array" ref="K388">IF($J388="","",IF(COUNTIF(Teams,$J388)&gt;0,$J388,IFERROR(INDEX(LISTS!$D$2:$D$12,MATCH($J388,LISTS!$C$2:$C$12,0)),"⚠ "&amp;$J388)))</f>
        <v>SEA</v>
      </c>
      <c r="L388" s="2" t="str">
        <f t="array" ref="L388">IF($C388="","",IF(INDEX(SchedZone,$C388,MAP!$B$14)="Neutral","N",IF($B388="HOME","H","A")))</f>
        <v>A</v>
      </c>
      <c r="M388" s="2" t="str">
        <f t="array" ref="M388">IF($C388="","",IF(INDEX(SchedZone,$C388,MAP!$B$11)="","",INDEX(SchedZone,$C388,MAP!$B$11)))</f>
        <v/>
      </c>
      <c r="N388" s="2" t="str">
        <f t="array" ref="N388">IF($C388="","",IF(INDEX(SchedZone,$C388,MAP!$B$13)="","",INDEX(SchedZone,$C388,MAP!$B$13)))</f>
        <v/>
      </c>
      <c r="O388" s="2">
        <f t="array" ref="O388">IF($C388="","",INDEX(SchedZone,$C388,MAP!$B$15))</f>
        <v>11</v>
      </c>
      <c r="P388" s="2" t="str">
        <f>IF($C388="","",IFERROR(MATCH($E388&amp;"|"&amp;$G388&amp;"|"&amp;$I388,StatsKey,0),""))</f>
        <v/>
      </c>
      <c r="Q388" s="2">
        <f t="array" ref="Q388">IF($P388="",0,INDEX(StatsZone,$P388,MAP!$E$9)+INDEX(StatsZone,$P388,MAP!$E$10)+INDEX(StatsZone,$P388,MAP!$E$11))</f>
        <v>0</v>
      </c>
      <c r="R388" s="2">
        <f t="array" ref="R388">IF($P388="",0,INDEX(StatsZone,$P388,MAP!$E$12))</f>
        <v>0</v>
      </c>
      <c r="S388" s="2">
        <f t="array" ref="S388">IF($P388="",0,INDEX(StatsZone,$P388,MAP!$E$13))</f>
        <v>0</v>
      </c>
      <c r="T388" s="2">
        <f t="shared" si="1"/>
        <v>0</v>
      </c>
      <c r="U388" s="2">
        <f t="array" ref="U388">IF($P388="",0,INDEX(StatsZone,$P388,MAP!$E$14)+INDEX(StatsZone,$P388,MAP!$E$15)+INDEX(StatsZone,$P388,MAP!$E$16))</f>
        <v>0</v>
      </c>
      <c r="V388" s="2">
        <f t="shared" si="2"/>
        <v>0</v>
      </c>
      <c r="W388" s="2">
        <f t="shared" si="3"/>
        <v>0</v>
      </c>
      <c r="X388" s="2">
        <f t="shared" si="4"/>
        <v>0</v>
      </c>
      <c r="Y388" s="2">
        <f t="shared" si="5"/>
        <v>0</v>
      </c>
      <c r="Z388" s="2">
        <f t="shared" si="6"/>
        <v>0</v>
      </c>
      <c r="AA388" s="2">
        <f t="shared" si="7"/>
        <v>-1</v>
      </c>
      <c r="AB388" s="2">
        <f>IF(OR($M388="",$N388=""),0,MEDIAN(-MarginCap,MarginCap,($M388-$N388)-$AA388*HFA_Base))</f>
        <v>0</v>
      </c>
      <c r="AC388" s="2">
        <f t="array" ref="AC388">IF(OR($P388="",INDEX($P$3:$P$722,(ROW()+IF(MOD(ROW()-3,2)=0,1,-1))-3+1)=""),0,MEDIAN(-MarginCap,MarginCap,($T388-$W388)-$AA388*HFA_Base))</f>
        <v>0</v>
      </c>
      <c r="AD388" s="2">
        <f t="shared" si="8"/>
        <v>0</v>
      </c>
      <c r="AE388" s="2">
        <f>IF(OR($M388="",$N388=""),0,IF(AND(WEpa&gt;0,$AD388=1),(1-WEpa)*$AB388+WEpa*$AC388,$AB388))</f>
        <v>0</v>
      </c>
      <c r="AF388" s="2">
        <f>IF(AND($C388&lt;&gt;"",$E388=CurrentSeason,$F388="REG",ISNUMBER($G388),$G388&lt;CurrentWeek,AND($M388&lt;&gt;"",$N388&lt;&gt;"")),1,0)</f>
        <v>0</v>
      </c>
      <c r="AG388" s="2">
        <f>IF($AF388=0,0,IF($G388&gt;=CurrentWeek-RecencyWin,RecencyMult,1))</f>
        <v>0</v>
      </c>
      <c r="AH388" s="2">
        <f>IF(AND($C388&lt;&gt;"",$E388=CurrentSeason,$F388="REG",ISNUMBER($G388),$G388&lt;CurrentWeek-1,AND($M388&lt;&gt;"",$N388&lt;&gt;"")),1,0)</f>
        <v>0</v>
      </c>
      <c r="AI388" s="2">
        <f>IF($AH388=0,0,IF($G388&gt;=CurrentWeek-1-RecencyWin,RecencyMult,1))</f>
        <v>0</v>
      </c>
      <c r="AJ388" s="2">
        <f>IF($AF388=0,0,IF($G388&gt;=CurrentWeek-RecencyWin,TotRecency,1))</f>
        <v>0</v>
      </c>
      <c r="AK388" s="2">
        <f t="shared" si="9"/>
        <v>0</v>
      </c>
      <c r="AL388" s="2">
        <f t="shared" si="10"/>
        <v>0</v>
      </c>
      <c r="AM388" s="2" t="str">
        <f t="array" ref="AM388">IF($K388="",0,IFERROR(INDEX(CALC!$F$2:$F$33,MATCH($K388,CALC!$A$2:$A$33,0)),0))</f>
        <v/>
      </c>
      <c r="AN388" s="2" t="str">
        <f t="array" ref="AN388">IF($K388="",0,IFERROR(INDEX(CALC!$I$2:$I$33,MATCH($K388,CALC!$A$2:$A$33,0)),0))</f>
        <v/>
      </c>
      <c r="AO388" s="2" t="str">
        <f t="array" ref="AO388">IF($K388="",0,IFERROR(INDEX(CALC!$L$2:$L$33,MATCH($K388,CALC!$A$2:$A$33,0)),0))</f>
        <v/>
      </c>
      <c r="AP388" s="2" t="str">
        <f t="array" ref="AP388">IF($K388="",0,IFERROR(INDEX(CALC!$T$2:$T$33,MATCH($K388,CALC!$A$2:$A$33,0)),0))</f>
        <v/>
      </c>
      <c r="AQ388" s="2" t="str">
        <f t="array" ref="AQ388">IF($K388="",0,IFERROR(INDEX(CALC!$W$2:$W$33,MATCH($K388,CALC!$A$2:$A$33,0)),0))</f>
        <v/>
      </c>
      <c r="AR388" s="2" t="str">
        <f t="array" ref="AR388">IF($K388="",0,IFERROR(INDEX(CALC!$Z$2:$Z$33,MATCH($K388,CALC!$A$2:$A$33,0)),0))</f>
        <v/>
      </c>
      <c r="AS388" s="2" t="str">
        <f t="array" ref="AS388">IF($K388="",0,IFERROR(INDEX(CALC!$AJ$2:$AJ$33,MATCH($K388,CALC!$A$2:$A$33,0)),0))</f>
        <v/>
      </c>
      <c r="AT388" s="2" t="str">
        <f t="array" ref="AT388">IF($K388="",0,IFERROR(INDEX(CALC!$AI$2:$AI$33,MATCH($K388,CALC!$A$2:$A$33,0)),0))</f>
        <v/>
      </c>
      <c r="AU388" s="2">
        <f t="shared" si="11"/>
        <v>0</v>
      </c>
      <c r="AV388" s="2">
        <f t="shared" si="12"/>
        <v>0</v>
      </c>
    </row>
    <row r="389" ht="15.0" customHeight="1">
      <c r="A389" s="2">
        <v>194.0</v>
      </c>
      <c r="B389" s="2" t="s">
        <v>2365</v>
      </c>
      <c r="C389" s="2">
        <f>IFERROR(MATCH($A389,SchedSeq,0),"")</f>
        <v>479</v>
      </c>
      <c r="D389" s="2" t="str">
        <f t="array" ref="D389">IF($C389="","",INDEX(SchedZone,$C389,MAP!$B$6))</f>
        <v>2026_14_MIN_NE</v>
      </c>
      <c r="E389" s="2">
        <f t="array" ref="E389">IF($C389="","",INDEX(SchedZone,$C389,MAP!$B$3))</f>
        <v>2026</v>
      </c>
      <c r="F389" s="2" t="str">
        <f t="array" ref="F389">IF($C389="","",INDEX(SchedZone,$C389,MAP!$B$5))</f>
        <v>REG</v>
      </c>
      <c r="G389" s="2">
        <f t="array" ref="G389">IF($C389="","",INDEX(SchedZone,$C389,MAP!$B$4))</f>
        <v>14</v>
      </c>
      <c r="H389" s="2" t="str">
        <f t="array" ref="H389">IF($C389="","",INDEX(SchedZone,$C389,MAP!$B$12))</f>
        <v>NE</v>
      </c>
      <c r="I389" s="2" t="str">
        <f t="array" ref="I389">IF($H389="","",IF(COUNTIF(Teams,$H389)&gt;0,$H389,IFERROR(INDEX(LISTS!$D$2:$D$12,MATCH($H389,LISTS!$C$2:$C$12,0)),"⚠ "&amp;$H389)))</f>
        <v>NE</v>
      </c>
      <c r="J389" s="2" t="str">
        <f t="array" ref="J389">IF($C389="","",INDEX(SchedZone,$C389,MAP!$B$10))</f>
        <v>MIN</v>
      </c>
      <c r="K389" s="2" t="str">
        <f t="array" ref="K389">IF($J389="","",IF(COUNTIF(Teams,$J389)&gt;0,$J389,IFERROR(INDEX(LISTS!$D$2:$D$12,MATCH($J389,LISTS!$C$2:$C$12,0)),"⚠ "&amp;$J389)))</f>
        <v>MIN</v>
      </c>
      <c r="L389" s="2" t="str">
        <f t="array" ref="L389">IF($C389="","",IF(INDEX(SchedZone,$C389,MAP!$B$14)="Neutral","N",IF($B389="HOME","H","A")))</f>
        <v>H</v>
      </c>
      <c r="M389" s="2" t="str">
        <f t="array" ref="M389">IF($C389="","",IF(INDEX(SchedZone,$C389,MAP!$B$13)="","",INDEX(SchedZone,$C389,MAP!$B$13)))</f>
        <v/>
      </c>
      <c r="N389" s="2" t="str">
        <f t="array" ref="N389">IF($C389="","",IF(INDEX(SchedZone,$C389,MAP!$B$11)="","",INDEX(SchedZone,$C389,MAP!$B$11)))</f>
        <v/>
      </c>
      <c r="O389" s="2">
        <f t="array" ref="O389">IF($C389="","",INDEX(SchedZone,$C389,MAP!$B$16))</f>
        <v>4</v>
      </c>
      <c r="P389" s="2" t="str">
        <f>IF($C389="","",IFERROR(MATCH($E389&amp;"|"&amp;$G389&amp;"|"&amp;$I389,StatsKey,0),""))</f>
        <v/>
      </c>
      <c r="Q389" s="2">
        <f t="array" ref="Q389">IF($P389="",0,INDEX(StatsZone,$P389,MAP!$E$9)+INDEX(StatsZone,$P389,MAP!$E$10)+INDEX(StatsZone,$P389,MAP!$E$11))</f>
        <v>0</v>
      </c>
      <c r="R389" s="2">
        <f t="array" ref="R389">IF($P389="",0,INDEX(StatsZone,$P389,MAP!$E$12))</f>
        <v>0</v>
      </c>
      <c r="S389" s="2">
        <f t="array" ref="S389">IF($P389="",0,INDEX(StatsZone,$P389,MAP!$E$13))</f>
        <v>0</v>
      </c>
      <c r="T389" s="2">
        <f t="shared" si="1"/>
        <v>0</v>
      </c>
      <c r="U389" s="2">
        <f t="array" ref="U389">IF($P389="",0,INDEX(StatsZone,$P389,MAP!$E$14)+INDEX(StatsZone,$P389,MAP!$E$15)+INDEX(StatsZone,$P389,MAP!$E$16))</f>
        <v>0</v>
      </c>
      <c r="V389" s="2">
        <f t="shared" si="2"/>
        <v>0</v>
      </c>
      <c r="W389" s="2">
        <f t="shared" si="3"/>
        <v>0</v>
      </c>
      <c r="X389" s="2">
        <f t="shared" si="4"/>
        <v>0</v>
      </c>
      <c r="Y389" s="2">
        <f t="shared" si="5"/>
        <v>0</v>
      </c>
      <c r="Z389" s="2">
        <f t="shared" si="6"/>
        <v>0</v>
      </c>
      <c r="AA389" s="2">
        <f t="shared" si="7"/>
        <v>1</v>
      </c>
      <c r="AB389" s="2">
        <f>IF(OR($M389="",$N389=""),0,MEDIAN(-MarginCap,MarginCap,($M389-$N389)-$AA389*HFA_Base))</f>
        <v>0</v>
      </c>
      <c r="AC389" s="2">
        <f t="array" ref="AC389">IF(OR($P389="",INDEX($P$3:$P$722,(ROW()+IF(MOD(ROW()-3,2)=0,1,-1))-3+1)=""),0,MEDIAN(-MarginCap,MarginCap,($T389-$W389)-$AA389*HFA_Base))</f>
        <v>0</v>
      </c>
      <c r="AD389" s="2">
        <f t="shared" si="8"/>
        <v>0</v>
      </c>
      <c r="AE389" s="2">
        <f>IF(OR($M389="",$N389=""),0,IF(AND(WEpa&gt;0,$AD389=1),(1-WEpa)*$AB389+WEpa*$AC389,$AB389))</f>
        <v>0</v>
      </c>
      <c r="AF389" s="2">
        <f>IF(AND($C389&lt;&gt;"",$E389=CurrentSeason,$F389="REG",ISNUMBER($G389),$G389&lt;CurrentWeek,AND($M389&lt;&gt;"",$N389&lt;&gt;"")),1,0)</f>
        <v>0</v>
      </c>
      <c r="AG389" s="2">
        <f>IF($AF389=0,0,IF($G389&gt;=CurrentWeek-RecencyWin,RecencyMult,1))</f>
        <v>0</v>
      </c>
      <c r="AH389" s="2">
        <f>IF(AND($C389&lt;&gt;"",$E389=CurrentSeason,$F389="REG",ISNUMBER($G389),$G389&lt;CurrentWeek-1,AND($M389&lt;&gt;"",$N389&lt;&gt;"")),1,0)</f>
        <v>0</v>
      </c>
      <c r="AI389" s="2">
        <f>IF($AH389=0,0,IF($G389&gt;=CurrentWeek-1-RecencyWin,RecencyMult,1))</f>
        <v>0</v>
      </c>
      <c r="AJ389" s="2">
        <f>IF($AF389=0,0,IF($G389&gt;=CurrentWeek-RecencyWin,TotRecency,1))</f>
        <v>0</v>
      </c>
      <c r="AK389" s="2">
        <f t="shared" si="9"/>
        <v>0</v>
      </c>
      <c r="AL389" s="2">
        <f t="shared" si="10"/>
        <v>0</v>
      </c>
      <c r="AM389" s="2" t="str">
        <f t="array" ref="AM389">IF($K389="",0,IFERROR(INDEX(CALC!$F$2:$F$33,MATCH($K389,CALC!$A$2:$A$33,0)),0))</f>
        <v/>
      </c>
      <c r="AN389" s="2" t="str">
        <f t="array" ref="AN389">IF($K389="",0,IFERROR(INDEX(CALC!$I$2:$I$33,MATCH($K389,CALC!$A$2:$A$33,0)),0))</f>
        <v/>
      </c>
      <c r="AO389" s="2" t="str">
        <f t="array" ref="AO389">IF($K389="",0,IFERROR(INDEX(CALC!$L$2:$L$33,MATCH($K389,CALC!$A$2:$A$33,0)),0))</f>
        <v/>
      </c>
      <c r="AP389" s="2" t="str">
        <f t="array" ref="AP389">IF($K389="",0,IFERROR(INDEX(CALC!$T$2:$T$33,MATCH($K389,CALC!$A$2:$A$33,0)),0))</f>
        <v/>
      </c>
      <c r="AQ389" s="2" t="str">
        <f t="array" ref="AQ389">IF($K389="",0,IFERROR(INDEX(CALC!$W$2:$W$33,MATCH($K389,CALC!$A$2:$A$33,0)),0))</f>
        <v/>
      </c>
      <c r="AR389" s="2" t="str">
        <f t="array" ref="AR389">IF($K389="",0,IFERROR(INDEX(CALC!$Z$2:$Z$33,MATCH($K389,CALC!$A$2:$A$33,0)),0))</f>
        <v/>
      </c>
      <c r="AS389" s="2" t="str">
        <f t="array" ref="AS389">IF($K389="",0,IFERROR(INDEX(CALC!$AJ$2:$AJ$33,MATCH($K389,CALC!$A$2:$A$33,0)),0))</f>
        <v/>
      </c>
      <c r="AT389" s="2" t="str">
        <f t="array" ref="AT389">IF($K389="",0,IFERROR(INDEX(CALC!$AI$2:$AI$33,MATCH($K389,CALC!$A$2:$A$33,0)),0))</f>
        <v/>
      </c>
      <c r="AU389" s="2">
        <f t="shared" si="11"/>
        <v>0</v>
      </c>
      <c r="AV389" s="2">
        <f t="shared" si="12"/>
        <v>0</v>
      </c>
    </row>
    <row r="390" ht="15.0" customHeight="1">
      <c r="A390" s="2">
        <v>194.0</v>
      </c>
      <c r="B390" s="2" t="s">
        <v>2366</v>
      </c>
      <c r="C390" s="2">
        <f>IFERROR(MATCH($A390,SchedSeq,0),"")</f>
        <v>479</v>
      </c>
      <c r="D390" s="2" t="str">
        <f t="array" ref="D390">IF($C390="","",INDEX(SchedZone,$C390,MAP!$B$6))</f>
        <v>2026_14_MIN_NE</v>
      </c>
      <c r="E390" s="2">
        <f t="array" ref="E390">IF($C390="","",INDEX(SchedZone,$C390,MAP!$B$3))</f>
        <v>2026</v>
      </c>
      <c r="F390" s="2" t="str">
        <f t="array" ref="F390">IF($C390="","",INDEX(SchedZone,$C390,MAP!$B$5))</f>
        <v>REG</v>
      </c>
      <c r="G390" s="2">
        <f t="array" ref="G390">IF($C390="","",INDEX(SchedZone,$C390,MAP!$B$4))</f>
        <v>14</v>
      </c>
      <c r="H390" s="2" t="str">
        <f t="array" ref="H390">IF($C390="","",INDEX(SchedZone,$C390,MAP!$B$10))</f>
        <v>MIN</v>
      </c>
      <c r="I390" s="2" t="str">
        <f t="array" ref="I390">IF($H390="","",IF(COUNTIF(Teams,$H390)&gt;0,$H390,IFERROR(INDEX(LISTS!$D$2:$D$12,MATCH($H390,LISTS!$C$2:$C$12,0)),"⚠ "&amp;$H390)))</f>
        <v>MIN</v>
      </c>
      <c r="J390" s="2" t="str">
        <f t="array" ref="J390">IF($C390="","",INDEX(SchedZone,$C390,MAP!$B$12))</f>
        <v>NE</v>
      </c>
      <c r="K390" s="2" t="str">
        <f t="array" ref="K390">IF($J390="","",IF(COUNTIF(Teams,$J390)&gt;0,$J390,IFERROR(INDEX(LISTS!$D$2:$D$12,MATCH($J390,LISTS!$C$2:$C$12,0)),"⚠ "&amp;$J390)))</f>
        <v>NE</v>
      </c>
      <c r="L390" s="2" t="str">
        <f t="array" ref="L390">IF($C390="","",IF(INDEX(SchedZone,$C390,MAP!$B$14)="Neutral","N",IF($B390="HOME","H","A")))</f>
        <v>A</v>
      </c>
      <c r="M390" s="2" t="str">
        <f t="array" ref="M390">IF($C390="","",IF(INDEX(SchedZone,$C390,MAP!$B$11)="","",INDEX(SchedZone,$C390,MAP!$B$11)))</f>
        <v/>
      </c>
      <c r="N390" s="2" t="str">
        <f t="array" ref="N390">IF($C390="","",IF(INDEX(SchedZone,$C390,MAP!$B$13)="","",INDEX(SchedZone,$C390,MAP!$B$13)))</f>
        <v/>
      </c>
      <c r="O390" s="2">
        <f t="array" ref="O390">IF($C390="","",INDEX(SchedZone,$C390,MAP!$B$15))</f>
        <v>4</v>
      </c>
      <c r="P390" s="2" t="str">
        <f>IF($C390="","",IFERROR(MATCH($E390&amp;"|"&amp;$G390&amp;"|"&amp;$I390,StatsKey,0),""))</f>
        <v/>
      </c>
      <c r="Q390" s="2">
        <f t="array" ref="Q390">IF($P390="",0,INDEX(StatsZone,$P390,MAP!$E$9)+INDEX(StatsZone,$P390,MAP!$E$10)+INDEX(StatsZone,$P390,MAP!$E$11))</f>
        <v>0</v>
      </c>
      <c r="R390" s="2">
        <f t="array" ref="R390">IF($P390="",0,INDEX(StatsZone,$P390,MAP!$E$12))</f>
        <v>0</v>
      </c>
      <c r="S390" s="2">
        <f t="array" ref="S390">IF($P390="",0,INDEX(StatsZone,$P390,MAP!$E$13))</f>
        <v>0</v>
      </c>
      <c r="T390" s="2">
        <f t="shared" si="1"/>
        <v>0</v>
      </c>
      <c r="U390" s="2">
        <f t="array" ref="U390">IF($P390="",0,INDEX(StatsZone,$P390,MAP!$E$14)+INDEX(StatsZone,$P390,MAP!$E$15)+INDEX(StatsZone,$P390,MAP!$E$16))</f>
        <v>0</v>
      </c>
      <c r="V390" s="2">
        <f t="shared" si="2"/>
        <v>0</v>
      </c>
      <c r="W390" s="2">
        <f t="shared" si="3"/>
        <v>0</v>
      </c>
      <c r="X390" s="2">
        <f t="shared" si="4"/>
        <v>0</v>
      </c>
      <c r="Y390" s="2">
        <f t="shared" si="5"/>
        <v>0</v>
      </c>
      <c r="Z390" s="2">
        <f t="shared" si="6"/>
        <v>0</v>
      </c>
      <c r="AA390" s="2">
        <f t="shared" si="7"/>
        <v>-1</v>
      </c>
      <c r="AB390" s="2">
        <f>IF(OR($M390="",$N390=""),0,MEDIAN(-MarginCap,MarginCap,($M390-$N390)-$AA390*HFA_Base))</f>
        <v>0</v>
      </c>
      <c r="AC390" s="2">
        <f t="array" ref="AC390">IF(OR($P390="",INDEX($P$3:$P$722,(ROW()+IF(MOD(ROW()-3,2)=0,1,-1))-3+1)=""),0,MEDIAN(-MarginCap,MarginCap,($T390-$W390)-$AA390*HFA_Base))</f>
        <v>0</v>
      </c>
      <c r="AD390" s="2">
        <f t="shared" si="8"/>
        <v>0</v>
      </c>
      <c r="AE390" s="2">
        <f>IF(OR($M390="",$N390=""),0,IF(AND(WEpa&gt;0,$AD390=1),(1-WEpa)*$AB390+WEpa*$AC390,$AB390))</f>
        <v>0</v>
      </c>
      <c r="AF390" s="2">
        <f>IF(AND($C390&lt;&gt;"",$E390=CurrentSeason,$F390="REG",ISNUMBER($G390),$G390&lt;CurrentWeek,AND($M390&lt;&gt;"",$N390&lt;&gt;"")),1,0)</f>
        <v>0</v>
      </c>
      <c r="AG390" s="2">
        <f>IF($AF390=0,0,IF($G390&gt;=CurrentWeek-RecencyWin,RecencyMult,1))</f>
        <v>0</v>
      </c>
      <c r="AH390" s="2">
        <f>IF(AND($C390&lt;&gt;"",$E390=CurrentSeason,$F390="REG",ISNUMBER($G390),$G390&lt;CurrentWeek-1,AND($M390&lt;&gt;"",$N390&lt;&gt;"")),1,0)</f>
        <v>0</v>
      </c>
      <c r="AI390" s="2">
        <f>IF($AH390=0,0,IF($G390&gt;=CurrentWeek-1-RecencyWin,RecencyMult,1))</f>
        <v>0</v>
      </c>
      <c r="AJ390" s="2">
        <f>IF($AF390=0,0,IF($G390&gt;=CurrentWeek-RecencyWin,TotRecency,1))</f>
        <v>0</v>
      </c>
      <c r="AK390" s="2">
        <f t="shared" si="9"/>
        <v>0</v>
      </c>
      <c r="AL390" s="2">
        <f t="shared" si="10"/>
        <v>0</v>
      </c>
      <c r="AM390" s="2" t="str">
        <f t="array" ref="AM390">IF($K390="",0,IFERROR(INDEX(CALC!$F$2:$F$33,MATCH($K390,CALC!$A$2:$A$33,0)),0))</f>
        <v/>
      </c>
      <c r="AN390" s="2" t="str">
        <f t="array" ref="AN390">IF($K390="",0,IFERROR(INDEX(CALC!$I$2:$I$33,MATCH($K390,CALC!$A$2:$A$33,0)),0))</f>
        <v/>
      </c>
      <c r="AO390" s="2" t="str">
        <f t="array" ref="AO390">IF($K390="",0,IFERROR(INDEX(CALC!$L$2:$L$33,MATCH($K390,CALC!$A$2:$A$33,0)),0))</f>
        <v/>
      </c>
      <c r="AP390" s="2" t="str">
        <f t="array" ref="AP390">IF($K390="",0,IFERROR(INDEX(CALC!$T$2:$T$33,MATCH($K390,CALC!$A$2:$A$33,0)),0))</f>
        <v/>
      </c>
      <c r="AQ390" s="2" t="str">
        <f t="array" ref="AQ390">IF($K390="",0,IFERROR(INDEX(CALC!$W$2:$W$33,MATCH($K390,CALC!$A$2:$A$33,0)),0))</f>
        <v/>
      </c>
      <c r="AR390" s="2" t="str">
        <f t="array" ref="AR390">IF($K390="",0,IFERROR(INDEX(CALC!$Z$2:$Z$33,MATCH($K390,CALC!$A$2:$A$33,0)),0))</f>
        <v/>
      </c>
      <c r="AS390" s="2" t="str">
        <f t="array" ref="AS390">IF($K390="",0,IFERROR(INDEX(CALC!$AJ$2:$AJ$33,MATCH($K390,CALC!$A$2:$A$33,0)),0))</f>
        <v/>
      </c>
      <c r="AT390" s="2" t="str">
        <f t="array" ref="AT390">IF($K390="",0,IFERROR(INDEX(CALC!$AI$2:$AI$33,MATCH($K390,CALC!$A$2:$A$33,0)),0))</f>
        <v/>
      </c>
      <c r="AU390" s="2">
        <f t="shared" si="11"/>
        <v>0</v>
      </c>
      <c r="AV390" s="2">
        <f t="shared" si="12"/>
        <v>0</v>
      </c>
    </row>
    <row r="391" ht="15.0" customHeight="1">
      <c r="A391" s="2">
        <v>195.0</v>
      </c>
      <c r="B391" s="2" t="s">
        <v>2365</v>
      </c>
      <c r="C391" s="2">
        <f>IFERROR(MATCH($A391,SchedSeq,0),"")</f>
        <v>480</v>
      </c>
      <c r="D391" s="2" t="str">
        <f t="array" ref="D391">IF($C391="","",INDEX(SchedZone,$C391,MAP!$B$6))</f>
        <v>2026_14_TB_BAL</v>
      </c>
      <c r="E391" s="2">
        <f t="array" ref="E391">IF($C391="","",INDEX(SchedZone,$C391,MAP!$B$3))</f>
        <v>2026</v>
      </c>
      <c r="F391" s="2" t="str">
        <f t="array" ref="F391">IF($C391="","",INDEX(SchedZone,$C391,MAP!$B$5))</f>
        <v>REG</v>
      </c>
      <c r="G391" s="2">
        <f t="array" ref="G391">IF($C391="","",INDEX(SchedZone,$C391,MAP!$B$4))</f>
        <v>14</v>
      </c>
      <c r="H391" s="2" t="str">
        <f t="array" ref="H391">IF($C391="","",INDEX(SchedZone,$C391,MAP!$B$12))</f>
        <v>BAL</v>
      </c>
      <c r="I391" s="2" t="str">
        <f t="array" ref="I391">IF($H391="","",IF(COUNTIF(Teams,$H391)&gt;0,$H391,IFERROR(INDEX(LISTS!$D$2:$D$12,MATCH($H391,LISTS!$C$2:$C$12,0)),"⚠ "&amp;$H391)))</f>
        <v>BAL</v>
      </c>
      <c r="J391" s="2" t="str">
        <f t="array" ref="J391">IF($C391="","",INDEX(SchedZone,$C391,MAP!$B$10))</f>
        <v>TB</v>
      </c>
      <c r="K391" s="2" t="str">
        <f t="array" ref="K391">IF($J391="","",IF(COUNTIF(Teams,$J391)&gt;0,$J391,IFERROR(INDEX(LISTS!$D$2:$D$12,MATCH($J391,LISTS!$C$2:$C$12,0)),"⚠ "&amp;$J391)))</f>
        <v>TB</v>
      </c>
      <c r="L391" s="2" t="str">
        <f t="array" ref="L391">IF($C391="","",IF(INDEX(SchedZone,$C391,MAP!$B$14)="Neutral","N",IF($B391="HOME","H","A")))</f>
        <v>H</v>
      </c>
      <c r="M391" s="2" t="str">
        <f t="array" ref="M391">IF($C391="","",IF(INDEX(SchedZone,$C391,MAP!$B$13)="","",INDEX(SchedZone,$C391,MAP!$B$13)))</f>
        <v/>
      </c>
      <c r="N391" s="2" t="str">
        <f t="array" ref="N391">IF($C391="","",IF(INDEX(SchedZone,$C391,MAP!$B$11)="","",INDEX(SchedZone,$C391,MAP!$B$11)))</f>
        <v/>
      </c>
      <c r="O391" s="2">
        <f t="array" ref="O391">IF($C391="","",INDEX(SchedZone,$C391,MAP!$B$16))</f>
        <v>14</v>
      </c>
      <c r="P391" s="2" t="str">
        <f>IF($C391="","",IFERROR(MATCH($E391&amp;"|"&amp;$G391&amp;"|"&amp;$I391,StatsKey,0),""))</f>
        <v/>
      </c>
      <c r="Q391" s="2">
        <f t="array" ref="Q391">IF($P391="",0,INDEX(StatsZone,$P391,MAP!$E$9)+INDEX(StatsZone,$P391,MAP!$E$10)+INDEX(StatsZone,$P391,MAP!$E$11))</f>
        <v>0</v>
      </c>
      <c r="R391" s="2">
        <f t="array" ref="R391">IF($P391="",0,INDEX(StatsZone,$P391,MAP!$E$12))</f>
        <v>0</v>
      </c>
      <c r="S391" s="2">
        <f t="array" ref="S391">IF($P391="",0,INDEX(StatsZone,$P391,MAP!$E$13))</f>
        <v>0</v>
      </c>
      <c r="T391" s="2">
        <f t="shared" si="1"/>
        <v>0</v>
      </c>
      <c r="U391" s="2">
        <f t="array" ref="U391">IF($P391="",0,INDEX(StatsZone,$P391,MAP!$E$14)+INDEX(StatsZone,$P391,MAP!$E$15)+INDEX(StatsZone,$P391,MAP!$E$16))</f>
        <v>0</v>
      </c>
      <c r="V391" s="2">
        <f t="shared" si="2"/>
        <v>0</v>
      </c>
      <c r="W391" s="2">
        <f t="shared" si="3"/>
        <v>0</v>
      </c>
      <c r="X391" s="2">
        <f t="shared" si="4"/>
        <v>0</v>
      </c>
      <c r="Y391" s="2">
        <f t="shared" si="5"/>
        <v>0</v>
      </c>
      <c r="Z391" s="2">
        <f t="shared" si="6"/>
        <v>0</v>
      </c>
      <c r="AA391" s="2">
        <f t="shared" si="7"/>
        <v>1</v>
      </c>
      <c r="AB391" s="2">
        <f>IF(OR($M391="",$N391=""),0,MEDIAN(-MarginCap,MarginCap,($M391-$N391)-$AA391*HFA_Base))</f>
        <v>0</v>
      </c>
      <c r="AC391" s="2">
        <f t="array" ref="AC391">IF(OR($P391="",INDEX($P$3:$P$722,(ROW()+IF(MOD(ROW()-3,2)=0,1,-1))-3+1)=""),0,MEDIAN(-MarginCap,MarginCap,($T391-$W391)-$AA391*HFA_Base))</f>
        <v>0</v>
      </c>
      <c r="AD391" s="2">
        <f t="shared" si="8"/>
        <v>0</v>
      </c>
      <c r="AE391" s="2">
        <f>IF(OR($M391="",$N391=""),0,IF(AND(WEpa&gt;0,$AD391=1),(1-WEpa)*$AB391+WEpa*$AC391,$AB391))</f>
        <v>0</v>
      </c>
      <c r="AF391" s="2">
        <f>IF(AND($C391&lt;&gt;"",$E391=CurrentSeason,$F391="REG",ISNUMBER($G391),$G391&lt;CurrentWeek,AND($M391&lt;&gt;"",$N391&lt;&gt;"")),1,0)</f>
        <v>0</v>
      </c>
      <c r="AG391" s="2">
        <f>IF($AF391=0,0,IF($G391&gt;=CurrentWeek-RecencyWin,RecencyMult,1))</f>
        <v>0</v>
      </c>
      <c r="AH391" s="2">
        <f>IF(AND($C391&lt;&gt;"",$E391=CurrentSeason,$F391="REG",ISNUMBER($G391),$G391&lt;CurrentWeek-1,AND($M391&lt;&gt;"",$N391&lt;&gt;"")),1,0)</f>
        <v>0</v>
      </c>
      <c r="AI391" s="2">
        <f>IF($AH391=0,0,IF($G391&gt;=CurrentWeek-1-RecencyWin,RecencyMult,1))</f>
        <v>0</v>
      </c>
      <c r="AJ391" s="2">
        <f>IF($AF391=0,0,IF($G391&gt;=CurrentWeek-RecencyWin,TotRecency,1))</f>
        <v>0</v>
      </c>
      <c r="AK391" s="2">
        <f t="shared" si="9"/>
        <v>0</v>
      </c>
      <c r="AL391" s="2">
        <f t="shared" si="10"/>
        <v>0</v>
      </c>
      <c r="AM391" s="2" t="str">
        <f t="array" ref="AM391">IF($K391="",0,IFERROR(INDEX(CALC!$F$2:$F$33,MATCH($K391,CALC!$A$2:$A$33,0)),0))</f>
        <v/>
      </c>
      <c r="AN391" s="2" t="str">
        <f t="array" ref="AN391">IF($K391="",0,IFERROR(INDEX(CALC!$I$2:$I$33,MATCH($K391,CALC!$A$2:$A$33,0)),0))</f>
        <v/>
      </c>
      <c r="AO391" s="2" t="str">
        <f t="array" ref="AO391">IF($K391="",0,IFERROR(INDEX(CALC!$L$2:$L$33,MATCH($K391,CALC!$A$2:$A$33,0)),0))</f>
        <v/>
      </c>
      <c r="AP391" s="2" t="str">
        <f t="array" ref="AP391">IF($K391="",0,IFERROR(INDEX(CALC!$T$2:$T$33,MATCH($K391,CALC!$A$2:$A$33,0)),0))</f>
        <v/>
      </c>
      <c r="AQ391" s="2" t="str">
        <f t="array" ref="AQ391">IF($K391="",0,IFERROR(INDEX(CALC!$W$2:$W$33,MATCH($K391,CALC!$A$2:$A$33,0)),0))</f>
        <v/>
      </c>
      <c r="AR391" s="2" t="str">
        <f t="array" ref="AR391">IF($K391="",0,IFERROR(INDEX(CALC!$Z$2:$Z$33,MATCH($K391,CALC!$A$2:$A$33,0)),0))</f>
        <v/>
      </c>
      <c r="AS391" s="2" t="str">
        <f t="array" ref="AS391">IF($K391="",0,IFERROR(INDEX(CALC!$AJ$2:$AJ$33,MATCH($K391,CALC!$A$2:$A$33,0)),0))</f>
        <v/>
      </c>
      <c r="AT391" s="2" t="str">
        <f t="array" ref="AT391">IF($K391="",0,IFERROR(INDEX(CALC!$AI$2:$AI$33,MATCH($K391,CALC!$A$2:$A$33,0)),0))</f>
        <v/>
      </c>
      <c r="AU391" s="2">
        <f t="shared" si="11"/>
        <v>0</v>
      </c>
      <c r="AV391" s="2">
        <f t="shared" si="12"/>
        <v>0</v>
      </c>
    </row>
    <row r="392" ht="15.0" customHeight="1">
      <c r="A392" s="2">
        <v>195.0</v>
      </c>
      <c r="B392" s="2" t="s">
        <v>2366</v>
      </c>
      <c r="C392" s="2">
        <f>IFERROR(MATCH($A392,SchedSeq,0),"")</f>
        <v>480</v>
      </c>
      <c r="D392" s="2" t="str">
        <f t="array" ref="D392">IF($C392="","",INDEX(SchedZone,$C392,MAP!$B$6))</f>
        <v>2026_14_TB_BAL</v>
      </c>
      <c r="E392" s="2">
        <f t="array" ref="E392">IF($C392="","",INDEX(SchedZone,$C392,MAP!$B$3))</f>
        <v>2026</v>
      </c>
      <c r="F392" s="2" t="str">
        <f t="array" ref="F392">IF($C392="","",INDEX(SchedZone,$C392,MAP!$B$5))</f>
        <v>REG</v>
      </c>
      <c r="G392" s="2">
        <f t="array" ref="G392">IF($C392="","",INDEX(SchedZone,$C392,MAP!$B$4))</f>
        <v>14</v>
      </c>
      <c r="H392" s="2" t="str">
        <f t="array" ref="H392">IF($C392="","",INDEX(SchedZone,$C392,MAP!$B$10))</f>
        <v>TB</v>
      </c>
      <c r="I392" s="2" t="str">
        <f t="array" ref="I392">IF($H392="","",IF(COUNTIF(Teams,$H392)&gt;0,$H392,IFERROR(INDEX(LISTS!$D$2:$D$12,MATCH($H392,LISTS!$C$2:$C$12,0)),"⚠ "&amp;$H392)))</f>
        <v>TB</v>
      </c>
      <c r="J392" s="2" t="str">
        <f t="array" ref="J392">IF($C392="","",INDEX(SchedZone,$C392,MAP!$B$12))</f>
        <v>BAL</v>
      </c>
      <c r="K392" s="2" t="str">
        <f t="array" ref="K392">IF($J392="","",IF(COUNTIF(Teams,$J392)&gt;0,$J392,IFERROR(INDEX(LISTS!$D$2:$D$12,MATCH($J392,LISTS!$C$2:$C$12,0)),"⚠ "&amp;$J392)))</f>
        <v>BAL</v>
      </c>
      <c r="L392" s="2" t="str">
        <f t="array" ref="L392">IF($C392="","",IF(INDEX(SchedZone,$C392,MAP!$B$14)="Neutral","N",IF($B392="HOME","H","A")))</f>
        <v>A</v>
      </c>
      <c r="M392" s="2" t="str">
        <f t="array" ref="M392">IF($C392="","",IF(INDEX(SchedZone,$C392,MAP!$B$11)="","",INDEX(SchedZone,$C392,MAP!$B$11)))</f>
        <v/>
      </c>
      <c r="N392" s="2" t="str">
        <f t="array" ref="N392">IF($C392="","",IF(INDEX(SchedZone,$C392,MAP!$B$13)="","",INDEX(SchedZone,$C392,MAP!$B$13)))</f>
        <v/>
      </c>
      <c r="O392" s="2">
        <f t="array" ref="O392">IF($C392="","",INDEX(SchedZone,$C392,MAP!$B$15))</f>
        <v>7</v>
      </c>
      <c r="P392" s="2" t="str">
        <f>IF($C392="","",IFERROR(MATCH($E392&amp;"|"&amp;$G392&amp;"|"&amp;$I392,StatsKey,0),""))</f>
        <v/>
      </c>
      <c r="Q392" s="2">
        <f t="array" ref="Q392">IF($P392="",0,INDEX(StatsZone,$P392,MAP!$E$9)+INDEX(StatsZone,$P392,MAP!$E$10)+INDEX(StatsZone,$P392,MAP!$E$11))</f>
        <v>0</v>
      </c>
      <c r="R392" s="2">
        <f t="array" ref="R392">IF($P392="",0,INDEX(StatsZone,$P392,MAP!$E$12))</f>
        <v>0</v>
      </c>
      <c r="S392" s="2">
        <f t="array" ref="S392">IF($P392="",0,INDEX(StatsZone,$P392,MAP!$E$13))</f>
        <v>0</v>
      </c>
      <c r="T392" s="2">
        <f t="shared" si="1"/>
        <v>0</v>
      </c>
      <c r="U392" s="2">
        <f t="array" ref="U392">IF($P392="",0,INDEX(StatsZone,$P392,MAP!$E$14)+INDEX(StatsZone,$P392,MAP!$E$15)+INDEX(StatsZone,$P392,MAP!$E$16))</f>
        <v>0</v>
      </c>
      <c r="V392" s="2">
        <f t="shared" si="2"/>
        <v>0</v>
      </c>
      <c r="W392" s="2">
        <f t="shared" si="3"/>
        <v>0</v>
      </c>
      <c r="X392" s="2">
        <f t="shared" si="4"/>
        <v>0</v>
      </c>
      <c r="Y392" s="2">
        <f t="shared" si="5"/>
        <v>0</v>
      </c>
      <c r="Z392" s="2">
        <f t="shared" si="6"/>
        <v>0</v>
      </c>
      <c r="AA392" s="2">
        <f t="shared" si="7"/>
        <v>-1</v>
      </c>
      <c r="AB392" s="2">
        <f>IF(OR($M392="",$N392=""),0,MEDIAN(-MarginCap,MarginCap,($M392-$N392)-$AA392*HFA_Base))</f>
        <v>0</v>
      </c>
      <c r="AC392" s="2">
        <f t="array" ref="AC392">IF(OR($P392="",INDEX($P$3:$P$722,(ROW()+IF(MOD(ROW()-3,2)=0,1,-1))-3+1)=""),0,MEDIAN(-MarginCap,MarginCap,($T392-$W392)-$AA392*HFA_Base))</f>
        <v>0</v>
      </c>
      <c r="AD392" s="2">
        <f t="shared" si="8"/>
        <v>0</v>
      </c>
      <c r="AE392" s="2">
        <f>IF(OR($M392="",$N392=""),0,IF(AND(WEpa&gt;0,$AD392=1),(1-WEpa)*$AB392+WEpa*$AC392,$AB392))</f>
        <v>0</v>
      </c>
      <c r="AF392" s="2">
        <f>IF(AND($C392&lt;&gt;"",$E392=CurrentSeason,$F392="REG",ISNUMBER($G392),$G392&lt;CurrentWeek,AND($M392&lt;&gt;"",$N392&lt;&gt;"")),1,0)</f>
        <v>0</v>
      </c>
      <c r="AG392" s="2">
        <f>IF($AF392=0,0,IF($G392&gt;=CurrentWeek-RecencyWin,RecencyMult,1))</f>
        <v>0</v>
      </c>
      <c r="AH392" s="2">
        <f>IF(AND($C392&lt;&gt;"",$E392=CurrentSeason,$F392="REG",ISNUMBER($G392),$G392&lt;CurrentWeek-1,AND($M392&lt;&gt;"",$N392&lt;&gt;"")),1,0)</f>
        <v>0</v>
      </c>
      <c r="AI392" s="2">
        <f>IF($AH392=0,0,IF($G392&gt;=CurrentWeek-1-RecencyWin,RecencyMult,1))</f>
        <v>0</v>
      </c>
      <c r="AJ392" s="2">
        <f>IF($AF392=0,0,IF($G392&gt;=CurrentWeek-RecencyWin,TotRecency,1))</f>
        <v>0</v>
      </c>
      <c r="AK392" s="2">
        <f t="shared" si="9"/>
        <v>0</v>
      </c>
      <c r="AL392" s="2">
        <f t="shared" si="10"/>
        <v>0</v>
      </c>
      <c r="AM392" s="2" t="str">
        <f t="array" ref="AM392">IF($K392="",0,IFERROR(INDEX(CALC!$F$2:$F$33,MATCH($K392,CALC!$A$2:$A$33,0)),0))</f>
        <v/>
      </c>
      <c r="AN392" s="2" t="str">
        <f t="array" ref="AN392">IF($K392="",0,IFERROR(INDEX(CALC!$I$2:$I$33,MATCH($K392,CALC!$A$2:$A$33,0)),0))</f>
        <v/>
      </c>
      <c r="AO392" s="2" t="str">
        <f t="array" ref="AO392">IF($K392="",0,IFERROR(INDEX(CALC!$L$2:$L$33,MATCH($K392,CALC!$A$2:$A$33,0)),0))</f>
        <v/>
      </c>
      <c r="AP392" s="2" t="str">
        <f t="array" ref="AP392">IF($K392="",0,IFERROR(INDEX(CALC!$T$2:$T$33,MATCH($K392,CALC!$A$2:$A$33,0)),0))</f>
        <v/>
      </c>
      <c r="AQ392" s="2" t="str">
        <f t="array" ref="AQ392">IF($K392="",0,IFERROR(INDEX(CALC!$W$2:$W$33,MATCH($K392,CALC!$A$2:$A$33,0)),0))</f>
        <v/>
      </c>
      <c r="AR392" s="2" t="str">
        <f t="array" ref="AR392">IF($K392="",0,IFERROR(INDEX(CALC!$Z$2:$Z$33,MATCH($K392,CALC!$A$2:$A$33,0)),0))</f>
        <v/>
      </c>
      <c r="AS392" s="2" t="str">
        <f t="array" ref="AS392">IF($K392="",0,IFERROR(INDEX(CALC!$AJ$2:$AJ$33,MATCH($K392,CALC!$A$2:$A$33,0)),0))</f>
        <v/>
      </c>
      <c r="AT392" s="2" t="str">
        <f t="array" ref="AT392">IF($K392="",0,IFERROR(INDEX(CALC!$AI$2:$AI$33,MATCH($K392,CALC!$A$2:$A$33,0)),0))</f>
        <v/>
      </c>
      <c r="AU392" s="2">
        <f t="shared" si="11"/>
        <v>0</v>
      </c>
      <c r="AV392" s="2">
        <f t="shared" si="12"/>
        <v>0</v>
      </c>
    </row>
    <row r="393" ht="15.0" customHeight="1">
      <c r="A393" s="2">
        <v>196.0</v>
      </c>
      <c r="B393" s="2" t="s">
        <v>2365</v>
      </c>
      <c r="C393" s="2">
        <f>IFERROR(MATCH($A393,SchedSeq,0),"")</f>
        <v>481</v>
      </c>
      <c r="D393" s="2" t="str">
        <f t="array" ref="D393">IF($C393="","",INDEX(SchedZone,$C393,MAP!$B$6))</f>
        <v>2026_14_NO_CAR</v>
      </c>
      <c r="E393" s="2">
        <f t="array" ref="E393">IF($C393="","",INDEX(SchedZone,$C393,MAP!$B$3))</f>
        <v>2026</v>
      </c>
      <c r="F393" s="2" t="str">
        <f t="array" ref="F393">IF($C393="","",INDEX(SchedZone,$C393,MAP!$B$5))</f>
        <v>REG</v>
      </c>
      <c r="G393" s="2">
        <f t="array" ref="G393">IF($C393="","",INDEX(SchedZone,$C393,MAP!$B$4))</f>
        <v>14</v>
      </c>
      <c r="H393" s="2" t="str">
        <f t="array" ref="H393">IF($C393="","",INDEX(SchedZone,$C393,MAP!$B$12))</f>
        <v>CAR</v>
      </c>
      <c r="I393" s="2" t="str">
        <f t="array" ref="I393">IF($H393="","",IF(COUNTIF(Teams,$H393)&gt;0,$H393,IFERROR(INDEX(LISTS!$D$2:$D$12,MATCH($H393,LISTS!$C$2:$C$12,0)),"⚠ "&amp;$H393)))</f>
        <v>CAR</v>
      </c>
      <c r="J393" s="2" t="str">
        <f t="array" ref="J393">IF($C393="","",INDEX(SchedZone,$C393,MAP!$B$10))</f>
        <v>NO</v>
      </c>
      <c r="K393" s="2" t="str">
        <f t="array" ref="K393">IF($J393="","",IF(COUNTIF(Teams,$J393)&gt;0,$J393,IFERROR(INDEX(LISTS!$D$2:$D$12,MATCH($J393,LISTS!$C$2:$C$12,0)),"⚠ "&amp;$J393)))</f>
        <v>NO</v>
      </c>
      <c r="L393" s="2" t="str">
        <f t="array" ref="L393">IF($C393="","",IF(INDEX(SchedZone,$C393,MAP!$B$14)="Neutral","N",IF($B393="HOME","H","A")))</f>
        <v>H</v>
      </c>
      <c r="M393" s="2" t="str">
        <f t="array" ref="M393">IF($C393="","",IF(INDEX(SchedZone,$C393,MAP!$B$13)="","",INDEX(SchedZone,$C393,MAP!$B$13)))</f>
        <v/>
      </c>
      <c r="N393" s="2" t="str">
        <f t="array" ref="N393">IF($C393="","",IF(INDEX(SchedZone,$C393,MAP!$B$11)="","",INDEX(SchedZone,$C393,MAP!$B$11)))</f>
        <v/>
      </c>
      <c r="O393" s="2">
        <f t="array" ref="O393">IF($C393="","",INDEX(SchedZone,$C393,MAP!$B$16))</f>
        <v>7</v>
      </c>
      <c r="P393" s="2" t="str">
        <f>IF($C393="","",IFERROR(MATCH($E393&amp;"|"&amp;$G393&amp;"|"&amp;$I393,StatsKey,0),""))</f>
        <v/>
      </c>
      <c r="Q393" s="2">
        <f t="array" ref="Q393">IF($P393="",0,INDEX(StatsZone,$P393,MAP!$E$9)+INDEX(StatsZone,$P393,MAP!$E$10)+INDEX(StatsZone,$P393,MAP!$E$11))</f>
        <v>0</v>
      </c>
      <c r="R393" s="2">
        <f t="array" ref="R393">IF($P393="",0,INDEX(StatsZone,$P393,MAP!$E$12))</f>
        <v>0</v>
      </c>
      <c r="S393" s="2">
        <f t="array" ref="S393">IF($P393="",0,INDEX(StatsZone,$P393,MAP!$E$13))</f>
        <v>0</v>
      </c>
      <c r="T393" s="2">
        <f t="shared" si="1"/>
        <v>0</v>
      </c>
      <c r="U393" s="2">
        <f t="array" ref="U393">IF($P393="",0,INDEX(StatsZone,$P393,MAP!$E$14)+INDEX(StatsZone,$P393,MAP!$E$15)+INDEX(StatsZone,$P393,MAP!$E$16))</f>
        <v>0</v>
      </c>
      <c r="V393" s="2">
        <f t="shared" si="2"/>
        <v>0</v>
      </c>
      <c r="W393" s="2">
        <f t="shared" si="3"/>
        <v>0</v>
      </c>
      <c r="X393" s="2">
        <f t="shared" si="4"/>
        <v>0</v>
      </c>
      <c r="Y393" s="2">
        <f t="shared" si="5"/>
        <v>0</v>
      </c>
      <c r="Z393" s="2">
        <f t="shared" si="6"/>
        <v>0</v>
      </c>
      <c r="AA393" s="2">
        <f t="shared" si="7"/>
        <v>1</v>
      </c>
      <c r="AB393" s="2">
        <f>IF(OR($M393="",$N393=""),0,MEDIAN(-MarginCap,MarginCap,($M393-$N393)-$AA393*HFA_Base))</f>
        <v>0</v>
      </c>
      <c r="AC393" s="2">
        <f t="array" ref="AC393">IF(OR($P393="",INDEX($P$3:$P$722,(ROW()+IF(MOD(ROW()-3,2)=0,1,-1))-3+1)=""),0,MEDIAN(-MarginCap,MarginCap,($T393-$W393)-$AA393*HFA_Base))</f>
        <v>0</v>
      </c>
      <c r="AD393" s="2">
        <f t="shared" si="8"/>
        <v>0</v>
      </c>
      <c r="AE393" s="2">
        <f>IF(OR($M393="",$N393=""),0,IF(AND(WEpa&gt;0,$AD393=1),(1-WEpa)*$AB393+WEpa*$AC393,$AB393))</f>
        <v>0</v>
      </c>
      <c r="AF393" s="2">
        <f>IF(AND($C393&lt;&gt;"",$E393=CurrentSeason,$F393="REG",ISNUMBER($G393),$G393&lt;CurrentWeek,AND($M393&lt;&gt;"",$N393&lt;&gt;"")),1,0)</f>
        <v>0</v>
      </c>
      <c r="AG393" s="2">
        <f>IF($AF393=0,0,IF($G393&gt;=CurrentWeek-RecencyWin,RecencyMult,1))</f>
        <v>0</v>
      </c>
      <c r="AH393" s="2">
        <f>IF(AND($C393&lt;&gt;"",$E393=CurrentSeason,$F393="REG",ISNUMBER($G393),$G393&lt;CurrentWeek-1,AND($M393&lt;&gt;"",$N393&lt;&gt;"")),1,0)</f>
        <v>0</v>
      </c>
      <c r="AI393" s="2">
        <f>IF($AH393=0,0,IF($G393&gt;=CurrentWeek-1-RecencyWin,RecencyMult,1))</f>
        <v>0</v>
      </c>
      <c r="AJ393" s="2">
        <f>IF($AF393=0,0,IF($G393&gt;=CurrentWeek-RecencyWin,TotRecency,1))</f>
        <v>0</v>
      </c>
      <c r="AK393" s="2">
        <f t="shared" si="9"/>
        <v>0</v>
      </c>
      <c r="AL393" s="2">
        <f t="shared" si="10"/>
        <v>0</v>
      </c>
      <c r="AM393" s="2" t="str">
        <f t="array" ref="AM393">IF($K393="",0,IFERROR(INDEX(CALC!$F$2:$F$33,MATCH($K393,CALC!$A$2:$A$33,0)),0))</f>
        <v/>
      </c>
      <c r="AN393" s="2" t="str">
        <f t="array" ref="AN393">IF($K393="",0,IFERROR(INDEX(CALC!$I$2:$I$33,MATCH($K393,CALC!$A$2:$A$33,0)),0))</f>
        <v/>
      </c>
      <c r="AO393" s="2" t="str">
        <f t="array" ref="AO393">IF($K393="",0,IFERROR(INDEX(CALC!$L$2:$L$33,MATCH($K393,CALC!$A$2:$A$33,0)),0))</f>
        <v/>
      </c>
      <c r="AP393" s="2" t="str">
        <f t="array" ref="AP393">IF($K393="",0,IFERROR(INDEX(CALC!$T$2:$T$33,MATCH($K393,CALC!$A$2:$A$33,0)),0))</f>
        <v/>
      </c>
      <c r="AQ393" s="2" t="str">
        <f t="array" ref="AQ393">IF($K393="",0,IFERROR(INDEX(CALC!$W$2:$W$33,MATCH($K393,CALC!$A$2:$A$33,0)),0))</f>
        <v/>
      </c>
      <c r="AR393" s="2" t="str">
        <f t="array" ref="AR393">IF($K393="",0,IFERROR(INDEX(CALC!$Z$2:$Z$33,MATCH($K393,CALC!$A$2:$A$33,0)),0))</f>
        <v/>
      </c>
      <c r="AS393" s="2" t="str">
        <f t="array" ref="AS393">IF($K393="",0,IFERROR(INDEX(CALC!$AJ$2:$AJ$33,MATCH($K393,CALC!$A$2:$A$33,0)),0))</f>
        <v/>
      </c>
      <c r="AT393" s="2" t="str">
        <f t="array" ref="AT393">IF($K393="",0,IFERROR(INDEX(CALC!$AI$2:$AI$33,MATCH($K393,CALC!$A$2:$A$33,0)),0))</f>
        <v/>
      </c>
      <c r="AU393" s="2">
        <f t="shared" si="11"/>
        <v>0</v>
      </c>
      <c r="AV393" s="2">
        <f t="shared" si="12"/>
        <v>0</v>
      </c>
    </row>
    <row r="394" ht="15.0" customHeight="1">
      <c r="A394" s="2">
        <v>196.0</v>
      </c>
      <c r="B394" s="2" t="s">
        <v>2366</v>
      </c>
      <c r="C394" s="2">
        <f>IFERROR(MATCH($A394,SchedSeq,0),"")</f>
        <v>481</v>
      </c>
      <c r="D394" s="2" t="str">
        <f t="array" ref="D394">IF($C394="","",INDEX(SchedZone,$C394,MAP!$B$6))</f>
        <v>2026_14_NO_CAR</v>
      </c>
      <c r="E394" s="2">
        <f t="array" ref="E394">IF($C394="","",INDEX(SchedZone,$C394,MAP!$B$3))</f>
        <v>2026</v>
      </c>
      <c r="F394" s="2" t="str">
        <f t="array" ref="F394">IF($C394="","",INDEX(SchedZone,$C394,MAP!$B$5))</f>
        <v>REG</v>
      </c>
      <c r="G394" s="2">
        <f t="array" ref="G394">IF($C394="","",INDEX(SchedZone,$C394,MAP!$B$4))</f>
        <v>14</v>
      </c>
      <c r="H394" s="2" t="str">
        <f t="array" ref="H394">IF($C394="","",INDEX(SchedZone,$C394,MAP!$B$10))</f>
        <v>NO</v>
      </c>
      <c r="I394" s="2" t="str">
        <f t="array" ref="I394">IF($H394="","",IF(COUNTIF(Teams,$H394)&gt;0,$H394,IFERROR(INDEX(LISTS!$D$2:$D$12,MATCH($H394,LISTS!$C$2:$C$12,0)),"⚠ "&amp;$H394)))</f>
        <v>NO</v>
      </c>
      <c r="J394" s="2" t="str">
        <f t="array" ref="J394">IF($C394="","",INDEX(SchedZone,$C394,MAP!$B$12))</f>
        <v>CAR</v>
      </c>
      <c r="K394" s="2" t="str">
        <f t="array" ref="K394">IF($J394="","",IF(COUNTIF(Teams,$J394)&gt;0,$J394,IFERROR(INDEX(LISTS!$D$2:$D$12,MATCH($J394,LISTS!$C$2:$C$12,0)),"⚠ "&amp;$J394)))</f>
        <v>CAR</v>
      </c>
      <c r="L394" s="2" t="str">
        <f t="array" ref="L394">IF($C394="","",IF(INDEX(SchedZone,$C394,MAP!$B$14)="Neutral","N",IF($B394="HOME","H","A")))</f>
        <v>A</v>
      </c>
      <c r="M394" s="2" t="str">
        <f t="array" ref="M394">IF($C394="","",IF(INDEX(SchedZone,$C394,MAP!$B$11)="","",INDEX(SchedZone,$C394,MAP!$B$11)))</f>
        <v/>
      </c>
      <c r="N394" s="2" t="str">
        <f t="array" ref="N394">IF($C394="","",IF(INDEX(SchedZone,$C394,MAP!$B$13)="","",INDEX(SchedZone,$C394,MAP!$B$13)))</f>
        <v/>
      </c>
      <c r="O394" s="2">
        <f t="array" ref="O394">IF($C394="","",INDEX(SchedZone,$C394,MAP!$B$15))</f>
        <v>7</v>
      </c>
      <c r="P394" s="2" t="str">
        <f>IF($C394="","",IFERROR(MATCH($E394&amp;"|"&amp;$G394&amp;"|"&amp;$I394,StatsKey,0),""))</f>
        <v/>
      </c>
      <c r="Q394" s="2">
        <f t="array" ref="Q394">IF($P394="",0,INDEX(StatsZone,$P394,MAP!$E$9)+INDEX(StatsZone,$P394,MAP!$E$10)+INDEX(StatsZone,$P394,MAP!$E$11))</f>
        <v>0</v>
      </c>
      <c r="R394" s="2">
        <f t="array" ref="R394">IF($P394="",0,INDEX(StatsZone,$P394,MAP!$E$12))</f>
        <v>0</v>
      </c>
      <c r="S394" s="2">
        <f t="array" ref="S394">IF($P394="",0,INDEX(StatsZone,$P394,MAP!$E$13))</f>
        <v>0</v>
      </c>
      <c r="T394" s="2">
        <f t="shared" si="1"/>
        <v>0</v>
      </c>
      <c r="U394" s="2">
        <f t="array" ref="U394">IF($P394="",0,INDEX(StatsZone,$P394,MAP!$E$14)+INDEX(StatsZone,$P394,MAP!$E$15)+INDEX(StatsZone,$P394,MAP!$E$16))</f>
        <v>0</v>
      </c>
      <c r="V394" s="2">
        <f t="shared" si="2"/>
        <v>0</v>
      </c>
      <c r="W394" s="2">
        <f t="shared" si="3"/>
        <v>0</v>
      </c>
      <c r="X394" s="2">
        <f t="shared" si="4"/>
        <v>0</v>
      </c>
      <c r="Y394" s="2">
        <f t="shared" si="5"/>
        <v>0</v>
      </c>
      <c r="Z394" s="2">
        <f t="shared" si="6"/>
        <v>0</v>
      </c>
      <c r="AA394" s="2">
        <f t="shared" si="7"/>
        <v>-1</v>
      </c>
      <c r="AB394" s="2">
        <f>IF(OR($M394="",$N394=""),0,MEDIAN(-MarginCap,MarginCap,($M394-$N394)-$AA394*HFA_Base))</f>
        <v>0</v>
      </c>
      <c r="AC394" s="2">
        <f t="array" ref="AC394">IF(OR($P394="",INDEX($P$3:$P$722,(ROW()+IF(MOD(ROW()-3,2)=0,1,-1))-3+1)=""),0,MEDIAN(-MarginCap,MarginCap,($T394-$W394)-$AA394*HFA_Base))</f>
        <v>0</v>
      </c>
      <c r="AD394" s="2">
        <f t="shared" si="8"/>
        <v>0</v>
      </c>
      <c r="AE394" s="2">
        <f>IF(OR($M394="",$N394=""),0,IF(AND(WEpa&gt;0,$AD394=1),(1-WEpa)*$AB394+WEpa*$AC394,$AB394))</f>
        <v>0</v>
      </c>
      <c r="AF394" s="2">
        <f>IF(AND($C394&lt;&gt;"",$E394=CurrentSeason,$F394="REG",ISNUMBER($G394),$G394&lt;CurrentWeek,AND($M394&lt;&gt;"",$N394&lt;&gt;"")),1,0)</f>
        <v>0</v>
      </c>
      <c r="AG394" s="2">
        <f>IF($AF394=0,0,IF($G394&gt;=CurrentWeek-RecencyWin,RecencyMult,1))</f>
        <v>0</v>
      </c>
      <c r="AH394" s="2">
        <f>IF(AND($C394&lt;&gt;"",$E394=CurrentSeason,$F394="REG",ISNUMBER($G394),$G394&lt;CurrentWeek-1,AND($M394&lt;&gt;"",$N394&lt;&gt;"")),1,0)</f>
        <v>0</v>
      </c>
      <c r="AI394" s="2">
        <f>IF($AH394=0,0,IF($G394&gt;=CurrentWeek-1-RecencyWin,RecencyMult,1))</f>
        <v>0</v>
      </c>
      <c r="AJ394" s="2">
        <f>IF($AF394=0,0,IF($G394&gt;=CurrentWeek-RecencyWin,TotRecency,1))</f>
        <v>0</v>
      </c>
      <c r="AK394" s="2">
        <f t="shared" si="9"/>
        <v>0</v>
      </c>
      <c r="AL394" s="2">
        <f t="shared" si="10"/>
        <v>0</v>
      </c>
      <c r="AM394" s="2" t="str">
        <f t="array" ref="AM394">IF($K394="",0,IFERROR(INDEX(CALC!$F$2:$F$33,MATCH($K394,CALC!$A$2:$A$33,0)),0))</f>
        <v/>
      </c>
      <c r="AN394" s="2" t="str">
        <f t="array" ref="AN394">IF($K394="",0,IFERROR(INDEX(CALC!$I$2:$I$33,MATCH($K394,CALC!$A$2:$A$33,0)),0))</f>
        <v/>
      </c>
      <c r="AO394" s="2" t="str">
        <f t="array" ref="AO394">IF($K394="",0,IFERROR(INDEX(CALC!$L$2:$L$33,MATCH($K394,CALC!$A$2:$A$33,0)),0))</f>
        <v/>
      </c>
      <c r="AP394" s="2" t="str">
        <f t="array" ref="AP394">IF($K394="",0,IFERROR(INDEX(CALC!$T$2:$T$33,MATCH($K394,CALC!$A$2:$A$33,0)),0))</f>
        <v/>
      </c>
      <c r="AQ394" s="2" t="str">
        <f t="array" ref="AQ394">IF($K394="",0,IFERROR(INDEX(CALC!$W$2:$W$33,MATCH($K394,CALC!$A$2:$A$33,0)),0))</f>
        <v/>
      </c>
      <c r="AR394" s="2" t="str">
        <f t="array" ref="AR394">IF($K394="",0,IFERROR(INDEX(CALC!$Z$2:$Z$33,MATCH($K394,CALC!$A$2:$A$33,0)),0))</f>
        <v/>
      </c>
      <c r="AS394" s="2" t="str">
        <f t="array" ref="AS394">IF($K394="",0,IFERROR(INDEX(CALC!$AJ$2:$AJ$33,MATCH($K394,CALC!$A$2:$A$33,0)),0))</f>
        <v/>
      </c>
      <c r="AT394" s="2" t="str">
        <f t="array" ref="AT394">IF($K394="",0,IFERROR(INDEX(CALC!$AI$2:$AI$33,MATCH($K394,CALC!$A$2:$A$33,0)),0))</f>
        <v/>
      </c>
      <c r="AU394" s="2">
        <f t="shared" si="11"/>
        <v>0</v>
      </c>
      <c r="AV394" s="2">
        <f t="shared" si="12"/>
        <v>0</v>
      </c>
    </row>
    <row r="395" ht="15.0" customHeight="1">
      <c r="A395" s="2">
        <v>197.0</v>
      </c>
      <c r="B395" s="2" t="s">
        <v>2365</v>
      </c>
      <c r="C395" s="2">
        <f>IFERROR(MATCH($A395,SchedSeq,0),"")</f>
        <v>482</v>
      </c>
      <c r="D395" s="2" t="str">
        <f t="array" ref="D395">IF($C395="","",INDEX(SchedZone,$C395,MAP!$B$6))</f>
        <v>2026_14_ATL_CLE</v>
      </c>
      <c r="E395" s="2">
        <f t="array" ref="E395">IF($C395="","",INDEX(SchedZone,$C395,MAP!$B$3))</f>
        <v>2026</v>
      </c>
      <c r="F395" s="2" t="str">
        <f t="array" ref="F395">IF($C395="","",INDEX(SchedZone,$C395,MAP!$B$5))</f>
        <v>REG</v>
      </c>
      <c r="G395" s="2">
        <f t="array" ref="G395">IF($C395="","",INDEX(SchedZone,$C395,MAP!$B$4))</f>
        <v>14</v>
      </c>
      <c r="H395" s="2" t="str">
        <f t="array" ref="H395">IF($C395="","",INDEX(SchedZone,$C395,MAP!$B$12))</f>
        <v>CLE</v>
      </c>
      <c r="I395" s="2" t="str">
        <f t="array" ref="I395">IF($H395="","",IF(COUNTIF(Teams,$H395)&gt;0,$H395,IFERROR(INDEX(LISTS!$D$2:$D$12,MATCH($H395,LISTS!$C$2:$C$12,0)),"⚠ "&amp;$H395)))</f>
        <v>CLE</v>
      </c>
      <c r="J395" s="2" t="str">
        <f t="array" ref="J395">IF($C395="","",INDEX(SchedZone,$C395,MAP!$B$10))</f>
        <v>ATL</v>
      </c>
      <c r="K395" s="2" t="str">
        <f t="array" ref="K395">IF($J395="","",IF(COUNTIF(Teams,$J395)&gt;0,$J395,IFERROR(INDEX(LISTS!$D$2:$D$12,MATCH($J395,LISTS!$C$2:$C$12,0)),"⚠ "&amp;$J395)))</f>
        <v>ATL</v>
      </c>
      <c r="L395" s="2" t="str">
        <f t="array" ref="L395">IF($C395="","",IF(INDEX(SchedZone,$C395,MAP!$B$14)="Neutral","N",IF($B395="HOME","H","A")))</f>
        <v>H</v>
      </c>
      <c r="M395" s="2" t="str">
        <f t="array" ref="M395">IF($C395="","",IF(INDEX(SchedZone,$C395,MAP!$B$13)="","",INDEX(SchedZone,$C395,MAP!$B$13)))</f>
        <v/>
      </c>
      <c r="N395" s="2" t="str">
        <f t="array" ref="N395">IF($C395="","",IF(INDEX(SchedZone,$C395,MAP!$B$11)="","",INDEX(SchedZone,$C395,MAP!$B$11)))</f>
        <v/>
      </c>
      <c r="O395" s="2">
        <f t="array" ref="O395">IF($C395="","",INDEX(SchedZone,$C395,MAP!$B$16))</f>
        <v>7</v>
      </c>
      <c r="P395" s="2" t="str">
        <f>IF($C395="","",IFERROR(MATCH($E395&amp;"|"&amp;$G395&amp;"|"&amp;$I395,StatsKey,0),""))</f>
        <v/>
      </c>
      <c r="Q395" s="2">
        <f t="array" ref="Q395">IF($P395="",0,INDEX(StatsZone,$P395,MAP!$E$9)+INDEX(StatsZone,$P395,MAP!$E$10)+INDEX(StatsZone,$P395,MAP!$E$11))</f>
        <v>0</v>
      </c>
      <c r="R395" s="2">
        <f t="array" ref="R395">IF($P395="",0,INDEX(StatsZone,$P395,MAP!$E$12))</f>
        <v>0</v>
      </c>
      <c r="S395" s="2">
        <f t="array" ref="S395">IF($P395="",0,INDEX(StatsZone,$P395,MAP!$E$13))</f>
        <v>0</v>
      </c>
      <c r="T395" s="2">
        <f t="shared" si="1"/>
        <v>0</v>
      </c>
      <c r="U395" s="2">
        <f t="array" ref="U395">IF($P395="",0,INDEX(StatsZone,$P395,MAP!$E$14)+INDEX(StatsZone,$P395,MAP!$E$15)+INDEX(StatsZone,$P395,MAP!$E$16))</f>
        <v>0</v>
      </c>
      <c r="V395" s="2">
        <f t="shared" si="2"/>
        <v>0</v>
      </c>
      <c r="W395" s="2">
        <f t="shared" si="3"/>
        <v>0</v>
      </c>
      <c r="X395" s="2">
        <f t="shared" si="4"/>
        <v>0</v>
      </c>
      <c r="Y395" s="2">
        <f t="shared" si="5"/>
        <v>0</v>
      </c>
      <c r="Z395" s="2">
        <f t="shared" si="6"/>
        <v>0</v>
      </c>
      <c r="AA395" s="2">
        <f t="shared" si="7"/>
        <v>1</v>
      </c>
      <c r="AB395" s="2">
        <f>IF(OR($M395="",$N395=""),0,MEDIAN(-MarginCap,MarginCap,($M395-$N395)-$AA395*HFA_Base))</f>
        <v>0</v>
      </c>
      <c r="AC395" s="2">
        <f t="array" ref="AC395">IF(OR($P395="",INDEX($P$3:$P$722,(ROW()+IF(MOD(ROW()-3,2)=0,1,-1))-3+1)=""),0,MEDIAN(-MarginCap,MarginCap,($T395-$W395)-$AA395*HFA_Base))</f>
        <v>0</v>
      </c>
      <c r="AD395" s="2">
        <f t="shared" si="8"/>
        <v>0</v>
      </c>
      <c r="AE395" s="2">
        <f>IF(OR($M395="",$N395=""),0,IF(AND(WEpa&gt;0,$AD395=1),(1-WEpa)*$AB395+WEpa*$AC395,$AB395))</f>
        <v>0</v>
      </c>
      <c r="AF395" s="2">
        <f>IF(AND($C395&lt;&gt;"",$E395=CurrentSeason,$F395="REG",ISNUMBER($G395),$G395&lt;CurrentWeek,AND($M395&lt;&gt;"",$N395&lt;&gt;"")),1,0)</f>
        <v>0</v>
      </c>
      <c r="AG395" s="2">
        <f>IF($AF395=0,0,IF($G395&gt;=CurrentWeek-RecencyWin,RecencyMult,1))</f>
        <v>0</v>
      </c>
      <c r="AH395" s="2">
        <f>IF(AND($C395&lt;&gt;"",$E395=CurrentSeason,$F395="REG",ISNUMBER($G395),$G395&lt;CurrentWeek-1,AND($M395&lt;&gt;"",$N395&lt;&gt;"")),1,0)</f>
        <v>0</v>
      </c>
      <c r="AI395" s="2">
        <f>IF($AH395=0,0,IF($G395&gt;=CurrentWeek-1-RecencyWin,RecencyMult,1))</f>
        <v>0</v>
      </c>
      <c r="AJ395" s="2">
        <f>IF($AF395=0,0,IF($G395&gt;=CurrentWeek-RecencyWin,TotRecency,1))</f>
        <v>0</v>
      </c>
      <c r="AK395" s="2">
        <f t="shared" si="9"/>
        <v>0</v>
      </c>
      <c r="AL395" s="2">
        <f t="shared" si="10"/>
        <v>0</v>
      </c>
      <c r="AM395" s="2" t="str">
        <f t="array" ref="AM395">IF($K395="",0,IFERROR(INDEX(CALC!$F$2:$F$33,MATCH($K395,CALC!$A$2:$A$33,0)),0))</f>
        <v/>
      </c>
      <c r="AN395" s="2" t="str">
        <f t="array" ref="AN395">IF($K395="",0,IFERROR(INDEX(CALC!$I$2:$I$33,MATCH($K395,CALC!$A$2:$A$33,0)),0))</f>
        <v/>
      </c>
      <c r="AO395" s="2" t="str">
        <f t="array" ref="AO395">IF($K395="",0,IFERROR(INDEX(CALC!$L$2:$L$33,MATCH($K395,CALC!$A$2:$A$33,0)),0))</f>
        <v/>
      </c>
      <c r="AP395" s="2" t="str">
        <f t="array" ref="AP395">IF($K395="",0,IFERROR(INDEX(CALC!$T$2:$T$33,MATCH($K395,CALC!$A$2:$A$33,0)),0))</f>
        <v/>
      </c>
      <c r="AQ395" s="2" t="str">
        <f t="array" ref="AQ395">IF($K395="",0,IFERROR(INDEX(CALC!$W$2:$W$33,MATCH($K395,CALC!$A$2:$A$33,0)),0))</f>
        <v/>
      </c>
      <c r="AR395" s="2" t="str">
        <f t="array" ref="AR395">IF($K395="",0,IFERROR(INDEX(CALC!$Z$2:$Z$33,MATCH($K395,CALC!$A$2:$A$33,0)),0))</f>
        <v/>
      </c>
      <c r="AS395" s="2" t="str">
        <f t="array" ref="AS395">IF($K395="",0,IFERROR(INDEX(CALC!$AJ$2:$AJ$33,MATCH($K395,CALC!$A$2:$A$33,0)),0))</f>
        <v/>
      </c>
      <c r="AT395" s="2" t="str">
        <f t="array" ref="AT395">IF($K395="",0,IFERROR(INDEX(CALC!$AI$2:$AI$33,MATCH($K395,CALC!$A$2:$A$33,0)),0))</f>
        <v/>
      </c>
      <c r="AU395" s="2">
        <f t="shared" si="11"/>
        <v>0</v>
      </c>
      <c r="AV395" s="2">
        <f t="shared" si="12"/>
        <v>0</v>
      </c>
    </row>
    <row r="396" ht="15.0" customHeight="1">
      <c r="A396" s="2">
        <v>197.0</v>
      </c>
      <c r="B396" s="2" t="s">
        <v>2366</v>
      </c>
      <c r="C396" s="2">
        <f>IFERROR(MATCH($A396,SchedSeq,0),"")</f>
        <v>482</v>
      </c>
      <c r="D396" s="2" t="str">
        <f t="array" ref="D396">IF($C396="","",INDEX(SchedZone,$C396,MAP!$B$6))</f>
        <v>2026_14_ATL_CLE</v>
      </c>
      <c r="E396" s="2">
        <f t="array" ref="E396">IF($C396="","",INDEX(SchedZone,$C396,MAP!$B$3))</f>
        <v>2026</v>
      </c>
      <c r="F396" s="2" t="str">
        <f t="array" ref="F396">IF($C396="","",INDEX(SchedZone,$C396,MAP!$B$5))</f>
        <v>REG</v>
      </c>
      <c r="G396" s="2">
        <f t="array" ref="G396">IF($C396="","",INDEX(SchedZone,$C396,MAP!$B$4))</f>
        <v>14</v>
      </c>
      <c r="H396" s="2" t="str">
        <f t="array" ref="H396">IF($C396="","",INDEX(SchedZone,$C396,MAP!$B$10))</f>
        <v>ATL</v>
      </c>
      <c r="I396" s="2" t="str">
        <f t="array" ref="I396">IF($H396="","",IF(COUNTIF(Teams,$H396)&gt;0,$H396,IFERROR(INDEX(LISTS!$D$2:$D$12,MATCH($H396,LISTS!$C$2:$C$12,0)),"⚠ "&amp;$H396)))</f>
        <v>ATL</v>
      </c>
      <c r="J396" s="2" t="str">
        <f t="array" ref="J396">IF($C396="","",INDEX(SchedZone,$C396,MAP!$B$12))</f>
        <v>CLE</v>
      </c>
      <c r="K396" s="2" t="str">
        <f t="array" ref="K396">IF($J396="","",IF(COUNTIF(Teams,$J396)&gt;0,$J396,IFERROR(INDEX(LISTS!$D$2:$D$12,MATCH($J396,LISTS!$C$2:$C$12,0)),"⚠ "&amp;$J396)))</f>
        <v>CLE</v>
      </c>
      <c r="L396" s="2" t="str">
        <f t="array" ref="L396">IF($C396="","",IF(INDEX(SchedZone,$C396,MAP!$B$14)="Neutral","N",IF($B396="HOME","H","A")))</f>
        <v>A</v>
      </c>
      <c r="M396" s="2" t="str">
        <f t="array" ref="M396">IF($C396="","",IF(INDEX(SchedZone,$C396,MAP!$B$11)="","",INDEX(SchedZone,$C396,MAP!$B$11)))</f>
        <v/>
      </c>
      <c r="N396" s="2" t="str">
        <f t="array" ref="N396">IF($C396="","",IF(INDEX(SchedZone,$C396,MAP!$B$13)="","",INDEX(SchedZone,$C396,MAP!$B$13)))</f>
        <v/>
      </c>
      <c r="O396" s="2">
        <f t="array" ref="O396">IF($C396="","",INDEX(SchedZone,$C396,MAP!$B$15))</f>
        <v>7</v>
      </c>
      <c r="P396" s="2" t="str">
        <f>IF($C396="","",IFERROR(MATCH($E396&amp;"|"&amp;$G396&amp;"|"&amp;$I396,StatsKey,0),""))</f>
        <v/>
      </c>
      <c r="Q396" s="2">
        <f t="array" ref="Q396">IF($P396="",0,INDEX(StatsZone,$P396,MAP!$E$9)+INDEX(StatsZone,$P396,MAP!$E$10)+INDEX(StatsZone,$P396,MAP!$E$11))</f>
        <v>0</v>
      </c>
      <c r="R396" s="2">
        <f t="array" ref="R396">IF($P396="",0,INDEX(StatsZone,$P396,MAP!$E$12))</f>
        <v>0</v>
      </c>
      <c r="S396" s="2">
        <f t="array" ref="S396">IF($P396="",0,INDEX(StatsZone,$P396,MAP!$E$13))</f>
        <v>0</v>
      </c>
      <c r="T396" s="2">
        <f t="shared" si="1"/>
        <v>0</v>
      </c>
      <c r="U396" s="2">
        <f t="array" ref="U396">IF($P396="",0,INDEX(StatsZone,$P396,MAP!$E$14)+INDEX(StatsZone,$P396,MAP!$E$15)+INDEX(StatsZone,$P396,MAP!$E$16))</f>
        <v>0</v>
      </c>
      <c r="V396" s="2">
        <f t="shared" si="2"/>
        <v>0</v>
      </c>
      <c r="W396" s="2">
        <f t="shared" si="3"/>
        <v>0</v>
      </c>
      <c r="X396" s="2">
        <f t="shared" si="4"/>
        <v>0</v>
      </c>
      <c r="Y396" s="2">
        <f t="shared" si="5"/>
        <v>0</v>
      </c>
      <c r="Z396" s="2">
        <f t="shared" si="6"/>
        <v>0</v>
      </c>
      <c r="AA396" s="2">
        <f t="shared" si="7"/>
        <v>-1</v>
      </c>
      <c r="AB396" s="2">
        <f>IF(OR($M396="",$N396=""),0,MEDIAN(-MarginCap,MarginCap,($M396-$N396)-$AA396*HFA_Base))</f>
        <v>0</v>
      </c>
      <c r="AC396" s="2">
        <f t="array" ref="AC396">IF(OR($P396="",INDEX($P$3:$P$722,(ROW()+IF(MOD(ROW()-3,2)=0,1,-1))-3+1)=""),0,MEDIAN(-MarginCap,MarginCap,($T396-$W396)-$AA396*HFA_Base))</f>
        <v>0</v>
      </c>
      <c r="AD396" s="2">
        <f t="shared" si="8"/>
        <v>0</v>
      </c>
      <c r="AE396" s="2">
        <f>IF(OR($M396="",$N396=""),0,IF(AND(WEpa&gt;0,$AD396=1),(1-WEpa)*$AB396+WEpa*$AC396,$AB396))</f>
        <v>0</v>
      </c>
      <c r="AF396" s="2">
        <f>IF(AND($C396&lt;&gt;"",$E396=CurrentSeason,$F396="REG",ISNUMBER($G396),$G396&lt;CurrentWeek,AND($M396&lt;&gt;"",$N396&lt;&gt;"")),1,0)</f>
        <v>0</v>
      </c>
      <c r="AG396" s="2">
        <f>IF($AF396=0,0,IF($G396&gt;=CurrentWeek-RecencyWin,RecencyMult,1))</f>
        <v>0</v>
      </c>
      <c r="AH396" s="2">
        <f>IF(AND($C396&lt;&gt;"",$E396=CurrentSeason,$F396="REG",ISNUMBER($G396),$G396&lt;CurrentWeek-1,AND($M396&lt;&gt;"",$N396&lt;&gt;"")),1,0)</f>
        <v>0</v>
      </c>
      <c r="AI396" s="2">
        <f>IF($AH396=0,0,IF($G396&gt;=CurrentWeek-1-RecencyWin,RecencyMult,1))</f>
        <v>0</v>
      </c>
      <c r="AJ396" s="2">
        <f>IF($AF396=0,0,IF($G396&gt;=CurrentWeek-RecencyWin,TotRecency,1))</f>
        <v>0</v>
      </c>
      <c r="AK396" s="2">
        <f t="shared" si="9"/>
        <v>0</v>
      </c>
      <c r="AL396" s="2">
        <f t="shared" si="10"/>
        <v>0</v>
      </c>
      <c r="AM396" s="2" t="str">
        <f t="array" ref="AM396">IF($K396="",0,IFERROR(INDEX(CALC!$F$2:$F$33,MATCH($K396,CALC!$A$2:$A$33,0)),0))</f>
        <v/>
      </c>
      <c r="AN396" s="2" t="str">
        <f t="array" ref="AN396">IF($K396="",0,IFERROR(INDEX(CALC!$I$2:$I$33,MATCH($K396,CALC!$A$2:$A$33,0)),0))</f>
        <v/>
      </c>
      <c r="AO396" s="2" t="str">
        <f t="array" ref="AO396">IF($K396="",0,IFERROR(INDEX(CALC!$L$2:$L$33,MATCH($K396,CALC!$A$2:$A$33,0)),0))</f>
        <v/>
      </c>
      <c r="AP396" s="2" t="str">
        <f t="array" ref="AP396">IF($K396="",0,IFERROR(INDEX(CALC!$T$2:$T$33,MATCH($K396,CALC!$A$2:$A$33,0)),0))</f>
        <v/>
      </c>
      <c r="AQ396" s="2" t="str">
        <f t="array" ref="AQ396">IF($K396="",0,IFERROR(INDEX(CALC!$W$2:$W$33,MATCH($K396,CALC!$A$2:$A$33,0)),0))</f>
        <v/>
      </c>
      <c r="AR396" s="2" t="str">
        <f t="array" ref="AR396">IF($K396="",0,IFERROR(INDEX(CALC!$Z$2:$Z$33,MATCH($K396,CALC!$A$2:$A$33,0)),0))</f>
        <v/>
      </c>
      <c r="AS396" s="2" t="str">
        <f t="array" ref="AS396">IF($K396="",0,IFERROR(INDEX(CALC!$AJ$2:$AJ$33,MATCH($K396,CALC!$A$2:$A$33,0)),0))</f>
        <v/>
      </c>
      <c r="AT396" s="2" t="str">
        <f t="array" ref="AT396">IF($K396="",0,IFERROR(INDEX(CALC!$AI$2:$AI$33,MATCH($K396,CALC!$A$2:$A$33,0)),0))</f>
        <v/>
      </c>
      <c r="AU396" s="2">
        <f t="shared" si="11"/>
        <v>0</v>
      </c>
      <c r="AV396" s="2">
        <f t="shared" si="12"/>
        <v>0</v>
      </c>
    </row>
    <row r="397" ht="15.0" customHeight="1">
      <c r="A397" s="2">
        <v>198.0</v>
      </c>
      <c r="B397" s="2" t="s">
        <v>2365</v>
      </c>
      <c r="C397" s="2">
        <f>IFERROR(MATCH($A397,SchedSeq,0),"")</f>
        <v>483</v>
      </c>
      <c r="D397" s="2" t="str">
        <f t="array" ref="D397">IF($C397="","",INDEX(SchedZone,$C397,MAP!$B$6))</f>
        <v>2026_14_TEN_DET</v>
      </c>
      <c r="E397" s="2">
        <f t="array" ref="E397">IF($C397="","",INDEX(SchedZone,$C397,MAP!$B$3))</f>
        <v>2026</v>
      </c>
      <c r="F397" s="2" t="str">
        <f t="array" ref="F397">IF($C397="","",INDEX(SchedZone,$C397,MAP!$B$5))</f>
        <v>REG</v>
      </c>
      <c r="G397" s="2">
        <f t="array" ref="G397">IF($C397="","",INDEX(SchedZone,$C397,MAP!$B$4))</f>
        <v>14</v>
      </c>
      <c r="H397" s="2" t="str">
        <f t="array" ref="H397">IF($C397="","",INDEX(SchedZone,$C397,MAP!$B$12))</f>
        <v>DET</v>
      </c>
      <c r="I397" s="2" t="str">
        <f t="array" ref="I397">IF($H397="","",IF(COUNTIF(Teams,$H397)&gt;0,$H397,IFERROR(INDEX(LISTS!$D$2:$D$12,MATCH($H397,LISTS!$C$2:$C$12,0)),"⚠ "&amp;$H397)))</f>
        <v>DET</v>
      </c>
      <c r="J397" s="2" t="str">
        <f t="array" ref="J397">IF($C397="","",INDEX(SchedZone,$C397,MAP!$B$10))</f>
        <v>TEN</v>
      </c>
      <c r="K397" s="2" t="str">
        <f t="array" ref="K397">IF($J397="","",IF(COUNTIF(Teams,$J397)&gt;0,$J397,IFERROR(INDEX(LISTS!$D$2:$D$12,MATCH($J397,LISTS!$C$2:$C$12,0)),"⚠ "&amp;$J397)))</f>
        <v>TEN</v>
      </c>
      <c r="L397" s="2" t="str">
        <f t="array" ref="L397">IF($C397="","",IF(INDEX(SchedZone,$C397,MAP!$B$14)="Neutral","N",IF($B397="HOME","H","A")))</f>
        <v>H</v>
      </c>
      <c r="M397" s="2" t="str">
        <f t="array" ref="M397">IF($C397="","",IF(INDEX(SchedZone,$C397,MAP!$B$13)="","",INDEX(SchedZone,$C397,MAP!$B$13)))</f>
        <v/>
      </c>
      <c r="N397" s="2" t="str">
        <f t="array" ref="N397">IF($C397="","",IF(INDEX(SchedZone,$C397,MAP!$B$11)="","",INDEX(SchedZone,$C397,MAP!$B$11)))</f>
        <v/>
      </c>
      <c r="O397" s="2">
        <f t="array" ref="O397">IF($C397="","",INDEX(SchedZone,$C397,MAP!$B$16))</f>
        <v>7</v>
      </c>
      <c r="P397" s="2" t="str">
        <f>IF($C397="","",IFERROR(MATCH($E397&amp;"|"&amp;$G397&amp;"|"&amp;$I397,StatsKey,0),""))</f>
        <v/>
      </c>
      <c r="Q397" s="2">
        <f t="array" ref="Q397">IF($P397="",0,INDEX(StatsZone,$P397,MAP!$E$9)+INDEX(StatsZone,$P397,MAP!$E$10)+INDEX(StatsZone,$P397,MAP!$E$11))</f>
        <v>0</v>
      </c>
      <c r="R397" s="2">
        <f t="array" ref="R397">IF($P397="",0,INDEX(StatsZone,$P397,MAP!$E$12))</f>
        <v>0</v>
      </c>
      <c r="S397" s="2">
        <f t="array" ref="S397">IF($P397="",0,INDEX(StatsZone,$P397,MAP!$E$13))</f>
        <v>0</v>
      </c>
      <c r="T397" s="2">
        <f t="shared" si="1"/>
        <v>0</v>
      </c>
      <c r="U397" s="2">
        <f t="array" ref="U397">IF($P397="",0,INDEX(StatsZone,$P397,MAP!$E$14)+INDEX(StatsZone,$P397,MAP!$E$15)+INDEX(StatsZone,$P397,MAP!$E$16))</f>
        <v>0</v>
      </c>
      <c r="V397" s="2">
        <f t="shared" si="2"/>
        <v>0</v>
      </c>
      <c r="W397" s="2">
        <f t="shared" si="3"/>
        <v>0</v>
      </c>
      <c r="X397" s="2">
        <f t="shared" si="4"/>
        <v>0</v>
      </c>
      <c r="Y397" s="2">
        <f t="shared" si="5"/>
        <v>0</v>
      </c>
      <c r="Z397" s="2">
        <f t="shared" si="6"/>
        <v>0</v>
      </c>
      <c r="AA397" s="2">
        <f t="shared" si="7"/>
        <v>1</v>
      </c>
      <c r="AB397" s="2">
        <f>IF(OR($M397="",$N397=""),0,MEDIAN(-MarginCap,MarginCap,($M397-$N397)-$AA397*HFA_Base))</f>
        <v>0</v>
      </c>
      <c r="AC397" s="2">
        <f t="array" ref="AC397">IF(OR($P397="",INDEX($P$3:$P$722,(ROW()+IF(MOD(ROW()-3,2)=0,1,-1))-3+1)=""),0,MEDIAN(-MarginCap,MarginCap,($T397-$W397)-$AA397*HFA_Base))</f>
        <v>0</v>
      </c>
      <c r="AD397" s="2">
        <f t="shared" si="8"/>
        <v>0</v>
      </c>
      <c r="AE397" s="2">
        <f>IF(OR($M397="",$N397=""),0,IF(AND(WEpa&gt;0,$AD397=1),(1-WEpa)*$AB397+WEpa*$AC397,$AB397))</f>
        <v>0</v>
      </c>
      <c r="AF397" s="2">
        <f>IF(AND($C397&lt;&gt;"",$E397=CurrentSeason,$F397="REG",ISNUMBER($G397),$G397&lt;CurrentWeek,AND($M397&lt;&gt;"",$N397&lt;&gt;"")),1,0)</f>
        <v>0</v>
      </c>
      <c r="AG397" s="2">
        <f>IF($AF397=0,0,IF($G397&gt;=CurrentWeek-RecencyWin,RecencyMult,1))</f>
        <v>0</v>
      </c>
      <c r="AH397" s="2">
        <f>IF(AND($C397&lt;&gt;"",$E397=CurrentSeason,$F397="REG",ISNUMBER($G397),$G397&lt;CurrentWeek-1,AND($M397&lt;&gt;"",$N397&lt;&gt;"")),1,0)</f>
        <v>0</v>
      </c>
      <c r="AI397" s="2">
        <f>IF($AH397=0,0,IF($G397&gt;=CurrentWeek-1-RecencyWin,RecencyMult,1))</f>
        <v>0</v>
      </c>
      <c r="AJ397" s="2">
        <f>IF($AF397=0,0,IF($G397&gt;=CurrentWeek-RecencyWin,TotRecency,1))</f>
        <v>0</v>
      </c>
      <c r="AK397" s="2">
        <f t="shared" si="9"/>
        <v>0</v>
      </c>
      <c r="AL397" s="2">
        <f t="shared" si="10"/>
        <v>0</v>
      </c>
      <c r="AM397" s="2" t="str">
        <f t="array" ref="AM397">IF($K397="",0,IFERROR(INDEX(CALC!$F$2:$F$33,MATCH($K397,CALC!$A$2:$A$33,0)),0))</f>
        <v/>
      </c>
      <c r="AN397" s="2" t="str">
        <f t="array" ref="AN397">IF($K397="",0,IFERROR(INDEX(CALC!$I$2:$I$33,MATCH($K397,CALC!$A$2:$A$33,0)),0))</f>
        <v/>
      </c>
      <c r="AO397" s="2" t="str">
        <f t="array" ref="AO397">IF($K397="",0,IFERROR(INDEX(CALC!$L$2:$L$33,MATCH($K397,CALC!$A$2:$A$33,0)),0))</f>
        <v/>
      </c>
      <c r="AP397" s="2" t="str">
        <f t="array" ref="AP397">IF($K397="",0,IFERROR(INDEX(CALC!$T$2:$T$33,MATCH($K397,CALC!$A$2:$A$33,0)),0))</f>
        <v/>
      </c>
      <c r="AQ397" s="2" t="str">
        <f t="array" ref="AQ397">IF($K397="",0,IFERROR(INDEX(CALC!$W$2:$W$33,MATCH($K397,CALC!$A$2:$A$33,0)),0))</f>
        <v/>
      </c>
      <c r="AR397" s="2" t="str">
        <f t="array" ref="AR397">IF($K397="",0,IFERROR(INDEX(CALC!$Z$2:$Z$33,MATCH($K397,CALC!$A$2:$A$33,0)),0))</f>
        <v/>
      </c>
      <c r="AS397" s="2" t="str">
        <f t="array" ref="AS397">IF($K397="",0,IFERROR(INDEX(CALC!$AJ$2:$AJ$33,MATCH($K397,CALC!$A$2:$A$33,0)),0))</f>
        <v/>
      </c>
      <c r="AT397" s="2" t="str">
        <f t="array" ref="AT397">IF($K397="",0,IFERROR(INDEX(CALC!$AI$2:$AI$33,MATCH($K397,CALC!$A$2:$A$33,0)),0))</f>
        <v/>
      </c>
      <c r="AU397" s="2">
        <f t="shared" si="11"/>
        <v>0</v>
      </c>
      <c r="AV397" s="2">
        <f t="shared" si="12"/>
        <v>0</v>
      </c>
    </row>
    <row r="398" ht="15.0" customHeight="1">
      <c r="A398" s="2">
        <v>198.0</v>
      </c>
      <c r="B398" s="2" t="s">
        <v>2366</v>
      </c>
      <c r="C398" s="2">
        <f>IFERROR(MATCH($A398,SchedSeq,0),"")</f>
        <v>483</v>
      </c>
      <c r="D398" s="2" t="str">
        <f t="array" ref="D398">IF($C398="","",INDEX(SchedZone,$C398,MAP!$B$6))</f>
        <v>2026_14_TEN_DET</v>
      </c>
      <c r="E398" s="2">
        <f t="array" ref="E398">IF($C398="","",INDEX(SchedZone,$C398,MAP!$B$3))</f>
        <v>2026</v>
      </c>
      <c r="F398" s="2" t="str">
        <f t="array" ref="F398">IF($C398="","",INDEX(SchedZone,$C398,MAP!$B$5))</f>
        <v>REG</v>
      </c>
      <c r="G398" s="2">
        <f t="array" ref="G398">IF($C398="","",INDEX(SchedZone,$C398,MAP!$B$4))</f>
        <v>14</v>
      </c>
      <c r="H398" s="2" t="str">
        <f t="array" ref="H398">IF($C398="","",INDEX(SchedZone,$C398,MAP!$B$10))</f>
        <v>TEN</v>
      </c>
      <c r="I398" s="2" t="str">
        <f t="array" ref="I398">IF($H398="","",IF(COUNTIF(Teams,$H398)&gt;0,$H398,IFERROR(INDEX(LISTS!$D$2:$D$12,MATCH($H398,LISTS!$C$2:$C$12,0)),"⚠ "&amp;$H398)))</f>
        <v>TEN</v>
      </c>
      <c r="J398" s="2" t="str">
        <f t="array" ref="J398">IF($C398="","",INDEX(SchedZone,$C398,MAP!$B$12))</f>
        <v>DET</v>
      </c>
      <c r="K398" s="2" t="str">
        <f t="array" ref="K398">IF($J398="","",IF(COUNTIF(Teams,$J398)&gt;0,$J398,IFERROR(INDEX(LISTS!$D$2:$D$12,MATCH($J398,LISTS!$C$2:$C$12,0)),"⚠ "&amp;$J398)))</f>
        <v>DET</v>
      </c>
      <c r="L398" s="2" t="str">
        <f t="array" ref="L398">IF($C398="","",IF(INDEX(SchedZone,$C398,MAP!$B$14)="Neutral","N",IF($B398="HOME","H","A")))</f>
        <v>A</v>
      </c>
      <c r="M398" s="2" t="str">
        <f t="array" ref="M398">IF($C398="","",IF(INDEX(SchedZone,$C398,MAP!$B$11)="","",INDEX(SchedZone,$C398,MAP!$B$11)))</f>
        <v/>
      </c>
      <c r="N398" s="2" t="str">
        <f t="array" ref="N398">IF($C398="","",IF(INDEX(SchedZone,$C398,MAP!$B$13)="","",INDEX(SchedZone,$C398,MAP!$B$13)))</f>
        <v/>
      </c>
      <c r="O398" s="2">
        <f t="array" ref="O398">IF($C398="","",INDEX(SchedZone,$C398,MAP!$B$15))</f>
        <v>7</v>
      </c>
      <c r="P398" s="2" t="str">
        <f>IF($C398="","",IFERROR(MATCH($E398&amp;"|"&amp;$G398&amp;"|"&amp;$I398,StatsKey,0),""))</f>
        <v/>
      </c>
      <c r="Q398" s="2">
        <f t="array" ref="Q398">IF($P398="",0,INDEX(StatsZone,$P398,MAP!$E$9)+INDEX(StatsZone,$P398,MAP!$E$10)+INDEX(StatsZone,$P398,MAP!$E$11))</f>
        <v>0</v>
      </c>
      <c r="R398" s="2">
        <f t="array" ref="R398">IF($P398="",0,INDEX(StatsZone,$P398,MAP!$E$12))</f>
        <v>0</v>
      </c>
      <c r="S398" s="2">
        <f t="array" ref="S398">IF($P398="",0,INDEX(StatsZone,$P398,MAP!$E$13))</f>
        <v>0</v>
      </c>
      <c r="T398" s="2">
        <f t="shared" si="1"/>
        <v>0</v>
      </c>
      <c r="U398" s="2">
        <f t="array" ref="U398">IF($P398="",0,INDEX(StatsZone,$P398,MAP!$E$14)+INDEX(StatsZone,$P398,MAP!$E$15)+INDEX(StatsZone,$P398,MAP!$E$16))</f>
        <v>0</v>
      </c>
      <c r="V398" s="2">
        <f t="shared" si="2"/>
        <v>0</v>
      </c>
      <c r="W398" s="2">
        <f t="shared" si="3"/>
        <v>0</v>
      </c>
      <c r="X398" s="2">
        <f t="shared" si="4"/>
        <v>0</v>
      </c>
      <c r="Y398" s="2">
        <f t="shared" si="5"/>
        <v>0</v>
      </c>
      <c r="Z398" s="2">
        <f t="shared" si="6"/>
        <v>0</v>
      </c>
      <c r="AA398" s="2">
        <f t="shared" si="7"/>
        <v>-1</v>
      </c>
      <c r="AB398" s="2">
        <f>IF(OR($M398="",$N398=""),0,MEDIAN(-MarginCap,MarginCap,($M398-$N398)-$AA398*HFA_Base))</f>
        <v>0</v>
      </c>
      <c r="AC398" s="2">
        <f t="array" ref="AC398">IF(OR($P398="",INDEX($P$3:$P$722,(ROW()+IF(MOD(ROW()-3,2)=0,1,-1))-3+1)=""),0,MEDIAN(-MarginCap,MarginCap,($T398-$W398)-$AA398*HFA_Base))</f>
        <v>0</v>
      </c>
      <c r="AD398" s="2">
        <f t="shared" si="8"/>
        <v>0</v>
      </c>
      <c r="AE398" s="2">
        <f>IF(OR($M398="",$N398=""),0,IF(AND(WEpa&gt;0,$AD398=1),(1-WEpa)*$AB398+WEpa*$AC398,$AB398))</f>
        <v>0</v>
      </c>
      <c r="AF398" s="2">
        <f>IF(AND($C398&lt;&gt;"",$E398=CurrentSeason,$F398="REG",ISNUMBER($G398),$G398&lt;CurrentWeek,AND($M398&lt;&gt;"",$N398&lt;&gt;"")),1,0)</f>
        <v>0</v>
      </c>
      <c r="AG398" s="2">
        <f>IF($AF398=0,0,IF($G398&gt;=CurrentWeek-RecencyWin,RecencyMult,1))</f>
        <v>0</v>
      </c>
      <c r="AH398" s="2">
        <f>IF(AND($C398&lt;&gt;"",$E398=CurrentSeason,$F398="REG",ISNUMBER($G398),$G398&lt;CurrentWeek-1,AND($M398&lt;&gt;"",$N398&lt;&gt;"")),1,0)</f>
        <v>0</v>
      </c>
      <c r="AI398" s="2">
        <f>IF($AH398=0,0,IF($G398&gt;=CurrentWeek-1-RecencyWin,RecencyMult,1))</f>
        <v>0</v>
      </c>
      <c r="AJ398" s="2">
        <f>IF($AF398=0,0,IF($G398&gt;=CurrentWeek-RecencyWin,TotRecency,1))</f>
        <v>0</v>
      </c>
      <c r="AK398" s="2">
        <f t="shared" si="9"/>
        <v>0</v>
      </c>
      <c r="AL398" s="2">
        <f t="shared" si="10"/>
        <v>0</v>
      </c>
      <c r="AM398" s="2" t="str">
        <f t="array" ref="AM398">IF($K398="",0,IFERROR(INDEX(CALC!$F$2:$F$33,MATCH($K398,CALC!$A$2:$A$33,0)),0))</f>
        <v/>
      </c>
      <c r="AN398" s="2" t="str">
        <f t="array" ref="AN398">IF($K398="",0,IFERROR(INDEX(CALC!$I$2:$I$33,MATCH($K398,CALC!$A$2:$A$33,0)),0))</f>
        <v/>
      </c>
      <c r="AO398" s="2" t="str">
        <f t="array" ref="AO398">IF($K398="",0,IFERROR(INDEX(CALC!$L$2:$L$33,MATCH($K398,CALC!$A$2:$A$33,0)),0))</f>
        <v/>
      </c>
      <c r="AP398" s="2" t="str">
        <f t="array" ref="AP398">IF($K398="",0,IFERROR(INDEX(CALC!$T$2:$T$33,MATCH($K398,CALC!$A$2:$A$33,0)),0))</f>
        <v/>
      </c>
      <c r="AQ398" s="2" t="str">
        <f t="array" ref="AQ398">IF($K398="",0,IFERROR(INDEX(CALC!$W$2:$W$33,MATCH($K398,CALC!$A$2:$A$33,0)),0))</f>
        <v/>
      </c>
      <c r="AR398" s="2" t="str">
        <f t="array" ref="AR398">IF($K398="",0,IFERROR(INDEX(CALC!$Z$2:$Z$33,MATCH($K398,CALC!$A$2:$A$33,0)),0))</f>
        <v/>
      </c>
      <c r="AS398" s="2" t="str">
        <f t="array" ref="AS398">IF($K398="",0,IFERROR(INDEX(CALC!$AJ$2:$AJ$33,MATCH($K398,CALC!$A$2:$A$33,0)),0))</f>
        <v/>
      </c>
      <c r="AT398" s="2" t="str">
        <f t="array" ref="AT398">IF($K398="",0,IFERROR(INDEX(CALC!$AI$2:$AI$33,MATCH($K398,CALC!$A$2:$A$33,0)),0))</f>
        <v/>
      </c>
      <c r="AU398" s="2">
        <f t="shared" si="11"/>
        <v>0</v>
      </c>
      <c r="AV398" s="2">
        <f t="shared" si="12"/>
        <v>0</v>
      </c>
    </row>
    <row r="399" ht="15.0" customHeight="1">
      <c r="A399" s="2">
        <v>199.0</v>
      </c>
      <c r="B399" s="2" t="s">
        <v>2365</v>
      </c>
      <c r="C399" s="2">
        <f>IFERROR(MATCH($A399,SchedSeq,0),"")</f>
        <v>484</v>
      </c>
      <c r="D399" s="2" t="str">
        <f t="array" ref="D399">IF($C399="","",INDEX(SchedZone,$C399,MAP!$B$6))</f>
        <v>2026_14_CHI_MIA</v>
      </c>
      <c r="E399" s="2">
        <f t="array" ref="E399">IF($C399="","",INDEX(SchedZone,$C399,MAP!$B$3))</f>
        <v>2026</v>
      </c>
      <c r="F399" s="2" t="str">
        <f t="array" ref="F399">IF($C399="","",INDEX(SchedZone,$C399,MAP!$B$5))</f>
        <v>REG</v>
      </c>
      <c r="G399" s="2">
        <f t="array" ref="G399">IF($C399="","",INDEX(SchedZone,$C399,MAP!$B$4))</f>
        <v>14</v>
      </c>
      <c r="H399" s="2" t="str">
        <f t="array" ref="H399">IF($C399="","",INDEX(SchedZone,$C399,MAP!$B$12))</f>
        <v>MIA</v>
      </c>
      <c r="I399" s="2" t="str">
        <f t="array" ref="I399">IF($H399="","",IF(COUNTIF(Teams,$H399)&gt;0,$H399,IFERROR(INDEX(LISTS!$D$2:$D$12,MATCH($H399,LISTS!$C$2:$C$12,0)),"⚠ "&amp;$H399)))</f>
        <v>MIA</v>
      </c>
      <c r="J399" s="2" t="str">
        <f t="array" ref="J399">IF($C399="","",INDEX(SchedZone,$C399,MAP!$B$10))</f>
        <v>CHI</v>
      </c>
      <c r="K399" s="2" t="str">
        <f t="array" ref="K399">IF($J399="","",IF(COUNTIF(Teams,$J399)&gt;0,$J399,IFERROR(INDEX(LISTS!$D$2:$D$12,MATCH($J399,LISTS!$C$2:$C$12,0)),"⚠ "&amp;$J399)))</f>
        <v>CHI</v>
      </c>
      <c r="L399" s="2" t="str">
        <f t="array" ref="L399">IF($C399="","",IF(INDEX(SchedZone,$C399,MAP!$B$14)="Neutral","N",IF($B399="HOME","H","A")))</f>
        <v>H</v>
      </c>
      <c r="M399" s="2" t="str">
        <f t="array" ref="M399">IF($C399="","",IF(INDEX(SchedZone,$C399,MAP!$B$13)="","",INDEX(SchedZone,$C399,MAP!$B$13)))</f>
        <v/>
      </c>
      <c r="N399" s="2" t="str">
        <f t="array" ref="N399">IF($C399="","",IF(INDEX(SchedZone,$C399,MAP!$B$11)="","",INDEX(SchedZone,$C399,MAP!$B$11)))</f>
        <v/>
      </c>
      <c r="O399" s="2">
        <f t="array" ref="O399">IF($C399="","",INDEX(SchedZone,$C399,MAP!$B$16))</f>
        <v>7</v>
      </c>
      <c r="P399" s="2" t="str">
        <f>IF($C399="","",IFERROR(MATCH($E399&amp;"|"&amp;$G399&amp;"|"&amp;$I399,StatsKey,0),""))</f>
        <v/>
      </c>
      <c r="Q399" s="2">
        <f t="array" ref="Q399">IF($P399="",0,INDEX(StatsZone,$P399,MAP!$E$9)+INDEX(StatsZone,$P399,MAP!$E$10)+INDEX(StatsZone,$P399,MAP!$E$11))</f>
        <v>0</v>
      </c>
      <c r="R399" s="2">
        <f t="array" ref="R399">IF($P399="",0,INDEX(StatsZone,$P399,MAP!$E$12))</f>
        <v>0</v>
      </c>
      <c r="S399" s="2">
        <f t="array" ref="S399">IF($P399="",0,INDEX(StatsZone,$P399,MAP!$E$13))</f>
        <v>0</v>
      </c>
      <c r="T399" s="2">
        <f t="shared" si="1"/>
        <v>0</v>
      </c>
      <c r="U399" s="2">
        <f t="array" ref="U399">IF($P399="",0,INDEX(StatsZone,$P399,MAP!$E$14)+INDEX(StatsZone,$P399,MAP!$E$15)+INDEX(StatsZone,$P399,MAP!$E$16))</f>
        <v>0</v>
      </c>
      <c r="V399" s="2">
        <f t="shared" si="2"/>
        <v>0</v>
      </c>
      <c r="W399" s="2">
        <f t="shared" si="3"/>
        <v>0</v>
      </c>
      <c r="X399" s="2">
        <f t="shared" si="4"/>
        <v>0</v>
      </c>
      <c r="Y399" s="2">
        <f t="shared" si="5"/>
        <v>0</v>
      </c>
      <c r="Z399" s="2">
        <f t="shared" si="6"/>
        <v>0</v>
      </c>
      <c r="AA399" s="2">
        <f t="shared" si="7"/>
        <v>1</v>
      </c>
      <c r="AB399" s="2">
        <f>IF(OR($M399="",$N399=""),0,MEDIAN(-MarginCap,MarginCap,($M399-$N399)-$AA399*HFA_Base))</f>
        <v>0</v>
      </c>
      <c r="AC399" s="2">
        <f t="array" ref="AC399">IF(OR($P399="",INDEX($P$3:$P$722,(ROW()+IF(MOD(ROW()-3,2)=0,1,-1))-3+1)=""),0,MEDIAN(-MarginCap,MarginCap,($T399-$W399)-$AA399*HFA_Base))</f>
        <v>0</v>
      </c>
      <c r="AD399" s="2">
        <f t="shared" si="8"/>
        <v>0</v>
      </c>
      <c r="AE399" s="2">
        <f>IF(OR($M399="",$N399=""),0,IF(AND(WEpa&gt;0,$AD399=1),(1-WEpa)*$AB399+WEpa*$AC399,$AB399))</f>
        <v>0</v>
      </c>
      <c r="AF399" s="2">
        <f>IF(AND($C399&lt;&gt;"",$E399=CurrentSeason,$F399="REG",ISNUMBER($G399),$G399&lt;CurrentWeek,AND($M399&lt;&gt;"",$N399&lt;&gt;"")),1,0)</f>
        <v>0</v>
      </c>
      <c r="AG399" s="2">
        <f>IF($AF399=0,0,IF($G399&gt;=CurrentWeek-RecencyWin,RecencyMult,1))</f>
        <v>0</v>
      </c>
      <c r="AH399" s="2">
        <f>IF(AND($C399&lt;&gt;"",$E399=CurrentSeason,$F399="REG",ISNUMBER($G399),$G399&lt;CurrentWeek-1,AND($M399&lt;&gt;"",$N399&lt;&gt;"")),1,0)</f>
        <v>0</v>
      </c>
      <c r="AI399" s="2">
        <f>IF($AH399=0,0,IF($G399&gt;=CurrentWeek-1-RecencyWin,RecencyMult,1))</f>
        <v>0</v>
      </c>
      <c r="AJ399" s="2">
        <f>IF($AF399=0,0,IF($G399&gt;=CurrentWeek-RecencyWin,TotRecency,1))</f>
        <v>0</v>
      </c>
      <c r="AK399" s="2">
        <f t="shared" si="9"/>
        <v>0</v>
      </c>
      <c r="AL399" s="2">
        <f t="shared" si="10"/>
        <v>0</v>
      </c>
      <c r="AM399" s="2" t="str">
        <f t="array" ref="AM399">IF($K399="",0,IFERROR(INDEX(CALC!$F$2:$F$33,MATCH($K399,CALC!$A$2:$A$33,0)),0))</f>
        <v/>
      </c>
      <c r="AN399" s="2" t="str">
        <f t="array" ref="AN399">IF($K399="",0,IFERROR(INDEX(CALC!$I$2:$I$33,MATCH($K399,CALC!$A$2:$A$33,0)),0))</f>
        <v/>
      </c>
      <c r="AO399" s="2" t="str">
        <f t="array" ref="AO399">IF($K399="",0,IFERROR(INDEX(CALC!$L$2:$L$33,MATCH($K399,CALC!$A$2:$A$33,0)),0))</f>
        <v/>
      </c>
      <c r="AP399" s="2" t="str">
        <f t="array" ref="AP399">IF($K399="",0,IFERROR(INDEX(CALC!$T$2:$T$33,MATCH($K399,CALC!$A$2:$A$33,0)),0))</f>
        <v/>
      </c>
      <c r="AQ399" s="2" t="str">
        <f t="array" ref="AQ399">IF($K399="",0,IFERROR(INDEX(CALC!$W$2:$W$33,MATCH($K399,CALC!$A$2:$A$33,0)),0))</f>
        <v/>
      </c>
      <c r="AR399" s="2" t="str">
        <f t="array" ref="AR399">IF($K399="",0,IFERROR(INDEX(CALC!$Z$2:$Z$33,MATCH($K399,CALC!$A$2:$A$33,0)),0))</f>
        <v/>
      </c>
      <c r="AS399" s="2" t="str">
        <f t="array" ref="AS399">IF($K399="",0,IFERROR(INDEX(CALC!$AJ$2:$AJ$33,MATCH($K399,CALC!$A$2:$A$33,0)),0))</f>
        <v/>
      </c>
      <c r="AT399" s="2" t="str">
        <f t="array" ref="AT399">IF($K399="",0,IFERROR(INDEX(CALC!$AI$2:$AI$33,MATCH($K399,CALC!$A$2:$A$33,0)),0))</f>
        <v/>
      </c>
      <c r="AU399" s="2">
        <f t="shared" si="11"/>
        <v>0</v>
      </c>
      <c r="AV399" s="2">
        <f t="shared" si="12"/>
        <v>0</v>
      </c>
    </row>
    <row r="400" ht="15.0" customHeight="1">
      <c r="A400" s="2">
        <v>199.0</v>
      </c>
      <c r="B400" s="2" t="s">
        <v>2366</v>
      </c>
      <c r="C400" s="2">
        <f>IFERROR(MATCH($A400,SchedSeq,0),"")</f>
        <v>484</v>
      </c>
      <c r="D400" s="2" t="str">
        <f t="array" ref="D400">IF($C400="","",INDEX(SchedZone,$C400,MAP!$B$6))</f>
        <v>2026_14_CHI_MIA</v>
      </c>
      <c r="E400" s="2">
        <f t="array" ref="E400">IF($C400="","",INDEX(SchedZone,$C400,MAP!$B$3))</f>
        <v>2026</v>
      </c>
      <c r="F400" s="2" t="str">
        <f t="array" ref="F400">IF($C400="","",INDEX(SchedZone,$C400,MAP!$B$5))</f>
        <v>REG</v>
      </c>
      <c r="G400" s="2">
        <f t="array" ref="G400">IF($C400="","",INDEX(SchedZone,$C400,MAP!$B$4))</f>
        <v>14</v>
      </c>
      <c r="H400" s="2" t="str">
        <f t="array" ref="H400">IF($C400="","",INDEX(SchedZone,$C400,MAP!$B$10))</f>
        <v>CHI</v>
      </c>
      <c r="I400" s="2" t="str">
        <f t="array" ref="I400">IF($H400="","",IF(COUNTIF(Teams,$H400)&gt;0,$H400,IFERROR(INDEX(LISTS!$D$2:$D$12,MATCH($H400,LISTS!$C$2:$C$12,0)),"⚠ "&amp;$H400)))</f>
        <v>CHI</v>
      </c>
      <c r="J400" s="2" t="str">
        <f t="array" ref="J400">IF($C400="","",INDEX(SchedZone,$C400,MAP!$B$12))</f>
        <v>MIA</v>
      </c>
      <c r="K400" s="2" t="str">
        <f t="array" ref="K400">IF($J400="","",IF(COUNTIF(Teams,$J400)&gt;0,$J400,IFERROR(INDEX(LISTS!$D$2:$D$12,MATCH($J400,LISTS!$C$2:$C$12,0)),"⚠ "&amp;$J400)))</f>
        <v>MIA</v>
      </c>
      <c r="L400" s="2" t="str">
        <f t="array" ref="L400">IF($C400="","",IF(INDEX(SchedZone,$C400,MAP!$B$14)="Neutral","N",IF($B400="HOME","H","A")))</f>
        <v>A</v>
      </c>
      <c r="M400" s="2" t="str">
        <f t="array" ref="M400">IF($C400="","",IF(INDEX(SchedZone,$C400,MAP!$B$11)="","",INDEX(SchedZone,$C400,MAP!$B$11)))</f>
        <v/>
      </c>
      <c r="N400" s="2" t="str">
        <f t="array" ref="N400">IF($C400="","",IF(INDEX(SchedZone,$C400,MAP!$B$13)="","",INDEX(SchedZone,$C400,MAP!$B$13)))</f>
        <v/>
      </c>
      <c r="O400" s="2">
        <f t="array" ref="O400">IF($C400="","",INDEX(SchedZone,$C400,MAP!$B$15))</f>
        <v>7</v>
      </c>
      <c r="P400" s="2" t="str">
        <f>IF($C400="","",IFERROR(MATCH($E400&amp;"|"&amp;$G400&amp;"|"&amp;$I400,StatsKey,0),""))</f>
        <v/>
      </c>
      <c r="Q400" s="2">
        <f t="array" ref="Q400">IF($P400="",0,INDEX(StatsZone,$P400,MAP!$E$9)+INDEX(StatsZone,$P400,MAP!$E$10)+INDEX(StatsZone,$P400,MAP!$E$11))</f>
        <v>0</v>
      </c>
      <c r="R400" s="2">
        <f t="array" ref="R400">IF($P400="",0,INDEX(StatsZone,$P400,MAP!$E$12))</f>
        <v>0</v>
      </c>
      <c r="S400" s="2">
        <f t="array" ref="S400">IF($P400="",0,INDEX(StatsZone,$P400,MAP!$E$13))</f>
        <v>0</v>
      </c>
      <c r="T400" s="2">
        <f t="shared" si="1"/>
        <v>0</v>
      </c>
      <c r="U400" s="2">
        <f t="array" ref="U400">IF($P400="",0,INDEX(StatsZone,$P400,MAP!$E$14)+INDEX(StatsZone,$P400,MAP!$E$15)+INDEX(StatsZone,$P400,MAP!$E$16))</f>
        <v>0</v>
      </c>
      <c r="V400" s="2">
        <f t="shared" si="2"/>
        <v>0</v>
      </c>
      <c r="W400" s="2">
        <f t="shared" si="3"/>
        <v>0</v>
      </c>
      <c r="X400" s="2">
        <f t="shared" si="4"/>
        <v>0</v>
      </c>
      <c r="Y400" s="2">
        <f t="shared" si="5"/>
        <v>0</v>
      </c>
      <c r="Z400" s="2">
        <f t="shared" si="6"/>
        <v>0</v>
      </c>
      <c r="AA400" s="2">
        <f t="shared" si="7"/>
        <v>-1</v>
      </c>
      <c r="AB400" s="2">
        <f>IF(OR($M400="",$N400=""),0,MEDIAN(-MarginCap,MarginCap,($M400-$N400)-$AA400*HFA_Base))</f>
        <v>0</v>
      </c>
      <c r="AC400" s="2">
        <f t="array" ref="AC400">IF(OR($P400="",INDEX($P$3:$P$722,(ROW()+IF(MOD(ROW()-3,2)=0,1,-1))-3+1)=""),0,MEDIAN(-MarginCap,MarginCap,($T400-$W400)-$AA400*HFA_Base))</f>
        <v>0</v>
      </c>
      <c r="AD400" s="2">
        <f t="shared" si="8"/>
        <v>0</v>
      </c>
      <c r="AE400" s="2">
        <f>IF(OR($M400="",$N400=""),0,IF(AND(WEpa&gt;0,$AD400=1),(1-WEpa)*$AB400+WEpa*$AC400,$AB400))</f>
        <v>0</v>
      </c>
      <c r="AF400" s="2">
        <f>IF(AND($C400&lt;&gt;"",$E400=CurrentSeason,$F400="REG",ISNUMBER($G400),$G400&lt;CurrentWeek,AND($M400&lt;&gt;"",$N400&lt;&gt;"")),1,0)</f>
        <v>0</v>
      </c>
      <c r="AG400" s="2">
        <f>IF($AF400=0,0,IF($G400&gt;=CurrentWeek-RecencyWin,RecencyMult,1))</f>
        <v>0</v>
      </c>
      <c r="AH400" s="2">
        <f>IF(AND($C400&lt;&gt;"",$E400=CurrentSeason,$F400="REG",ISNUMBER($G400),$G400&lt;CurrentWeek-1,AND($M400&lt;&gt;"",$N400&lt;&gt;"")),1,0)</f>
        <v>0</v>
      </c>
      <c r="AI400" s="2">
        <f>IF($AH400=0,0,IF($G400&gt;=CurrentWeek-1-RecencyWin,RecencyMult,1))</f>
        <v>0</v>
      </c>
      <c r="AJ400" s="2">
        <f>IF($AF400=0,0,IF($G400&gt;=CurrentWeek-RecencyWin,TotRecency,1))</f>
        <v>0</v>
      </c>
      <c r="AK400" s="2">
        <f t="shared" si="9"/>
        <v>0</v>
      </c>
      <c r="AL400" s="2">
        <f t="shared" si="10"/>
        <v>0</v>
      </c>
      <c r="AM400" s="2" t="str">
        <f t="array" ref="AM400">IF($K400="",0,IFERROR(INDEX(CALC!$F$2:$F$33,MATCH($K400,CALC!$A$2:$A$33,0)),0))</f>
        <v/>
      </c>
      <c r="AN400" s="2" t="str">
        <f t="array" ref="AN400">IF($K400="",0,IFERROR(INDEX(CALC!$I$2:$I$33,MATCH($K400,CALC!$A$2:$A$33,0)),0))</f>
        <v/>
      </c>
      <c r="AO400" s="2" t="str">
        <f t="array" ref="AO400">IF($K400="",0,IFERROR(INDEX(CALC!$L$2:$L$33,MATCH($K400,CALC!$A$2:$A$33,0)),0))</f>
        <v/>
      </c>
      <c r="AP400" s="2" t="str">
        <f t="array" ref="AP400">IF($K400="",0,IFERROR(INDEX(CALC!$T$2:$T$33,MATCH($K400,CALC!$A$2:$A$33,0)),0))</f>
        <v/>
      </c>
      <c r="AQ400" s="2" t="str">
        <f t="array" ref="AQ400">IF($K400="",0,IFERROR(INDEX(CALC!$W$2:$W$33,MATCH($K400,CALC!$A$2:$A$33,0)),0))</f>
        <v/>
      </c>
      <c r="AR400" s="2" t="str">
        <f t="array" ref="AR400">IF($K400="",0,IFERROR(INDEX(CALC!$Z$2:$Z$33,MATCH($K400,CALC!$A$2:$A$33,0)),0))</f>
        <v/>
      </c>
      <c r="AS400" s="2" t="str">
        <f t="array" ref="AS400">IF($K400="",0,IFERROR(INDEX(CALC!$AJ$2:$AJ$33,MATCH($K400,CALC!$A$2:$A$33,0)),0))</f>
        <v/>
      </c>
      <c r="AT400" s="2" t="str">
        <f t="array" ref="AT400">IF($K400="",0,IFERROR(INDEX(CALC!$AI$2:$AI$33,MATCH($K400,CALC!$A$2:$A$33,0)),0))</f>
        <v/>
      </c>
      <c r="AU400" s="2">
        <f t="shared" si="11"/>
        <v>0</v>
      </c>
      <c r="AV400" s="2">
        <f t="shared" si="12"/>
        <v>0</v>
      </c>
    </row>
    <row r="401" ht="15.0" customHeight="1">
      <c r="A401" s="2">
        <v>200.0</v>
      </c>
      <c r="B401" s="2" t="s">
        <v>2365</v>
      </c>
      <c r="C401" s="2">
        <f>IFERROR(MATCH($A401,SchedSeq,0),"")</f>
        <v>485</v>
      </c>
      <c r="D401" s="2" t="str">
        <f t="array" ref="D401">IF($C401="","",INDEX(SchedZone,$C401,MAP!$B$6))</f>
        <v>2026_14_DEN_NYJ</v>
      </c>
      <c r="E401" s="2">
        <f t="array" ref="E401">IF($C401="","",INDEX(SchedZone,$C401,MAP!$B$3))</f>
        <v>2026</v>
      </c>
      <c r="F401" s="2" t="str">
        <f t="array" ref="F401">IF($C401="","",INDEX(SchedZone,$C401,MAP!$B$5))</f>
        <v>REG</v>
      </c>
      <c r="G401" s="2">
        <f t="array" ref="G401">IF($C401="","",INDEX(SchedZone,$C401,MAP!$B$4))</f>
        <v>14</v>
      </c>
      <c r="H401" s="2" t="str">
        <f t="array" ref="H401">IF($C401="","",INDEX(SchedZone,$C401,MAP!$B$12))</f>
        <v>NYJ</v>
      </c>
      <c r="I401" s="2" t="str">
        <f t="array" ref="I401">IF($H401="","",IF(COUNTIF(Teams,$H401)&gt;0,$H401,IFERROR(INDEX(LISTS!$D$2:$D$12,MATCH($H401,LISTS!$C$2:$C$12,0)),"⚠ "&amp;$H401)))</f>
        <v>NYJ</v>
      </c>
      <c r="J401" s="2" t="str">
        <f t="array" ref="J401">IF($C401="","",INDEX(SchedZone,$C401,MAP!$B$10))</f>
        <v>DEN</v>
      </c>
      <c r="K401" s="2" t="str">
        <f t="array" ref="K401">IF($J401="","",IF(COUNTIF(Teams,$J401)&gt;0,$J401,IFERROR(INDEX(LISTS!$D$2:$D$12,MATCH($J401,LISTS!$C$2:$C$12,0)),"⚠ "&amp;$J401)))</f>
        <v>DEN</v>
      </c>
      <c r="L401" s="2" t="str">
        <f t="array" ref="L401">IF($C401="","",IF(INDEX(SchedZone,$C401,MAP!$B$14)="Neutral","N",IF($B401="HOME","H","A")))</f>
        <v>H</v>
      </c>
      <c r="M401" s="2" t="str">
        <f t="array" ref="M401">IF($C401="","",IF(INDEX(SchedZone,$C401,MAP!$B$13)="","",INDEX(SchedZone,$C401,MAP!$B$13)))</f>
        <v/>
      </c>
      <c r="N401" s="2" t="str">
        <f t="array" ref="N401">IF($C401="","",IF(INDEX(SchedZone,$C401,MAP!$B$11)="","",INDEX(SchedZone,$C401,MAP!$B$11)))</f>
        <v/>
      </c>
      <c r="O401" s="2">
        <f t="array" ref="O401">IF($C401="","",INDEX(SchedZone,$C401,MAP!$B$16))</f>
        <v>14</v>
      </c>
      <c r="P401" s="2" t="str">
        <f>IF($C401="","",IFERROR(MATCH($E401&amp;"|"&amp;$G401&amp;"|"&amp;$I401,StatsKey,0),""))</f>
        <v/>
      </c>
      <c r="Q401" s="2">
        <f t="array" ref="Q401">IF($P401="",0,INDEX(StatsZone,$P401,MAP!$E$9)+INDEX(StatsZone,$P401,MAP!$E$10)+INDEX(StatsZone,$P401,MAP!$E$11))</f>
        <v>0</v>
      </c>
      <c r="R401" s="2">
        <f t="array" ref="R401">IF($P401="",0,INDEX(StatsZone,$P401,MAP!$E$12))</f>
        <v>0</v>
      </c>
      <c r="S401" s="2">
        <f t="array" ref="S401">IF($P401="",0,INDEX(StatsZone,$P401,MAP!$E$13))</f>
        <v>0</v>
      </c>
      <c r="T401" s="2">
        <f t="shared" si="1"/>
        <v>0</v>
      </c>
      <c r="U401" s="2">
        <f t="array" ref="U401">IF($P401="",0,INDEX(StatsZone,$P401,MAP!$E$14)+INDEX(StatsZone,$P401,MAP!$E$15)+INDEX(StatsZone,$P401,MAP!$E$16))</f>
        <v>0</v>
      </c>
      <c r="V401" s="2">
        <f t="shared" si="2"/>
        <v>0</v>
      </c>
      <c r="W401" s="2">
        <f t="shared" si="3"/>
        <v>0</v>
      </c>
      <c r="X401" s="2">
        <f t="shared" si="4"/>
        <v>0</v>
      </c>
      <c r="Y401" s="2">
        <f t="shared" si="5"/>
        <v>0</v>
      </c>
      <c r="Z401" s="2">
        <f t="shared" si="6"/>
        <v>0</v>
      </c>
      <c r="AA401" s="2">
        <f t="shared" si="7"/>
        <v>1</v>
      </c>
      <c r="AB401" s="2">
        <f>IF(OR($M401="",$N401=""),0,MEDIAN(-MarginCap,MarginCap,($M401-$N401)-$AA401*HFA_Base))</f>
        <v>0</v>
      </c>
      <c r="AC401" s="2">
        <f t="array" ref="AC401">IF(OR($P401="",INDEX($P$3:$P$722,(ROW()+IF(MOD(ROW()-3,2)=0,1,-1))-3+1)=""),0,MEDIAN(-MarginCap,MarginCap,($T401-$W401)-$AA401*HFA_Base))</f>
        <v>0</v>
      </c>
      <c r="AD401" s="2">
        <f t="shared" si="8"/>
        <v>0</v>
      </c>
      <c r="AE401" s="2">
        <f>IF(OR($M401="",$N401=""),0,IF(AND(WEpa&gt;0,$AD401=1),(1-WEpa)*$AB401+WEpa*$AC401,$AB401))</f>
        <v>0</v>
      </c>
      <c r="AF401" s="2">
        <f>IF(AND($C401&lt;&gt;"",$E401=CurrentSeason,$F401="REG",ISNUMBER($G401),$G401&lt;CurrentWeek,AND($M401&lt;&gt;"",$N401&lt;&gt;"")),1,0)</f>
        <v>0</v>
      </c>
      <c r="AG401" s="2">
        <f>IF($AF401=0,0,IF($G401&gt;=CurrentWeek-RecencyWin,RecencyMult,1))</f>
        <v>0</v>
      </c>
      <c r="AH401" s="2">
        <f>IF(AND($C401&lt;&gt;"",$E401=CurrentSeason,$F401="REG",ISNUMBER($G401),$G401&lt;CurrentWeek-1,AND($M401&lt;&gt;"",$N401&lt;&gt;"")),1,0)</f>
        <v>0</v>
      </c>
      <c r="AI401" s="2">
        <f>IF($AH401=0,0,IF($G401&gt;=CurrentWeek-1-RecencyWin,RecencyMult,1))</f>
        <v>0</v>
      </c>
      <c r="AJ401" s="2">
        <f>IF($AF401=0,0,IF($G401&gt;=CurrentWeek-RecencyWin,TotRecency,1))</f>
        <v>0</v>
      </c>
      <c r="AK401" s="2">
        <f t="shared" si="9"/>
        <v>0</v>
      </c>
      <c r="AL401" s="2">
        <f t="shared" si="10"/>
        <v>0</v>
      </c>
      <c r="AM401" s="2" t="str">
        <f t="array" ref="AM401">IF($K401="",0,IFERROR(INDEX(CALC!$F$2:$F$33,MATCH($K401,CALC!$A$2:$A$33,0)),0))</f>
        <v/>
      </c>
      <c r="AN401" s="2" t="str">
        <f t="array" ref="AN401">IF($K401="",0,IFERROR(INDEX(CALC!$I$2:$I$33,MATCH($K401,CALC!$A$2:$A$33,0)),0))</f>
        <v/>
      </c>
      <c r="AO401" s="2" t="str">
        <f t="array" ref="AO401">IF($K401="",0,IFERROR(INDEX(CALC!$L$2:$L$33,MATCH($K401,CALC!$A$2:$A$33,0)),0))</f>
        <v/>
      </c>
      <c r="AP401" s="2" t="str">
        <f t="array" ref="AP401">IF($K401="",0,IFERROR(INDEX(CALC!$T$2:$T$33,MATCH($K401,CALC!$A$2:$A$33,0)),0))</f>
        <v/>
      </c>
      <c r="AQ401" s="2" t="str">
        <f t="array" ref="AQ401">IF($K401="",0,IFERROR(INDEX(CALC!$W$2:$W$33,MATCH($K401,CALC!$A$2:$A$33,0)),0))</f>
        <v/>
      </c>
      <c r="AR401" s="2" t="str">
        <f t="array" ref="AR401">IF($K401="",0,IFERROR(INDEX(CALC!$Z$2:$Z$33,MATCH($K401,CALC!$A$2:$A$33,0)),0))</f>
        <v/>
      </c>
      <c r="AS401" s="2" t="str">
        <f t="array" ref="AS401">IF($K401="",0,IFERROR(INDEX(CALC!$AJ$2:$AJ$33,MATCH($K401,CALC!$A$2:$A$33,0)),0))</f>
        <v/>
      </c>
      <c r="AT401" s="2" t="str">
        <f t="array" ref="AT401">IF($K401="",0,IFERROR(INDEX(CALC!$AI$2:$AI$33,MATCH($K401,CALC!$A$2:$A$33,0)),0))</f>
        <v/>
      </c>
      <c r="AU401" s="2">
        <f t="shared" si="11"/>
        <v>0</v>
      </c>
      <c r="AV401" s="2">
        <f t="shared" si="12"/>
        <v>0</v>
      </c>
    </row>
    <row r="402" ht="15.0" customHeight="1">
      <c r="A402" s="2">
        <v>200.0</v>
      </c>
      <c r="B402" s="2" t="s">
        <v>2366</v>
      </c>
      <c r="C402" s="2">
        <f>IFERROR(MATCH($A402,SchedSeq,0),"")</f>
        <v>485</v>
      </c>
      <c r="D402" s="2" t="str">
        <f t="array" ref="D402">IF($C402="","",INDEX(SchedZone,$C402,MAP!$B$6))</f>
        <v>2026_14_DEN_NYJ</v>
      </c>
      <c r="E402" s="2">
        <f t="array" ref="E402">IF($C402="","",INDEX(SchedZone,$C402,MAP!$B$3))</f>
        <v>2026</v>
      </c>
      <c r="F402" s="2" t="str">
        <f t="array" ref="F402">IF($C402="","",INDEX(SchedZone,$C402,MAP!$B$5))</f>
        <v>REG</v>
      </c>
      <c r="G402" s="2">
        <f t="array" ref="G402">IF($C402="","",INDEX(SchedZone,$C402,MAP!$B$4))</f>
        <v>14</v>
      </c>
      <c r="H402" s="2" t="str">
        <f t="array" ref="H402">IF($C402="","",INDEX(SchedZone,$C402,MAP!$B$10))</f>
        <v>DEN</v>
      </c>
      <c r="I402" s="2" t="str">
        <f t="array" ref="I402">IF($H402="","",IF(COUNTIF(Teams,$H402)&gt;0,$H402,IFERROR(INDEX(LISTS!$D$2:$D$12,MATCH($H402,LISTS!$C$2:$C$12,0)),"⚠ "&amp;$H402)))</f>
        <v>DEN</v>
      </c>
      <c r="J402" s="2" t="str">
        <f t="array" ref="J402">IF($C402="","",INDEX(SchedZone,$C402,MAP!$B$12))</f>
        <v>NYJ</v>
      </c>
      <c r="K402" s="2" t="str">
        <f t="array" ref="K402">IF($J402="","",IF(COUNTIF(Teams,$J402)&gt;0,$J402,IFERROR(INDEX(LISTS!$D$2:$D$12,MATCH($J402,LISTS!$C$2:$C$12,0)),"⚠ "&amp;$J402)))</f>
        <v>NYJ</v>
      </c>
      <c r="L402" s="2" t="str">
        <f t="array" ref="L402">IF($C402="","",IF(INDEX(SchedZone,$C402,MAP!$B$14)="Neutral","N",IF($B402="HOME","H","A")))</f>
        <v>A</v>
      </c>
      <c r="M402" s="2" t="str">
        <f t="array" ref="M402">IF($C402="","",IF(INDEX(SchedZone,$C402,MAP!$B$11)="","",INDEX(SchedZone,$C402,MAP!$B$11)))</f>
        <v/>
      </c>
      <c r="N402" s="2" t="str">
        <f t="array" ref="N402">IF($C402="","",IF(INDEX(SchedZone,$C402,MAP!$B$13)="","",INDEX(SchedZone,$C402,MAP!$B$13)))</f>
        <v/>
      </c>
      <c r="O402" s="2">
        <f t="array" ref="O402">IF($C402="","",INDEX(SchedZone,$C402,MAP!$B$15))</f>
        <v>7</v>
      </c>
      <c r="P402" s="2" t="str">
        <f>IF($C402="","",IFERROR(MATCH($E402&amp;"|"&amp;$G402&amp;"|"&amp;$I402,StatsKey,0),""))</f>
        <v/>
      </c>
      <c r="Q402" s="2">
        <f t="array" ref="Q402">IF($P402="",0,INDEX(StatsZone,$P402,MAP!$E$9)+INDEX(StatsZone,$P402,MAP!$E$10)+INDEX(StatsZone,$P402,MAP!$E$11))</f>
        <v>0</v>
      </c>
      <c r="R402" s="2">
        <f t="array" ref="R402">IF($P402="",0,INDEX(StatsZone,$P402,MAP!$E$12))</f>
        <v>0</v>
      </c>
      <c r="S402" s="2">
        <f t="array" ref="S402">IF($P402="",0,INDEX(StatsZone,$P402,MAP!$E$13))</f>
        <v>0</v>
      </c>
      <c r="T402" s="2">
        <f t="shared" si="1"/>
        <v>0</v>
      </c>
      <c r="U402" s="2">
        <f t="array" ref="U402">IF($P402="",0,INDEX(StatsZone,$P402,MAP!$E$14)+INDEX(StatsZone,$P402,MAP!$E$15)+INDEX(StatsZone,$P402,MAP!$E$16))</f>
        <v>0</v>
      </c>
      <c r="V402" s="2">
        <f t="shared" si="2"/>
        <v>0</v>
      </c>
      <c r="W402" s="2">
        <f t="shared" si="3"/>
        <v>0</v>
      </c>
      <c r="X402" s="2">
        <f t="shared" si="4"/>
        <v>0</v>
      </c>
      <c r="Y402" s="2">
        <f t="shared" si="5"/>
        <v>0</v>
      </c>
      <c r="Z402" s="2">
        <f t="shared" si="6"/>
        <v>0</v>
      </c>
      <c r="AA402" s="2">
        <f t="shared" si="7"/>
        <v>-1</v>
      </c>
      <c r="AB402" s="2">
        <f>IF(OR($M402="",$N402=""),0,MEDIAN(-MarginCap,MarginCap,($M402-$N402)-$AA402*HFA_Base))</f>
        <v>0</v>
      </c>
      <c r="AC402" s="2">
        <f t="array" ref="AC402">IF(OR($P402="",INDEX($P$3:$P$722,(ROW()+IF(MOD(ROW()-3,2)=0,1,-1))-3+1)=""),0,MEDIAN(-MarginCap,MarginCap,($T402-$W402)-$AA402*HFA_Base))</f>
        <v>0</v>
      </c>
      <c r="AD402" s="2">
        <f t="shared" si="8"/>
        <v>0</v>
      </c>
      <c r="AE402" s="2">
        <f>IF(OR($M402="",$N402=""),0,IF(AND(WEpa&gt;0,$AD402=1),(1-WEpa)*$AB402+WEpa*$AC402,$AB402))</f>
        <v>0</v>
      </c>
      <c r="AF402" s="2">
        <f>IF(AND($C402&lt;&gt;"",$E402=CurrentSeason,$F402="REG",ISNUMBER($G402),$G402&lt;CurrentWeek,AND($M402&lt;&gt;"",$N402&lt;&gt;"")),1,0)</f>
        <v>0</v>
      </c>
      <c r="AG402" s="2">
        <f>IF($AF402=0,0,IF($G402&gt;=CurrentWeek-RecencyWin,RecencyMult,1))</f>
        <v>0</v>
      </c>
      <c r="AH402" s="2">
        <f>IF(AND($C402&lt;&gt;"",$E402=CurrentSeason,$F402="REG",ISNUMBER($G402),$G402&lt;CurrentWeek-1,AND($M402&lt;&gt;"",$N402&lt;&gt;"")),1,0)</f>
        <v>0</v>
      </c>
      <c r="AI402" s="2">
        <f>IF($AH402=0,0,IF($G402&gt;=CurrentWeek-1-RecencyWin,RecencyMult,1))</f>
        <v>0</v>
      </c>
      <c r="AJ402" s="2">
        <f>IF($AF402=0,0,IF($G402&gt;=CurrentWeek-RecencyWin,TotRecency,1))</f>
        <v>0</v>
      </c>
      <c r="AK402" s="2">
        <f t="shared" si="9"/>
        <v>0</v>
      </c>
      <c r="AL402" s="2">
        <f t="shared" si="10"/>
        <v>0</v>
      </c>
      <c r="AM402" s="2" t="str">
        <f t="array" ref="AM402">IF($K402="",0,IFERROR(INDEX(CALC!$F$2:$F$33,MATCH($K402,CALC!$A$2:$A$33,0)),0))</f>
        <v/>
      </c>
      <c r="AN402" s="2" t="str">
        <f t="array" ref="AN402">IF($K402="",0,IFERROR(INDEX(CALC!$I$2:$I$33,MATCH($K402,CALC!$A$2:$A$33,0)),0))</f>
        <v/>
      </c>
      <c r="AO402" s="2" t="str">
        <f t="array" ref="AO402">IF($K402="",0,IFERROR(INDEX(CALC!$L$2:$L$33,MATCH($K402,CALC!$A$2:$A$33,0)),0))</f>
        <v/>
      </c>
      <c r="AP402" s="2" t="str">
        <f t="array" ref="AP402">IF($K402="",0,IFERROR(INDEX(CALC!$T$2:$T$33,MATCH($K402,CALC!$A$2:$A$33,0)),0))</f>
        <v/>
      </c>
      <c r="AQ402" s="2" t="str">
        <f t="array" ref="AQ402">IF($K402="",0,IFERROR(INDEX(CALC!$W$2:$W$33,MATCH($K402,CALC!$A$2:$A$33,0)),0))</f>
        <v/>
      </c>
      <c r="AR402" s="2" t="str">
        <f t="array" ref="AR402">IF($K402="",0,IFERROR(INDEX(CALC!$Z$2:$Z$33,MATCH($K402,CALC!$A$2:$A$33,0)),0))</f>
        <v/>
      </c>
      <c r="AS402" s="2" t="str">
        <f t="array" ref="AS402">IF($K402="",0,IFERROR(INDEX(CALC!$AJ$2:$AJ$33,MATCH($K402,CALC!$A$2:$A$33,0)),0))</f>
        <v/>
      </c>
      <c r="AT402" s="2" t="str">
        <f t="array" ref="AT402">IF($K402="",0,IFERROR(INDEX(CALC!$AI$2:$AI$33,MATCH($K402,CALC!$A$2:$A$33,0)),0))</f>
        <v/>
      </c>
      <c r="AU402" s="2">
        <f t="shared" si="11"/>
        <v>0</v>
      </c>
      <c r="AV402" s="2">
        <f t="shared" si="12"/>
        <v>0</v>
      </c>
    </row>
    <row r="403" ht="15.0" customHeight="1">
      <c r="A403" s="2">
        <v>201.0</v>
      </c>
      <c r="B403" s="2" t="s">
        <v>2365</v>
      </c>
      <c r="C403" s="2">
        <f>IFERROR(MATCH($A403,SchedSeq,0),"")</f>
        <v>486</v>
      </c>
      <c r="D403" s="2" t="str">
        <f t="array" ref="D403">IF($C403="","",INDEX(SchedZone,$C403,MAP!$B$6))</f>
        <v>2026_14_IND_PHI</v>
      </c>
      <c r="E403" s="2">
        <f t="array" ref="E403">IF($C403="","",INDEX(SchedZone,$C403,MAP!$B$3))</f>
        <v>2026</v>
      </c>
      <c r="F403" s="2" t="str">
        <f t="array" ref="F403">IF($C403="","",INDEX(SchedZone,$C403,MAP!$B$5))</f>
        <v>REG</v>
      </c>
      <c r="G403" s="2">
        <f t="array" ref="G403">IF($C403="","",INDEX(SchedZone,$C403,MAP!$B$4))</f>
        <v>14</v>
      </c>
      <c r="H403" s="2" t="str">
        <f t="array" ref="H403">IF($C403="","",INDEX(SchedZone,$C403,MAP!$B$12))</f>
        <v>PHI</v>
      </c>
      <c r="I403" s="2" t="str">
        <f t="array" ref="I403">IF($H403="","",IF(COUNTIF(Teams,$H403)&gt;0,$H403,IFERROR(INDEX(LISTS!$D$2:$D$12,MATCH($H403,LISTS!$C$2:$C$12,0)),"⚠ "&amp;$H403)))</f>
        <v>PHI</v>
      </c>
      <c r="J403" s="2" t="str">
        <f t="array" ref="J403">IF($C403="","",INDEX(SchedZone,$C403,MAP!$B$10))</f>
        <v>IND</v>
      </c>
      <c r="K403" s="2" t="str">
        <f t="array" ref="K403">IF($J403="","",IF(COUNTIF(Teams,$J403)&gt;0,$J403,IFERROR(INDEX(LISTS!$D$2:$D$12,MATCH($J403,LISTS!$C$2:$C$12,0)),"⚠ "&amp;$J403)))</f>
        <v>IND</v>
      </c>
      <c r="L403" s="2" t="str">
        <f t="array" ref="L403">IF($C403="","",IF(INDEX(SchedZone,$C403,MAP!$B$14)="Neutral","N",IF($B403="HOME","H","A")))</f>
        <v>H</v>
      </c>
      <c r="M403" s="2" t="str">
        <f t="array" ref="M403">IF($C403="","",IF(INDEX(SchedZone,$C403,MAP!$B$13)="","",INDEX(SchedZone,$C403,MAP!$B$13)))</f>
        <v/>
      </c>
      <c r="N403" s="2" t="str">
        <f t="array" ref="N403">IF($C403="","",IF(INDEX(SchedZone,$C403,MAP!$B$11)="","",INDEX(SchedZone,$C403,MAP!$B$11)))</f>
        <v/>
      </c>
      <c r="O403" s="2">
        <f t="array" ref="O403">IF($C403="","",INDEX(SchedZone,$C403,MAP!$B$16))</f>
        <v>7</v>
      </c>
      <c r="P403" s="2" t="str">
        <f>IF($C403="","",IFERROR(MATCH($E403&amp;"|"&amp;$G403&amp;"|"&amp;$I403,StatsKey,0),""))</f>
        <v/>
      </c>
      <c r="Q403" s="2">
        <f t="array" ref="Q403">IF($P403="",0,INDEX(StatsZone,$P403,MAP!$E$9)+INDEX(StatsZone,$P403,MAP!$E$10)+INDEX(StatsZone,$P403,MAP!$E$11))</f>
        <v>0</v>
      </c>
      <c r="R403" s="2">
        <f t="array" ref="R403">IF($P403="",0,INDEX(StatsZone,$P403,MAP!$E$12))</f>
        <v>0</v>
      </c>
      <c r="S403" s="2">
        <f t="array" ref="S403">IF($P403="",0,INDEX(StatsZone,$P403,MAP!$E$13))</f>
        <v>0</v>
      </c>
      <c r="T403" s="2">
        <f t="shared" si="1"/>
        <v>0</v>
      </c>
      <c r="U403" s="2">
        <f t="array" ref="U403">IF($P403="",0,INDEX(StatsZone,$P403,MAP!$E$14)+INDEX(StatsZone,$P403,MAP!$E$15)+INDEX(StatsZone,$P403,MAP!$E$16))</f>
        <v>0</v>
      </c>
      <c r="V403" s="2">
        <f t="shared" si="2"/>
        <v>0</v>
      </c>
      <c r="W403" s="2">
        <f t="shared" si="3"/>
        <v>0</v>
      </c>
      <c r="X403" s="2">
        <f t="shared" si="4"/>
        <v>0</v>
      </c>
      <c r="Y403" s="2">
        <f t="shared" si="5"/>
        <v>0</v>
      </c>
      <c r="Z403" s="2">
        <f t="shared" si="6"/>
        <v>0</v>
      </c>
      <c r="AA403" s="2">
        <f t="shared" si="7"/>
        <v>1</v>
      </c>
      <c r="AB403" s="2">
        <f>IF(OR($M403="",$N403=""),0,MEDIAN(-MarginCap,MarginCap,($M403-$N403)-$AA403*HFA_Base))</f>
        <v>0</v>
      </c>
      <c r="AC403" s="2">
        <f t="array" ref="AC403">IF(OR($P403="",INDEX($P$3:$P$722,(ROW()+IF(MOD(ROW()-3,2)=0,1,-1))-3+1)=""),0,MEDIAN(-MarginCap,MarginCap,($T403-$W403)-$AA403*HFA_Base))</f>
        <v>0</v>
      </c>
      <c r="AD403" s="2">
        <f t="shared" si="8"/>
        <v>0</v>
      </c>
      <c r="AE403" s="2">
        <f>IF(OR($M403="",$N403=""),0,IF(AND(WEpa&gt;0,$AD403=1),(1-WEpa)*$AB403+WEpa*$AC403,$AB403))</f>
        <v>0</v>
      </c>
      <c r="AF403" s="2">
        <f>IF(AND($C403&lt;&gt;"",$E403=CurrentSeason,$F403="REG",ISNUMBER($G403),$G403&lt;CurrentWeek,AND($M403&lt;&gt;"",$N403&lt;&gt;"")),1,0)</f>
        <v>0</v>
      </c>
      <c r="AG403" s="2">
        <f>IF($AF403=0,0,IF($G403&gt;=CurrentWeek-RecencyWin,RecencyMult,1))</f>
        <v>0</v>
      </c>
      <c r="AH403" s="2">
        <f>IF(AND($C403&lt;&gt;"",$E403=CurrentSeason,$F403="REG",ISNUMBER($G403),$G403&lt;CurrentWeek-1,AND($M403&lt;&gt;"",$N403&lt;&gt;"")),1,0)</f>
        <v>0</v>
      </c>
      <c r="AI403" s="2">
        <f>IF($AH403=0,0,IF($G403&gt;=CurrentWeek-1-RecencyWin,RecencyMult,1))</f>
        <v>0</v>
      </c>
      <c r="AJ403" s="2">
        <f>IF($AF403=0,0,IF($G403&gt;=CurrentWeek-RecencyWin,TotRecency,1))</f>
        <v>0</v>
      </c>
      <c r="AK403" s="2">
        <f t="shared" si="9"/>
        <v>0</v>
      </c>
      <c r="AL403" s="2">
        <f t="shared" si="10"/>
        <v>0</v>
      </c>
      <c r="AM403" s="2" t="str">
        <f t="array" ref="AM403">IF($K403="",0,IFERROR(INDEX(CALC!$F$2:$F$33,MATCH($K403,CALC!$A$2:$A$33,0)),0))</f>
        <v/>
      </c>
      <c r="AN403" s="2" t="str">
        <f t="array" ref="AN403">IF($K403="",0,IFERROR(INDEX(CALC!$I$2:$I$33,MATCH($K403,CALC!$A$2:$A$33,0)),0))</f>
        <v/>
      </c>
      <c r="AO403" s="2" t="str">
        <f t="array" ref="AO403">IF($K403="",0,IFERROR(INDEX(CALC!$L$2:$L$33,MATCH($K403,CALC!$A$2:$A$33,0)),0))</f>
        <v/>
      </c>
      <c r="AP403" s="2" t="str">
        <f t="array" ref="AP403">IF($K403="",0,IFERROR(INDEX(CALC!$T$2:$T$33,MATCH($K403,CALC!$A$2:$A$33,0)),0))</f>
        <v/>
      </c>
      <c r="AQ403" s="2" t="str">
        <f t="array" ref="AQ403">IF($K403="",0,IFERROR(INDEX(CALC!$W$2:$W$33,MATCH($K403,CALC!$A$2:$A$33,0)),0))</f>
        <v/>
      </c>
      <c r="AR403" s="2" t="str">
        <f t="array" ref="AR403">IF($K403="",0,IFERROR(INDEX(CALC!$Z$2:$Z$33,MATCH($K403,CALC!$A$2:$A$33,0)),0))</f>
        <v/>
      </c>
      <c r="AS403" s="2" t="str">
        <f t="array" ref="AS403">IF($K403="",0,IFERROR(INDEX(CALC!$AJ$2:$AJ$33,MATCH($K403,CALC!$A$2:$A$33,0)),0))</f>
        <v/>
      </c>
      <c r="AT403" s="2" t="str">
        <f t="array" ref="AT403">IF($K403="",0,IFERROR(INDEX(CALC!$AI$2:$AI$33,MATCH($K403,CALC!$A$2:$A$33,0)),0))</f>
        <v/>
      </c>
      <c r="AU403" s="2">
        <f t="shared" si="11"/>
        <v>0</v>
      </c>
      <c r="AV403" s="2">
        <f t="shared" si="12"/>
        <v>0</v>
      </c>
    </row>
    <row r="404" ht="15.0" customHeight="1">
      <c r="A404" s="2">
        <v>201.0</v>
      </c>
      <c r="B404" s="2" t="s">
        <v>2366</v>
      </c>
      <c r="C404" s="2">
        <f>IFERROR(MATCH($A404,SchedSeq,0),"")</f>
        <v>486</v>
      </c>
      <c r="D404" s="2" t="str">
        <f t="array" ref="D404">IF($C404="","",INDEX(SchedZone,$C404,MAP!$B$6))</f>
        <v>2026_14_IND_PHI</v>
      </c>
      <c r="E404" s="2">
        <f t="array" ref="E404">IF($C404="","",INDEX(SchedZone,$C404,MAP!$B$3))</f>
        <v>2026</v>
      </c>
      <c r="F404" s="2" t="str">
        <f t="array" ref="F404">IF($C404="","",INDEX(SchedZone,$C404,MAP!$B$5))</f>
        <v>REG</v>
      </c>
      <c r="G404" s="2">
        <f t="array" ref="G404">IF($C404="","",INDEX(SchedZone,$C404,MAP!$B$4))</f>
        <v>14</v>
      </c>
      <c r="H404" s="2" t="str">
        <f t="array" ref="H404">IF($C404="","",INDEX(SchedZone,$C404,MAP!$B$10))</f>
        <v>IND</v>
      </c>
      <c r="I404" s="2" t="str">
        <f t="array" ref="I404">IF($H404="","",IF(COUNTIF(Teams,$H404)&gt;0,$H404,IFERROR(INDEX(LISTS!$D$2:$D$12,MATCH($H404,LISTS!$C$2:$C$12,0)),"⚠ "&amp;$H404)))</f>
        <v>IND</v>
      </c>
      <c r="J404" s="2" t="str">
        <f t="array" ref="J404">IF($C404="","",INDEX(SchedZone,$C404,MAP!$B$12))</f>
        <v>PHI</v>
      </c>
      <c r="K404" s="2" t="str">
        <f t="array" ref="K404">IF($J404="","",IF(COUNTIF(Teams,$J404)&gt;0,$J404,IFERROR(INDEX(LISTS!$D$2:$D$12,MATCH($J404,LISTS!$C$2:$C$12,0)),"⚠ "&amp;$J404)))</f>
        <v>PHI</v>
      </c>
      <c r="L404" s="2" t="str">
        <f t="array" ref="L404">IF($C404="","",IF(INDEX(SchedZone,$C404,MAP!$B$14)="Neutral","N",IF($B404="HOME","H","A")))</f>
        <v>A</v>
      </c>
      <c r="M404" s="2" t="str">
        <f t="array" ref="M404">IF($C404="","",IF(INDEX(SchedZone,$C404,MAP!$B$11)="","",INDEX(SchedZone,$C404,MAP!$B$11)))</f>
        <v/>
      </c>
      <c r="N404" s="2" t="str">
        <f t="array" ref="N404">IF($C404="","",IF(INDEX(SchedZone,$C404,MAP!$B$13)="","",INDEX(SchedZone,$C404,MAP!$B$13)))</f>
        <v/>
      </c>
      <c r="O404" s="2">
        <f t="array" ref="O404">IF($C404="","",INDEX(SchedZone,$C404,MAP!$B$15))</f>
        <v>14</v>
      </c>
      <c r="P404" s="2" t="str">
        <f>IF($C404="","",IFERROR(MATCH($E404&amp;"|"&amp;$G404&amp;"|"&amp;$I404,StatsKey,0),""))</f>
        <v/>
      </c>
      <c r="Q404" s="2">
        <f t="array" ref="Q404">IF($P404="",0,INDEX(StatsZone,$P404,MAP!$E$9)+INDEX(StatsZone,$P404,MAP!$E$10)+INDEX(StatsZone,$P404,MAP!$E$11))</f>
        <v>0</v>
      </c>
      <c r="R404" s="2">
        <f t="array" ref="R404">IF($P404="",0,INDEX(StatsZone,$P404,MAP!$E$12))</f>
        <v>0</v>
      </c>
      <c r="S404" s="2">
        <f t="array" ref="S404">IF($P404="",0,INDEX(StatsZone,$P404,MAP!$E$13))</f>
        <v>0</v>
      </c>
      <c r="T404" s="2">
        <f t="shared" si="1"/>
        <v>0</v>
      </c>
      <c r="U404" s="2">
        <f t="array" ref="U404">IF($P404="",0,INDEX(StatsZone,$P404,MAP!$E$14)+INDEX(StatsZone,$P404,MAP!$E$15)+INDEX(StatsZone,$P404,MAP!$E$16))</f>
        <v>0</v>
      </c>
      <c r="V404" s="2">
        <f t="shared" si="2"/>
        <v>0</v>
      </c>
      <c r="W404" s="2">
        <f t="shared" si="3"/>
        <v>0</v>
      </c>
      <c r="X404" s="2">
        <f t="shared" si="4"/>
        <v>0</v>
      </c>
      <c r="Y404" s="2">
        <f t="shared" si="5"/>
        <v>0</v>
      </c>
      <c r="Z404" s="2">
        <f t="shared" si="6"/>
        <v>0</v>
      </c>
      <c r="AA404" s="2">
        <f t="shared" si="7"/>
        <v>-1</v>
      </c>
      <c r="AB404" s="2">
        <f>IF(OR($M404="",$N404=""),0,MEDIAN(-MarginCap,MarginCap,($M404-$N404)-$AA404*HFA_Base))</f>
        <v>0</v>
      </c>
      <c r="AC404" s="2">
        <f t="array" ref="AC404">IF(OR($P404="",INDEX($P$3:$P$722,(ROW()+IF(MOD(ROW()-3,2)=0,1,-1))-3+1)=""),0,MEDIAN(-MarginCap,MarginCap,($T404-$W404)-$AA404*HFA_Base))</f>
        <v>0</v>
      </c>
      <c r="AD404" s="2">
        <f t="shared" si="8"/>
        <v>0</v>
      </c>
      <c r="AE404" s="2">
        <f>IF(OR($M404="",$N404=""),0,IF(AND(WEpa&gt;0,$AD404=1),(1-WEpa)*$AB404+WEpa*$AC404,$AB404))</f>
        <v>0</v>
      </c>
      <c r="AF404" s="2">
        <f>IF(AND($C404&lt;&gt;"",$E404=CurrentSeason,$F404="REG",ISNUMBER($G404),$G404&lt;CurrentWeek,AND($M404&lt;&gt;"",$N404&lt;&gt;"")),1,0)</f>
        <v>0</v>
      </c>
      <c r="AG404" s="2">
        <f>IF($AF404=0,0,IF($G404&gt;=CurrentWeek-RecencyWin,RecencyMult,1))</f>
        <v>0</v>
      </c>
      <c r="AH404" s="2">
        <f>IF(AND($C404&lt;&gt;"",$E404=CurrentSeason,$F404="REG",ISNUMBER($G404),$G404&lt;CurrentWeek-1,AND($M404&lt;&gt;"",$N404&lt;&gt;"")),1,0)</f>
        <v>0</v>
      </c>
      <c r="AI404" s="2">
        <f>IF($AH404=0,0,IF($G404&gt;=CurrentWeek-1-RecencyWin,RecencyMult,1))</f>
        <v>0</v>
      </c>
      <c r="AJ404" s="2">
        <f>IF($AF404=0,0,IF($G404&gt;=CurrentWeek-RecencyWin,TotRecency,1))</f>
        <v>0</v>
      </c>
      <c r="AK404" s="2">
        <f t="shared" si="9"/>
        <v>0</v>
      </c>
      <c r="AL404" s="2">
        <f t="shared" si="10"/>
        <v>0</v>
      </c>
      <c r="AM404" s="2" t="str">
        <f t="array" ref="AM404">IF($K404="",0,IFERROR(INDEX(CALC!$F$2:$F$33,MATCH($K404,CALC!$A$2:$A$33,0)),0))</f>
        <v/>
      </c>
      <c r="AN404" s="2" t="str">
        <f t="array" ref="AN404">IF($K404="",0,IFERROR(INDEX(CALC!$I$2:$I$33,MATCH($K404,CALC!$A$2:$A$33,0)),0))</f>
        <v/>
      </c>
      <c r="AO404" s="2" t="str">
        <f t="array" ref="AO404">IF($K404="",0,IFERROR(INDEX(CALC!$L$2:$L$33,MATCH($K404,CALC!$A$2:$A$33,0)),0))</f>
        <v/>
      </c>
      <c r="AP404" s="2" t="str">
        <f t="array" ref="AP404">IF($K404="",0,IFERROR(INDEX(CALC!$T$2:$T$33,MATCH($K404,CALC!$A$2:$A$33,0)),0))</f>
        <v/>
      </c>
      <c r="AQ404" s="2" t="str">
        <f t="array" ref="AQ404">IF($K404="",0,IFERROR(INDEX(CALC!$W$2:$W$33,MATCH($K404,CALC!$A$2:$A$33,0)),0))</f>
        <v/>
      </c>
      <c r="AR404" s="2" t="str">
        <f t="array" ref="AR404">IF($K404="",0,IFERROR(INDEX(CALC!$Z$2:$Z$33,MATCH($K404,CALC!$A$2:$A$33,0)),0))</f>
        <v/>
      </c>
      <c r="AS404" s="2" t="str">
        <f t="array" ref="AS404">IF($K404="",0,IFERROR(INDEX(CALC!$AJ$2:$AJ$33,MATCH($K404,CALC!$A$2:$A$33,0)),0))</f>
        <v/>
      </c>
      <c r="AT404" s="2" t="str">
        <f t="array" ref="AT404">IF($K404="",0,IFERROR(INDEX(CALC!$AI$2:$AI$33,MATCH($K404,CALC!$A$2:$A$33,0)),0))</f>
        <v/>
      </c>
      <c r="AU404" s="2">
        <f t="shared" si="11"/>
        <v>0</v>
      </c>
      <c r="AV404" s="2">
        <f t="shared" si="12"/>
        <v>0</v>
      </c>
    </row>
    <row r="405" ht="15.0" customHeight="1">
      <c r="A405" s="2">
        <v>202.0</v>
      </c>
      <c r="B405" s="2" t="s">
        <v>2365</v>
      </c>
      <c r="C405" s="2">
        <f>IFERROR(MATCH($A405,SchedSeq,0),"")</f>
        <v>487</v>
      </c>
      <c r="D405" s="2" t="str">
        <f t="array" ref="D405">IF($C405="","",INDEX(SchedZone,$C405,MAP!$B$6))</f>
        <v>2026_14_HOU_WAS</v>
      </c>
      <c r="E405" s="2">
        <f t="array" ref="E405">IF($C405="","",INDEX(SchedZone,$C405,MAP!$B$3))</f>
        <v>2026</v>
      </c>
      <c r="F405" s="2" t="str">
        <f t="array" ref="F405">IF($C405="","",INDEX(SchedZone,$C405,MAP!$B$5))</f>
        <v>REG</v>
      </c>
      <c r="G405" s="2">
        <f t="array" ref="G405">IF($C405="","",INDEX(SchedZone,$C405,MAP!$B$4))</f>
        <v>14</v>
      </c>
      <c r="H405" s="2" t="str">
        <f t="array" ref="H405">IF($C405="","",INDEX(SchedZone,$C405,MAP!$B$12))</f>
        <v>WAS</v>
      </c>
      <c r="I405" s="2" t="str">
        <f t="array" ref="I405">IF($H405="","",IF(COUNTIF(Teams,$H405)&gt;0,$H405,IFERROR(INDEX(LISTS!$D$2:$D$12,MATCH($H405,LISTS!$C$2:$C$12,0)),"⚠ "&amp;$H405)))</f>
        <v>WAS</v>
      </c>
      <c r="J405" s="2" t="str">
        <f t="array" ref="J405">IF($C405="","",INDEX(SchedZone,$C405,MAP!$B$10))</f>
        <v>HOU</v>
      </c>
      <c r="K405" s="2" t="str">
        <f t="array" ref="K405">IF($J405="","",IF(COUNTIF(Teams,$J405)&gt;0,$J405,IFERROR(INDEX(LISTS!$D$2:$D$12,MATCH($J405,LISTS!$C$2:$C$12,0)),"⚠ "&amp;$J405)))</f>
        <v>HOU</v>
      </c>
      <c r="L405" s="2" t="str">
        <f t="array" ref="L405">IF($C405="","",IF(INDEX(SchedZone,$C405,MAP!$B$14)="Neutral","N",IF($B405="HOME","H","A")))</f>
        <v>H</v>
      </c>
      <c r="M405" s="2" t="str">
        <f t="array" ref="M405">IF($C405="","",IF(INDEX(SchedZone,$C405,MAP!$B$13)="","",INDEX(SchedZone,$C405,MAP!$B$13)))</f>
        <v/>
      </c>
      <c r="N405" s="2" t="str">
        <f t="array" ref="N405">IF($C405="","",IF(INDEX(SchedZone,$C405,MAP!$B$11)="","",INDEX(SchedZone,$C405,MAP!$B$11)))</f>
        <v/>
      </c>
      <c r="O405" s="2">
        <f t="array" ref="O405">IF($C405="","",INDEX(SchedZone,$C405,MAP!$B$16))</f>
        <v>7</v>
      </c>
      <c r="P405" s="2" t="str">
        <f>IF($C405="","",IFERROR(MATCH($E405&amp;"|"&amp;$G405&amp;"|"&amp;$I405,StatsKey,0),""))</f>
        <v/>
      </c>
      <c r="Q405" s="2">
        <f t="array" ref="Q405">IF($P405="",0,INDEX(StatsZone,$P405,MAP!$E$9)+INDEX(StatsZone,$P405,MAP!$E$10)+INDEX(StatsZone,$P405,MAP!$E$11))</f>
        <v>0</v>
      </c>
      <c r="R405" s="2">
        <f t="array" ref="R405">IF($P405="",0,INDEX(StatsZone,$P405,MAP!$E$12))</f>
        <v>0</v>
      </c>
      <c r="S405" s="2">
        <f t="array" ref="S405">IF($P405="",0,INDEX(StatsZone,$P405,MAP!$E$13))</f>
        <v>0</v>
      </c>
      <c r="T405" s="2">
        <f t="shared" si="1"/>
        <v>0</v>
      </c>
      <c r="U405" s="2">
        <f t="array" ref="U405">IF($P405="",0,INDEX(StatsZone,$P405,MAP!$E$14)+INDEX(StatsZone,$P405,MAP!$E$15)+INDEX(StatsZone,$P405,MAP!$E$16))</f>
        <v>0</v>
      </c>
      <c r="V405" s="2">
        <f t="shared" si="2"/>
        <v>0</v>
      </c>
      <c r="W405" s="2">
        <f t="shared" si="3"/>
        <v>0</v>
      </c>
      <c r="X405" s="2">
        <f t="shared" si="4"/>
        <v>0</v>
      </c>
      <c r="Y405" s="2">
        <f t="shared" si="5"/>
        <v>0</v>
      </c>
      <c r="Z405" s="2">
        <f t="shared" si="6"/>
        <v>0</v>
      </c>
      <c r="AA405" s="2">
        <f t="shared" si="7"/>
        <v>1</v>
      </c>
      <c r="AB405" s="2">
        <f>IF(OR($M405="",$N405=""),0,MEDIAN(-MarginCap,MarginCap,($M405-$N405)-$AA405*HFA_Base))</f>
        <v>0</v>
      </c>
      <c r="AC405" s="2">
        <f t="array" ref="AC405">IF(OR($P405="",INDEX($P$3:$P$722,(ROW()+IF(MOD(ROW()-3,2)=0,1,-1))-3+1)=""),0,MEDIAN(-MarginCap,MarginCap,($T405-$W405)-$AA405*HFA_Base))</f>
        <v>0</v>
      </c>
      <c r="AD405" s="2">
        <f t="shared" si="8"/>
        <v>0</v>
      </c>
      <c r="AE405" s="2">
        <f>IF(OR($M405="",$N405=""),0,IF(AND(WEpa&gt;0,$AD405=1),(1-WEpa)*$AB405+WEpa*$AC405,$AB405))</f>
        <v>0</v>
      </c>
      <c r="AF405" s="2">
        <f>IF(AND($C405&lt;&gt;"",$E405=CurrentSeason,$F405="REG",ISNUMBER($G405),$G405&lt;CurrentWeek,AND($M405&lt;&gt;"",$N405&lt;&gt;"")),1,0)</f>
        <v>0</v>
      </c>
      <c r="AG405" s="2">
        <f>IF($AF405=0,0,IF($G405&gt;=CurrentWeek-RecencyWin,RecencyMult,1))</f>
        <v>0</v>
      </c>
      <c r="AH405" s="2">
        <f>IF(AND($C405&lt;&gt;"",$E405=CurrentSeason,$F405="REG",ISNUMBER($G405),$G405&lt;CurrentWeek-1,AND($M405&lt;&gt;"",$N405&lt;&gt;"")),1,0)</f>
        <v>0</v>
      </c>
      <c r="AI405" s="2">
        <f>IF($AH405=0,0,IF($G405&gt;=CurrentWeek-1-RecencyWin,RecencyMult,1))</f>
        <v>0</v>
      </c>
      <c r="AJ405" s="2">
        <f>IF($AF405=0,0,IF($G405&gt;=CurrentWeek-RecencyWin,TotRecency,1))</f>
        <v>0</v>
      </c>
      <c r="AK405" s="2">
        <f t="shared" si="9"/>
        <v>0</v>
      </c>
      <c r="AL405" s="2">
        <f t="shared" si="10"/>
        <v>0</v>
      </c>
      <c r="AM405" s="2" t="str">
        <f t="array" ref="AM405">IF($K405="",0,IFERROR(INDEX(CALC!$F$2:$F$33,MATCH($K405,CALC!$A$2:$A$33,0)),0))</f>
        <v/>
      </c>
      <c r="AN405" s="2" t="str">
        <f t="array" ref="AN405">IF($K405="",0,IFERROR(INDEX(CALC!$I$2:$I$33,MATCH($K405,CALC!$A$2:$A$33,0)),0))</f>
        <v/>
      </c>
      <c r="AO405" s="2" t="str">
        <f t="array" ref="AO405">IF($K405="",0,IFERROR(INDEX(CALC!$L$2:$L$33,MATCH($K405,CALC!$A$2:$A$33,0)),0))</f>
        <v/>
      </c>
      <c r="AP405" s="2" t="str">
        <f t="array" ref="AP405">IF($K405="",0,IFERROR(INDEX(CALC!$T$2:$T$33,MATCH($K405,CALC!$A$2:$A$33,0)),0))</f>
        <v/>
      </c>
      <c r="AQ405" s="2" t="str">
        <f t="array" ref="AQ405">IF($K405="",0,IFERROR(INDEX(CALC!$W$2:$W$33,MATCH($K405,CALC!$A$2:$A$33,0)),0))</f>
        <v/>
      </c>
      <c r="AR405" s="2" t="str">
        <f t="array" ref="AR405">IF($K405="",0,IFERROR(INDEX(CALC!$Z$2:$Z$33,MATCH($K405,CALC!$A$2:$A$33,0)),0))</f>
        <v/>
      </c>
      <c r="AS405" s="2" t="str">
        <f t="array" ref="AS405">IF($K405="",0,IFERROR(INDEX(CALC!$AJ$2:$AJ$33,MATCH($K405,CALC!$A$2:$A$33,0)),0))</f>
        <v/>
      </c>
      <c r="AT405" s="2" t="str">
        <f t="array" ref="AT405">IF($K405="",0,IFERROR(INDEX(CALC!$AI$2:$AI$33,MATCH($K405,CALC!$A$2:$A$33,0)),0))</f>
        <v/>
      </c>
      <c r="AU405" s="2">
        <f t="shared" si="11"/>
        <v>0</v>
      </c>
      <c r="AV405" s="2">
        <f t="shared" si="12"/>
        <v>0</v>
      </c>
    </row>
    <row r="406" ht="15.0" customHeight="1">
      <c r="A406" s="2">
        <v>202.0</v>
      </c>
      <c r="B406" s="2" t="s">
        <v>2366</v>
      </c>
      <c r="C406" s="2">
        <f>IFERROR(MATCH($A406,SchedSeq,0),"")</f>
        <v>487</v>
      </c>
      <c r="D406" s="2" t="str">
        <f t="array" ref="D406">IF($C406="","",INDEX(SchedZone,$C406,MAP!$B$6))</f>
        <v>2026_14_HOU_WAS</v>
      </c>
      <c r="E406" s="2">
        <f t="array" ref="E406">IF($C406="","",INDEX(SchedZone,$C406,MAP!$B$3))</f>
        <v>2026</v>
      </c>
      <c r="F406" s="2" t="str">
        <f t="array" ref="F406">IF($C406="","",INDEX(SchedZone,$C406,MAP!$B$5))</f>
        <v>REG</v>
      </c>
      <c r="G406" s="2">
        <f t="array" ref="G406">IF($C406="","",INDEX(SchedZone,$C406,MAP!$B$4))</f>
        <v>14</v>
      </c>
      <c r="H406" s="2" t="str">
        <f t="array" ref="H406">IF($C406="","",INDEX(SchedZone,$C406,MAP!$B$10))</f>
        <v>HOU</v>
      </c>
      <c r="I406" s="2" t="str">
        <f t="array" ref="I406">IF($H406="","",IF(COUNTIF(Teams,$H406)&gt;0,$H406,IFERROR(INDEX(LISTS!$D$2:$D$12,MATCH($H406,LISTS!$C$2:$C$12,0)),"⚠ "&amp;$H406)))</f>
        <v>HOU</v>
      </c>
      <c r="J406" s="2" t="str">
        <f t="array" ref="J406">IF($C406="","",INDEX(SchedZone,$C406,MAP!$B$12))</f>
        <v>WAS</v>
      </c>
      <c r="K406" s="2" t="str">
        <f t="array" ref="K406">IF($J406="","",IF(COUNTIF(Teams,$J406)&gt;0,$J406,IFERROR(INDEX(LISTS!$D$2:$D$12,MATCH($J406,LISTS!$C$2:$C$12,0)),"⚠ "&amp;$J406)))</f>
        <v>WAS</v>
      </c>
      <c r="L406" s="2" t="str">
        <f t="array" ref="L406">IF($C406="","",IF(INDEX(SchedZone,$C406,MAP!$B$14)="Neutral","N",IF($B406="HOME","H","A")))</f>
        <v>A</v>
      </c>
      <c r="M406" s="2" t="str">
        <f t="array" ref="M406">IF($C406="","",IF(INDEX(SchedZone,$C406,MAP!$B$11)="","",INDEX(SchedZone,$C406,MAP!$B$11)))</f>
        <v/>
      </c>
      <c r="N406" s="2" t="str">
        <f t="array" ref="N406">IF($C406="","",IF(INDEX(SchedZone,$C406,MAP!$B$13)="","",INDEX(SchedZone,$C406,MAP!$B$13)))</f>
        <v/>
      </c>
      <c r="O406" s="2">
        <f t="array" ref="O406">IF($C406="","",INDEX(SchedZone,$C406,MAP!$B$15))</f>
        <v>7</v>
      </c>
      <c r="P406" s="2" t="str">
        <f>IF($C406="","",IFERROR(MATCH($E406&amp;"|"&amp;$G406&amp;"|"&amp;$I406,StatsKey,0),""))</f>
        <v/>
      </c>
      <c r="Q406" s="2">
        <f t="array" ref="Q406">IF($P406="",0,INDEX(StatsZone,$P406,MAP!$E$9)+INDEX(StatsZone,$P406,MAP!$E$10)+INDEX(StatsZone,$P406,MAP!$E$11))</f>
        <v>0</v>
      </c>
      <c r="R406" s="2">
        <f t="array" ref="R406">IF($P406="",0,INDEX(StatsZone,$P406,MAP!$E$12))</f>
        <v>0</v>
      </c>
      <c r="S406" s="2">
        <f t="array" ref="S406">IF($P406="",0,INDEX(StatsZone,$P406,MAP!$E$13))</f>
        <v>0</v>
      </c>
      <c r="T406" s="2">
        <f t="shared" si="1"/>
        <v>0</v>
      </c>
      <c r="U406" s="2">
        <f t="array" ref="U406">IF($P406="",0,INDEX(StatsZone,$P406,MAP!$E$14)+INDEX(StatsZone,$P406,MAP!$E$15)+INDEX(StatsZone,$P406,MAP!$E$16))</f>
        <v>0</v>
      </c>
      <c r="V406" s="2">
        <f t="shared" si="2"/>
        <v>0</v>
      </c>
      <c r="W406" s="2">
        <f t="shared" si="3"/>
        <v>0</v>
      </c>
      <c r="X406" s="2">
        <f t="shared" si="4"/>
        <v>0</v>
      </c>
      <c r="Y406" s="2">
        <f t="shared" si="5"/>
        <v>0</v>
      </c>
      <c r="Z406" s="2">
        <f t="shared" si="6"/>
        <v>0</v>
      </c>
      <c r="AA406" s="2">
        <f t="shared" si="7"/>
        <v>-1</v>
      </c>
      <c r="AB406" s="2">
        <f>IF(OR($M406="",$N406=""),0,MEDIAN(-MarginCap,MarginCap,($M406-$N406)-$AA406*HFA_Base))</f>
        <v>0</v>
      </c>
      <c r="AC406" s="2">
        <f t="array" ref="AC406">IF(OR($P406="",INDEX($P$3:$P$722,(ROW()+IF(MOD(ROW()-3,2)=0,1,-1))-3+1)=""),0,MEDIAN(-MarginCap,MarginCap,($T406-$W406)-$AA406*HFA_Base))</f>
        <v>0</v>
      </c>
      <c r="AD406" s="2">
        <f t="shared" si="8"/>
        <v>0</v>
      </c>
      <c r="AE406" s="2">
        <f>IF(OR($M406="",$N406=""),0,IF(AND(WEpa&gt;0,$AD406=1),(1-WEpa)*$AB406+WEpa*$AC406,$AB406))</f>
        <v>0</v>
      </c>
      <c r="AF406" s="2">
        <f>IF(AND($C406&lt;&gt;"",$E406=CurrentSeason,$F406="REG",ISNUMBER($G406),$G406&lt;CurrentWeek,AND($M406&lt;&gt;"",$N406&lt;&gt;"")),1,0)</f>
        <v>0</v>
      </c>
      <c r="AG406" s="2">
        <f>IF($AF406=0,0,IF($G406&gt;=CurrentWeek-RecencyWin,RecencyMult,1))</f>
        <v>0</v>
      </c>
      <c r="AH406" s="2">
        <f>IF(AND($C406&lt;&gt;"",$E406=CurrentSeason,$F406="REG",ISNUMBER($G406),$G406&lt;CurrentWeek-1,AND($M406&lt;&gt;"",$N406&lt;&gt;"")),1,0)</f>
        <v>0</v>
      </c>
      <c r="AI406" s="2">
        <f>IF($AH406=0,0,IF($G406&gt;=CurrentWeek-1-RecencyWin,RecencyMult,1))</f>
        <v>0</v>
      </c>
      <c r="AJ406" s="2">
        <f>IF($AF406=0,0,IF($G406&gt;=CurrentWeek-RecencyWin,TotRecency,1))</f>
        <v>0</v>
      </c>
      <c r="AK406" s="2">
        <f t="shared" si="9"/>
        <v>0</v>
      </c>
      <c r="AL406" s="2">
        <f t="shared" si="10"/>
        <v>0</v>
      </c>
      <c r="AM406" s="2" t="str">
        <f t="array" ref="AM406">IF($K406="",0,IFERROR(INDEX(CALC!$F$2:$F$33,MATCH($K406,CALC!$A$2:$A$33,0)),0))</f>
        <v/>
      </c>
      <c r="AN406" s="2" t="str">
        <f t="array" ref="AN406">IF($K406="",0,IFERROR(INDEX(CALC!$I$2:$I$33,MATCH($K406,CALC!$A$2:$A$33,0)),0))</f>
        <v/>
      </c>
      <c r="AO406" s="2" t="str">
        <f t="array" ref="AO406">IF($K406="",0,IFERROR(INDEX(CALC!$L$2:$L$33,MATCH($K406,CALC!$A$2:$A$33,0)),0))</f>
        <v/>
      </c>
      <c r="AP406" s="2" t="str">
        <f t="array" ref="AP406">IF($K406="",0,IFERROR(INDEX(CALC!$T$2:$T$33,MATCH($K406,CALC!$A$2:$A$33,0)),0))</f>
        <v/>
      </c>
      <c r="AQ406" s="2" t="str">
        <f t="array" ref="AQ406">IF($K406="",0,IFERROR(INDEX(CALC!$W$2:$W$33,MATCH($K406,CALC!$A$2:$A$33,0)),0))</f>
        <v/>
      </c>
      <c r="AR406" s="2" t="str">
        <f t="array" ref="AR406">IF($K406="",0,IFERROR(INDEX(CALC!$Z$2:$Z$33,MATCH($K406,CALC!$A$2:$A$33,0)),0))</f>
        <v/>
      </c>
      <c r="AS406" s="2" t="str">
        <f t="array" ref="AS406">IF($K406="",0,IFERROR(INDEX(CALC!$AJ$2:$AJ$33,MATCH($K406,CALC!$A$2:$A$33,0)),0))</f>
        <v/>
      </c>
      <c r="AT406" s="2" t="str">
        <f t="array" ref="AT406">IF($K406="",0,IFERROR(INDEX(CALC!$AI$2:$AI$33,MATCH($K406,CALC!$A$2:$A$33,0)),0))</f>
        <v/>
      </c>
      <c r="AU406" s="2">
        <f t="shared" si="11"/>
        <v>0</v>
      </c>
      <c r="AV406" s="2">
        <f t="shared" si="12"/>
        <v>0</v>
      </c>
    </row>
    <row r="407" ht="15.0" customHeight="1">
      <c r="A407" s="2">
        <v>203.0</v>
      </c>
      <c r="B407" s="2" t="s">
        <v>2365</v>
      </c>
      <c r="C407" s="2">
        <f>IFERROR(MATCH($A407,SchedSeq,0),"")</f>
        <v>488</v>
      </c>
      <c r="D407" s="2" t="str">
        <f t="array" ref="D407">IF($C407="","",INDEX(SchedZone,$C407,MAP!$B$6))</f>
        <v>2026_14_LAC_LV</v>
      </c>
      <c r="E407" s="2">
        <f t="array" ref="E407">IF($C407="","",INDEX(SchedZone,$C407,MAP!$B$3))</f>
        <v>2026</v>
      </c>
      <c r="F407" s="2" t="str">
        <f t="array" ref="F407">IF($C407="","",INDEX(SchedZone,$C407,MAP!$B$5))</f>
        <v>REG</v>
      </c>
      <c r="G407" s="2">
        <f t="array" ref="G407">IF($C407="","",INDEX(SchedZone,$C407,MAP!$B$4))</f>
        <v>14</v>
      </c>
      <c r="H407" s="2" t="str">
        <f t="array" ref="H407">IF($C407="","",INDEX(SchedZone,$C407,MAP!$B$12))</f>
        <v>LV</v>
      </c>
      <c r="I407" s="2" t="str">
        <f t="array" ref="I407">IF($H407="","",IF(COUNTIF(Teams,$H407)&gt;0,$H407,IFERROR(INDEX(LISTS!$D$2:$D$12,MATCH($H407,LISTS!$C$2:$C$12,0)),"⚠ "&amp;$H407)))</f>
        <v>LV</v>
      </c>
      <c r="J407" s="2" t="str">
        <f t="array" ref="J407">IF($C407="","",INDEX(SchedZone,$C407,MAP!$B$10))</f>
        <v>LAC</v>
      </c>
      <c r="K407" s="2" t="str">
        <f t="array" ref="K407">IF($J407="","",IF(COUNTIF(Teams,$J407)&gt;0,$J407,IFERROR(INDEX(LISTS!$D$2:$D$12,MATCH($J407,LISTS!$C$2:$C$12,0)),"⚠ "&amp;$J407)))</f>
        <v>LAC</v>
      </c>
      <c r="L407" s="2" t="str">
        <f t="array" ref="L407">IF($C407="","",IF(INDEX(SchedZone,$C407,MAP!$B$14)="Neutral","N",IF($B407="HOME","H","A")))</f>
        <v>H</v>
      </c>
      <c r="M407" s="2" t="str">
        <f t="array" ref="M407">IF($C407="","",IF(INDEX(SchedZone,$C407,MAP!$B$13)="","",INDEX(SchedZone,$C407,MAP!$B$13)))</f>
        <v/>
      </c>
      <c r="N407" s="2" t="str">
        <f t="array" ref="N407">IF($C407="","",IF(INDEX(SchedZone,$C407,MAP!$B$11)="","",INDEX(SchedZone,$C407,MAP!$B$11)))</f>
        <v/>
      </c>
      <c r="O407" s="2">
        <f t="array" ref="O407">IF($C407="","",INDEX(SchedZone,$C407,MAP!$B$16))</f>
        <v>14</v>
      </c>
      <c r="P407" s="2" t="str">
        <f>IF($C407="","",IFERROR(MATCH($E407&amp;"|"&amp;$G407&amp;"|"&amp;$I407,StatsKey,0),""))</f>
        <v/>
      </c>
      <c r="Q407" s="2">
        <f t="array" ref="Q407">IF($P407="",0,INDEX(StatsZone,$P407,MAP!$E$9)+INDEX(StatsZone,$P407,MAP!$E$10)+INDEX(StatsZone,$P407,MAP!$E$11))</f>
        <v>0</v>
      </c>
      <c r="R407" s="2">
        <f t="array" ref="R407">IF($P407="",0,INDEX(StatsZone,$P407,MAP!$E$12))</f>
        <v>0</v>
      </c>
      <c r="S407" s="2">
        <f t="array" ref="S407">IF($P407="",0,INDEX(StatsZone,$P407,MAP!$E$13))</f>
        <v>0</v>
      </c>
      <c r="T407" s="2">
        <f t="shared" si="1"/>
        <v>0</v>
      </c>
      <c r="U407" s="2">
        <f t="array" ref="U407">IF($P407="",0,INDEX(StatsZone,$P407,MAP!$E$14)+INDEX(StatsZone,$P407,MAP!$E$15)+INDEX(StatsZone,$P407,MAP!$E$16))</f>
        <v>0</v>
      </c>
      <c r="V407" s="2">
        <f t="shared" si="2"/>
        <v>0</v>
      </c>
      <c r="W407" s="2">
        <f t="shared" si="3"/>
        <v>0</v>
      </c>
      <c r="X407" s="2">
        <f t="shared" si="4"/>
        <v>0</v>
      </c>
      <c r="Y407" s="2">
        <f t="shared" si="5"/>
        <v>0</v>
      </c>
      <c r="Z407" s="2">
        <f t="shared" si="6"/>
        <v>0</v>
      </c>
      <c r="AA407" s="2">
        <f t="shared" si="7"/>
        <v>1</v>
      </c>
      <c r="AB407" s="2">
        <f>IF(OR($M407="",$N407=""),0,MEDIAN(-MarginCap,MarginCap,($M407-$N407)-$AA407*HFA_Base))</f>
        <v>0</v>
      </c>
      <c r="AC407" s="2">
        <f t="array" ref="AC407">IF(OR($P407="",INDEX($P$3:$P$722,(ROW()+IF(MOD(ROW()-3,2)=0,1,-1))-3+1)=""),0,MEDIAN(-MarginCap,MarginCap,($T407-$W407)-$AA407*HFA_Base))</f>
        <v>0</v>
      </c>
      <c r="AD407" s="2">
        <f t="shared" si="8"/>
        <v>0</v>
      </c>
      <c r="AE407" s="2">
        <f>IF(OR($M407="",$N407=""),0,IF(AND(WEpa&gt;0,$AD407=1),(1-WEpa)*$AB407+WEpa*$AC407,$AB407))</f>
        <v>0</v>
      </c>
      <c r="AF407" s="2">
        <f>IF(AND($C407&lt;&gt;"",$E407=CurrentSeason,$F407="REG",ISNUMBER($G407),$G407&lt;CurrentWeek,AND($M407&lt;&gt;"",$N407&lt;&gt;"")),1,0)</f>
        <v>0</v>
      </c>
      <c r="AG407" s="2">
        <f>IF($AF407=0,0,IF($G407&gt;=CurrentWeek-RecencyWin,RecencyMult,1))</f>
        <v>0</v>
      </c>
      <c r="AH407" s="2">
        <f>IF(AND($C407&lt;&gt;"",$E407=CurrentSeason,$F407="REG",ISNUMBER($G407),$G407&lt;CurrentWeek-1,AND($M407&lt;&gt;"",$N407&lt;&gt;"")),1,0)</f>
        <v>0</v>
      </c>
      <c r="AI407" s="2">
        <f>IF($AH407=0,0,IF($G407&gt;=CurrentWeek-1-RecencyWin,RecencyMult,1))</f>
        <v>0</v>
      </c>
      <c r="AJ407" s="2">
        <f>IF($AF407=0,0,IF($G407&gt;=CurrentWeek-RecencyWin,TotRecency,1))</f>
        <v>0</v>
      </c>
      <c r="AK407" s="2">
        <f t="shared" si="9"/>
        <v>0</v>
      </c>
      <c r="AL407" s="2">
        <f t="shared" si="10"/>
        <v>0</v>
      </c>
      <c r="AM407" s="2" t="str">
        <f t="array" ref="AM407">IF($K407="",0,IFERROR(INDEX(CALC!$F$2:$F$33,MATCH($K407,CALC!$A$2:$A$33,0)),0))</f>
        <v/>
      </c>
      <c r="AN407" s="2" t="str">
        <f t="array" ref="AN407">IF($K407="",0,IFERROR(INDEX(CALC!$I$2:$I$33,MATCH($K407,CALC!$A$2:$A$33,0)),0))</f>
        <v/>
      </c>
      <c r="AO407" s="2" t="str">
        <f t="array" ref="AO407">IF($K407="",0,IFERROR(INDEX(CALC!$L$2:$L$33,MATCH($K407,CALC!$A$2:$A$33,0)),0))</f>
        <v/>
      </c>
      <c r="AP407" s="2" t="str">
        <f t="array" ref="AP407">IF($K407="",0,IFERROR(INDEX(CALC!$T$2:$T$33,MATCH($K407,CALC!$A$2:$A$33,0)),0))</f>
        <v/>
      </c>
      <c r="AQ407" s="2" t="str">
        <f t="array" ref="AQ407">IF($K407="",0,IFERROR(INDEX(CALC!$W$2:$W$33,MATCH($K407,CALC!$A$2:$A$33,0)),0))</f>
        <v/>
      </c>
      <c r="AR407" s="2" t="str">
        <f t="array" ref="AR407">IF($K407="",0,IFERROR(INDEX(CALC!$Z$2:$Z$33,MATCH($K407,CALC!$A$2:$A$33,0)),0))</f>
        <v/>
      </c>
      <c r="AS407" s="2" t="str">
        <f t="array" ref="AS407">IF($K407="",0,IFERROR(INDEX(CALC!$AJ$2:$AJ$33,MATCH($K407,CALC!$A$2:$A$33,0)),0))</f>
        <v/>
      </c>
      <c r="AT407" s="2" t="str">
        <f t="array" ref="AT407">IF($K407="",0,IFERROR(INDEX(CALC!$AI$2:$AI$33,MATCH($K407,CALC!$A$2:$A$33,0)),0))</f>
        <v/>
      </c>
      <c r="AU407" s="2">
        <f t="shared" si="11"/>
        <v>0</v>
      </c>
      <c r="AV407" s="2">
        <f t="shared" si="12"/>
        <v>0</v>
      </c>
    </row>
    <row r="408" ht="15.0" customHeight="1">
      <c r="A408" s="2">
        <v>203.0</v>
      </c>
      <c r="B408" s="2" t="s">
        <v>2366</v>
      </c>
      <c r="C408" s="2">
        <f>IFERROR(MATCH($A408,SchedSeq,0),"")</f>
        <v>488</v>
      </c>
      <c r="D408" s="2" t="str">
        <f t="array" ref="D408">IF($C408="","",INDEX(SchedZone,$C408,MAP!$B$6))</f>
        <v>2026_14_LAC_LV</v>
      </c>
      <c r="E408" s="2">
        <f t="array" ref="E408">IF($C408="","",INDEX(SchedZone,$C408,MAP!$B$3))</f>
        <v>2026</v>
      </c>
      <c r="F408" s="2" t="str">
        <f t="array" ref="F408">IF($C408="","",INDEX(SchedZone,$C408,MAP!$B$5))</f>
        <v>REG</v>
      </c>
      <c r="G408" s="2">
        <f t="array" ref="G408">IF($C408="","",INDEX(SchedZone,$C408,MAP!$B$4))</f>
        <v>14</v>
      </c>
      <c r="H408" s="2" t="str">
        <f t="array" ref="H408">IF($C408="","",INDEX(SchedZone,$C408,MAP!$B$10))</f>
        <v>LAC</v>
      </c>
      <c r="I408" s="2" t="str">
        <f t="array" ref="I408">IF($H408="","",IF(COUNTIF(Teams,$H408)&gt;0,$H408,IFERROR(INDEX(LISTS!$D$2:$D$12,MATCH($H408,LISTS!$C$2:$C$12,0)),"⚠ "&amp;$H408)))</f>
        <v>LAC</v>
      </c>
      <c r="J408" s="2" t="str">
        <f t="array" ref="J408">IF($C408="","",INDEX(SchedZone,$C408,MAP!$B$12))</f>
        <v>LV</v>
      </c>
      <c r="K408" s="2" t="str">
        <f t="array" ref="K408">IF($J408="","",IF(COUNTIF(Teams,$J408)&gt;0,$J408,IFERROR(INDEX(LISTS!$D$2:$D$12,MATCH($J408,LISTS!$C$2:$C$12,0)),"⚠ "&amp;$J408)))</f>
        <v>LV</v>
      </c>
      <c r="L408" s="2" t="str">
        <f t="array" ref="L408">IF($C408="","",IF(INDEX(SchedZone,$C408,MAP!$B$14)="Neutral","N",IF($B408="HOME","H","A")))</f>
        <v>A</v>
      </c>
      <c r="M408" s="2" t="str">
        <f t="array" ref="M408">IF($C408="","",IF(INDEX(SchedZone,$C408,MAP!$B$11)="","",INDEX(SchedZone,$C408,MAP!$B$11)))</f>
        <v/>
      </c>
      <c r="N408" s="2" t="str">
        <f t="array" ref="N408">IF($C408="","",IF(INDEX(SchedZone,$C408,MAP!$B$13)="","",INDEX(SchedZone,$C408,MAP!$B$13)))</f>
        <v/>
      </c>
      <c r="O408" s="2">
        <f t="array" ref="O408">IF($C408="","",INDEX(SchedZone,$C408,MAP!$B$15))</f>
        <v>7</v>
      </c>
      <c r="P408" s="2" t="str">
        <f>IF($C408="","",IFERROR(MATCH($E408&amp;"|"&amp;$G408&amp;"|"&amp;$I408,StatsKey,0),""))</f>
        <v/>
      </c>
      <c r="Q408" s="2">
        <f t="array" ref="Q408">IF($P408="",0,INDEX(StatsZone,$P408,MAP!$E$9)+INDEX(StatsZone,$P408,MAP!$E$10)+INDEX(StatsZone,$P408,MAP!$E$11))</f>
        <v>0</v>
      </c>
      <c r="R408" s="2">
        <f t="array" ref="R408">IF($P408="",0,INDEX(StatsZone,$P408,MAP!$E$12))</f>
        <v>0</v>
      </c>
      <c r="S408" s="2">
        <f t="array" ref="S408">IF($P408="",0,INDEX(StatsZone,$P408,MAP!$E$13))</f>
        <v>0</v>
      </c>
      <c r="T408" s="2">
        <f t="shared" si="1"/>
        <v>0</v>
      </c>
      <c r="U408" s="2">
        <f t="array" ref="U408">IF($P408="",0,INDEX(StatsZone,$P408,MAP!$E$14)+INDEX(StatsZone,$P408,MAP!$E$15)+INDEX(StatsZone,$P408,MAP!$E$16))</f>
        <v>0</v>
      </c>
      <c r="V408" s="2">
        <f t="shared" si="2"/>
        <v>0</v>
      </c>
      <c r="W408" s="2">
        <f t="shared" si="3"/>
        <v>0</v>
      </c>
      <c r="X408" s="2">
        <f t="shared" si="4"/>
        <v>0</v>
      </c>
      <c r="Y408" s="2">
        <f t="shared" si="5"/>
        <v>0</v>
      </c>
      <c r="Z408" s="2">
        <f t="shared" si="6"/>
        <v>0</v>
      </c>
      <c r="AA408" s="2">
        <f t="shared" si="7"/>
        <v>-1</v>
      </c>
      <c r="AB408" s="2">
        <f>IF(OR($M408="",$N408=""),0,MEDIAN(-MarginCap,MarginCap,($M408-$N408)-$AA408*HFA_Base))</f>
        <v>0</v>
      </c>
      <c r="AC408" s="2">
        <f t="array" ref="AC408">IF(OR($P408="",INDEX($P$3:$P$722,(ROW()+IF(MOD(ROW()-3,2)=0,1,-1))-3+1)=""),0,MEDIAN(-MarginCap,MarginCap,($T408-$W408)-$AA408*HFA_Base))</f>
        <v>0</v>
      </c>
      <c r="AD408" s="2">
        <f t="shared" si="8"/>
        <v>0</v>
      </c>
      <c r="AE408" s="2">
        <f>IF(OR($M408="",$N408=""),0,IF(AND(WEpa&gt;0,$AD408=1),(1-WEpa)*$AB408+WEpa*$AC408,$AB408))</f>
        <v>0</v>
      </c>
      <c r="AF408" s="2">
        <f>IF(AND($C408&lt;&gt;"",$E408=CurrentSeason,$F408="REG",ISNUMBER($G408),$G408&lt;CurrentWeek,AND($M408&lt;&gt;"",$N408&lt;&gt;"")),1,0)</f>
        <v>0</v>
      </c>
      <c r="AG408" s="2">
        <f>IF($AF408=0,0,IF($G408&gt;=CurrentWeek-RecencyWin,RecencyMult,1))</f>
        <v>0</v>
      </c>
      <c r="AH408" s="2">
        <f>IF(AND($C408&lt;&gt;"",$E408=CurrentSeason,$F408="REG",ISNUMBER($G408),$G408&lt;CurrentWeek-1,AND($M408&lt;&gt;"",$N408&lt;&gt;"")),1,0)</f>
        <v>0</v>
      </c>
      <c r="AI408" s="2">
        <f>IF($AH408=0,0,IF($G408&gt;=CurrentWeek-1-RecencyWin,RecencyMult,1))</f>
        <v>0</v>
      </c>
      <c r="AJ408" s="2">
        <f>IF($AF408=0,0,IF($G408&gt;=CurrentWeek-RecencyWin,TotRecency,1))</f>
        <v>0</v>
      </c>
      <c r="AK408" s="2">
        <f t="shared" si="9"/>
        <v>0</v>
      </c>
      <c r="AL408" s="2">
        <f t="shared" si="10"/>
        <v>0</v>
      </c>
      <c r="AM408" s="2" t="str">
        <f t="array" ref="AM408">IF($K408="",0,IFERROR(INDEX(CALC!$F$2:$F$33,MATCH($K408,CALC!$A$2:$A$33,0)),0))</f>
        <v/>
      </c>
      <c r="AN408" s="2" t="str">
        <f t="array" ref="AN408">IF($K408="",0,IFERROR(INDEX(CALC!$I$2:$I$33,MATCH($K408,CALC!$A$2:$A$33,0)),0))</f>
        <v/>
      </c>
      <c r="AO408" s="2" t="str">
        <f t="array" ref="AO408">IF($K408="",0,IFERROR(INDEX(CALC!$L$2:$L$33,MATCH($K408,CALC!$A$2:$A$33,0)),0))</f>
        <v/>
      </c>
      <c r="AP408" s="2" t="str">
        <f t="array" ref="AP408">IF($K408="",0,IFERROR(INDEX(CALC!$T$2:$T$33,MATCH($K408,CALC!$A$2:$A$33,0)),0))</f>
        <v/>
      </c>
      <c r="AQ408" s="2" t="str">
        <f t="array" ref="AQ408">IF($K408="",0,IFERROR(INDEX(CALC!$W$2:$W$33,MATCH($K408,CALC!$A$2:$A$33,0)),0))</f>
        <v/>
      </c>
      <c r="AR408" s="2" t="str">
        <f t="array" ref="AR408">IF($K408="",0,IFERROR(INDEX(CALC!$Z$2:$Z$33,MATCH($K408,CALC!$A$2:$A$33,0)),0))</f>
        <v/>
      </c>
      <c r="AS408" s="2" t="str">
        <f t="array" ref="AS408">IF($K408="",0,IFERROR(INDEX(CALC!$AJ$2:$AJ$33,MATCH($K408,CALC!$A$2:$A$33,0)),0))</f>
        <v/>
      </c>
      <c r="AT408" s="2" t="str">
        <f t="array" ref="AT408">IF($K408="",0,IFERROR(INDEX(CALC!$AI$2:$AI$33,MATCH($K408,CALC!$A$2:$A$33,0)),0))</f>
        <v/>
      </c>
      <c r="AU408" s="2">
        <f t="shared" si="11"/>
        <v>0</v>
      </c>
      <c r="AV408" s="2">
        <f t="shared" si="12"/>
        <v>0</v>
      </c>
    </row>
    <row r="409" ht="15.0" customHeight="1">
      <c r="A409" s="2">
        <v>204.0</v>
      </c>
      <c r="B409" s="2" t="s">
        <v>2365</v>
      </c>
      <c r="C409" s="2">
        <f>IFERROR(MATCH($A409,SchedSeq,0),"")</f>
        <v>489</v>
      </c>
      <c r="D409" s="2" t="str">
        <f t="array" ref="D409">IF($C409="","",INDEX(SchedZone,$C409,MAP!$B$6))</f>
        <v>2026_14_KC_CIN</v>
      </c>
      <c r="E409" s="2">
        <f t="array" ref="E409">IF($C409="","",INDEX(SchedZone,$C409,MAP!$B$3))</f>
        <v>2026</v>
      </c>
      <c r="F409" s="2" t="str">
        <f t="array" ref="F409">IF($C409="","",INDEX(SchedZone,$C409,MAP!$B$5))</f>
        <v>REG</v>
      </c>
      <c r="G409" s="2">
        <f t="array" ref="G409">IF($C409="","",INDEX(SchedZone,$C409,MAP!$B$4))</f>
        <v>14</v>
      </c>
      <c r="H409" s="2" t="str">
        <f t="array" ref="H409">IF($C409="","",INDEX(SchedZone,$C409,MAP!$B$12))</f>
        <v>CIN</v>
      </c>
      <c r="I409" s="2" t="str">
        <f t="array" ref="I409">IF($H409="","",IF(COUNTIF(Teams,$H409)&gt;0,$H409,IFERROR(INDEX(LISTS!$D$2:$D$12,MATCH($H409,LISTS!$C$2:$C$12,0)),"⚠ "&amp;$H409)))</f>
        <v>CIN</v>
      </c>
      <c r="J409" s="2" t="str">
        <f t="array" ref="J409">IF($C409="","",INDEX(SchedZone,$C409,MAP!$B$10))</f>
        <v>KC</v>
      </c>
      <c r="K409" s="2" t="str">
        <f t="array" ref="K409">IF($J409="","",IF(COUNTIF(Teams,$J409)&gt;0,$J409,IFERROR(INDEX(LISTS!$D$2:$D$12,MATCH($J409,LISTS!$C$2:$C$12,0)),"⚠ "&amp;$J409)))</f>
        <v>KC</v>
      </c>
      <c r="L409" s="2" t="str">
        <f t="array" ref="L409">IF($C409="","",IF(INDEX(SchedZone,$C409,MAP!$B$14)="Neutral","N",IF($B409="HOME","H","A")))</f>
        <v>H</v>
      </c>
      <c r="M409" s="2" t="str">
        <f t="array" ref="M409">IF($C409="","",IF(INDEX(SchedZone,$C409,MAP!$B$13)="","",INDEX(SchedZone,$C409,MAP!$B$13)))</f>
        <v/>
      </c>
      <c r="N409" s="2" t="str">
        <f t="array" ref="N409">IF($C409="","",IF(INDEX(SchedZone,$C409,MAP!$B$11)="","",INDEX(SchedZone,$C409,MAP!$B$11)))</f>
        <v/>
      </c>
      <c r="O409" s="2">
        <f t="array" ref="O409">IF($C409="","",INDEX(SchedZone,$C409,MAP!$B$16))</f>
        <v>7</v>
      </c>
      <c r="P409" s="2" t="str">
        <f>IF($C409="","",IFERROR(MATCH($E409&amp;"|"&amp;$G409&amp;"|"&amp;$I409,StatsKey,0),""))</f>
        <v/>
      </c>
      <c r="Q409" s="2">
        <f t="array" ref="Q409">IF($P409="",0,INDEX(StatsZone,$P409,MAP!$E$9)+INDEX(StatsZone,$P409,MAP!$E$10)+INDEX(StatsZone,$P409,MAP!$E$11))</f>
        <v>0</v>
      </c>
      <c r="R409" s="2">
        <f t="array" ref="R409">IF($P409="",0,INDEX(StatsZone,$P409,MAP!$E$12))</f>
        <v>0</v>
      </c>
      <c r="S409" s="2">
        <f t="array" ref="S409">IF($P409="",0,INDEX(StatsZone,$P409,MAP!$E$13))</f>
        <v>0</v>
      </c>
      <c r="T409" s="2">
        <f t="shared" si="1"/>
        <v>0</v>
      </c>
      <c r="U409" s="2">
        <f t="array" ref="U409">IF($P409="",0,INDEX(StatsZone,$P409,MAP!$E$14)+INDEX(StatsZone,$P409,MAP!$E$15)+INDEX(StatsZone,$P409,MAP!$E$16))</f>
        <v>0</v>
      </c>
      <c r="V409" s="2">
        <f t="shared" si="2"/>
        <v>0</v>
      </c>
      <c r="W409" s="2">
        <f t="shared" si="3"/>
        <v>0</v>
      </c>
      <c r="X409" s="2">
        <f t="shared" si="4"/>
        <v>0</v>
      </c>
      <c r="Y409" s="2">
        <f t="shared" si="5"/>
        <v>0</v>
      </c>
      <c r="Z409" s="2">
        <f t="shared" si="6"/>
        <v>0</v>
      </c>
      <c r="AA409" s="2">
        <f t="shared" si="7"/>
        <v>1</v>
      </c>
      <c r="AB409" s="2">
        <f>IF(OR($M409="",$N409=""),0,MEDIAN(-MarginCap,MarginCap,($M409-$N409)-$AA409*HFA_Base))</f>
        <v>0</v>
      </c>
      <c r="AC409" s="2">
        <f t="array" ref="AC409">IF(OR($P409="",INDEX($P$3:$P$722,(ROW()+IF(MOD(ROW()-3,2)=0,1,-1))-3+1)=""),0,MEDIAN(-MarginCap,MarginCap,($T409-$W409)-$AA409*HFA_Base))</f>
        <v>0</v>
      </c>
      <c r="AD409" s="2">
        <f t="shared" si="8"/>
        <v>0</v>
      </c>
      <c r="AE409" s="2">
        <f>IF(OR($M409="",$N409=""),0,IF(AND(WEpa&gt;0,$AD409=1),(1-WEpa)*$AB409+WEpa*$AC409,$AB409))</f>
        <v>0</v>
      </c>
      <c r="AF409" s="2">
        <f>IF(AND($C409&lt;&gt;"",$E409=CurrentSeason,$F409="REG",ISNUMBER($G409),$G409&lt;CurrentWeek,AND($M409&lt;&gt;"",$N409&lt;&gt;"")),1,0)</f>
        <v>0</v>
      </c>
      <c r="AG409" s="2">
        <f>IF($AF409=0,0,IF($G409&gt;=CurrentWeek-RecencyWin,RecencyMult,1))</f>
        <v>0</v>
      </c>
      <c r="AH409" s="2">
        <f>IF(AND($C409&lt;&gt;"",$E409=CurrentSeason,$F409="REG",ISNUMBER($G409),$G409&lt;CurrentWeek-1,AND($M409&lt;&gt;"",$N409&lt;&gt;"")),1,0)</f>
        <v>0</v>
      </c>
      <c r="AI409" s="2">
        <f>IF($AH409=0,0,IF($G409&gt;=CurrentWeek-1-RecencyWin,RecencyMult,1))</f>
        <v>0</v>
      </c>
      <c r="AJ409" s="2">
        <f>IF($AF409=0,0,IF($G409&gt;=CurrentWeek-RecencyWin,TotRecency,1))</f>
        <v>0</v>
      </c>
      <c r="AK409" s="2">
        <f t="shared" si="9"/>
        <v>0</v>
      </c>
      <c r="AL409" s="2">
        <f t="shared" si="10"/>
        <v>0</v>
      </c>
      <c r="AM409" s="2" t="str">
        <f t="array" ref="AM409">IF($K409="",0,IFERROR(INDEX(CALC!$F$2:$F$33,MATCH($K409,CALC!$A$2:$A$33,0)),0))</f>
        <v/>
      </c>
      <c r="AN409" s="2" t="str">
        <f t="array" ref="AN409">IF($K409="",0,IFERROR(INDEX(CALC!$I$2:$I$33,MATCH($K409,CALC!$A$2:$A$33,0)),0))</f>
        <v/>
      </c>
      <c r="AO409" s="2" t="str">
        <f t="array" ref="AO409">IF($K409="",0,IFERROR(INDEX(CALC!$L$2:$L$33,MATCH($K409,CALC!$A$2:$A$33,0)),0))</f>
        <v/>
      </c>
      <c r="AP409" s="2" t="str">
        <f t="array" ref="AP409">IF($K409="",0,IFERROR(INDEX(CALC!$T$2:$T$33,MATCH($K409,CALC!$A$2:$A$33,0)),0))</f>
        <v/>
      </c>
      <c r="AQ409" s="2" t="str">
        <f t="array" ref="AQ409">IF($K409="",0,IFERROR(INDEX(CALC!$W$2:$W$33,MATCH($K409,CALC!$A$2:$A$33,0)),0))</f>
        <v/>
      </c>
      <c r="AR409" s="2" t="str">
        <f t="array" ref="AR409">IF($K409="",0,IFERROR(INDEX(CALC!$Z$2:$Z$33,MATCH($K409,CALC!$A$2:$A$33,0)),0))</f>
        <v/>
      </c>
      <c r="AS409" s="2" t="str">
        <f t="array" ref="AS409">IF($K409="",0,IFERROR(INDEX(CALC!$AJ$2:$AJ$33,MATCH($K409,CALC!$A$2:$A$33,0)),0))</f>
        <v/>
      </c>
      <c r="AT409" s="2" t="str">
        <f t="array" ref="AT409">IF($K409="",0,IFERROR(INDEX(CALC!$AI$2:$AI$33,MATCH($K409,CALC!$A$2:$A$33,0)),0))</f>
        <v/>
      </c>
      <c r="AU409" s="2">
        <f t="shared" si="11"/>
        <v>0</v>
      </c>
      <c r="AV409" s="2">
        <f t="shared" si="12"/>
        <v>0</v>
      </c>
    </row>
    <row r="410" ht="15.0" customHeight="1">
      <c r="A410" s="2">
        <v>204.0</v>
      </c>
      <c r="B410" s="2" t="s">
        <v>2366</v>
      </c>
      <c r="C410" s="2">
        <f>IFERROR(MATCH($A410,SchedSeq,0),"")</f>
        <v>489</v>
      </c>
      <c r="D410" s="2" t="str">
        <f t="array" ref="D410">IF($C410="","",INDEX(SchedZone,$C410,MAP!$B$6))</f>
        <v>2026_14_KC_CIN</v>
      </c>
      <c r="E410" s="2">
        <f t="array" ref="E410">IF($C410="","",INDEX(SchedZone,$C410,MAP!$B$3))</f>
        <v>2026</v>
      </c>
      <c r="F410" s="2" t="str">
        <f t="array" ref="F410">IF($C410="","",INDEX(SchedZone,$C410,MAP!$B$5))</f>
        <v>REG</v>
      </c>
      <c r="G410" s="2">
        <f t="array" ref="G410">IF($C410="","",INDEX(SchedZone,$C410,MAP!$B$4))</f>
        <v>14</v>
      </c>
      <c r="H410" s="2" t="str">
        <f t="array" ref="H410">IF($C410="","",INDEX(SchedZone,$C410,MAP!$B$10))</f>
        <v>KC</v>
      </c>
      <c r="I410" s="2" t="str">
        <f t="array" ref="I410">IF($H410="","",IF(COUNTIF(Teams,$H410)&gt;0,$H410,IFERROR(INDEX(LISTS!$D$2:$D$12,MATCH($H410,LISTS!$C$2:$C$12,0)),"⚠ "&amp;$H410)))</f>
        <v>KC</v>
      </c>
      <c r="J410" s="2" t="str">
        <f t="array" ref="J410">IF($C410="","",INDEX(SchedZone,$C410,MAP!$B$12))</f>
        <v>CIN</v>
      </c>
      <c r="K410" s="2" t="str">
        <f t="array" ref="K410">IF($J410="","",IF(COUNTIF(Teams,$J410)&gt;0,$J410,IFERROR(INDEX(LISTS!$D$2:$D$12,MATCH($J410,LISTS!$C$2:$C$12,0)),"⚠ "&amp;$J410)))</f>
        <v>CIN</v>
      </c>
      <c r="L410" s="2" t="str">
        <f t="array" ref="L410">IF($C410="","",IF(INDEX(SchedZone,$C410,MAP!$B$14)="Neutral","N",IF($B410="HOME","H","A")))</f>
        <v>A</v>
      </c>
      <c r="M410" s="2" t="str">
        <f t="array" ref="M410">IF($C410="","",IF(INDEX(SchedZone,$C410,MAP!$B$11)="","",INDEX(SchedZone,$C410,MAP!$B$11)))</f>
        <v/>
      </c>
      <c r="N410" s="2" t="str">
        <f t="array" ref="N410">IF($C410="","",IF(INDEX(SchedZone,$C410,MAP!$B$13)="","",INDEX(SchedZone,$C410,MAP!$B$13)))</f>
        <v/>
      </c>
      <c r="O410" s="2">
        <f t="array" ref="O410">IF($C410="","",INDEX(SchedZone,$C410,MAP!$B$15))</f>
        <v>10</v>
      </c>
      <c r="P410" s="2" t="str">
        <f>IF($C410="","",IFERROR(MATCH($E410&amp;"|"&amp;$G410&amp;"|"&amp;$I410,StatsKey,0),""))</f>
        <v/>
      </c>
      <c r="Q410" s="2">
        <f t="array" ref="Q410">IF($P410="",0,INDEX(StatsZone,$P410,MAP!$E$9)+INDEX(StatsZone,$P410,MAP!$E$10)+INDEX(StatsZone,$P410,MAP!$E$11))</f>
        <v>0</v>
      </c>
      <c r="R410" s="2">
        <f t="array" ref="R410">IF($P410="",0,INDEX(StatsZone,$P410,MAP!$E$12))</f>
        <v>0</v>
      </c>
      <c r="S410" s="2">
        <f t="array" ref="S410">IF($P410="",0,INDEX(StatsZone,$P410,MAP!$E$13))</f>
        <v>0</v>
      </c>
      <c r="T410" s="2">
        <f t="shared" si="1"/>
        <v>0</v>
      </c>
      <c r="U410" s="2">
        <f t="array" ref="U410">IF($P410="",0,INDEX(StatsZone,$P410,MAP!$E$14)+INDEX(StatsZone,$P410,MAP!$E$15)+INDEX(StatsZone,$P410,MAP!$E$16))</f>
        <v>0</v>
      </c>
      <c r="V410" s="2">
        <f t="shared" si="2"/>
        <v>0</v>
      </c>
      <c r="W410" s="2">
        <f t="shared" si="3"/>
        <v>0</v>
      </c>
      <c r="X410" s="2">
        <f t="shared" si="4"/>
        <v>0</v>
      </c>
      <c r="Y410" s="2">
        <f t="shared" si="5"/>
        <v>0</v>
      </c>
      <c r="Z410" s="2">
        <f t="shared" si="6"/>
        <v>0</v>
      </c>
      <c r="AA410" s="2">
        <f t="shared" si="7"/>
        <v>-1</v>
      </c>
      <c r="AB410" s="2">
        <f>IF(OR($M410="",$N410=""),0,MEDIAN(-MarginCap,MarginCap,($M410-$N410)-$AA410*HFA_Base))</f>
        <v>0</v>
      </c>
      <c r="AC410" s="2">
        <f t="array" ref="AC410">IF(OR($P410="",INDEX($P$3:$P$722,(ROW()+IF(MOD(ROW()-3,2)=0,1,-1))-3+1)=""),0,MEDIAN(-MarginCap,MarginCap,($T410-$W410)-$AA410*HFA_Base))</f>
        <v>0</v>
      </c>
      <c r="AD410" s="2">
        <f t="shared" si="8"/>
        <v>0</v>
      </c>
      <c r="AE410" s="2">
        <f>IF(OR($M410="",$N410=""),0,IF(AND(WEpa&gt;0,$AD410=1),(1-WEpa)*$AB410+WEpa*$AC410,$AB410))</f>
        <v>0</v>
      </c>
      <c r="AF410" s="2">
        <f>IF(AND($C410&lt;&gt;"",$E410=CurrentSeason,$F410="REG",ISNUMBER($G410),$G410&lt;CurrentWeek,AND($M410&lt;&gt;"",$N410&lt;&gt;"")),1,0)</f>
        <v>0</v>
      </c>
      <c r="AG410" s="2">
        <f>IF($AF410=0,0,IF($G410&gt;=CurrentWeek-RecencyWin,RecencyMult,1))</f>
        <v>0</v>
      </c>
      <c r="AH410" s="2">
        <f>IF(AND($C410&lt;&gt;"",$E410=CurrentSeason,$F410="REG",ISNUMBER($G410),$G410&lt;CurrentWeek-1,AND($M410&lt;&gt;"",$N410&lt;&gt;"")),1,0)</f>
        <v>0</v>
      </c>
      <c r="AI410" s="2">
        <f>IF($AH410=0,0,IF($G410&gt;=CurrentWeek-1-RecencyWin,RecencyMult,1))</f>
        <v>0</v>
      </c>
      <c r="AJ410" s="2">
        <f>IF($AF410=0,0,IF($G410&gt;=CurrentWeek-RecencyWin,TotRecency,1))</f>
        <v>0</v>
      </c>
      <c r="AK410" s="2">
        <f t="shared" si="9"/>
        <v>0</v>
      </c>
      <c r="AL410" s="2">
        <f t="shared" si="10"/>
        <v>0</v>
      </c>
      <c r="AM410" s="2" t="str">
        <f t="array" ref="AM410">IF($K410="",0,IFERROR(INDEX(CALC!$F$2:$F$33,MATCH($K410,CALC!$A$2:$A$33,0)),0))</f>
        <v/>
      </c>
      <c r="AN410" s="2" t="str">
        <f t="array" ref="AN410">IF($K410="",0,IFERROR(INDEX(CALC!$I$2:$I$33,MATCH($K410,CALC!$A$2:$A$33,0)),0))</f>
        <v/>
      </c>
      <c r="AO410" s="2" t="str">
        <f t="array" ref="AO410">IF($K410="",0,IFERROR(INDEX(CALC!$L$2:$L$33,MATCH($K410,CALC!$A$2:$A$33,0)),0))</f>
        <v/>
      </c>
      <c r="AP410" s="2" t="str">
        <f t="array" ref="AP410">IF($K410="",0,IFERROR(INDEX(CALC!$T$2:$T$33,MATCH($K410,CALC!$A$2:$A$33,0)),0))</f>
        <v/>
      </c>
      <c r="AQ410" s="2" t="str">
        <f t="array" ref="AQ410">IF($K410="",0,IFERROR(INDEX(CALC!$W$2:$W$33,MATCH($K410,CALC!$A$2:$A$33,0)),0))</f>
        <v/>
      </c>
      <c r="AR410" s="2" t="str">
        <f t="array" ref="AR410">IF($K410="",0,IFERROR(INDEX(CALC!$Z$2:$Z$33,MATCH($K410,CALC!$A$2:$A$33,0)),0))</f>
        <v/>
      </c>
      <c r="AS410" s="2" t="str">
        <f t="array" ref="AS410">IF($K410="",0,IFERROR(INDEX(CALC!$AJ$2:$AJ$33,MATCH($K410,CALC!$A$2:$A$33,0)),0))</f>
        <v/>
      </c>
      <c r="AT410" s="2" t="str">
        <f t="array" ref="AT410">IF($K410="",0,IFERROR(INDEX(CALC!$AI$2:$AI$33,MATCH($K410,CALC!$A$2:$A$33,0)),0))</f>
        <v/>
      </c>
      <c r="AU410" s="2">
        <f t="shared" si="11"/>
        <v>0</v>
      </c>
      <c r="AV410" s="2">
        <f t="shared" si="12"/>
        <v>0</v>
      </c>
    </row>
    <row r="411" ht="15.0" customHeight="1">
      <c r="A411" s="2">
        <v>205.0</v>
      </c>
      <c r="B411" s="2" t="s">
        <v>2365</v>
      </c>
      <c r="C411" s="2">
        <f>IFERROR(MATCH($A411,SchedSeq,0),"")</f>
        <v>490</v>
      </c>
      <c r="D411" s="2" t="str">
        <f t="array" ref="D411">IF($C411="","",INDEX(SchedZone,$C411,MAP!$B$6))</f>
        <v>2026_14_NYG_SEA</v>
      </c>
      <c r="E411" s="2">
        <f t="array" ref="E411">IF($C411="","",INDEX(SchedZone,$C411,MAP!$B$3))</f>
        <v>2026</v>
      </c>
      <c r="F411" s="2" t="str">
        <f t="array" ref="F411">IF($C411="","",INDEX(SchedZone,$C411,MAP!$B$5))</f>
        <v>REG</v>
      </c>
      <c r="G411" s="2">
        <f t="array" ref="G411">IF($C411="","",INDEX(SchedZone,$C411,MAP!$B$4))</f>
        <v>14</v>
      </c>
      <c r="H411" s="2" t="str">
        <f t="array" ref="H411">IF($C411="","",INDEX(SchedZone,$C411,MAP!$B$12))</f>
        <v>SEA</v>
      </c>
      <c r="I411" s="2" t="str">
        <f t="array" ref="I411">IF($H411="","",IF(COUNTIF(Teams,$H411)&gt;0,$H411,IFERROR(INDEX(LISTS!$D$2:$D$12,MATCH($H411,LISTS!$C$2:$C$12,0)),"⚠ "&amp;$H411)))</f>
        <v>SEA</v>
      </c>
      <c r="J411" s="2" t="str">
        <f t="array" ref="J411">IF($C411="","",INDEX(SchedZone,$C411,MAP!$B$10))</f>
        <v>NYG</v>
      </c>
      <c r="K411" s="2" t="str">
        <f t="array" ref="K411">IF($J411="","",IF(COUNTIF(Teams,$J411)&gt;0,$J411,IFERROR(INDEX(LISTS!$D$2:$D$12,MATCH($J411,LISTS!$C$2:$C$12,0)),"⚠ "&amp;$J411)))</f>
        <v>NYG</v>
      </c>
      <c r="L411" s="2" t="str">
        <f t="array" ref="L411">IF($C411="","",IF(INDEX(SchedZone,$C411,MAP!$B$14)="Neutral","N",IF($B411="HOME","H","A")))</f>
        <v>H</v>
      </c>
      <c r="M411" s="2" t="str">
        <f t="array" ref="M411">IF($C411="","",IF(INDEX(SchedZone,$C411,MAP!$B$13)="","",INDEX(SchedZone,$C411,MAP!$B$13)))</f>
        <v/>
      </c>
      <c r="N411" s="2" t="str">
        <f t="array" ref="N411">IF($C411="","",IF(INDEX(SchedZone,$C411,MAP!$B$11)="","",INDEX(SchedZone,$C411,MAP!$B$11)))</f>
        <v/>
      </c>
      <c r="O411" s="2">
        <f t="array" ref="O411">IF($C411="","",INDEX(SchedZone,$C411,MAP!$B$16))</f>
        <v>6</v>
      </c>
      <c r="P411" s="2" t="str">
        <f>IF($C411="","",IFERROR(MATCH($E411&amp;"|"&amp;$G411&amp;"|"&amp;$I411,StatsKey,0),""))</f>
        <v/>
      </c>
      <c r="Q411" s="2">
        <f t="array" ref="Q411">IF($P411="",0,INDEX(StatsZone,$P411,MAP!$E$9)+INDEX(StatsZone,$P411,MAP!$E$10)+INDEX(StatsZone,$P411,MAP!$E$11))</f>
        <v>0</v>
      </c>
      <c r="R411" s="2">
        <f t="array" ref="R411">IF($P411="",0,INDEX(StatsZone,$P411,MAP!$E$12))</f>
        <v>0</v>
      </c>
      <c r="S411" s="2">
        <f t="array" ref="S411">IF($P411="",0,INDEX(StatsZone,$P411,MAP!$E$13))</f>
        <v>0</v>
      </c>
      <c r="T411" s="2">
        <f t="shared" si="1"/>
        <v>0</v>
      </c>
      <c r="U411" s="2">
        <f t="array" ref="U411">IF($P411="",0,INDEX(StatsZone,$P411,MAP!$E$14)+INDEX(StatsZone,$P411,MAP!$E$15)+INDEX(StatsZone,$P411,MAP!$E$16))</f>
        <v>0</v>
      </c>
      <c r="V411" s="2">
        <f t="shared" si="2"/>
        <v>0</v>
      </c>
      <c r="W411" s="2">
        <f t="shared" si="3"/>
        <v>0</v>
      </c>
      <c r="X411" s="2">
        <f t="shared" si="4"/>
        <v>0</v>
      </c>
      <c r="Y411" s="2">
        <f t="shared" si="5"/>
        <v>0</v>
      </c>
      <c r="Z411" s="2">
        <f t="shared" si="6"/>
        <v>0</v>
      </c>
      <c r="AA411" s="2">
        <f t="shared" si="7"/>
        <v>1</v>
      </c>
      <c r="AB411" s="2">
        <f>IF(OR($M411="",$N411=""),0,MEDIAN(-MarginCap,MarginCap,($M411-$N411)-$AA411*HFA_Base))</f>
        <v>0</v>
      </c>
      <c r="AC411" s="2">
        <f t="array" ref="AC411">IF(OR($P411="",INDEX($P$3:$P$722,(ROW()+IF(MOD(ROW()-3,2)=0,1,-1))-3+1)=""),0,MEDIAN(-MarginCap,MarginCap,($T411-$W411)-$AA411*HFA_Base))</f>
        <v>0</v>
      </c>
      <c r="AD411" s="2">
        <f t="shared" si="8"/>
        <v>0</v>
      </c>
      <c r="AE411" s="2">
        <f>IF(OR($M411="",$N411=""),0,IF(AND(WEpa&gt;0,$AD411=1),(1-WEpa)*$AB411+WEpa*$AC411,$AB411))</f>
        <v>0</v>
      </c>
      <c r="AF411" s="2">
        <f>IF(AND($C411&lt;&gt;"",$E411=CurrentSeason,$F411="REG",ISNUMBER($G411),$G411&lt;CurrentWeek,AND($M411&lt;&gt;"",$N411&lt;&gt;"")),1,0)</f>
        <v>0</v>
      </c>
      <c r="AG411" s="2">
        <f>IF($AF411=0,0,IF($G411&gt;=CurrentWeek-RecencyWin,RecencyMult,1))</f>
        <v>0</v>
      </c>
      <c r="AH411" s="2">
        <f>IF(AND($C411&lt;&gt;"",$E411=CurrentSeason,$F411="REG",ISNUMBER($G411),$G411&lt;CurrentWeek-1,AND($M411&lt;&gt;"",$N411&lt;&gt;"")),1,0)</f>
        <v>0</v>
      </c>
      <c r="AI411" s="2">
        <f>IF($AH411=0,0,IF($G411&gt;=CurrentWeek-1-RecencyWin,RecencyMult,1))</f>
        <v>0</v>
      </c>
      <c r="AJ411" s="2">
        <f>IF($AF411=0,0,IF($G411&gt;=CurrentWeek-RecencyWin,TotRecency,1))</f>
        <v>0</v>
      </c>
      <c r="AK411" s="2">
        <f t="shared" si="9"/>
        <v>0</v>
      </c>
      <c r="AL411" s="2">
        <f t="shared" si="10"/>
        <v>0</v>
      </c>
      <c r="AM411" s="2" t="str">
        <f t="array" ref="AM411">IF($K411="",0,IFERROR(INDEX(CALC!$F$2:$F$33,MATCH($K411,CALC!$A$2:$A$33,0)),0))</f>
        <v/>
      </c>
      <c r="AN411" s="2" t="str">
        <f t="array" ref="AN411">IF($K411="",0,IFERROR(INDEX(CALC!$I$2:$I$33,MATCH($K411,CALC!$A$2:$A$33,0)),0))</f>
        <v/>
      </c>
      <c r="AO411" s="2" t="str">
        <f t="array" ref="AO411">IF($K411="",0,IFERROR(INDEX(CALC!$L$2:$L$33,MATCH($K411,CALC!$A$2:$A$33,0)),0))</f>
        <v/>
      </c>
      <c r="AP411" s="2" t="str">
        <f t="array" ref="AP411">IF($K411="",0,IFERROR(INDEX(CALC!$T$2:$T$33,MATCH($K411,CALC!$A$2:$A$33,0)),0))</f>
        <v/>
      </c>
      <c r="AQ411" s="2" t="str">
        <f t="array" ref="AQ411">IF($K411="",0,IFERROR(INDEX(CALC!$W$2:$W$33,MATCH($K411,CALC!$A$2:$A$33,0)),0))</f>
        <v/>
      </c>
      <c r="AR411" s="2" t="str">
        <f t="array" ref="AR411">IF($K411="",0,IFERROR(INDEX(CALC!$Z$2:$Z$33,MATCH($K411,CALC!$A$2:$A$33,0)),0))</f>
        <v/>
      </c>
      <c r="AS411" s="2" t="str">
        <f t="array" ref="AS411">IF($K411="",0,IFERROR(INDEX(CALC!$AJ$2:$AJ$33,MATCH($K411,CALC!$A$2:$A$33,0)),0))</f>
        <v/>
      </c>
      <c r="AT411" s="2" t="str">
        <f t="array" ref="AT411">IF($K411="",0,IFERROR(INDEX(CALC!$AI$2:$AI$33,MATCH($K411,CALC!$A$2:$A$33,0)),0))</f>
        <v/>
      </c>
      <c r="AU411" s="2">
        <f t="shared" si="11"/>
        <v>0</v>
      </c>
      <c r="AV411" s="2">
        <f t="shared" si="12"/>
        <v>0</v>
      </c>
    </row>
    <row r="412" ht="15.0" customHeight="1">
      <c r="A412" s="2">
        <v>205.0</v>
      </c>
      <c r="B412" s="2" t="s">
        <v>2366</v>
      </c>
      <c r="C412" s="2">
        <f>IFERROR(MATCH($A412,SchedSeq,0),"")</f>
        <v>490</v>
      </c>
      <c r="D412" s="2" t="str">
        <f t="array" ref="D412">IF($C412="","",INDEX(SchedZone,$C412,MAP!$B$6))</f>
        <v>2026_14_NYG_SEA</v>
      </c>
      <c r="E412" s="2">
        <f t="array" ref="E412">IF($C412="","",INDEX(SchedZone,$C412,MAP!$B$3))</f>
        <v>2026</v>
      </c>
      <c r="F412" s="2" t="str">
        <f t="array" ref="F412">IF($C412="","",INDEX(SchedZone,$C412,MAP!$B$5))</f>
        <v>REG</v>
      </c>
      <c r="G412" s="2">
        <f t="array" ref="G412">IF($C412="","",INDEX(SchedZone,$C412,MAP!$B$4))</f>
        <v>14</v>
      </c>
      <c r="H412" s="2" t="str">
        <f t="array" ref="H412">IF($C412="","",INDEX(SchedZone,$C412,MAP!$B$10))</f>
        <v>NYG</v>
      </c>
      <c r="I412" s="2" t="str">
        <f t="array" ref="I412">IF($H412="","",IF(COUNTIF(Teams,$H412)&gt;0,$H412,IFERROR(INDEX(LISTS!$D$2:$D$12,MATCH($H412,LISTS!$C$2:$C$12,0)),"⚠ "&amp;$H412)))</f>
        <v>NYG</v>
      </c>
      <c r="J412" s="2" t="str">
        <f t="array" ref="J412">IF($C412="","",INDEX(SchedZone,$C412,MAP!$B$12))</f>
        <v>SEA</v>
      </c>
      <c r="K412" s="2" t="str">
        <f t="array" ref="K412">IF($J412="","",IF(COUNTIF(Teams,$J412)&gt;0,$J412,IFERROR(INDEX(LISTS!$D$2:$D$12,MATCH($J412,LISTS!$C$2:$C$12,0)),"⚠ "&amp;$J412)))</f>
        <v>SEA</v>
      </c>
      <c r="L412" s="2" t="str">
        <f t="array" ref="L412">IF($C412="","",IF(INDEX(SchedZone,$C412,MAP!$B$14)="Neutral","N",IF($B412="HOME","H","A")))</f>
        <v>A</v>
      </c>
      <c r="M412" s="2" t="str">
        <f t="array" ref="M412">IF($C412="","",IF(INDEX(SchedZone,$C412,MAP!$B$11)="","",INDEX(SchedZone,$C412,MAP!$B$11)))</f>
        <v/>
      </c>
      <c r="N412" s="2" t="str">
        <f t="array" ref="N412">IF($C412="","",IF(INDEX(SchedZone,$C412,MAP!$B$13)="","",INDEX(SchedZone,$C412,MAP!$B$13)))</f>
        <v/>
      </c>
      <c r="O412" s="2">
        <f t="array" ref="O412">IF($C412="","",INDEX(SchedZone,$C412,MAP!$B$15))</f>
        <v>7</v>
      </c>
      <c r="P412" s="2" t="str">
        <f>IF($C412="","",IFERROR(MATCH($E412&amp;"|"&amp;$G412&amp;"|"&amp;$I412,StatsKey,0),""))</f>
        <v/>
      </c>
      <c r="Q412" s="2">
        <f t="array" ref="Q412">IF($P412="",0,INDEX(StatsZone,$P412,MAP!$E$9)+INDEX(StatsZone,$P412,MAP!$E$10)+INDEX(StatsZone,$P412,MAP!$E$11))</f>
        <v>0</v>
      </c>
      <c r="R412" s="2">
        <f t="array" ref="R412">IF($P412="",0,INDEX(StatsZone,$P412,MAP!$E$12))</f>
        <v>0</v>
      </c>
      <c r="S412" s="2">
        <f t="array" ref="S412">IF($P412="",0,INDEX(StatsZone,$P412,MAP!$E$13))</f>
        <v>0</v>
      </c>
      <c r="T412" s="2">
        <f t="shared" si="1"/>
        <v>0</v>
      </c>
      <c r="U412" s="2">
        <f t="array" ref="U412">IF($P412="",0,INDEX(StatsZone,$P412,MAP!$E$14)+INDEX(StatsZone,$P412,MAP!$E$15)+INDEX(StatsZone,$P412,MAP!$E$16))</f>
        <v>0</v>
      </c>
      <c r="V412" s="2">
        <f t="shared" si="2"/>
        <v>0</v>
      </c>
      <c r="W412" s="2">
        <f t="shared" si="3"/>
        <v>0</v>
      </c>
      <c r="X412" s="2">
        <f t="shared" si="4"/>
        <v>0</v>
      </c>
      <c r="Y412" s="2">
        <f t="shared" si="5"/>
        <v>0</v>
      </c>
      <c r="Z412" s="2">
        <f t="shared" si="6"/>
        <v>0</v>
      </c>
      <c r="AA412" s="2">
        <f t="shared" si="7"/>
        <v>-1</v>
      </c>
      <c r="AB412" s="2">
        <f>IF(OR($M412="",$N412=""),0,MEDIAN(-MarginCap,MarginCap,($M412-$N412)-$AA412*HFA_Base))</f>
        <v>0</v>
      </c>
      <c r="AC412" s="2">
        <f t="array" ref="AC412">IF(OR($P412="",INDEX($P$3:$P$722,(ROW()+IF(MOD(ROW()-3,2)=0,1,-1))-3+1)=""),0,MEDIAN(-MarginCap,MarginCap,($T412-$W412)-$AA412*HFA_Base))</f>
        <v>0</v>
      </c>
      <c r="AD412" s="2">
        <f t="shared" si="8"/>
        <v>0</v>
      </c>
      <c r="AE412" s="2">
        <f>IF(OR($M412="",$N412=""),0,IF(AND(WEpa&gt;0,$AD412=1),(1-WEpa)*$AB412+WEpa*$AC412,$AB412))</f>
        <v>0</v>
      </c>
      <c r="AF412" s="2">
        <f>IF(AND($C412&lt;&gt;"",$E412=CurrentSeason,$F412="REG",ISNUMBER($G412),$G412&lt;CurrentWeek,AND($M412&lt;&gt;"",$N412&lt;&gt;"")),1,0)</f>
        <v>0</v>
      </c>
      <c r="AG412" s="2">
        <f>IF($AF412=0,0,IF($G412&gt;=CurrentWeek-RecencyWin,RecencyMult,1))</f>
        <v>0</v>
      </c>
      <c r="AH412" s="2">
        <f>IF(AND($C412&lt;&gt;"",$E412=CurrentSeason,$F412="REG",ISNUMBER($G412),$G412&lt;CurrentWeek-1,AND($M412&lt;&gt;"",$N412&lt;&gt;"")),1,0)</f>
        <v>0</v>
      </c>
      <c r="AI412" s="2">
        <f>IF($AH412=0,0,IF($G412&gt;=CurrentWeek-1-RecencyWin,RecencyMult,1))</f>
        <v>0</v>
      </c>
      <c r="AJ412" s="2">
        <f>IF($AF412=0,0,IF($G412&gt;=CurrentWeek-RecencyWin,TotRecency,1))</f>
        <v>0</v>
      </c>
      <c r="AK412" s="2">
        <f t="shared" si="9"/>
        <v>0</v>
      </c>
      <c r="AL412" s="2">
        <f t="shared" si="10"/>
        <v>0</v>
      </c>
      <c r="AM412" s="2" t="str">
        <f t="array" ref="AM412">IF($K412="",0,IFERROR(INDEX(CALC!$F$2:$F$33,MATCH($K412,CALC!$A$2:$A$33,0)),0))</f>
        <v/>
      </c>
      <c r="AN412" s="2" t="str">
        <f t="array" ref="AN412">IF($K412="",0,IFERROR(INDEX(CALC!$I$2:$I$33,MATCH($K412,CALC!$A$2:$A$33,0)),0))</f>
        <v/>
      </c>
      <c r="AO412" s="2" t="str">
        <f t="array" ref="AO412">IF($K412="",0,IFERROR(INDEX(CALC!$L$2:$L$33,MATCH($K412,CALC!$A$2:$A$33,0)),0))</f>
        <v/>
      </c>
      <c r="AP412" s="2" t="str">
        <f t="array" ref="AP412">IF($K412="",0,IFERROR(INDEX(CALC!$T$2:$T$33,MATCH($K412,CALC!$A$2:$A$33,0)),0))</f>
        <v/>
      </c>
      <c r="AQ412" s="2" t="str">
        <f t="array" ref="AQ412">IF($K412="",0,IFERROR(INDEX(CALC!$W$2:$W$33,MATCH($K412,CALC!$A$2:$A$33,0)),0))</f>
        <v/>
      </c>
      <c r="AR412" s="2" t="str">
        <f t="array" ref="AR412">IF($K412="",0,IFERROR(INDEX(CALC!$Z$2:$Z$33,MATCH($K412,CALC!$A$2:$A$33,0)),0))</f>
        <v/>
      </c>
      <c r="AS412" s="2" t="str">
        <f t="array" ref="AS412">IF($K412="",0,IFERROR(INDEX(CALC!$AJ$2:$AJ$33,MATCH($K412,CALC!$A$2:$A$33,0)),0))</f>
        <v/>
      </c>
      <c r="AT412" s="2" t="str">
        <f t="array" ref="AT412">IF($K412="",0,IFERROR(INDEX(CALC!$AI$2:$AI$33,MATCH($K412,CALC!$A$2:$A$33,0)),0))</f>
        <v/>
      </c>
      <c r="AU412" s="2">
        <f t="shared" si="11"/>
        <v>0</v>
      </c>
      <c r="AV412" s="2">
        <f t="shared" si="12"/>
        <v>0</v>
      </c>
    </row>
    <row r="413" ht="15.0" customHeight="1">
      <c r="A413" s="2">
        <v>206.0</v>
      </c>
      <c r="B413" s="2" t="s">
        <v>2365</v>
      </c>
      <c r="C413" s="2">
        <f>IFERROR(MATCH($A413,SchedSeq,0),"")</f>
        <v>491</v>
      </c>
      <c r="D413" s="2" t="str">
        <f t="array" ref="D413">IF($C413="","",INDEX(SchedZone,$C413,MAP!$B$6))</f>
        <v>2026_14_LA_SF</v>
      </c>
      <c r="E413" s="2">
        <f t="array" ref="E413">IF($C413="","",INDEX(SchedZone,$C413,MAP!$B$3))</f>
        <v>2026</v>
      </c>
      <c r="F413" s="2" t="str">
        <f t="array" ref="F413">IF($C413="","",INDEX(SchedZone,$C413,MAP!$B$5))</f>
        <v>REG</v>
      </c>
      <c r="G413" s="2">
        <f t="array" ref="G413">IF($C413="","",INDEX(SchedZone,$C413,MAP!$B$4))</f>
        <v>14</v>
      </c>
      <c r="H413" s="2" t="str">
        <f t="array" ref="H413">IF($C413="","",INDEX(SchedZone,$C413,MAP!$B$12))</f>
        <v>SF</v>
      </c>
      <c r="I413" s="2" t="str">
        <f t="array" ref="I413">IF($H413="","",IF(COUNTIF(Teams,$H413)&gt;0,$H413,IFERROR(INDEX(LISTS!$D$2:$D$12,MATCH($H413,LISTS!$C$2:$C$12,0)),"⚠ "&amp;$H413)))</f>
        <v>SF</v>
      </c>
      <c r="J413" s="2" t="str">
        <f t="array" ref="J413">IF($C413="","",INDEX(SchedZone,$C413,MAP!$B$10))</f>
        <v>LA</v>
      </c>
      <c r="K413" s="2" t="str">
        <f t="array" ref="K413">IF($J413="","",IF(COUNTIF(Teams,$J413)&gt;0,$J413,IFERROR(INDEX(LISTS!$D$2:$D$12,MATCH($J413,LISTS!$C$2:$C$12,0)),"⚠ "&amp;$J413)))</f>
        <v>LA</v>
      </c>
      <c r="L413" s="2" t="str">
        <f t="array" ref="L413">IF($C413="","",IF(INDEX(SchedZone,$C413,MAP!$B$14)="Neutral","N",IF($B413="HOME","H","A")))</f>
        <v>H</v>
      </c>
      <c r="M413" s="2" t="str">
        <f t="array" ref="M413">IF($C413="","",IF(INDEX(SchedZone,$C413,MAP!$B$13)="","",INDEX(SchedZone,$C413,MAP!$B$13)))</f>
        <v/>
      </c>
      <c r="N413" s="2" t="str">
        <f t="array" ref="N413">IF($C413="","",IF(INDEX(SchedZone,$C413,MAP!$B$11)="","",INDEX(SchedZone,$C413,MAP!$B$11)))</f>
        <v/>
      </c>
      <c r="O413" s="2">
        <f t="array" ref="O413">IF($C413="","",INDEX(SchedZone,$C413,MAP!$B$16))</f>
        <v>7</v>
      </c>
      <c r="P413" s="2" t="str">
        <f>IF($C413="","",IFERROR(MATCH($E413&amp;"|"&amp;$G413&amp;"|"&amp;$I413,StatsKey,0),""))</f>
        <v/>
      </c>
      <c r="Q413" s="2">
        <f t="array" ref="Q413">IF($P413="",0,INDEX(StatsZone,$P413,MAP!$E$9)+INDEX(StatsZone,$P413,MAP!$E$10)+INDEX(StatsZone,$P413,MAP!$E$11))</f>
        <v>0</v>
      </c>
      <c r="R413" s="2">
        <f t="array" ref="R413">IF($P413="",0,INDEX(StatsZone,$P413,MAP!$E$12))</f>
        <v>0</v>
      </c>
      <c r="S413" s="2">
        <f t="array" ref="S413">IF($P413="",0,INDEX(StatsZone,$P413,MAP!$E$13))</f>
        <v>0</v>
      </c>
      <c r="T413" s="2">
        <f t="shared" si="1"/>
        <v>0</v>
      </c>
      <c r="U413" s="2">
        <f t="array" ref="U413">IF($P413="",0,INDEX(StatsZone,$P413,MAP!$E$14)+INDEX(StatsZone,$P413,MAP!$E$15)+INDEX(StatsZone,$P413,MAP!$E$16))</f>
        <v>0</v>
      </c>
      <c r="V413" s="2">
        <f t="shared" si="2"/>
        <v>0</v>
      </c>
      <c r="W413" s="2">
        <f t="shared" si="3"/>
        <v>0</v>
      </c>
      <c r="X413" s="2">
        <f t="shared" si="4"/>
        <v>0</v>
      </c>
      <c r="Y413" s="2">
        <f t="shared" si="5"/>
        <v>0</v>
      </c>
      <c r="Z413" s="2">
        <f t="shared" si="6"/>
        <v>0</v>
      </c>
      <c r="AA413" s="2">
        <f t="shared" si="7"/>
        <v>1</v>
      </c>
      <c r="AB413" s="2">
        <f>IF(OR($M413="",$N413=""),0,MEDIAN(-MarginCap,MarginCap,($M413-$N413)-$AA413*HFA_Base))</f>
        <v>0</v>
      </c>
      <c r="AC413" s="2">
        <f t="array" ref="AC413">IF(OR($P413="",INDEX($P$3:$P$722,(ROW()+IF(MOD(ROW()-3,2)=0,1,-1))-3+1)=""),0,MEDIAN(-MarginCap,MarginCap,($T413-$W413)-$AA413*HFA_Base))</f>
        <v>0</v>
      </c>
      <c r="AD413" s="2">
        <f t="shared" si="8"/>
        <v>0</v>
      </c>
      <c r="AE413" s="2">
        <f>IF(OR($M413="",$N413=""),0,IF(AND(WEpa&gt;0,$AD413=1),(1-WEpa)*$AB413+WEpa*$AC413,$AB413))</f>
        <v>0</v>
      </c>
      <c r="AF413" s="2">
        <f>IF(AND($C413&lt;&gt;"",$E413=CurrentSeason,$F413="REG",ISNUMBER($G413),$G413&lt;CurrentWeek,AND($M413&lt;&gt;"",$N413&lt;&gt;"")),1,0)</f>
        <v>0</v>
      </c>
      <c r="AG413" s="2">
        <f>IF($AF413=0,0,IF($G413&gt;=CurrentWeek-RecencyWin,RecencyMult,1))</f>
        <v>0</v>
      </c>
      <c r="AH413" s="2">
        <f>IF(AND($C413&lt;&gt;"",$E413=CurrentSeason,$F413="REG",ISNUMBER($G413),$G413&lt;CurrentWeek-1,AND($M413&lt;&gt;"",$N413&lt;&gt;"")),1,0)</f>
        <v>0</v>
      </c>
      <c r="AI413" s="2">
        <f>IF($AH413=0,0,IF($G413&gt;=CurrentWeek-1-RecencyWin,RecencyMult,1))</f>
        <v>0</v>
      </c>
      <c r="AJ413" s="2">
        <f>IF($AF413=0,0,IF($G413&gt;=CurrentWeek-RecencyWin,TotRecency,1))</f>
        <v>0</v>
      </c>
      <c r="AK413" s="2">
        <f t="shared" si="9"/>
        <v>0</v>
      </c>
      <c r="AL413" s="2">
        <f t="shared" si="10"/>
        <v>0</v>
      </c>
      <c r="AM413" s="2" t="str">
        <f t="array" ref="AM413">IF($K413="",0,IFERROR(INDEX(CALC!$F$2:$F$33,MATCH($K413,CALC!$A$2:$A$33,0)),0))</f>
        <v/>
      </c>
      <c r="AN413" s="2" t="str">
        <f t="array" ref="AN413">IF($K413="",0,IFERROR(INDEX(CALC!$I$2:$I$33,MATCH($K413,CALC!$A$2:$A$33,0)),0))</f>
        <v/>
      </c>
      <c r="AO413" s="2" t="str">
        <f t="array" ref="AO413">IF($K413="",0,IFERROR(INDEX(CALC!$L$2:$L$33,MATCH($K413,CALC!$A$2:$A$33,0)),0))</f>
        <v/>
      </c>
      <c r="AP413" s="2" t="str">
        <f t="array" ref="AP413">IF($K413="",0,IFERROR(INDEX(CALC!$T$2:$T$33,MATCH($K413,CALC!$A$2:$A$33,0)),0))</f>
        <v/>
      </c>
      <c r="AQ413" s="2" t="str">
        <f t="array" ref="AQ413">IF($K413="",0,IFERROR(INDEX(CALC!$W$2:$W$33,MATCH($K413,CALC!$A$2:$A$33,0)),0))</f>
        <v/>
      </c>
      <c r="AR413" s="2" t="str">
        <f t="array" ref="AR413">IF($K413="",0,IFERROR(INDEX(CALC!$Z$2:$Z$33,MATCH($K413,CALC!$A$2:$A$33,0)),0))</f>
        <v/>
      </c>
      <c r="AS413" s="2" t="str">
        <f t="array" ref="AS413">IF($K413="",0,IFERROR(INDEX(CALC!$AJ$2:$AJ$33,MATCH($K413,CALC!$A$2:$A$33,0)),0))</f>
        <v/>
      </c>
      <c r="AT413" s="2" t="str">
        <f t="array" ref="AT413">IF($K413="",0,IFERROR(INDEX(CALC!$AI$2:$AI$33,MATCH($K413,CALC!$A$2:$A$33,0)),0))</f>
        <v/>
      </c>
      <c r="AU413" s="2">
        <f t="shared" si="11"/>
        <v>0</v>
      </c>
      <c r="AV413" s="2">
        <f t="shared" si="12"/>
        <v>0</v>
      </c>
    </row>
    <row r="414" ht="15.0" customHeight="1">
      <c r="A414" s="2">
        <v>206.0</v>
      </c>
      <c r="B414" s="2" t="s">
        <v>2366</v>
      </c>
      <c r="C414" s="2">
        <f>IFERROR(MATCH($A414,SchedSeq,0),"")</f>
        <v>491</v>
      </c>
      <c r="D414" s="2" t="str">
        <f t="array" ref="D414">IF($C414="","",INDEX(SchedZone,$C414,MAP!$B$6))</f>
        <v>2026_14_LA_SF</v>
      </c>
      <c r="E414" s="2">
        <f t="array" ref="E414">IF($C414="","",INDEX(SchedZone,$C414,MAP!$B$3))</f>
        <v>2026</v>
      </c>
      <c r="F414" s="2" t="str">
        <f t="array" ref="F414">IF($C414="","",INDEX(SchedZone,$C414,MAP!$B$5))</f>
        <v>REG</v>
      </c>
      <c r="G414" s="2">
        <f t="array" ref="G414">IF($C414="","",INDEX(SchedZone,$C414,MAP!$B$4))</f>
        <v>14</v>
      </c>
      <c r="H414" s="2" t="str">
        <f t="array" ref="H414">IF($C414="","",INDEX(SchedZone,$C414,MAP!$B$10))</f>
        <v>LA</v>
      </c>
      <c r="I414" s="2" t="str">
        <f t="array" ref="I414">IF($H414="","",IF(COUNTIF(Teams,$H414)&gt;0,$H414,IFERROR(INDEX(LISTS!$D$2:$D$12,MATCH($H414,LISTS!$C$2:$C$12,0)),"⚠ "&amp;$H414)))</f>
        <v>LA</v>
      </c>
      <c r="J414" s="2" t="str">
        <f t="array" ref="J414">IF($C414="","",INDEX(SchedZone,$C414,MAP!$B$12))</f>
        <v>SF</v>
      </c>
      <c r="K414" s="2" t="str">
        <f t="array" ref="K414">IF($J414="","",IF(COUNTIF(Teams,$J414)&gt;0,$J414,IFERROR(INDEX(LISTS!$D$2:$D$12,MATCH($J414,LISTS!$C$2:$C$12,0)),"⚠ "&amp;$J414)))</f>
        <v>SF</v>
      </c>
      <c r="L414" s="2" t="str">
        <f t="array" ref="L414">IF($C414="","",IF(INDEX(SchedZone,$C414,MAP!$B$14)="Neutral","N",IF($B414="HOME","H","A")))</f>
        <v>A</v>
      </c>
      <c r="M414" s="2" t="str">
        <f t="array" ref="M414">IF($C414="","",IF(INDEX(SchedZone,$C414,MAP!$B$11)="","",INDEX(SchedZone,$C414,MAP!$B$11)))</f>
        <v/>
      </c>
      <c r="N414" s="2" t="str">
        <f t="array" ref="N414">IF($C414="","",IF(INDEX(SchedZone,$C414,MAP!$B$13)="","",INDEX(SchedZone,$C414,MAP!$B$13)))</f>
        <v/>
      </c>
      <c r="O414" s="2">
        <f t="array" ref="O414">IF($C414="","",INDEX(SchedZone,$C414,MAP!$B$15))</f>
        <v>10</v>
      </c>
      <c r="P414" s="2" t="str">
        <f>IF($C414="","",IFERROR(MATCH($E414&amp;"|"&amp;$G414&amp;"|"&amp;$I414,StatsKey,0),""))</f>
        <v/>
      </c>
      <c r="Q414" s="2">
        <f t="array" ref="Q414">IF($P414="",0,INDEX(StatsZone,$P414,MAP!$E$9)+INDEX(StatsZone,$P414,MAP!$E$10)+INDEX(StatsZone,$P414,MAP!$E$11))</f>
        <v>0</v>
      </c>
      <c r="R414" s="2">
        <f t="array" ref="R414">IF($P414="",0,INDEX(StatsZone,$P414,MAP!$E$12))</f>
        <v>0</v>
      </c>
      <c r="S414" s="2">
        <f t="array" ref="S414">IF($P414="",0,INDEX(StatsZone,$P414,MAP!$E$13))</f>
        <v>0</v>
      </c>
      <c r="T414" s="2">
        <f t="shared" si="1"/>
        <v>0</v>
      </c>
      <c r="U414" s="2">
        <f t="array" ref="U414">IF($P414="",0,INDEX(StatsZone,$P414,MAP!$E$14)+INDEX(StatsZone,$P414,MAP!$E$15)+INDEX(StatsZone,$P414,MAP!$E$16))</f>
        <v>0</v>
      </c>
      <c r="V414" s="2">
        <f t="shared" si="2"/>
        <v>0</v>
      </c>
      <c r="W414" s="2">
        <f t="shared" si="3"/>
        <v>0</v>
      </c>
      <c r="X414" s="2">
        <f t="shared" si="4"/>
        <v>0</v>
      </c>
      <c r="Y414" s="2">
        <f t="shared" si="5"/>
        <v>0</v>
      </c>
      <c r="Z414" s="2">
        <f t="shared" si="6"/>
        <v>0</v>
      </c>
      <c r="AA414" s="2">
        <f t="shared" si="7"/>
        <v>-1</v>
      </c>
      <c r="AB414" s="2">
        <f>IF(OR($M414="",$N414=""),0,MEDIAN(-MarginCap,MarginCap,($M414-$N414)-$AA414*HFA_Base))</f>
        <v>0</v>
      </c>
      <c r="AC414" s="2">
        <f t="array" ref="AC414">IF(OR($P414="",INDEX($P$3:$P$722,(ROW()+IF(MOD(ROW()-3,2)=0,1,-1))-3+1)=""),0,MEDIAN(-MarginCap,MarginCap,($T414-$W414)-$AA414*HFA_Base))</f>
        <v>0</v>
      </c>
      <c r="AD414" s="2">
        <f t="shared" si="8"/>
        <v>0</v>
      </c>
      <c r="AE414" s="2">
        <f>IF(OR($M414="",$N414=""),0,IF(AND(WEpa&gt;0,$AD414=1),(1-WEpa)*$AB414+WEpa*$AC414,$AB414))</f>
        <v>0</v>
      </c>
      <c r="AF414" s="2">
        <f>IF(AND($C414&lt;&gt;"",$E414=CurrentSeason,$F414="REG",ISNUMBER($G414),$G414&lt;CurrentWeek,AND($M414&lt;&gt;"",$N414&lt;&gt;"")),1,0)</f>
        <v>0</v>
      </c>
      <c r="AG414" s="2">
        <f>IF($AF414=0,0,IF($G414&gt;=CurrentWeek-RecencyWin,RecencyMult,1))</f>
        <v>0</v>
      </c>
      <c r="AH414" s="2">
        <f>IF(AND($C414&lt;&gt;"",$E414=CurrentSeason,$F414="REG",ISNUMBER($G414),$G414&lt;CurrentWeek-1,AND($M414&lt;&gt;"",$N414&lt;&gt;"")),1,0)</f>
        <v>0</v>
      </c>
      <c r="AI414" s="2">
        <f>IF($AH414=0,0,IF($G414&gt;=CurrentWeek-1-RecencyWin,RecencyMult,1))</f>
        <v>0</v>
      </c>
      <c r="AJ414" s="2">
        <f>IF($AF414=0,0,IF($G414&gt;=CurrentWeek-RecencyWin,TotRecency,1))</f>
        <v>0</v>
      </c>
      <c r="AK414" s="2">
        <f t="shared" si="9"/>
        <v>0</v>
      </c>
      <c r="AL414" s="2">
        <f t="shared" si="10"/>
        <v>0</v>
      </c>
      <c r="AM414" s="2" t="str">
        <f t="array" ref="AM414">IF($K414="",0,IFERROR(INDEX(CALC!$F$2:$F$33,MATCH($K414,CALC!$A$2:$A$33,0)),0))</f>
        <v/>
      </c>
      <c r="AN414" s="2" t="str">
        <f t="array" ref="AN414">IF($K414="",0,IFERROR(INDEX(CALC!$I$2:$I$33,MATCH($K414,CALC!$A$2:$A$33,0)),0))</f>
        <v/>
      </c>
      <c r="AO414" s="2" t="str">
        <f t="array" ref="AO414">IF($K414="",0,IFERROR(INDEX(CALC!$L$2:$L$33,MATCH($K414,CALC!$A$2:$A$33,0)),0))</f>
        <v/>
      </c>
      <c r="AP414" s="2" t="str">
        <f t="array" ref="AP414">IF($K414="",0,IFERROR(INDEX(CALC!$T$2:$T$33,MATCH($K414,CALC!$A$2:$A$33,0)),0))</f>
        <v/>
      </c>
      <c r="AQ414" s="2" t="str">
        <f t="array" ref="AQ414">IF($K414="",0,IFERROR(INDEX(CALC!$W$2:$W$33,MATCH($K414,CALC!$A$2:$A$33,0)),0))</f>
        <v/>
      </c>
      <c r="AR414" s="2" t="str">
        <f t="array" ref="AR414">IF($K414="",0,IFERROR(INDEX(CALC!$Z$2:$Z$33,MATCH($K414,CALC!$A$2:$A$33,0)),0))</f>
        <v/>
      </c>
      <c r="AS414" s="2" t="str">
        <f t="array" ref="AS414">IF($K414="",0,IFERROR(INDEX(CALC!$AJ$2:$AJ$33,MATCH($K414,CALC!$A$2:$A$33,0)),0))</f>
        <v/>
      </c>
      <c r="AT414" s="2" t="str">
        <f t="array" ref="AT414">IF($K414="",0,IFERROR(INDEX(CALC!$AI$2:$AI$33,MATCH($K414,CALC!$A$2:$A$33,0)),0))</f>
        <v/>
      </c>
      <c r="AU414" s="2">
        <f t="shared" si="11"/>
        <v>0</v>
      </c>
      <c r="AV414" s="2">
        <f t="shared" si="12"/>
        <v>0</v>
      </c>
    </row>
    <row r="415" ht="15.0" customHeight="1">
      <c r="A415" s="2">
        <v>207.0</v>
      </c>
      <c r="B415" s="2" t="s">
        <v>2365</v>
      </c>
      <c r="C415" s="2">
        <f>IFERROR(MATCH($A415,SchedSeq,0),"")</f>
        <v>492</v>
      </c>
      <c r="D415" s="2" t="str">
        <f t="array" ref="D415">IF($C415="","",INDEX(SchedZone,$C415,MAP!$B$6))</f>
        <v>2026_14_BUF_GB</v>
      </c>
      <c r="E415" s="2">
        <f t="array" ref="E415">IF($C415="","",INDEX(SchedZone,$C415,MAP!$B$3))</f>
        <v>2026</v>
      </c>
      <c r="F415" s="2" t="str">
        <f t="array" ref="F415">IF($C415="","",INDEX(SchedZone,$C415,MAP!$B$5))</f>
        <v>REG</v>
      </c>
      <c r="G415" s="2">
        <f t="array" ref="G415">IF($C415="","",INDEX(SchedZone,$C415,MAP!$B$4))</f>
        <v>14</v>
      </c>
      <c r="H415" s="2" t="str">
        <f t="array" ref="H415">IF($C415="","",INDEX(SchedZone,$C415,MAP!$B$12))</f>
        <v>GB</v>
      </c>
      <c r="I415" s="2" t="str">
        <f t="array" ref="I415">IF($H415="","",IF(COUNTIF(Teams,$H415)&gt;0,$H415,IFERROR(INDEX(LISTS!$D$2:$D$12,MATCH($H415,LISTS!$C$2:$C$12,0)),"⚠ "&amp;$H415)))</f>
        <v>GB</v>
      </c>
      <c r="J415" s="2" t="str">
        <f t="array" ref="J415">IF($C415="","",INDEX(SchedZone,$C415,MAP!$B$10))</f>
        <v>BUF</v>
      </c>
      <c r="K415" s="2" t="str">
        <f t="array" ref="K415">IF($J415="","",IF(COUNTIF(Teams,$J415)&gt;0,$J415,IFERROR(INDEX(LISTS!$D$2:$D$12,MATCH($J415,LISTS!$C$2:$C$12,0)),"⚠ "&amp;$J415)))</f>
        <v>BUF</v>
      </c>
      <c r="L415" s="2" t="str">
        <f t="array" ref="L415">IF($C415="","",IF(INDEX(SchedZone,$C415,MAP!$B$14)="Neutral","N",IF($B415="HOME","H","A")))</f>
        <v>H</v>
      </c>
      <c r="M415" s="2" t="str">
        <f t="array" ref="M415">IF($C415="","",IF(INDEX(SchedZone,$C415,MAP!$B$13)="","",INDEX(SchedZone,$C415,MAP!$B$13)))</f>
        <v/>
      </c>
      <c r="N415" s="2" t="str">
        <f t="array" ref="N415">IF($C415="","",IF(INDEX(SchedZone,$C415,MAP!$B$11)="","",INDEX(SchedZone,$C415,MAP!$B$11)))</f>
        <v/>
      </c>
      <c r="O415" s="2">
        <f t="array" ref="O415">IF($C415="","",INDEX(SchedZone,$C415,MAP!$B$16))</f>
        <v>7</v>
      </c>
      <c r="P415" s="2" t="str">
        <f>IF($C415="","",IFERROR(MATCH($E415&amp;"|"&amp;$G415&amp;"|"&amp;$I415,StatsKey,0),""))</f>
        <v/>
      </c>
      <c r="Q415" s="2">
        <f t="array" ref="Q415">IF($P415="",0,INDEX(StatsZone,$P415,MAP!$E$9)+INDEX(StatsZone,$P415,MAP!$E$10)+INDEX(StatsZone,$P415,MAP!$E$11))</f>
        <v>0</v>
      </c>
      <c r="R415" s="2">
        <f t="array" ref="R415">IF($P415="",0,INDEX(StatsZone,$P415,MAP!$E$12))</f>
        <v>0</v>
      </c>
      <c r="S415" s="2">
        <f t="array" ref="S415">IF($P415="",0,INDEX(StatsZone,$P415,MAP!$E$13))</f>
        <v>0</v>
      </c>
      <c r="T415" s="2">
        <f t="shared" si="1"/>
        <v>0</v>
      </c>
      <c r="U415" s="2">
        <f t="array" ref="U415">IF($P415="",0,INDEX(StatsZone,$P415,MAP!$E$14)+INDEX(StatsZone,$P415,MAP!$E$15)+INDEX(StatsZone,$P415,MAP!$E$16))</f>
        <v>0</v>
      </c>
      <c r="V415" s="2">
        <f t="shared" si="2"/>
        <v>0</v>
      </c>
      <c r="W415" s="2">
        <f t="shared" si="3"/>
        <v>0</v>
      </c>
      <c r="X415" s="2">
        <f t="shared" si="4"/>
        <v>0</v>
      </c>
      <c r="Y415" s="2">
        <f t="shared" si="5"/>
        <v>0</v>
      </c>
      <c r="Z415" s="2">
        <f t="shared" si="6"/>
        <v>0</v>
      </c>
      <c r="AA415" s="2">
        <f t="shared" si="7"/>
        <v>1</v>
      </c>
      <c r="AB415" s="2">
        <f>IF(OR($M415="",$N415=""),0,MEDIAN(-MarginCap,MarginCap,($M415-$N415)-$AA415*HFA_Base))</f>
        <v>0</v>
      </c>
      <c r="AC415" s="2">
        <f t="array" ref="AC415">IF(OR($P415="",INDEX($P$3:$P$722,(ROW()+IF(MOD(ROW()-3,2)=0,1,-1))-3+1)=""),0,MEDIAN(-MarginCap,MarginCap,($T415-$W415)-$AA415*HFA_Base))</f>
        <v>0</v>
      </c>
      <c r="AD415" s="2">
        <f t="shared" si="8"/>
        <v>0</v>
      </c>
      <c r="AE415" s="2">
        <f>IF(OR($M415="",$N415=""),0,IF(AND(WEpa&gt;0,$AD415=1),(1-WEpa)*$AB415+WEpa*$AC415,$AB415))</f>
        <v>0</v>
      </c>
      <c r="AF415" s="2">
        <f>IF(AND($C415&lt;&gt;"",$E415=CurrentSeason,$F415="REG",ISNUMBER($G415),$G415&lt;CurrentWeek,AND($M415&lt;&gt;"",$N415&lt;&gt;"")),1,0)</f>
        <v>0</v>
      </c>
      <c r="AG415" s="2">
        <f>IF($AF415=0,0,IF($G415&gt;=CurrentWeek-RecencyWin,RecencyMult,1))</f>
        <v>0</v>
      </c>
      <c r="AH415" s="2">
        <f>IF(AND($C415&lt;&gt;"",$E415=CurrentSeason,$F415="REG",ISNUMBER($G415),$G415&lt;CurrentWeek-1,AND($M415&lt;&gt;"",$N415&lt;&gt;"")),1,0)</f>
        <v>0</v>
      </c>
      <c r="AI415" s="2">
        <f>IF($AH415=0,0,IF($G415&gt;=CurrentWeek-1-RecencyWin,RecencyMult,1))</f>
        <v>0</v>
      </c>
      <c r="AJ415" s="2">
        <f>IF($AF415=0,0,IF($G415&gt;=CurrentWeek-RecencyWin,TotRecency,1))</f>
        <v>0</v>
      </c>
      <c r="AK415" s="2">
        <f t="shared" si="9"/>
        <v>0</v>
      </c>
      <c r="AL415" s="2">
        <f t="shared" si="10"/>
        <v>0</v>
      </c>
      <c r="AM415" s="2" t="str">
        <f t="array" ref="AM415">IF($K415="",0,IFERROR(INDEX(CALC!$F$2:$F$33,MATCH($K415,CALC!$A$2:$A$33,0)),0))</f>
        <v/>
      </c>
      <c r="AN415" s="2" t="str">
        <f t="array" ref="AN415">IF($K415="",0,IFERROR(INDEX(CALC!$I$2:$I$33,MATCH($K415,CALC!$A$2:$A$33,0)),0))</f>
        <v/>
      </c>
      <c r="AO415" s="2" t="str">
        <f t="array" ref="AO415">IF($K415="",0,IFERROR(INDEX(CALC!$L$2:$L$33,MATCH($K415,CALC!$A$2:$A$33,0)),0))</f>
        <v/>
      </c>
      <c r="AP415" s="2" t="str">
        <f t="array" ref="AP415">IF($K415="",0,IFERROR(INDEX(CALC!$T$2:$T$33,MATCH($K415,CALC!$A$2:$A$33,0)),0))</f>
        <v/>
      </c>
      <c r="AQ415" s="2" t="str">
        <f t="array" ref="AQ415">IF($K415="",0,IFERROR(INDEX(CALC!$W$2:$W$33,MATCH($K415,CALC!$A$2:$A$33,0)),0))</f>
        <v/>
      </c>
      <c r="AR415" s="2" t="str">
        <f t="array" ref="AR415">IF($K415="",0,IFERROR(INDEX(CALC!$Z$2:$Z$33,MATCH($K415,CALC!$A$2:$A$33,0)),0))</f>
        <v/>
      </c>
      <c r="AS415" s="2" t="str">
        <f t="array" ref="AS415">IF($K415="",0,IFERROR(INDEX(CALC!$AJ$2:$AJ$33,MATCH($K415,CALC!$A$2:$A$33,0)),0))</f>
        <v/>
      </c>
      <c r="AT415" s="2" t="str">
        <f t="array" ref="AT415">IF($K415="",0,IFERROR(INDEX(CALC!$AI$2:$AI$33,MATCH($K415,CALC!$A$2:$A$33,0)),0))</f>
        <v/>
      </c>
      <c r="AU415" s="2">
        <f t="shared" si="11"/>
        <v>0</v>
      </c>
      <c r="AV415" s="2">
        <f t="shared" si="12"/>
        <v>0</v>
      </c>
    </row>
    <row r="416" ht="15.0" customHeight="1">
      <c r="A416" s="2">
        <v>207.0</v>
      </c>
      <c r="B416" s="2" t="s">
        <v>2366</v>
      </c>
      <c r="C416" s="2">
        <f>IFERROR(MATCH($A416,SchedSeq,0),"")</f>
        <v>492</v>
      </c>
      <c r="D416" s="2" t="str">
        <f t="array" ref="D416">IF($C416="","",INDEX(SchedZone,$C416,MAP!$B$6))</f>
        <v>2026_14_BUF_GB</v>
      </c>
      <c r="E416" s="2">
        <f t="array" ref="E416">IF($C416="","",INDEX(SchedZone,$C416,MAP!$B$3))</f>
        <v>2026</v>
      </c>
      <c r="F416" s="2" t="str">
        <f t="array" ref="F416">IF($C416="","",INDEX(SchedZone,$C416,MAP!$B$5))</f>
        <v>REG</v>
      </c>
      <c r="G416" s="2">
        <f t="array" ref="G416">IF($C416="","",INDEX(SchedZone,$C416,MAP!$B$4))</f>
        <v>14</v>
      </c>
      <c r="H416" s="2" t="str">
        <f t="array" ref="H416">IF($C416="","",INDEX(SchedZone,$C416,MAP!$B$10))</f>
        <v>BUF</v>
      </c>
      <c r="I416" s="2" t="str">
        <f t="array" ref="I416">IF($H416="","",IF(COUNTIF(Teams,$H416)&gt;0,$H416,IFERROR(INDEX(LISTS!$D$2:$D$12,MATCH($H416,LISTS!$C$2:$C$12,0)),"⚠ "&amp;$H416)))</f>
        <v>BUF</v>
      </c>
      <c r="J416" s="2" t="str">
        <f t="array" ref="J416">IF($C416="","",INDEX(SchedZone,$C416,MAP!$B$12))</f>
        <v>GB</v>
      </c>
      <c r="K416" s="2" t="str">
        <f t="array" ref="K416">IF($J416="","",IF(COUNTIF(Teams,$J416)&gt;0,$J416,IFERROR(INDEX(LISTS!$D$2:$D$12,MATCH($J416,LISTS!$C$2:$C$12,0)),"⚠ "&amp;$J416)))</f>
        <v>GB</v>
      </c>
      <c r="L416" s="2" t="str">
        <f t="array" ref="L416">IF($C416="","",IF(INDEX(SchedZone,$C416,MAP!$B$14)="Neutral","N",IF($B416="HOME","H","A")))</f>
        <v>A</v>
      </c>
      <c r="M416" s="2" t="str">
        <f t="array" ref="M416">IF($C416="","",IF(INDEX(SchedZone,$C416,MAP!$B$11)="","",INDEX(SchedZone,$C416,MAP!$B$11)))</f>
        <v/>
      </c>
      <c r="N416" s="2" t="str">
        <f t="array" ref="N416">IF($C416="","",IF(INDEX(SchedZone,$C416,MAP!$B$13)="","",INDEX(SchedZone,$C416,MAP!$B$13)))</f>
        <v/>
      </c>
      <c r="O416" s="2">
        <f t="array" ref="O416">IF($C416="","",INDEX(SchedZone,$C416,MAP!$B$15))</f>
        <v>7</v>
      </c>
      <c r="P416" s="2" t="str">
        <f>IF($C416="","",IFERROR(MATCH($E416&amp;"|"&amp;$G416&amp;"|"&amp;$I416,StatsKey,0),""))</f>
        <v/>
      </c>
      <c r="Q416" s="2">
        <f t="array" ref="Q416">IF($P416="",0,INDEX(StatsZone,$P416,MAP!$E$9)+INDEX(StatsZone,$P416,MAP!$E$10)+INDEX(StatsZone,$P416,MAP!$E$11))</f>
        <v>0</v>
      </c>
      <c r="R416" s="2">
        <f t="array" ref="R416">IF($P416="",0,INDEX(StatsZone,$P416,MAP!$E$12))</f>
        <v>0</v>
      </c>
      <c r="S416" s="2">
        <f t="array" ref="S416">IF($P416="",0,INDEX(StatsZone,$P416,MAP!$E$13))</f>
        <v>0</v>
      </c>
      <c r="T416" s="2">
        <f t="shared" si="1"/>
        <v>0</v>
      </c>
      <c r="U416" s="2">
        <f t="array" ref="U416">IF($P416="",0,INDEX(StatsZone,$P416,MAP!$E$14)+INDEX(StatsZone,$P416,MAP!$E$15)+INDEX(StatsZone,$P416,MAP!$E$16))</f>
        <v>0</v>
      </c>
      <c r="V416" s="2">
        <f t="shared" si="2"/>
        <v>0</v>
      </c>
      <c r="W416" s="2">
        <f t="shared" si="3"/>
        <v>0</v>
      </c>
      <c r="X416" s="2">
        <f t="shared" si="4"/>
        <v>0</v>
      </c>
      <c r="Y416" s="2">
        <f t="shared" si="5"/>
        <v>0</v>
      </c>
      <c r="Z416" s="2">
        <f t="shared" si="6"/>
        <v>0</v>
      </c>
      <c r="AA416" s="2">
        <f t="shared" si="7"/>
        <v>-1</v>
      </c>
      <c r="AB416" s="2">
        <f>IF(OR($M416="",$N416=""),0,MEDIAN(-MarginCap,MarginCap,($M416-$N416)-$AA416*HFA_Base))</f>
        <v>0</v>
      </c>
      <c r="AC416" s="2">
        <f t="array" ref="AC416">IF(OR($P416="",INDEX($P$3:$P$722,(ROW()+IF(MOD(ROW()-3,2)=0,1,-1))-3+1)=""),0,MEDIAN(-MarginCap,MarginCap,($T416-$W416)-$AA416*HFA_Base))</f>
        <v>0</v>
      </c>
      <c r="AD416" s="2">
        <f t="shared" si="8"/>
        <v>0</v>
      </c>
      <c r="AE416" s="2">
        <f>IF(OR($M416="",$N416=""),0,IF(AND(WEpa&gt;0,$AD416=1),(1-WEpa)*$AB416+WEpa*$AC416,$AB416))</f>
        <v>0</v>
      </c>
      <c r="AF416" s="2">
        <f>IF(AND($C416&lt;&gt;"",$E416=CurrentSeason,$F416="REG",ISNUMBER($G416),$G416&lt;CurrentWeek,AND($M416&lt;&gt;"",$N416&lt;&gt;"")),1,0)</f>
        <v>0</v>
      </c>
      <c r="AG416" s="2">
        <f>IF($AF416=0,0,IF($G416&gt;=CurrentWeek-RecencyWin,RecencyMult,1))</f>
        <v>0</v>
      </c>
      <c r="AH416" s="2">
        <f>IF(AND($C416&lt;&gt;"",$E416=CurrentSeason,$F416="REG",ISNUMBER($G416),$G416&lt;CurrentWeek-1,AND($M416&lt;&gt;"",$N416&lt;&gt;"")),1,0)</f>
        <v>0</v>
      </c>
      <c r="AI416" s="2">
        <f>IF($AH416=0,0,IF($G416&gt;=CurrentWeek-1-RecencyWin,RecencyMult,1))</f>
        <v>0</v>
      </c>
      <c r="AJ416" s="2">
        <f>IF($AF416=0,0,IF($G416&gt;=CurrentWeek-RecencyWin,TotRecency,1))</f>
        <v>0</v>
      </c>
      <c r="AK416" s="2">
        <f t="shared" si="9"/>
        <v>0</v>
      </c>
      <c r="AL416" s="2">
        <f t="shared" si="10"/>
        <v>0</v>
      </c>
      <c r="AM416" s="2" t="str">
        <f t="array" ref="AM416">IF($K416="",0,IFERROR(INDEX(CALC!$F$2:$F$33,MATCH($K416,CALC!$A$2:$A$33,0)),0))</f>
        <v/>
      </c>
      <c r="AN416" s="2" t="str">
        <f t="array" ref="AN416">IF($K416="",0,IFERROR(INDEX(CALC!$I$2:$I$33,MATCH($K416,CALC!$A$2:$A$33,0)),0))</f>
        <v/>
      </c>
      <c r="AO416" s="2" t="str">
        <f t="array" ref="AO416">IF($K416="",0,IFERROR(INDEX(CALC!$L$2:$L$33,MATCH($K416,CALC!$A$2:$A$33,0)),0))</f>
        <v/>
      </c>
      <c r="AP416" s="2" t="str">
        <f t="array" ref="AP416">IF($K416="",0,IFERROR(INDEX(CALC!$T$2:$T$33,MATCH($K416,CALC!$A$2:$A$33,0)),0))</f>
        <v/>
      </c>
      <c r="AQ416" s="2" t="str">
        <f t="array" ref="AQ416">IF($K416="",0,IFERROR(INDEX(CALC!$W$2:$W$33,MATCH($K416,CALC!$A$2:$A$33,0)),0))</f>
        <v/>
      </c>
      <c r="AR416" s="2" t="str">
        <f t="array" ref="AR416">IF($K416="",0,IFERROR(INDEX(CALC!$Z$2:$Z$33,MATCH($K416,CALC!$A$2:$A$33,0)),0))</f>
        <v/>
      </c>
      <c r="AS416" s="2" t="str">
        <f t="array" ref="AS416">IF($K416="",0,IFERROR(INDEX(CALC!$AJ$2:$AJ$33,MATCH($K416,CALC!$A$2:$A$33,0)),0))</f>
        <v/>
      </c>
      <c r="AT416" s="2" t="str">
        <f t="array" ref="AT416">IF($K416="",0,IFERROR(INDEX(CALC!$AI$2:$AI$33,MATCH($K416,CALC!$A$2:$A$33,0)),0))</f>
        <v/>
      </c>
      <c r="AU416" s="2">
        <f t="shared" si="11"/>
        <v>0</v>
      </c>
      <c r="AV416" s="2">
        <f t="shared" si="12"/>
        <v>0</v>
      </c>
    </row>
    <row r="417" ht="15.0" customHeight="1">
      <c r="A417" s="2">
        <v>208.0</v>
      </c>
      <c r="B417" s="2" t="s">
        <v>2365</v>
      </c>
      <c r="C417" s="2">
        <f>IFERROR(MATCH($A417,SchedSeq,0),"")</f>
        <v>493</v>
      </c>
      <c r="D417" s="2" t="str">
        <f t="array" ref="D417">IF($C417="","",INDEX(SchedZone,$C417,MAP!$B$6))</f>
        <v>2026_14_PIT_JAX</v>
      </c>
      <c r="E417" s="2">
        <f t="array" ref="E417">IF($C417="","",INDEX(SchedZone,$C417,MAP!$B$3))</f>
        <v>2026</v>
      </c>
      <c r="F417" s="2" t="str">
        <f t="array" ref="F417">IF($C417="","",INDEX(SchedZone,$C417,MAP!$B$5))</f>
        <v>REG</v>
      </c>
      <c r="G417" s="2">
        <f t="array" ref="G417">IF($C417="","",INDEX(SchedZone,$C417,MAP!$B$4))</f>
        <v>14</v>
      </c>
      <c r="H417" s="2" t="str">
        <f t="array" ref="H417">IF($C417="","",INDEX(SchedZone,$C417,MAP!$B$12))</f>
        <v>JAX</v>
      </c>
      <c r="I417" s="2" t="str">
        <f t="array" ref="I417">IF($H417="","",IF(COUNTIF(Teams,$H417)&gt;0,$H417,IFERROR(INDEX(LISTS!$D$2:$D$12,MATCH($H417,LISTS!$C$2:$C$12,0)),"⚠ "&amp;$H417)))</f>
        <v>JAX</v>
      </c>
      <c r="J417" s="2" t="str">
        <f t="array" ref="J417">IF($C417="","",INDEX(SchedZone,$C417,MAP!$B$10))</f>
        <v>PIT</v>
      </c>
      <c r="K417" s="2" t="str">
        <f t="array" ref="K417">IF($J417="","",IF(COUNTIF(Teams,$J417)&gt;0,$J417,IFERROR(INDEX(LISTS!$D$2:$D$12,MATCH($J417,LISTS!$C$2:$C$12,0)),"⚠ "&amp;$J417)))</f>
        <v>PIT</v>
      </c>
      <c r="L417" s="2" t="str">
        <f t="array" ref="L417">IF($C417="","",IF(INDEX(SchedZone,$C417,MAP!$B$14)="Neutral","N",IF($B417="HOME","H","A")))</f>
        <v>H</v>
      </c>
      <c r="M417" s="2" t="str">
        <f t="array" ref="M417">IF($C417="","",IF(INDEX(SchedZone,$C417,MAP!$B$13)="","",INDEX(SchedZone,$C417,MAP!$B$13)))</f>
        <v/>
      </c>
      <c r="N417" s="2" t="str">
        <f t="array" ref="N417">IF($C417="","",IF(INDEX(SchedZone,$C417,MAP!$B$11)="","",INDEX(SchedZone,$C417,MAP!$B$11)))</f>
        <v/>
      </c>
      <c r="O417" s="2">
        <f t="array" ref="O417">IF($C417="","",INDEX(SchedZone,$C417,MAP!$B$16))</f>
        <v>8</v>
      </c>
      <c r="P417" s="2" t="str">
        <f>IF($C417="","",IFERROR(MATCH($E417&amp;"|"&amp;$G417&amp;"|"&amp;$I417,StatsKey,0),""))</f>
        <v/>
      </c>
      <c r="Q417" s="2">
        <f t="array" ref="Q417">IF($P417="",0,INDEX(StatsZone,$P417,MAP!$E$9)+INDEX(StatsZone,$P417,MAP!$E$10)+INDEX(StatsZone,$P417,MAP!$E$11))</f>
        <v>0</v>
      </c>
      <c r="R417" s="2">
        <f t="array" ref="R417">IF($P417="",0,INDEX(StatsZone,$P417,MAP!$E$12))</f>
        <v>0</v>
      </c>
      <c r="S417" s="2">
        <f t="array" ref="S417">IF($P417="",0,INDEX(StatsZone,$P417,MAP!$E$13))</f>
        <v>0</v>
      </c>
      <c r="T417" s="2">
        <f t="shared" si="1"/>
        <v>0</v>
      </c>
      <c r="U417" s="2">
        <f t="array" ref="U417">IF($P417="",0,INDEX(StatsZone,$P417,MAP!$E$14)+INDEX(StatsZone,$P417,MAP!$E$15)+INDEX(StatsZone,$P417,MAP!$E$16))</f>
        <v>0</v>
      </c>
      <c r="V417" s="2">
        <f t="shared" si="2"/>
        <v>0</v>
      </c>
      <c r="W417" s="2">
        <f t="shared" si="3"/>
        <v>0</v>
      </c>
      <c r="X417" s="2">
        <f t="shared" si="4"/>
        <v>0</v>
      </c>
      <c r="Y417" s="2">
        <f t="shared" si="5"/>
        <v>0</v>
      </c>
      <c r="Z417" s="2">
        <f t="shared" si="6"/>
        <v>0</v>
      </c>
      <c r="AA417" s="2">
        <f t="shared" si="7"/>
        <v>1</v>
      </c>
      <c r="AB417" s="2">
        <f>IF(OR($M417="",$N417=""),0,MEDIAN(-MarginCap,MarginCap,($M417-$N417)-$AA417*HFA_Base))</f>
        <v>0</v>
      </c>
      <c r="AC417" s="2">
        <f t="array" ref="AC417">IF(OR($P417="",INDEX($P$3:$P$722,(ROW()+IF(MOD(ROW()-3,2)=0,1,-1))-3+1)=""),0,MEDIAN(-MarginCap,MarginCap,($T417-$W417)-$AA417*HFA_Base))</f>
        <v>0</v>
      </c>
      <c r="AD417" s="2">
        <f t="shared" si="8"/>
        <v>0</v>
      </c>
      <c r="AE417" s="2">
        <f>IF(OR($M417="",$N417=""),0,IF(AND(WEpa&gt;0,$AD417=1),(1-WEpa)*$AB417+WEpa*$AC417,$AB417))</f>
        <v>0</v>
      </c>
      <c r="AF417" s="2">
        <f>IF(AND($C417&lt;&gt;"",$E417=CurrentSeason,$F417="REG",ISNUMBER($G417),$G417&lt;CurrentWeek,AND($M417&lt;&gt;"",$N417&lt;&gt;"")),1,0)</f>
        <v>0</v>
      </c>
      <c r="AG417" s="2">
        <f>IF($AF417=0,0,IF($G417&gt;=CurrentWeek-RecencyWin,RecencyMult,1))</f>
        <v>0</v>
      </c>
      <c r="AH417" s="2">
        <f>IF(AND($C417&lt;&gt;"",$E417=CurrentSeason,$F417="REG",ISNUMBER($G417),$G417&lt;CurrentWeek-1,AND($M417&lt;&gt;"",$N417&lt;&gt;"")),1,0)</f>
        <v>0</v>
      </c>
      <c r="AI417" s="2">
        <f>IF($AH417=0,0,IF($G417&gt;=CurrentWeek-1-RecencyWin,RecencyMult,1))</f>
        <v>0</v>
      </c>
      <c r="AJ417" s="2">
        <f>IF($AF417=0,0,IF($G417&gt;=CurrentWeek-RecencyWin,TotRecency,1))</f>
        <v>0</v>
      </c>
      <c r="AK417" s="2">
        <f t="shared" si="9"/>
        <v>0</v>
      </c>
      <c r="AL417" s="2">
        <f t="shared" si="10"/>
        <v>0</v>
      </c>
      <c r="AM417" s="2" t="str">
        <f t="array" ref="AM417">IF($K417="",0,IFERROR(INDEX(CALC!$F$2:$F$33,MATCH($K417,CALC!$A$2:$A$33,0)),0))</f>
        <v/>
      </c>
      <c r="AN417" s="2" t="str">
        <f t="array" ref="AN417">IF($K417="",0,IFERROR(INDEX(CALC!$I$2:$I$33,MATCH($K417,CALC!$A$2:$A$33,0)),0))</f>
        <v/>
      </c>
      <c r="AO417" s="2" t="str">
        <f t="array" ref="AO417">IF($K417="",0,IFERROR(INDEX(CALC!$L$2:$L$33,MATCH($K417,CALC!$A$2:$A$33,0)),0))</f>
        <v/>
      </c>
      <c r="AP417" s="2" t="str">
        <f t="array" ref="AP417">IF($K417="",0,IFERROR(INDEX(CALC!$T$2:$T$33,MATCH($K417,CALC!$A$2:$A$33,0)),0))</f>
        <v/>
      </c>
      <c r="AQ417" s="2" t="str">
        <f t="array" ref="AQ417">IF($K417="",0,IFERROR(INDEX(CALC!$W$2:$W$33,MATCH($K417,CALC!$A$2:$A$33,0)),0))</f>
        <v/>
      </c>
      <c r="AR417" s="2" t="str">
        <f t="array" ref="AR417">IF($K417="",0,IFERROR(INDEX(CALC!$Z$2:$Z$33,MATCH($K417,CALC!$A$2:$A$33,0)),0))</f>
        <v/>
      </c>
      <c r="AS417" s="2" t="str">
        <f t="array" ref="AS417">IF($K417="",0,IFERROR(INDEX(CALC!$AJ$2:$AJ$33,MATCH($K417,CALC!$A$2:$A$33,0)),0))</f>
        <v/>
      </c>
      <c r="AT417" s="2" t="str">
        <f t="array" ref="AT417">IF($K417="",0,IFERROR(INDEX(CALC!$AI$2:$AI$33,MATCH($K417,CALC!$A$2:$A$33,0)),0))</f>
        <v/>
      </c>
      <c r="AU417" s="2">
        <f t="shared" si="11"/>
        <v>0</v>
      </c>
      <c r="AV417" s="2">
        <f t="shared" si="12"/>
        <v>0</v>
      </c>
    </row>
    <row r="418" ht="15.0" customHeight="1">
      <c r="A418" s="2">
        <v>208.0</v>
      </c>
      <c r="B418" s="2" t="s">
        <v>2366</v>
      </c>
      <c r="C418" s="2">
        <f>IFERROR(MATCH($A418,SchedSeq,0),"")</f>
        <v>493</v>
      </c>
      <c r="D418" s="2" t="str">
        <f t="array" ref="D418">IF($C418="","",INDEX(SchedZone,$C418,MAP!$B$6))</f>
        <v>2026_14_PIT_JAX</v>
      </c>
      <c r="E418" s="2">
        <f t="array" ref="E418">IF($C418="","",INDEX(SchedZone,$C418,MAP!$B$3))</f>
        <v>2026</v>
      </c>
      <c r="F418" s="2" t="str">
        <f t="array" ref="F418">IF($C418="","",INDEX(SchedZone,$C418,MAP!$B$5))</f>
        <v>REG</v>
      </c>
      <c r="G418" s="2">
        <f t="array" ref="G418">IF($C418="","",INDEX(SchedZone,$C418,MAP!$B$4))</f>
        <v>14</v>
      </c>
      <c r="H418" s="2" t="str">
        <f t="array" ref="H418">IF($C418="","",INDEX(SchedZone,$C418,MAP!$B$10))</f>
        <v>PIT</v>
      </c>
      <c r="I418" s="2" t="str">
        <f t="array" ref="I418">IF($H418="","",IF(COUNTIF(Teams,$H418)&gt;0,$H418,IFERROR(INDEX(LISTS!$D$2:$D$12,MATCH($H418,LISTS!$C$2:$C$12,0)),"⚠ "&amp;$H418)))</f>
        <v>PIT</v>
      </c>
      <c r="J418" s="2" t="str">
        <f t="array" ref="J418">IF($C418="","",INDEX(SchedZone,$C418,MAP!$B$12))</f>
        <v>JAX</v>
      </c>
      <c r="K418" s="2" t="str">
        <f t="array" ref="K418">IF($J418="","",IF(COUNTIF(Teams,$J418)&gt;0,$J418,IFERROR(INDEX(LISTS!$D$2:$D$12,MATCH($J418,LISTS!$C$2:$C$12,0)),"⚠ "&amp;$J418)))</f>
        <v>JAX</v>
      </c>
      <c r="L418" s="2" t="str">
        <f t="array" ref="L418">IF($C418="","",IF(INDEX(SchedZone,$C418,MAP!$B$14)="Neutral","N",IF($B418="HOME","H","A")))</f>
        <v>A</v>
      </c>
      <c r="M418" s="2" t="str">
        <f t="array" ref="M418">IF($C418="","",IF(INDEX(SchedZone,$C418,MAP!$B$11)="","",INDEX(SchedZone,$C418,MAP!$B$11)))</f>
        <v/>
      </c>
      <c r="N418" s="2" t="str">
        <f t="array" ref="N418">IF($C418="","",IF(INDEX(SchedZone,$C418,MAP!$B$13)="","",INDEX(SchedZone,$C418,MAP!$B$13)))</f>
        <v/>
      </c>
      <c r="O418" s="2">
        <f t="array" ref="O418">IF($C418="","",INDEX(SchedZone,$C418,MAP!$B$15))</f>
        <v>8</v>
      </c>
      <c r="P418" s="2" t="str">
        <f>IF($C418="","",IFERROR(MATCH($E418&amp;"|"&amp;$G418&amp;"|"&amp;$I418,StatsKey,0),""))</f>
        <v/>
      </c>
      <c r="Q418" s="2">
        <f t="array" ref="Q418">IF($P418="",0,INDEX(StatsZone,$P418,MAP!$E$9)+INDEX(StatsZone,$P418,MAP!$E$10)+INDEX(StatsZone,$P418,MAP!$E$11))</f>
        <v>0</v>
      </c>
      <c r="R418" s="2">
        <f t="array" ref="R418">IF($P418="",0,INDEX(StatsZone,$P418,MAP!$E$12))</f>
        <v>0</v>
      </c>
      <c r="S418" s="2">
        <f t="array" ref="S418">IF($P418="",0,INDEX(StatsZone,$P418,MAP!$E$13))</f>
        <v>0</v>
      </c>
      <c r="T418" s="2">
        <f t="shared" si="1"/>
        <v>0</v>
      </c>
      <c r="U418" s="2">
        <f t="array" ref="U418">IF($P418="",0,INDEX(StatsZone,$P418,MAP!$E$14)+INDEX(StatsZone,$P418,MAP!$E$15)+INDEX(StatsZone,$P418,MAP!$E$16))</f>
        <v>0</v>
      </c>
      <c r="V418" s="2">
        <f t="shared" si="2"/>
        <v>0</v>
      </c>
      <c r="W418" s="2">
        <f t="shared" si="3"/>
        <v>0</v>
      </c>
      <c r="X418" s="2">
        <f t="shared" si="4"/>
        <v>0</v>
      </c>
      <c r="Y418" s="2">
        <f t="shared" si="5"/>
        <v>0</v>
      </c>
      <c r="Z418" s="2">
        <f t="shared" si="6"/>
        <v>0</v>
      </c>
      <c r="AA418" s="2">
        <f t="shared" si="7"/>
        <v>-1</v>
      </c>
      <c r="AB418" s="2">
        <f>IF(OR($M418="",$N418=""),0,MEDIAN(-MarginCap,MarginCap,($M418-$N418)-$AA418*HFA_Base))</f>
        <v>0</v>
      </c>
      <c r="AC418" s="2">
        <f t="array" ref="AC418">IF(OR($P418="",INDEX($P$3:$P$722,(ROW()+IF(MOD(ROW()-3,2)=0,1,-1))-3+1)=""),0,MEDIAN(-MarginCap,MarginCap,($T418-$W418)-$AA418*HFA_Base))</f>
        <v>0</v>
      </c>
      <c r="AD418" s="2">
        <f t="shared" si="8"/>
        <v>0</v>
      </c>
      <c r="AE418" s="2">
        <f>IF(OR($M418="",$N418=""),0,IF(AND(WEpa&gt;0,$AD418=1),(1-WEpa)*$AB418+WEpa*$AC418,$AB418))</f>
        <v>0</v>
      </c>
      <c r="AF418" s="2">
        <f>IF(AND($C418&lt;&gt;"",$E418=CurrentSeason,$F418="REG",ISNUMBER($G418),$G418&lt;CurrentWeek,AND($M418&lt;&gt;"",$N418&lt;&gt;"")),1,0)</f>
        <v>0</v>
      </c>
      <c r="AG418" s="2">
        <f>IF($AF418=0,0,IF($G418&gt;=CurrentWeek-RecencyWin,RecencyMult,1))</f>
        <v>0</v>
      </c>
      <c r="AH418" s="2">
        <f>IF(AND($C418&lt;&gt;"",$E418=CurrentSeason,$F418="REG",ISNUMBER($G418),$G418&lt;CurrentWeek-1,AND($M418&lt;&gt;"",$N418&lt;&gt;"")),1,0)</f>
        <v>0</v>
      </c>
      <c r="AI418" s="2">
        <f>IF($AH418=0,0,IF($G418&gt;=CurrentWeek-1-RecencyWin,RecencyMult,1))</f>
        <v>0</v>
      </c>
      <c r="AJ418" s="2">
        <f>IF($AF418=0,0,IF($G418&gt;=CurrentWeek-RecencyWin,TotRecency,1))</f>
        <v>0</v>
      </c>
      <c r="AK418" s="2">
        <f t="shared" si="9"/>
        <v>0</v>
      </c>
      <c r="AL418" s="2">
        <f t="shared" si="10"/>
        <v>0</v>
      </c>
      <c r="AM418" s="2" t="str">
        <f t="array" ref="AM418">IF($K418="",0,IFERROR(INDEX(CALC!$F$2:$F$33,MATCH($K418,CALC!$A$2:$A$33,0)),0))</f>
        <v/>
      </c>
      <c r="AN418" s="2" t="str">
        <f t="array" ref="AN418">IF($K418="",0,IFERROR(INDEX(CALC!$I$2:$I$33,MATCH($K418,CALC!$A$2:$A$33,0)),0))</f>
        <v/>
      </c>
      <c r="AO418" s="2" t="str">
        <f t="array" ref="AO418">IF($K418="",0,IFERROR(INDEX(CALC!$L$2:$L$33,MATCH($K418,CALC!$A$2:$A$33,0)),0))</f>
        <v/>
      </c>
      <c r="AP418" s="2" t="str">
        <f t="array" ref="AP418">IF($K418="",0,IFERROR(INDEX(CALC!$T$2:$T$33,MATCH($K418,CALC!$A$2:$A$33,0)),0))</f>
        <v/>
      </c>
      <c r="AQ418" s="2" t="str">
        <f t="array" ref="AQ418">IF($K418="",0,IFERROR(INDEX(CALC!$W$2:$W$33,MATCH($K418,CALC!$A$2:$A$33,0)),0))</f>
        <v/>
      </c>
      <c r="AR418" s="2" t="str">
        <f t="array" ref="AR418">IF($K418="",0,IFERROR(INDEX(CALC!$Z$2:$Z$33,MATCH($K418,CALC!$A$2:$A$33,0)),0))</f>
        <v/>
      </c>
      <c r="AS418" s="2" t="str">
        <f t="array" ref="AS418">IF($K418="",0,IFERROR(INDEX(CALC!$AJ$2:$AJ$33,MATCH($K418,CALC!$A$2:$A$33,0)),0))</f>
        <v/>
      </c>
      <c r="AT418" s="2" t="str">
        <f t="array" ref="AT418">IF($K418="",0,IFERROR(INDEX(CALC!$AI$2:$AI$33,MATCH($K418,CALC!$A$2:$A$33,0)),0))</f>
        <v/>
      </c>
      <c r="AU418" s="2">
        <f t="shared" si="11"/>
        <v>0</v>
      </c>
      <c r="AV418" s="2">
        <f t="shared" si="12"/>
        <v>0</v>
      </c>
    </row>
    <row r="419" ht="15.0" customHeight="1">
      <c r="A419" s="2">
        <v>209.0</v>
      </c>
      <c r="B419" s="2" t="s">
        <v>2365</v>
      </c>
      <c r="C419" s="2">
        <f>IFERROR(MATCH($A419,SchedSeq,0),"")</f>
        <v>494</v>
      </c>
      <c r="D419" s="2" t="str">
        <f t="array" ref="D419">IF($C419="","",INDEX(SchedZone,$C419,MAP!$B$6))</f>
        <v>2026_15_SF_LAC</v>
      </c>
      <c r="E419" s="2">
        <f t="array" ref="E419">IF($C419="","",INDEX(SchedZone,$C419,MAP!$B$3))</f>
        <v>2026</v>
      </c>
      <c r="F419" s="2" t="str">
        <f t="array" ref="F419">IF($C419="","",INDEX(SchedZone,$C419,MAP!$B$5))</f>
        <v>REG</v>
      </c>
      <c r="G419" s="2">
        <f t="array" ref="G419">IF($C419="","",INDEX(SchedZone,$C419,MAP!$B$4))</f>
        <v>15</v>
      </c>
      <c r="H419" s="2" t="str">
        <f t="array" ref="H419">IF($C419="","",INDEX(SchedZone,$C419,MAP!$B$12))</f>
        <v>LAC</v>
      </c>
      <c r="I419" s="2" t="str">
        <f t="array" ref="I419">IF($H419="","",IF(COUNTIF(Teams,$H419)&gt;0,$H419,IFERROR(INDEX(LISTS!$D$2:$D$12,MATCH($H419,LISTS!$C$2:$C$12,0)),"⚠ "&amp;$H419)))</f>
        <v>LAC</v>
      </c>
      <c r="J419" s="2" t="str">
        <f t="array" ref="J419">IF($C419="","",INDEX(SchedZone,$C419,MAP!$B$10))</f>
        <v>SF</v>
      </c>
      <c r="K419" s="2" t="str">
        <f t="array" ref="K419">IF($J419="","",IF(COUNTIF(Teams,$J419)&gt;0,$J419,IFERROR(INDEX(LISTS!$D$2:$D$12,MATCH($J419,LISTS!$C$2:$C$12,0)),"⚠ "&amp;$J419)))</f>
        <v>SF</v>
      </c>
      <c r="L419" s="2" t="str">
        <f t="array" ref="L419">IF($C419="","",IF(INDEX(SchedZone,$C419,MAP!$B$14)="Neutral","N",IF($B419="HOME","H","A")))</f>
        <v>H</v>
      </c>
      <c r="M419" s="2" t="str">
        <f t="array" ref="M419">IF($C419="","",IF(INDEX(SchedZone,$C419,MAP!$B$13)="","",INDEX(SchedZone,$C419,MAP!$B$13)))</f>
        <v/>
      </c>
      <c r="N419" s="2" t="str">
        <f t="array" ref="N419">IF($C419="","",IF(INDEX(SchedZone,$C419,MAP!$B$11)="","",INDEX(SchedZone,$C419,MAP!$B$11)))</f>
        <v/>
      </c>
      <c r="O419" s="2">
        <f t="array" ref="O419">IF($C419="","",INDEX(SchedZone,$C419,MAP!$B$16))</f>
        <v>4</v>
      </c>
      <c r="P419" s="2" t="str">
        <f>IF($C419="","",IFERROR(MATCH($E419&amp;"|"&amp;$G419&amp;"|"&amp;$I419,StatsKey,0),""))</f>
        <v/>
      </c>
      <c r="Q419" s="2">
        <f t="array" ref="Q419">IF($P419="",0,INDEX(StatsZone,$P419,MAP!$E$9)+INDEX(StatsZone,$P419,MAP!$E$10)+INDEX(StatsZone,$P419,MAP!$E$11))</f>
        <v>0</v>
      </c>
      <c r="R419" s="2">
        <f t="array" ref="R419">IF($P419="",0,INDEX(StatsZone,$P419,MAP!$E$12))</f>
        <v>0</v>
      </c>
      <c r="S419" s="2">
        <f t="array" ref="S419">IF($P419="",0,INDEX(StatsZone,$P419,MAP!$E$13))</f>
        <v>0</v>
      </c>
      <c r="T419" s="2">
        <f t="shared" si="1"/>
        <v>0</v>
      </c>
      <c r="U419" s="2">
        <f t="array" ref="U419">IF($P419="",0,INDEX(StatsZone,$P419,MAP!$E$14)+INDEX(StatsZone,$P419,MAP!$E$15)+INDEX(StatsZone,$P419,MAP!$E$16))</f>
        <v>0</v>
      </c>
      <c r="V419" s="2">
        <f t="shared" si="2"/>
        <v>0</v>
      </c>
      <c r="W419" s="2">
        <f t="shared" si="3"/>
        <v>0</v>
      </c>
      <c r="X419" s="2">
        <f t="shared" si="4"/>
        <v>0</v>
      </c>
      <c r="Y419" s="2">
        <f t="shared" si="5"/>
        <v>0</v>
      </c>
      <c r="Z419" s="2">
        <f t="shared" si="6"/>
        <v>0</v>
      </c>
      <c r="AA419" s="2">
        <f t="shared" si="7"/>
        <v>1</v>
      </c>
      <c r="AB419" s="2">
        <f>IF(OR($M419="",$N419=""),0,MEDIAN(-MarginCap,MarginCap,($M419-$N419)-$AA419*HFA_Base))</f>
        <v>0</v>
      </c>
      <c r="AC419" s="2">
        <f t="array" ref="AC419">IF(OR($P419="",INDEX($P$3:$P$722,(ROW()+IF(MOD(ROW()-3,2)=0,1,-1))-3+1)=""),0,MEDIAN(-MarginCap,MarginCap,($T419-$W419)-$AA419*HFA_Base))</f>
        <v>0</v>
      </c>
      <c r="AD419" s="2">
        <f t="shared" si="8"/>
        <v>0</v>
      </c>
      <c r="AE419" s="2">
        <f>IF(OR($M419="",$N419=""),0,IF(AND(WEpa&gt;0,$AD419=1),(1-WEpa)*$AB419+WEpa*$AC419,$AB419))</f>
        <v>0</v>
      </c>
      <c r="AF419" s="2">
        <f>IF(AND($C419&lt;&gt;"",$E419=CurrentSeason,$F419="REG",ISNUMBER($G419),$G419&lt;CurrentWeek,AND($M419&lt;&gt;"",$N419&lt;&gt;"")),1,0)</f>
        <v>0</v>
      </c>
      <c r="AG419" s="2">
        <f>IF($AF419=0,0,IF($G419&gt;=CurrentWeek-RecencyWin,RecencyMult,1))</f>
        <v>0</v>
      </c>
      <c r="AH419" s="2">
        <f>IF(AND($C419&lt;&gt;"",$E419=CurrentSeason,$F419="REG",ISNUMBER($G419),$G419&lt;CurrentWeek-1,AND($M419&lt;&gt;"",$N419&lt;&gt;"")),1,0)</f>
        <v>0</v>
      </c>
      <c r="AI419" s="2">
        <f>IF($AH419=0,0,IF($G419&gt;=CurrentWeek-1-RecencyWin,RecencyMult,1))</f>
        <v>0</v>
      </c>
      <c r="AJ419" s="2">
        <f>IF($AF419=0,0,IF($G419&gt;=CurrentWeek-RecencyWin,TotRecency,1))</f>
        <v>0</v>
      </c>
      <c r="AK419" s="2">
        <f t="shared" si="9"/>
        <v>0</v>
      </c>
      <c r="AL419" s="2">
        <f t="shared" si="10"/>
        <v>0</v>
      </c>
      <c r="AM419" s="2" t="str">
        <f t="array" ref="AM419">IF($K419="",0,IFERROR(INDEX(CALC!$F$2:$F$33,MATCH($K419,CALC!$A$2:$A$33,0)),0))</f>
        <v/>
      </c>
      <c r="AN419" s="2" t="str">
        <f t="array" ref="AN419">IF($K419="",0,IFERROR(INDEX(CALC!$I$2:$I$33,MATCH($K419,CALC!$A$2:$A$33,0)),0))</f>
        <v/>
      </c>
      <c r="AO419" s="2" t="str">
        <f t="array" ref="AO419">IF($K419="",0,IFERROR(INDEX(CALC!$L$2:$L$33,MATCH($K419,CALC!$A$2:$A$33,0)),0))</f>
        <v/>
      </c>
      <c r="AP419" s="2" t="str">
        <f t="array" ref="AP419">IF($K419="",0,IFERROR(INDEX(CALC!$T$2:$T$33,MATCH($K419,CALC!$A$2:$A$33,0)),0))</f>
        <v/>
      </c>
      <c r="AQ419" s="2" t="str">
        <f t="array" ref="AQ419">IF($K419="",0,IFERROR(INDEX(CALC!$W$2:$W$33,MATCH($K419,CALC!$A$2:$A$33,0)),0))</f>
        <v/>
      </c>
      <c r="AR419" s="2" t="str">
        <f t="array" ref="AR419">IF($K419="",0,IFERROR(INDEX(CALC!$Z$2:$Z$33,MATCH($K419,CALC!$A$2:$A$33,0)),0))</f>
        <v/>
      </c>
      <c r="AS419" s="2" t="str">
        <f t="array" ref="AS419">IF($K419="",0,IFERROR(INDEX(CALC!$AJ$2:$AJ$33,MATCH($K419,CALC!$A$2:$A$33,0)),0))</f>
        <v/>
      </c>
      <c r="AT419" s="2" t="str">
        <f t="array" ref="AT419">IF($K419="",0,IFERROR(INDEX(CALC!$AI$2:$AI$33,MATCH($K419,CALC!$A$2:$A$33,0)),0))</f>
        <v/>
      </c>
      <c r="AU419" s="2">
        <f t="shared" si="11"/>
        <v>0</v>
      </c>
      <c r="AV419" s="2">
        <f t="shared" si="12"/>
        <v>0</v>
      </c>
    </row>
    <row r="420" ht="15.0" customHeight="1">
      <c r="A420" s="2">
        <v>209.0</v>
      </c>
      <c r="B420" s="2" t="s">
        <v>2366</v>
      </c>
      <c r="C420" s="2">
        <f>IFERROR(MATCH($A420,SchedSeq,0),"")</f>
        <v>494</v>
      </c>
      <c r="D420" s="2" t="str">
        <f t="array" ref="D420">IF($C420="","",INDEX(SchedZone,$C420,MAP!$B$6))</f>
        <v>2026_15_SF_LAC</v>
      </c>
      <c r="E420" s="2">
        <f t="array" ref="E420">IF($C420="","",INDEX(SchedZone,$C420,MAP!$B$3))</f>
        <v>2026</v>
      </c>
      <c r="F420" s="2" t="str">
        <f t="array" ref="F420">IF($C420="","",INDEX(SchedZone,$C420,MAP!$B$5))</f>
        <v>REG</v>
      </c>
      <c r="G420" s="2">
        <f t="array" ref="G420">IF($C420="","",INDEX(SchedZone,$C420,MAP!$B$4))</f>
        <v>15</v>
      </c>
      <c r="H420" s="2" t="str">
        <f t="array" ref="H420">IF($C420="","",INDEX(SchedZone,$C420,MAP!$B$10))</f>
        <v>SF</v>
      </c>
      <c r="I420" s="2" t="str">
        <f t="array" ref="I420">IF($H420="","",IF(COUNTIF(Teams,$H420)&gt;0,$H420,IFERROR(INDEX(LISTS!$D$2:$D$12,MATCH($H420,LISTS!$C$2:$C$12,0)),"⚠ "&amp;$H420)))</f>
        <v>SF</v>
      </c>
      <c r="J420" s="2" t="str">
        <f t="array" ref="J420">IF($C420="","",INDEX(SchedZone,$C420,MAP!$B$12))</f>
        <v>LAC</v>
      </c>
      <c r="K420" s="2" t="str">
        <f t="array" ref="K420">IF($J420="","",IF(COUNTIF(Teams,$J420)&gt;0,$J420,IFERROR(INDEX(LISTS!$D$2:$D$12,MATCH($J420,LISTS!$C$2:$C$12,0)),"⚠ "&amp;$J420)))</f>
        <v>LAC</v>
      </c>
      <c r="L420" s="2" t="str">
        <f t="array" ref="L420">IF($C420="","",IF(INDEX(SchedZone,$C420,MAP!$B$14)="Neutral","N",IF($B420="HOME","H","A")))</f>
        <v>A</v>
      </c>
      <c r="M420" s="2" t="str">
        <f t="array" ref="M420">IF($C420="","",IF(INDEX(SchedZone,$C420,MAP!$B$11)="","",INDEX(SchedZone,$C420,MAP!$B$11)))</f>
        <v/>
      </c>
      <c r="N420" s="2" t="str">
        <f t="array" ref="N420">IF($C420="","",IF(INDEX(SchedZone,$C420,MAP!$B$13)="","",INDEX(SchedZone,$C420,MAP!$B$13)))</f>
        <v/>
      </c>
      <c r="O420" s="2">
        <f t="array" ref="O420">IF($C420="","",INDEX(SchedZone,$C420,MAP!$B$15))</f>
        <v>4</v>
      </c>
      <c r="P420" s="2" t="str">
        <f>IF($C420="","",IFERROR(MATCH($E420&amp;"|"&amp;$G420&amp;"|"&amp;$I420,StatsKey,0),""))</f>
        <v/>
      </c>
      <c r="Q420" s="2">
        <f t="array" ref="Q420">IF($P420="",0,INDEX(StatsZone,$P420,MAP!$E$9)+INDEX(StatsZone,$P420,MAP!$E$10)+INDEX(StatsZone,$P420,MAP!$E$11))</f>
        <v>0</v>
      </c>
      <c r="R420" s="2">
        <f t="array" ref="R420">IF($P420="",0,INDEX(StatsZone,$P420,MAP!$E$12))</f>
        <v>0</v>
      </c>
      <c r="S420" s="2">
        <f t="array" ref="S420">IF($P420="",0,INDEX(StatsZone,$P420,MAP!$E$13))</f>
        <v>0</v>
      </c>
      <c r="T420" s="2">
        <f t="shared" si="1"/>
        <v>0</v>
      </c>
      <c r="U420" s="2">
        <f t="array" ref="U420">IF($P420="",0,INDEX(StatsZone,$P420,MAP!$E$14)+INDEX(StatsZone,$P420,MAP!$E$15)+INDEX(StatsZone,$P420,MAP!$E$16))</f>
        <v>0</v>
      </c>
      <c r="V420" s="2">
        <f t="shared" si="2"/>
        <v>0</v>
      </c>
      <c r="W420" s="2">
        <f t="shared" si="3"/>
        <v>0</v>
      </c>
      <c r="X420" s="2">
        <f t="shared" si="4"/>
        <v>0</v>
      </c>
      <c r="Y420" s="2">
        <f t="shared" si="5"/>
        <v>0</v>
      </c>
      <c r="Z420" s="2">
        <f t="shared" si="6"/>
        <v>0</v>
      </c>
      <c r="AA420" s="2">
        <f t="shared" si="7"/>
        <v>-1</v>
      </c>
      <c r="AB420" s="2">
        <f>IF(OR($M420="",$N420=""),0,MEDIAN(-MarginCap,MarginCap,($M420-$N420)-$AA420*HFA_Base))</f>
        <v>0</v>
      </c>
      <c r="AC420" s="2">
        <f t="array" ref="AC420">IF(OR($P420="",INDEX($P$3:$P$722,(ROW()+IF(MOD(ROW()-3,2)=0,1,-1))-3+1)=""),0,MEDIAN(-MarginCap,MarginCap,($T420-$W420)-$AA420*HFA_Base))</f>
        <v>0</v>
      </c>
      <c r="AD420" s="2">
        <f t="shared" si="8"/>
        <v>0</v>
      </c>
      <c r="AE420" s="2">
        <f>IF(OR($M420="",$N420=""),0,IF(AND(WEpa&gt;0,$AD420=1),(1-WEpa)*$AB420+WEpa*$AC420,$AB420))</f>
        <v>0</v>
      </c>
      <c r="AF420" s="2">
        <f>IF(AND($C420&lt;&gt;"",$E420=CurrentSeason,$F420="REG",ISNUMBER($G420),$G420&lt;CurrentWeek,AND($M420&lt;&gt;"",$N420&lt;&gt;"")),1,0)</f>
        <v>0</v>
      </c>
      <c r="AG420" s="2">
        <f>IF($AF420=0,0,IF($G420&gt;=CurrentWeek-RecencyWin,RecencyMult,1))</f>
        <v>0</v>
      </c>
      <c r="AH420" s="2">
        <f>IF(AND($C420&lt;&gt;"",$E420=CurrentSeason,$F420="REG",ISNUMBER($G420),$G420&lt;CurrentWeek-1,AND($M420&lt;&gt;"",$N420&lt;&gt;"")),1,0)</f>
        <v>0</v>
      </c>
      <c r="AI420" s="2">
        <f>IF($AH420=0,0,IF($G420&gt;=CurrentWeek-1-RecencyWin,RecencyMult,1))</f>
        <v>0</v>
      </c>
      <c r="AJ420" s="2">
        <f>IF($AF420=0,0,IF($G420&gt;=CurrentWeek-RecencyWin,TotRecency,1))</f>
        <v>0</v>
      </c>
      <c r="AK420" s="2">
        <f t="shared" si="9"/>
        <v>0</v>
      </c>
      <c r="AL420" s="2">
        <f t="shared" si="10"/>
        <v>0</v>
      </c>
      <c r="AM420" s="2" t="str">
        <f t="array" ref="AM420">IF($K420="",0,IFERROR(INDEX(CALC!$F$2:$F$33,MATCH($K420,CALC!$A$2:$A$33,0)),0))</f>
        <v/>
      </c>
      <c r="AN420" s="2" t="str">
        <f t="array" ref="AN420">IF($K420="",0,IFERROR(INDEX(CALC!$I$2:$I$33,MATCH($K420,CALC!$A$2:$A$33,0)),0))</f>
        <v/>
      </c>
      <c r="AO420" s="2" t="str">
        <f t="array" ref="AO420">IF($K420="",0,IFERROR(INDEX(CALC!$L$2:$L$33,MATCH($K420,CALC!$A$2:$A$33,0)),0))</f>
        <v/>
      </c>
      <c r="AP420" s="2" t="str">
        <f t="array" ref="AP420">IF($K420="",0,IFERROR(INDEX(CALC!$T$2:$T$33,MATCH($K420,CALC!$A$2:$A$33,0)),0))</f>
        <v/>
      </c>
      <c r="AQ420" s="2" t="str">
        <f t="array" ref="AQ420">IF($K420="",0,IFERROR(INDEX(CALC!$W$2:$W$33,MATCH($K420,CALC!$A$2:$A$33,0)),0))</f>
        <v/>
      </c>
      <c r="AR420" s="2" t="str">
        <f t="array" ref="AR420">IF($K420="",0,IFERROR(INDEX(CALC!$Z$2:$Z$33,MATCH($K420,CALC!$A$2:$A$33,0)),0))</f>
        <v/>
      </c>
      <c r="AS420" s="2" t="str">
        <f t="array" ref="AS420">IF($K420="",0,IFERROR(INDEX(CALC!$AJ$2:$AJ$33,MATCH($K420,CALC!$A$2:$A$33,0)),0))</f>
        <v/>
      </c>
      <c r="AT420" s="2" t="str">
        <f t="array" ref="AT420">IF($K420="",0,IFERROR(INDEX(CALC!$AI$2:$AI$33,MATCH($K420,CALC!$A$2:$A$33,0)),0))</f>
        <v/>
      </c>
      <c r="AU420" s="2">
        <f t="shared" si="11"/>
        <v>0</v>
      </c>
      <c r="AV420" s="2">
        <f t="shared" si="12"/>
        <v>0</v>
      </c>
    </row>
    <row r="421" ht="15.0" customHeight="1">
      <c r="A421" s="2">
        <v>210.0</v>
      </c>
      <c r="B421" s="2" t="s">
        <v>2365</v>
      </c>
      <c r="C421" s="2">
        <f>IFERROR(MATCH($A421,SchedSeq,0),"")</f>
        <v>495</v>
      </c>
      <c r="D421" s="2" t="str">
        <f t="array" ref="D421">IF($C421="","",INDEX(SchedZone,$C421,MAP!$B$6))</f>
        <v>2026_15_SEA_PHI</v>
      </c>
      <c r="E421" s="2">
        <f t="array" ref="E421">IF($C421="","",INDEX(SchedZone,$C421,MAP!$B$3))</f>
        <v>2026</v>
      </c>
      <c r="F421" s="2" t="str">
        <f t="array" ref="F421">IF($C421="","",INDEX(SchedZone,$C421,MAP!$B$5))</f>
        <v>REG</v>
      </c>
      <c r="G421" s="2">
        <f t="array" ref="G421">IF($C421="","",INDEX(SchedZone,$C421,MAP!$B$4))</f>
        <v>15</v>
      </c>
      <c r="H421" s="2" t="str">
        <f t="array" ref="H421">IF($C421="","",INDEX(SchedZone,$C421,MAP!$B$12))</f>
        <v>PHI</v>
      </c>
      <c r="I421" s="2" t="str">
        <f t="array" ref="I421">IF($H421="","",IF(COUNTIF(Teams,$H421)&gt;0,$H421,IFERROR(INDEX(LISTS!$D$2:$D$12,MATCH($H421,LISTS!$C$2:$C$12,0)),"⚠ "&amp;$H421)))</f>
        <v>PHI</v>
      </c>
      <c r="J421" s="2" t="str">
        <f t="array" ref="J421">IF($C421="","",INDEX(SchedZone,$C421,MAP!$B$10))</f>
        <v>SEA</v>
      </c>
      <c r="K421" s="2" t="str">
        <f t="array" ref="K421">IF($J421="","",IF(COUNTIF(Teams,$J421)&gt;0,$J421,IFERROR(INDEX(LISTS!$D$2:$D$12,MATCH($J421,LISTS!$C$2:$C$12,0)),"⚠ "&amp;$J421)))</f>
        <v>SEA</v>
      </c>
      <c r="L421" s="2" t="str">
        <f t="array" ref="L421">IF($C421="","",IF(INDEX(SchedZone,$C421,MAP!$B$14)="Neutral","N",IF($B421="HOME","H","A")))</f>
        <v>H</v>
      </c>
      <c r="M421" s="2" t="str">
        <f t="array" ref="M421">IF($C421="","",IF(INDEX(SchedZone,$C421,MAP!$B$13)="","",INDEX(SchedZone,$C421,MAP!$B$13)))</f>
        <v/>
      </c>
      <c r="N421" s="2" t="str">
        <f t="array" ref="N421">IF($C421="","",IF(INDEX(SchedZone,$C421,MAP!$B$11)="","",INDEX(SchedZone,$C421,MAP!$B$11)))</f>
        <v/>
      </c>
      <c r="O421" s="2">
        <f t="array" ref="O421">IF($C421="","",INDEX(SchedZone,$C421,MAP!$B$16))</f>
        <v>6</v>
      </c>
      <c r="P421" s="2" t="str">
        <f>IF($C421="","",IFERROR(MATCH($E421&amp;"|"&amp;$G421&amp;"|"&amp;$I421,StatsKey,0),""))</f>
        <v/>
      </c>
      <c r="Q421" s="2">
        <f t="array" ref="Q421">IF($P421="",0,INDEX(StatsZone,$P421,MAP!$E$9)+INDEX(StatsZone,$P421,MAP!$E$10)+INDEX(StatsZone,$P421,MAP!$E$11))</f>
        <v>0</v>
      </c>
      <c r="R421" s="2">
        <f t="array" ref="R421">IF($P421="",0,INDEX(StatsZone,$P421,MAP!$E$12))</f>
        <v>0</v>
      </c>
      <c r="S421" s="2">
        <f t="array" ref="S421">IF($P421="",0,INDEX(StatsZone,$P421,MAP!$E$13))</f>
        <v>0</v>
      </c>
      <c r="T421" s="2">
        <f t="shared" si="1"/>
        <v>0</v>
      </c>
      <c r="U421" s="2">
        <f t="array" ref="U421">IF($P421="",0,INDEX(StatsZone,$P421,MAP!$E$14)+INDEX(StatsZone,$P421,MAP!$E$15)+INDEX(StatsZone,$P421,MAP!$E$16))</f>
        <v>0</v>
      </c>
      <c r="V421" s="2">
        <f t="shared" si="2"/>
        <v>0</v>
      </c>
      <c r="W421" s="2">
        <f t="shared" si="3"/>
        <v>0</v>
      </c>
      <c r="X421" s="2">
        <f t="shared" si="4"/>
        <v>0</v>
      </c>
      <c r="Y421" s="2">
        <f t="shared" si="5"/>
        <v>0</v>
      </c>
      <c r="Z421" s="2">
        <f t="shared" si="6"/>
        <v>0</v>
      </c>
      <c r="AA421" s="2">
        <f t="shared" si="7"/>
        <v>1</v>
      </c>
      <c r="AB421" s="2">
        <f>IF(OR($M421="",$N421=""),0,MEDIAN(-MarginCap,MarginCap,($M421-$N421)-$AA421*HFA_Base))</f>
        <v>0</v>
      </c>
      <c r="AC421" s="2">
        <f t="array" ref="AC421">IF(OR($P421="",INDEX($P$3:$P$722,(ROW()+IF(MOD(ROW()-3,2)=0,1,-1))-3+1)=""),0,MEDIAN(-MarginCap,MarginCap,($T421-$W421)-$AA421*HFA_Base))</f>
        <v>0</v>
      </c>
      <c r="AD421" s="2">
        <f t="shared" si="8"/>
        <v>0</v>
      </c>
      <c r="AE421" s="2">
        <f>IF(OR($M421="",$N421=""),0,IF(AND(WEpa&gt;0,$AD421=1),(1-WEpa)*$AB421+WEpa*$AC421,$AB421))</f>
        <v>0</v>
      </c>
      <c r="AF421" s="2">
        <f>IF(AND($C421&lt;&gt;"",$E421=CurrentSeason,$F421="REG",ISNUMBER($G421),$G421&lt;CurrentWeek,AND($M421&lt;&gt;"",$N421&lt;&gt;"")),1,0)</f>
        <v>0</v>
      </c>
      <c r="AG421" s="2">
        <f>IF($AF421=0,0,IF($G421&gt;=CurrentWeek-RecencyWin,RecencyMult,1))</f>
        <v>0</v>
      </c>
      <c r="AH421" s="2">
        <f>IF(AND($C421&lt;&gt;"",$E421=CurrentSeason,$F421="REG",ISNUMBER($G421),$G421&lt;CurrentWeek-1,AND($M421&lt;&gt;"",$N421&lt;&gt;"")),1,0)</f>
        <v>0</v>
      </c>
      <c r="AI421" s="2">
        <f>IF($AH421=0,0,IF($G421&gt;=CurrentWeek-1-RecencyWin,RecencyMult,1))</f>
        <v>0</v>
      </c>
      <c r="AJ421" s="2">
        <f>IF($AF421=0,0,IF($G421&gt;=CurrentWeek-RecencyWin,TotRecency,1))</f>
        <v>0</v>
      </c>
      <c r="AK421" s="2">
        <f t="shared" si="9"/>
        <v>0</v>
      </c>
      <c r="AL421" s="2">
        <f t="shared" si="10"/>
        <v>0</v>
      </c>
      <c r="AM421" s="2" t="str">
        <f t="array" ref="AM421">IF($K421="",0,IFERROR(INDEX(CALC!$F$2:$F$33,MATCH($K421,CALC!$A$2:$A$33,0)),0))</f>
        <v/>
      </c>
      <c r="AN421" s="2" t="str">
        <f t="array" ref="AN421">IF($K421="",0,IFERROR(INDEX(CALC!$I$2:$I$33,MATCH($K421,CALC!$A$2:$A$33,0)),0))</f>
        <v/>
      </c>
      <c r="AO421" s="2" t="str">
        <f t="array" ref="AO421">IF($K421="",0,IFERROR(INDEX(CALC!$L$2:$L$33,MATCH($K421,CALC!$A$2:$A$33,0)),0))</f>
        <v/>
      </c>
      <c r="AP421" s="2" t="str">
        <f t="array" ref="AP421">IF($K421="",0,IFERROR(INDEX(CALC!$T$2:$T$33,MATCH($K421,CALC!$A$2:$A$33,0)),0))</f>
        <v/>
      </c>
      <c r="AQ421" s="2" t="str">
        <f t="array" ref="AQ421">IF($K421="",0,IFERROR(INDEX(CALC!$W$2:$W$33,MATCH($K421,CALC!$A$2:$A$33,0)),0))</f>
        <v/>
      </c>
      <c r="AR421" s="2" t="str">
        <f t="array" ref="AR421">IF($K421="",0,IFERROR(INDEX(CALC!$Z$2:$Z$33,MATCH($K421,CALC!$A$2:$A$33,0)),0))</f>
        <v/>
      </c>
      <c r="AS421" s="2" t="str">
        <f t="array" ref="AS421">IF($K421="",0,IFERROR(INDEX(CALC!$AJ$2:$AJ$33,MATCH($K421,CALC!$A$2:$A$33,0)),0))</f>
        <v/>
      </c>
      <c r="AT421" s="2" t="str">
        <f t="array" ref="AT421">IF($K421="",0,IFERROR(INDEX(CALC!$AI$2:$AI$33,MATCH($K421,CALC!$A$2:$A$33,0)),0))</f>
        <v/>
      </c>
      <c r="AU421" s="2">
        <f t="shared" si="11"/>
        <v>0</v>
      </c>
      <c r="AV421" s="2">
        <f t="shared" si="12"/>
        <v>0</v>
      </c>
    </row>
    <row r="422" ht="15.0" customHeight="1">
      <c r="A422" s="2">
        <v>210.0</v>
      </c>
      <c r="B422" s="2" t="s">
        <v>2366</v>
      </c>
      <c r="C422" s="2">
        <f>IFERROR(MATCH($A422,SchedSeq,0),"")</f>
        <v>495</v>
      </c>
      <c r="D422" s="2" t="str">
        <f t="array" ref="D422">IF($C422="","",INDEX(SchedZone,$C422,MAP!$B$6))</f>
        <v>2026_15_SEA_PHI</v>
      </c>
      <c r="E422" s="2">
        <f t="array" ref="E422">IF($C422="","",INDEX(SchedZone,$C422,MAP!$B$3))</f>
        <v>2026</v>
      </c>
      <c r="F422" s="2" t="str">
        <f t="array" ref="F422">IF($C422="","",INDEX(SchedZone,$C422,MAP!$B$5))</f>
        <v>REG</v>
      </c>
      <c r="G422" s="2">
        <f t="array" ref="G422">IF($C422="","",INDEX(SchedZone,$C422,MAP!$B$4))</f>
        <v>15</v>
      </c>
      <c r="H422" s="2" t="str">
        <f t="array" ref="H422">IF($C422="","",INDEX(SchedZone,$C422,MAP!$B$10))</f>
        <v>SEA</v>
      </c>
      <c r="I422" s="2" t="str">
        <f t="array" ref="I422">IF($H422="","",IF(COUNTIF(Teams,$H422)&gt;0,$H422,IFERROR(INDEX(LISTS!$D$2:$D$12,MATCH($H422,LISTS!$C$2:$C$12,0)),"⚠ "&amp;$H422)))</f>
        <v>SEA</v>
      </c>
      <c r="J422" s="2" t="str">
        <f t="array" ref="J422">IF($C422="","",INDEX(SchedZone,$C422,MAP!$B$12))</f>
        <v>PHI</v>
      </c>
      <c r="K422" s="2" t="str">
        <f t="array" ref="K422">IF($J422="","",IF(COUNTIF(Teams,$J422)&gt;0,$J422,IFERROR(INDEX(LISTS!$D$2:$D$12,MATCH($J422,LISTS!$C$2:$C$12,0)),"⚠ "&amp;$J422)))</f>
        <v>PHI</v>
      </c>
      <c r="L422" s="2" t="str">
        <f t="array" ref="L422">IF($C422="","",IF(INDEX(SchedZone,$C422,MAP!$B$14)="Neutral","N",IF($B422="HOME","H","A")))</f>
        <v>A</v>
      </c>
      <c r="M422" s="2" t="str">
        <f t="array" ref="M422">IF($C422="","",IF(INDEX(SchedZone,$C422,MAP!$B$11)="","",INDEX(SchedZone,$C422,MAP!$B$11)))</f>
        <v/>
      </c>
      <c r="N422" s="2" t="str">
        <f t="array" ref="N422">IF($C422="","",IF(INDEX(SchedZone,$C422,MAP!$B$13)="","",INDEX(SchedZone,$C422,MAP!$B$13)))</f>
        <v/>
      </c>
      <c r="O422" s="2">
        <f t="array" ref="O422">IF($C422="","",INDEX(SchedZone,$C422,MAP!$B$15))</f>
        <v>6</v>
      </c>
      <c r="P422" s="2" t="str">
        <f>IF($C422="","",IFERROR(MATCH($E422&amp;"|"&amp;$G422&amp;"|"&amp;$I422,StatsKey,0),""))</f>
        <v/>
      </c>
      <c r="Q422" s="2">
        <f t="array" ref="Q422">IF($P422="",0,INDEX(StatsZone,$P422,MAP!$E$9)+INDEX(StatsZone,$P422,MAP!$E$10)+INDEX(StatsZone,$P422,MAP!$E$11))</f>
        <v>0</v>
      </c>
      <c r="R422" s="2">
        <f t="array" ref="R422">IF($P422="",0,INDEX(StatsZone,$P422,MAP!$E$12))</f>
        <v>0</v>
      </c>
      <c r="S422" s="2">
        <f t="array" ref="S422">IF($P422="",0,INDEX(StatsZone,$P422,MAP!$E$13))</f>
        <v>0</v>
      </c>
      <c r="T422" s="2">
        <f t="shared" si="1"/>
        <v>0</v>
      </c>
      <c r="U422" s="2">
        <f t="array" ref="U422">IF($P422="",0,INDEX(StatsZone,$P422,MAP!$E$14)+INDEX(StatsZone,$P422,MAP!$E$15)+INDEX(StatsZone,$P422,MAP!$E$16))</f>
        <v>0</v>
      </c>
      <c r="V422" s="2">
        <f t="shared" si="2"/>
        <v>0</v>
      </c>
      <c r="W422" s="2">
        <f t="shared" si="3"/>
        <v>0</v>
      </c>
      <c r="X422" s="2">
        <f t="shared" si="4"/>
        <v>0</v>
      </c>
      <c r="Y422" s="2">
        <f t="shared" si="5"/>
        <v>0</v>
      </c>
      <c r="Z422" s="2">
        <f t="shared" si="6"/>
        <v>0</v>
      </c>
      <c r="AA422" s="2">
        <f t="shared" si="7"/>
        <v>-1</v>
      </c>
      <c r="AB422" s="2">
        <f>IF(OR($M422="",$N422=""),0,MEDIAN(-MarginCap,MarginCap,($M422-$N422)-$AA422*HFA_Base))</f>
        <v>0</v>
      </c>
      <c r="AC422" s="2">
        <f t="array" ref="AC422">IF(OR($P422="",INDEX($P$3:$P$722,(ROW()+IF(MOD(ROW()-3,2)=0,1,-1))-3+1)=""),0,MEDIAN(-MarginCap,MarginCap,($T422-$W422)-$AA422*HFA_Base))</f>
        <v>0</v>
      </c>
      <c r="AD422" s="2">
        <f t="shared" si="8"/>
        <v>0</v>
      </c>
      <c r="AE422" s="2">
        <f>IF(OR($M422="",$N422=""),0,IF(AND(WEpa&gt;0,$AD422=1),(1-WEpa)*$AB422+WEpa*$AC422,$AB422))</f>
        <v>0</v>
      </c>
      <c r="AF422" s="2">
        <f>IF(AND($C422&lt;&gt;"",$E422=CurrentSeason,$F422="REG",ISNUMBER($G422),$G422&lt;CurrentWeek,AND($M422&lt;&gt;"",$N422&lt;&gt;"")),1,0)</f>
        <v>0</v>
      </c>
      <c r="AG422" s="2">
        <f>IF($AF422=0,0,IF($G422&gt;=CurrentWeek-RecencyWin,RecencyMult,1))</f>
        <v>0</v>
      </c>
      <c r="AH422" s="2">
        <f>IF(AND($C422&lt;&gt;"",$E422=CurrentSeason,$F422="REG",ISNUMBER($G422),$G422&lt;CurrentWeek-1,AND($M422&lt;&gt;"",$N422&lt;&gt;"")),1,0)</f>
        <v>0</v>
      </c>
      <c r="AI422" s="2">
        <f>IF($AH422=0,0,IF($G422&gt;=CurrentWeek-1-RecencyWin,RecencyMult,1))</f>
        <v>0</v>
      </c>
      <c r="AJ422" s="2">
        <f>IF($AF422=0,0,IF($G422&gt;=CurrentWeek-RecencyWin,TotRecency,1))</f>
        <v>0</v>
      </c>
      <c r="AK422" s="2">
        <f t="shared" si="9"/>
        <v>0</v>
      </c>
      <c r="AL422" s="2">
        <f t="shared" si="10"/>
        <v>0</v>
      </c>
      <c r="AM422" s="2" t="str">
        <f t="array" ref="AM422">IF($K422="",0,IFERROR(INDEX(CALC!$F$2:$F$33,MATCH($K422,CALC!$A$2:$A$33,0)),0))</f>
        <v/>
      </c>
      <c r="AN422" s="2" t="str">
        <f t="array" ref="AN422">IF($K422="",0,IFERROR(INDEX(CALC!$I$2:$I$33,MATCH($K422,CALC!$A$2:$A$33,0)),0))</f>
        <v/>
      </c>
      <c r="AO422" s="2" t="str">
        <f t="array" ref="AO422">IF($K422="",0,IFERROR(INDEX(CALC!$L$2:$L$33,MATCH($K422,CALC!$A$2:$A$33,0)),0))</f>
        <v/>
      </c>
      <c r="AP422" s="2" t="str">
        <f t="array" ref="AP422">IF($K422="",0,IFERROR(INDEX(CALC!$T$2:$T$33,MATCH($K422,CALC!$A$2:$A$33,0)),0))</f>
        <v/>
      </c>
      <c r="AQ422" s="2" t="str">
        <f t="array" ref="AQ422">IF($K422="",0,IFERROR(INDEX(CALC!$W$2:$W$33,MATCH($K422,CALC!$A$2:$A$33,0)),0))</f>
        <v/>
      </c>
      <c r="AR422" s="2" t="str">
        <f t="array" ref="AR422">IF($K422="",0,IFERROR(INDEX(CALC!$Z$2:$Z$33,MATCH($K422,CALC!$A$2:$A$33,0)),0))</f>
        <v/>
      </c>
      <c r="AS422" s="2" t="str">
        <f t="array" ref="AS422">IF($K422="",0,IFERROR(INDEX(CALC!$AJ$2:$AJ$33,MATCH($K422,CALC!$A$2:$A$33,0)),0))</f>
        <v/>
      </c>
      <c r="AT422" s="2" t="str">
        <f t="array" ref="AT422">IF($K422="",0,IFERROR(INDEX(CALC!$AI$2:$AI$33,MATCH($K422,CALC!$A$2:$A$33,0)),0))</f>
        <v/>
      </c>
      <c r="AU422" s="2">
        <f t="shared" si="11"/>
        <v>0</v>
      </c>
      <c r="AV422" s="2">
        <f t="shared" si="12"/>
        <v>0</v>
      </c>
    </row>
    <row r="423" ht="15.0" customHeight="1">
      <c r="A423" s="2">
        <v>211.0</v>
      </c>
      <c r="B423" s="2" t="s">
        <v>2365</v>
      </c>
      <c r="C423" s="2">
        <f>IFERROR(MATCH($A423,SchedSeq,0),"")</f>
        <v>496</v>
      </c>
      <c r="D423" s="2" t="str">
        <f t="array" ref="D423">IF($C423="","",INDEX(SchedZone,$C423,MAP!$B$6))</f>
        <v>2026_15_CHI_BUF</v>
      </c>
      <c r="E423" s="2">
        <f t="array" ref="E423">IF($C423="","",INDEX(SchedZone,$C423,MAP!$B$3))</f>
        <v>2026</v>
      </c>
      <c r="F423" s="2" t="str">
        <f t="array" ref="F423">IF($C423="","",INDEX(SchedZone,$C423,MAP!$B$5))</f>
        <v>REG</v>
      </c>
      <c r="G423" s="2">
        <f t="array" ref="G423">IF($C423="","",INDEX(SchedZone,$C423,MAP!$B$4))</f>
        <v>15</v>
      </c>
      <c r="H423" s="2" t="str">
        <f t="array" ref="H423">IF($C423="","",INDEX(SchedZone,$C423,MAP!$B$12))</f>
        <v>BUF</v>
      </c>
      <c r="I423" s="2" t="str">
        <f t="array" ref="I423">IF($H423="","",IF(COUNTIF(Teams,$H423)&gt;0,$H423,IFERROR(INDEX(LISTS!$D$2:$D$12,MATCH($H423,LISTS!$C$2:$C$12,0)),"⚠ "&amp;$H423)))</f>
        <v>BUF</v>
      </c>
      <c r="J423" s="2" t="str">
        <f t="array" ref="J423">IF($C423="","",INDEX(SchedZone,$C423,MAP!$B$10))</f>
        <v>CHI</v>
      </c>
      <c r="K423" s="2" t="str">
        <f t="array" ref="K423">IF($J423="","",IF(COUNTIF(Teams,$J423)&gt;0,$J423,IFERROR(INDEX(LISTS!$D$2:$D$12,MATCH($J423,LISTS!$C$2:$C$12,0)),"⚠ "&amp;$J423)))</f>
        <v>CHI</v>
      </c>
      <c r="L423" s="2" t="str">
        <f t="array" ref="L423">IF($C423="","",IF(INDEX(SchedZone,$C423,MAP!$B$14)="Neutral","N",IF($B423="HOME","H","A")))</f>
        <v>H</v>
      </c>
      <c r="M423" s="2" t="str">
        <f t="array" ref="M423">IF($C423="","",IF(INDEX(SchedZone,$C423,MAP!$B$13)="","",INDEX(SchedZone,$C423,MAP!$B$13)))</f>
        <v/>
      </c>
      <c r="N423" s="2" t="str">
        <f t="array" ref="N423">IF($C423="","",IF(INDEX(SchedZone,$C423,MAP!$B$11)="","",INDEX(SchedZone,$C423,MAP!$B$11)))</f>
        <v/>
      </c>
      <c r="O423" s="2">
        <f t="array" ref="O423">IF($C423="","",INDEX(SchedZone,$C423,MAP!$B$16))</f>
        <v>6</v>
      </c>
      <c r="P423" s="2" t="str">
        <f>IF($C423="","",IFERROR(MATCH($E423&amp;"|"&amp;$G423&amp;"|"&amp;$I423,StatsKey,0),""))</f>
        <v/>
      </c>
      <c r="Q423" s="2">
        <f t="array" ref="Q423">IF($P423="",0,INDEX(StatsZone,$P423,MAP!$E$9)+INDEX(StatsZone,$P423,MAP!$E$10)+INDEX(StatsZone,$P423,MAP!$E$11))</f>
        <v>0</v>
      </c>
      <c r="R423" s="2">
        <f t="array" ref="R423">IF($P423="",0,INDEX(StatsZone,$P423,MAP!$E$12))</f>
        <v>0</v>
      </c>
      <c r="S423" s="2">
        <f t="array" ref="S423">IF($P423="",0,INDEX(StatsZone,$P423,MAP!$E$13))</f>
        <v>0</v>
      </c>
      <c r="T423" s="2">
        <f t="shared" si="1"/>
        <v>0</v>
      </c>
      <c r="U423" s="2">
        <f t="array" ref="U423">IF($P423="",0,INDEX(StatsZone,$P423,MAP!$E$14)+INDEX(StatsZone,$P423,MAP!$E$15)+INDEX(StatsZone,$P423,MAP!$E$16))</f>
        <v>0</v>
      </c>
      <c r="V423" s="2">
        <f t="shared" si="2"/>
        <v>0</v>
      </c>
      <c r="W423" s="2">
        <f t="shared" si="3"/>
        <v>0</v>
      </c>
      <c r="X423" s="2">
        <f t="shared" si="4"/>
        <v>0</v>
      </c>
      <c r="Y423" s="2">
        <f t="shared" si="5"/>
        <v>0</v>
      </c>
      <c r="Z423" s="2">
        <f t="shared" si="6"/>
        <v>0</v>
      </c>
      <c r="AA423" s="2">
        <f t="shared" si="7"/>
        <v>1</v>
      </c>
      <c r="AB423" s="2">
        <f>IF(OR($M423="",$N423=""),0,MEDIAN(-MarginCap,MarginCap,($M423-$N423)-$AA423*HFA_Base))</f>
        <v>0</v>
      </c>
      <c r="AC423" s="2">
        <f t="array" ref="AC423">IF(OR($P423="",INDEX($P$3:$P$722,(ROW()+IF(MOD(ROW()-3,2)=0,1,-1))-3+1)=""),0,MEDIAN(-MarginCap,MarginCap,($T423-$W423)-$AA423*HFA_Base))</f>
        <v>0</v>
      </c>
      <c r="AD423" s="2">
        <f t="shared" si="8"/>
        <v>0</v>
      </c>
      <c r="AE423" s="2">
        <f>IF(OR($M423="",$N423=""),0,IF(AND(WEpa&gt;0,$AD423=1),(1-WEpa)*$AB423+WEpa*$AC423,$AB423))</f>
        <v>0</v>
      </c>
      <c r="AF423" s="2">
        <f>IF(AND($C423&lt;&gt;"",$E423=CurrentSeason,$F423="REG",ISNUMBER($G423),$G423&lt;CurrentWeek,AND($M423&lt;&gt;"",$N423&lt;&gt;"")),1,0)</f>
        <v>0</v>
      </c>
      <c r="AG423" s="2">
        <f>IF($AF423=0,0,IF($G423&gt;=CurrentWeek-RecencyWin,RecencyMult,1))</f>
        <v>0</v>
      </c>
      <c r="AH423" s="2">
        <f>IF(AND($C423&lt;&gt;"",$E423=CurrentSeason,$F423="REG",ISNUMBER($G423),$G423&lt;CurrentWeek-1,AND($M423&lt;&gt;"",$N423&lt;&gt;"")),1,0)</f>
        <v>0</v>
      </c>
      <c r="AI423" s="2">
        <f>IF($AH423=0,0,IF($G423&gt;=CurrentWeek-1-RecencyWin,RecencyMult,1))</f>
        <v>0</v>
      </c>
      <c r="AJ423" s="2">
        <f>IF($AF423=0,0,IF($G423&gt;=CurrentWeek-RecencyWin,TotRecency,1))</f>
        <v>0</v>
      </c>
      <c r="AK423" s="2">
        <f t="shared" si="9"/>
        <v>0</v>
      </c>
      <c r="AL423" s="2">
        <f t="shared" si="10"/>
        <v>0</v>
      </c>
      <c r="AM423" s="2" t="str">
        <f t="array" ref="AM423">IF($K423="",0,IFERROR(INDEX(CALC!$F$2:$F$33,MATCH($K423,CALC!$A$2:$A$33,0)),0))</f>
        <v/>
      </c>
      <c r="AN423" s="2" t="str">
        <f t="array" ref="AN423">IF($K423="",0,IFERROR(INDEX(CALC!$I$2:$I$33,MATCH($K423,CALC!$A$2:$A$33,0)),0))</f>
        <v/>
      </c>
      <c r="AO423" s="2" t="str">
        <f t="array" ref="AO423">IF($K423="",0,IFERROR(INDEX(CALC!$L$2:$L$33,MATCH($K423,CALC!$A$2:$A$33,0)),0))</f>
        <v/>
      </c>
      <c r="AP423" s="2" t="str">
        <f t="array" ref="AP423">IF($K423="",0,IFERROR(INDEX(CALC!$T$2:$T$33,MATCH($K423,CALC!$A$2:$A$33,0)),0))</f>
        <v/>
      </c>
      <c r="AQ423" s="2" t="str">
        <f t="array" ref="AQ423">IF($K423="",0,IFERROR(INDEX(CALC!$W$2:$W$33,MATCH($K423,CALC!$A$2:$A$33,0)),0))</f>
        <v/>
      </c>
      <c r="AR423" s="2" t="str">
        <f t="array" ref="AR423">IF($K423="",0,IFERROR(INDEX(CALC!$Z$2:$Z$33,MATCH($K423,CALC!$A$2:$A$33,0)),0))</f>
        <v/>
      </c>
      <c r="AS423" s="2" t="str">
        <f t="array" ref="AS423">IF($K423="",0,IFERROR(INDEX(CALC!$AJ$2:$AJ$33,MATCH($K423,CALC!$A$2:$A$33,0)),0))</f>
        <v/>
      </c>
      <c r="AT423" s="2" t="str">
        <f t="array" ref="AT423">IF($K423="",0,IFERROR(INDEX(CALC!$AI$2:$AI$33,MATCH($K423,CALC!$A$2:$A$33,0)),0))</f>
        <v/>
      </c>
      <c r="AU423" s="2">
        <f t="shared" si="11"/>
        <v>0</v>
      </c>
      <c r="AV423" s="2">
        <f t="shared" si="12"/>
        <v>0</v>
      </c>
    </row>
    <row r="424" ht="15.0" customHeight="1">
      <c r="A424" s="2">
        <v>211.0</v>
      </c>
      <c r="B424" s="2" t="s">
        <v>2366</v>
      </c>
      <c r="C424" s="2">
        <f>IFERROR(MATCH($A424,SchedSeq,0),"")</f>
        <v>496</v>
      </c>
      <c r="D424" s="2" t="str">
        <f t="array" ref="D424">IF($C424="","",INDEX(SchedZone,$C424,MAP!$B$6))</f>
        <v>2026_15_CHI_BUF</v>
      </c>
      <c r="E424" s="2">
        <f t="array" ref="E424">IF($C424="","",INDEX(SchedZone,$C424,MAP!$B$3))</f>
        <v>2026</v>
      </c>
      <c r="F424" s="2" t="str">
        <f t="array" ref="F424">IF($C424="","",INDEX(SchedZone,$C424,MAP!$B$5))</f>
        <v>REG</v>
      </c>
      <c r="G424" s="2">
        <f t="array" ref="G424">IF($C424="","",INDEX(SchedZone,$C424,MAP!$B$4))</f>
        <v>15</v>
      </c>
      <c r="H424" s="2" t="str">
        <f t="array" ref="H424">IF($C424="","",INDEX(SchedZone,$C424,MAP!$B$10))</f>
        <v>CHI</v>
      </c>
      <c r="I424" s="2" t="str">
        <f t="array" ref="I424">IF($H424="","",IF(COUNTIF(Teams,$H424)&gt;0,$H424,IFERROR(INDEX(LISTS!$D$2:$D$12,MATCH($H424,LISTS!$C$2:$C$12,0)),"⚠ "&amp;$H424)))</f>
        <v>CHI</v>
      </c>
      <c r="J424" s="2" t="str">
        <f t="array" ref="J424">IF($C424="","",INDEX(SchedZone,$C424,MAP!$B$12))</f>
        <v>BUF</v>
      </c>
      <c r="K424" s="2" t="str">
        <f t="array" ref="K424">IF($J424="","",IF(COUNTIF(Teams,$J424)&gt;0,$J424,IFERROR(INDEX(LISTS!$D$2:$D$12,MATCH($J424,LISTS!$C$2:$C$12,0)),"⚠ "&amp;$J424)))</f>
        <v>BUF</v>
      </c>
      <c r="L424" s="2" t="str">
        <f t="array" ref="L424">IF($C424="","",IF(INDEX(SchedZone,$C424,MAP!$B$14)="Neutral","N",IF($B424="HOME","H","A")))</f>
        <v>A</v>
      </c>
      <c r="M424" s="2" t="str">
        <f t="array" ref="M424">IF($C424="","",IF(INDEX(SchedZone,$C424,MAP!$B$11)="","",INDEX(SchedZone,$C424,MAP!$B$11)))</f>
        <v/>
      </c>
      <c r="N424" s="2" t="str">
        <f t="array" ref="N424">IF($C424="","",IF(INDEX(SchedZone,$C424,MAP!$B$13)="","",INDEX(SchedZone,$C424,MAP!$B$13)))</f>
        <v/>
      </c>
      <c r="O424" s="2">
        <f t="array" ref="O424">IF($C424="","",INDEX(SchedZone,$C424,MAP!$B$15))</f>
        <v>6</v>
      </c>
      <c r="P424" s="2" t="str">
        <f>IF($C424="","",IFERROR(MATCH($E424&amp;"|"&amp;$G424&amp;"|"&amp;$I424,StatsKey,0),""))</f>
        <v/>
      </c>
      <c r="Q424" s="2">
        <f t="array" ref="Q424">IF($P424="",0,INDEX(StatsZone,$P424,MAP!$E$9)+INDEX(StatsZone,$P424,MAP!$E$10)+INDEX(StatsZone,$P424,MAP!$E$11))</f>
        <v>0</v>
      </c>
      <c r="R424" s="2">
        <f t="array" ref="R424">IF($P424="",0,INDEX(StatsZone,$P424,MAP!$E$12))</f>
        <v>0</v>
      </c>
      <c r="S424" s="2">
        <f t="array" ref="S424">IF($P424="",0,INDEX(StatsZone,$P424,MAP!$E$13))</f>
        <v>0</v>
      </c>
      <c r="T424" s="2">
        <f t="shared" si="1"/>
        <v>0</v>
      </c>
      <c r="U424" s="2">
        <f t="array" ref="U424">IF($P424="",0,INDEX(StatsZone,$P424,MAP!$E$14)+INDEX(StatsZone,$P424,MAP!$E$15)+INDEX(StatsZone,$P424,MAP!$E$16))</f>
        <v>0</v>
      </c>
      <c r="V424" s="2">
        <f t="shared" si="2"/>
        <v>0</v>
      </c>
      <c r="W424" s="2">
        <f t="shared" si="3"/>
        <v>0</v>
      </c>
      <c r="X424" s="2">
        <f t="shared" si="4"/>
        <v>0</v>
      </c>
      <c r="Y424" s="2">
        <f t="shared" si="5"/>
        <v>0</v>
      </c>
      <c r="Z424" s="2">
        <f t="shared" si="6"/>
        <v>0</v>
      </c>
      <c r="AA424" s="2">
        <f t="shared" si="7"/>
        <v>-1</v>
      </c>
      <c r="AB424" s="2">
        <f>IF(OR($M424="",$N424=""),0,MEDIAN(-MarginCap,MarginCap,($M424-$N424)-$AA424*HFA_Base))</f>
        <v>0</v>
      </c>
      <c r="AC424" s="2">
        <f t="array" ref="AC424">IF(OR($P424="",INDEX($P$3:$P$722,(ROW()+IF(MOD(ROW()-3,2)=0,1,-1))-3+1)=""),0,MEDIAN(-MarginCap,MarginCap,($T424-$W424)-$AA424*HFA_Base))</f>
        <v>0</v>
      </c>
      <c r="AD424" s="2">
        <f t="shared" si="8"/>
        <v>0</v>
      </c>
      <c r="AE424" s="2">
        <f>IF(OR($M424="",$N424=""),0,IF(AND(WEpa&gt;0,$AD424=1),(1-WEpa)*$AB424+WEpa*$AC424,$AB424))</f>
        <v>0</v>
      </c>
      <c r="AF424" s="2">
        <f>IF(AND($C424&lt;&gt;"",$E424=CurrentSeason,$F424="REG",ISNUMBER($G424),$G424&lt;CurrentWeek,AND($M424&lt;&gt;"",$N424&lt;&gt;"")),1,0)</f>
        <v>0</v>
      </c>
      <c r="AG424" s="2">
        <f>IF($AF424=0,0,IF($G424&gt;=CurrentWeek-RecencyWin,RecencyMult,1))</f>
        <v>0</v>
      </c>
      <c r="AH424" s="2">
        <f>IF(AND($C424&lt;&gt;"",$E424=CurrentSeason,$F424="REG",ISNUMBER($G424),$G424&lt;CurrentWeek-1,AND($M424&lt;&gt;"",$N424&lt;&gt;"")),1,0)</f>
        <v>0</v>
      </c>
      <c r="AI424" s="2">
        <f>IF($AH424=0,0,IF($G424&gt;=CurrentWeek-1-RecencyWin,RecencyMult,1))</f>
        <v>0</v>
      </c>
      <c r="AJ424" s="2">
        <f>IF($AF424=0,0,IF($G424&gt;=CurrentWeek-RecencyWin,TotRecency,1))</f>
        <v>0</v>
      </c>
      <c r="AK424" s="2">
        <f t="shared" si="9"/>
        <v>0</v>
      </c>
      <c r="AL424" s="2">
        <f t="shared" si="10"/>
        <v>0</v>
      </c>
      <c r="AM424" s="2" t="str">
        <f t="array" ref="AM424">IF($K424="",0,IFERROR(INDEX(CALC!$F$2:$F$33,MATCH($K424,CALC!$A$2:$A$33,0)),0))</f>
        <v/>
      </c>
      <c r="AN424" s="2" t="str">
        <f t="array" ref="AN424">IF($K424="",0,IFERROR(INDEX(CALC!$I$2:$I$33,MATCH($K424,CALC!$A$2:$A$33,0)),0))</f>
        <v/>
      </c>
      <c r="AO424" s="2" t="str">
        <f t="array" ref="AO424">IF($K424="",0,IFERROR(INDEX(CALC!$L$2:$L$33,MATCH($K424,CALC!$A$2:$A$33,0)),0))</f>
        <v/>
      </c>
      <c r="AP424" s="2" t="str">
        <f t="array" ref="AP424">IF($K424="",0,IFERROR(INDEX(CALC!$T$2:$T$33,MATCH($K424,CALC!$A$2:$A$33,0)),0))</f>
        <v/>
      </c>
      <c r="AQ424" s="2" t="str">
        <f t="array" ref="AQ424">IF($K424="",0,IFERROR(INDEX(CALC!$W$2:$W$33,MATCH($K424,CALC!$A$2:$A$33,0)),0))</f>
        <v/>
      </c>
      <c r="AR424" s="2" t="str">
        <f t="array" ref="AR424">IF($K424="",0,IFERROR(INDEX(CALC!$Z$2:$Z$33,MATCH($K424,CALC!$A$2:$A$33,0)),0))</f>
        <v/>
      </c>
      <c r="AS424" s="2" t="str">
        <f t="array" ref="AS424">IF($K424="",0,IFERROR(INDEX(CALC!$AJ$2:$AJ$33,MATCH($K424,CALC!$A$2:$A$33,0)),0))</f>
        <v/>
      </c>
      <c r="AT424" s="2" t="str">
        <f t="array" ref="AT424">IF($K424="",0,IFERROR(INDEX(CALC!$AI$2:$AI$33,MATCH($K424,CALC!$A$2:$A$33,0)),0))</f>
        <v/>
      </c>
      <c r="AU424" s="2">
        <f t="shared" si="11"/>
        <v>0</v>
      </c>
      <c r="AV424" s="2">
        <f t="shared" si="12"/>
        <v>0</v>
      </c>
    </row>
    <row r="425" ht="15.0" customHeight="1">
      <c r="A425" s="2">
        <v>212.0</v>
      </c>
      <c r="B425" s="2" t="s">
        <v>2365</v>
      </c>
      <c r="C425" s="2">
        <f>IFERROR(MATCH($A425,SchedSeq,0),"")</f>
        <v>497</v>
      </c>
      <c r="D425" s="2" t="str">
        <f t="array" ref="D425">IF($C425="","",INDEX(SchedZone,$C425,MAP!$B$6))</f>
        <v>2026_15_CIN_CAR</v>
      </c>
      <c r="E425" s="2">
        <f t="array" ref="E425">IF($C425="","",INDEX(SchedZone,$C425,MAP!$B$3))</f>
        <v>2026</v>
      </c>
      <c r="F425" s="2" t="str">
        <f t="array" ref="F425">IF($C425="","",INDEX(SchedZone,$C425,MAP!$B$5))</f>
        <v>REG</v>
      </c>
      <c r="G425" s="2">
        <f t="array" ref="G425">IF($C425="","",INDEX(SchedZone,$C425,MAP!$B$4))</f>
        <v>15</v>
      </c>
      <c r="H425" s="2" t="str">
        <f t="array" ref="H425">IF($C425="","",INDEX(SchedZone,$C425,MAP!$B$12))</f>
        <v>CAR</v>
      </c>
      <c r="I425" s="2" t="str">
        <f t="array" ref="I425">IF($H425="","",IF(COUNTIF(Teams,$H425)&gt;0,$H425,IFERROR(INDEX(LISTS!$D$2:$D$12,MATCH($H425,LISTS!$C$2:$C$12,0)),"⚠ "&amp;$H425)))</f>
        <v>CAR</v>
      </c>
      <c r="J425" s="2" t="str">
        <f t="array" ref="J425">IF($C425="","",INDEX(SchedZone,$C425,MAP!$B$10))</f>
        <v>CIN</v>
      </c>
      <c r="K425" s="2" t="str">
        <f t="array" ref="K425">IF($J425="","",IF(COUNTIF(Teams,$J425)&gt;0,$J425,IFERROR(INDEX(LISTS!$D$2:$D$12,MATCH($J425,LISTS!$C$2:$C$12,0)),"⚠ "&amp;$J425)))</f>
        <v>CIN</v>
      </c>
      <c r="L425" s="2" t="str">
        <f t="array" ref="L425">IF($C425="","",IF(INDEX(SchedZone,$C425,MAP!$B$14)="Neutral","N",IF($B425="HOME","H","A")))</f>
        <v>H</v>
      </c>
      <c r="M425" s="2" t="str">
        <f t="array" ref="M425">IF($C425="","",IF(INDEX(SchedZone,$C425,MAP!$B$13)="","",INDEX(SchedZone,$C425,MAP!$B$13)))</f>
        <v/>
      </c>
      <c r="N425" s="2" t="str">
        <f t="array" ref="N425">IF($C425="","",IF(INDEX(SchedZone,$C425,MAP!$B$11)="","",INDEX(SchedZone,$C425,MAP!$B$11)))</f>
        <v/>
      </c>
      <c r="O425" s="2">
        <f t="array" ref="O425">IF($C425="","",INDEX(SchedZone,$C425,MAP!$B$16))</f>
        <v>7</v>
      </c>
      <c r="P425" s="2" t="str">
        <f>IF($C425="","",IFERROR(MATCH($E425&amp;"|"&amp;$G425&amp;"|"&amp;$I425,StatsKey,0),""))</f>
        <v/>
      </c>
      <c r="Q425" s="2">
        <f t="array" ref="Q425">IF($P425="",0,INDEX(StatsZone,$P425,MAP!$E$9)+INDEX(StatsZone,$P425,MAP!$E$10)+INDEX(StatsZone,$P425,MAP!$E$11))</f>
        <v>0</v>
      </c>
      <c r="R425" s="2">
        <f t="array" ref="R425">IF($P425="",0,INDEX(StatsZone,$P425,MAP!$E$12))</f>
        <v>0</v>
      </c>
      <c r="S425" s="2">
        <f t="array" ref="S425">IF($P425="",0,INDEX(StatsZone,$P425,MAP!$E$13))</f>
        <v>0</v>
      </c>
      <c r="T425" s="2">
        <f t="shared" si="1"/>
        <v>0</v>
      </c>
      <c r="U425" s="2">
        <f t="array" ref="U425">IF($P425="",0,INDEX(StatsZone,$P425,MAP!$E$14)+INDEX(StatsZone,$P425,MAP!$E$15)+INDEX(StatsZone,$P425,MAP!$E$16))</f>
        <v>0</v>
      </c>
      <c r="V425" s="2">
        <f t="shared" si="2"/>
        <v>0</v>
      </c>
      <c r="W425" s="2">
        <f t="shared" si="3"/>
        <v>0</v>
      </c>
      <c r="X425" s="2">
        <f t="shared" si="4"/>
        <v>0</v>
      </c>
      <c r="Y425" s="2">
        <f t="shared" si="5"/>
        <v>0</v>
      </c>
      <c r="Z425" s="2">
        <f t="shared" si="6"/>
        <v>0</v>
      </c>
      <c r="AA425" s="2">
        <f t="shared" si="7"/>
        <v>1</v>
      </c>
      <c r="AB425" s="2">
        <f>IF(OR($M425="",$N425=""),0,MEDIAN(-MarginCap,MarginCap,($M425-$N425)-$AA425*HFA_Base))</f>
        <v>0</v>
      </c>
      <c r="AC425" s="2">
        <f t="array" ref="AC425">IF(OR($P425="",INDEX($P$3:$P$722,(ROW()+IF(MOD(ROW()-3,2)=0,1,-1))-3+1)=""),0,MEDIAN(-MarginCap,MarginCap,($T425-$W425)-$AA425*HFA_Base))</f>
        <v>0</v>
      </c>
      <c r="AD425" s="2">
        <f t="shared" si="8"/>
        <v>0</v>
      </c>
      <c r="AE425" s="2">
        <f>IF(OR($M425="",$N425=""),0,IF(AND(WEpa&gt;0,$AD425=1),(1-WEpa)*$AB425+WEpa*$AC425,$AB425))</f>
        <v>0</v>
      </c>
      <c r="AF425" s="2">
        <f>IF(AND($C425&lt;&gt;"",$E425=CurrentSeason,$F425="REG",ISNUMBER($G425),$G425&lt;CurrentWeek,AND($M425&lt;&gt;"",$N425&lt;&gt;"")),1,0)</f>
        <v>0</v>
      </c>
      <c r="AG425" s="2">
        <f>IF($AF425=0,0,IF($G425&gt;=CurrentWeek-RecencyWin,RecencyMult,1))</f>
        <v>0</v>
      </c>
      <c r="AH425" s="2">
        <f>IF(AND($C425&lt;&gt;"",$E425=CurrentSeason,$F425="REG",ISNUMBER($G425),$G425&lt;CurrentWeek-1,AND($M425&lt;&gt;"",$N425&lt;&gt;"")),1,0)</f>
        <v>0</v>
      </c>
      <c r="AI425" s="2">
        <f>IF($AH425=0,0,IF($G425&gt;=CurrentWeek-1-RecencyWin,RecencyMult,1))</f>
        <v>0</v>
      </c>
      <c r="AJ425" s="2">
        <f>IF($AF425=0,0,IF($G425&gt;=CurrentWeek-RecencyWin,TotRecency,1))</f>
        <v>0</v>
      </c>
      <c r="AK425" s="2">
        <f t="shared" si="9"/>
        <v>0</v>
      </c>
      <c r="AL425" s="2">
        <f t="shared" si="10"/>
        <v>0</v>
      </c>
      <c r="AM425" s="2" t="str">
        <f t="array" ref="AM425">IF($K425="",0,IFERROR(INDEX(CALC!$F$2:$F$33,MATCH($K425,CALC!$A$2:$A$33,0)),0))</f>
        <v/>
      </c>
      <c r="AN425" s="2" t="str">
        <f t="array" ref="AN425">IF($K425="",0,IFERROR(INDEX(CALC!$I$2:$I$33,MATCH($K425,CALC!$A$2:$A$33,0)),0))</f>
        <v/>
      </c>
      <c r="AO425" s="2" t="str">
        <f t="array" ref="AO425">IF($K425="",0,IFERROR(INDEX(CALC!$L$2:$L$33,MATCH($K425,CALC!$A$2:$A$33,0)),0))</f>
        <v/>
      </c>
      <c r="AP425" s="2" t="str">
        <f t="array" ref="AP425">IF($K425="",0,IFERROR(INDEX(CALC!$T$2:$T$33,MATCH($K425,CALC!$A$2:$A$33,0)),0))</f>
        <v/>
      </c>
      <c r="AQ425" s="2" t="str">
        <f t="array" ref="AQ425">IF($K425="",0,IFERROR(INDEX(CALC!$W$2:$W$33,MATCH($K425,CALC!$A$2:$A$33,0)),0))</f>
        <v/>
      </c>
      <c r="AR425" s="2" t="str">
        <f t="array" ref="AR425">IF($K425="",0,IFERROR(INDEX(CALC!$Z$2:$Z$33,MATCH($K425,CALC!$A$2:$A$33,0)),0))</f>
        <v/>
      </c>
      <c r="AS425" s="2" t="str">
        <f t="array" ref="AS425">IF($K425="",0,IFERROR(INDEX(CALC!$AJ$2:$AJ$33,MATCH($K425,CALC!$A$2:$A$33,0)),0))</f>
        <v/>
      </c>
      <c r="AT425" s="2" t="str">
        <f t="array" ref="AT425">IF($K425="",0,IFERROR(INDEX(CALC!$AI$2:$AI$33,MATCH($K425,CALC!$A$2:$A$33,0)),0))</f>
        <v/>
      </c>
      <c r="AU425" s="2">
        <f t="shared" si="11"/>
        <v>0</v>
      </c>
      <c r="AV425" s="2">
        <f t="shared" si="12"/>
        <v>0</v>
      </c>
    </row>
    <row r="426" ht="15.0" customHeight="1">
      <c r="A426" s="2">
        <v>212.0</v>
      </c>
      <c r="B426" s="2" t="s">
        <v>2366</v>
      </c>
      <c r="C426" s="2">
        <f>IFERROR(MATCH($A426,SchedSeq,0),"")</f>
        <v>497</v>
      </c>
      <c r="D426" s="2" t="str">
        <f t="array" ref="D426">IF($C426="","",INDEX(SchedZone,$C426,MAP!$B$6))</f>
        <v>2026_15_CIN_CAR</v>
      </c>
      <c r="E426" s="2">
        <f t="array" ref="E426">IF($C426="","",INDEX(SchedZone,$C426,MAP!$B$3))</f>
        <v>2026</v>
      </c>
      <c r="F426" s="2" t="str">
        <f t="array" ref="F426">IF($C426="","",INDEX(SchedZone,$C426,MAP!$B$5))</f>
        <v>REG</v>
      </c>
      <c r="G426" s="2">
        <f t="array" ref="G426">IF($C426="","",INDEX(SchedZone,$C426,MAP!$B$4))</f>
        <v>15</v>
      </c>
      <c r="H426" s="2" t="str">
        <f t="array" ref="H426">IF($C426="","",INDEX(SchedZone,$C426,MAP!$B$10))</f>
        <v>CIN</v>
      </c>
      <c r="I426" s="2" t="str">
        <f t="array" ref="I426">IF($H426="","",IF(COUNTIF(Teams,$H426)&gt;0,$H426,IFERROR(INDEX(LISTS!$D$2:$D$12,MATCH($H426,LISTS!$C$2:$C$12,0)),"⚠ "&amp;$H426)))</f>
        <v>CIN</v>
      </c>
      <c r="J426" s="2" t="str">
        <f t="array" ref="J426">IF($C426="","",INDEX(SchedZone,$C426,MAP!$B$12))</f>
        <v>CAR</v>
      </c>
      <c r="K426" s="2" t="str">
        <f t="array" ref="K426">IF($J426="","",IF(COUNTIF(Teams,$J426)&gt;0,$J426,IFERROR(INDEX(LISTS!$D$2:$D$12,MATCH($J426,LISTS!$C$2:$C$12,0)),"⚠ "&amp;$J426)))</f>
        <v>CAR</v>
      </c>
      <c r="L426" s="2" t="str">
        <f t="array" ref="L426">IF($C426="","",IF(INDEX(SchedZone,$C426,MAP!$B$14)="Neutral","N",IF($B426="HOME","H","A")))</f>
        <v>A</v>
      </c>
      <c r="M426" s="2" t="str">
        <f t="array" ref="M426">IF($C426="","",IF(INDEX(SchedZone,$C426,MAP!$B$11)="","",INDEX(SchedZone,$C426,MAP!$B$11)))</f>
        <v/>
      </c>
      <c r="N426" s="2" t="str">
        <f t="array" ref="N426">IF($C426="","",IF(INDEX(SchedZone,$C426,MAP!$B$13)="","",INDEX(SchedZone,$C426,MAP!$B$13)))</f>
        <v/>
      </c>
      <c r="O426" s="2">
        <f t="array" ref="O426">IF($C426="","",INDEX(SchedZone,$C426,MAP!$B$15))</f>
        <v>7</v>
      </c>
      <c r="P426" s="2" t="str">
        <f>IF($C426="","",IFERROR(MATCH($E426&amp;"|"&amp;$G426&amp;"|"&amp;$I426,StatsKey,0),""))</f>
        <v/>
      </c>
      <c r="Q426" s="2">
        <f t="array" ref="Q426">IF($P426="",0,INDEX(StatsZone,$P426,MAP!$E$9)+INDEX(StatsZone,$P426,MAP!$E$10)+INDEX(StatsZone,$P426,MAP!$E$11))</f>
        <v>0</v>
      </c>
      <c r="R426" s="2">
        <f t="array" ref="R426">IF($P426="",0,INDEX(StatsZone,$P426,MAP!$E$12))</f>
        <v>0</v>
      </c>
      <c r="S426" s="2">
        <f t="array" ref="S426">IF($P426="",0,INDEX(StatsZone,$P426,MAP!$E$13))</f>
        <v>0</v>
      </c>
      <c r="T426" s="2">
        <f t="shared" si="1"/>
        <v>0</v>
      </c>
      <c r="U426" s="2">
        <f t="array" ref="U426">IF($P426="",0,INDEX(StatsZone,$P426,MAP!$E$14)+INDEX(StatsZone,$P426,MAP!$E$15)+INDEX(StatsZone,$P426,MAP!$E$16))</f>
        <v>0</v>
      </c>
      <c r="V426" s="2">
        <f t="shared" si="2"/>
        <v>0</v>
      </c>
      <c r="W426" s="2">
        <f t="shared" si="3"/>
        <v>0</v>
      </c>
      <c r="X426" s="2">
        <f t="shared" si="4"/>
        <v>0</v>
      </c>
      <c r="Y426" s="2">
        <f t="shared" si="5"/>
        <v>0</v>
      </c>
      <c r="Z426" s="2">
        <f t="shared" si="6"/>
        <v>0</v>
      </c>
      <c r="AA426" s="2">
        <f t="shared" si="7"/>
        <v>-1</v>
      </c>
      <c r="AB426" s="2">
        <f>IF(OR($M426="",$N426=""),0,MEDIAN(-MarginCap,MarginCap,($M426-$N426)-$AA426*HFA_Base))</f>
        <v>0</v>
      </c>
      <c r="AC426" s="2">
        <f t="array" ref="AC426">IF(OR($P426="",INDEX($P$3:$P$722,(ROW()+IF(MOD(ROW()-3,2)=0,1,-1))-3+1)=""),0,MEDIAN(-MarginCap,MarginCap,($T426-$W426)-$AA426*HFA_Base))</f>
        <v>0</v>
      </c>
      <c r="AD426" s="2">
        <f t="shared" si="8"/>
        <v>0</v>
      </c>
      <c r="AE426" s="2">
        <f>IF(OR($M426="",$N426=""),0,IF(AND(WEpa&gt;0,$AD426=1),(1-WEpa)*$AB426+WEpa*$AC426,$AB426))</f>
        <v>0</v>
      </c>
      <c r="AF426" s="2">
        <f>IF(AND($C426&lt;&gt;"",$E426=CurrentSeason,$F426="REG",ISNUMBER($G426),$G426&lt;CurrentWeek,AND($M426&lt;&gt;"",$N426&lt;&gt;"")),1,0)</f>
        <v>0</v>
      </c>
      <c r="AG426" s="2">
        <f>IF($AF426=0,0,IF($G426&gt;=CurrentWeek-RecencyWin,RecencyMult,1))</f>
        <v>0</v>
      </c>
      <c r="AH426" s="2">
        <f>IF(AND($C426&lt;&gt;"",$E426=CurrentSeason,$F426="REG",ISNUMBER($G426),$G426&lt;CurrentWeek-1,AND($M426&lt;&gt;"",$N426&lt;&gt;"")),1,0)</f>
        <v>0</v>
      </c>
      <c r="AI426" s="2">
        <f>IF($AH426=0,0,IF($G426&gt;=CurrentWeek-1-RecencyWin,RecencyMult,1))</f>
        <v>0</v>
      </c>
      <c r="AJ426" s="2">
        <f>IF($AF426=0,0,IF($G426&gt;=CurrentWeek-RecencyWin,TotRecency,1))</f>
        <v>0</v>
      </c>
      <c r="AK426" s="2">
        <f t="shared" si="9"/>
        <v>0</v>
      </c>
      <c r="AL426" s="2">
        <f t="shared" si="10"/>
        <v>0</v>
      </c>
      <c r="AM426" s="2" t="str">
        <f t="array" ref="AM426">IF($K426="",0,IFERROR(INDEX(CALC!$F$2:$F$33,MATCH($K426,CALC!$A$2:$A$33,0)),0))</f>
        <v/>
      </c>
      <c r="AN426" s="2" t="str">
        <f t="array" ref="AN426">IF($K426="",0,IFERROR(INDEX(CALC!$I$2:$I$33,MATCH($K426,CALC!$A$2:$A$33,0)),0))</f>
        <v/>
      </c>
      <c r="AO426" s="2" t="str">
        <f t="array" ref="AO426">IF($K426="",0,IFERROR(INDEX(CALC!$L$2:$L$33,MATCH($K426,CALC!$A$2:$A$33,0)),0))</f>
        <v/>
      </c>
      <c r="AP426" s="2" t="str">
        <f t="array" ref="AP426">IF($K426="",0,IFERROR(INDEX(CALC!$T$2:$T$33,MATCH($K426,CALC!$A$2:$A$33,0)),0))</f>
        <v/>
      </c>
      <c r="AQ426" s="2" t="str">
        <f t="array" ref="AQ426">IF($K426="",0,IFERROR(INDEX(CALC!$W$2:$W$33,MATCH($K426,CALC!$A$2:$A$33,0)),0))</f>
        <v/>
      </c>
      <c r="AR426" s="2" t="str">
        <f t="array" ref="AR426">IF($K426="",0,IFERROR(INDEX(CALC!$Z$2:$Z$33,MATCH($K426,CALC!$A$2:$A$33,0)),0))</f>
        <v/>
      </c>
      <c r="AS426" s="2" t="str">
        <f t="array" ref="AS426">IF($K426="",0,IFERROR(INDEX(CALC!$AJ$2:$AJ$33,MATCH($K426,CALC!$A$2:$A$33,0)),0))</f>
        <v/>
      </c>
      <c r="AT426" s="2" t="str">
        <f t="array" ref="AT426">IF($K426="",0,IFERROR(INDEX(CALC!$AI$2:$AI$33,MATCH($K426,CALC!$A$2:$A$33,0)),0))</f>
        <v/>
      </c>
      <c r="AU426" s="2">
        <f t="shared" si="11"/>
        <v>0</v>
      </c>
      <c r="AV426" s="2">
        <f t="shared" si="12"/>
        <v>0</v>
      </c>
    </row>
    <row r="427" ht="15.0" customHeight="1">
      <c r="A427" s="2">
        <v>213.0</v>
      </c>
      <c r="B427" s="2" t="s">
        <v>2365</v>
      </c>
      <c r="C427" s="2">
        <f>IFERROR(MATCH($A427,SchedSeq,0),"")</f>
        <v>498</v>
      </c>
      <c r="D427" s="2" t="str">
        <f t="array" ref="D427">IF($C427="","",INDEX(SchedZone,$C427,MAP!$B$6))</f>
        <v>2026_15_MIA_GB</v>
      </c>
      <c r="E427" s="2">
        <f t="array" ref="E427">IF($C427="","",INDEX(SchedZone,$C427,MAP!$B$3))</f>
        <v>2026</v>
      </c>
      <c r="F427" s="2" t="str">
        <f t="array" ref="F427">IF($C427="","",INDEX(SchedZone,$C427,MAP!$B$5))</f>
        <v>REG</v>
      </c>
      <c r="G427" s="2">
        <f t="array" ref="G427">IF($C427="","",INDEX(SchedZone,$C427,MAP!$B$4))</f>
        <v>15</v>
      </c>
      <c r="H427" s="2" t="str">
        <f t="array" ref="H427">IF($C427="","",INDEX(SchedZone,$C427,MAP!$B$12))</f>
        <v>GB</v>
      </c>
      <c r="I427" s="2" t="str">
        <f t="array" ref="I427">IF($H427="","",IF(COUNTIF(Teams,$H427)&gt;0,$H427,IFERROR(INDEX(LISTS!$D$2:$D$12,MATCH($H427,LISTS!$C$2:$C$12,0)),"⚠ "&amp;$H427)))</f>
        <v>GB</v>
      </c>
      <c r="J427" s="2" t="str">
        <f t="array" ref="J427">IF($C427="","",INDEX(SchedZone,$C427,MAP!$B$10))</f>
        <v>MIA</v>
      </c>
      <c r="K427" s="2" t="str">
        <f t="array" ref="K427">IF($J427="","",IF(COUNTIF(Teams,$J427)&gt;0,$J427,IFERROR(INDEX(LISTS!$D$2:$D$12,MATCH($J427,LISTS!$C$2:$C$12,0)),"⚠ "&amp;$J427)))</f>
        <v>MIA</v>
      </c>
      <c r="L427" s="2" t="str">
        <f t="array" ref="L427">IF($C427="","",IF(INDEX(SchedZone,$C427,MAP!$B$14)="Neutral","N",IF($B427="HOME","H","A")))</f>
        <v>H</v>
      </c>
      <c r="M427" s="2" t="str">
        <f t="array" ref="M427">IF($C427="","",IF(INDEX(SchedZone,$C427,MAP!$B$13)="","",INDEX(SchedZone,$C427,MAP!$B$13)))</f>
        <v/>
      </c>
      <c r="N427" s="2" t="str">
        <f t="array" ref="N427">IF($C427="","",IF(INDEX(SchedZone,$C427,MAP!$B$11)="","",INDEX(SchedZone,$C427,MAP!$B$11)))</f>
        <v/>
      </c>
      <c r="O427" s="2">
        <f t="array" ref="O427">IF($C427="","",INDEX(SchedZone,$C427,MAP!$B$16))</f>
        <v>7</v>
      </c>
      <c r="P427" s="2" t="str">
        <f>IF($C427="","",IFERROR(MATCH($E427&amp;"|"&amp;$G427&amp;"|"&amp;$I427,StatsKey,0),""))</f>
        <v/>
      </c>
      <c r="Q427" s="2">
        <f t="array" ref="Q427">IF($P427="",0,INDEX(StatsZone,$P427,MAP!$E$9)+INDEX(StatsZone,$P427,MAP!$E$10)+INDEX(StatsZone,$P427,MAP!$E$11))</f>
        <v>0</v>
      </c>
      <c r="R427" s="2">
        <f t="array" ref="R427">IF($P427="",0,INDEX(StatsZone,$P427,MAP!$E$12))</f>
        <v>0</v>
      </c>
      <c r="S427" s="2">
        <f t="array" ref="S427">IF($P427="",0,INDEX(StatsZone,$P427,MAP!$E$13))</f>
        <v>0</v>
      </c>
      <c r="T427" s="2">
        <f t="shared" si="1"/>
        <v>0</v>
      </c>
      <c r="U427" s="2">
        <f t="array" ref="U427">IF($P427="",0,INDEX(StatsZone,$P427,MAP!$E$14)+INDEX(StatsZone,$P427,MAP!$E$15)+INDEX(StatsZone,$P427,MAP!$E$16))</f>
        <v>0</v>
      </c>
      <c r="V427" s="2">
        <f t="shared" si="2"/>
        <v>0</v>
      </c>
      <c r="W427" s="2">
        <f t="shared" si="3"/>
        <v>0</v>
      </c>
      <c r="X427" s="2">
        <f t="shared" si="4"/>
        <v>0</v>
      </c>
      <c r="Y427" s="2">
        <f t="shared" si="5"/>
        <v>0</v>
      </c>
      <c r="Z427" s="2">
        <f t="shared" si="6"/>
        <v>0</v>
      </c>
      <c r="AA427" s="2">
        <f t="shared" si="7"/>
        <v>1</v>
      </c>
      <c r="AB427" s="2">
        <f>IF(OR($M427="",$N427=""),0,MEDIAN(-MarginCap,MarginCap,($M427-$N427)-$AA427*HFA_Base))</f>
        <v>0</v>
      </c>
      <c r="AC427" s="2">
        <f t="array" ref="AC427">IF(OR($P427="",INDEX($P$3:$P$722,(ROW()+IF(MOD(ROW()-3,2)=0,1,-1))-3+1)=""),0,MEDIAN(-MarginCap,MarginCap,($T427-$W427)-$AA427*HFA_Base))</f>
        <v>0</v>
      </c>
      <c r="AD427" s="2">
        <f t="shared" si="8"/>
        <v>0</v>
      </c>
      <c r="AE427" s="2">
        <f>IF(OR($M427="",$N427=""),0,IF(AND(WEpa&gt;0,$AD427=1),(1-WEpa)*$AB427+WEpa*$AC427,$AB427))</f>
        <v>0</v>
      </c>
      <c r="AF427" s="2">
        <f>IF(AND($C427&lt;&gt;"",$E427=CurrentSeason,$F427="REG",ISNUMBER($G427),$G427&lt;CurrentWeek,AND($M427&lt;&gt;"",$N427&lt;&gt;"")),1,0)</f>
        <v>0</v>
      </c>
      <c r="AG427" s="2">
        <f>IF($AF427=0,0,IF($G427&gt;=CurrentWeek-RecencyWin,RecencyMult,1))</f>
        <v>0</v>
      </c>
      <c r="AH427" s="2">
        <f>IF(AND($C427&lt;&gt;"",$E427=CurrentSeason,$F427="REG",ISNUMBER($G427),$G427&lt;CurrentWeek-1,AND($M427&lt;&gt;"",$N427&lt;&gt;"")),1,0)</f>
        <v>0</v>
      </c>
      <c r="AI427" s="2">
        <f>IF($AH427=0,0,IF($G427&gt;=CurrentWeek-1-RecencyWin,RecencyMult,1))</f>
        <v>0</v>
      </c>
      <c r="AJ427" s="2">
        <f>IF($AF427=0,0,IF($G427&gt;=CurrentWeek-RecencyWin,TotRecency,1))</f>
        <v>0</v>
      </c>
      <c r="AK427" s="2">
        <f t="shared" si="9"/>
        <v>0</v>
      </c>
      <c r="AL427" s="2">
        <f t="shared" si="10"/>
        <v>0</v>
      </c>
      <c r="AM427" s="2" t="str">
        <f t="array" ref="AM427">IF($K427="",0,IFERROR(INDEX(CALC!$F$2:$F$33,MATCH($K427,CALC!$A$2:$A$33,0)),0))</f>
        <v/>
      </c>
      <c r="AN427" s="2" t="str">
        <f t="array" ref="AN427">IF($K427="",0,IFERROR(INDEX(CALC!$I$2:$I$33,MATCH($K427,CALC!$A$2:$A$33,0)),0))</f>
        <v/>
      </c>
      <c r="AO427" s="2" t="str">
        <f t="array" ref="AO427">IF($K427="",0,IFERROR(INDEX(CALC!$L$2:$L$33,MATCH($K427,CALC!$A$2:$A$33,0)),0))</f>
        <v/>
      </c>
      <c r="AP427" s="2" t="str">
        <f t="array" ref="AP427">IF($K427="",0,IFERROR(INDEX(CALC!$T$2:$T$33,MATCH($K427,CALC!$A$2:$A$33,0)),0))</f>
        <v/>
      </c>
      <c r="AQ427" s="2" t="str">
        <f t="array" ref="AQ427">IF($K427="",0,IFERROR(INDEX(CALC!$W$2:$W$33,MATCH($K427,CALC!$A$2:$A$33,0)),0))</f>
        <v/>
      </c>
      <c r="AR427" s="2" t="str">
        <f t="array" ref="AR427">IF($K427="",0,IFERROR(INDEX(CALC!$Z$2:$Z$33,MATCH($K427,CALC!$A$2:$A$33,0)),0))</f>
        <v/>
      </c>
      <c r="AS427" s="2" t="str">
        <f t="array" ref="AS427">IF($K427="",0,IFERROR(INDEX(CALC!$AJ$2:$AJ$33,MATCH($K427,CALC!$A$2:$A$33,0)),0))</f>
        <v/>
      </c>
      <c r="AT427" s="2" t="str">
        <f t="array" ref="AT427">IF($K427="",0,IFERROR(INDEX(CALC!$AI$2:$AI$33,MATCH($K427,CALC!$A$2:$A$33,0)),0))</f>
        <v/>
      </c>
      <c r="AU427" s="2">
        <f t="shared" si="11"/>
        <v>0</v>
      </c>
      <c r="AV427" s="2">
        <f t="shared" si="12"/>
        <v>0</v>
      </c>
    </row>
    <row r="428" ht="15.0" customHeight="1">
      <c r="A428" s="2">
        <v>213.0</v>
      </c>
      <c r="B428" s="2" t="s">
        <v>2366</v>
      </c>
      <c r="C428" s="2">
        <f>IFERROR(MATCH($A428,SchedSeq,0),"")</f>
        <v>498</v>
      </c>
      <c r="D428" s="2" t="str">
        <f t="array" ref="D428">IF($C428="","",INDEX(SchedZone,$C428,MAP!$B$6))</f>
        <v>2026_15_MIA_GB</v>
      </c>
      <c r="E428" s="2">
        <f t="array" ref="E428">IF($C428="","",INDEX(SchedZone,$C428,MAP!$B$3))</f>
        <v>2026</v>
      </c>
      <c r="F428" s="2" t="str">
        <f t="array" ref="F428">IF($C428="","",INDEX(SchedZone,$C428,MAP!$B$5))</f>
        <v>REG</v>
      </c>
      <c r="G428" s="2">
        <f t="array" ref="G428">IF($C428="","",INDEX(SchedZone,$C428,MAP!$B$4))</f>
        <v>15</v>
      </c>
      <c r="H428" s="2" t="str">
        <f t="array" ref="H428">IF($C428="","",INDEX(SchedZone,$C428,MAP!$B$10))</f>
        <v>MIA</v>
      </c>
      <c r="I428" s="2" t="str">
        <f t="array" ref="I428">IF($H428="","",IF(COUNTIF(Teams,$H428)&gt;0,$H428,IFERROR(INDEX(LISTS!$D$2:$D$12,MATCH($H428,LISTS!$C$2:$C$12,0)),"⚠ "&amp;$H428)))</f>
        <v>MIA</v>
      </c>
      <c r="J428" s="2" t="str">
        <f t="array" ref="J428">IF($C428="","",INDEX(SchedZone,$C428,MAP!$B$12))</f>
        <v>GB</v>
      </c>
      <c r="K428" s="2" t="str">
        <f t="array" ref="K428">IF($J428="","",IF(COUNTIF(Teams,$J428)&gt;0,$J428,IFERROR(INDEX(LISTS!$D$2:$D$12,MATCH($J428,LISTS!$C$2:$C$12,0)),"⚠ "&amp;$J428)))</f>
        <v>GB</v>
      </c>
      <c r="L428" s="2" t="str">
        <f t="array" ref="L428">IF($C428="","",IF(INDEX(SchedZone,$C428,MAP!$B$14)="Neutral","N",IF($B428="HOME","H","A")))</f>
        <v>A</v>
      </c>
      <c r="M428" s="2" t="str">
        <f t="array" ref="M428">IF($C428="","",IF(INDEX(SchedZone,$C428,MAP!$B$11)="","",INDEX(SchedZone,$C428,MAP!$B$11)))</f>
        <v/>
      </c>
      <c r="N428" s="2" t="str">
        <f t="array" ref="N428">IF($C428="","",IF(INDEX(SchedZone,$C428,MAP!$B$13)="","",INDEX(SchedZone,$C428,MAP!$B$13)))</f>
        <v/>
      </c>
      <c r="O428" s="2">
        <f t="array" ref="O428">IF($C428="","",INDEX(SchedZone,$C428,MAP!$B$15))</f>
        <v>7</v>
      </c>
      <c r="P428" s="2" t="str">
        <f>IF($C428="","",IFERROR(MATCH($E428&amp;"|"&amp;$G428&amp;"|"&amp;$I428,StatsKey,0),""))</f>
        <v/>
      </c>
      <c r="Q428" s="2">
        <f t="array" ref="Q428">IF($P428="",0,INDEX(StatsZone,$P428,MAP!$E$9)+INDEX(StatsZone,$P428,MAP!$E$10)+INDEX(StatsZone,$P428,MAP!$E$11))</f>
        <v>0</v>
      </c>
      <c r="R428" s="2">
        <f t="array" ref="R428">IF($P428="",0,INDEX(StatsZone,$P428,MAP!$E$12))</f>
        <v>0</v>
      </c>
      <c r="S428" s="2">
        <f t="array" ref="S428">IF($P428="",0,INDEX(StatsZone,$P428,MAP!$E$13))</f>
        <v>0</v>
      </c>
      <c r="T428" s="2">
        <f t="shared" si="1"/>
        <v>0</v>
      </c>
      <c r="U428" s="2">
        <f t="array" ref="U428">IF($P428="",0,INDEX(StatsZone,$P428,MAP!$E$14)+INDEX(StatsZone,$P428,MAP!$E$15)+INDEX(StatsZone,$P428,MAP!$E$16))</f>
        <v>0</v>
      </c>
      <c r="V428" s="2">
        <f t="shared" si="2"/>
        <v>0</v>
      </c>
      <c r="W428" s="2">
        <f t="shared" si="3"/>
        <v>0</v>
      </c>
      <c r="X428" s="2">
        <f t="shared" si="4"/>
        <v>0</v>
      </c>
      <c r="Y428" s="2">
        <f t="shared" si="5"/>
        <v>0</v>
      </c>
      <c r="Z428" s="2">
        <f t="shared" si="6"/>
        <v>0</v>
      </c>
      <c r="AA428" s="2">
        <f t="shared" si="7"/>
        <v>-1</v>
      </c>
      <c r="AB428" s="2">
        <f>IF(OR($M428="",$N428=""),0,MEDIAN(-MarginCap,MarginCap,($M428-$N428)-$AA428*HFA_Base))</f>
        <v>0</v>
      </c>
      <c r="AC428" s="2">
        <f t="array" ref="AC428">IF(OR($P428="",INDEX($P$3:$P$722,(ROW()+IF(MOD(ROW()-3,2)=0,1,-1))-3+1)=""),0,MEDIAN(-MarginCap,MarginCap,($T428-$W428)-$AA428*HFA_Base))</f>
        <v>0</v>
      </c>
      <c r="AD428" s="2">
        <f t="shared" si="8"/>
        <v>0</v>
      </c>
      <c r="AE428" s="2">
        <f>IF(OR($M428="",$N428=""),0,IF(AND(WEpa&gt;0,$AD428=1),(1-WEpa)*$AB428+WEpa*$AC428,$AB428))</f>
        <v>0</v>
      </c>
      <c r="AF428" s="2">
        <f>IF(AND($C428&lt;&gt;"",$E428=CurrentSeason,$F428="REG",ISNUMBER($G428),$G428&lt;CurrentWeek,AND($M428&lt;&gt;"",$N428&lt;&gt;"")),1,0)</f>
        <v>0</v>
      </c>
      <c r="AG428" s="2">
        <f>IF($AF428=0,0,IF($G428&gt;=CurrentWeek-RecencyWin,RecencyMult,1))</f>
        <v>0</v>
      </c>
      <c r="AH428" s="2">
        <f>IF(AND($C428&lt;&gt;"",$E428=CurrentSeason,$F428="REG",ISNUMBER($G428),$G428&lt;CurrentWeek-1,AND($M428&lt;&gt;"",$N428&lt;&gt;"")),1,0)</f>
        <v>0</v>
      </c>
      <c r="AI428" s="2">
        <f>IF($AH428=0,0,IF($G428&gt;=CurrentWeek-1-RecencyWin,RecencyMult,1))</f>
        <v>0</v>
      </c>
      <c r="AJ428" s="2">
        <f>IF($AF428=0,0,IF($G428&gt;=CurrentWeek-RecencyWin,TotRecency,1))</f>
        <v>0</v>
      </c>
      <c r="AK428" s="2">
        <f t="shared" si="9"/>
        <v>0</v>
      </c>
      <c r="AL428" s="2">
        <f t="shared" si="10"/>
        <v>0</v>
      </c>
      <c r="AM428" s="2" t="str">
        <f t="array" ref="AM428">IF($K428="",0,IFERROR(INDEX(CALC!$F$2:$F$33,MATCH($K428,CALC!$A$2:$A$33,0)),0))</f>
        <v/>
      </c>
      <c r="AN428" s="2" t="str">
        <f t="array" ref="AN428">IF($K428="",0,IFERROR(INDEX(CALC!$I$2:$I$33,MATCH($K428,CALC!$A$2:$A$33,0)),0))</f>
        <v/>
      </c>
      <c r="AO428" s="2" t="str">
        <f t="array" ref="AO428">IF($K428="",0,IFERROR(INDEX(CALC!$L$2:$L$33,MATCH($K428,CALC!$A$2:$A$33,0)),0))</f>
        <v/>
      </c>
      <c r="AP428" s="2" t="str">
        <f t="array" ref="AP428">IF($K428="",0,IFERROR(INDEX(CALC!$T$2:$T$33,MATCH($K428,CALC!$A$2:$A$33,0)),0))</f>
        <v/>
      </c>
      <c r="AQ428" s="2" t="str">
        <f t="array" ref="AQ428">IF($K428="",0,IFERROR(INDEX(CALC!$W$2:$W$33,MATCH($K428,CALC!$A$2:$A$33,0)),0))</f>
        <v/>
      </c>
      <c r="AR428" s="2" t="str">
        <f t="array" ref="AR428">IF($K428="",0,IFERROR(INDEX(CALC!$Z$2:$Z$33,MATCH($K428,CALC!$A$2:$A$33,0)),0))</f>
        <v/>
      </c>
      <c r="AS428" s="2" t="str">
        <f t="array" ref="AS428">IF($K428="",0,IFERROR(INDEX(CALC!$AJ$2:$AJ$33,MATCH($K428,CALC!$A$2:$A$33,0)),0))</f>
        <v/>
      </c>
      <c r="AT428" s="2" t="str">
        <f t="array" ref="AT428">IF($K428="",0,IFERROR(INDEX(CALC!$AI$2:$AI$33,MATCH($K428,CALC!$A$2:$A$33,0)),0))</f>
        <v/>
      </c>
      <c r="AU428" s="2">
        <f t="shared" si="11"/>
        <v>0</v>
      </c>
      <c r="AV428" s="2">
        <f t="shared" si="12"/>
        <v>0</v>
      </c>
    </row>
    <row r="429" ht="15.0" customHeight="1">
      <c r="A429" s="2">
        <v>214.0</v>
      </c>
      <c r="B429" s="2" t="s">
        <v>2365</v>
      </c>
      <c r="C429" s="2">
        <f>IFERROR(MATCH($A429,SchedSeq,0),"")</f>
        <v>499</v>
      </c>
      <c r="D429" s="2" t="str">
        <f t="array" ref="D429">IF($C429="","",INDEX(SchedZone,$C429,MAP!$B$6))</f>
        <v>2026_15_JAX_HOU</v>
      </c>
      <c r="E429" s="2">
        <f t="array" ref="E429">IF($C429="","",INDEX(SchedZone,$C429,MAP!$B$3))</f>
        <v>2026</v>
      </c>
      <c r="F429" s="2" t="str">
        <f t="array" ref="F429">IF($C429="","",INDEX(SchedZone,$C429,MAP!$B$5))</f>
        <v>REG</v>
      </c>
      <c r="G429" s="2">
        <f t="array" ref="G429">IF($C429="","",INDEX(SchedZone,$C429,MAP!$B$4))</f>
        <v>15</v>
      </c>
      <c r="H429" s="2" t="str">
        <f t="array" ref="H429">IF($C429="","",INDEX(SchedZone,$C429,MAP!$B$12))</f>
        <v>HOU</v>
      </c>
      <c r="I429" s="2" t="str">
        <f t="array" ref="I429">IF($H429="","",IF(COUNTIF(Teams,$H429)&gt;0,$H429,IFERROR(INDEX(LISTS!$D$2:$D$12,MATCH($H429,LISTS!$C$2:$C$12,0)),"⚠ "&amp;$H429)))</f>
        <v>HOU</v>
      </c>
      <c r="J429" s="2" t="str">
        <f t="array" ref="J429">IF($C429="","",INDEX(SchedZone,$C429,MAP!$B$10))</f>
        <v>JAX</v>
      </c>
      <c r="K429" s="2" t="str">
        <f t="array" ref="K429">IF($J429="","",IF(COUNTIF(Teams,$J429)&gt;0,$J429,IFERROR(INDEX(LISTS!$D$2:$D$12,MATCH($J429,LISTS!$C$2:$C$12,0)),"⚠ "&amp;$J429)))</f>
        <v>JAX</v>
      </c>
      <c r="L429" s="2" t="str">
        <f t="array" ref="L429">IF($C429="","",IF(INDEX(SchedZone,$C429,MAP!$B$14)="Neutral","N",IF($B429="HOME","H","A")))</f>
        <v>H</v>
      </c>
      <c r="M429" s="2" t="str">
        <f t="array" ref="M429">IF($C429="","",IF(INDEX(SchedZone,$C429,MAP!$B$13)="","",INDEX(SchedZone,$C429,MAP!$B$13)))</f>
        <v/>
      </c>
      <c r="N429" s="2" t="str">
        <f t="array" ref="N429">IF($C429="","",IF(INDEX(SchedZone,$C429,MAP!$B$11)="","",INDEX(SchedZone,$C429,MAP!$B$11)))</f>
        <v/>
      </c>
      <c r="O429" s="2">
        <f t="array" ref="O429">IF($C429="","",INDEX(SchedZone,$C429,MAP!$B$16))</f>
        <v>7</v>
      </c>
      <c r="P429" s="2" t="str">
        <f>IF($C429="","",IFERROR(MATCH($E429&amp;"|"&amp;$G429&amp;"|"&amp;$I429,StatsKey,0),""))</f>
        <v/>
      </c>
      <c r="Q429" s="2">
        <f t="array" ref="Q429">IF($P429="",0,INDEX(StatsZone,$P429,MAP!$E$9)+INDEX(StatsZone,$P429,MAP!$E$10)+INDEX(StatsZone,$P429,MAP!$E$11))</f>
        <v>0</v>
      </c>
      <c r="R429" s="2">
        <f t="array" ref="R429">IF($P429="",0,INDEX(StatsZone,$P429,MAP!$E$12))</f>
        <v>0</v>
      </c>
      <c r="S429" s="2">
        <f t="array" ref="S429">IF($P429="",0,INDEX(StatsZone,$P429,MAP!$E$13))</f>
        <v>0</v>
      </c>
      <c r="T429" s="2">
        <f t="shared" si="1"/>
        <v>0</v>
      </c>
      <c r="U429" s="2">
        <f t="array" ref="U429">IF($P429="",0,INDEX(StatsZone,$P429,MAP!$E$14)+INDEX(StatsZone,$P429,MAP!$E$15)+INDEX(StatsZone,$P429,MAP!$E$16))</f>
        <v>0</v>
      </c>
      <c r="V429" s="2">
        <f t="shared" si="2"/>
        <v>0</v>
      </c>
      <c r="W429" s="2">
        <f t="shared" si="3"/>
        <v>0</v>
      </c>
      <c r="X429" s="2">
        <f t="shared" si="4"/>
        <v>0</v>
      </c>
      <c r="Y429" s="2">
        <f t="shared" si="5"/>
        <v>0</v>
      </c>
      <c r="Z429" s="2">
        <f t="shared" si="6"/>
        <v>0</v>
      </c>
      <c r="AA429" s="2">
        <f t="shared" si="7"/>
        <v>1</v>
      </c>
      <c r="AB429" s="2">
        <f>IF(OR($M429="",$N429=""),0,MEDIAN(-MarginCap,MarginCap,($M429-$N429)-$AA429*HFA_Base))</f>
        <v>0</v>
      </c>
      <c r="AC429" s="2">
        <f t="array" ref="AC429">IF(OR($P429="",INDEX($P$3:$P$722,(ROW()+IF(MOD(ROW()-3,2)=0,1,-1))-3+1)=""),0,MEDIAN(-MarginCap,MarginCap,($T429-$W429)-$AA429*HFA_Base))</f>
        <v>0</v>
      </c>
      <c r="AD429" s="2">
        <f t="shared" si="8"/>
        <v>0</v>
      </c>
      <c r="AE429" s="2">
        <f>IF(OR($M429="",$N429=""),0,IF(AND(WEpa&gt;0,$AD429=1),(1-WEpa)*$AB429+WEpa*$AC429,$AB429))</f>
        <v>0</v>
      </c>
      <c r="AF429" s="2">
        <f>IF(AND($C429&lt;&gt;"",$E429=CurrentSeason,$F429="REG",ISNUMBER($G429),$G429&lt;CurrentWeek,AND($M429&lt;&gt;"",$N429&lt;&gt;"")),1,0)</f>
        <v>0</v>
      </c>
      <c r="AG429" s="2">
        <f>IF($AF429=0,0,IF($G429&gt;=CurrentWeek-RecencyWin,RecencyMult,1))</f>
        <v>0</v>
      </c>
      <c r="AH429" s="2">
        <f>IF(AND($C429&lt;&gt;"",$E429=CurrentSeason,$F429="REG",ISNUMBER($G429),$G429&lt;CurrentWeek-1,AND($M429&lt;&gt;"",$N429&lt;&gt;"")),1,0)</f>
        <v>0</v>
      </c>
      <c r="AI429" s="2">
        <f>IF($AH429=0,0,IF($G429&gt;=CurrentWeek-1-RecencyWin,RecencyMult,1))</f>
        <v>0</v>
      </c>
      <c r="AJ429" s="2">
        <f>IF($AF429=0,0,IF($G429&gt;=CurrentWeek-RecencyWin,TotRecency,1))</f>
        <v>0</v>
      </c>
      <c r="AK429" s="2">
        <f t="shared" si="9"/>
        <v>0</v>
      </c>
      <c r="AL429" s="2">
        <f t="shared" si="10"/>
        <v>0</v>
      </c>
      <c r="AM429" s="2" t="str">
        <f t="array" ref="AM429">IF($K429="",0,IFERROR(INDEX(CALC!$F$2:$F$33,MATCH($K429,CALC!$A$2:$A$33,0)),0))</f>
        <v/>
      </c>
      <c r="AN429" s="2" t="str">
        <f t="array" ref="AN429">IF($K429="",0,IFERROR(INDEX(CALC!$I$2:$I$33,MATCH($K429,CALC!$A$2:$A$33,0)),0))</f>
        <v/>
      </c>
      <c r="AO429" s="2" t="str">
        <f t="array" ref="AO429">IF($K429="",0,IFERROR(INDEX(CALC!$L$2:$L$33,MATCH($K429,CALC!$A$2:$A$33,0)),0))</f>
        <v/>
      </c>
      <c r="AP429" s="2" t="str">
        <f t="array" ref="AP429">IF($K429="",0,IFERROR(INDEX(CALC!$T$2:$T$33,MATCH($K429,CALC!$A$2:$A$33,0)),0))</f>
        <v/>
      </c>
      <c r="AQ429" s="2" t="str">
        <f t="array" ref="AQ429">IF($K429="",0,IFERROR(INDEX(CALC!$W$2:$W$33,MATCH($K429,CALC!$A$2:$A$33,0)),0))</f>
        <v/>
      </c>
      <c r="AR429" s="2" t="str">
        <f t="array" ref="AR429">IF($K429="",0,IFERROR(INDEX(CALC!$Z$2:$Z$33,MATCH($K429,CALC!$A$2:$A$33,0)),0))</f>
        <v/>
      </c>
      <c r="AS429" s="2" t="str">
        <f t="array" ref="AS429">IF($K429="",0,IFERROR(INDEX(CALC!$AJ$2:$AJ$33,MATCH($K429,CALC!$A$2:$A$33,0)),0))</f>
        <v/>
      </c>
      <c r="AT429" s="2" t="str">
        <f t="array" ref="AT429">IF($K429="",0,IFERROR(INDEX(CALC!$AI$2:$AI$33,MATCH($K429,CALC!$A$2:$A$33,0)),0))</f>
        <v/>
      </c>
      <c r="AU429" s="2">
        <f t="shared" si="11"/>
        <v>0</v>
      </c>
      <c r="AV429" s="2">
        <f t="shared" si="12"/>
        <v>0</v>
      </c>
    </row>
    <row r="430" ht="15.0" customHeight="1">
      <c r="A430" s="2">
        <v>214.0</v>
      </c>
      <c r="B430" s="2" t="s">
        <v>2366</v>
      </c>
      <c r="C430" s="2">
        <f>IFERROR(MATCH($A430,SchedSeq,0),"")</f>
        <v>499</v>
      </c>
      <c r="D430" s="2" t="str">
        <f t="array" ref="D430">IF($C430="","",INDEX(SchedZone,$C430,MAP!$B$6))</f>
        <v>2026_15_JAX_HOU</v>
      </c>
      <c r="E430" s="2">
        <f t="array" ref="E430">IF($C430="","",INDEX(SchedZone,$C430,MAP!$B$3))</f>
        <v>2026</v>
      </c>
      <c r="F430" s="2" t="str">
        <f t="array" ref="F430">IF($C430="","",INDEX(SchedZone,$C430,MAP!$B$5))</f>
        <v>REG</v>
      </c>
      <c r="G430" s="2">
        <f t="array" ref="G430">IF($C430="","",INDEX(SchedZone,$C430,MAP!$B$4))</f>
        <v>15</v>
      </c>
      <c r="H430" s="2" t="str">
        <f t="array" ref="H430">IF($C430="","",INDEX(SchedZone,$C430,MAP!$B$10))</f>
        <v>JAX</v>
      </c>
      <c r="I430" s="2" t="str">
        <f t="array" ref="I430">IF($H430="","",IF(COUNTIF(Teams,$H430)&gt;0,$H430,IFERROR(INDEX(LISTS!$D$2:$D$12,MATCH($H430,LISTS!$C$2:$C$12,0)),"⚠ "&amp;$H430)))</f>
        <v>JAX</v>
      </c>
      <c r="J430" s="2" t="str">
        <f t="array" ref="J430">IF($C430="","",INDEX(SchedZone,$C430,MAP!$B$12))</f>
        <v>HOU</v>
      </c>
      <c r="K430" s="2" t="str">
        <f t="array" ref="K430">IF($J430="","",IF(COUNTIF(Teams,$J430)&gt;0,$J430,IFERROR(INDEX(LISTS!$D$2:$D$12,MATCH($J430,LISTS!$C$2:$C$12,0)),"⚠ "&amp;$J430)))</f>
        <v>HOU</v>
      </c>
      <c r="L430" s="2" t="str">
        <f t="array" ref="L430">IF($C430="","",IF(INDEX(SchedZone,$C430,MAP!$B$14)="Neutral","N",IF($B430="HOME","H","A")))</f>
        <v>A</v>
      </c>
      <c r="M430" s="2" t="str">
        <f t="array" ref="M430">IF($C430="","",IF(INDEX(SchedZone,$C430,MAP!$B$11)="","",INDEX(SchedZone,$C430,MAP!$B$11)))</f>
        <v/>
      </c>
      <c r="N430" s="2" t="str">
        <f t="array" ref="N430">IF($C430="","",IF(INDEX(SchedZone,$C430,MAP!$B$13)="","",INDEX(SchedZone,$C430,MAP!$B$13)))</f>
        <v/>
      </c>
      <c r="O430" s="2">
        <f t="array" ref="O430">IF($C430="","",INDEX(SchedZone,$C430,MAP!$B$15))</f>
        <v>6</v>
      </c>
      <c r="P430" s="2" t="str">
        <f>IF($C430="","",IFERROR(MATCH($E430&amp;"|"&amp;$G430&amp;"|"&amp;$I430,StatsKey,0),""))</f>
        <v/>
      </c>
      <c r="Q430" s="2">
        <f t="array" ref="Q430">IF($P430="",0,INDEX(StatsZone,$P430,MAP!$E$9)+INDEX(StatsZone,$P430,MAP!$E$10)+INDEX(StatsZone,$P430,MAP!$E$11))</f>
        <v>0</v>
      </c>
      <c r="R430" s="2">
        <f t="array" ref="R430">IF($P430="",0,INDEX(StatsZone,$P430,MAP!$E$12))</f>
        <v>0</v>
      </c>
      <c r="S430" s="2">
        <f t="array" ref="S430">IF($P430="",0,INDEX(StatsZone,$P430,MAP!$E$13))</f>
        <v>0</v>
      </c>
      <c r="T430" s="2">
        <f t="shared" si="1"/>
        <v>0</v>
      </c>
      <c r="U430" s="2">
        <f t="array" ref="U430">IF($P430="",0,INDEX(StatsZone,$P430,MAP!$E$14)+INDEX(StatsZone,$P430,MAP!$E$15)+INDEX(StatsZone,$P430,MAP!$E$16))</f>
        <v>0</v>
      </c>
      <c r="V430" s="2">
        <f t="shared" si="2"/>
        <v>0</v>
      </c>
      <c r="W430" s="2">
        <f t="shared" si="3"/>
        <v>0</v>
      </c>
      <c r="X430" s="2">
        <f t="shared" si="4"/>
        <v>0</v>
      </c>
      <c r="Y430" s="2">
        <f t="shared" si="5"/>
        <v>0</v>
      </c>
      <c r="Z430" s="2">
        <f t="shared" si="6"/>
        <v>0</v>
      </c>
      <c r="AA430" s="2">
        <f t="shared" si="7"/>
        <v>-1</v>
      </c>
      <c r="AB430" s="2">
        <f>IF(OR($M430="",$N430=""),0,MEDIAN(-MarginCap,MarginCap,($M430-$N430)-$AA430*HFA_Base))</f>
        <v>0</v>
      </c>
      <c r="AC430" s="2">
        <f t="array" ref="AC430">IF(OR($P430="",INDEX($P$3:$P$722,(ROW()+IF(MOD(ROW()-3,2)=0,1,-1))-3+1)=""),0,MEDIAN(-MarginCap,MarginCap,($T430-$W430)-$AA430*HFA_Base))</f>
        <v>0</v>
      </c>
      <c r="AD430" s="2">
        <f t="shared" si="8"/>
        <v>0</v>
      </c>
      <c r="AE430" s="2">
        <f>IF(OR($M430="",$N430=""),0,IF(AND(WEpa&gt;0,$AD430=1),(1-WEpa)*$AB430+WEpa*$AC430,$AB430))</f>
        <v>0</v>
      </c>
      <c r="AF430" s="2">
        <f>IF(AND($C430&lt;&gt;"",$E430=CurrentSeason,$F430="REG",ISNUMBER($G430),$G430&lt;CurrentWeek,AND($M430&lt;&gt;"",$N430&lt;&gt;"")),1,0)</f>
        <v>0</v>
      </c>
      <c r="AG430" s="2">
        <f>IF($AF430=0,0,IF($G430&gt;=CurrentWeek-RecencyWin,RecencyMult,1))</f>
        <v>0</v>
      </c>
      <c r="AH430" s="2">
        <f>IF(AND($C430&lt;&gt;"",$E430=CurrentSeason,$F430="REG",ISNUMBER($G430),$G430&lt;CurrentWeek-1,AND($M430&lt;&gt;"",$N430&lt;&gt;"")),1,0)</f>
        <v>0</v>
      </c>
      <c r="AI430" s="2">
        <f>IF($AH430=0,0,IF($G430&gt;=CurrentWeek-1-RecencyWin,RecencyMult,1))</f>
        <v>0</v>
      </c>
      <c r="AJ430" s="2">
        <f>IF($AF430=0,0,IF($G430&gt;=CurrentWeek-RecencyWin,TotRecency,1))</f>
        <v>0</v>
      </c>
      <c r="AK430" s="2">
        <f t="shared" si="9"/>
        <v>0</v>
      </c>
      <c r="AL430" s="2">
        <f t="shared" si="10"/>
        <v>0</v>
      </c>
      <c r="AM430" s="2" t="str">
        <f t="array" ref="AM430">IF($K430="",0,IFERROR(INDEX(CALC!$F$2:$F$33,MATCH($K430,CALC!$A$2:$A$33,0)),0))</f>
        <v/>
      </c>
      <c r="AN430" s="2" t="str">
        <f t="array" ref="AN430">IF($K430="",0,IFERROR(INDEX(CALC!$I$2:$I$33,MATCH($K430,CALC!$A$2:$A$33,0)),0))</f>
        <v/>
      </c>
      <c r="AO430" s="2" t="str">
        <f t="array" ref="AO430">IF($K430="",0,IFERROR(INDEX(CALC!$L$2:$L$33,MATCH($K430,CALC!$A$2:$A$33,0)),0))</f>
        <v/>
      </c>
      <c r="AP430" s="2" t="str">
        <f t="array" ref="AP430">IF($K430="",0,IFERROR(INDEX(CALC!$T$2:$T$33,MATCH($K430,CALC!$A$2:$A$33,0)),0))</f>
        <v/>
      </c>
      <c r="AQ430" s="2" t="str">
        <f t="array" ref="AQ430">IF($K430="",0,IFERROR(INDEX(CALC!$W$2:$W$33,MATCH($K430,CALC!$A$2:$A$33,0)),0))</f>
        <v/>
      </c>
      <c r="AR430" s="2" t="str">
        <f t="array" ref="AR430">IF($K430="",0,IFERROR(INDEX(CALC!$Z$2:$Z$33,MATCH($K430,CALC!$A$2:$A$33,0)),0))</f>
        <v/>
      </c>
      <c r="AS430" s="2" t="str">
        <f t="array" ref="AS430">IF($K430="",0,IFERROR(INDEX(CALC!$AJ$2:$AJ$33,MATCH($K430,CALC!$A$2:$A$33,0)),0))</f>
        <v/>
      </c>
      <c r="AT430" s="2" t="str">
        <f t="array" ref="AT430">IF($K430="",0,IFERROR(INDEX(CALC!$AI$2:$AI$33,MATCH($K430,CALC!$A$2:$A$33,0)),0))</f>
        <v/>
      </c>
      <c r="AU430" s="2">
        <f t="shared" si="11"/>
        <v>0</v>
      </c>
      <c r="AV430" s="2">
        <f t="shared" si="12"/>
        <v>0</v>
      </c>
    </row>
    <row r="431" ht="15.0" customHeight="1">
      <c r="A431" s="2">
        <v>215.0</v>
      </c>
      <c r="B431" s="2" t="s">
        <v>2365</v>
      </c>
      <c r="C431" s="2">
        <f>IFERROR(MATCH($A431,SchedSeq,0),"")</f>
        <v>500</v>
      </c>
      <c r="D431" s="2" t="str">
        <f t="array" ref="D431">IF($C431="","",INDEX(SchedZone,$C431,MAP!$B$6))</f>
        <v>2026_15_CLE_NYG</v>
      </c>
      <c r="E431" s="2">
        <f t="array" ref="E431">IF($C431="","",INDEX(SchedZone,$C431,MAP!$B$3))</f>
        <v>2026</v>
      </c>
      <c r="F431" s="2" t="str">
        <f t="array" ref="F431">IF($C431="","",INDEX(SchedZone,$C431,MAP!$B$5))</f>
        <v>REG</v>
      </c>
      <c r="G431" s="2">
        <f t="array" ref="G431">IF($C431="","",INDEX(SchedZone,$C431,MAP!$B$4))</f>
        <v>15</v>
      </c>
      <c r="H431" s="2" t="str">
        <f t="array" ref="H431">IF($C431="","",INDEX(SchedZone,$C431,MAP!$B$12))</f>
        <v>NYG</v>
      </c>
      <c r="I431" s="2" t="str">
        <f t="array" ref="I431">IF($H431="","",IF(COUNTIF(Teams,$H431)&gt;0,$H431,IFERROR(INDEX(LISTS!$D$2:$D$12,MATCH($H431,LISTS!$C$2:$C$12,0)),"⚠ "&amp;$H431)))</f>
        <v>NYG</v>
      </c>
      <c r="J431" s="2" t="str">
        <f t="array" ref="J431">IF($C431="","",INDEX(SchedZone,$C431,MAP!$B$10))</f>
        <v>CLE</v>
      </c>
      <c r="K431" s="2" t="str">
        <f t="array" ref="K431">IF($J431="","",IF(COUNTIF(Teams,$J431)&gt;0,$J431,IFERROR(INDEX(LISTS!$D$2:$D$12,MATCH($J431,LISTS!$C$2:$C$12,0)),"⚠ "&amp;$J431)))</f>
        <v>CLE</v>
      </c>
      <c r="L431" s="2" t="str">
        <f t="array" ref="L431">IF($C431="","",IF(INDEX(SchedZone,$C431,MAP!$B$14)="Neutral","N",IF($B431="HOME","H","A")))</f>
        <v>H</v>
      </c>
      <c r="M431" s="2" t="str">
        <f t="array" ref="M431">IF($C431="","",IF(INDEX(SchedZone,$C431,MAP!$B$13)="","",INDEX(SchedZone,$C431,MAP!$B$13)))</f>
        <v/>
      </c>
      <c r="N431" s="2" t="str">
        <f t="array" ref="N431">IF($C431="","",IF(INDEX(SchedZone,$C431,MAP!$B$11)="","",INDEX(SchedZone,$C431,MAP!$B$11)))</f>
        <v/>
      </c>
      <c r="O431" s="2">
        <f t="array" ref="O431">IF($C431="","",INDEX(SchedZone,$C431,MAP!$B$16))</f>
        <v>7</v>
      </c>
      <c r="P431" s="2" t="str">
        <f>IF($C431="","",IFERROR(MATCH($E431&amp;"|"&amp;$G431&amp;"|"&amp;$I431,StatsKey,0),""))</f>
        <v/>
      </c>
      <c r="Q431" s="2">
        <f t="array" ref="Q431">IF($P431="",0,INDEX(StatsZone,$P431,MAP!$E$9)+INDEX(StatsZone,$P431,MAP!$E$10)+INDEX(StatsZone,$P431,MAP!$E$11))</f>
        <v>0</v>
      </c>
      <c r="R431" s="2">
        <f t="array" ref="R431">IF($P431="",0,INDEX(StatsZone,$P431,MAP!$E$12))</f>
        <v>0</v>
      </c>
      <c r="S431" s="2">
        <f t="array" ref="S431">IF($P431="",0,INDEX(StatsZone,$P431,MAP!$E$13))</f>
        <v>0</v>
      </c>
      <c r="T431" s="2">
        <f t="shared" si="1"/>
        <v>0</v>
      </c>
      <c r="U431" s="2">
        <f t="array" ref="U431">IF($P431="",0,INDEX(StatsZone,$P431,MAP!$E$14)+INDEX(StatsZone,$P431,MAP!$E$15)+INDEX(StatsZone,$P431,MAP!$E$16))</f>
        <v>0</v>
      </c>
      <c r="V431" s="2">
        <f t="shared" si="2"/>
        <v>0</v>
      </c>
      <c r="W431" s="2">
        <f t="shared" si="3"/>
        <v>0</v>
      </c>
      <c r="X431" s="2">
        <f t="shared" si="4"/>
        <v>0</v>
      </c>
      <c r="Y431" s="2">
        <f t="shared" si="5"/>
        <v>0</v>
      </c>
      <c r="Z431" s="2">
        <f t="shared" si="6"/>
        <v>0</v>
      </c>
      <c r="AA431" s="2">
        <f t="shared" si="7"/>
        <v>1</v>
      </c>
      <c r="AB431" s="2">
        <f>IF(OR($M431="",$N431=""),0,MEDIAN(-MarginCap,MarginCap,($M431-$N431)-$AA431*HFA_Base))</f>
        <v>0</v>
      </c>
      <c r="AC431" s="2">
        <f t="array" ref="AC431">IF(OR($P431="",INDEX($P$3:$P$722,(ROW()+IF(MOD(ROW()-3,2)=0,1,-1))-3+1)=""),0,MEDIAN(-MarginCap,MarginCap,($T431-$W431)-$AA431*HFA_Base))</f>
        <v>0</v>
      </c>
      <c r="AD431" s="2">
        <f t="shared" si="8"/>
        <v>0</v>
      </c>
      <c r="AE431" s="2">
        <f>IF(OR($M431="",$N431=""),0,IF(AND(WEpa&gt;0,$AD431=1),(1-WEpa)*$AB431+WEpa*$AC431,$AB431))</f>
        <v>0</v>
      </c>
      <c r="AF431" s="2">
        <f>IF(AND($C431&lt;&gt;"",$E431=CurrentSeason,$F431="REG",ISNUMBER($G431),$G431&lt;CurrentWeek,AND($M431&lt;&gt;"",$N431&lt;&gt;"")),1,0)</f>
        <v>0</v>
      </c>
      <c r="AG431" s="2">
        <f>IF($AF431=0,0,IF($G431&gt;=CurrentWeek-RecencyWin,RecencyMult,1))</f>
        <v>0</v>
      </c>
      <c r="AH431" s="2">
        <f>IF(AND($C431&lt;&gt;"",$E431=CurrentSeason,$F431="REG",ISNUMBER($G431),$G431&lt;CurrentWeek-1,AND($M431&lt;&gt;"",$N431&lt;&gt;"")),1,0)</f>
        <v>0</v>
      </c>
      <c r="AI431" s="2">
        <f>IF($AH431=0,0,IF($G431&gt;=CurrentWeek-1-RecencyWin,RecencyMult,1))</f>
        <v>0</v>
      </c>
      <c r="AJ431" s="2">
        <f>IF($AF431=0,0,IF($G431&gt;=CurrentWeek-RecencyWin,TotRecency,1))</f>
        <v>0</v>
      </c>
      <c r="AK431" s="2">
        <f t="shared" si="9"/>
        <v>0</v>
      </c>
      <c r="AL431" s="2">
        <f t="shared" si="10"/>
        <v>0</v>
      </c>
      <c r="AM431" s="2" t="str">
        <f t="array" ref="AM431">IF($K431="",0,IFERROR(INDEX(CALC!$F$2:$F$33,MATCH($K431,CALC!$A$2:$A$33,0)),0))</f>
        <v/>
      </c>
      <c r="AN431" s="2" t="str">
        <f t="array" ref="AN431">IF($K431="",0,IFERROR(INDEX(CALC!$I$2:$I$33,MATCH($K431,CALC!$A$2:$A$33,0)),0))</f>
        <v/>
      </c>
      <c r="AO431" s="2" t="str">
        <f t="array" ref="AO431">IF($K431="",0,IFERROR(INDEX(CALC!$L$2:$L$33,MATCH($K431,CALC!$A$2:$A$33,0)),0))</f>
        <v/>
      </c>
      <c r="AP431" s="2" t="str">
        <f t="array" ref="AP431">IF($K431="",0,IFERROR(INDEX(CALC!$T$2:$T$33,MATCH($K431,CALC!$A$2:$A$33,0)),0))</f>
        <v/>
      </c>
      <c r="AQ431" s="2" t="str">
        <f t="array" ref="AQ431">IF($K431="",0,IFERROR(INDEX(CALC!$W$2:$W$33,MATCH($K431,CALC!$A$2:$A$33,0)),0))</f>
        <v/>
      </c>
      <c r="AR431" s="2" t="str">
        <f t="array" ref="AR431">IF($K431="",0,IFERROR(INDEX(CALC!$Z$2:$Z$33,MATCH($K431,CALC!$A$2:$A$33,0)),0))</f>
        <v/>
      </c>
      <c r="AS431" s="2" t="str">
        <f t="array" ref="AS431">IF($K431="",0,IFERROR(INDEX(CALC!$AJ$2:$AJ$33,MATCH($K431,CALC!$A$2:$A$33,0)),0))</f>
        <v/>
      </c>
      <c r="AT431" s="2" t="str">
        <f t="array" ref="AT431">IF($K431="",0,IFERROR(INDEX(CALC!$AI$2:$AI$33,MATCH($K431,CALC!$A$2:$A$33,0)),0))</f>
        <v/>
      </c>
      <c r="AU431" s="2">
        <f t="shared" si="11"/>
        <v>0</v>
      </c>
      <c r="AV431" s="2">
        <f t="shared" si="12"/>
        <v>0</v>
      </c>
    </row>
    <row r="432" ht="15.0" customHeight="1">
      <c r="A432" s="2">
        <v>215.0</v>
      </c>
      <c r="B432" s="2" t="s">
        <v>2366</v>
      </c>
      <c r="C432" s="2">
        <f>IFERROR(MATCH($A432,SchedSeq,0),"")</f>
        <v>500</v>
      </c>
      <c r="D432" s="2" t="str">
        <f t="array" ref="D432">IF($C432="","",INDEX(SchedZone,$C432,MAP!$B$6))</f>
        <v>2026_15_CLE_NYG</v>
      </c>
      <c r="E432" s="2">
        <f t="array" ref="E432">IF($C432="","",INDEX(SchedZone,$C432,MAP!$B$3))</f>
        <v>2026</v>
      </c>
      <c r="F432" s="2" t="str">
        <f t="array" ref="F432">IF($C432="","",INDEX(SchedZone,$C432,MAP!$B$5))</f>
        <v>REG</v>
      </c>
      <c r="G432" s="2">
        <f t="array" ref="G432">IF($C432="","",INDEX(SchedZone,$C432,MAP!$B$4))</f>
        <v>15</v>
      </c>
      <c r="H432" s="2" t="str">
        <f t="array" ref="H432">IF($C432="","",INDEX(SchedZone,$C432,MAP!$B$10))</f>
        <v>CLE</v>
      </c>
      <c r="I432" s="2" t="str">
        <f t="array" ref="I432">IF($H432="","",IF(COUNTIF(Teams,$H432)&gt;0,$H432,IFERROR(INDEX(LISTS!$D$2:$D$12,MATCH($H432,LISTS!$C$2:$C$12,0)),"⚠ "&amp;$H432)))</f>
        <v>CLE</v>
      </c>
      <c r="J432" s="2" t="str">
        <f t="array" ref="J432">IF($C432="","",INDEX(SchedZone,$C432,MAP!$B$12))</f>
        <v>NYG</v>
      </c>
      <c r="K432" s="2" t="str">
        <f t="array" ref="K432">IF($J432="","",IF(COUNTIF(Teams,$J432)&gt;0,$J432,IFERROR(INDEX(LISTS!$D$2:$D$12,MATCH($J432,LISTS!$C$2:$C$12,0)),"⚠ "&amp;$J432)))</f>
        <v>NYG</v>
      </c>
      <c r="L432" s="2" t="str">
        <f t="array" ref="L432">IF($C432="","",IF(INDEX(SchedZone,$C432,MAP!$B$14)="Neutral","N",IF($B432="HOME","H","A")))</f>
        <v>A</v>
      </c>
      <c r="M432" s="2" t="str">
        <f t="array" ref="M432">IF($C432="","",IF(INDEX(SchedZone,$C432,MAP!$B$11)="","",INDEX(SchedZone,$C432,MAP!$B$11)))</f>
        <v/>
      </c>
      <c r="N432" s="2" t="str">
        <f t="array" ref="N432">IF($C432="","",IF(INDEX(SchedZone,$C432,MAP!$B$13)="","",INDEX(SchedZone,$C432,MAP!$B$13)))</f>
        <v/>
      </c>
      <c r="O432" s="2">
        <f t="array" ref="O432">IF($C432="","",INDEX(SchedZone,$C432,MAP!$B$15))</f>
        <v>7</v>
      </c>
      <c r="P432" s="2" t="str">
        <f>IF($C432="","",IFERROR(MATCH($E432&amp;"|"&amp;$G432&amp;"|"&amp;$I432,StatsKey,0),""))</f>
        <v/>
      </c>
      <c r="Q432" s="2">
        <f t="array" ref="Q432">IF($P432="",0,INDEX(StatsZone,$P432,MAP!$E$9)+INDEX(StatsZone,$P432,MAP!$E$10)+INDEX(StatsZone,$P432,MAP!$E$11))</f>
        <v>0</v>
      </c>
      <c r="R432" s="2">
        <f t="array" ref="R432">IF($P432="",0,INDEX(StatsZone,$P432,MAP!$E$12))</f>
        <v>0</v>
      </c>
      <c r="S432" s="2">
        <f t="array" ref="S432">IF($P432="",0,INDEX(StatsZone,$P432,MAP!$E$13))</f>
        <v>0</v>
      </c>
      <c r="T432" s="2">
        <f t="shared" si="1"/>
        <v>0</v>
      </c>
      <c r="U432" s="2">
        <f t="array" ref="U432">IF($P432="",0,INDEX(StatsZone,$P432,MAP!$E$14)+INDEX(StatsZone,$P432,MAP!$E$15)+INDEX(StatsZone,$P432,MAP!$E$16))</f>
        <v>0</v>
      </c>
      <c r="V432" s="2">
        <f t="shared" si="2"/>
        <v>0</v>
      </c>
      <c r="W432" s="2">
        <f t="shared" si="3"/>
        <v>0</v>
      </c>
      <c r="X432" s="2">
        <f t="shared" si="4"/>
        <v>0</v>
      </c>
      <c r="Y432" s="2">
        <f t="shared" si="5"/>
        <v>0</v>
      </c>
      <c r="Z432" s="2">
        <f t="shared" si="6"/>
        <v>0</v>
      </c>
      <c r="AA432" s="2">
        <f t="shared" si="7"/>
        <v>-1</v>
      </c>
      <c r="AB432" s="2">
        <f>IF(OR($M432="",$N432=""),0,MEDIAN(-MarginCap,MarginCap,($M432-$N432)-$AA432*HFA_Base))</f>
        <v>0</v>
      </c>
      <c r="AC432" s="2">
        <f t="array" ref="AC432">IF(OR($P432="",INDEX($P$3:$P$722,(ROW()+IF(MOD(ROW()-3,2)=0,1,-1))-3+1)=""),0,MEDIAN(-MarginCap,MarginCap,($T432-$W432)-$AA432*HFA_Base))</f>
        <v>0</v>
      </c>
      <c r="AD432" s="2">
        <f t="shared" si="8"/>
        <v>0</v>
      </c>
      <c r="AE432" s="2">
        <f>IF(OR($M432="",$N432=""),0,IF(AND(WEpa&gt;0,$AD432=1),(1-WEpa)*$AB432+WEpa*$AC432,$AB432))</f>
        <v>0</v>
      </c>
      <c r="AF432" s="2">
        <f>IF(AND($C432&lt;&gt;"",$E432=CurrentSeason,$F432="REG",ISNUMBER($G432),$G432&lt;CurrentWeek,AND($M432&lt;&gt;"",$N432&lt;&gt;"")),1,0)</f>
        <v>0</v>
      </c>
      <c r="AG432" s="2">
        <f>IF($AF432=0,0,IF($G432&gt;=CurrentWeek-RecencyWin,RecencyMult,1))</f>
        <v>0</v>
      </c>
      <c r="AH432" s="2">
        <f>IF(AND($C432&lt;&gt;"",$E432=CurrentSeason,$F432="REG",ISNUMBER($G432),$G432&lt;CurrentWeek-1,AND($M432&lt;&gt;"",$N432&lt;&gt;"")),1,0)</f>
        <v>0</v>
      </c>
      <c r="AI432" s="2">
        <f>IF($AH432=0,0,IF($G432&gt;=CurrentWeek-1-RecencyWin,RecencyMult,1))</f>
        <v>0</v>
      </c>
      <c r="AJ432" s="2">
        <f>IF($AF432=0,0,IF($G432&gt;=CurrentWeek-RecencyWin,TotRecency,1))</f>
        <v>0</v>
      </c>
      <c r="AK432" s="2">
        <f t="shared" si="9"/>
        <v>0</v>
      </c>
      <c r="AL432" s="2">
        <f t="shared" si="10"/>
        <v>0</v>
      </c>
      <c r="AM432" s="2" t="str">
        <f t="array" ref="AM432">IF($K432="",0,IFERROR(INDEX(CALC!$F$2:$F$33,MATCH($K432,CALC!$A$2:$A$33,0)),0))</f>
        <v/>
      </c>
      <c r="AN432" s="2" t="str">
        <f t="array" ref="AN432">IF($K432="",0,IFERROR(INDEX(CALC!$I$2:$I$33,MATCH($K432,CALC!$A$2:$A$33,0)),0))</f>
        <v/>
      </c>
      <c r="AO432" s="2" t="str">
        <f t="array" ref="AO432">IF($K432="",0,IFERROR(INDEX(CALC!$L$2:$L$33,MATCH($K432,CALC!$A$2:$A$33,0)),0))</f>
        <v/>
      </c>
      <c r="AP432" s="2" t="str">
        <f t="array" ref="AP432">IF($K432="",0,IFERROR(INDEX(CALC!$T$2:$T$33,MATCH($K432,CALC!$A$2:$A$33,0)),0))</f>
        <v/>
      </c>
      <c r="AQ432" s="2" t="str">
        <f t="array" ref="AQ432">IF($K432="",0,IFERROR(INDEX(CALC!$W$2:$W$33,MATCH($K432,CALC!$A$2:$A$33,0)),0))</f>
        <v/>
      </c>
      <c r="AR432" s="2" t="str">
        <f t="array" ref="AR432">IF($K432="",0,IFERROR(INDEX(CALC!$Z$2:$Z$33,MATCH($K432,CALC!$A$2:$A$33,0)),0))</f>
        <v/>
      </c>
      <c r="AS432" s="2" t="str">
        <f t="array" ref="AS432">IF($K432="",0,IFERROR(INDEX(CALC!$AJ$2:$AJ$33,MATCH($K432,CALC!$A$2:$A$33,0)),0))</f>
        <v/>
      </c>
      <c r="AT432" s="2" t="str">
        <f t="array" ref="AT432">IF($K432="",0,IFERROR(INDEX(CALC!$AI$2:$AI$33,MATCH($K432,CALC!$A$2:$A$33,0)),0))</f>
        <v/>
      </c>
      <c r="AU432" s="2">
        <f t="shared" si="11"/>
        <v>0</v>
      </c>
      <c r="AV432" s="2">
        <f t="shared" si="12"/>
        <v>0</v>
      </c>
    </row>
    <row r="433" ht="15.0" customHeight="1">
      <c r="A433" s="2">
        <v>216.0</v>
      </c>
      <c r="B433" s="2" t="s">
        <v>2365</v>
      </c>
      <c r="C433" s="2">
        <f>IFERROR(MATCH($A433,SchedSeq,0),"")</f>
        <v>501</v>
      </c>
      <c r="D433" s="2" t="str">
        <f t="array" ref="D433">IF($C433="","",INDEX(SchedZone,$C433,MAP!$B$6))</f>
        <v>2026_15_BAL_PIT</v>
      </c>
      <c r="E433" s="2">
        <f t="array" ref="E433">IF($C433="","",INDEX(SchedZone,$C433,MAP!$B$3))</f>
        <v>2026</v>
      </c>
      <c r="F433" s="2" t="str">
        <f t="array" ref="F433">IF($C433="","",INDEX(SchedZone,$C433,MAP!$B$5))</f>
        <v>REG</v>
      </c>
      <c r="G433" s="2">
        <f t="array" ref="G433">IF($C433="","",INDEX(SchedZone,$C433,MAP!$B$4))</f>
        <v>15</v>
      </c>
      <c r="H433" s="2" t="str">
        <f t="array" ref="H433">IF($C433="","",INDEX(SchedZone,$C433,MAP!$B$12))</f>
        <v>PIT</v>
      </c>
      <c r="I433" s="2" t="str">
        <f t="array" ref="I433">IF($H433="","",IF(COUNTIF(Teams,$H433)&gt;0,$H433,IFERROR(INDEX(LISTS!$D$2:$D$12,MATCH($H433,LISTS!$C$2:$C$12,0)),"⚠ "&amp;$H433)))</f>
        <v>PIT</v>
      </c>
      <c r="J433" s="2" t="str">
        <f t="array" ref="J433">IF($C433="","",INDEX(SchedZone,$C433,MAP!$B$10))</f>
        <v>BAL</v>
      </c>
      <c r="K433" s="2" t="str">
        <f t="array" ref="K433">IF($J433="","",IF(COUNTIF(Teams,$J433)&gt;0,$J433,IFERROR(INDEX(LISTS!$D$2:$D$12,MATCH($J433,LISTS!$C$2:$C$12,0)),"⚠ "&amp;$J433)))</f>
        <v>BAL</v>
      </c>
      <c r="L433" s="2" t="str">
        <f t="array" ref="L433">IF($C433="","",IF(INDEX(SchedZone,$C433,MAP!$B$14)="Neutral","N",IF($B433="HOME","H","A")))</f>
        <v>H</v>
      </c>
      <c r="M433" s="2" t="str">
        <f t="array" ref="M433">IF($C433="","",IF(INDEX(SchedZone,$C433,MAP!$B$13)="","",INDEX(SchedZone,$C433,MAP!$B$13)))</f>
        <v/>
      </c>
      <c r="N433" s="2" t="str">
        <f t="array" ref="N433">IF($C433="","",IF(INDEX(SchedZone,$C433,MAP!$B$11)="","",INDEX(SchedZone,$C433,MAP!$B$11)))</f>
        <v/>
      </c>
      <c r="O433" s="2">
        <f t="array" ref="O433">IF($C433="","",INDEX(SchedZone,$C433,MAP!$B$16))</f>
        <v>6</v>
      </c>
      <c r="P433" s="2" t="str">
        <f>IF($C433="","",IFERROR(MATCH($E433&amp;"|"&amp;$G433&amp;"|"&amp;$I433,StatsKey,0),""))</f>
        <v/>
      </c>
      <c r="Q433" s="2">
        <f t="array" ref="Q433">IF($P433="",0,INDEX(StatsZone,$P433,MAP!$E$9)+INDEX(StatsZone,$P433,MAP!$E$10)+INDEX(StatsZone,$P433,MAP!$E$11))</f>
        <v>0</v>
      </c>
      <c r="R433" s="2">
        <f t="array" ref="R433">IF($P433="",0,INDEX(StatsZone,$P433,MAP!$E$12))</f>
        <v>0</v>
      </c>
      <c r="S433" s="2">
        <f t="array" ref="S433">IF($P433="",0,INDEX(StatsZone,$P433,MAP!$E$13))</f>
        <v>0</v>
      </c>
      <c r="T433" s="2">
        <f t="shared" si="1"/>
        <v>0</v>
      </c>
      <c r="U433" s="2">
        <f t="array" ref="U433">IF($P433="",0,INDEX(StatsZone,$P433,MAP!$E$14)+INDEX(StatsZone,$P433,MAP!$E$15)+INDEX(StatsZone,$P433,MAP!$E$16))</f>
        <v>0</v>
      </c>
      <c r="V433" s="2">
        <f t="shared" si="2"/>
        <v>0</v>
      </c>
      <c r="W433" s="2">
        <f t="shared" si="3"/>
        <v>0</v>
      </c>
      <c r="X433" s="2">
        <f t="shared" si="4"/>
        <v>0</v>
      </c>
      <c r="Y433" s="2">
        <f t="shared" si="5"/>
        <v>0</v>
      </c>
      <c r="Z433" s="2">
        <f t="shared" si="6"/>
        <v>0</v>
      </c>
      <c r="AA433" s="2">
        <f t="shared" si="7"/>
        <v>1</v>
      </c>
      <c r="AB433" s="2">
        <f>IF(OR($M433="",$N433=""),0,MEDIAN(-MarginCap,MarginCap,($M433-$N433)-$AA433*HFA_Base))</f>
        <v>0</v>
      </c>
      <c r="AC433" s="2">
        <f t="array" ref="AC433">IF(OR($P433="",INDEX($P$3:$P$722,(ROW()+IF(MOD(ROW()-3,2)=0,1,-1))-3+1)=""),0,MEDIAN(-MarginCap,MarginCap,($T433-$W433)-$AA433*HFA_Base))</f>
        <v>0</v>
      </c>
      <c r="AD433" s="2">
        <f t="shared" si="8"/>
        <v>0</v>
      </c>
      <c r="AE433" s="2">
        <f>IF(OR($M433="",$N433=""),0,IF(AND(WEpa&gt;0,$AD433=1),(1-WEpa)*$AB433+WEpa*$AC433,$AB433))</f>
        <v>0</v>
      </c>
      <c r="AF433" s="2">
        <f>IF(AND($C433&lt;&gt;"",$E433=CurrentSeason,$F433="REG",ISNUMBER($G433),$G433&lt;CurrentWeek,AND($M433&lt;&gt;"",$N433&lt;&gt;"")),1,0)</f>
        <v>0</v>
      </c>
      <c r="AG433" s="2">
        <f>IF($AF433=0,0,IF($G433&gt;=CurrentWeek-RecencyWin,RecencyMult,1))</f>
        <v>0</v>
      </c>
      <c r="AH433" s="2">
        <f>IF(AND($C433&lt;&gt;"",$E433=CurrentSeason,$F433="REG",ISNUMBER($G433),$G433&lt;CurrentWeek-1,AND($M433&lt;&gt;"",$N433&lt;&gt;"")),1,0)</f>
        <v>0</v>
      </c>
      <c r="AI433" s="2">
        <f>IF($AH433=0,0,IF($G433&gt;=CurrentWeek-1-RecencyWin,RecencyMult,1))</f>
        <v>0</v>
      </c>
      <c r="AJ433" s="2">
        <f>IF($AF433=0,0,IF($G433&gt;=CurrentWeek-RecencyWin,TotRecency,1))</f>
        <v>0</v>
      </c>
      <c r="AK433" s="2">
        <f t="shared" si="9"/>
        <v>0</v>
      </c>
      <c r="AL433" s="2">
        <f t="shared" si="10"/>
        <v>0</v>
      </c>
      <c r="AM433" s="2" t="str">
        <f t="array" ref="AM433">IF($K433="",0,IFERROR(INDEX(CALC!$F$2:$F$33,MATCH($K433,CALC!$A$2:$A$33,0)),0))</f>
        <v/>
      </c>
      <c r="AN433" s="2" t="str">
        <f t="array" ref="AN433">IF($K433="",0,IFERROR(INDEX(CALC!$I$2:$I$33,MATCH($K433,CALC!$A$2:$A$33,0)),0))</f>
        <v/>
      </c>
      <c r="AO433" s="2" t="str">
        <f t="array" ref="AO433">IF($K433="",0,IFERROR(INDEX(CALC!$L$2:$L$33,MATCH($K433,CALC!$A$2:$A$33,0)),0))</f>
        <v/>
      </c>
      <c r="AP433" s="2" t="str">
        <f t="array" ref="AP433">IF($K433="",0,IFERROR(INDEX(CALC!$T$2:$T$33,MATCH($K433,CALC!$A$2:$A$33,0)),0))</f>
        <v/>
      </c>
      <c r="AQ433" s="2" t="str">
        <f t="array" ref="AQ433">IF($K433="",0,IFERROR(INDEX(CALC!$W$2:$W$33,MATCH($K433,CALC!$A$2:$A$33,0)),0))</f>
        <v/>
      </c>
      <c r="AR433" s="2" t="str">
        <f t="array" ref="AR433">IF($K433="",0,IFERROR(INDEX(CALC!$Z$2:$Z$33,MATCH($K433,CALC!$A$2:$A$33,0)),0))</f>
        <v/>
      </c>
      <c r="AS433" s="2" t="str">
        <f t="array" ref="AS433">IF($K433="",0,IFERROR(INDEX(CALC!$AJ$2:$AJ$33,MATCH($K433,CALC!$A$2:$A$33,0)),0))</f>
        <v/>
      </c>
      <c r="AT433" s="2" t="str">
        <f t="array" ref="AT433">IF($K433="",0,IFERROR(INDEX(CALC!$AI$2:$AI$33,MATCH($K433,CALC!$A$2:$A$33,0)),0))</f>
        <v/>
      </c>
      <c r="AU433" s="2">
        <f t="shared" si="11"/>
        <v>0</v>
      </c>
      <c r="AV433" s="2">
        <f t="shared" si="12"/>
        <v>0</v>
      </c>
    </row>
    <row r="434" ht="15.0" customHeight="1">
      <c r="A434" s="2">
        <v>216.0</v>
      </c>
      <c r="B434" s="2" t="s">
        <v>2366</v>
      </c>
      <c r="C434" s="2">
        <f>IFERROR(MATCH($A434,SchedSeq,0),"")</f>
        <v>501</v>
      </c>
      <c r="D434" s="2" t="str">
        <f t="array" ref="D434">IF($C434="","",INDEX(SchedZone,$C434,MAP!$B$6))</f>
        <v>2026_15_BAL_PIT</v>
      </c>
      <c r="E434" s="2">
        <f t="array" ref="E434">IF($C434="","",INDEX(SchedZone,$C434,MAP!$B$3))</f>
        <v>2026</v>
      </c>
      <c r="F434" s="2" t="str">
        <f t="array" ref="F434">IF($C434="","",INDEX(SchedZone,$C434,MAP!$B$5))</f>
        <v>REG</v>
      </c>
      <c r="G434" s="2">
        <f t="array" ref="G434">IF($C434="","",INDEX(SchedZone,$C434,MAP!$B$4))</f>
        <v>15</v>
      </c>
      <c r="H434" s="2" t="str">
        <f t="array" ref="H434">IF($C434="","",INDEX(SchedZone,$C434,MAP!$B$10))</f>
        <v>BAL</v>
      </c>
      <c r="I434" s="2" t="str">
        <f t="array" ref="I434">IF($H434="","",IF(COUNTIF(Teams,$H434)&gt;0,$H434,IFERROR(INDEX(LISTS!$D$2:$D$12,MATCH($H434,LISTS!$C$2:$C$12,0)),"⚠ "&amp;$H434)))</f>
        <v>BAL</v>
      </c>
      <c r="J434" s="2" t="str">
        <f t="array" ref="J434">IF($C434="","",INDEX(SchedZone,$C434,MAP!$B$12))</f>
        <v>PIT</v>
      </c>
      <c r="K434" s="2" t="str">
        <f t="array" ref="K434">IF($J434="","",IF(COUNTIF(Teams,$J434)&gt;0,$J434,IFERROR(INDEX(LISTS!$D$2:$D$12,MATCH($J434,LISTS!$C$2:$C$12,0)),"⚠ "&amp;$J434)))</f>
        <v>PIT</v>
      </c>
      <c r="L434" s="2" t="str">
        <f t="array" ref="L434">IF($C434="","",IF(INDEX(SchedZone,$C434,MAP!$B$14)="Neutral","N",IF($B434="HOME","H","A")))</f>
        <v>A</v>
      </c>
      <c r="M434" s="2" t="str">
        <f t="array" ref="M434">IF($C434="","",IF(INDEX(SchedZone,$C434,MAP!$B$11)="","",INDEX(SchedZone,$C434,MAP!$B$11)))</f>
        <v/>
      </c>
      <c r="N434" s="2" t="str">
        <f t="array" ref="N434">IF($C434="","",IF(INDEX(SchedZone,$C434,MAP!$B$13)="","",INDEX(SchedZone,$C434,MAP!$B$13)))</f>
        <v/>
      </c>
      <c r="O434" s="2">
        <f t="array" ref="O434">IF($C434="","",INDEX(SchedZone,$C434,MAP!$B$15))</f>
        <v>7</v>
      </c>
      <c r="P434" s="2" t="str">
        <f>IF($C434="","",IFERROR(MATCH($E434&amp;"|"&amp;$G434&amp;"|"&amp;$I434,StatsKey,0),""))</f>
        <v/>
      </c>
      <c r="Q434" s="2">
        <f t="array" ref="Q434">IF($P434="",0,INDEX(StatsZone,$P434,MAP!$E$9)+INDEX(StatsZone,$P434,MAP!$E$10)+INDEX(StatsZone,$P434,MAP!$E$11))</f>
        <v>0</v>
      </c>
      <c r="R434" s="2">
        <f t="array" ref="R434">IF($P434="",0,INDEX(StatsZone,$P434,MAP!$E$12))</f>
        <v>0</v>
      </c>
      <c r="S434" s="2">
        <f t="array" ref="S434">IF($P434="",0,INDEX(StatsZone,$P434,MAP!$E$13))</f>
        <v>0</v>
      </c>
      <c r="T434" s="2">
        <f t="shared" si="1"/>
        <v>0</v>
      </c>
      <c r="U434" s="2">
        <f t="array" ref="U434">IF($P434="",0,INDEX(StatsZone,$P434,MAP!$E$14)+INDEX(StatsZone,$P434,MAP!$E$15)+INDEX(StatsZone,$P434,MAP!$E$16))</f>
        <v>0</v>
      </c>
      <c r="V434" s="2">
        <f t="shared" si="2"/>
        <v>0</v>
      </c>
      <c r="W434" s="2">
        <f t="shared" si="3"/>
        <v>0</v>
      </c>
      <c r="X434" s="2">
        <f t="shared" si="4"/>
        <v>0</v>
      </c>
      <c r="Y434" s="2">
        <f t="shared" si="5"/>
        <v>0</v>
      </c>
      <c r="Z434" s="2">
        <f t="shared" si="6"/>
        <v>0</v>
      </c>
      <c r="AA434" s="2">
        <f t="shared" si="7"/>
        <v>-1</v>
      </c>
      <c r="AB434" s="2">
        <f>IF(OR($M434="",$N434=""),0,MEDIAN(-MarginCap,MarginCap,($M434-$N434)-$AA434*HFA_Base))</f>
        <v>0</v>
      </c>
      <c r="AC434" s="2">
        <f t="array" ref="AC434">IF(OR($P434="",INDEX($P$3:$P$722,(ROW()+IF(MOD(ROW()-3,2)=0,1,-1))-3+1)=""),0,MEDIAN(-MarginCap,MarginCap,($T434-$W434)-$AA434*HFA_Base))</f>
        <v>0</v>
      </c>
      <c r="AD434" s="2">
        <f t="shared" si="8"/>
        <v>0</v>
      </c>
      <c r="AE434" s="2">
        <f>IF(OR($M434="",$N434=""),0,IF(AND(WEpa&gt;0,$AD434=1),(1-WEpa)*$AB434+WEpa*$AC434,$AB434))</f>
        <v>0</v>
      </c>
      <c r="AF434" s="2">
        <f>IF(AND($C434&lt;&gt;"",$E434=CurrentSeason,$F434="REG",ISNUMBER($G434),$G434&lt;CurrentWeek,AND($M434&lt;&gt;"",$N434&lt;&gt;"")),1,0)</f>
        <v>0</v>
      </c>
      <c r="AG434" s="2">
        <f>IF($AF434=0,0,IF($G434&gt;=CurrentWeek-RecencyWin,RecencyMult,1))</f>
        <v>0</v>
      </c>
      <c r="AH434" s="2">
        <f>IF(AND($C434&lt;&gt;"",$E434=CurrentSeason,$F434="REG",ISNUMBER($G434),$G434&lt;CurrentWeek-1,AND($M434&lt;&gt;"",$N434&lt;&gt;"")),1,0)</f>
        <v>0</v>
      </c>
      <c r="AI434" s="2">
        <f>IF($AH434=0,0,IF($G434&gt;=CurrentWeek-1-RecencyWin,RecencyMult,1))</f>
        <v>0</v>
      </c>
      <c r="AJ434" s="2">
        <f>IF($AF434=0,0,IF($G434&gt;=CurrentWeek-RecencyWin,TotRecency,1))</f>
        <v>0</v>
      </c>
      <c r="AK434" s="2">
        <f t="shared" si="9"/>
        <v>0</v>
      </c>
      <c r="AL434" s="2">
        <f t="shared" si="10"/>
        <v>0</v>
      </c>
      <c r="AM434" s="2" t="str">
        <f t="array" ref="AM434">IF($K434="",0,IFERROR(INDEX(CALC!$F$2:$F$33,MATCH($K434,CALC!$A$2:$A$33,0)),0))</f>
        <v/>
      </c>
      <c r="AN434" s="2" t="str">
        <f t="array" ref="AN434">IF($K434="",0,IFERROR(INDEX(CALC!$I$2:$I$33,MATCH($K434,CALC!$A$2:$A$33,0)),0))</f>
        <v/>
      </c>
      <c r="AO434" s="2" t="str">
        <f t="array" ref="AO434">IF($K434="",0,IFERROR(INDEX(CALC!$L$2:$L$33,MATCH($K434,CALC!$A$2:$A$33,0)),0))</f>
        <v/>
      </c>
      <c r="AP434" s="2" t="str">
        <f t="array" ref="AP434">IF($K434="",0,IFERROR(INDEX(CALC!$T$2:$T$33,MATCH($K434,CALC!$A$2:$A$33,0)),0))</f>
        <v/>
      </c>
      <c r="AQ434" s="2" t="str">
        <f t="array" ref="AQ434">IF($K434="",0,IFERROR(INDEX(CALC!$W$2:$W$33,MATCH($K434,CALC!$A$2:$A$33,0)),0))</f>
        <v/>
      </c>
      <c r="AR434" s="2" t="str">
        <f t="array" ref="AR434">IF($K434="",0,IFERROR(INDEX(CALC!$Z$2:$Z$33,MATCH($K434,CALC!$A$2:$A$33,0)),0))</f>
        <v/>
      </c>
      <c r="AS434" s="2" t="str">
        <f t="array" ref="AS434">IF($K434="",0,IFERROR(INDEX(CALC!$AJ$2:$AJ$33,MATCH($K434,CALC!$A$2:$A$33,0)),0))</f>
        <v/>
      </c>
      <c r="AT434" s="2" t="str">
        <f t="array" ref="AT434">IF($K434="",0,IFERROR(INDEX(CALC!$AI$2:$AI$33,MATCH($K434,CALC!$A$2:$A$33,0)),0))</f>
        <v/>
      </c>
      <c r="AU434" s="2">
        <f t="shared" si="11"/>
        <v>0</v>
      </c>
      <c r="AV434" s="2">
        <f t="shared" si="12"/>
        <v>0</v>
      </c>
    </row>
    <row r="435" ht="15.0" customHeight="1">
      <c r="A435" s="2">
        <v>217.0</v>
      </c>
      <c r="B435" s="2" t="s">
        <v>2365</v>
      </c>
      <c r="C435" s="2">
        <f>IFERROR(MATCH($A435,SchedSeq,0),"")</f>
        <v>502</v>
      </c>
      <c r="D435" s="2" t="str">
        <f t="array" ref="D435">IF($C435="","",INDEX(SchedZone,$C435,MAP!$B$6))</f>
        <v>2026_15_NO_TB</v>
      </c>
      <c r="E435" s="2">
        <f t="array" ref="E435">IF($C435="","",INDEX(SchedZone,$C435,MAP!$B$3))</f>
        <v>2026</v>
      </c>
      <c r="F435" s="2" t="str">
        <f t="array" ref="F435">IF($C435="","",INDEX(SchedZone,$C435,MAP!$B$5))</f>
        <v>REG</v>
      </c>
      <c r="G435" s="2">
        <f t="array" ref="G435">IF($C435="","",INDEX(SchedZone,$C435,MAP!$B$4))</f>
        <v>15</v>
      </c>
      <c r="H435" s="2" t="str">
        <f t="array" ref="H435">IF($C435="","",INDEX(SchedZone,$C435,MAP!$B$12))</f>
        <v>TB</v>
      </c>
      <c r="I435" s="2" t="str">
        <f t="array" ref="I435">IF($H435="","",IF(COUNTIF(Teams,$H435)&gt;0,$H435,IFERROR(INDEX(LISTS!$D$2:$D$12,MATCH($H435,LISTS!$C$2:$C$12,0)),"⚠ "&amp;$H435)))</f>
        <v>TB</v>
      </c>
      <c r="J435" s="2" t="str">
        <f t="array" ref="J435">IF($C435="","",INDEX(SchedZone,$C435,MAP!$B$10))</f>
        <v>NO</v>
      </c>
      <c r="K435" s="2" t="str">
        <f t="array" ref="K435">IF($J435="","",IF(COUNTIF(Teams,$J435)&gt;0,$J435,IFERROR(INDEX(LISTS!$D$2:$D$12,MATCH($J435,LISTS!$C$2:$C$12,0)),"⚠ "&amp;$J435)))</f>
        <v>NO</v>
      </c>
      <c r="L435" s="2" t="str">
        <f t="array" ref="L435">IF($C435="","",IF(INDEX(SchedZone,$C435,MAP!$B$14)="Neutral","N",IF($B435="HOME","H","A")))</f>
        <v>H</v>
      </c>
      <c r="M435" s="2" t="str">
        <f t="array" ref="M435">IF($C435="","",IF(INDEX(SchedZone,$C435,MAP!$B$13)="","",INDEX(SchedZone,$C435,MAP!$B$13)))</f>
        <v/>
      </c>
      <c r="N435" s="2" t="str">
        <f t="array" ref="N435">IF($C435="","",IF(INDEX(SchedZone,$C435,MAP!$B$11)="","",INDEX(SchedZone,$C435,MAP!$B$11)))</f>
        <v/>
      </c>
      <c r="O435" s="2">
        <f t="array" ref="O435">IF($C435="","",INDEX(SchedZone,$C435,MAP!$B$16))</f>
        <v>7</v>
      </c>
      <c r="P435" s="2" t="str">
        <f>IF($C435="","",IFERROR(MATCH($E435&amp;"|"&amp;$G435&amp;"|"&amp;$I435,StatsKey,0),""))</f>
        <v/>
      </c>
      <c r="Q435" s="2">
        <f t="array" ref="Q435">IF($P435="",0,INDEX(StatsZone,$P435,MAP!$E$9)+INDEX(StatsZone,$P435,MAP!$E$10)+INDEX(StatsZone,$P435,MAP!$E$11))</f>
        <v>0</v>
      </c>
      <c r="R435" s="2">
        <f t="array" ref="R435">IF($P435="",0,INDEX(StatsZone,$P435,MAP!$E$12))</f>
        <v>0</v>
      </c>
      <c r="S435" s="2">
        <f t="array" ref="S435">IF($P435="",0,INDEX(StatsZone,$P435,MAP!$E$13))</f>
        <v>0</v>
      </c>
      <c r="T435" s="2">
        <f t="shared" si="1"/>
        <v>0</v>
      </c>
      <c r="U435" s="2">
        <f t="array" ref="U435">IF($P435="",0,INDEX(StatsZone,$P435,MAP!$E$14)+INDEX(StatsZone,$P435,MAP!$E$15)+INDEX(StatsZone,$P435,MAP!$E$16))</f>
        <v>0</v>
      </c>
      <c r="V435" s="2">
        <f t="shared" si="2"/>
        <v>0</v>
      </c>
      <c r="W435" s="2">
        <f t="shared" si="3"/>
        <v>0</v>
      </c>
      <c r="X435" s="2">
        <f t="shared" si="4"/>
        <v>0</v>
      </c>
      <c r="Y435" s="2">
        <f t="shared" si="5"/>
        <v>0</v>
      </c>
      <c r="Z435" s="2">
        <f t="shared" si="6"/>
        <v>0</v>
      </c>
      <c r="AA435" s="2">
        <f t="shared" si="7"/>
        <v>1</v>
      </c>
      <c r="AB435" s="2">
        <f>IF(OR($M435="",$N435=""),0,MEDIAN(-MarginCap,MarginCap,($M435-$N435)-$AA435*HFA_Base))</f>
        <v>0</v>
      </c>
      <c r="AC435" s="2">
        <f t="array" ref="AC435">IF(OR($P435="",INDEX($P$3:$P$722,(ROW()+IF(MOD(ROW()-3,2)=0,1,-1))-3+1)=""),0,MEDIAN(-MarginCap,MarginCap,($T435-$W435)-$AA435*HFA_Base))</f>
        <v>0</v>
      </c>
      <c r="AD435" s="2">
        <f t="shared" si="8"/>
        <v>0</v>
      </c>
      <c r="AE435" s="2">
        <f>IF(OR($M435="",$N435=""),0,IF(AND(WEpa&gt;0,$AD435=1),(1-WEpa)*$AB435+WEpa*$AC435,$AB435))</f>
        <v>0</v>
      </c>
      <c r="AF435" s="2">
        <f>IF(AND($C435&lt;&gt;"",$E435=CurrentSeason,$F435="REG",ISNUMBER($G435),$G435&lt;CurrentWeek,AND($M435&lt;&gt;"",$N435&lt;&gt;"")),1,0)</f>
        <v>0</v>
      </c>
      <c r="AG435" s="2">
        <f>IF($AF435=0,0,IF($G435&gt;=CurrentWeek-RecencyWin,RecencyMult,1))</f>
        <v>0</v>
      </c>
      <c r="AH435" s="2">
        <f>IF(AND($C435&lt;&gt;"",$E435=CurrentSeason,$F435="REG",ISNUMBER($G435),$G435&lt;CurrentWeek-1,AND($M435&lt;&gt;"",$N435&lt;&gt;"")),1,0)</f>
        <v>0</v>
      </c>
      <c r="AI435" s="2">
        <f>IF($AH435=0,0,IF($G435&gt;=CurrentWeek-1-RecencyWin,RecencyMult,1))</f>
        <v>0</v>
      </c>
      <c r="AJ435" s="2">
        <f>IF($AF435=0,0,IF($G435&gt;=CurrentWeek-RecencyWin,TotRecency,1))</f>
        <v>0</v>
      </c>
      <c r="AK435" s="2">
        <f t="shared" si="9"/>
        <v>0</v>
      </c>
      <c r="AL435" s="2">
        <f t="shared" si="10"/>
        <v>0</v>
      </c>
      <c r="AM435" s="2" t="str">
        <f t="array" ref="AM435">IF($K435="",0,IFERROR(INDEX(CALC!$F$2:$F$33,MATCH($K435,CALC!$A$2:$A$33,0)),0))</f>
        <v/>
      </c>
      <c r="AN435" s="2" t="str">
        <f t="array" ref="AN435">IF($K435="",0,IFERROR(INDEX(CALC!$I$2:$I$33,MATCH($K435,CALC!$A$2:$A$33,0)),0))</f>
        <v/>
      </c>
      <c r="AO435" s="2" t="str">
        <f t="array" ref="AO435">IF($K435="",0,IFERROR(INDEX(CALC!$L$2:$L$33,MATCH($K435,CALC!$A$2:$A$33,0)),0))</f>
        <v/>
      </c>
      <c r="AP435" s="2" t="str">
        <f t="array" ref="AP435">IF($K435="",0,IFERROR(INDEX(CALC!$T$2:$T$33,MATCH($K435,CALC!$A$2:$A$33,0)),0))</f>
        <v/>
      </c>
      <c r="AQ435" s="2" t="str">
        <f t="array" ref="AQ435">IF($K435="",0,IFERROR(INDEX(CALC!$W$2:$W$33,MATCH($K435,CALC!$A$2:$A$33,0)),0))</f>
        <v/>
      </c>
      <c r="AR435" s="2" t="str">
        <f t="array" ref="AR435">IF($K435="",0,IFERROR(INDEX(CALC!$Z$2:$Z$33,MATCH($K435,CALC!$A$2:$A$33,0)),0))</f>
        <v/>
      </c>
      <c r="AS435" s="2" t="str">
        <f t="array" ref="AS435">IF($K435="",0,IFERROR(INDEX(CALC!$AJ$2:$AJ$33,MATCH($K435,CALC!$A$2:$A$33,0)),0))</f>
        <v/>
      </c>
      <c r="AT435" s="2" t="str">
        <f t="array" ref="AT435">IF($K435="",0,IFERROR(INDEX(CALC!$AI$2:$AI$33,MATCH($K435,CALC!$A$2:$A$33,0)),0))</f>
        <v/>
      </c>
      <c r="AU435" s="2">
        <f t="shared" si="11"/>
        <v>0</v>
      </c>
      <c r="AV435" s="2">
        <f t="shared" si="12"/>
        <v>0</v>
      </c>
    </row>
    <row r="436" ht="15.0" customHeight="1">
      <c r="A436" s="2">
        <v>217.0</v>
      </c>
      <c r="B436" s="2" t="s">
        <v>2366</v>
      </c>
      <c r="C436" s="2">
        <f>IFERROR(MATCH($A436,SchedSeq,0),"")</f>
        <v>502</v>
      </c>
      <c r="D436" s="2" t="str">
        <f t="array" ref="D436">IF($C436="","",INDEX(SchedZone,$C436,MAP!$B$6))</f>
        <v>2026_15_NO_TB</v>
      </c>
      <c r="E436" s="2">
        <f t="array" ref="E436">IF($C436="","",INDEX(SchedZone,$C436,MAP!$B$3))</f>
        <v>2026</v>
      </c>
      <c r="F436" s="2" t="str">
        <f t="array" ref="F436">IF($C436="","",INDEX(SchedZone,$C436,MAP!$B$5))</f>
        <v>REG</v>
      </c>
      <c r="G436" s="2">
        <f t="array" ref="G436">IF($C436="","",INDEX(SchedZone,$C436,MAP!$B$4))</f>
        <v>15</v>
      </c>
      <c r="H436" s="2" t="str">
        <f t="array" ref="H436">IF($C436="","",INDEX(SchedZone,$C436,MAP!$B$10))</f>
        <v>NO</v>
      </c>
      <c r="I436" s="2" t="str">
        <f t="array" ref="I436">IF($H436="","",IF(COUNTIF(Teams,$H436)&gt;0,$H436,IFERROR(INDEX(LISTS!$D$2:$D$12,MATCH($H436,LISTS!$C$2:$C$12,0)),"⚠ "&amp;$H436)))</f>
        <v>NO</v>
      </c>
      <c r="J436" s="2" t="str">
        <f t="array" ref="J436">IF($C436="","",INDEX(SchedZone,$C436,MAP!$B$12))</f>
        <v>TB</v>
      </c>
      <c r="K436" s="2" t="str">
        <f t="array" ref="K436">IF($J436="","",IF(COUNTIF(Teams,$J436)&gt;0,$J436,IFERROR(INDEX(LISTS!$D$2:$D$12,MATCH($J436,LISTS!$C$2:$C$12,0)),"⚠ "&amp;$J436)))</f>
        <v>TB</v>
      </c>
      <c r="L436" s="2" t="str">
        <f t="array" ref="L436">IF($C436="","",IF(INDEX(SchedZone,$C436,MAP!$B$14)="Neutral","N",IF($B436="HOME","H","A")))</f>
        <v>A</v>
      </c>
      <c r="M436" s="2" t="str">
        <f t="array" ref="M436">IF($C436="","",IF(INDEX(SchedZone,$C436,MAP!$B$11)="","",INDEX(SchedZone,$C436,MAP!$B$11)))</f>
        <v/>
      </c>
      <c r="N436" s="2" t="str">
        <f t="array" ref="N436">IF($C436="","",IF(INDEX(SchedZone,$C436,MAP!$B$13)="","",INDEX(SchedZone,$C436,MAP!$B$13)))</f>
        <v/>
      </c>
      <c r="O436" s="2">
        <f t="array" ref="O436">IF($C436="","",INDEX(SchedZone,$C436,MAP!$B$15))</f>
        <v>7</v>
      </c>
      <c r="P436" s="2" t="str">
        <f>IF($C436="","",IFERROR(MATCH($E436&amp;"|"&amp;$G436&amp;"|"&amp;$I436,StatsKey,0),""))</f>
        <v/>
      </c>
      <c r="Q436" s="2">
        <f t="array" ref="Q436">IF($P436="",0,INDEX(StatsZone,$P436,MAP!$E$9)+INDEX(StatsZone,$P436,MAP!$E$10)+INDEX(StatsZone,$P436,MAP!$E$11))</f>
        <v>0</v>
      </c>
      <c r="R436" s="2">
        <f t="array" ref="R436">IF($P436="",0,INDEX(StatsZone,$P436,MAP!$E$12))</f>
        <v>0</v>
      </c>
      <c r="S436" s="2">
        <f t="array" ref="S436">IF($P436="",0,INDEX(StatsZone,$P436,MAP!$E$13))</f>
        <v>0</v>
      </c>
      <c r="T436" s="2">
        <f t="shared" si="1"/>
        <v>0</v>
      </c>
      <c r="U436" s="2">
        <f t="array" ref="U436">IF($P436="",0,INDEX(StatsZone,$P436,MAP!$E$14)+INDEX(StatsZone,$P436,MAP!$E$15)+INDEX(StatsZone,$P436,MAP!$E$16))</f>
        <v>0</v>
      </c>
      <c r="V436" s="2">
        <f t="shared" si="2"/>
        <v>0</v>
      </c>
      <c r="W436" s="2">
        <f t="shared" si="3"/>
        <v>0</v>
      </c>
      <c r="X436" s="2">
        <f t="shared" si="4"/>
        <v>0</v>
      </c>
      <c r="Y436" s="2">
        <f t="shared" si="5"/>
        <v>0</v>
      </c>
      <c r="Z436" s="2">
        <f t="shared" si="6"/>
        <v>0</v>
      </c>
      <c r="AA436" s="2">
        <f t="shared" si="7"/>
        <v>-1</v>
      </c>
      <c r="AB436" s="2">
        <f>IF(OR($M436="",$N436=""),0,MEDIAN(-MarginCap,MarginCap,($M436-$N436)-$AA436*HFA_Base))</f>
        <v>0</v>
      </c>
      <c r="AC436" s="2">
        <f t="array" ref="AC436">IF(OR($P436="",INDEX($P$3:$P$722,(ROW()+IF(MOD(ROW()-3,2)=0,1,-1))-3+1)=""),0,MEDIAN(-MarginCap,MarginCap,($T436-$W436)-$AA436*HFA_Base))</f>
        <v>0</v>
      </c>
      <c r="AD436" s="2">
        <f t="shared" si="8"/>
        <v>0</v>
      </c>
      <c r="AE436" s="2">
        <f>IF(OR($M436="",$N436=""),0,IF(AND(WEpa&gt;0,$AD436=1),(1-WEpa)*$AB436+WEpa*$AC436,$AB436))</f>
        <v>0</v>
      </c>
      <c r="AF436" s="2">
        <f>IF(AND($C436&lt;&gt;"",$E436=CurrentSeason,$F436="REG",ISNUMBER($G436),$G436&lt;CurrentWeek,AND($M436&lt;&gt;"",$N436&lt;&gt;"")),1,0)</f>
        <v>0</v>
      </c>
      <c r="AG436" s="2">
        <f>IF($AF436=0,0,IF($G436&gt;=CurrentWeek-RecencyWin,RecencyMult,1))</f>
        <v>0</v>
      </c>
      <c r="AH436" s="2">
        <f>IF(AND($C436&lt;&gt;"",$E436=CurrentSeason,$F436="REG",ISNUMBER($G436),$G436&lt;CurrentWeek-1,AND($M436&lt;&gt;"",$N436&lt;&gt;"")),1,0)</f>
        <v>0</v>
      </c>
      <c r="AI436" s="2">
        <f>IF($AH436=0,0,IF($G436&gt;=CurrentWeek-1-RecencyWin,RecencyMult,1))</f>
        <v>0</v>
      </c>
      <c r="AJ436" s="2">
        <f>IF($AF436=0,0,IF($G436&gt;=CurrentWeek-RecencyWin,TotRecency,1))</f>
        <v>0</v>
      </c>
      <c r="AK436" s="2">
        <f t="shared" si="9"/>
        <v>0</v>
      </c>
      <c r="AL436" s="2">
        <f t="shared" si="10"/>
        <v>0</v>
      </c>
      <c r="AM436" s="2" t="str">
        <f t="array" ref="AM436">IF($K436="",0,IFERROR(INDEX(CALC!$F$2:$F$33,MATCH($K436,CALC!$A$2:$A$33,0)),0))</f>
        <v/>
      </c>
      <c r="AN436" s="2" t="str">
        <f t="array" ref="AN436">IF($K436="",0,IFERROR(INDEX(CALC!$I$2:$I$33,MATCH($K436,CALC!$A$2:$A$33,0)),0))</f>
        <v/>
      </c>
      <c r="AO436" s="2" t="str">
        <f t="array" ref="AO436">IF($K436="",0,IFERROR(INDEX(CALC!$L$2:$L$33,MATCH($K436,CALC!$A$2:$A$33,0)),0))</f>
        <v/>
      </c>
      <c r="AP436" s="2" t="str">
        <f t="array" ref="AP436">IF($K436="",0,IFERROR(INDEX(CALC!$T$2:$T$33,MATCH($K436,CALC!$A$2:$A$33,0)),0))</f>
        <v/>
      </c>
      <c r="AQ436" s="2" t="str">
        <f t="array" ref="AQ436">IF($K436="",0,IFERROR(INDEX(CALC!$W$2:$W$33,MATCH($K436,CALC!$A$2:$A$33,0)),0))</f>
        <v/>
      </c>
      <c r="AR436" s="2" t="str">
        <f t="array" ref="AR436">IF($K436="",0,IFERROR(INDEX(CALC!$Z$2:$Z$33,MATCH($K436,CALC!$A$2:$A$33,0)),0))</f>
        <v/>
      </c>
      <c r="AS436" s="2" t="str">
        <f t="array" ref="AS436">IF($K436="",0,IFERROR(INDEX(CALC!$AJ$2:$AJ$33,MATCH($K436,CALC!$A$2:$A$33,0)),0))</f>
        <v/>
      </c>
      <c r="AT436" s="2" t="str">
        <f t="array" ref="AT436">IF($K436="",0,IFERROR(INDEX(CALC!$AI$2:$AI$33,MATCH($K436,CALC!$A$2:$A$33,0)),0))</f>
        <v/>
      </c>
      <c r="AU436" s="2">
        <f t="shared" si="11"/>
        <v>0</v>
      </c>
      <c r="AV436" s="2">
        <f t="shared" si="12"/>
        <v>0</v>
      </c>
    </row>
    <row r="437" ht="15.0" customHeight="1">
      <c r="A437" s="2">
        <v>218.0</v>
      </c>
      <c r="B437" s="2" t="s">
        <v>2365</v>
      </c>
      <c r="C437" s="2">
        <f>IFERROR(MATCH($A437,SchedSeq,0),"")</f>
        <v>503</v>
      </c>
      <c r="D437" s="2" t="str">
        <f t="array" ref="D437">IF($C437="","",INDEX(SchedZone,$C437,MAP!$B$6))</f>
        <v>2026_15_IND_TEN</v>
      </c>
      <c r="E437" s="2">
        <f t="array" ref="E437">IF($C437="","",INDEX(SchedZone,$C437,MAP!$B$3))</f>
        <v>2026</v>
      </c>
      <c r="F437" s="2" t="str">
        <f t="array" ref="F437">IF($C437="","",INDEX(SchedZone,$C437,MAP!$B$5))</f>
        <v>REG</v>
      </c>
      <c r="G437" s="2">
        <f t="array" ref="G437">IF($C437="","",INDEX(SchedZone,$C437,MAP!$B$4))</f>
        <v>15</v>
      </c>
      <c r="H437" s="2" t="str">
        <f t="array" ref="H437">IF($C437="","",INDEX(SchedZone,$C437,MAP!$B$12))</f>
        <v>TEN</v>
      </c>
      <c r="I437" s="2" t="str">
        <f t="array" ref="I437">IF($H437="","",IF(COUNTIF(Teams,$H437)&gt;0,$H437,IFERROR(INDEX(LISTS!$D$2:$D$12,MATCH($H437,LISTS!$C$2:$C$12,0)),"⚠ "&amp;$H437)))</f>
        <v>TEN</v>
      </c>
      <c r="J437" s="2" t="str">
        <f t="array" ref="J437">IF($C437="","",INDEX(SchedZone,$C437,MAP!$B$10))</f>
        <v>IND</v>
      </c>
      <c r="K437" s="2" t="str">
        <f t="array" ref="K437">IF($J437="","",IF(COUNTIF(Teams,$J437)&gt;0,$J437,IFERROR(INDEX(LISTS!$D$2:$D$12,MATCH($J437,LISTS!$C$2:$C$12,0)),"⚠ "&amp;$J437)))</f>
        <v>IND</v>
      </c>
      <c r="L437" s="2" t="str">
        <f t="array" ref="L437">IF($C437="","",IF(INDEX(SchedZone,$C437,MAP!$B$14)="Neutral","N",IF($B437="HOME","H","A")))</f>
        <v>H</v>
      </c>
      <c r="M437" s="2" t="str">
        <f t="array" ref="M437">IF($C437="","",IF(INDEX(SchedZone,$C437,MAP!$B$13)="","",INDEX(SchedZone,$C437,MAP!$B$13)))</f>
        <v/>
      </c>
      <c r="N437" s="2" t="str">
        <f t="array" ref="N437">IF($C437="","",IF(INDEX(SchedZone,$C437,MAP!$B$11)="","",INDEX(SchedZone,$C437,MAP!$B$11)))</f>
        <v/>
      </c>
      <c r="O437" s="2">
        <f t="array" ref="O437">IF($C437="","",INDEX(SchedZone,$C437,MAP!$B$16))</f>
        <v>7</v>
      </c>
      <c r="P437" s="2" t="str">
        <f>IF($C437="","",IFERROR(MATCH($E437&amp;"|"&amp;$G437&amp;"|"&amp;$I437,StatsKey,0),""))</f>
        <v/>
      </c>
      <c r="Q437" s="2">
        <f t="array" ref="Q437">IF($P437="",0,INDEX(StatsZone,$P437,MAP!$E$9)+INDEX(StatsZone,$P437,MAP!$E$10)+INDEX(StatsZone,$P437,MAP!$E$11))</f>
        <v>0</v>
      </c>
      <c r="R437" s="2">
        <f t="array" ref="R437">IF($P437="",0,INDEX(StatsZone,$P437,MAP!$E$12))</f>
        <v>0</v>
      </c>
      <c r="S437" s="2">
        <f t="array" ref="S437">IF($P437="",0,INDEX(StatsZone,$P437,MAP!$E$13))</f>
        <v>0</v>
      </c>
      <c r="T437" s="2">
        <f t="shared" si="1"/>
        <v>0</v>
      </c>
      <c r="U437" s="2">
        <f t="array" ref="U437">IF($P437="",0,INDEX(StatsZone,$P437,MAP!$E$14)+INDEX(StatsZone,$P437,MAP!$E$15)+INDEX(StatsZone,$P437,MAP!$E$16))</f>
        <v>0</v>
      </c>
      <c r="V437" s="2">
        <f t="shared" si="2"/>
        <v>0</v>
      </c>
      <c r="W437" s="2">
        <f t="shared" si="3"/>
        <v>0</v>
      </c>
      <c r="X437" s="2">
        <f t="shared" si="4"/>
        <v>0</v>
      </c>
      <c r="Y437" s="2">
        <f t="shared" si="5"/>
        <v>0</v>
      </c>
      <c r="Z437" s="2">
        <f t="shared" si="6"/>
        <v>0</v>
      </c>
      <c r="AA437" s="2">
        <f t="shared" si="7"/>
        <v>1</v>
      </c>
      <c r="AB437" s="2">
        <f>IF(OR($M437="",$N437=""),0,MEDIAN(-MarginCap,MarginCap,($M437-$N437)-$AA437*HFA_Base))</f>
        <v>0</v>
      </c>
      <c r="AC437" s="2">
        <f t="array" ref="AC437">IF(OR($P437="",INDEX($P$3:$P$722,(ROW()+IF(MOD(ROW()-3,2)=0,1,-1))-3+1)=""),0,MEDIAN(-MarginCap,MarginCap,($T437-$W437)-$AA437*HFA_Base))</f>
        <v>0</v>
      </c>
      <c r="AD437" s="2">
        <f t="shared" si="8"/>
        <v>0</v>
      </c>
      <c r="AE437" s="2">
        <f>IF(OR($M437="",$N437=""),0,IF(AND(WEpa&gt;0,$AD437=1),(1-WEpa)*$AB437+WEpa*$AC437,$AB437))</f>
        <v>0</v>
      </c>
      <c r="AF437" s="2">
        <f>IF(AND($C437&lt;&gt;"",$E437=CurrentSeason,$F437="REG",ISNUMBER($G437),$G437&lt;CurrentWeek,AND($M437&lt;&gt;"",$N437&lt;&gt;"")),1,0)</f>
        <v>0</v>
      </c>
      <c r="AG437" s="2">
        <f>IF($AF437=0,0,IF($G437&gt;=CurrentWeek-RecencyWin,RecencyMult,1))</f>
        <v>0</v>
      </c>
      <c r="AH437" s="2">
        <f>IF(AND($C437&lt;&gt;"",$E437=CurrentSeason,$F437="REG",ISNUMBER($G437),$G437&lt;CurrentWeek-1,AND($M437&lt;&gt;"",$N437&lt;&gt;"")),1,0)</f>
        <v>0</v>
      </c>
      <c r="AI437" s="2">
        <f>IF($AH437=0,0,IF($G437&gt;=CurrentWeek-1-RecencyWin,RecencyMult,1))</f>
        <v>0</v>
      </c>
      <c r="AJ437" s="2">
        <f>IF($AF437=0,0,IF($G437&gt;=CurrentWeek-RecencyWin,TotRecency,1))</f>
        <v>0</v>
      </c>
      <c r="AK437" s="2">
        <f t="shared" si="9"/>
        <v>0</v>
      </c>
      <c r="AL437" s="2">
        <f t="shared" si="10"/>
        <v>0</v>
      </c>
      <c r="AM437" s="2" t="str">
        <f t="array" ref="AM437">IF($K437="",0,IFERROR(INDEX(CALC!$F$2:$F$33,MATCH($K437,CALC!$A$2:$A$33,0)),0))</f>
        <v/>
      </c>
      <c r="AN437" s="2" t="str">
        <f t="array" ref="AN437">IF($K437="",0,IFERROR(INDEX(CALC!$I$2:$I$33,MATCH($K437,CALC!$A$2:$A$33,0)),0))</f>
        <v/>
      </c>
      <c r="AO437" s="2" t="str">
        <f t="array" ref="AO437">IF($K437="",0,IFERROR(INDEX(CALC!$L$2:$L$33,MATCH($K437,CALC!$A$2:$A$33,0)),0))</f>
        <v/>
      </c>
      <c r="AP437" s="2" t="str">
        <f t="array" ref="AP437">IF($K437="",0,IFERROR(INDEX(CALC!$T$2:$T$33,MATCH($K437,CALC!$A$2:$A$33,0)),0))</f>
        <v/>
      </c>
      <c r="AQ437" s="2" t="str">
        <f t="array" ref="AQ437">IF($K437="",0,IFERROR(INDEX(CALC!$W$2:$W$33,MATCH($K437,CALC!$A$2:$A$33,0)),0))</f>
        <v/>
      </c>
      <c r="AR437" s="2" t="str">
        <f t="array" ref="AR437">IF($K437="",0,IFERROR(INDEX(CALC!$Z$2:$Z$33,MATCH($K437,CALC!$A$2:$A$33,0)),0))</f>
        <v/>
      </c>
      <c r="AS437" s="2" t="str">
        <f t="array" ref="AS437">IF($K437="",0,IFERROR(INDEX(CALC!$AJ$2:$AJ$33,MATCH($K437,CALC!$A$2:$A$33,0)),0))</f>
        <v/>
      </c>
      <c r="AT437" s="2" t="str">
        <f t="array" ref="AT437">IF($K437="",0,IFERROR(INDEX(CALC!$AI$2:$AI$33,MATCH($K437,CALC!$A$2:$A$33,0)),0))</f>
        <v/>
      </c>
      <c r="AU437" s="2">
        <f t="shared" si="11"/>
        <v>0</v>
      </c>
      <c r="AV437" s="2">
        <f t="shared" si="12"/>
        <v>0</v>
      </c>
    </row>
    <row r="438" ht="15.0" customHeight="1">
      <c r="A438" s="2">
        <v>218.0</v>
      </c>
      <c r="B438" s="2" t="s">
        <v>2366</v>
      </c>
      <c r="C438" s="2">
        <f>IFERROR(MATCH($A438,SchedSeq,0),"")</f>
        <v>503</v>
      </c>
      <c r="D438" s="2" t="str">
        <f t="array" ref="D438">IF($C438="","",INDEX(SchedZone,$C438,MAP!$B$6))</f>
        <v>2026_15_IND_TEN</v>
      </c>
      <c r="E438" s="2">
        <f t="array" ref="E438">IF($C438="","",INDEX(SchedZone,$C438,MAP!$B$3))</f>
        <v>2026</v>
      </c>
      <c r="F438" s="2" t="str">
        <f t="array" ref="F438">IF($C438="","",INDEX(SchedZone,$C438,MAP!$B$5))</f>
        <v>REG</v>
      </c>
      <c r="G438" s="2">
        <f t="array" ref="G438">IF($C438="","",INDEX(SchedZone,$C438,MAP!$B$4))</f>
        <v>15</v>
      </c>
      <c r="H438" s="2" t="str">
        <f t="array" ref="H438">IF($C438="","",INDEX(SchedZone,$C438,MAP!$B$10))</f>
        <v>IND</v>
      </c>
      <c r="I438" s="2" t="str">
        <f t="array" ref="I438">IF($H438="","",IF(COUNTIF(Teams,$H438)&gt;0,$H438,IFERROR(INDEX(LISTS!$D$2:$D$12,MATCH($H438,LISTS!$C$2:$C$12,0)),"⚠ "&amp;$H438)))</f>
        <v>IND</v>
      </c>
      <c r="J438" s="2" t="str">
        <f t="array" ref="J438">IF($C438="","",INDEX(SchedZone,$C438,MAP!$B$12))</f>
        <v>TEN</v>
      </c>
      <c r="K438" s="2" t="str">
        <f t="array" ref="K438">IF($J438="","",IF(COUNTIF(Teams,$J438)&gt;0,$J438,IFERROR(INDEX(LISTS!$D$2:$D$12,MATCH($J438,LISTS!$C$2:$C$12,0)),"⚠ "&amp;$J438)))</f>
        <v>TEN</v>
      </c>
      <c r="L438" s="2" t="str">
        <f t="array" ref="L438">IF($C438="","",IF(INDEX(SchedZone,$C438,MAP!$B$14)="Neutral","N",IF($B438="HOME","H","A")))</f>
        <v>A</v>
      </c>
      <c r="M438" s="2" t="str">
        <f t="array" ref="M438">IF($C438="","",IF(INDEX(SchedZone,$C438,MAP!$B$11)="","",INDEX(SchedZone,$C438,MAP!$B$11)))</f>
        <v/>
      </c>
      <c r="N438" s="2" t="str">
        <f t="array" ref="N438">IF($C438="","",IF(INDEX(SchedZone,$C438,MAP!$B$13)="","",INDEX(SchedZone,$C438,MAP!$B$13)))</f>
        <v/>
      </c>
      <c r="O438" s="2">
        <f t="array" ref="O438">IF($C438="","",INDEX(SchedZone,$C438,MAP!$B$15))</f>
        <v>7</v>
      </c>
      <c r="P438" s="2" t="str">
        <f>IF($C438="","",IFERROR(MATCH($E438&amp;"|"&amp;$G438&amp;"|"&amp;$I438,StatsKey,0),""))</f>
        <v/>
      </c>
      <c r="Q438" s="2">
        <f t="array" ref="Q438">IF($P438="",0,INDEX(StatsZone,$P438,MAP!$E$9)+INDEX(StatsZone,$P438,MAP!$E$10)+INDEX(StatsZone,$P438,MAP!$E$11))</f>
        <v>0</v>
      </c>
      <c r="R438" s="2">
        <f t="array" ref="R438">IF($P438="",0,INDEX(StatsZone,$P438,MAP!$E$12))</f>
        <v>0</v>
      </c>
      <c r="S438" s="2">
        <f t="array" ref="S438">IF($P438="",0,INDEX(StatsZone,$P438,MAP!$E$13))</f>
        <v>0</v>
      </c>
      <c r="T438" s="2">
        <f t="shared" si="1"/>
        <v>0</v>
      </c>
      <c r="U438" s="2">
        <f t="array" ref="U438">IF($P438="",0,INDEX(StatsZone,$P438,MAP!$E$14)+INDEX(StatsZone,$P438,MAP!$E$15)+INDEX(StatsZone,$P438,MAP!$E$16))</f>
        <v>0</v>
      </c>
      <c r="V438" s="2">
        <f t="shared" si="2"/>
        <v>0</v>
      </c>
      <c r="W438" s="2">
        <f t="shared" si="3"/>
        <v>0</v>
      </c>
      <c r="X438" s="2">
        <f t="shared" si="4"/>
        <v>0</v>
      </c>
      <c r="Y438" s="2">
        <f t="shared" si="5"/>
        <v>0</v>
      </c>
      <c r="Z438" s="2">
        <f t="shared" si="6"/>
        <v>0</v>
      </c>
      <c r="AA438" s="2">
        <f t="shared" si="7"/>
        <v>-1</v>
      </c>
      <c r="AB438" s="2">
        <f>IF(OR($M438="",$N438=""),0,MEDIAN(-MarginCap,MarginCap,($M438-$N438)-$AA438*HFA_Base))</f>
        <v>0</v>
      </c>
      <c r="AC438" s="2">
        <f t="array" ref="AC438">IF(OR($P438="",INDEX($P$3:$P$722,(ROW()+IF(MOD(ROW()-3,2)=0,1,-1))-3+1)=""),0,MEDIAN(-MarginCap,MarginCap,($T438-$W438)-$AA438*HFA_Base))</f>
        <v>0</v>
      </c>
      <c r="AD438" s="2">
        <f t="shared" si="8"/>
        <v>0</v>
      </c>
      <c r="AE438" s="2">
        <f>IF(OR($M438="",$N438=""),0,IF(AND(WEpa&gt;0,$AD438=1),(1-WEpa)*$AB438+WEpa*$AC438,$AB438))</f>
        <v>0</v>
      </c>
      <c r="AF438" s="2">
        <f>IF(AND($C438&lt;&gt;"",$E438=CurrentSeason,$F438="REG",ISNUMBER($G438),$G438&lt;CurrentWeek,AND($M438&lt;&gt;"",$N438&lt;&gt;"")),1,0)</f>
        <v>0</v>
      </c>
      <c r="AG438" s="2">
        <f>IF($AF438=0,0,IF($G438&gt;=CurrentWeek-RecencyWin,RecencyMult,1))</f>
        <v>0</v>
      </c>
      <c r="AH438" s="2">
        <f>IF(AND($C438&lt;&gt;"",$E438=CurrentSeason,$F438="REG",ISNUMBER($G438),$G438&lt;CurrentWeek-1,AND($M438&lt;&gt;"",$N438&lt;&gt;"")),1,0)</f>
        <v>0</v>
      </c>
      <c r="AI438" s="2">
        <f>IF($AH438=0,0,IF($G438&gt;=CurrentWeek-1-RecencyWin,RecencyMult,1))</f>
        <v>0</v>
      </c>
      <c r="AJ438" s="2">
        <f>IF($AF438=0,0,IF($G438&gt;=CurrentWeek-RecencyWin,TotRecency,1))</f>
        <v>0</v>
      </c>
      <c r="AK438" s="2">
        <f t="shared" si="9"/>
        <v>0</v>
      </c>
      <c r="AL438" s="2">
        <f t="shared" si="10"/>
        <v>0</v>
      </c>
      <c r="AM438" s="2" t="str">
        <f t="array" ref="AM438">IF($K438="",0,IFERROR(INDEX(CALC!$F$2:$F$33,MATCH($K438,CALC!$A$2:$A$33,0)),0))</f>
        <v/>
      </c>
      <c r="AN438" s="2" t="str">
        <f t="array" ref="AN438">IF($K438="",0,IFERROR(INDEX(CALC!$I$2:$I$33,MATCH($K438,CALC!$A$2:$A$33,0)),0))</f>
        <v/>
      </c>
      <c r="AO438" s="2" t="str">
        <f t="array" ref="AO438">IF($K438="",0,IFERROR(INDEX(CALC!$L$2:$L$33,MATCH($K438,CALC!$A$2:$A$33,0)),0))</f>
        <v/>
      </c>
      <c r="AP438" s="2" t="str">
        <f t="array" ref="AP438">IF($K438="",0,IFERROR(INDEX(CALC!$T$2:$T$33,MATCH($K438,CALC!$A$2:$A$33,0)),0))</f>
        <v/>
      </c>
      <c r="AQ438" s="2" t="str">
        <f t="array" ref="AQ438">IF($K438="",0,IFERROR(INDEX(CALC!$W$2:$W$33,MATCH($K438,CALC!$A$2:$A$33,0)),0))</f>
        <v/>
      </c>
      <c r="AR438" s="2" t="str">
        <f t="array" ref="AR438">IF($K438="",0,IFERROR(INDEX(CALC!$Z$2:$Z$33,MATCH($K438,CALC!$A$2:$A$33,0)),0))</f>
        <v/>
      </c>
      <c r="AS438" s="2" t="str">
        <f t="array" ref="AS438">IF($K438="",0,IFERROR(INDEX(CALC!$AJ$2:$AJ$33,MATCH($K438,CALC!$A$2:$A$33,0)),0))</f>
        <v/>
      </c>
      <c r="AT438" s="2" t="str">
        <f t="array" ref="AT438">IF($K438="",0,IFERROR(INDEX(CALC!$AI$2:$AI$33,MATCH($K438,CALC!$A$2:$A$33,0)),0))</f>
        <v/>
      </c>
      <c r="AU438" s="2">
        <f t="shared" si="11"/>
        <v>0</v>
      </c>
      <c r="AV438" s="2">
        <f t="shared" si="12"/>
        <v>0</v>
      </c>
    </row>
    <row r="439" ht="15.0" customHeight="1">
      <c r="A439" s="2">
        <v>219.0</v>
      </c>
      <c r="B439" s="2" t="s">
        <v>2365</v>
      </c>
      <c r="C439" s="2">
        <f>IFERROR(MATCH($A439,SchedSeq,0),"")</f>
        <v>504</v>
      </c>
      <c r="D439" s="2" t="str">
        <f t="array" ref="D439">IF($C439="","",INDEX(SchedZone,$C439,MAP!$B$6))</f>
        <v>2026_15_ATL_WAS</v>
      </c>
      <c r="E439" s="2">
        <f t="array" ref="E439">IF($C439="","",INDEX(SchedZone,$C439,MAP!$B$3))</f>
        <v>2026</v>
      </c>
      <c r="F439" s="2" t="str">
        <f t="array" ref="F439">IF($C439="","",INDEX(SchedZone,$C439,MAP!$B$5))</f>
        <v>REG</v>
      </c>
      <c r="G439" s="2">
        <f t="array" ref="G439">IF($C439="","",INDEX(SchedZone,$C439,MAP!$B$4))</f>
        <v>15</v>
      </c>
      <c r="H439" s="2" t="str">
        <f t="array" ref="H439">IF($C439="","",INDEX(SchedZone,$C439,MAP!$B$12))</f>
        <v>WAS</v>
      </c>
      <c r="I439" s="2" t="str">
        <f t="array" ref="I439">IF($H439="","",IF(COUNTIF(Teams,$H439)&gt;0,$H439,IFERROR(INDEX(LISTS!$D$2:$D$12,MATCH($H439,LISTS!$C$2:$C$12,0)),"⚠ "&amp;$H439)))</f>
        <v>WAS</v>
      </c>
      <c r="J439" s="2" t="str">
        <f t="array" ref="J439">IF($C439="","",INDEX(SchedZone,$C439,MAP!$B$10))</f>
        <v>ATL</v>
      </c>
      <c r="K439" s="2" t="str">
        <f t="array" ref="K439">IF($J439="","",IF(COUNTIF(Teams,$J439)&gt;0,$J439,IFERROR(INDEX(LISTS!$D$2:$D$12,MATCH($J439,LISTS!$C$2:$C$12,0)),"⚠ "&amp;$J439)))</f>
        <v>ATL</v>
      </c>
      <c r="L439" s="2" t="str">
        <f t="array" ref="L439">IF($C439="","",IF(INDEX(SchedZone,$C439,MAP!$B$14)="Neutral","N",IF($B439="HOME","H","A")))</f>
        <v>H</v>
      </c>
      <c r="M439" s="2" t="str">
        <f t="array" ref="M439">IF($C439="","",IF(INDEX(SchedZone,$C439,MAP!$B$13)="","",INDEX(SchedZone,$C439,MAP!$B$13)))</f>
        <v/>
      </c>
      <c r="N439" s="2" t="str">
        <f t="array" ref="N439">IF($C439="","",IF(INDEX(SchedZone,$C439,MAP!$B$11)="","",INDEX(SchedZone,$C439,MAP!$B$11)))</f>
        <v/>
      </c>
      <c r="O439" s="2">
        <f t="array" ref="O439">IF($C439="","",INDEX(SchedZone,$C439,MAP!$B$16))</f>
        <v>7</v>
      </c>
      <c r="P439" s="2" t="str">
        <f>IF($C439="","",IFERROR(MATCH($E439&amp;"|"&amp;$G439&amp;"|"&amp;$I439,StatsKey,0),""))</f>
        <v/>
      </c>
      <c r="Q439" s="2">
        <f t="array" ref="Q439">IF($P439="",0,INDEX(StatsZone,$P439,MAP!$E$9)+INDEX(StatsZone,$P439,MAP!$E$10)+INDEX(StatsZone,$P439,MAP!$E$11))</f>
        <v>0</v>
      </c>
      <c r="R439" s="2">
        <f t="array" ref="R439">IF($P439="",0,INDEX(StatsZone,$P439,MAP!$E$12))</f>
        <v>0</v>
      </c>
      <c r="S439" s="2">
        <f t="array" ref="S439">IF($P439="",0,INDEX(StatsZone,$P439,MAP!$E$13))</f>
        <v>0</v>
      </c>
      <c r="T439" s="2">
        <f t="shared" si="1"/>
        <v>0</v>
      </c>
      <c r="U439" s="2">
        <f t="array" ref="U439">IF($P439="",0,INDEX(StatsZone,$P439,MAP!$E$14)+INDEX(StatsZone,$P439,MAP!$E$15)+INDEX(StatsZone,$P439,MAP!$E$16))</f>
        <v>0</v>
      </c>
      <c r="V439" s="2">
        <f t="shared" si="2"/>
        <v>0</v>
      </c>
      <c r="W439" s="2">
        <f t="shared" si="3"/>
        <v>0</v>
      </c>
      <c r="X439" s="2">
        <f t="shared" si="4"/>
        <v>0</v>
      </c>
      <c r="Y439" s="2">
        <f t="shared" si="5"/>
        <v>0</v>
      </c>
      <c r="Z439" s="2">
        <f t="shared" si="6"/>
        <v>0</v>
      </c>
      <c r="AA439" s="2">
        <f t="shared" si="7"/>
        <v>1</v>
      </c>
      <c r="AB439" s="2">
        <f>IF(OR($M439="",$N439=""),0,MEDIAN(-MarginCap,MarginCap,($M439-$N439)-$AA439*HFA_Base))</f>
        <v>0</v>
      </c>
      <c r="AC439" s="2">
        <f t="array" ref="AC439">IF(OR($P439="",INDEX($P$3:$P$722,(ROW()+IF(MOD(ROW()-3,2)=0,1,-1))-3+1)=""),0,MEDIAN(-MarginCap,MarginCap,($T439-$W439)-$AA439*HFA_Base))</f>
        <v>0</v>
      </c>
      <c r="AD439" s="2">
        <f t="shared" si="8"/>
        <v>0</v>
      </c>
      <c r="AE439" s="2">
        <f>IF(OR($M439="",$N439=""),0,IF(AND(WEpa&gt;0,$AD439=1),(1-WEpa)*$AB439+WEpa*$AC439,$AB439))</f>
        <v>0</v>
      </c>
      <c r="AF439" s="2">
        <f>IF(AND($C439&lt;&gt;"",$E439=CurrentSeason,$F439="REG",ISNUMBER($G439),$G439&lt;CurrentWeek,AND($M439&lt;&gt;"",$N439&lt;&gt;"")),1,0)</f>
        <v>0</v>
      </c>
      <c r="AG439" s="2">
        <f>IF($AF439=0,0,IF($G439&gt;=CurrentWeek-RecencyWin,RecencyMult,1))</f>
        <v>0</v>
      </c>
      <c r="AH439" s="2">
        <f>IF(AND($C439&lt;&gt;"",$E439=CurrentSeason,$F439="REG",ISNUMBER($G439),$G439&lt;CurrentWeek-1,AND($M439&lt;&gt;"",$N439&lt;&gt;"")),1,0)</f>
        <v>0</v>
      </c>
      <c r="AI439" s="2">
        <f>IF($AH439=0,0,IF($G439&gt;=CurrentWeek-1-RecencyWin,RecencyMult,1))</f>
        <v>0</v>
      </c>
      <c r="AJ439" s="2">
        <f>IF($AF439=0,0,IF($G439&gt;=CurrentWeek-RecencyWin,TotRecency,1))</f>
        <v>0</v>
      </c>
      <c r="AK439" s="2">
        <f t="shared" si="9"/>
        <v>0</v>
      </c>
      <c r="AL439" s="2">
        <f t="shared" si="10"/>
        <v>0</v>
      </c>
      <c r="AM439" s="2" t="str">
        <f t="array" ref="AM439">IF($K439="",0,IFERROR(INDEX(CALC!$F$2:$F$33,MATCH($K439,CALC!$A$2:$A$33,0)),0))</f>
        <v/>
      </c>
      <c r="AN439" s="2" t="str">
        <f t="array" ref="AN439">IF($K439="",0,IFERROR(INDEX(CALC!$I$2:$I$33,MATCH($K439,CALC!$A$2:$A$33,0)),0))</f>
        <v/>
      </c>
      <c r="AO439" s="2" t="str">
        <f t="array" ref="AO439">IF($K439="",0,IFERROR(INDEX(CALC!$L$2:$L$33,MATCH($K439,CALC!$A$2:$A$33,0)),0))</f>
        <v/>
      </c>
      <c r="AP439" s="2" t="str">
        <f t="array" ref="AP439">IF($K439="",0,IFERROR(INDEX(CALC!$T$2:$T$33,MATCH($K439,CALC!$A$2:$A$33,0)),0))</f>
        <v/>
      </c>
      <c r="AQ439" s="2" t="str">
        <f t="array" ref="AQ439">IF($K439="",0,IFERROR(INDEX(CALC!$W$2:$W$33,MATCH($K439,CALC!$A$2:$A$33,0)),0))</f>
        <v/>
      </c>
      <c r="AR439" s="2" t="str">
        <f t="array" ref="AR439">IF($K439="",0,IFERROR(INDEX(CALC!$Z$2:$Z$33,MATCH($K439,CALC!$A$2:$A$33,0)),0))</f>
        <v/>
      </c>
      <c r="AS439" s="2" t="str">
        <f t="array" ref="AS439">IF($K439="",0,IFERROR(INDEX(CALC!$AJ$2:$AJ$33,MATCH($K439,CALC!$A$2:$A$33,0)),0))</f>
        <v/>
      </c>
      <c r="AT439" s="2" t="str">
        <f t="array" ref="AT439">IF($K439="",0,IFERROR(INDEX(CALC!$AI$2:$AI$33,MATCH($K439,CALC!$A$2:$A$33,0)),0))</f>
        <v/>
      </c>
      <c r="AU439" s="2">
        <f t="shared" si="11"/>
        <v>0</v>
      </c>
      <c r="AV439" s="2">
        <f t="shared" si="12"/>
        <v>0</v>
      </c>
    </row>
    <row r="440" ht="15.0" customHeight="1">
      <c r="A440" s="2">
        <v>219.0</v>
      </c>
      <c r="B440" s="2" t="s">
        <v>2366</v>
      </c>
      <c r="C440" s="2">
        <f>IFERROR(MATCH($A440,SchedSeq,0),"")</f>
        <v>504</v>
      </c>
      <c r="D440" s="2" t="str">
        <f t="array" ref="D440">IF($C440="","",INDEX(SchedZone,$C440,MAP!$B$6))</f>
        <v>2026_15_ATL_WAS</v>
      </c>
      <c r="E440" s="2">
        <f t="array" ref="E440">IF($C440="","",INDEX(SchedZone,$C440,MAP!$B$3))</f>
        <v>2026</v>
      </c>
      <c r="F440" s="2" t="str">
        <f t="array" ref="F440">IF($C440="","",INDEX(SchedZone,$C440,MAP!$B$5))</f>
        <v>REG</v>
      </c>
      <c r="G440" s="2">
        <f t="array" ref="G440">IF($C440="","",INDEX(SchedZone,$C440,MAP!$B$4))</f>
        <v>15</v>
      </c>
      <c r="H440" s="2" t="str">
        <f t="array" ref="H440">IF($C440="","",INDEX(SchedZone,$C440,MAP!$B$10))</f>
        <v>ATL</v>
      </c>
      <c r="I440" s="2" t="str">
        <f t="array" ref="I440">IF($H440="","",IF(COUNTIF(Teams,$H440)&gt;0,$H440,IFERROR(INDEX(LISTS!$D$2:$D$12,MATCH($H440,LISTS!$C$2:$C$12,0)),"⚠ "&amp;$H440)))</f>
        <v>ATL</v>
      </c>
      <c r="J440" s="2" t="str">
        <f t="array" ref="J440">IF($C440="","",INDEX(SchedZone,$C440,MAP!$B$12))</f>
        <v>WAS</v>
      </c>
      <c r="K440" s="2" t="str">
        <f t="array" ref="K440">IF($J440="","",IF(COUNTIF(Teams,$J440)&gt;0,$J440,IFERROR(INDEX(LISTS!$D$2:$D$12,MATCH($J440,LISTS!$C$2:$C$12,0)),"⚠ "&amp;$J440)))</f>
        <v>WAS</v>
      </c>
      <c r="L440" s="2" t="str">
        <f t="array" ref="L440">IF($C440="","",IF(INDEX(SchedZone,$C440,MAP!$B$14)="Neutral","N",IF($B440="HOME","H","A")))</f>
        <v>A</v>
      </c>
      <c r="M440" s="2" t="str">
        <f t="array" ref="M440">IF($C440="","",IF(INDEX(SchedZone,$C440,MAP!$B$11)="","",INDEX(SchedZone,$C440,MAP!$B$11)))</f>
        <v/>
      </c>
      <c r="N440" s="2" t="str">
        <f t="array" ref="N440">IF($C440="","",IF(INDEX(SchedZone,$C440,MAP!$B$13)="","",INDEX(SchedZone,$C440,MAP!$B$13)))</f>
        <v/>
      </c>
      <c r="O440" s="2">
        <f t="array" ref="O440">IF($C440="","",INDEX(SchedZone,$C440,MAP!$B$15))</f>
        <v>7</v>
      </c>
      <c r="P440" s="2" t="str">
        <f>IF($C440="","",IFERROR(MATCH($E440&amp;"|"&amp;$G440&amp;"|"&amp;$I440,StatsKey,0),""))</f>
        <v/>
      </c>
      <c r="Q440" s="2">
        <f t="array" ref="Q440">IF($P440="",0,INDEX(StatsZone,$P440,MAP!$E$9)+INDEX(StatsZone,$P440,MAP!$E$10)+INDEX(StatsZone,$P440,MAP!$E$11))</f>
        <v>0</v>
      </c>
      <c r="R440" s="2">
        <f t="array" ref="R440">IF($P440="",0,INDEX(StatsZone,$P440,MAP!$E$12))</f>
        <v>0</v>
      </c>
      <c r="S440" s="2">
        <f t="array" ref="S440">IF($P440="",0,INDEX(StatsZone,$P440,MAP!$E$13))</f>
        <v>0</v>
      </c>
      <c r="T440" s="2">
        <f t="shared" si="1"/>
        <v>0</v>
      </c>
      <c r="U440" s="2">
        <f t="array" ref="U440">IF($P440="",0,INDEX(StatsZone,$P440,MAP!$E$14)+INDEX(StatsZone,$P440,MAP!$E$15)+INDEX(StatsZone,$P440,MAP!$E$16))</f>
        <v>0</v>
      </c>
      <c r="V440" s="2">
        <f t="shared" si="2"/>
        <v>0</v>
      </c>
      <c r="W440" s="2">
        <f t="shared" si="3"/>
        <v>0</v>
      </c>
      <c r="X440" s="2">
        <f t="shared" si="4"/>
        <v>0</v>
      </c>
      <c r="Y440" s="2">
        <f t="shared" si="5"/>
        <v>0</v>
      </c>
      <c r="Z440" s="2">
        <f t="shared" si="6"/>
        <v>0</v>
      </c>
      <c r="AA440" s="2">
        <f t="shared" si="7"/>
        <v>-1</v>
      </c>
      <c r="AB440" s="2">
        <f>IF(OR($M440="",$N440=""),0,MEDIAN(-MarginCap,MarginCap,($M440-$N440)-$AA440*HFA_Base))</f>
        <v>0</v>
      </c>
      <c r="AC440" s="2">
        <f t="array" ref="AC440">IF(OR($P440="",INDEX($P$3:$P$722,(ROW()+IF(MOD(ROW()-3,2)=0,1,-1))-3+1)=""),0,MEDIAN(-MarginCap,MarginCap,($T440-$W440)-$AA440*HFA_Base))</f>
        <v>0</v>
      </c>
      <c r="AD440" s="2">
        <f t="shared" si="8"/>
        <v>0</v>
      </c>
      <c r="AE440" s="2">
        <f>IF(OR($M440="",$N440=""),0,IF(AND(WEpa&gt;0,$AD440=1),(1-WEpa)*$AB440+WEpa*$AC440,$AB440))</f>
        <v>0</v>
      </c>
      <c r="AF440" s="2">
        <f>IF(AND($C440&lt;&gt;"",$E440=CurrentSeason,$F440="REG",ISNUMBER($G440),$G440&lt;CurrentWeek,AND($M440&lt;&gt;"",$N440&lt;&gt;"")),1,0)</f>
        <v>0</v>
      </c>
      <c r="AG440" s="2">
        <f>IF($AF440=0,0,IF($G440&gt;=CurrentWeek-RecencyWin,RecencyMult,1))</f>
        <v>0</v>
      </c>
      <c r="AH440" s="2">
        <f>IF(AND($C440&lt;&gt;"",$E440=CurrentSeason,$F440="REG",ISNUMBER($G440),$G440&lt;CurrentWeek-1,AND($M440&lt;&gt;"",$N440&lt;&gt;"")),1,0)</f>
        <v>0</v>
      </c>
      <c r="AI440" s="2">
        <f>IF($AH440=0,0,IF($G440&gt;=CurrentWeek-1-RecencyWin,RecencyMult,1))</f>
        <v>0</v>
      </c>
      <c r="AJ440" s="2">
        <f>IF($AF440=0,0,IF($G440&gt;=CurrentWeek-RecencyWin,TotRecency,1))</f>
        <v>0</v>
      </c>
      <c r="AK440" s="2">
        <f t="shared" si="9"/>
        <v>0</v>
      </c>
      <c r="AL440" s="2">
        <f t="shared" si="10"/>
        <v>0</v>
      </c>
      <c r="AM440" s="2" t="str">
        <f t="array" ref="AM440">IF($K440="",0,IFERROR(INDEX(CALC!$F$2:$F$33,MATCH($K440,CALC!$A$2:$A$33,0)),0))</f>
        <v/>
      </c>
      <c r="AN440" s="2" t="str">
        <f t="array" ref="AN440">IF($K440="",0,IFERROR(INDEX(CALC!$I$2:$I$33,MATCH($K440,CALC!$A$2:$A$33,0)),0))</f>
        <v/>
      </c>
      <c r="AO440" s="2" t="str">
        <f t="array" ref="AO440">IF($K440="",0,IFERROR(INDEX(CALC!$L$2:$L$33,MATCH($K440,CALC!$A$2:$A$33,0)),0))</f>
        <v/>
      </c>
      <c r="AP440" s="2" t="str">
        <f t="array" ref="AP440">IF($K440="",0,IFERROR(INDEX(CALC!$T$2:$T$33,MATCH($K440,CALC!$A$2:$A$33,0)),0))</f>
        <v/>
      </c>
      <c r="AQ440" s="2" t="str">
        <f t="array" ref="AQ440">IF($K440="",0,IFERROR(INDEX(CALC!$W$2:$W$33,MATCH($K440,CALC!$A$2:$A$33,0)),0))</f>
        <v/>
      </c>
      <c r="AR440" s="2" t="str">
        <f t="array" ref="AR440">IF($K440="",0,IFERROR(INDEX(CALC!$Z$2:$Z$33,MATCH($K440,CALC!$A$2:$A$33,0)),0))</f>
        <v/>
      </c>
      <c r="AS440" s="2" t="str">
        <f t="array" ref="AS440">IF($K440="",0,IFERROR(INDEX(CALC!$AJ$2:$AJ$33,MATCH($K440,CALC!$A$2:$A$33,0)),0))</f>
        <v/>
      </c>
      <c r="AT440" s="2" t="str">
        <f t="array" ref="AT440">IF($K440="",0,IFERROR(INDEX(CALC!$AI$2:$AI$33,MATCH($K440,CALC!$A$2:$A$33,0)),0))</f>
        <v/>
      </c>
      <c r="AU440" s="2">
        <f t="shared" si="11"/>
        <v>0</v>
      </c>
      <c r="AV440" s="2">
        <f t="shared" si="12"/>
        <v>0</v>
      </c>
    </row>
    <row r="441" ht="15.0" customHeight="1">
      <c r="A441" s="2">
        <v>220.0</v>
      </c>
      <c r="B441" s="2" t="s">
        <v>2365</v>
      </c>
      <c r="C441" s="2">
        <f>IFERROR(MATCH($A441,SchedSeq,0),"")</f>
        <v>505</v>
      </c>
      <c r="D441" s="2" t="str">
        <f t="array" ref="D441">IF($C441="","",INDEX(SchedZone,$C441,MAP!$B$6))</f>
        <v>2026_15_NYJ_ARI</v>
      </c>
      <c r="E441" s="2">
        <f t="array" ref="E441">IF($C441="","",INDEX(SchedZone,$C441,MAP!$B$3))</f>
        <v>2026</v>
      </c>
      <c r="F441" s="2" t="str">
        <f t="array" ref="F441">IF($C441="","",INDEX(SchedZone,$C441,MAP!$B$5))</f>
        <v>REG</v>
      </c>
      <c r="G441" s="2">
        <f t="array" ref="G441">IF($C441="","",INDEX(SchedZone,$C441,MAP!$B$4))</f>
        <v>15</v>
      </c>
      <c r="H441" s="2" t="str">
        <f t="array" ref="H441">IF($C441="","",INDEX(SchedZone,$C441,MAP!$B$12))</f>
        <v>ARI</v>
      </c>
      <c r="I441" s="2" t="str">
        <f t="array" ref="I441">IF($H441="","",IF(COUNTIF(Teams,$H441)&gt;0,$H441,IFERROR(INDEX(LISTS!$D$2:$D$12,MATCH($H441,LISTS!$C$2:$C$12,0)),"⚠ "&amp;$H441)))</f>
        <v>ARI</v>
      </c>
      <c r="J441" s="2" t="str">
        <f t="array" ref="J441">IF($C441="","",INDEX(SchedZone,$C441,MAP!$B$10))</f>
        <v>NYJ</v>
      </c>
      <c r="K441" s="2" t="str">
        <f t="array" ref="K441">IF($J441="","",IF(COUNTIF(Teams,$J441)&gt;0,$J441,IFERROR(INDEX(LISTS!$D$2:$D$12,MATCH($J441,LISTS!$C$2:$C$12,0)),"⚠ "&amp;$J441)))</f>
        <v>NYJ</v>
      </c>
      <c r="L441" s="2" t="str">
        <f t="array" ref="L441">IF($C441="","",IF(INDEX(SchedZone,$C441,MAP!$B$14)="Neutral","N",IF($B441="HOME","H","A")))</f>
        <v>H</v>
      </c>
      <c r="M441" s="2" t="str">
        <f t="array" ref="M441">IF($C441="","",IF(INDEX(SchedZone,$C441,MAP!$B$13)="","",INDEX(SchedZone,$C441,MAP!$B$13)))</f>
        <v/>
      </c>
      <c r="N441" s="2" t="str">
        <f t="array" ref="N441">IF($C441="","",IF(INDEX(SchedZone,$C441,MAP!$B$11)="","",INDEX(SchedZone,$C441,MAP!$B$11)))</f>
        <v/>
      </c>
      <c r="O441" s="2">
        <f t="array" ref="O441">IF($C441="","",INDEX(SchedZone,$C441,MAP!$B$16))</f>
        <v>14</v>
      </c>
      <c r="P441" s="2" t="str">
        <f>IF($C441="","",IFERROR(MATCH($E441&amp;"|"&amp;$G441&amp;"|"&amp;$I441,StatsKey,0),""))</f>
        <v/>
      </c>
      <c r="Q441" s="2">
        <f t="array" ref="Q441">IF($P441="",0,INDEX(StatsZone,$P441,MAP!$E$9)+INDEX(StatsZone,$P441,MAP!$E$10)+INDEX(StatsZone,$P441,MAP!$E$11))</f>
        <v>0</v>
      </c>
      <c r="R441" s="2">
        <f t="array" ref="R441">IF($P441="",0,INDEX(StatsZone,$P441,MAP!$E$12))</f>
        <v>0</v>
      </c>
      <c r="S441" s="2">
        <f t="array" ref="S441">IF($P441="",0,INDEX(StatsZone,$P441,MAP!$E$13))</f>
        <v>0</v>
      </c>
      <c r="T441" s="2">
        <f t="shared" si="1"/>
        <v>0</v>
      </c>
      <c r="U441" s="2">
        <f t="array" ref="U441">IF($P441="",0,INDEX(StatsZone,$P441,MAP!$E$14)+INDEX(StatsZone,$P441,MAP!$E$15)+INDEX(StatsZone,$P441,MAP!$E$16))</f>
        <v>0</v>
      </c>
      <c r="V441" s="2">
        <f t="shared" si="2"/>
        <v>0</v>
      </c>
      <c r="W441" s="2">
        <f t="shared" si="3"/>
        <v>0</v>
      </c>
      <c r="X441" s="2">
        <f t="shared" si="4"/>
        <v>0</v>
      </c>
      <c r="Y441" s="2">
        <f t="shared" si="5"/>
        <v>0</v>
      </c>
      <c r="Z441" s="2">
        <f t="shared" si="6"/>
        <v>0</v>
      </c>
      <c r="AA441" s="2">
        <f t="shared" si="7"/>
        <v>1</v>
      </c>
      <c r="AB441" s="2">
        <f>IF(OR($M441="",$N441=""),0,MEDIAN(-MarginCap,MarginCap,($M441-$N441)-$AA441*HFA_Base))</f>
        <v>0</v>
      </c>
      <c r="AC441" s="2">
        <f t="array" ref="AC441">IF(OR($P441="",INDEX($P$3:$P$722,(ROW()+IF(MOD(ROW()-3,2)=0,1,-1))-3+1)=""),0,MEDIAN(-MarginCap,MarginCap,($T441-$W441)-$AA441*HFA_Base))</f>
        <v>0</v>
      </c>
      <c r="AD441" s="2">
        <f t="shared" si="8"/>
        <v>0</v>
      </c>
      <c r="AE441" s="2">
        <f>IF(OR($M441="",$N441=""),0,IF(AND(WEpa&gt;0,$AD441=1),(1-WEpa)*$AB441+WEpa*$AC441,$AB441))</f>
        <v>0</v>
      </c>
      <c r="AF441" s="2">
        <f>IF(AND($C441&lt;&gt;"",$E441=CurrentSeason,$F441="REG",ISNUMBER($G441),$G441&lt;CurrentWeek,AND($M441&lt;&gt;"",$N441&lt;&gt;"")),1,0)</f>
        <v>0</v>
      </c>
      <c r="AG441" s="2">
        <f>IF($AF441=0,0,IF($G441&gt;=CurrentWeek-RecencyWin,RecencyMult,1))</f>
        <v>0</v>
      </c>
      <c r="AH441" s="2">
        <f>IF(AND($C441&lt;&gt;"",$E441=CurrentSeason,$F441="REG",ISNUMBER($G441),$G441&lt;CurrentWeek-1,AND($M441&lt;&gt;"",$N441&lt;&gt;"")),1,0)</f>
        <v>0</v>
      </c>
      <c r="AI441" s="2">
        <f>IF($AH441=0,0,IF($G441&gt;=CurrentWeek-1-RecencyWin,RecencyMult,1))</f>
        <v>0</v>
      </c>
      <c r="AJ441" s="2">
        <f>IF($AF441=0,0,IF($G441&gt;=CurrentWeek-RecencyWin,TotRecency,1))</f>
        <v>0</v>
      </c>
      <c r="AK441" s="2">
        <f t="shared" si="9"/>
        <v>0</v>
      </c>
      <c r="AL441" s="2">
        <f t="shared" si="10"/>
        <v>0</v>
      </c>
      <c r="AM441" s="2" t="str">
        <f t="array" ref="AM441">IF($K441="",0,IFERROR(INDEX(CALC!$F$2:$F$33,MATCH($K441,CALC!$A$2:$A$33,0)),0))</f>
        <v/>
      </c>
      <c r="AN441" s="2" t="str">
        <f t="array" ref="AN441">IF($K441="",0,IFERROR(INDEX(CALC!$I$2:$I$33,MATCH($K441,CALC!$A$2:$A$33,0)),0))</f>
        <v/>
      </c>
      <c r="AO441" s="2" t="str">
        <f t="array" ref="AO441">IF($K441="",0,IFERROR(INDEX(CALC!$L$2:$L$33,MATCH($K441,CALC!$A$2:$A$33,0)),0))</f>
        <v/>
      </c>
      <c r="AP441" s="2" t="str">
        <f t="array" ref="AP441">IF($K441="",0,IFERROR(INDEX(CALC!$T$2:$T$33,MATCH($K441,CALC!$A$2:$A$33,0)),0))</f>
        <v/>
      </c>
      <c r="AQ441" s="2" t="str">
        <f t="array" ref="AQ441">IF($K441="",0,IFERROR(INDEX(CALC!$W$2:$W$33,MATCH($K441,CALC!$A$2:$A$33,0)),0))</f>
        <v/>
      </c>
      <c r="AR441" s="2" t="str">
        <f t="array" ref="AR441">IF($K441="",0,IFERROR(INDEX(CALC!$Z$2:$Z$33,MATCH($K441,CALC!$A$2:$A$33,0)),0))</f>
        <v/>
      </c>
      <c r="AS441" s="2" t="str">
        <f t="array" ref="AS441">IF($K441="",0,IFERROR(INDEX(CALC!$AJ$2:$AJ$33,MATCH($K441,CALC!$A$2:$A$33,0)),0))</f>
        <v/>
      </c>
      <c r="AT441" s="2" t="str">
        <f t="array" ref="AT441">IF($K441="",0,IFERROR(INDEX(CALC!$AI$2:$AI$33,MATCH($K441,CALC!$A$2:$A$33,0)),0))</f>
        <v/>
      </c>
      <c r="AU441" s="2">
        <f t="shared" si="11"/>
        <v>0</v>
      </c>
      <c r="AV441" s="2">
        <f t="shared" si="12"/>
        <v>0</v>
      </c>
    </row>
    <row r="442" ht="15.0" customHeight="1">
      <c r="A442" s="2">
        <v>220.0</v>
      </c>
      <c r="B442" s="2" t="s">
        <v>2366</v>
      </c>
      <c r="C442" s="2">
        <f>IFERROR(MATCH($A442,SchedSeq,0),"")</f>
        <v>505</v>
      </c>
      <c r="D442" s="2" t="str">
        <f t="array" ref="D442">IF($C442="","",INDEX(SchedZone,$C442,MAP!$B$6))</f>
        <v>2026_15_NYJ_ARI</v>
      </c>
      <c r="E442" s="2">
        <f t="array" ref="E442">IF($C442="","",INDEX(SchedZone,$C442,MAP!$B$3))</f>
        <v>2026</v>
      </c>
      <c r="F442" s="2" t="str">
        <f t="array" ref="F442">IF($C442="","",INDEX(SchedZone,$C442,MAP!$B$5))</f>
        <v>REG</v>
      </c>
      <c r="G442" s="2">
        <f t="array" ref="G442">IF($C442="","",INDEX(SchedZone,$C442,MAP!$B$4))</f>
        <v>15</v>
      </c>
      <c r="H442" s="2" t="str">
        <f t="array" ref="H442">IF($C442="","",INDEX(SchedZone,$C442,MAP!$B$10))</f>
        <v>NYJ</v>
      </c>
      <c r="I442" s="2" t="str">
        <f t="array" ref="I442">IF($H442="","",IF(COUNTIF(Teams,$H442)&gt;0,$H442,IFERROR(INDEX(LISTS!$D$2:$D$12,MATCH($H442,LISTS!$C$2:$C$12,0)),"⚠ "&amp;$H442)))</f>
        <v>NYJ</v>
      </c>
      <c r="J442" s="2" t="str">
        <f t="array" ref="J442">IF($C442="","",INDEX(SchedZone,$C442,MAP!$B$12))</f>
        <v>ARI</v>
      </c>
      <c r="K442" s="2" t="str">
        <f t="array" ref="K442">IF($J442="","",IF(COUNTIF(Teams,$J442)&gt;0,$J442,IFERROR(INDEX(LISTS!$D$2:$D$12,MATCH($J442,LISTS!$C$2:$C$12,0)),"⚠ "&amp;$J442)))</f>
        <v>ARI</v>
      </c>
      <c r="L442" s="2" t="str">
        <f t="array" ref="L442">IF($C442="","",IF(INDEX(SchedZone,$C442,MAP!$B$14)="Neutral","N",IF($B442="HOME","H","A")))</f>
        <v>A</v>
      </c>
      <c r="M442" s="2" t="str">
        <f t="array" ref="M442">IF($C442="","",IF(INDEX(SchedZone,$C442,MAP!$B$11)="","",INDEX(SchedZone,$C442,MAP!$B$11)))</f>
        <v/>
      </c>
      <c r="N442" s="2" t="str">
        <f t="array" ref="N442">IF($C442="","",IF(INDEX(SchedZone,$C442,MAP!$B$13)="","",INDEX(SchedZone,$C442,MAP!$B$13)))</f>
        <v/>
      </c>
      <c r="O442" s="2">
        <f t="array" ref="O442">IF($C442="","",INDEX(SchedZone,$C442,MAP!$B$15))</f>
        <v>7</v>
      </c>
      <c r="P442" s="2" t="str">
        <f>IF($C442="","",IFERROR(MATCH($E442&amp;"|"&amp;$G442&amp;"|"&amp;$I442,StatsKey,0),""))</f>
        <v/>
      </c>
      <c r="Q442" s="2">
        <f t="array" ref="Q442">IF($P442="",0,INDEX(StatsZone,$P442,MAP!$E$9)+INDEX(StatsZone,$P442,MAP!$E$10)+INDEX(StatsZone,$P442,MAP!$E$11))</f>
        <v>0</v>
      </c>
      <c r="R442" s="2">
        <f t="array" ref="R442">IF($P442="",0,INDEX(StatsZone,$P442,MAP!$E$12))</f>
        <v>0</v>
      </c>
      <c r="S442" s="2">
        <f t="array" ref="S442">IF($P442="",0,INDEX(StatsZone,$P442,MAP!$E$13))</f>
        <v>0</v>
      </c>
      <c r="T442" s="2">
        <f t="shared" si="1"/>
        <v>0</v>
      </c>
      <c r="U442" s="2">
        <f t="array" ref="U442">IF($P442="",0,INDEX(StatsZone,$P442,MAP!$E$14)+INDEX(StatsZone,$P442,MAP!$E$15)+INDEX(StatsZone,$P442,MAP!$E$16))</f>
        <v>0</v>
      </c>
      <c r="V442" s="2">
        <f t="shared" si="2"/>
        <v>0</v>
      </c>
      <c r="W442" s="2">
        <f t="shared" si="3"/>
        <v>0</v>
      </c>
      <c r="X442" s="2">
        <f t="shared" si="4"/>
        <v>0</v>
      </c>
      <c r="Y442" s="2">
        <f t="shared" si="5"/>
        <v>0</v>
      </c>
      <c r="Z442" s="2">
        <f t="shared" si="6"/>
        <v>0</v>
      </c>
      <c r="AA442" s="2">
        <f t="shared" si="7"/>
        <v>-1</v>
      </c>
      <c r="AB442" s="2">
        <f>IF(OR($M442="",$N442=""),0,MEDIAN(-MarginCap,MarginCap,($M442-$N442)-$AA442*HFA_Base))</f>
        <v>0</v>
      </c>
      <c r="AC442" s="2">
        <f t="array" ref="AC442">IF(OR($P442="",INDEX($P$3:$P$722,(ROW()+IF(MOD(ROW()-3,2)=0,1,-1))-3+1)=""),0,MEDIAN(-MarginCap,MarginCap,($T442-$W442)-$AA442*HFA_Base))</f>
        <v>0</v>
      </c>
      <c r="AD442" s="2">
        <f t="shared" si="8"/>
        <v>0</v>
      </c>
      <c r="AE442" s="2">
        <f>IF(OR($M442="",$N442=""),0,IF(AND(WEpa&gt;0,$AD442=1),(1-WEpa)*$AB442+WEpa*$AC442,$AB442))</f>
        <v>0</v>
      </c>
      <c r="AF442" s="2">
        <f>IF(AND($C442&lt;&gt;"",$E442=CurrentSeason,$F442="REG",ISNUMBER($G442),$G442&lt;CurrentWeek,AND($M442&lt;&gt;"",$N442&lt;&gt;"")),1,0)</f>
        <v>0</v>
      </c>
      <c r="AG442" s="2">
        <f>IF($AF442=0,0,IF($G442&gt;=CurrentWeek-RecencyWin,RecencyMult,1))</f>
        <v>0</v>
      </c>
      <c r="AH442" s="2">
        <f>IF(AND($C442&lt;&gt;"",$E442=CurrentSeason,$F442="REG",ISNUMBER($G442),$G442&lt;CurrentWeek-1,AND($M442&lt;&gt;"",$N442&lt;&gt;"")),1,0)</f>
        <v>0</v>
      </c>
      <c r="AI442" s="2">
        <f>IF($AH442=0,0,IF($G442&gt;=CurrentWeek-1-RecencyWin,RecencyMult,1))</f>
        <v>0</v>
      </c>
      <c r="AJ442" s="2">
        <f>IF($AF442=0,0,IF($G442&gt;=CurrentWeek-RecencyWin,TotRecency,1))</f>
        <v>0</v>
      </c>
      <c r="AK442" s="2">
        <f t="shared" si="9"/>
        <v>0</v>
      </c>
      <c r="AL442" s="2">
        <f t="shared" si="10"/>
        <v>0</v>
      </c>
      <c r="AM442" s="2" t="str">
        <f t="array" ref="AM442">IF($K442="",0,IFERROR(INDEX(CALC!$F$2:$F$33,MATCH($K442,CALC!$A$2:$A$33,0)),0))</f>
        <v/>
      </c>
      <c r="AN442" s="2" t="str">
        <f t="array" ref="AN442">IF($K442="",0,IFERROR(INDEX(CALC!$I$2:$I$33,MATCH($K442,CALC!$A$2:$A$33,0)),0))</f>
        <v/>
      </c>
      <c r="AO442" s="2" t="str">
        <f t="array" ref="AO442">IF($K442="",0,IFERROR(INDEX(CALC!$L$2:$L$33,MATCH($K442,CALC!$A$2:$A$33,0)),0))</f>
        <v/>
      </c>
      <c r="AP442" s="2" t="str">
        <f t="array" ref="AP442">IF($K442="",0,IFERROR(INDEX(CALC!$T$2:$T$33,MATCH($K442,CALC!$A$2:$A$33,0)),0))</f>
        <v/>
      </c>
      <c r="AQ442" s="2" t="str">
        <f t="array" ref="AQ442">IF($K442="",0,IFERROR(INDEX(CALC!$W$2:$W$33,MATCH($K442,CALC!$A$2:$A$33,0)),0))</f>
        <v/>
      </c>
      <c r="AR442" s="2" t="str">
        <f t="array" ref="AR442">IF($K442="",0,IFERROR(INDEX(CALC!$Z$2:$Z$33,MATCH($K442,CALC!$A$2:$A$33,0)),0))</f>
        <v/>
      </c>
      <c r="AS442" s="2" t="str">
        <f t="array" ref="AS442">IF($K442="",0,IFERROR(INDEX(CALC!$AJ$2:$AJ$33,MATCH($K442,CALC!$A$2:$A$33,0)),0))</f>
        <v/>
      </c>
      <c r="AT442" s="2" t="str">
        <f t="array" ref="AT442">IF($K442="",0,IFERROR(INDEX(CALC!$AI$2:$AI$33,MATCH($K442,CALC!$A$2:$A$33,0)),0))</f>
        <v/>
      </c>
      <c r="AU442" s="2">
        <f t="shared" si="11"/>
        <v>0</v>
      </c>
      <c r="AV442" s="2">
        <f t="shared" si="12"/>
        <v>0</v>
      </c>
    </row>
    <row r="443" ht="15.0" customHeight="1">
      <c r="A443" s="2">
        <v>221.0</v>
      </c>
      <c r="B443" s="2" t="s">
        <v>2365</v>
      </c>
      <c r="C443" s="2">
        <f>IFERROR(MATCH($A443,SchedSeq,0),"")</f>
        <v>506</v>
      </c>
      <c r="D443" s="2" t="str">
        <f t="array" ref="D443">IF($C443="","",INDEX(SchedZone,$C443,MAP!$B$6))</f>
        <v>2026_15_DAL_LA</v>
      </c>
      <c r="E443" s="2">
        <f t="array" ref="E443">IF($C443="","",INDEX(SchedZone,$C443,MAP!$B$3))</f>
        <v>2026</v>
      </c>
      <c r="F443" s="2" t="str">
        <f t="array" ref="F443">IF($C443="","",INDEX(SchedZone,$C443,MAP!$B$5))</f>
        <v>REG</v>
      </c>
      <c r="G443" s="2">
        <f t="array" ref="G443">IF($C443="","",INDEX(SchedZone,$C443,MAP!$B$4))</f>
        <v>15</v>
      </c>
      <c r="H443" s="2" t="str">
        <f t="array" ref="H443">IF($C443="","",INDEX(SchedZone,$C443,MAP!$B$12))</f>
        <v>LA</v>
      </c>
      <c r="I443" s="2" t="str">
        <f t="array" ref="I443">IF($H443="","",IF(COUNTIF(Teams,$H443)&gt;0,$H443,IFERROR(INDEX(LISTS!$D$2:$D$12,MATCH($H443,LISTS!$C$2:$C$12,0)),"⚠ "&amp;$H443)))</f>
        <v>LA</v>
      </c>
      <c r="J443" s="2" t="str">
        <f t="array" ref="J443">IF($C443="","",INDEX(SchedZone,$C443,MAP!$B$10))</f>
        <v>DAL</v>
      </c>
      <c r="K443" s="2" t="str">
        <f t="array" ref="K443">IF($J443="","",IF(COUNTIF(Teams,$J443)&gt;0,$J443,IFERROR(INDEX(LISTS!$D$2:$D$12,MATCH($J443,LISTS!$C$2:$C$12,0)),"⚠ "&amp;$J443)))</f>
        <v>DAL</v>
      </c>
      <c r="L443" s="2" t="str">
        <f t="array" ref="L443">IF($C443="","",IF(INDEX(SchedZone,$C443,MAP!$B$14)="Neutral","N",IF($B443="HOME","H","A")))</f>
        <v>H</v>
      </c>
      <c r="M443" s="2" t="str">
        <f t="array" ref="M443">IF($C443="","",IF(INDEX(SchedZone,$C443,MAP!$B$13)="","",INDEX(SchedZone,$C443,MAP!$B$13)))</f>
        <v/>
      </c>
      <c r="N443" s="2" t="str">
        <f t="array" ref="N443">IF($C443="","",IF(INDEX(SchedZone,$C443,MAP!$B$11)="","",INDEX(SchedZone,$C443,MAP!$B$11)))</f>
        <v/>
      </c>
      <c r="O443" s="2">
        <f t="array" ref="O443">IF($C443="","",INDEX(SchedZone,$C443,MAP!$B$16))</f>
        <v>7</v>
      </c>
      <c r="P443" s="2" t="str">
        <f>IF($C443="","",IFERROR(MATCH($E443&amp;"|"&amp;$G443&amp;"|"&amp;$I443,StatsKey,0),""))</f>
        <v/>
      </c>
      <c r="Q443" s="2">
        <f t="array" ref="Q443">IF($P443="",0,INDEX(StatsZone,$P443,MAP!$E$9)+INDEX(StatsZone,$P443,MAP!$E$10)+INDEX(StatsZone,$P443,MAP!$E$11))</f>
        <v>0</v>
      </c>
      <c r="R443" s="2">
        <f t="array" ref="R443">IF($P443="",0,INDEX(StatsZone,$P443,MAP!$E$12))</f>
        <v>0</v>
      </c>
      <c r="S443" s="2">
        <f t="array" ref="S443">IF($P443="",0,INDEX(StatsZone,$P443,MAP!$E$13))</f>
        <v>0</v>
      </c>
      <c r="T443" s="2">
        <f t="shared" si="1"/>
        <v>0</v>
      </c>
      <c r="U443" s="2">
        <f t="array" ref="U443">IF($P443="",0,INDEX(StatsZone,$P443,MAP!$E$14)+INDEX(StatsZone,$P443,MAP!$E$15)+INDEX(StatsZone,$P443,MAP!$E$16))</f>
        <v>0</v>
      </c>
      <c r="V443" s="2">
        <f t="shared" si="2"/>
        <v>0</v>
      </c>
      <c r="W443" s="2">
        <f t="shared" si="3"/>
        <v>0</v>
      </c>
      <c r="X443" s="2">
        <f t="shared" si="4"/>
        <v>0</v>
      </c>
      <c r="Y443" s="2">
        <f t="shared" si="5"/>
        <v>0</v>
      </c>
      <c r="Z443" s="2">
        <f t="shared" si="6"/>
        <v>0</v>
      </c>
      <c r="AA443" s="2">
        <f t="shared" si="7"/>
        <v>1</v>
      </c>
      <c r="AB443" s="2">
        <f>IF(OR($M443="",$N443=""),0,MEDIAN(-MarginCap,MarginCap,($M443-$N443)-$AA443*HFA_Base))</f>
        <v>0</v>
      </c>
      <c r="AC443" s="2">
        <f t="array" ref="AC443">IF(OR($P443="",INDEX($P$3:$P$722,(ROW()+IF(MOD(ROW()-3,2)=0,1,-1))-3+1)=""),0,MEDIAN(-MarginCap,MarginCap,($T443-$W443)-$AA443*HFA_Base))</f>
        <v>0</v>
      </c>
      <c r="AD443" s="2">
        <f t="shared" si="8"/>
        <v>0</v>
      </c>
      <c r="AE443" s="2">
        <f>IF(OR($M443="",$N443=""),0,IF(AND(WEpa&gt;0,$AD443=1),(1-WEpa)*$AB443+WEpa*$AC443,$AB443))</f>
        <v>0</v>
      </c>
      <c r="AF443" s="2">
        <f>IF(AND($C443&lt;&gt;"",$E443=CurrentSeason,$F443="REG",ISNUMBER($G443),$G443&lt;CurrentWeek,AND($M443&lt;&gt;"",$N443&lt;&gt;"")),1,0)</f>
        <v>0</v>
      </c>
      <c r="AG443" s="2">
        <f>IF($AF443=0,0,IF($G443&gt;=CurrentWeek-RecencyWin,RecencyMult,1))</f>
        <v>0</v>
      </c>
      <c r="AH443" s="2">
        <f>IF(AND($C443&lt;&gt;"",$E443=CurrentSeason,$F443="REG",ISNUMBER($G443),$G443&lt;CurrentWeek-1,AND($M443&lt;&gt;"",$N443&lt;&gt;"")),1,0)</f>
        <v>0</v>
      </c>
      <c r="AI443" s="2">
        <f>IF($AH443=0,0,IF($G443&gt;=CurrentWeek-1-RecencyWin,RecencyMult,1))</f>
        <v>0</v>
      </c>
      <c r="AJ443" s="2">
        <f>IF($AF443=0,0,IF($G443&gt;=CurrentWeek-RecencyWin,TotRecency,1))</f>
        <v>0</v>
      </c>
      <c r="AK443" s="2">
        <f t="shared" si="9"/>
        <v>0</v>
      </c>
      <c r="AL443" s="2">
        <f t="shared" si="10"/>
        <v>0</v>
      </c>
      <c r="AM443" s="2" t="str">
        <f t="array" ref="AM443">IF($K443="",0,IFERROR(INDEX(CALC!$F$2:$F$33,MATCH($K443,CALC!$A$2:$A$33,0)),0))</f>
        <v/>
      </c>
      <c r="AN443" s="2" t="str">
        <f t="array" ref="AN443">IF($K443="",0,IFERROR(INDEX(CALC!$I$2:$I$33,MATCH($K443,CALC!$A$2:$A$33,0)),0))</f>
        <v/>
      </c>
      <c r="AO443" s="2" t="str">
        <f t="array" ref="AO443">IF($K443="",0,IFERROR(INDEX(CALC!$L$2:$L$33,MATCH($K443,CALC!$A$2:$A$33,0)),0))</f>
        <v/>
      </c>
      <c r="AP443" s="2" t="str">
        <f t="array" ref="AP443">IF($K443="",0,IFERROR(INDEX(CALC!$T$2:$T$33,MATCH($K443,CALC!$A$2:$A$33,0)),0))</f>
        <v/>
      </c>
      <c r="AQ443" s="2" t="str">
        <f t="array" ref="AQ443">IF($K443="",0,IFERROR(INDEX(CALC!$W$2:$W$33,MATCH($K443,CALC!$A$2:$A$33,0)),0))</f>
        <v/>
      </c>
      <c r="AR443" s="2" t="str">
        <f t="array" ref="AR443">IF($K443="",0,IFERROR(INDEX(CALC!$Z$2:$Z$33,MATCH($K443,CALC!$A$2:$A$33,0)),0))</f>
        <v/>
      </c>
      <c r="AS443" s="2" t="str">
        <f t="array" ref="AS443">IF($K443="",0,IFERROR(INDEX(CALC!$AJ$2:$AJ$33,MATCH($K443,CALC!$A$2:$A$33,0)),0))</f>
        <v/>
      </c>
      <c r="AT443" s="2" t="str">
        <f t="array" ref="AT443">IF($K443="",0,IFERROR(INDEX(CALC!$AI$2:$AI$33,MATCH($K443,CALC!$A$2:$A$33,0)),0))</f>
        <v/>
      </c>
      <c r="AU443" s="2">
        <f t="shared" si="11"/>
        <v>0</v>
      </c>
      <c r="AV443" s="2">
        <f t="shared" si="12"/>
        <v>0</v>
      </c>
    </row>
    <row r="444" ht="15.0" customHeight="1">
      <c r="A444" s="2">
        <v>221.0</v>
      </c>
      <c r="B444" s="2" t="s">
        <v>2366</v>
      </c>
      <c r="C444" s="2">
        <f>IFERROR(MATCH($A444,SchedSeq,0),"")</f>
        <v>506</v>
      </c>
      <c r="D444" s="2" t="str">
        <f t="array" ref="D444">IF($C444="","",INDEX(SchedZone,$C444,MAP!$B$6))</f>
        <v>2026_15_DAL_LA</v>
      </c>
      <c r="E444" s="2">
        <f t="array" ref="E444">IF($C444="","",INDEX(SchedZone,$C444,MAP!$B$3))</f>
        <v>2026</v>
      </c>
      <c r="F444" s="2" t="str">
        <f t="array" ref="F444">IF($C444="","",INDEX(SchedZone,$C444,MAP!$B$5))</f>
        <v>REG</v>
      </c>
      <c r="G444" s="2">
        <f t="array" ref="G444">IF($C444="","",INDEX(SchedZone,$C444,MAP!$B$4))</f>
        <v>15</v>
      </c>
      <c r="H444" s="2" t="str">
        <f t="array" ref="H444">IF($C444="","",INDEX(SchedZone,$C444,MAP!$B$10))</f>
        <v>DAL</v>
      </c>
      <c r="I444" s="2" t="str">
        <f t="array" ref="I444">IF($H444="","",IF(COUNTIF(Teams,$H444)&gt;0,$H444,IFERROR(INDEX(LISTS!$D$2:$D$12,MATCH($H444,LISTS!$C$2:$C$12,0)),"⚠ "&amp;$H444)))</f>
        <v>DAL</v>
      </c>
      <c r="J444" s="2" t="str">
        <f t="array" ref="J444">IF($C444="","",INDEX(SchedZone,$C444,MAP!$B$12))</f>
        <v>LA</v>
      </c>
      <c r="K444" s="2" t="str">
        <f t="array" ref="K444">IF($J444="","",IF(COUNTIF(Teams,$J444)&gt;0,$J444,IFERROR(INDEX(LISTS!$D$2:$D$12,MATCH($J444,LISTS!$C$2:$C$12,0)),"⚠ "&amp;$J444)))</f>
        <v>LA</v>
      </c>
      <c r="L444" s="2" t="str">
        <f t="array" ref="L444">IF($C444="","",IF(INDEX(SchedZone,$C444,MAP!$B$14)="Neutral","N",IF($B444="HOME","H","A")))</f>
        <v>A</v>
      </c>
      <c r="M444" s="2" t="str">
        <f t="array" ref="M444">IF($C444="","",IF(INDEX(SchedZone,$C444,MAP!$B$11)="","",INDEX(SchedZone,$C444,MAP!$B$11)))</f>
        <v/>
      </c>
      <c r="N444" s="2" t="str">
        <f t="array" ref="N444">IF($C444="","",IF(INDEX(SchedZone,$C444,MAP!$B$13)="","",INDEX(SchedZone,$C444,MAP!$B$13)))</f>
        <v/>
      </c>
      <c r="O444" s="2">
        <f t="array" ref="O444">IF($C444="","",INDEX(SchedZone,$C444,MAP!$B$15))</f>
        <v>13</v>
      </c>
      <c r="P444" s="2" t="str">
        <f>IF($C444="","",IFERROR(MATCH($E444&amp;"|"&amp;$G444&amp;"|"&amp;$I444,StatsKey,0),""))</f>
        <v/>
      </c>
      <c r="Q444" s="2">
        <f t="array" ref="Q444">IF($P444="",0,INDEX(StatsZone,$P444,MAP!$E$9)+INDEX(StatsZone,$P444,MAP!$E$10)+INDEX(StatsZone,$P444,MAP!$E$11))</f>
        <v>0</v>
      </c>
      <c r="R444" s="2">
        <f t="array" ref="R444">IF($P444="",0,INDEX(StatsZone,$P444,MAP!$E$12))</f>
        <v>0</v>
      </c>
      <c r="S444" s="2">
        <f t="array" ref="S444">IF($P444="",0,INDEX(StatsZone,$P444,MAP!$E$13))</f>
        <v>0</v>
      </c>
      <c r="T444" s="2">
        <f t="shared" si="1"/>
        <v>0</v>
      </c>
      <c r="U444" s="2">
        <f t="array" ref="U444">IF($P444="",0,INDEX(StatsZone,$P444,MAP!$E$14)+INDEX(StatsZone,$P444,MAP!$E$15)+INDEX(StatsZone,$P444,MAP!$E$16))</f>
        <v>0</v>
      </c>
      <c r="V444" s="2">
        <f t="shared" si="2"/>
        <v>0</v>
      </c>
      <c r="W444" s="2">
        <f t="shared" si="3"/>
        <v>0</v>
      </c>
      <c r="X444" s="2">
        <f t="shared" si="4"/>
        <v>0</v>
      </c>
      <c r="Y444" s="2">
        <f t="shared" si="5"/>
        <v>0</v>
      </c>
      <c r="Z444" s="2">
        <f t="shared" si="6"/>
        <v>0</v>
      </c>
      <c r="AA444" s="2">
        <f t="shared" si="7"/>
        <v>-1</v>
      </c>
      <c r="AB444" s="2">
        <f>IF(OR($M444="",$N444=""),0,MEDIAN(-MarginCap,MarginCap,($M444-$N444)-$AA444*HFA_Base))</f>
        <v>0</v>
      </c>
      <c r="AC444" s="2">
        <f t="array" ref="AC444">IF(OR($P444="",INDEX($P$3:$P$722,(ROW()+IF(MOD(ROW()-3,2)=0,1,-1))-3+1)=""),0,MEDIAN(-MarginCap,MarginCap,($T444-$W444)-$AA444*HFA_Base))</f>
        <v>0</v>
      </c>
      <c r="AD444" s="2">
        <f t="shared" si="8"/>
        <v>0</v>
      </c>
      <c r="AE444" s="2">
        <f>IF(OR($M444="",$N444=""),0,IF(AND(WEpa&gt;0,$AD444=1),(1-WEpa)*$AB444+WEpa*$AC444,$AB444))</f>
        <v>0</v>
      </c>
      <c r="AF444" s="2">
        <f>IF(AND($C444&lt;&gt;"",$E444=CurrentSeason,$F444="REG",ISNUMBER($G444),$G444&lt;CurrentWeek,AND($M444&lt;&gt;"",$N444&lt;&gt;"")),1,0)</f>
        <v>0</v>
      </c>
      <c r="AG444" s="2">
        <f>IF($AF444=0,0,IF($G444&gt;=CurrentWeek-RecencyWin,RecencyMult,1))</f>
        <v>0</v>
      </c>
      <c r="AH444" s="2">
        <f>IF(AND($C444&lt;&gt;"",$E444=CurrentSeason,$F444="REG",ISNUMBER($G444),$G444&lt;CurrentWeek-1,AND($M444&lt;&gt;"",$N444&lt;&gt;"")),1,0)</f>
        <v>0</v>
      </c>
      <c r="AI444" s="2">
        <f>IF($AH444=0,0,IF($G444&gt;=CurrentWeek-1-RecencyWin,RecencyMult,1))</f>
        <v>0</v>
      </c>
      <c r="AJ444" s="2">
        <f>IF($AF444=0,0,IF($G444&gt;=CurrentWeek-RecencyWin,TotRecency,1))</f>
        <v>0</v>
      </c>
      <c r="AK444" s="2">
        <f t="shared" si="9"/>
        <v>0</v>
      </c>
      <c r="AL444" s="2">
        <f t="shared" si="10"/>
        <v>0</v>
      </c>
      <c r="AM444" s="2" t="str">
        <f t="array" ref="AM444">IF($K444="",0,IFERROR(INDEX(CALC!$F$2:$F$33,MATCH($K444,CALC!$A$2:$A$33,0)),0))</f>
        <v/>
      </c>
      <c r="AN444" s="2" t="str">
        <f t="array" ref="AN444">IF($K444="",0,IFERROR(INDEX(CALC!$I$2:$I$33,MATCH($K444,CALC!$A$2:$A$33,0)),0))</f>
        <v/>
      </c>
      <c r="AO444" s="2" t="str">
        <f t="array" ref="AO444">IF($K444="",0,IFERROR(INDEX(CALC!$L$2:$L$33,MATCH($K444,CALC!$A$2:$A$33,0)),0))</f>
        <v/>
      </c>
      <c r="AP444" s="2" t="str">
        <f t="array" ref="AP444">IF($K444="",0,IFERROR(INDEX(CALC!$T$2:$T$33,MATCH($K444,CALC!$A$2:$A$33,0)),0))</f>
        <v/>
      </c>
      <c r="AQ444" s="2" t="str">
        <f t="array" ref="AQ444">IF($K444="",0,IFERROR(INDEX(CALC!$W$2:$W$33,MATCH($K444,CALC!$A$2:$A$33,0)),0))</f>
        <v/>
      </c>
      <c r="AR444" s="2" t="str">
        <f t="array" ref="AR444">IF($K444="",0,IFERROR(INDEX(CALC!$Z$2:$Z$33,MATCH($K444,CALC!$A$2:$A$33,0)),0))</f>
        <v/>
      </c>
      <c r="AS444" s="2" t="str">
        <f t="array" ref="AS444">IF($K444="",0,IFERROR(INDEX(CALC!$AJ$2:$AJ$33,MATCH($K444,CALC!$A$2:$A$33,0)),0))</f>
        <v/>
      </c>
      <c r="AT444" s="2" t="str">
        <f t="array" ref="AT444">IF($K444="",0,IFERROR(INDEX(CALC!$AI$2:$AI$33,MATCH($K444,CALC!$A$2:$A$33,0)),0))</f>
        <v/>
      </c>
      <c r="AU444" s="2">
        <f t="shared" si="11"/>
        <v>0</v>
      </c>
      <c r="AV444" s="2">
        <f t="shared" si="12"/>
        <v>0</v>
      </c>
    </row>
    <row r="445" ht="15.0" customHeight="1">
      <c r="A445" s="2">
        <v>222.0</v>
      </c>
      <c r="B445" s="2" t="s">
        <v>2365</v>
      </c>
      <c r="C445" s="2">
        <f>IFERROR(MATCH($A445,SchedSeq,0),"")</f>
        <v>507</v>
      </c>
      <c r="D445" s="2" t="str">
        <f t="array" ref="D445">IF($C445="","",INDEX(SchedZone,$C445,MAP!$B$6))</f>
        <v>2026_15_DEN_LV</v>
      </c>
      <c r="E445" s="2">
        <f t="array" ref="E445">IF($C445="","",INDEX(SchedZone,$C445,MAP!$B$3))</f>
        <v>2026</v>
      </c>
      <c r="F445" s="2" t="str">
        <f t="array" ref="F445">IF($C445="","",INDEX(SchedZone,$C445,MAP!$B$5))</f>
        <v>REG</v>
      </c>
      <c r="G445" s="2">
        <f t="array" ref="G445">IF($C445="","",INDEX(SchedZone,$C445,MAP!$B$4))</f>
        <v>15</v>
      </c>
      <c r="H445" s="2" t="str">
        <f t="array" ref="H445">IF($C445="","",INDEX(SchedZone,$C445,MAP!$B$12))</f>
        <v>LV</v>
      </c>
      <c r="I445" s="2" t="str">
        <f t="array" ref="I445">IF($H445="","",IF(COUNTIF(Teams,$H445)&gt;0,$H445,IFERROR(INDEX(LISTS!$D$2:$D$12,MATCH($H445,LISTS!$C$2:$C$12,0)),"⚠ "&amp;$H445)))</f>
        <v>LV</v>
      </c>
      <c r="J445" s="2" t="str">
        <f t="array" ref="J445">IF($C445="","",INDEX(SchedZone,$C445,MAP!$B$10))</f>
        <v>DEN</v>
      </c>
      <c r="K445" s="2" t="str">
        <f t="array" ref="K445">IF($J445="","",IF(COUNTIF(Teams,$J445)&gt;0,$J445,IFERROR(INDEX(LISTS!$D$2:$D$12,MATCH($J445,LISTS!$C$2:$C$12,0)),"⚠ "&amp;$J445)))</f>
        <v>DEN</v>
      </c>
      <c r="L445" s="2" t="str">
        <f t="array" ref="L445">IF($C445="","",IF(INDEX(SchedZone,$C445,MAP!$B$14)="Neutral","N",IF($B445="HOME","H","A")))</f>
        <v>H</v>
      </c>
      <c r="M445" s="2" t="str">
        <f t="array" ref="M445">IF($C445="","",IF(INDEX(SchedZone,$C445,MAP!$B$13)="","",INDEX(SchedZone,$C445,MAP!$B$13)))</f>
        <v/>
      </c>
      <c r="N445" s="2" t="str">
        <f t="array" ref="N445">IF($C445="","",IF(INDEX(SchedZone,$C445,MAP!$B$11)="","",INDEX(SchedZone,$C445,MAP!$B$11)))</f>
        <v/>
      </c>
      <c r="O445" s="2">
        <f t="array" ref="O445">IF($C445="","",INDEX(SchedZone,$C445,MAP!$B$16))</f>
        <v>7</v>
      </c>
      <c r="P445" s="2" t="str">
        <f>IF($C445="","",IFERROR(MATCH($E445&amp;"|"&amp;$G445&amp;"|"&amp;$I445,StatsKey,0),""))</f>
        <v/>
      </c>
      <c r="Q445" s="2">
        <f t="array" ref="Q445">IF($P445="",0,INDEX(StatsZone,$P445,MAP!$E$9)+INDEX(StatsZone,$P445,MAP!$E$10)+INDEX(StatsZone,$P445,MAP!$E$11))</f>
        <v>0</v>
      </c>
      <c r="R445" s="2">
        <f t="array" ref="R445">IF($P445="",0,INDEX(StatsZone,$P445,MAP!$E$12))</f>
        <v>0</v>
      </c>
      <c r="S445" s="2">
        <f t="array" ref="S445">IF($P445="",0,INDEX(StatsZone,$P445,MAP!$E$13))</f>
        <v>0</v>
      </c>
      <c r="T445" s="2">
        <f t="shared" si="1"/>
        <v>0</v>
      </c>
      <c r="U445" s="2">
        <f t="array" ref="U445">IF($P445="",0,INDEX(StatsZone,$P445,MAP!$E$14)+INDEX(StatsZone,$P445,MAP!$E$15)+INDEX(StatsZone,$P445,MAP!$E$16))</f>
        <v>0</v>
      </c>
      <c r="V445" s="2">
        <f t="shared" si="2"/>
        <v>0</v>
      </c>
      <c r="W445" s="2">
        <f t="shared" si="3"/>
        <v>0</v>
      </c>
      <c r="X445" s="2">
        <f t="shared" si="4"/>
        <v>0</v>
      </c>
      <c r="Y445" s="2">
        <f t="shared" si="5"/>
        <v>0</v>
      </c>
      <c r="Z445" s="2">
        <f t="shared" si="6"/>
        <v>0</v>
      </c>
      <c r="AA445" s="2">
        <f t="shared" si="7"/>
        <v>1</v>
      </c>
      <c r="AB445" s="2">
        <f>IF(OR($M445="",$N445=""),0,MEDIAN(-MarginCap,MarginCap,($M445-$N445)-$AA445*HFA_Base))</f>
        <v>0</v>
      </c>
      <c r="AC445" s="2">
        <f t="array" ref="AC445">IF(OR($P445="",INDEX($P$3:$P$722,(ROW()+IF(MOD(ROW()-3,2)=0,1,-1))-3+1)=""),0,MEDIAN(-MarginCap,MarginCap,($T445-$W445)-$AA445*HFA_Base))</f>
        <v>0</v>
      </c>
      <c r="AD445" s="2">
        <f t="shared" si="8"/>
        <v>0</v>
      </c>
      <c r="AE445" s="2">
        <f>IF(OR($M445="",$N445=""),0,IF(AND(WEpa&gt;0,$AD445=1),(1-WEpa)*$AB445+WEpa*$AC445,$AB445))</f>
        <v>0</v>
      </c>
      <c r="AF445" s="2">
        <f>IF(AND($C445&lt;&gt;"",$E445=CurrentSeason,$F445="REG",ISNUMBER($G445),$G445&lt;CurrentWeek,AND($M445&lt;&gt;"",$N445&lt;&gt;"")),1,0)</f>
        <v>0</v>
      </c>
      <c r="AG445" s="2">
        <f>IF($AF445=0,0,IF($G445&gt;=CurrentWeek-RecencyWin,RecencyMult,1))</f>
        <v>0</v>
      </c>
      <c r="AH445" s="2">
        <f>IF(AND($C445&lt;&gt;"",$E445=CurrentSeason,$F445="REG",ISNUMBER($G445),$G445&lt;CurrentWeek-1,AND($M445&lt;&gt;"",$N445&lt;&gt;"")),1,0)</f>
        <v>0</v>
      </c>
      <c r="AI445" s="2">
        <f>IF($AH445=0,0,IF($G445&gt;=CurrentWeek-1-RecencyWin,RecencyMult,1))</f>
        <v>0</v>
      </c>
      <c r="AJ445" s="2">
        <f>IF($AF445=0,0,IF($G445&gt;=CurrentWeek-RecencyWin,TotRecency,1))</f>
        <v>0</v>
      </c>
      <c r="AK445" s="2">
        <f t="shared" si="9"/>
        <v>0</v>
      </c>
      <c r="AL445" s="2">
        <f t="shared" si="10"/>
        <v>0</v>
      </c>
      <c r="AM445" s="2" t="str">
        <f t="array" ref="AM445">IF($K445="",0,IFERROR(INDEX(CALC!$F$2:$F$33,MATCH($K445,CALC!$A$2:$A$33,0)),0))</f>
        <v/>
      </c>
      <c r="AN445" s="2" t="str">
        <f t="array" ref="AN445">IF($K445="",0,IFERROR(INDEX(CALC!$I$2:$I$33,MATCH($K445,CALC!$A$2:$A$33,0)),0))</f>
        <v/>
      </c>
      <c r="AO445" s="2" t="str">
        <f t="array" ref="AO445">IF($K445="",0,IFERROR(INDEX(CALC!$L$2:$L$33,MATCH($K445,CALC!$A$2:$A$33,0)),0))</f>
        <v/>
      </c>
      <c r="AP445" s="2" t="str">
        <f t="array" ref="AP445">IF($K445="",0,IFERROR(INDEX(CALC!$T$2:$T$33,MATCH($K445,CALC!$A$2:$A$33,0)),0))</f>
        <v/>
      </c>
      <c r="AQ445" s="2" t="str">
        <f t="array" ref="AQ445">IF($K445="",0,IFERROR(INDEX(CALC!$W$2:$W$33,MATCH($K445,CALC!$A$2:$A$33,0)),0))</f>
        <v/>
      </c>
      <c r="AR445" s="2" t="str">
        <f t="array" ref="AR445">IF($K445="",0,IFERROR(INDEX(CALC!$Z$2:$Z$33,MATCH($K445,CALC!$A$2:$A$33,0)),0))</f>
        <v/>
      </c>
      <c r="AS445" s="2" t="str">
        <f t="array" ref="AS445">IF($K445="",0,IFERROR(INDEX(CALC!$AJ$2:$AJ$33,MATCH($K445,CALC!$A$2:$A$33,0)),0))</f>
        <v/>
      </c>
      <c r="AT445" s="2" t="str">
        <f t="array" ref="AT445">IF($K445="",0,IFERROR(INDEX(CALC!$AI$2:$AI$33,MATCH($K445,CALC!$A$2:$A$33,0)),0))</f>
        <v/>
      </c>
      <c r="AU445" s="2">
        <f t="shared" si="11"/>
        <v>0</v>
      </c>
      <c r="AV445" s="2">
        <f t="shared" si="12"/>
        <v>0</v>
      </c>
    </row>
    <row r="446" ht="15.0" customHeight="1">
      <c r="A446" s="2">
        <v>222.0</v>
      </c>
      <c r="B446" s="2" t="s">
        <v>2366</v>
      </c>
      <c r="C446" s="2">
        <f>IFERROR(MATCH($A446,SchedSeq,0),"")</f>
        <v>507</v>
      </c>
      <c r="D446" s="2" t="str">
        <f t="array" ref="D446">IF($C446="","",INDEX(SchedZone,$C446,MAP!$B$6))</f>
        <v>2026_15_DEN_LV</v>
      </c>
      <c r="E446" s="2">
        <f t="array" ref="E446">IF($C446="","",INDEX(SchedZone,$C446,MAP!$B$3))</f>
        <v>2026</v>
      </c>
      <c r="F446" s="2" t="str">
        <f t="array" ref="F446">IF($C446="","",INDEX(SchedZone,$C446,MAP!$B$5))</f>
        <v>REG</v>
      </c>
      <c r="G446" s="2">
        <f t="array" ref="G446">IF($C446="","",INDEX(SchedZone,$C446,MAP!$B$4))</f>
        <v>15</v>
      </c>
      <c r="H446" s="2" t="str">
        <f t="array" ref="H446">IF($C446="","",INDEX(SchedZone,$C446,MAP!$B$10))</f>
        <v>DEN</v>
      </c>
      <c r="I446" s="2" t="str">
        <f t="array" ref="I446">IF($H446="","",IF(COUNTIF(Teams,$H446)&gt;0,$H446,IFERROR(INDEX(LISTS!$D$2:$D$12,MATCH($H446,LISTS!$C$2:$C$12,0)),"⚠ "&amp;$H446)))</f>
        <v>DEN</v>
      </c>
      <c r="J446" s="2" t="str">
        <f t="array" ref="J446">IF($C446="","",INDEX(SchedZone,$C446,MAP!$B$12))</f>
        <v>LV</v>
      </c>
      <c r="K446" s="2" t="str">
        <f t="array" ref="K446">IF($J446="","",IF(COUNTIF(Teams,$J446)&gt;0,$J446,IFERROR(INDEX(LISTS!$D$2:$D$12,MATCH($J446,LISTS!$C$2:$C$12,0)),"⚠ "&amp;$J446)))</f>
        <v>LV</v>
      </c>
      <c r="L446" s="2" t="str">
        <f t="array" ref="L446">IF($C446="","",IF(INDEX(SchedZone,$C446,MAP!$B$14)="Neutral","N",IF($B446="HOME","H","A")))</f>
        <v>A</v>
      </c>
      <c r="M446" s="2" t="str">
        <f t="array" ref="M446">IF($C446="","",IF(INDEX(SchedZone,$C446,MAP!$B$11)="","",INDEX(SchedZone,$C446,MAP!$B$11)))</f>
        <v/>
      </c>
      <c r="N446" s="2" t="str">
        <f t="array" ref="N446">IF($C446="","",IF(INDEX(SchedZone,$C446,MAP!$B$13)="","",INDEX(SchedZone,$C446,MAP!$B$13)))</f>
        <v/>
      </c>
      <c r="O446" s="2">
        <f t="array" ref="O446">IF($C446="","",INDEX(SchedZone,$C446,MAP!$B$15))</f>
        <v>7</v>
      </c>
      <c r="P446" s="2" t="str">
        <f>IF($C446="","",IFERROR(MATCH($E446&amp;"|"&amp;$G446&amp;"|"&amp;$I446,StatsKey,0),""))</f>
        <v/>
      </c>
      <c r="Q446" s="2">
        <f t="array" ref="Q446">IF($P446="",0,INDEX(StatsZone,$P446,MAP!$E$9)+INDEX(StatsZone,$P446,MAP!$E$10)+INDEX(StatsZone,$P446,MAP!$E$11))</f>
        <v>0</v>
      </c>
      <c r="R446" s="2">
        <f t="array" ref="R446">IF($P446="",0,INDEX(StatsZone,$P446,MAP!$E$12))</f>
        <v>0</v>
      </c>
      <c r="S446" s="2">
        <f t="array" ref="S446">IF($P446="",0,INDEX(StatsZone,$P446,MAP!$E$13))</f>
        <v>0</v>
      </c>
      <c r="T446" s="2">
        <f t="shared" si="1"/>
        <v>0</v>
      </c>
      <c r="U446" s="2">
        <f t="array" ref="U446">IF($P446="",0,INDEX(StatsZone,$P446,MAP!$E$14)+INDEX(StatsZone,$P446,MAP!$E$15)+INDEX(StatsZone,$P446,MAP!$E$16))</f>
        <v>0</v>
      </c>
      <c r="V446" s="2">
        <f t="shared" si="2"/>
        <v>0</v>
      </c>
      <c r="W446" s="2">
        <f t="shared" si="3"/>
        <v>0</v>
      </c>
      <c r="X446" s="2">
        <f t="shared" si="4"/>
        <v>0</v>
      </c>
      <c r="Y446" s="2">
        <f t="shared" si="5"/>
        <v>0</v>
      </c>
      <c r="Z446" s="2">
        <f t="shared" si="6"/>
        <v>0</v>
      </c>
      <c r="AA446" s="2">
        <f t="shared" si="7"/>
        <v>-1</v>
      </c>
      <c r="AB446" s="2">
        <f>IF(OR($M446="",$N446=""),0,MEDIAN(-MarginCap,MarginCap,($M446-$N446)-$AA446*HFA_Base))</f>
        <v>0</v>
      </c>
      <c r="AC446" s="2">
        <f t="array" ref="AC446">IF(OR($P446="",INDEX($P$3:$P$722,(ROW()+IF(MOD(ROW()-3,2)=0,1,-1))-3+1)=""),0,MEDIAN(-MarginCap,MarginCap,($T446-$W446)-$AA446*HFA_Base))</f>
        <v>0</v>
      </c>
      <c r="AD446" s="2">
        <f t="shared" si="8"/>
        <v>0</v>
      </c>
      <c r="AE446" s="2">
        <f>IF(OR($M446="",$N446=""),0,IF(AND(WEpa&gt;0,$AD446=1),(1-WEpa)*$AB446+WEpa*$AC446,$AB446))</f>
        <v>0</v>
      </c>
      <c r="AF446" s="2">
        <f>IF(AND($C446&lt;&gt;"",$E446=CurrentSeason,$F446="REG",ISNUMBER($G446),$G446&lt;CurrentWeek,AND($M446&lt;&gt;"",$N446&lt;&gt;"")),1,0)</f>
        <v>0</v>
      </c>
      <c r="AG446" s="2">
        <f>IF($AF446=0,0,IF($G446&gt;=CurrentWeek-RecencyWin,RecencyMult,1))</f>
        <v>0</v>
      </c>
      <c r="AH446" s="2">
        <f>IF(AND($C446&lt;&gt;"",$E446=CurrentSeason,$F446="REG",ISNUMBER($G446),$G446&lt;CurrentWeek-1,AND($M446&lt;&gt;"",$N446&lt;&gt;"")),1,0)</f>
        <v>0</v>
      </c>
      <c r="AI446" s="2">
        <f>IF($AH446=0,0,IF($G446&gt;=CurrentWeek-1-RecencyWin,RecencyMult,1))</f>
        <v>0</v>
      </c>
      <c r="AJ446" s="2">
        <f>IF($AF446=0,0,IF($G446&gt;=CurrentWeek-RecencyWin,TotRecency,1))</f>
        <v>0</v>
      </c>
      <c r="AK446" s="2">
        <f t="shared" si="9"/>
        <v>0</v>
      </c>
      <c r="AL446" s="2">
        <f t="shared" si="10"/>
        <v>0</v>
      </c>
      <c r="AM446" s="2" t="str">
        <f t="array" ref="AM446">IF($K446="",0,IFERROR(INDEX(CALC!$F$2:$F$33,MATCH($K446,CALC!$A$2:$A$33,0)),0))</f>
        <v/>
      </c>
      <c r="AN446" s="2" t="str">
        <f t="array" ref="AN446">IF($K446="",0,IFERROR(INDEX(CALC!$I$2:$I$33,MATCH($K446,CALC!$A$2:$A$33,0)),0))</f>
        <v/>
      </c>
      <c r="AO446" s="2" t="str">
        <f t="array" ref="AO446">IF($K446="",0,IFERROR(INDEX(CALC!$L$2:$L$33,MATCH($K446,CALC!$A$2:$A$33,0)),0))</f>
        <v/>
      </c>
      <c r="AP446" s="2" t="str">
        <f t="array" ref="AP446">IF($K446="",0,IFERROR(INDEX(CALC!$T$2:$T$33,MATCH($K446,CALC!$A$2:$A$33,0)),0))</f>
        <v/>
      </c>
      <c r="AQ446" s="2" t="str">
        <f t="array" ref="AQ446">IF($K446="",0,IFERROR(INDEX(CALC!$W$2:$W$33,MATCH($K446,CALC!$A$2:$A$33,0)),0))</f>
        <v/>
      </c>
      <c r="AR446" s="2" t="str">
        <f t="array" ref="AR446">IF($K446="",0,IFERROR(INDEX(CALC!$Z$2:$Z$33,MATCH($K446,CALC!$A$2:$A$33,0)),0))</f>
        <v/>
      </c>
      <c r="AS446" s="2" t="str">
        <f t="array" ref="AS446">IF($K446="",0,IFERROR(INDEX(CALC!$AJ$2:$AJ$33,MATCH($K446,CALC!$A$2:$A$33,0)),0))</f>
        <v/>
      </c>
      <c r="AT446" s="2" t="str">
        <f t="array" ref="AT446">IF($K446="",0,IFERROR(INDEX(CALC!$AI$2:$AI$33,MATCH($K446,CALC!$A$2:$A$33,0)),0))</f>
        <v/>
      </c>
      <c r="AU446" s="2">
        <f t="shared" si="11"/>
        <v>0</v>
      </c>
      <c r="AV446" s="2">
        <f t="shared" si="12"/>
        <v>0</v>
      </c>
    </row>
    <row r="447" ht="15.0" customHeight="1">
      <c r="A447" s="2">
        <v>223.0</v>
      </c>
      <c r="B447" s="2" t="s">
        <v>2365</v>
      </c>
      <c r="C447" s="2">
        <f>IFERROR(MATCH($A447,SchedSeq,0),"")</f>
        <v>508</v>
      </c>
      <c r="D447" s="2" t="str">
        <f t="array" ref="D447">IF($C447="","",INDEX(SchedZone,$C447,MAP!$B$6))</f>
        <v>2026_15_DET_MIN</v>
      </c>
      <c r="E447" s="2">
        <f t="array" ref="E447">IF($C447="","",INDEX(SchedZone,$C447,MAP!$B$3))</f>
        <v>2026</v>
      </c>
      <c r="F447" s="2" t="str">
        <f t="array" ref="F447">IF($C447="","",INDEX(SchedZone,$C447,MAP!$B$5))</f>
        <v>REG</v>
      </c>
      <c r="G447" s="2">
        <f t="array" ref="G447">IF($C447="","",INDEX(SchedZone,$C447,MAP!$B$4))</f>
        <v>15</v>
      </c>
      <c r="H447" s="2" t="str">
        <f t="array" ref="H447">IF($C447="","",INDEX(SchedZone,$C447,MAP!$B$12))</f>
        <v>MIN</v>
      </c>
      <c r="I447" s="2" t="str">
        <f t="array" ref="I447">IF($H447="","",IF(COUNTIF(Teams,$H447)&gt;0,$H447,IFERROR(INDEX(LISTS!$D$2:$D$12,MATCH($H447,LISTS!$C$2:$C$12,0)),"⚠ "&amp;$H447)))</f>
        <v>MIN</v>
      </c>
      <c r="J447" s="2" t="str">
        <f t="array" ref="J447">IF($C447="","",INDEX(SchedZone,$C447,MAP!$B$10))</f>
        <v>DET</v>
      </c>
      <c r="K447" s="2" t="str">
        <f t="array" ref="K447">IF($J447="","",IF(COUNTIF(Teams,$J447)&gt;0,$J447,IFERROR(INDEX(LISTS!$D$2:$D$12,MATCH($J447,LISTS!$C$2:$C$12,0)),"⚠ "&amp;$J447)))</f>
        <v>DET</v>
      </c>
      <c r="L447" s="2" t="str">
        <f t="array" ref="L447">IF($C447="","",IF(INDEX(SchedZone,$C447,MAP!$B$14)="Neutral","N",IF($B447="HOME","H","A")))</f>
        <v>H</v>
      </c>
      <c r="M447" s="2" t="str">
        <f t="array" ref="M447">IF($C447="","",IF(INDEX(SchedZone,$C447,MAP!$B$13)="","",INDEX(SchedZone,$C447,MAP!$B$13)))</f>
        <v/>
      </c>
      <c r="N447" s="2" t="str">
        <f t="array" ref="N447">IF($C447="","",IF(INDEX(SchedZone,$C447,MAP!$B$11)="","",INDEX(SchedZone,$C447,MAP!$B$11)))</f>
        <v/>
      </c>
      <c r="O447" s="2">
        <f t="array" ref="O447">IF($C447="","",INDEX(SchedZone,$C447,MAP!$B$16))</f>
        <v>10</v>
      </c>
      <c r="P447" s="2" t="str">
        <f>IF($C447="","",IFERROR(MATCH($E447&amp;"|"&amp;$G447&amp;"|"&amp;$I447,StatsKey,0),""))</f>
        <v/>
      </c>
      <c r="Q447" s="2">
        <f t="array" ref="Q447">IF($P447="",0,INDEX(StatsZone,$P447,MAP!$E$9)+INDEX(StatsZone,$P447,MAP!$E$10)+INDEX(StatsZone,$P447,MAP!$E$11))</f>
        <v>0</v>
      </c>
      <c r="R447" s="2">
        <f t="array" ref="R447">IF($P447="",0,INDEX(StatsZone,$P447,MAP!$E$12))</f>
        <v>0</v>
      </c>
      <c r="S447" s="2">
        <f t="array" ref="S447">IF($P447="",0,INDEX(StatsZone,$P447,MAP!$E$13))</f>
        <v>0</v>
      </c>
      <c r="T447" s="2">
        <f t="shared" si="1"/>
        <v>0</v>
      </c>
      <c r="U447" s="2">
        <f t="array" ref="U447">IF($P447="",0,INDEX(StatsZone,$P447,MAP!$E$14)+INDEX(StatsZone,$P447,MAP!$E$15)+INDEX(StatsZone,$P447,MAP!$E$16))</f>
        <v>0</v>
      </c>
      <c r="V447" s="2">
        <f t="shared" si="2"/>
        <v>0</v>
      </c>
      <c r="W447" s="2">
        <f t="shared" si="3"/>
        <v>0</v>
      </c>
      <c r="X447" s="2">
        <f t="shared" si="4"/>
        <v>0</v>
      </c>
      <c r="Y447" s="2">
        <f t="shared" si="5"/>
        <v>0</v>
      </c>
      <c r="Z447" s="2">
        <f t="shared" si="6"/>
        <v>0</v>
      </c>
      <c r="AA447" s="2">
        <f t="shared" si="7"/>
        <v>1</v>
      </c>
      <c r="AB447" s="2">
        <f>IF(OR($M447="",$N447=""),0,MEDIAN(-MarginCap,MarginCap,($M447-$N447)-$AA447*HFA_Base))</f>
        <v>0</v>
      </c>
      <c r="AC447" s="2">
        <f t="array" ref="AC447">IF(OR($P447="",INDEX($P$3:$P$722,(ROW()+IF(MOD(ROW()-3,2)=0,1,-1))-3+1)=""),0,MEDIAN(-MarginCap,MarginCap,($T447-$W447)-$AA447*HFA_Base))</f>
        <v>0</v>
      </c>
      <c r="AD447" s="2">
        <f t="shared" si="8"/>
        <v>0</v>
      </c>
      <c r="AE447" s="2">
        <f>IF(OR($M447="",$N447=""),0,IF(AND(WEpa&gt;0,$AD447=1),(1-WEpa)*$AB447+WEpa*$AC447,$AB447))</f>
        <v>0</v>
      </c>
      <c r="AF447" s="2">
        <f>IF(AND($C447&lt;&gt;"",$E447=CurrentSeason,$F447="REG",ISNUMBER($G447),$G447&lt;CurrentWeek,AND($M447&lt;&gt;"",$N447&lt;&gt;"")),1,0)</f>
        <v>0</v>
      </c>
      <c r="AG447" s="2">
        <f>IF($AF447=0,0,IF($G447&gt;=CurrentWeek-RecencyWin,RecencyMult,1))</f>
        <v>0</v>
      </c>
      <c r="AH447" s="2">
        <f>IF(AND($C447&lt;&gt;"",$E447=CurrentSeason,$F447="REG",ISNUMBER($G447),$G447&lt;CurrentWeek-1,AND($M447&lt;&gt;"",$N447&lt;&gt;"")),1,0)</f>
        <v>0</v>
      </c>
      <c r="AI447" s="2">
        <f>IF($AH447=0,0,IF($G447&gt;=CurrentWeek-1-RecencyWin,RecencyMult,1))</f>
        <v>0</v>
      </c>
      <c r="AJ447" s="2">
        <f>IF($AF447=0,0,IF($G447&gt;=CurrentWeek-RecencyWin,TotRecency,1))</f>
        <v>0</v>
      </c>
      <c r="AK447" s="2">
        <f t="shared" si="9"/>
        <v>0</v>
      </c>
      <c r="AL447" s="2">
        <f t="shared" si="10"/>
        <v>0</v>
      </c>
      <c r="AM447" s="2" t="str">
        <f t="array" ref="AM447">IF($K447="",0,IFERROR(INDEX(CALC!$F$2:$F$33,MATCH($K447,CALC!$A$2:$A$33,0)),0))</f>
        <v/>
      </c>
      <c r="AN447" s="2" t="str">
        <f t="array" ref="AN447">IF($K447="",0,IFERROR(INDEX(CALC!$I$2:$I$33,MATCH($K447,CALC!$A$2:$A$33,0)),0))</f>
        <v/>
      </c>
      <c r="AO447" s="2" t="str">
        <f t="array" ref="AO447">IF($K447="",0,IFERROR(INDEX(CALC!$L$2:$L$33,MATCH($K447,CALC!$A$2:$A$33,0)),0))</f>
        <v/>
      </c>
      <c r="AP447" s="2" t="str">
        <f t="array" ref="AP447">IF($K447="",0,IFERROR(INDEX(CALC!$T$2:$T$33,MATCH($K447,CALC!$A$2:$A$33,0)),0))</f>
        <v/>
      </c>
      <c r="AQ447" s="2" t="str">
        <f t="array" ref="AQ447">IF($K447="",0,IFERROR(INDEX(CALC!$W$2:$W$33,MATCH($K447,CALC!$A$2:$A$33,0)),0))</f>
        <v/>
      </c>
      <c r="AR447" s="2" t="str">
        <f t="array" ref="AR447">IF($K447="",0,IFERROR(INDEX(CALC!$Z$2:$Z$33,MATCH($K447,CALC!$A$2:$A$33,0)),0))</f>
        <v/>
      </c>
      <c r="AS447" s="2" t="str">
        <f t="array" ref="AS447">IF($K447="",0,IFERROR(INDEX(CALC!$AJ$2:$AJ$33,MATCH($K447,CALC!$A$2:$A$33,0)),0))</f>
        <v/>
      </c>
      <c r="AT447" s="2" t="str">
        <f t="array" ref="AT447">IF($K447="",0,IFERROR(INDEX(CALC!$AI$2:$AI$33,MATCH($K447,CALC!$A$2:$A$33,0)),0))</f>
        <v/>
      </c>
      <c r="AU447" s="2">
        <f t="shared" si="11"/>
        <v>0</v>
      </c>
      <c r="AV447" s="2">
        <f t="shared" si="12"/>
        <v>0</v>
      </c>
    </row>
    <row r="448" ht="15.0" customHeight="1">
      <c r="A448" s="2">
        <v>223.0</v>
      </c>
      <c r="B448" s="2" t="s">
        <v>2366</v>
      </c>
      <c r="C448" s="2">
        <f>IFERROR(MATCH($A448,SchedSeq,0),"")</f>
        <v>508</v>
      </c>
      <c r="D448" s="2" t="str">
        <f t="array" ref="D448">IF($C448="","",INDEX(SchedZone,$C448,MAP!$B$6))</f>
        <v>2026_15_DET_MIN</v>
      </c>
      <c r="E448" s="2">
        <f t="array" ref="E448">IF($C448="","",INDEX(SchedZone,$C448,MAP!$B$3))</f>
        <v>2026</v>
      </c>
      <c r="F448" s="2" t="str">
        <f t="array" ref="F448">IF($C448="","",INDEX(SchedZone,$C448,MAP!$B$5))</f>
        <v>REG</v>
      </c>
      <c r="G448" s="2">
        <f t="array" ref="G448">IF($C448="","",INDEX(SchedZone,$C448,MAP!$B$4))</f>
        <v>15</v>
      </c>
      <c r="H448" s="2" t="str">
        <f t="array" ref="H448">IF($C448="","",INDEX(SchedZone,$C448,MAP!$B$10))</f>
        <v>DET</v>
      </c>
      <c r="I448" s="2" t="str">
        <f t="array" ref="I448">IF($H448="","",IF(COUNTIF(Teams,$H448)&gt;0,$H448,IFERROR(INDEX(LISTS!$D$2:$D$12,MATCH($H448,LISTS!$C$2:$C$12,0)),"⚠ "&amp;$H448)))</f>
        <v>DET</v>
      </c>
      <c r="J448" s="2" t="str">
        <f t="array" ref="J448">IF($C448="","",INDEX(SchedZone,$C448,MAP!$B$12))</f>
        <v>MIN</v>
      </c>
      <c r="K448" s="2" t="str">
        <f t="array" ref="K448">IF($J448="","",IF(COUNTIF(Teams,$J448)&gt;0,$J448,IFERROR(INDEX(LISTS!$D$2:$D$12,MATCH($J448,LISTS!$C$2:$C$12,0)),"⚠ "&amp;$J448)))</f>
        <v>MIN</v>
      </c>
      <c r="L448" s="2" t="str">
        <f t="array" ref="L448">IF($C448="","",IF(INDEX(SchedZone,$C448,MAP!$B$14)="Neutral","N",IF($B448="HOME","H","A")))</f>
        <v>A</v>
      </c>
      <c r="M448" s="2" t="str">
        <f t="array" ref="M448">IF($C448="","",IF(INDEX(SchedZone,$C448,MAP!$B$11)="","",INDEX(SchedZone,$C448,MAP!$B$11)))</f>
        <v/>
      </c>
      <c r="N448" s="2" t="str">
        <f t="array" ref="N448">IF($C448="","",IF(INDEX(SchedZone,$C448,MAP!$B$13)="","",INDEX(SchedZone,$C448,MAP!$B$13)))</f>
        <v/>
      </c>
      <c r="O448" s="2">
        <f t="array" ref="O448">IF($C448="","",INDEX(SchedZone,$C448,MAP!$B$15))</f>
        <v>7</v>
      </c>
      <c r="P448" s="2" t="str">
        <f>IF($C448="","",IFERROR(MATCH($E448&amp;"|"&amp;$G448&amp;"|"&amp;$I448,StatsKey,0),""))</f>
        <v/>
      </c>
      <c r="Q448" s="2">
        <f t="array" ref="Q448">IF($P448="",0,INDEX(StatsZone,$P448,MAP!$E$9)+INDEX(StatsZone,$P448,MAP!$E$10)+INDEX(StatsZone,$P448,MAP!$E$11))</f>
        <v>0</v>
      </c>
      <c r="R448" s="2">
        <f t="array" ref="R448">IF($P448="",0,INDEX(StatsZone,$P448,MAP!$E$12))</f>
        <v>0</v>
      </c>
      <c r="S448" s="2">
        <f t="array" ref="S448">IF($P448="",0,INDEX(StatsZone,$P448,MAP!$E$13))</f>
        <v>0</v>
      </c>
      <c r="T448" s="2">
        <f t="shared" si="1"/>
        <v>0</v>
      </c>
      <c r="U448" s="2">
        <f t="array" ref="U448">IF($P448="",0,INDEX(StatsZone,$P448,MAP!$E$14)+INDEX(StatsZone,$P448,MAP!$E$15)+INDEX(StatsZone,$P448,MAP!$E$16))</f>
        <v>0</v>
      </c>
      <c r="V448" s="2">
        <f t="shared" si="2"/>
        <v>0</v>
      </c>
      <c r="W448" s="2">
        <f t="shared" si="3"/>
        <v>0</v>
      </c>
      <c r="X448" s="2">
        <f t="shared" si="4"/>
        <v>0</v>
      </c>
      <c r="Y448" s="2">
        <f t="shared" si="5"/>
        <v>0</v>
      </c>
      <c r="Z448" s="2">
        <f t="shared" si="6"/>
        <v>0</v>
      </c>
      <c r="AA448" s="2">
        <f t="shared" si="7"/>
        <v>-1</v>
      </c>
      <c r="AB448" s="2">
        <f>IF(OR($M448="",$N448=""),0,MEDIAN(-MarginCap,MarginCap,($M448-$N448)-$AA448*HFA_Base))</f>
        <v>0</v>
      </c>
      <c r="AC448" s="2">
        <f t="array" ref="AC448">IF(OR($P448="",INDEX($P$3:$P$722,(ROW()+IF(MOD(ROW()-3,2)=0,1,-1))-3+1)=""),0,MEDIAN(-MarginCap,MarginCap,($T448-$W448)-$AA448*HFA_Base))</f>
        <v>0</v>
      </c>
      <c r="AD448" s="2">
        <f t="shared" si="8"/>
        <v>0</v>
      </c>
      <c r="AE448" s="2">
        <f>IF(OR($M448="",$N448=""),0,IF(AND(WEpa&gt;0,$AD448=1),(1-WEpa)*$AB448+WEpa*$AC448,$AB448))</f>
        <v>0</v>
      </c>
      <c r="AF448" s="2">
        <f>IF(AND($C448&lt;&gt;"",$E448=CurrentSeason,$F448="REG",ISNUMBER($G448),$G448&lt;CurrentWeek,AND($M448&lt;&gt;"",$N448&lt;&gt;"")),1,0)</f>
        <v>0</v>
      </c>
      <c r="AG448" s="2">
        <f>IF($AF448=0,0,IF($G448&gt;=CurrentWeek-RecencyWin,RecencyMult,1))</f>
        <v>0</v>
      </c>
      <c r="AH448" s="2">
        <f>IF(AND($C448&lt;&gt;"",$E448=CurrentSeason,$F448="REG",ISNUMBER($G448),$G448&lt;CurrentWeek-1,AND($M448&lt;&gt;"",$N448&lt;&gt;"")),1,0)</f>
        <v>0</v>
      </c>
      <c r="AI448" s="2">
        <f>IF($AH448=0,0,IF($G448&gt;=CurrentWeek-1-RecencyWin,RecencyMult,1))</f>
        <v>0</v>
      </c>
      <c r="AJ448" s="2">
        <f>IF($AF448=0,0,IF($G448&gt;=CurrentWeek-RecencyWin,TotRecency,1))</f>
        <v>0</v>
      </c>
      <c r="AK448" s="2">
        <f t="shared" si="9"/>
        <v>0</v>
      </c>
      <c r="AL448" s="2">
        <f t="shared" si="10"/>
        <v>0</v>
      </c>
      <c r="AM448" s="2" t="str">
        <f t="array" ref="AM448">IF($K448="",0,IFERROR(INDEX(CALC!$F$2:$F$33,MATCH($K448,CALC!$A$2:$A$33,0)),0))</f>
        <v/>
      </c>
      <c r="AN448" s="2" t="str">
        <f t="array" ref="AN448">IF($K448="",0,IFERROR(INDEX(CALC!$I$2:$I$33,MATCH($K448,CALC!$A$2:$A$33,0)),0))</f>
        <v/>
      </c>
      <c r="AO448" s="2" t="str">
        <f t="array" ref="AO448">IF($K448="",0,IFERROR(INDEX(CALC!$L$2:$L$33,MATCH($K448,CALC!$A$2:$A$33,0)),0))</f>
        <v/>
      </c>
      <c r="AP448" s="2" t="str">
        <f t="array" ref="AP448">IF($K448="",0,IFERROR(INDEX(CALC!$T$2:$T$33,MATCH($K448,CALC!$A$2:$A$33,0)),0))</f>
        <v/>
      </c>
      <c r="AQ448" s="2" t="str">
        <f t="array" ref="AQ448">IF($K448="",0,IFERROR(INDEX(CALC!$W$2:$W$33,MATCH($K448,CALC!$A$2:$A$33,0)),0))</f>
        <v/>
      </c>
      <c r="AR448" s="2" t="str">
        <f t="array" ref="AR448">IF($K448="",0,IFERROR(INDEX(CALC!$Z$2:$Z$33,MATCH($K448,CALC!$A$2:$A$33,0)),0))</f>
        <v/>
      </c>
      <c r="AS448" s="2" t="str">
        <f t="array" ref="AS448">IF($K448="",0,IFERROR(INDEX(CALC!$AJ$2:$AJ$33,MATCH($K448,CALC!$A$2:$A$33,0)),0))</f>
        <v/>
      </c>
      <c r="AT448" s="2" t="str">
        <f t="array" ref="AT448">IF($K448="",0,IFERROR(INDEX(CALC!$AI$2:$AI$33,MATCH($K448,CALC!$A$2:$A$33,0)),0))</f>
        <v/>
      </c>
      <c r="AU448" s="2">
        <f t="shared" si="11"/>
        <v>0</v>
      </c>
      <c r="AV448" s="2">
        <f t="shared" si="12"/>
        <v>0</v>
      </c>
    </row>
    <row r="449" ht="15.0" customHeight="1">
      <c r="A449" s="2">
        <v>224.0</v>
      </c>
      <c r="B449" s="2" t="s">
        <v>2365</v>
      </c>
      <c r="C449" s="2">
        <f>IFERROR(MATCH($A449,SchedSeq,0),"")</f>
        <v>509</v>
      </c>
      <c r="D449" s="2" t="str">
        <f t="array" ref="D449">IF($C449="","",INDEX(SchedZone,$C449,MAP!$B$6))</f>
        <v>2026_15_NE_KC</v>
      </c>
      <c r="E449" s="2">
        <f t="array" ref="E449">IF($C449="","",INDEX(SchedZone,$C449,MAP!$B$3))</f>
        <v>2026</v>
      </c>
      <c r="F449" s="2" t="str">
        <f t="array" ref="F449">IF($C449="","",INDEX(SchedZone,$C449,MAP!$B$5))</f>
        <v>REG</v>
      </c>
      <c r="G449" s="2">
        <f t="array" ref="G449">IF($C449="","",INDEX(SchedZone,$C449,MAP!$B$4))</f>
        <v>15</v>
      </c>
      <c r="H449" s="2" t="str">
        <f t="array" ref="H449">IF($C449="","",INDEX(SchedZone,$C449,MAP!$B$12))</f>
        <v>KC</v>
      </c>
      <c r="I449" s="2" t="str">
        <f t="array" ref="I449">IF($H449="","",IF(COUNTIF(Teams,$H449)&gt;0,$H449,IFERROR(INDEX(LISTS!$D$2:$D$12,MATCH($H449,LISTS!$C$2:$C$12,0)),"⚠ "&amp;$H449)))</f>
        <v>KC</v>
      </c>
      <c r="J449" s="2" t="str">
        <f t="array" ref="J449">IF($C449="","",INDEX(SchedZone,$C449,MAP!$B$10))</f>
        <v>NE</v>
      </c>
      <c r="K449" s="2" t="str">
        <f t="array" ref="K449">IF($J449="","",IF(COUNTIF(Teams,$J449)&gt;0,$J449,IFERROR(INDEX(LISTS!$D$2:$D$12,MATCH($J449,LISTS!$C$2:$C$12,0)),"⚠ "&amp;$J449)))</f>
        <v>NE</v>
      </c>
      <c r="L449" s="2" t="str">
        <f t="array" ref="L449">IF($C449="","",IF(INDEX(SchedZone,$C449,MAP!$B$14)="Neutral","N",IF($B449="HOME","H","A")))</f>
        <v>H</v>
      </c>
      <c r="M449" s="2" t="str">
        <f t="array" ref="M449">IF($C449="","",IF(INDEX(SchedZone,$C449,MAP!$B$13)="","",INDEX(SchedZone,$C449,MAP!$B$13)))</f>
        <v/>
      </c>
      <c r="N449" s="2" t="str">
        <f t="array" ref="N449">IF($C449="","",IF(INDEX(SchedZone,$C449,MAP!$B$11)="","",INDEX(SchedZone,$C449,MAP!$B$11)))</f>
        <v/>
      </c>
      <c r="O449" s="2">
        <f t="array" ref="O449">IF($C449="","",INDEX(SchedZone,$C449,MAP!$B$16))</f>
        <v>8</v>
      </c>
      <c r="P449" s="2" t="str">
        <f>IF($C449="","",IFERROR(MATCH($E449&amp;"|"&amp;$G449&amp;"|"&amp;$I449,StatsKey,0),""))</f>
        <v/>
      </c>
      <c r="Q449" s="2">
        <f t="array" ref="Q449">IF($P449="",0,INDEX(StatsZone,$P449,MAP!$E$9)+INDEX(StatsZone,$P449,MAP!$E$10)+INDEX(StatsZone,$P449,MAP!$E$11))</f>
        <v>0</v>
      </c>
      <c r="R449" s="2">
        <f t="array" ref="R449">IF($P449="",0,INDEX(StatsZone,$P449,MAP!$E$12))</f>
        <v>0</v>
      </c>
      <c r="S449" s="2">
        <f t="array" ref="S449">IF($P449="",0,INDEX(StatsZone,$P449,MAP!$E$13))</f>
        <v>0</v>
      </c>
      <c r="T449" s="2">
        <f t="shared" si="1"/>
        <v>0</v>
      </c>
      <c r="U449" s="2">
        <f t="array" ref="U449">IF($P449="",0,INDEX(StatsZone,$P449,MAP!$E$14)+INDEX(StatsZone,$P449,MAP!$E$15)+INDEX(StatsZone,$P449,MAP!$E$16))</f>
        <v>0</v>
      </c>
      <c r="V449" s="2">
        <f t="shared" si="2"/>
        <v>0</v>
      </c>
      <c r="W449" s="2">
        <f t="shared" si="3"/>
        <v>0</v>
      </c>
      <c r="X449" s="2">
        <f t="shared" si="4"/>
        <v>0</v>
      </c>
      <c r="Y449" s="2">
        <f t="shared" si="5"/>
        <v>0</v>
      </c>
      <c r="Z449" s="2">
        <f t="shared" si="6"/>
        <v>0</v>
      </c>
      <c r="AA449" s="2">
        <f t="shared" si="7"/>
        <v>1</v>
      </c>
      <c r="AB449" s="2">
        <f>IF(OR($M449="",$N449=""),0,MEDIAN(-MarginCap,MarginCap,($M449-$N449)-$AA449*HFA_Base))</f>
        <v>0</v>
      </c>
      <c r="AC449" s="2">
        <f t="array" ref="AC449">IF(OR($P449="",INDEX($P$3:$P$722,(ROW()+IF(MOD(ROW()-3,2)=0,1,-1))-3+1)=""),0,MEDIAN(-MarginCap,MarginCap,($T449-$W449)-$AA449*HFA_Base))</f>
        <v>0</v>
      </c>
      <c r="AD449" s="2">
        <f t="shared" si="8"/>
        <v>0</v>
      </c>
      <c r="AE449" s="2">
        <f>IF(OR($M449="",$N449=""),0,IF(AND(WEpa&gt;0,$AD449=1),(1-WEpa)*$AB449+WEpa*$AC449,$AB449))</f>
        <v>0</v>
      </c>
      <c r="AF449" s="2">
        <f>IF(AND($C449&lt;&gt;"",$E449=CurrentSeason,$F449="REG",ISNUMBER($G449),$G449&lt;CurrentWeek,AND($M449&lt;&gt;"",$N449&lt;&gt;"")),1,0)</f>
        <v>0</v>
      </c>
      <c r="AG449" s="2">
        <f>IF($AF449=0,0,IF($G449&gt;=CurrentWeek-RecencyWin,RecencyMult,1))</f>
        <v>0</v>
      </c>
      <c r="AH449" s="2">
        <f>IF(AND($C449&lt;&gt;"",$E449=CurrentSeason,$F449="REG",ISNUMBER($G449),$G449&lt;CurrentWeek-1,AND($M449&lt;&gt;"",$N449&lt;&gt;"")),1,0)</f>
        <v>0</v>
      </c>
      <c r="AI449" s="2">
        <f>IF($AH449=0,0,IF($G449&gt;=CurrentWeek-1-RecencyWin,RecencyMult,1))</f>
        <v>0</v>
      </c>
      <c r="AJ449" s="2">
        <f>IF($AF449=0,0,IF($G449&gt;=CurrentWeek-RecencyWin,TotRecency,1))</f>
        <v>0</v>
      </c>
      <c r="AK449" s="2">
        <f t="shared" si="9"/>
        <v>0</v>
      </c>
      <c r="AL449" s="2">
        <f t="shared" si="10"/>
        <v>0</v>
      </c>
      <c r="AM449" s="2" t="str">
        <f t="array" ref="AM449">IF($K449="",0,IFERROR(INDEX(CALC!$F$2:$F$33,MATCH($K449,CALC!$A$2:$A$33,0)),0))</f>
        <v/>
      </c>
      <c r="AN449" s="2" t="str">
        <f t="array" ref="AN449">IF($K449="",0,IFERROR(INDEX(CALC!$I$2:$I$33,MATCH($K449,CALC!$A$2:$A$33,0)),0))</f>
        <v/>
      </c>
      <c r="AO449" s="2" t="str">
        <f t="array" ref="AO449">IF($K449="",0,IFERROR(INDEX(CALC!$L$2:$L$33,MATCH($K449,CALC!$A$2:$A$33,0)),0))</f>
        <v/>
      </c>
      <c r="AP449" s="2" t="str">
        <f t="array" ref="AP449">IF($K449="",0,IFERROR(INDEX(CALC!$T$2:$T$33,MATCH($K449,CALC!$A$2:$A$33,0)),0))</f>
        <v/>
      </c>
      <c r="AQ449" s="2" t="str">
        <f t="array" ref="AQ449">IF($K449="",0,IFERROR(INDEX(CALC!$W$2:$W$33,MATCH($K449,CALC!$A$2:$A$33,0)),0))</f>
        <v/>
      </c>
      <c r="AR449" s="2" t="str">
        <f t="array" ref="AR449">IF($K449="",0,IFERROR(INDEX(CALC!$Z$2:$Z$33,MATCH($K449,CALC!$A$2:$A$33,0)),0))</f>
        <v/>
      </c>
      <c r="AS449" s="2" t="str">
        <f t="array" ref="AS449">IF($K449="",0,IFERROR(INDEX(CALC!$AJ$2:$AJ$33,MATCH($K449,CALC!$A$2:$A$33,0)),0))</f>
        <v/>
      </c>
      <c r="AT449" s="2" t="str">
        <f t="array" ref="AT449">IF($K449="",0,IFERROR(INDEX(CALC!$AI$2:$AI$33,MATCH($K449,CALC!$A$2:$A$33,0)),0))</f>
        <v/>
      </c>
      <c r="AU449" s="2">
        <f t="shared" si="11"/>
        <v>0</v>
      </c>
      <c r="AV449" s="2">
        <f t="shared" si="12"/>
        <v>0</v>
      </c>
    </row>
    <row r="450" ht="15.0" customHeight="1">
      <c r="A450" s="2">
        <v>224.0</v>
      </c>
      <c r="B450" s="2" t="s">
        <v>2366</v>
      </c>
      <c r="C450" s="2">
        <f>IFERROR(MATCH($A450,SchedSeq,0),"")</f>
        <v>509</v>
      </c>
      <c r="D450" s="2" t="str">
        <f t="array" ref="D450">IF($C450="","",INDEX(SchedZone,$C450,MAP!$B$6))</f>
        <v>2026_15_NE_KC</v>
      </c>
      <c r="E450" s="2">
        <f t="array" ref="E450">IF($C450="","",INDEX(SchedZone,$C450,MAP!$B$3))</f>
        <v>2026</v>
      </c>
      <c r="F450" s="2" t="str">
        <f t="array" ref="F450">IF($C450="","",INDEX(SchedZone,$C450,MAP!$B$5))</f>
        <v>REG</v>
      </c>
      <c r="G450" s="2">
        <f t="array" ref="G450">IF($C450="","",INDEX(SchedZone,$C450,MAP!$B$4))</f>
        <v>15</v>
      </c>
      <c r="H450" s="2" t="str">
        <f t="array" ref="H450">IF($C450="","",INDEX(SchedZone,$C450,MAP!$B$10))</f>
        <v>NE</v>
      </c>
      <c r="I450" s="2" t="str">
        <f t="array" ref="I450">IF($H450="","",IF(COUNTIF(Teams,$H450)&gt;0,$H450,IFERROR(INDEX(LISTS!$D$2:$D$12,MATCH($H450,LISTS!$C$2:$C$12,0)),"⚠ "&amp;$H450)))</f>
        <v>NE</v>
      </c>
      <c r="J450" s="2" t="str">
        <f t="array" ref="J450">IF($C450="","",INDEX(SchedZone,$C450,MAP!$B$12))</f>
        <v>KC</v>
      </c>
      <c r="K450" s="2" t="str">
        <f t="array" ref="K450">IF($J450="","",IF(COUNTIF(Teams,$J450)&gt;0,$J450,IFERROR(INDEX(LISTS!$D$2:$D$12,MATCH($J450,LISTS!$C$2:$C$12,0)),"⚠ "&amp;$J450)))</f>
        <v>KC</v>
      </c>
      <c r="L450" s="2" t="str">
        <f t="array" ref="L450">IF($C450="","",IF(INDEX(SchedZone,$C450,MAP!$B$14)="Neutral","N",IF($B450="HOME","H","A")))</f>
        <v>A</v>
      </c>
      <c r="M450" s="2" t="str">
        <f t="array" ref="M450">IF($C450="","",IF(INDEX(SchedZone,$C450,MAP!$B$11)="","",INDEX(SchedZone,$C450,MAP!$B$11)))</f>
        <v/>
      </c>
      <c r="N450" s="2" t="str">
        <f t="array" ref="N450">IF($C450="","",IF(INDEX(SchedZone,$C450,MAP!$B$13)="","",INDEX(SchedZone,$C450,MAP!$B$13)))</f>
        <v/>
      </c>
      <c r="O450" s="2">
        <f t="array" ref="O450">IF($C450="","",INDEX(SchedZone,$C450,MAP!$B$15))</f>
        <v>11</v>
      </c>
      <c r="P450" s="2" t="str">
        <f>IF($C450="","",IFERROR(MATCH($E450&amp;"|"&amp;$G450&amp;"|"&amp;$I450,StatsKey,0),""))</f>
        <v/>
      </c>
      <c r="Q450" s="2">
        <f t="array" ref="Q450">IF($P450="",0,INDEX(StatsZone,$P450,MAP!$E$9)+INDEX(StatsZone,$P450,MAP!$E$10)+INDEX(StatsZone,$P450,MAP!$E$11))</f>
        <v>0</v>
      </c>
      <c r="R450" s="2">
        <f t="array" ref="R450">IF($P450="",0,INDEX(StatsZone,$P450,MAP!$E$12))</f>
        <v>0</v>
      </c>
      <c r="S450" s="2">
        <f t="array" ref="S450">IF($P450="",0,INDEX(StatsZone,$P450,MAP!$E$13))</f>
        <v>0</v>
      </c>
      <c r="T450" s="2">
        <f t="shared" si="1"/>
        <v>0</v>
      </c>
      <c r="U450" s="2">
        <f t="array" ref="U450">IF($P450="",0,INDEX(StatsZone,$P450,MAP!$E$14)+INDEX(StatsZone,$P450,MAP!$E$15)+INDEX(StatsZone,$P450,MAP!$E$16))</f>
        <v>0</v>
      </c>
      <c r="V450" s="2">
        <f t="shared" si="2"/>
        <v>0</v>
      </c>
      <c r="W450" s="2">
        <f t="shared" si="3"/>
        <v>0</v>
      </c>
      <c r="X450" s="2">
        <f t="shared" si="4"/>
        <v>0</v>
      </c>
      <c r="Y450" s="2">
        <f t="shared" si="5"/>
        <v>0</v>
      </c>
      <c r="Z450" s="2">
        <f t="shared" si="6"/>
        <v>0</v>
      </c>
      <c r="AA450" s="2">
        <f t="shared" si="7"/>
        <v>-1</v>
      </c>
      <c r="AB450" s="2">
        <f>IF(OR($M450="",$N450=""),0,MEDIAN(-MarginCap,MarginCap,($M450-$N450)-$AA450*HFA_Base))</f>
        <v>0</v>
      </c>
      <c r="AC450" s="2">
        <f t="array" ref="AC450">IF(OR($P450="",INDEX($P$3:$P$722,(ROW()+IF(MOD(ROW()-3,2)=0,1,-1))-3+1)=""),0,MEDIAN(-MarginCap,MarginCap,($T450-$W450)-$AA450*HFA_Base))</f>
        <v>0</v>
      </c>
      <c r="AD450" s="2">
        <f t="shared" si="8"/>
        <v>0</v>
      </c>
      <c r="AE450" s="2">
        <f>IF(OR($M450="",$N450=""),0,IF(AND(WEpa&gt;0,$AD450=1),(1-WEpa)*$AB450+WEpa*$AC450,$AB450))</f>
        <v>0</v>
      </c>
      <c r="AF450" s="2">
        <f>IF(AND($C450&lt;&gt;"",$E450=CurrentSeason,$F450="REG",ISNUMBER($G450),$G450&lt;CurrentWeek,AND($M450&lt;&gt;"",$N450&lt;&gt;"")),1,0)</f>
        <v>0</v>
      </c>
      <c r="AG450" s="2">
        <f>IF($AF450=0,0,IF($G450&gt;=CurrentWeek-RecencyWin,RecencyMult,1))</f>
        <v>0</v>
      </c>
      <c r="AH450" s="2">
        <f>IF(AND($C450&lt;&gt;"",$E450=CurrentSeason,$F450="REG",ISNUMBER($G450),$G450&lt;CurrentWeek-1,AND($M450&lt;&gt;"",$N450&lt;&gt;"")),1,0)</f>
        <v>0</v>
      </c>
      <c r="AI450" s="2">
        <f>IF($AH450=0,0,IF($G450&gt;=CurrentWeek-1-RecencyWin,RecencyMult,1))</f>
        <v>0</v>
      </c>
      <c r="AJ450" s="2">
        <f>IF($AF450=0,0,IF($G450&gt;=CurrentWeek-RecencyWin,TotRecency,1))</f>
        <v>0</v>
      </c>
      <c r="AK450" s="2">
        <f t="shared" si="9"/>
        <v>0</v>
      </c>
      <c r="AL450" s="2">
        <f t="shared" si="10"/>
        <v>0</v>
      </c>
      <c r="AM450" s="2" t="str">
        <f t="array" ref="AM450">IF($K450="",0,IFERROR(INDEX(CALC!$F$2:$F$33,MATCH($K450,CALC!$A$2:$A$33,0)),0))</f>
        <v/>
      </c>
      <c r="AN450" s="2" t="str">
        <f t="array" ref="AN450">IF($K450="",0,IFERROR(INDEX(CALC!$I$2:$I$33,MATCH($K450,CALC!$A$2:$A$33,0)),0))</f>
        <v/>
      </c>
      <c r="AO450" s="2" t="str">
        <f t="array" ref="AO450">IF($K450="",0,IFERROR(INDEX(CALC!$L$2:$L$33,MATCH($K450,CALC!$A$2:$A$33,0)),0))</f>
        <v/>
      </c>
      <c r="AP450" s="2" t="str">
        <f t="array" ref="AP450">IF($K450="",0,IFERROR(INDEX(CALC!$T$2:$T$33,MATCH($K450,CALC!$A$2:$A$33,0)),0))</f>
        <v/>
      </c>
      <c r="AQ450" s="2" t="str">
        <f t="array" ref="AQ450">IF($K450="",0,IFERROR(INDEX(CALC!$W$2:$W$33,MATCH($K450,CALC!$A$2:$A$33,0)),0))</f>
        <v/>
      </c>
      <c r="AR450" s="2" t="str">
        <f t="array" ref="AR450">IF($K450="",0,IFERROR(INDEX(CALC!$Z$2:$Z$33,MATCH($K450,CALC!$A$2:$A$33,0)),0))</f>
        <v/>
      </c>
      <c r="AS450" s="2" t="str">
        <f t="array" ref="AS450">IF($K450="",0,IFERROR(INDEX(CALC!$AJ$2:$AJ$33,MATCH($K450,CALC!$A$2:$A$33,0)),0))</f>
        <v/>
      </c>
      <c r="AT450" s="2" t="str">
        <f t="array" ref="AT450">IF($K450="",0,IFERROR(INDEX(CALC!$AI$2:$AI$33,MATCH($K450,CALC!$A$2:$A$33,0)),0))</f>
        <v/>
      </c>
      <c r="AU450" s="2">
        <f t="shared" si="11"/>
        <v>0</v>
      </c>
      <c r="AV450" s="2">
        <f t="shared" si="12"/>
        <v>0</v>
      </c>
    </row>
    <row r="451" ht="15.0" customHeight="1">
      <c r="A451" s="2">
        <v>225.0</v>
      </c>
      <c r="B451" s="2" t="s">
        <v>2365</v>
      </c>
      <c r="C451" s="2">
        <f>IFERROR(MATCH($A451,SchedSeq,0),"")</f>
        <v>510</v>
      </c>
      <c r="D451" s="2" t="str">
        <f t="array" ref="D451">IF($C451="","",INDEX(SchedZone,$C451,MAP!$B$6))</f>
        <v>2026_16_HOU_PHI</v>
      </c>
      <c r="E451" s="2">
        <f t="array" ref="E451">IF($C451="","",INDEX(SchedZone,$C451,MAP!$B$3))</f>
        <v>2026</v>
      </c>
      <c r="F451" s="2" t="str">
        <f t="array" ref="F451">IF($C451="","",INDEX(SchedZone,$C451,MAP!$B$5))</f>
        <v>REG</v>
      </c>
      <c r="G451" s="2">
        <f t="array" ref="G451">IF($C451="","",INDEX(SchedZone,$C451,MAP!$B$4))</f>
        <v>16</v>
      </c>
      <c r="H451" s="2" t="str">
        <f t="array" ref="H451">IF($C451="","",INDEX(SchedZone,$C451,MAP!$B$12))</f>
        <v>PHI</v>
      </c>
      <c r="I451" s="2" t="str">
        <f t="array" ref="I451">IF($H451="","",IF(COUNTIF(Teams,$H451)&gt;0,$H451,IFERROR(INDEX(LISTS!$D$2:$D$12,MATCH($H451,LISTS!$C$2:$C$12,0)),"⚠ "&amp;$H451)))</f>
        <v>PHI</v>
      </c>
      <c r="J451" s="2" t="str">
        <f t="array" ref="J451">IF($C451="","",INDEX(SchedZone,$C451,MAP!$B$10))</f>
        <v>HOU</v>
      </c>
      <c r="K451" s="2" t="str">
        <f t="array" ref="K451">IF($J451="","",IF(COUNTIF(Teams,$J451)&gt;0,$J451,IFERROR(INDEX(LISTS!$D$2:$D$12,MATCH($J451,LISTS!$C$2:$C$12,0)),"⚠ "&amp;$J451)))</f>
        <v>HOU</v>
      </c>
      <c r="L451" s="2" t="str">
        <f t="array" ref="L451">IF($C451="","",IF(INDEX(SchedZone,$C451,MAP!$B$14)="Neutral","N",IF($B451="HOME","H","A")))</f>
        <v>H</v>
      </c>
      <c r="M451" s="2" t="str">
        <f t="array" ref="M451">IF($C451="","",IF(INDEX(SchedZone,$C451,MAP!$B$13)="","",INDEX(SchedZone,$C451,MAP!$B$13)))</f>
        <v/>
      </c>
      <c r="N451" s="2" t="str">
        <f t="array" ref="N451">IF($C451="","",IF(INDEX(SchedZone,$C451,MAP!$B$11)="","",INDEX(SchedZone,$C451,MAP!$B$11)))</f>
        <v/>
      </c>
      <c r="O451" s="2">
        <f t="array" ref="O451">IF($C451="","",INDEX(SchedZone,$C451,MAP!$B$16))</f>
        <v>5</v>
      </c>
      <c r="P451" s="2" t="str">
        <f>IF($C451="","",IFERROR(MATCH($E451&amp;"|"&amp;$G451&amp;"|"&amp;$I451,StatsKey,0),""))</f>
        <v/>
      </c>
      <c r="Q451" s="2">
        <f t="array" ref="Q451">IF($P451="",0,INDEX(StatsZone,$P451,MAP!$E$9)+INDEX(StatsZone,$P451,MAP!$E$10)+INDEX(StatsZone,$P451,MAP!$E$11))</f>
        <v>0</v>
      </c>
      <c r="R451" s="2">
        <f t="array" ref="R451">IF($P451="",0,INDEX(StatsZone,$P451,MAP!$E$12))</f>
        <v>0</v>
      </c>
      <c r="S451" s="2">
        <f t="array" ref="S451">IF($P451="",0,INDEX(StatsZone,$P451,MAP!$E$13))</f>
        <v>0</v>
      </c>
      <c r="T451" s="2">
        <f t="shared" si="1"/>
        <v>0</v>
      </c>
      <c r="U451" s="2">
        <f t="array" ref="U451">IF($P451="",0,INDEX(StatsZone,$P451,MAP!$E$14)+INDEX(StatsZone,$P451,MAP!$E$15)+INDEX(StatsZone,$P451,MAP!$E$16))</f>
        <v>0</v>
      </c>
      <c r="V451" s="2">
        <f t="shared" si="2"/>
        <v>0</v>
      </c>
      <c r="W451" s="2">
        <f t="shared" si="3"/>
        <v>0</v>
      </c>
      <c r="X451" s="2">
        <f t="shared" si="4"/>
        <v>0</v>
      </c>
      <c r="Y451" s="2">
        <f t="shared" si="5"/>
        <v>0</v>
      </c>
      <c r="Z451" s="2">
        <f t="shared" si="6"/>
        <v>0</v>
      </c>
      <c r="AA451" s="2">
        <f t="shared" si="7"/>
        <v>1</v>
      </c>
      <c r="AB451" s="2">
        <f>IF(OR($M451="",$N451=""),0,MEDIAN(-MarginCap,MarginCap,($M451-$N451)-$AA451*HFA_Base))</f>
        <v>0</v>
      </c>
      <c r="AC451" s="2">
        <f t="array" ref="AC451">IF(OR($P451="",INDEX($P$3:$P$722,(ROW()+IF(MOD(ROW()-3,2)=0,1,-1))-3+1)=""),0,MEDIAN(-MarginCap,MarginCap,($T451-$W451)-$AA451*HFA_Base))</f>
        <v>0</v>
      </c>
      <c r="AD451" s="2">
        <f t="shared" si="8"/>
        <v>0</v>
      </c>
      <c r="AE451" s="2">
        <f>IF(OR($M451="",$N451=""),0,IF(AND(WEpa&gt;0,$AD451=1),(1-WEpa)*$AB451+WEpa*$AC451,$AB451))</f>
        <v>0</v>
      </c>
      <c r="AF451" s="2">
        <f>IF(AND($C451&lt;&gt;"",$E451=CurrentSeason,$F451="REG",ISNUMBER($G451),$G451&lt;CurrentWeek,AND($M451&lt;&gt;"",$N451&lt;&gt;"")),1,0)</f>
        <v>0</v>
      </c>
      <c r="AG451" s="2">
        <f>IF($AF451=0,0,IF($G451&gt;=CurrentWeek-RecencyWin,RecencyMult,1))</f>
        <v>0</v>
      </c>
      <c r="AH451" s="2">
        <f>IF(AND($C451&lt;&gt;"",$E451=CurrentSeason,$F451="REG",ISNUMBER($G451),$G451&lt;CurrentWeek-1,AND($M451&lt;&gt;"",$N451&lt;&gt;"")),1,0)</f>
        <v>0</v>
      </c>
      <c r="AI451" s="2">
        <f>IF($AH451=0,0,IF($G451&gt;=CurrentWeek-1-RecencyWin,RecencyMult,1))</f>
        <v>0</v>
      </c>
      <c r="AJ451" s="2">
        <f>IF($AF451=0,0,IF($G451&gt;=CurrentWeek-RecencyWin,TotRecency,1))</f>
        <v>0</v>
      </c>
      <c r="AK451" s="2">
        <f t="shared" si="9"/>
        <v>0</v>
      </c>
      <c r="AL451" s="2">
        <f t="shared" si="10"/>
        <v>0</v>
      </c>
      <c r="AM451" s="2" t="str">
        <f t="array" ref="AM451">IF($K451="",0,IFERROR(INDEX(CALC!$F$2:$F$33,MATCH($K451,CALC!$A$2:$A$33,0)),0))</f>
        <v/>
      </c>
      <c r="AN451" s="2" t="str">
        <f t="array" ref="AN451">IF($K451="",0,IFERROR(INDEX(CALC!$I$2:$I$33,MATCH($K451,CALC!$A$2:$A$33,0)),0))</f>
        <v/>
      </c>
      <c r="AO451" s="2" t="str">
        <f t="array" ref="AO451">IF($K451="",0,IFERROR(INDEX(CALC!$L$2:$L$33,MATCH($K451,CALC!$A$2:$A$33,0)),0))</f>
        <v/>
      </c>
      <c r="AP451" s="2" t="str">
        <f t="array" ref="AP451">IF($K451="",0,IFERROR(INDEX(CALC!$T$2:$T$33,MATCH($K451,CALC!$A$2:$A$33,0)),0))</f>
        <v/>
      </c>
      <c r="AQ451" s="2" t="str">
        <f t="array" ref="AQ451">IF($K451="",0,IFERROR(INDEX(CALC!$W$2:$W$33,MATCH($K451,CALC!$A$2:$A$33,0)),0))</f>
        <v/>
      </c>
      <c r="AR451" s="2" t="str">
        <f t="array" ref="AR451">IF($K451="",0,IFERROR(INDEX(CALC!$Z$2:$Z$33,MATCH($K451,CALC!$A$2:$A$33,0)),0))</f>
        <v/>
      </c>
      <c r="AS451" s="2" t="str">
        <f t="array" ref="AS451">IF($K451="",0,IFERROR(INDEX(CALC!$AJ$2:$AJ$33,MATCH($K451,CALC!$A$2:$A$33,0)),0))</f>
        <v/>
      </c>
      <c r="AT451" s="2" t="str">
        <f t="array" ref="AT451">IF($K451="",0,IFERROR(INDEX(CALC!$AI$2:$AI$33,MATCH($K451,CALC!$A$2:$A$33,0)),0))</f>
        <v/>
      </c>
      <c r="AU451" s="2">
        <f t="shared" si="11"/>
        <v>0</v>
      </c>
      <c r="AV451" s="2">
        <f t="shared" si="12"/>
        <v>0</v>
      </c>
    </row>
    <row r="452" ht="15.0" customHeight="1">
      <c r="A452" s="2">
        <v>225.0</v>
      </c>
      <c r="B452" s="2" t="s">
        <v>2366</v>
      </c>
      <c r="C452" s="2">
        <f>IFERROR(MATCH($A452,SchedSeq,0),"")</f>
        <v>510</v>
      </c>
      <c r="D452" s="2" t="str">
        <f t="array" ref="D452">IF($C452="","",INDEX(SchedZone,$C452,MAP!$B$6))</f>
        <v>2026_16_HOU_PHI</v>
      </c>
      <c r="E452" s="2">
        <f t="array" ref="E452">IF($C452="","",INDEX(SchedZone,$C452,MAP!$B$3))</f>
        <v>2026</v>
      </c>
      <c r="F452" s="2" t="str">
        <f t="array" ref="F452">IF($C452="","",INDEX(SchedZone,$C452,MAP!$B$5))</f>
        <v>REG</v>
      </c>
      <c r="G452" s="2">
        <f t="array" ref="G452">IF($C452="","",INDEX(SchedZone,$C452,MAP!$B$4))</f>
        <v>16</v>
      </c>
      <c r="H452" s="2" t="str">
        <f t="array" ref="H452">IF($C452="","",INDEX(SchedZone,$C452,MAP!$B$10))</f>
        <v>HOU</v>
      </c>
      <c r="I452" s="2" t="str">
        <f t="array" ref="I452">IF($H452="","",IF(COUNTIF(Teams,$H452)&gt;0,$H452,IFERROR(INDEX(LISTS!$D$2:$D$12,MATCH($H452,LISTS!$C$2:$C$12,0)),"⚠ "&amp;$H452)))</f>
        <v>HOU</v>
      </c>
      <c r="J452" s="2" t="str">
        <f t="array" ref="J452">IF($C452="","",INDEX(SchedZone,$C452,MAP!$B$12))</f>
        <v>PHI</v>
      </c>
      <c r="K452" s="2" t="str">
        <f t="array" ref="K452">IF($J452="","",IF(COUNTIF(Teams,$J452)&gt;0,$J452,IFERROR(INDEX(LISTS!$D$2:$D$12,MATCH($J452,LISTS!$C$2:$C$12,0)),"⚠ "&amp;$J452)))</f>
        <v>PHI</v>
      </c>
      <c r="L452" s="2" t="str">
        <f t="array" ref="L452">IF($C452="","",IF(INDEX(SchedZone,$C452,MAP!$B$14)="Neutral","N",IF($B452="HOME","H","A")))</f>
        <v>A</v>
      </c>
      <c r="M452" s="2" t="str">
        <f t="array" ref="M452">IF($C452="","",IF(INDEX(SchedZone,$C452,MAP!$B$11)="","",INDEX(SchedZone,$C452,MAP!$B$11)))</f>
        <v/>
      </c>
      <c r="N452" s="2" t="str">
        <f t="array" ref="N452">IF($C452="","",IF(INDEX(SchedZone,$C452,MAP!$B$13)="","",INDEX(SchedZone,$C452,MAP!$B$13)))</f>
        <v/>
      </c>
      <c r="O452" s="2">
        <f t="array" ref="O452">IF($C452="","",INDEX(SchedZone,$C452,MAP!$B$15))</f>
        <v>4</v>
      </c>
      <c r="P452" s="2" t="str">
        <f>IF($C452="","",IFERROR(MATCH($E452&amp;"|"&amp;$G452&amp;"|"&amp;$I452,StatsKey,0),""))</f>
        <v/>
      </c>
      <c r="Q452" s="2">
        <f t="array" ref="Q452">IF($P452="",0,INDEX(StatsZone,$P452,MAP!$E$9)+INDEX(StatsZone,$P452,MAP!$E$10)+INDEX(StatsZone,$P452,MAP!$E$11))</f>
        <v>0</v>
      </c>
      <c r="R452" s="2">
        <f t="array" ref="R452">IF($P452="",0,INDEX(StatsZone,$P452,MAP!$E$12))</f>
        <v>0</v>
      </c>
      <c r="S452" s="2">
        <f t="array" ref="S452">IF($P452="",0,INDEX(StatsZone,$P452,MAP!$E$13))</f>
        <v>0</v>
      </c>
      <c r="T452" s="2">
        <f t="shared" si="1"/>
        <v>0</v>
      </c>
      <c r="U452" s="2">
        <f t="array" ref="U452">IF($P452="",0,INDEX(StatsZone,$P452,MAP!$E$14)+INDEX(StatsZone,$P452,MAP!$E$15)+INDEX(StatsZone,$P452,MAP!$E$16))</f>
        <v>0</v>
      </c>
      <c r="V452" s="2">
        <f t="shared" si="2"/>
        <v>0</v>
      </c>
      <c r="W452" s="2">
        <f t="shared" si="3"/>
        <v>0</v>
      </c>
      <c r="X452" s="2">
        <f t="shared" si="4"/>
        <v>0</v>
      </c>
      <c r="Y452" s="2">
        <f t="shared" si="5"/>
        <v>0</v>
      </c>
      <c r="Z452" s="2">
        <f t="shared" si="6"/>
        <v>0</v>
      </c>
      <c r="AA452" s="2">
        <f t="shared" si="7"/>
        <v>-1</v>
      </c>
      <c r="AB452" s="2">
        <f>IF(OR($M452="",$N452=""),0,MEDIAN(-MarginCap,MarginCap,($M452-$N452)-$AA452*HFA_Base))</f>
        <v>0</v>
      </c>
      <c r="AC452" s="2">
        <f t="array" ref="AC452">IF(OR($P452="",INDEX($P$3:$P$722,(ROW()+IF(MOD(ROW()-3,2)=0,1,-1))-3+1)=""),0,MEDIAN(-MarginCap,MarginCap,($T452-$W452)-$AA452*HFA_Base))</f>
        <v>0</v>
      </c>
      <c r="AD452" s="2">
        <f t="shared" si="8"/>
        <v>0</v>
      </c>
      <c r="AE452" s="2">
        <f>IF(OR($M452="",$N452=""),0,IF(AND(WEpa&gt;0,$AD452=1),(1-WEpa)*$AB452+WEpa*$AC452,$AB452))</f>
        <v>0</v>
      </c>
      <c r="AF452" s="2">
        <f>IF(AND($C452&lt;&gt;"",$E452=CurrentSeason,$F452="REG",ISNUMBER($G452),$G452&lt;CurrentWeek,AND($M452&lt;&gt;"",$N452&lt;&gt;"")),1,0)</f>
        <v>0</v>
      </c>
      <c r="AG452" s="2">
        <f>IF($AF452=0,0,IF($G452&gt;=CurrentWeek-RecencyWin,RecencyMult,1))</f>
        <v>0</v>
      </c>
      <c r="AH452" s="2">
        <f>IF(AND($C452&lt;&gt;"",$E452=CurrentSeason,$F452="REG",ISNUMBER($G452),$G452&lt;CurrentWeek-1,AND($M452&lt;&gt;"",$N452&lt;&gt;"")),1,0)</f>
        <v>0</v>
      </c>
      <c r="AI452" s="2">
        <f>IF($AH452=0,0,IF($G452&gt;=CurrentWeek-1-RecencyWin,RecencyMult,1))</f>
        <v>0</v>
      </c>
      <c r="AJ452" s="2">
        <f>IF($AF452=0,0,IF($G452&gt;=CurrentWeek-RecencyWin,TotRecency,1))</f>
        <v>0</v>
      </c>
      <c r="AK452" s="2">
        <f t="shared" si="9"/>
        <v>0</v>
      </c>
      <c r="AL452" s="2">
        <f t="shared" si="10"/>
        <v>0</v>
      </c>
      <c r="AM452" s="2" t="str">
        <f t="array" ref="AM452">IF($K452="",0,IFERROR(INDEX(CALC!$F$2:$F$33,MATCH($K452,CALC!$A$2:$A$33,0)),0))</f>
        <v/>
      </c>
      <c r="AN452" s="2" t="str">
        <f t="array" ref="AN452">IF($K452="",0,IFERROR(INDEX(CALC!$I$2:$I$33,MATCH($K452,CALC!$A$2:$A$33,0)),0))</f>
        <v/>
      </c>
      <c r="AO452" s="2" t="str">
        <f t="array" ref="AO452">IF($K452="",0,IFERROR(INDEX(CALC!$L$2:$L$33,MATCH($K452,CALC!$A$2:$A$33,0)),0))</f>
        <v/>
      </c>
      <c r="AP452" s="2" t="str">
        <f t="array" ref="AP452">IF($K452="",0,IFERROR(INDEX(CALC!$T$2:$T$33,MATCH($K452,CALC!$A$2:$A$33,0)),0))</f>
        <v/>
      </c>
      <c r="AQ452" s="2" t="str">
        <f t="array" ref="AQ452">IF($K452="",0,IFERROR(INDEX(CALC!$W$2:$W$33,MATCH($K452,CALC!$A$2:$A$33,0)),0))</f>
        <v/>
      </c>
      <c r="AR452" s="2" t="str">
        <f t="array" ref="AR452">IF($K452="",0,IFERROR(INDEX(CALC!$Z$2:$Z$33,MATCH($K452,CALC!$A$2:$A$33,0)),0))</f>
        <v/>
      </c>
      <c r="AS452" s="2" t="str">
        <f t="array" ref="AS452">IF($K452="",0,IFERROR(INDEX(CALC!$AJ$2:$AJ$33,MATCH($K452,CALC!$A$2:$A$33,0)),0))</f>
        <v/>
      </c>
      <c r="AT452" s="2" t="str">
        <f t="array" ref="AT452">IF($K452="",0,IFERROR(INDEX(CALC!$AI$2:$AI$33,MATCH($K452,CALC!$A$2:$A$33,0)),0))</f>
        <v/>
      </c>
      <c r="AU452" s="2">
        <f t="shared" si="11"/>
        <v>0</v>
      </c>
      <c r="AV452" s="2">
        <f t="shared" si="12"/>
        <v>0</v>
      </c>
    </row>
    <row r="453" ht="15.0" customHeight="1">
      <c r="A453" s="2">
        <v>226.0</v>
      </c>
      <c r="B453" s="2" t="s">
        <v>2365</v>
      </c>
      <c r="C453" s="2">
        <f>IFERROR(MATCH($A453,SchedSeq,0),"")</f>
        <v>511</v>
      </c>
      <c r="D453" s="2" t="str">
        <f t="array" ref="D453">IF($C453="","",INDEX(SchedZone,$C453,MAP!$B$6))</f>
        <v>2026_16_GB_CHI</v>
      </c>
      <c r="E453" s="2">
        <f t="array" ref="E453">IF($C453="","",INDEX(SchedZone,$C453,MAP!$B$3))</f>
        <v>2026</v>
      </c>
      <c r="F453" s="2" t="str">
        <f t="array" ref="F453">IF($C453="","",INDEX(SchedZone,$C453,MAP!$B$5))</f>
        <v>REG</v>
      </c>
      <c r="G453" s="2">
        <f t="array" ref="G453">IF($C453="","",INDEX(SchedZone,$C453,MAP!$B$4))</f>
        <v>16</v>
      </c>
      <c r="H453" s="2" t="str">
        <f t="array" ref="H453">IF($C453="","",INDEX(SchedZone,$C453,MAP!$B$12))</f>
        <v>CHI</v>
      </c>
      <c r="I453" s="2" t="str">
        <f t="array" ref="I453">IF($H453="","",IF(COUNTIF(Teams,$H453)&gt;0,$H453,IFERROR(INDEX(LISTS!$D$2:$D$12,MATCH($H453,LISTS!$C$2:$C$12,0)),"⚠ "&amp;$H453)))</f>
        <v>CHI</v>
      </c>
      <c r="J453" s="2" t="str">
        <f t="array" ref="J453">IF($C453="","",INDEX(SchedZone,$C453,MAP!$B$10))</f>
        <v>GB</v>
      </c>
      <c r="K453" s="2" t="str">
        <f t="array" ref="K453">IF($J453="","",IF(COUNTIF(Teams,$J453)&gt;0,$J453,IFERROR(INDEX(LISTS!$D$2:$D$12,MATCH($J453,LISTS!$C$2:$C$12,0)),"⚠ "&amp;$J453)))</f>
        <v>GB</v>
      </c>
      <c r="L453" s="2" t="str">
        <f t="array" ref="L453">IF($C453="","",IF(INDEX(SchedZone,$C453,MAP!$B$14)="Neutral","N",IF($B453="HOME","H","A")))</f>
        <v>H</v>
      </c>
      <c r="M453" s="2" t="str">
        <f t="array" ref="M453">IF($C453="","",IF(INDEX(SchedZone,$C453,MAP!$B$13)="","",INDEX(SchedZone,$C453,MAP!$B$13)))</f>
        <v/>
      </c>
      <c r="N453" s="2" t="str">
        <f t="array" ref="N453">IF($C453="","",IF(INDEX(SchedZone,$C453,MAP!$B$11)="","",INDEX(SchedZone,$C453,MAP!$B$11)))</f>
        <v/>
      </c>
      <c r="O453" s="2">
        <f t="array" ref="O453">IF($C453="","",INDEX(SchedZone,$C453,MAP!$B$16))</f>
        <v>6</v>
      </c>
      <c r="P453" s="2" t="str">
        <f>IF($C453="","",IFERROR(MATCH($E453&amp;"|"&amp;$G453&amp;"|"&amp;$I453,StatsKey,0),""))</f>
        <v/>
      </c>
      <c r="Q453" s="2">
        <f t="array" ref="Q453">IF($P453="",0,INDEX(StatsZone,$P453,MAP!$E$9)+INDEX(StatsZone,$P453,MAP!$E$10)+INDEX(StatsZone,$P453,MAP!$E$11))</f>
        <v>0</v>
      </c>
      <c r="R453" s="2">
        <f t="array" ref="R453">IF($P453="",0,INDEX(StatsZone,$P453,MAP!$E$12))</f>
        <v>0</v>
      </c>
      <c r="S453" s="2">
        <f t="array" ref="S453">IF($P453="",0,INDEX(StatsZone,$P453,MAP!$E$13))</f>
        <v>0</v>
      </c>
      <c r="T453" s="2">
        <f t="shared" si="1"/>
        <v>0</v>
      </c>
      <c r="U453" s="2">
        <f t="array" ref="U453">IF($P453="",0,INDEX(StatsZone,$P453,MAP!$E$14)+INDEX(StatsZone,$P453,MAP!$E$15)+INDEX(StatsZone,$P453,MAP!$E$16))</f>
        <v>0</v>
      </c>
      <c r="V453" s="2">
        <f t="shared" si="2"/>
        <v>0</v>
      </c>
      <c r="W453" s="2">
        <f t="shared" si="3"/>
        <v>0</v>
      </c>
      <c r="X453" s="2">
        <f t="shared" si="4"/>
        <v>0</v>
      </c>
      <c r="Y453" s="2">
        <f t="shared" si="5"/>
        <v>0</v>
      </c>
      <c r="Z453" s="2">
        <f t="shared" si="6"/>
        <v>0</v>
      </c>
      <c r="AA453" s="2">
        <f t="shared" si="7"/>
        <v>1</v>
      </c>
      <c r="AB453" s="2">
        <f>IF(OR($M453="",$N453=""),0,MEDIAN(-MarginCap,MarginCap,($M453-$N453)-$AA453*HFA_Base))</f>
        <v>0</v>
      </c>
      <c r="AC453" s="2">
        <f t="array" ref="AC453">IF(OR($P453="",INDEX($P$3:$P$722,(ROW()+IF(MOD(ROW()-3,2)=0,1,-1))-3+1)=""),0,MEDIAN(-MarginCap,MarginCap,($T453-$W453)-$AA453*HFA_Base))</f>
        <v>0</v>
      </c>
      <c r="AD453" s="2">
        <f t="shared" si="8"/>
        <v>0</v>
      </c>
      <c r="AE453" s="2">
        <f>IF(OR($M453="",$N453=""),0,IF(AND(WEpa&gt;0,$AD453=1),(1-WEpa)*$AB453+WEpa*$AC453,$AB453))</f>
        <v>0</v>
      </c>
      <c r="AF453" s="2">
        <f>IF(AND($C453&lt;&gt;"",$E453=CurrentSeason,$F453="REG",ISNUMBER($G453),$G453&lt;CurrentWeek,AND($M453&lt;&gt;"",$N453&lt;&gt;"")),1,0)</f>
        <v>0</v>
      </c>
      <c r="AG453" s="2">
        <f>IF($AF453=0,0,IF($G453&gt;=CurrentWeek-RecencyWin,RecencyMult,1))</f>
        <v>0</v>
      </c>
      <c r="AH453" s="2">
        <f>IF(AND($C453&lt;&gt;"",$E453=CurrentSeason,$F453="REG",ISNUMBER($G453),$G453&lt;CurrentWeek-1,AND($M453&lt;&gt;"",$N453&lt;&gt;"")),1,0)</f>
        <v>0</v>
      </c>
      <c r="AI453" s="2">
        <f>IF($AH453=0,0,IF($G453&gt;=CurrentWeek-1-RecencyWin,RecencyMult,1))</f>
        <v>0</v>
      </c>
      <c r="AJ453" s="2">
        <f>IF($AF453=0,0,IF($G453&gt;=CurrentWeek-RecencyWin,TotRecency,1))</f>
        <v>0</v>
      </c>
      <c r="AK453" s="2">
        <f t="shared" si="9"/>
        <v>0</v>
      </c>
      <c r="AL453" s="2">
        <f t="shared" si="10"/>
        <v>0</v>
      </c>
      <c r="AM453" s="2" t="str">
        <f t="array" ref="AM453">IF($K453="",0,IFERROR(INDEX(CALC!$F$2:$F$33,MATCH($K453,CALC!$A$2:$A$33,0)),0))</f>
        <v/>
      </c>
      <c r="AN453" s="2" t="str">
        <f t="array" ref="AN453">IF($K453="",0,IFERROR(INDEX(CALC!$I$2:$I$33,MATCH($K453,CALC!$A$2:$A$33,0)),0))</f>
        <v/>
      </c>
      <c r="AO453" s="2" t="str">
        <f t="array" ref="AO453">IF($K453="",0,IFERROR(INDEX(CALC!$L$2:$L$33,MATCH($K453,CALC!$A$2:$A$33,0)),0))</f>
        <v/>
      </c>
      <c r="AP453" s="2" t="str">
        <f t="array" ref="AP453">IF($K453="",0,IFERROR(INDEX(CALC!$T$2:$T$33,MATCH($K453,CALC!$A$2:$A$33,0)),0))</f>
        <v/>
      </c>
      <c r="AQ453" s="2" t="str">
        <f t="array" ref="AQ453">IF($K453="",0,IFERROR(INDEX(CALC!$W$2:$W$33,MATCH($K453,CALC!$A$2:$A$33,0)),0))</f>
        <v/>
      </c>
      <c r="AR453" s="2" t="str">
        <f t="array" ref="AR453">IF($K453="",0,IFERROR(INDEX(CALC!$Z$2:$Z$33,MATCH($K453,CALC!$A$2:$A$33,0)),0))</f>
        <v/>
      </c>
      <c r="AS453" s="2" t="str">
        <f t="array" ref="AS453">IF($K453="",0,IFERROR(INDEX(CALC!$AJ$2:$AJ$33,MATCH($K453,CALC!$A$2:$A$33,0)),0))</f>
        <v/>
      </c>
      <c r="AT453" s="2" t="str">
        <f t="array" ref="AT453">IF($K453="",0,IFERROR(INDEX(CALC!$AI$2:$AI$33,MATCH($K453,CALC!$A$2:$A$33,0)),0))</f>
        <v/>
      </c>
      <c r="AU453" s="2">
        <f t="shared" si="11"/>
        <v>0</v>
      </c>
      <c r="AV453" s="2">
        <f t="shared" si="12"/>
        <v>0</v>
      </c>
    </row>
    <row r="454" ht="15.0" customHeight="1">
      <c r="A454" s="2">
        <v>226.0</v>
      </c>
      <c r="B454" s="2" t="s">
        <v>2366</v>
      </c>
      <c r="C454" s="2">
        <f>IFERROR(MATCH($A454,SchedSeq,0),"")</f>
        <v>511</v>
      </c>
      <c r="D454" s="2" t="str">
        <f t="array" ref="D454">IF($C454="","",INDEX(SchedZone,$C454,MAP!$B$6))</f>
        <v>2026_16_GB_CHI</v>
      </c>
      <c r="E454" s="2">
        <f t="array" ref="E454">IF($C454="","",INDEX(SchedZone,$C454,MAP!$B$3))</f>
        <v>2026</v>
      </c>
      <c r="F454" s="2" t="str">
        <f t="array" ref="F454">IF($C454="","",INDEX(SchedZone,$C454,MAP!$B$5))</f>
        <v>REG</v>
      </c>
      <c r="G454" s="2">
        <f t="array" ref="G454">IF($C454="","",INDEX(SchedZone,$C454,MAP!$B$4))</f>
        <v>16</v>
      </c>
      <c r="H454" s="2" t="str">
        <f t="array" ref="H454">IF($C454="","",INDEX(SchedZone,$C454,MAP!$B$10))</f>
        <v>GB</v>
      </c>
      <c r="I454" s="2" t="str">
        <f t="array" ref="I454">IF($H454="","",IF(COUNTIF(Teams,$H454)&gt;0,$H454,IFERROR(INDEX(LISTS!$D$2:$D$12,MATCH($H454,LISTS!$C$2:$C$12,0)),"⚠ "&amp;$H454)))</f>
        <v>GB</v>
      </c>
      <c r="J454" s="2" t="str">
        <f t="array" ref="J454">IF($C454="","",INDEX(SchedZone,$C454,MAP!$B$12))</f>
        <v>CHI</v>
      </c>
      <c r="K454" s="2" t="str">
        <f t="array" ref="K454">IF($J454="","",IF(COUNTIF(Teams,$J454)&gt;0,$J454,IFERROR(INDEX(LISTS!$D$2:$D$12,MATCH($J454,LISTS!$C$2:$C$12,0)),"⚠ "&amp;$J454)))</f>
        <v>CHI</v>
      </c>
      <c r="L454" s="2" t="str">
        <f t="array" ref="L454">IF($C454="","",IF(INDEX(SchedZone,$C454,MAP!$B$14)="Neutral","N",IF($B454="HOME","H","A")))</f>
        <v>A</v>
      </c>
      <c r="M454" s="2" t="str">
        <f t="array" ref="M454">IF($C454="","",IF(INDEX(SchedZone,$C454,MAP!$B$11)="","",INDEX(SchedZone,$C454,MAP!$B$11)))</f>
        <v/>
      </c>
      <c r="N454" s="2" t="str">
        <f t="array" ref="N454">IF($C454="","",IF(INDEX(SchedZone,$C454,MAP!$B$13)="","",INDEX(SchedZone,$C454,MAP!$B$13)))</f>
        <v/>
      </c>
      <c r="O454" s="2">
        <f t="array" ref="O454">IF($C454="","",INDEX(SchedZone,$C454,MAP!$B$15))</f>
        <v>5</v>
      </c>
      <c r="P454" s="2" t="str">
        <f>IF($C454="","",IFERROR(MATCH($E454&amp;"|"&amp;$G454&amp;"|"&amp;$I454,StatsKey,0),""))</f>
        <v/>
      </c>
      <c r="Q454" s="2">
        <f t="array" ref="Q454">IF($P454="",0,INDEX(StatsZone,$P454,MAP!$E$9)+INDEX(StatsZone,$P454,MAP!$E$10)+INDEX(StatsZone,$P454,MAP!$E$11))</f>
        <v>0</v>
      </c>
      <c r="R454" s="2">
        <f t="array" ref="R454">IF($P454="",0,INDEX(StatsZone,$P454,MAP!$E$12))</f>
        <v>0</v>
      </c>
      <c r="S454" s="2">
        <f t="array" ref="S454">IF($P454="",0,INDEX(StatsZone,$P454,MAP!$E$13))</f>
        <v>0</v>
      </c>
      <c r="T454" s="2">
        <f t="shared" si="1"/>
        <v>0</v>
      </c>
      <c r="U454" s="2">
        <f t="array" ref="U454">IF($P454="",0,INDEX(StatsZone,$P454,MAP!$E$14)+INDEX(StatsZone,$P454,MAP!$E$15)+INDEX(StatsZone,$P454,MAP!$E$16))</f>
        <v>0</v>
      </c>
      <c r="V454" s="2">
        <f t="shared" si="2"/>
        <v>0</v>
      </c>
      <c r="W454" s="2">
        <f t="shared" si="3"/>
        <v>0</v>
      </c>
      <c r="X454" s="2">
        <f t="shared" si="4"/>
        <v>0</v>
      </c>
      <c r="Y454" s="2">
        <f t="shared" si="5"/>
        <v>0</v>
      </c>
      <c r="Z454" s="2">
        <f t="shared" si="6"/>
        <v>0</v>
      </c>
      <c r="AA454" s="2">
        <f t="shared" si="7"/>
        <v>-1</v>
      </c>
      <c r="AB454" s="2">
        <f>IF(OR($M454="",$N454=""),0,MEDIAN(-MarginCap,MarginCap,($M454-$N454)-$AA454*HFA_Base))</f>
        <v>0</v>
      </c>
      <c r="AC454" s="2">
        <f t="array" ref="AC454">IF(OR($P454="",INDEX($P$3:$P$722,(ROW()+IF(MOD(ROW()-3,2)=0,1,-1))-3+1)=""),0,MEDIAN(-MarginCap,MarginCap,($T454-$W454)-$AA454*HFA_Base))</f>
        <v>0</v>
      </c>
      <c r="AD454" s="2">
        <f t="shared" si="8"/>
        <v>0</v>
      </c>
      <c r="AE454" s="2">
        <f>IF(OR($M454="",$N454=""),0,IF(AND(WEpa&gt;0,$AD454=1),(1-WEpa)*$AB454+WEpa*$AC454,$AB454))</f>
        <v>0</v>
      </c>
      <c r="AF454" s="2">
        <f>IF(AND($C454&lt;&gt;"",$E454=CurrentSeason,$F454="REG",ISNUMBER($G454),$G454&lt;CurrentWeek,AND($M454&lt;&gt;"",$N454&lt;&gt;"")),1,0)</f>
        <v>0</v>
      </c>
      <c r="AG454" s="2">
        <f>IF($AF454=0,0,IF($G454&gt;=CurrentWeek-RecencyWin,RecencyMult,1))</f>
        <v>0</v>
      </c>
      <c r="AH454" s="2">
        <f>IF(AND($C454&lt;&gt;"",$E454=CurrentSeason,$F454="REG",ISNUMBER($G454),$G454&lt;CurrentWeek-1,AND($M454&lt;&gt;"",$N454&lt;&gt;"")),1,0)</f>
        <v>0</v>
      </c>
      <c r="AI454" s="2">
        <f>IF($AH454=0,0,IF($G454&gt;=CurrentWeek-1-RecencyWin,RecencyMult,1))</f>
        <v>0</v>
      </c>
      <c r="AJ454" s="2">
        <f>IF($AF454=0,0,IF($G454&gt;=CurrentWeek-RecencyWin,TotRecency,1))</f>
        <v>0</v>
      </c>
      <c r="AK454" s="2">
        <f t="shared" si="9"/>
        <v>0</v>
      </c>
      <c r="AL454" s="2">
        <f t="shared" si="10"/>
        <v>0</v>
      </c>
      <c r="AM454" s="2" t="str">
        <f t="array" ref="AM454">IF($K454="",0,IFERROR(INDEX(CALC!$F$2:$F$33,MATCH($K454,CALC!$A$2:$A$33,0)),0))</f>
        <v/>
      </c>
      <c r="AN454" s="2" t="str">
        <f t="array" ref="AN454">IF($K454="",0,IFERROR(INDEX(CALC!$I$2:$I$33,MATCH($K454,CALC!$A$2:$A$33,0)),0))</f>
        <v/>
      </c>
      <c r="AO454" s="2" t="str">
        <f t="array" ref="AO454">IF($K454="",0,IFERROR(INDEX(CALC!$L$2:$L$33,MATCH($K454,CALC!$A$2:$A$33,0)),0))</f>
        <v/>
      </c>
      <c r="AP454" s="2" t="str">
        <f t="array" ref="AP454">IF($K454="",0,IFERROR(INDEX(CALC!$T$2:$T$33,MATCH($K454,CALC!$A$2:$A$33,0)),0))</f>
        <v/>
      </c>
      <c r="AQ454" s="2" t="str">
        <f t="array" ref="AQ454">IF($K454="",0,IFERROR(INDEX(CALC!$W$2:$W$33,MATCH($K454,CALC!$A$2:$A$33,0)),0))</f>
        <v/>
      </c>
      <c r="AR454" s="2" t="str">
        <f t="array" ref="AR454">IF($K454="",0,IFERROR(INDEX(CALC!$Z$2:$Z$33,MATCH($K454,CALC!$A$2:$A$33,0)),0))</f>
        <v/>
      </c>
      <c r="AS454" s="2" t="str">
        <f t="array" ref="AS454">IF($K454="",0,IFERROR(INDEX(CALC!$AJ$2:$AJ$33,MATCH($K454,CALC!$A$2:$A$33,0)),0))</f>
        <v/>
      </c>
      <c r="AT454" s="2" t="str">
        <f t="array" ref="AT454">IF($K454="",0,IFERROR(INDEX(CALC!$AI$2:$AI$33,MATCH($K454,CALC!$A$2:$A$33,0)),0))</f>
        <v/>
      </c>
      <c r="AU454" s="2">
        <f t="shared" si="11"/>
        <v>0</v>
      </c>
      <c r="AV454" s="2">
        <f t="shared" si="12"/>
        <v>0</v>
      </c>
    </row>
    <row r="455" ht="15.0" customHeight="1">
      <c r="A455" s="2">
        <v>227.0</v>
      </c>
      <c r="B455" s="2" t="s">
        <v>2365</v>
      </c>
      <c r="C455" s="2">
        <f>IFERROR(MATCH($A455,SchedSeq,0),"")</f>
        <v>512</v>
      </c>
      <c r="D455" s="2" t="str">
        <f t="array" ref="D455">IF($C455="","",INDEX(SchedZone,$C455,MAP!$B$6))</f>
        <v>2026_16_BUF_DEN</v>
      </c>
      <c r="E455" s="2">
        <f t="array" ref="E455">IF($C455="","",INDEX(SchedZone,$C455,MAP!$B$3))</f>
        <v>2026</v>
      </c>
      <c r="F455" s="2" t="str">
        <f t="array" ref="F455">IF($C455="","",INDEX(SchedZone,$C455,MAP!$B$5))</f>
        <v>REG</v>
      </c>
      <c r="G455" s="2">
        <f t="array" ref="G455">IF($C455="","",INDEX(SchedZone,$C455,MAP!$B$4))</f>
        <v>16</v>
      </c>
      <c r="H455" s="2" t="str">
        <f t="array" ref="H455">IF($C455="","",INDEX(SchedZone,$C455,MAP!$B$12))</f>
        <v>DEN</v>
      </c>
      <c r="I455" s="2" t="str">
        <f t="array" ref="I455">IF($H455="","",IF(COUNTIF(Teams,$H455)&gt;0,$H455,IFERROR(INDEX(LISTS!$D$2:$D$12,MATCH($H455,LISTS!$C$2:$C$12,0)),"⚠ "&amp;$H455)))</f>
        <v>DEN</v>
      </c>
      <c r="J455" s="2" t="str">
        <f t="array" ref="J455">IF($C455="","",INDEX(SchedZone,$C455,MAP!$B$10))</f>
        <v>BUF</v>
      </c>
      <c r="K455" s="2" t="str">
        <f t="array" ref="K455">IF($J455="","",IF(COUNTIF(Teams,$J455)&gt;0,$J455,IFERROR(INDEX(LISTS!$D$2:$D$12,MATCH($J455,LISTS!$C$2:$C$12,0)),"⚠ "&amp;$J455)))</f>
        <v>BUF</v>
      </c>
      <c r="L455" s="2" t="str">
        <f t="array" ref="L455">IF($C455="","",IF(INDEX(SchedZone,$C455,MAP!$B$14)="Neutral","N",IF($B455="HOME","H","A")))</f>
        <v>H</v>
      </c>
      <c r="M455" s="2" t="str">
        <f t="array" ref="M455">IF($C455="","",IF(INDEX(SchedZone,$C455,MAP!$B$13)="","",INDEX(SchedZone,$C455,MAP!$B$13)))</f>
        <v/>
      </c>
      <c r="N455" s="2" t="str">
        <f t="array" ref="N455">IF($C455="","",IF(INDEX(SchedZone,$C455,MAP!$B$11)="","",INDEX(SchedZone,$C455,MAP!$B$11)))</f>
        <v/>
      </c>
      <c r="O455" s="2">
        <f t="array" ref="O455">IF($C455="","",INDEX(SchedZone,$C455,MAP!$B$16))</f>
        <v>5</v>
      </c>
      <c r="P455" s="2" t="str">
        <f>IF($C455="","",IFERROR(MATCH($E455&amp;"|"&amp;$G455&amp;"|"&amp;$I455,StatsKey,0),""))</f>
        <v/>
      </c>
      <c r="Q455" s="2">
        <f t="array" ref="Q455">IF($P455="",0,INDEX(StatsZone,$P455,MAP!$E$9)+INDEX(StatsZone,$P455,MAP!$E$10)+INDEX(StatsZone,$P455,MAP!$E$11))</f>
        <v>0</v>
      </c>
      <c r="R455" s="2">
        <f t="array" ref="R455">IF($P455="",0,INDEX(StatsZone,$P455,MAP!$E$12))</f>
        <v>0</v>
      </c>
      <c r="S455" s="2">
        <f t="array" ref="S455">IF($P455="",0,INDEX(StatsZone,$P455,MAP!$E$13))</f>
        <v>0</v>
      </c>
      <c r="T455" s="2">
        <f t="shared" si="1"/>
        <v>0</v>
      </c>
      <c r="U455" s="2">
        <f t="array" ref="U455">IF($P455="",0,INDEX(StatsZone,$P455,MAP!$E$14)+INDEX(StatsZone,$P455,MAP!$E$15)+INDEX(StatsZone,$P455,MAP!$E$16))</f>
        <v>0</v>
      </c>
      <c r="V455" s="2">
        <f t="shared" si="2"/>
        <v>0</v>
      </c>
      <c r="W455" s="2">
        <f t="shared" si="3"/>
        <v>0</v>
      </c>
      <c r="X455" s="2">
        <f t="shared" si="4"/>
        <v>0</v>
      </c>
      <c r="Y455" s="2">
        <f t="shared" si="5"/>
        <v>0</v>
      </c>
      <c r="Z455" s="2">
        <f t="shared" si="6"/>
        <v>0</v>
      </c>
      <c r="AA455" s="2">
        <f t="shared" si="7"/>
        <v>1</v>
      </c>
      <c r="AB455" s="2">
        <f>IF(OR($M455="",$N455=""),0,MEDIAN(-MarginCap,MarginCap,($M455-$N455)-$AA455*HFA_Base))</f>
        <v>0</v>
      </c>
      <c r="AC455" s="2">
        <f t="array" ref="AC455">IF(OR($P455="",INDEX($P$3:$P$722,(ROW()+IF(MOD(ROW()-3,2)=0,1,-1))-3+1)=""),0,MEDIAN(-MarginCap,MarginCap,($T455-$W455)-$AA455*HFA_Base))</f>
        <v>0</v>
      </c>
      <c r="AD455" s="2">
        <f t="shared" si="8"/>
        <v>0</v>
      </c>
      <c r="AE455" s="2">
        <f>IF(OR($M455="",$N455=""),0,IF(AND(WEpa&gt;0,$AD455=1),(1-WEpa)*$AB455+WEpa*$AC455,$AB455))</f>
        <v>0</v>
      </c>
      <c r="AF455" s="2">
        <f>IF(AND($C455&lt;&gt;"",$E455=CurrentSeason,$F455="REG",ISNUMBER($G455),$G455&lt;CurrentWeek,AND($M455&lt;&gt;"",$N455&lt;&gt;"")),1,0)</f>
        <v>0</v>
      </c>
      <c r="AG455" s="2">
        <f>IF($AF455=0,0,IF($G455&gt;=CurrentWeek-RecencyWin,RecencyMult,1))</f>
        <v>0</v>
      </c>
      <c r="AH455" s="2">
        <f>IF(AND($C455&lt;&gt;"",$E455=CurrentSeason,$F455="REG",ISNUMBER($G455),$G455&lt;CurrentWeek-1,AND($M455&lt;&gt;"",$N455&lt;&gt;"")),1,0)</f>
        <v>0</v>
      </c>
      <c r="AI455" s="2">
        <f>IF($AH455=0,0,IF($G455&gt;=CurrentWeek-1-RecencyWin,RecencyMult,1))</f>
        <v>0</v>
      </c>
      <c r="AJ455" s="2">
        <f>IF($AF455=0,0,IF($G455&gt;=CurrentWeek-RecencyWin,TotRecency,1))</f>
        <v>0</v>
      </c>
      <c r="AK455" s="2">
        <f t="shared" si="9"/>
        <v>0</v>
      </c>
      <c r="AL455" s="2">
        <f t="shared" si="10"/>
        <v>0</v>
      </c>
      <c r="AM455" s="2" t="str">
        <f t="array" ref="AM455">IF($K455="",0,IFERROR(INDEX(CALC!$F$2:$F$33,MATCH($K455,CALC!$A$2:$A$33,0)),0))</f>
        <v/>
      </c>
      <c r="AN455" s="2" t="str">
        <f t="array" ref="AN455">IF($K455="",0,IFERROR(INDEX(CALC!$I$2:$I$33,MATCH($K455,CALC!$A$2:$A$33,0)),0))</f>
        <v/>
      </c>
      <c r="AO455" s="2" t="str">
        <f t="array" ref="AO455">IF($K455="",0,IFERROR(INDEX(CALC!$L$2:$L$33,MATCH($K455,CALC!$A$2:$A$33,0)),0))</f>
        <v/>
      </c>
      <c r="AP455" s="2" t="str">
        <f t="array" ref="AP455">IF($K455="",0,IFERROR(INDEX(CALC!$T$2:$T$33,MATCH($K455,CALC!$A$2:$A$33,0)),0))</f>
        <v/>
      </c>
      <c r="AQ455" s="2" t="str">
        <f t="array" ref="AQ455">IF($K455="",0,IFERROR(INDEX(CALC!$W$2:$W$33,MATCH($K455,CALC!$A$2:$A$33,0)),0))</f>
        <v/>
      </c>
      <c r="AR455" s="2" t="str">
        <f t="array" ref="AR455">IF($K455="",0,IFERROR(INDEX(CALC!$Z$2:$Z$33,MATCH($K455,CALC!$A$2:$A$33,0)),0))</f>
        <v/>
      </c>
      <c r="AS455" s="2" t="str">
        <f t="array" ref="AS455">IF($K455="",0,IFERROR(INDEX(CALC!$AJ$2:$AJ$33,MATCH($K455,CALC!$A$2:$A$33,0)),0))</f>
        <v/>
      </c>
      <c r="AT455" s="2" t="str">
        <f t="array" ref="AT455">IF($K455="",0,IFERROR(INDEX(CALC!$AI$2:$AI$33,MATCH($K455,CALC!$A$2:$A$33,0)),0))</f>
        <v/>
      </c>
      <c r="AU455" s="2">
        <f t="shared" si="11"/>
        <v>0</v>
      </c>
      <c r="AV455" s="2">
        <f t="shared" si="12"/>
        <v>0</v>
      </c>
    </row>
    <row r="456" ht="15.0" customHeight="1">
      <c r="A456" s="2">
        <v>227.0</v>
      </c>
      <c r="B456" s="2" t="s">
        <v>2366</v>
      </c>
      <c r="C456" s="2">
        <f>IFERROR(MATCH($A456,SchedSeq,0),"")</f>
        <v>512</v>
      </c>
      <c r="D456" s="2" t="str">
        <f t="array" ref="D456">IF($C456="","",INDEX(SchedZone,$C456,MAP!$B$6))</f>
        <v>2026_16_BUF_DEN</v>
      </c>
      <c r="E456" s="2">
        <f t="array" ref="E456">IF($C456="","",INDEX(SchedZone,$C456,MAP!$B$3))</f>
        <v>2026</v>
      </c>
      <c r="F456" s="2" t="str">
        <f t="array" ref="F456">IF($C456="","",INDEX(SchedZone,$C456,MAP!$B$5))</f>
        <v>REG</v>
      </c>
      <c r="G456" s="2">
        <f t="array" ref="G456">IF($C456="","",INDEX(SchedZone,$C456,MAP!$B$4))</f>
        <v>16</v>
      </c>
      <c r="H456" s="2" t="str">
        <f t="array" ref="H456">IF($C456="","",INDEX(SchedZone,$C456,MAP!$B$10))</f>
        <v>BUF</v>
      </c>
      <c r="I456" s="2" t="str">
        <f t="array" ref="I456">IF($H456="","",IF(COUNTIF(Teams,$H456)&gt;0,$H456,IFERROR(INDEX(LISTS!$D$2:$D$12,MATCH($H456,LISTS!$C$2:$C$12,0)),"⚠ "&amp;$H456)))</f>
        <v>BUF</v>
      </c>
      <c r="J456" s="2" t="str">
        <f t="array" ref="J456">IF($C456="","",INDEX(SchedZone,$C456,MAP!$B$12))</f>
        <v>DEN</v>
      </c>
      <c r="K456" s="2" t="str">
        <f t="array" ref="K456">IF($J456="","",IF(COUNTIF(Teams,$J456)&gt;0,$J456,IFERROR(INDEX(LISTS!$D$2:$D$12,MATCH($J456,LISTS!$C$2:$C$12,0)),"⚠ "&amp;$J456)))</f>
        <v>DEN</v>
      </c>
      <c r="L456" s="2" t="str">
        <f t="array" ref="L456">IF($C456="","",IF(INDEX(SchedZone,$C456,MAP!$B$14)="Neutral","N",IF($B456="HOME","H","A")))</f>
        <v>A</v>
      </c>
      <c r="M456" s="2" t="str">
        <f t="array" ref="M456">IF($C456="","",IF(INDEX(SchedZone,$C456,MAP!$B$11)="","",INDEX(SchedZone,$C456,MAP!$B$11)))</f>
        <v/>
      </c>
      <c r="N456" s="2" t="str">
        <f t="array" ref="N456">IF($C456="","",IF(INDEX(SchedZone,$C456,MAP!$B$13)="","",INDEX(SchedZone,$C456,MAP!$B$13)))</f>
        <v/>
      </c>
      <c r="O456" s="2">
        <f t="array" ref="O456">IF($C456="","",INDEX(SchedZone,$C456,MAP!$B$15))</f>
        <v>6</v>
      </c>
      <c r="P456" s="2" t="str">
        <f>IF($C456="","",IFERROR(MATCH($E456&amp;"|"&amp;$G456&amp;"|"&amp;$I456,StatsKey,0),""))</f>
        <v/>
      </c>
      <c r="Q456" s="2">
        <f t="array" ref="Q456">IF($P456="",0,INDEX(StatsZone,$P456,MAP!$E$9)+INDEX(StatsZone,$P456,MAP!$E$10)+INDEX(StatsZone,$P456,MAP!$E$11))</f>
        <v>0</v>
      </c>
      <c r="R456" s="2">
        <f t="array" ref="R456">IF($P456="",0,INDEX(StatsZone,$P456,MAP!$E$12))</f>
        <v>0</v>
      </c>
      <c r="S456" s="2">
        <f t="array" ref="S456">IF($P456="",0,INDEX(StatsZone,$P456,MAP!$E$13))</f>
        <v>0</v>
      </c>
      <c r="T456" s="2">
        <f t="shared" si="1"/>
        <v>0</v>
      </c>
      <c r="U456" s="2">
        <f t="array" ref="U456">IF($P456="",0,INDEX(StatsZone,$P456,MAP!$E$14)+INDEX(StatsZone,$P456,MAP!$E$15)+INDEX(StatsZone,$P456,MAP!$E$16))</f>
        <v>0</v>
      </c>
      <c r="V456" s="2">
        <f t="shared" si="2"/>
        <v>0</v>
      </c>
      <c r="W456" s="2">
        <f t="shared" si="3"/>
        <v>0</v>
      </c>
      <c r="X456" s="2">
        <f t="shared" si="4"/>
        <v>0</v>
      </c>
      <c r="Y456" s="2">
        <f t="shared" si="5"/>
        <v>0</v>
      </c>
      <c r="Z456" s="2">
        <f t="shared" si="6"/>
        <v>0</v>
      </c>
      <c r="AA456" s="2">
        <f t="shared" si="7"/>
        <v>-1</v>
      </c>
      <c r="AB456" s="2">
        <f>IF(OR($M456="",$N456=""),0,MEDIAN(-MarginCap,MarginCap,($M456-$N456)-$AA456*HFA_Base))</f>
        <v>0</v>
      </c>
      <c r="AC456" s="2">
        <f t="array" ref="AC456">IF(OR($P456="",INDEX($P$3:$P$722,(ROW()+IF(MOD(ROW()-3,2)=0,1,-1))-3+1)=""),0,MEDIAN(-MarginCap,MarginCap,($T456-$W456)-$AA456*HFA_Base))</f>
        <v>0</v>
      </c>
      <c r="AD456" s="2">
        <f t="shared" si="8"/>
        <v>0</v>
      </c>
      <c r="AE456" s="2">
        <f>IF(OR($M456="",$N456=""),0,IF(AND(WEpa&gt;0,$AD456=1),(1-WEpa)*$AB456+WEpa*$AC456,$AB456))</f>
        <v>0</v>
      </c>
      <c r="AF456" s="2">
        <f>IF(AND($C456&lt;&gt;"",$E456=CurrentSeason,$F456="REG",ISNUMBER($G456),$G456&lt;CurrentWeek,AND($M456&lt;&gt;"",$N456&lt;&gt;"")),1,0)</f>
        <v>0</v>
      </c>
      <c r="AG456" s="2">
        <f>IF($AF456=0,0,IF($G456&gt;=CurrentWeek-RecencyWin,RecencyMult,1))</f>
        <v>0</v>
      </c>
      <c r="AH456" s="2">
        <f>IF(AND($C456&lt;&gt;"",$E456=CurrentSeason,$F456="REG",ISNUMBER($G456),$G456&lt;CurrentWeek-1,AND($M456&lt;&gt;"",$N456&lt;&gt;"")),1,0)</f>
        <v>0</v>
      </c>
      <c r="AI456" s="2">
        <f>IF($AH456=0,0,IF($G456&gt;=CurrentWeek-1-RecencyWin,RecencyMult,1))</f>
        <v>0</v>
      </c>
      <c r="AJ456" s="2">
        <f>IF($AF456=0,0,IF($G456&gt;=CurrentWeek-RecencyWin,TotRecency,1))</f>
        <v>0</v>
      </c>
      <c r="AK456" s="2">
        <f t="shared" si="9"/>
        <v>0</v>
      </c>
      <c r="AL456" s="2">
        <f t="shared" si="10"/>
        <v>0</v>
      </c>
      <c r="AM456" s="2" t="str">
        <f t="array" ref="AM456">IF($K456="",0,IFERROR(INDEX(CALC!$F$2:$F$33,MATCH($K456,CALC!$A$2:$A$33,0)),0))</f>
        <v/>
      </c>
      <c r="AN456" s="2" t="str">
        <f t="array" ref="AN456">IF($K456="",0,IFERROR(INDEX(CALC!$I$2:$I$33,MATCH($K456,CALC!$A$2:$A$33,0)),0))</f>
        <v/>
      </c>
      <c r="AO456" s="2" t="str">
        <f t="array" ref="AO456">IF($K456="",0,IFERROR(INDEX(CALC!$L$2:$L$33,MATCH($K456,CALC!$A$2:$A$33,0)),0))</f>
        <v/>
      </c>
      <c r="AP456" s="2" t="str">
        <f t="array" ref="AP456">IF($K456="",0,IFERROR(INDEX(CALC!$T$2:$T$33,MATCH($K456,CALC!$A$2:$A$33,0)),0))</f>
        <v/>
      </c>
      <c r="AQ456" s="2" t="str">
        <f t="array" ref="AQ456">IF($K456="",0,IFERROR(INDEX(CALC!$W$2:$W$33,MATCH($K456,CALC!$A$2:$A$33,0)),0))</f>
        <v/>
      </c>
      <c r="AR456" s="2" t="str">
        <f t="array" ref="AR456">IF($K456="",0,IFERROR(INDEX(CALC!$Z$2:$Z$33,MATCH($K456,CALC!$A$2:$A$33,0)),0))</f>
        <v/>
      </c>
      <c r="AS456" s="2" t="str">
        <f t="array" ref="AS456">IF($K456="",0,IFERROR(INDEX(CALC!$AJ$2:$AJ$33,MATCH($K456,CALC!$A$2:$A$33,0)),0))</f>
        <v/>
      </c>
      <c r="AT456" s="2" t="str">
        <f t="array" ref="AT456">IF($K456="",0,IFERROR(INDEX(CALC!$AI$2:$AI$33,MATCH($K456,CALC!$A$2:$A$33,0)),0))</f>
        <v/>
      </c>
      <c r="AU456" s="2">
        <f t="shared" si="11"/>
        <v>0</v>
      </c>
      <c r="AV456" s="2">
        <f t="shared" si="12"/>
        <v>0</v>
      </c>
    </row>
    <row r="457" ht="15.0" customHeight="1">
      <c r="A457" s="2">
        <v>228.0</v>
      </c>
      <c r="B457" s="2" t="s">
        <v>2365</v>
      </c>
      <c r="C457" s="2">
        <f>IFERROR(MATCH($A457,SchedSeq,0),"")</f>
        <v>513</v>
      </c>
      <c r="D457" s="2" t="str">
        <f t="array" ref="D457">IF($C457="","",INDEX(SchedZone,$C457,MAP!$B$6))</f>
        <v>2026_16_LA_SEA</v>
      </c>
      <c r="E457" s="2">
        <f t="array" ref="E457">IF($C457="","",INDEX(SchedZone,$C457,MAP!$B$3))</f>
        <v>2026</v>
      </c>
      <c r="F457" s="2" t="str">
        <f t="array" ref="F457">IF($C457="","",INDEX(SchedZone,$C457,MAP!$B$5))</f>
        <v>REG</v>
      </c>
      <c r="G457" s="2">
        <f t="array" ref="G457">IF($C457="","",INDEX(SchedZone,$C457,MAP!$B$4))</f>
        <v>16</v>
      </c>
      <c r="H457" s="2" t="str">
        <f t="array" ref="H457">IF($C457="","",INDEX(SchedZone,$C457,MAP!$B$12))</f>
        <v>SEA</v>
      </c>
      <c r="I457" s="2" t="str">
        <f t="array" ref="I457">IF($H457="","",IF(COUNTIF(Teams,$H457)&gt;0,$H457,IFERROR(INDEX(LISTS!$D$2:$D$12,MATCH($H457,LISTS!$C$2:$C$12,0)),"⚠ "&amp;$H457)))</f>
        <v>SEA</v>
      </c>
      <c r="J457" s="2" t="str">
        <f t="array" ref="J457">IF($C457="","",INDEX(SchedZone,$C457,MAP!$B$10))</f>
        <v>LA</v>
      </c>
      <c r="K457" s="2" t="str">
        <f t="array" ref="K457">IF($J457="","",IF(COUNTIF(Teams,$J457)&gt;0,$J457,IFERROR(INDEX(LISTS!$D$2:$D$12,MATCH($J457,LISTS!$C$2:$C$12,0)),"⚠ "&amp;$J457)))</f>
        <v>LA</v>
      </c>
      <c r="L457" s="2" t="str">
        <f t="array" ref="L457">IF($C457="","",IF(INDEX(SchedZone,$C457,MAP!$B$14)="Neutral","N",IF($B457="HOME","H","A")))</f>
        <v>H</v>
      </c>
      <c r="M457" s="2" t="str">
        <f t="array" ref="M457">IF($C457="","",IF(INDEX(SchedZone,$C457,MAP!$B$13)="","",INDEX(SchedZone,$C457,MAP!$B$13)))</f>
        <v/>
      </c>
      <c r="N457" s="2" t="str">
        <f t="array" ref="N457">IF($C457="","",IF(INDEX(SchedZone,$C457,MAP!$B$11)="","",INDEX(SchedZone,$C457,MAP!$B$11)))</f>
        <v/>
      </c>
      <c r="O457" s="2">
        <f t="array" ref="O457">IF($C457="","",INDEX(SchedZone,$C457,MAP!$B$16))</f>
        <v>6</v>
      </c>
      <c r="P457" s="2" t="str">
        <f>IF($C457="","",IFERROR(MATCH($E457&amp;"|"&amp;$G457&amp;"|"&amp;$I457,StatsKey,0),""))</f>
        <v/>
      </c>
      <c r="Q457" s="2">
        <f t="array" ref="Q457">IF($P457="",0,INDEX(StatsZone,$P457,MAP!$E$9)+INDEX(StatsZone,$P457,MAP!$E$10)+INDEX(StatsZone,$P457,MAP!$E$11))</f>
        <v>0</v>
      </c>
      <c r="R457" s="2">
        <f t="array" ref="R457">IF($P457="",0,INDEX(StatsZone,$P457,MAP!$E$12))</f>
        <v>0</v>
      </c>
      <c r="S457" s="2">
        <f t="array" ref="S457">IF($P457="",0,INDEX(StatsZone,$P457,MAP!$E$13))</f>
        <v>0</v>
      </c>
      <c r="T457" s="2">
        <f t="shared" si="1"/>
        <v>0</v>
      </c>
      <c r="U457" s="2">
        <f t="array" ref="U457">IF($P457="",0,INDEX(StatsZone,$P457,MAP!$E$14)+INDEX(StatsZone,$P457,MAP!$E$15)+INDEX(StatsZone,$P457,MAP!$E$16))</f>
        <v>0</v>
      </c>
      <c r="V457" s="2">
        <f t="shared" si="2"/>
        <v>0</v>
      </c>
      <c r="W457" s="2">
        <f t="shared" si="3"/>
        <v>0</v>
      </c>
      <c r="X457" s="2">
        <f t="shared" si="4"/>
        <v>0</v>
      </c>
      <c r="Y457" s="2">
        <f t="shared" si="5"/>
        <v>0</v>
      </c>
      <c r="Z457" s="2">
        <f t="shared" si="6"/>
        <v>0</v>
      </c>
      <c r="AA457" s="2">
        <f t="shared" si="7"/>
        <v>1</v>
      </c>
      <c r="AB457" s="2">
        <f>IF(OR($M457="",$N457=""),0,MEDIAN(-MarginCap,MarginCap,($M457-$N457)-$AA457*HFA_Base))</f>
        <v>0</v>
      </c>
      <c r="AC457" s="2">
        <f t="array" ref="AC457">IF(OR($P457="",INDEX($P$3:$P$722,(ROW()+IF(MOD(ROW()-3,2)=0,1,-1))-3+1)=""),0,MEDIAN(-MarginCap,MarginCap,($T457-$W457)-$AA457*HFA_Base))</f>
        <v>0</v>
      </c>
      <c r="AD457" s="2">
        <f t="shared" si="8"/>
        <v>0</v>
      </c>
      <c r="AE457" s="2">
        <f>IF(OR($M457="",$N457=""),0,IF(AND(WEpa&gt;0,$AD457=1),(1-WEpa)*$AB457+WEpa*$AC457,$AB457))</f>
        <v>0</v>
      </c>
      <c r="AF457" s="2">
        <f>IF(AND($C457&lt;&gt;"",$E457=CurrentSeason,$F457="REG",ISNUMBER($G457),$G457&lt;CurrentWeek,AND($M457&lt;&gt;"",$N457&lt;&gt;"")),1,0)</f>
        <v>0</v>
      </c>
      <c r="AG457" s="2">
        <f>IF($AF457=0,0,IF($G457&gt;=CurrentWeek-RecencyWin,RecencyMult,1))</f>
        <v>0</v>
      </c>
      <c r="AH457" s="2">
        <f>IF(AND($C457&lt;&gt;"",$E457=CurrentSeason,$F457="REG",ISNUMBER($G457),$G457&lt;CurrentWeek-1,AND($M457&lt;&gt;"",$N457&lt;&gt;"")),1,0)</f>
        <v>0</v>
      </c>
      <c r="AI457" s="2">
        <f>IF($AH457=0,0,IF($G457&gt;=CurrentWeek-1-RecencyWin,RecencyMult,1))</f>
        <v>0</v>
      </c>
      <c r="AJ457" s="2">
        <f>IF($AF457=0,0,IF($G457&gt;=CurrentWeek-RecencyWin,TotRecency,1))</f>
        <v>0</v>
      </c>
      <c r="AK457" s="2">
        <f t="shared" si="9"/>
        <v>0</v>
      </c>
      <c r="AL457" s="2">
        <f t="shared" si="10"/>
        <v>0</v>
      </c>
      <c r="AM457" s="2" t="str">
        <f t="array" ref="AM457">IF($K457="",0,IFERROR(INDEX(CALC!$F$2:$F$33,MATCH($K457,CALC!$A$2:$A$33,0)),0))</f>
        <v/>
      </c>
      <c r="AN457" s="2" t="str">
        <f t="array" ref="AN457">IF($K457="",0,IFERROR(INDEX(CALC!$I$2:$I$33,MATCH($K457,CALC!$A$2:$A$33,0)),0))</f>
        <v/>
      </c>
      <c r="AO457" s="2" t="str">
        <f t="array" ref="AO457">IF($K457="",0,IFERROR(INDEX(CALC!$L$2:$L$33,MATCH($K457,CALC!$A$2:$A$33,0)),0))</f>
        <v/>
      </c>
      <c r="AP457" s="2" t="str">
        <f t="array" ref="AP457">IF($K457="",0,IFERROR(INDEX(CALC!$T$2:$T$33,MATCH($K457,CALC!$A$2:$A$33,0)),0))</f>
        <v/>
      </c>
      <c r="AQ457" s="2" t="str">
        <f t="array" ref="AQ457">IF($K457="",0,IFERROR(INDEX(CALC!$W$2:$W$33,MATCH($K457,CALC!$A$2:$A$33,0)),0))</f>
        <v/>
      </c>
      <c r="AR457" s="2" t="str">
        <f t="array" ref="AR457">IF($K457="",0,IFERROR(INDEX(CALC!$Z$2:$Z$33,MATCH($K457,CALC!$A$2:$A$33,0)),0))</f>
        <v/>
      </c>
      <c r="AS457" s="2" t="str">
        <f t="array" ref="AS457">IF($K457="",0,IFERROR(INDEX(CALC!$AJ$2:$AJ$33,MATCH($K457,CALC!$A$2:$A$33,0)),0))</f>
        <v/>
      </c>
      <c r="AT457" s="2" t="str">
        <f t="array" ref="AT457">IF($K457="",0,IFERROR(INDEX(CALC!$AI$2:$AI$33,MATCH($K457,CALC!$A$2:$A$33,0)),0))</f>
        <v/>
      </c>
      <c r="AU457" s="2">
        <f t="shared" si="11"/>
        <v>0</v>
      </c>
      <c r="AV457" s="2">
        <f t="shared" si="12"/>
        <v>0</v>
      </c>
    </row>
    <row r="458" ht="15.0" customHeight="1">
      <c r="A458" s="2">
        <v>228.0</v>
      </c>
      <c r="B458" s="2" t="s">
        <v>2366</v>
      </c>
      <c r="C458" s="2">
        <f>IFERROR(MATCH($A458,SchedSeq,0),"")</f>
        <v>513</v>
      </c>
      <c r="D458" s="2" t="str">
        <f t="array" ref="D458">IF($C458="","",INDEX(SchedZone,$C458,MAP!$B$6))</f>
        <v>2026_16_LA_SEA</v>
      </c>
      <c r="E458" s="2">
        <f t="array" ref="E458">IF($C458="","",INDEX(SchedZone,$C458,MAP!$B$3))</f>
        <v>2026</v>
      </c>
      <c r="F458" s="2" t="str">
        <f t="array" ref="F458">IF($C458="","",INDEX(SchedZone,$C458,MAP!$B$5))</f>
        <v>REG</v>
      </c>
      <c r="G458" s="2">
        <f t="array" ref="G458">IF($C458="","",INDEX(SchedZone,$C458,MAP!$B$4))</f>
        <v>16</v>
      </c>
      <c r="H458" s="2" t="str">
        <f t="array" ref="H458">IF($C458="","",INDEX(SchedZone,$C458,MAP!$B$10))</f>
        <v>LA</v>
      </c>
      <c r="I458" s="2" t="str">
        <f t="array" ref="I458">IF($H458="","",IF(COUNTIF(Teams,$H458)&gt;0,$H458,IFERROR(INDEX(LISTS!$D$2:$D$12,MATCH($H458,LISTS!$C$2:$C$12,0)),"⚠ "&amp;$H458)))</f>
        <v>LA</v>
      </c>
      <c r="J458" s="2" t="str">
        <f t="array" ref="J458">IF($C458="","",INDEX(SchedZone,$C458,MAP!$B$12))</f>
        <v>SEA</v>
      </c>
      <c r="K458" s="2" t="str">
        <f t="array" ref="K458">IF($J458="","",IF(COUNTIF(Teams,$J458)&gt;0,$J458,IFERROR(INDEX(LISTS!$D$2:$D$12,MATCH($J458,LISTS!$C$2:$C$12,0)),"⚠ "&amp;$J458)))</f>
        <v>SEA</v>
      </c>
      <c r="L458" s="2" t="str">
        <f t="array" ref="L458">IF($C458="","",IF(INDEX(SchedZone,$C458,MAP!$B$14)="Neutral","N",IF($B458="HOME","H","A")))</f>
        <v>A</v>
      </c>
      <c r="M458" s="2" t="str">
        <f t="array" ref="M458">IF($C458="","",IF(INDEX(SchedZone,$C458,MAP!$B$11)="","",INDEX(SchedZone,$C458,MAP!$B$11)))</f>
        <v/>
      </c>
      <c r="N458" s="2" t="str">
        <f t="array" ref="N458">IF($C458="","",IF(INDEX(SchedZone,$C458,MAP!$B$13)="","",INDEX(SchedZone,$C458,MAP!$B$13)))</f>
        <v/>
      </c>
      <c r="O458" s="2">
        <f t="array" ref="O458">IF($C458="","",INDEX(SchedZone,$C458,MAP!$B$15))</f>
        <v>5</v>
      </c>
      <c r="P458" s="2" t="str">
        <f>IF($C458="","",IFERROR(MATCH($E458&amp;"|"&amp;$G458&amp;"|"&amp;$I458,StatsKey,0),""))</f>
        <v/>
      </c>
      <c r="Q458" s="2">
        <f t="array" ref="Q458">IF($P458="",0,INDEX(StatsZone,$P458,MAP!$E$9)+INDEX(StatsZone,$P458,MAP!$E$10)+INDEX(StatsZone,$P458,MAP!$E$11))</f>
        <v>0</v>
      </c>
      <c r="R458" s="2">
        <f t="array" ref="R458">IF($P458="",0,INDEX(StatsZone,$P458,MAP!$E$12))</f>
        <v>0</v>
      </c>
      <c r="S458" s="2">
        <f t="array" ref="S458">IF($P458="",0,INDEX(StatsZone,$P458,MAP!$E$13))</f>
        <v>0</v>
      </c>
      <c r="T458" s="2">
        <f t="shared" si="1"/>
        <v>0</v>
      </c>
      <c r="U458" s="2">
        <f t="array" ref="U458">IF($P458="",0,INDEX(StatsZone,$P458,MAP!$E$14)+INDEX(StatsZone,$P458,MAP!$E$15)+INDEX(StatsZone,$P458,MAP!$E$16))</f>
        <v>0</v>
      </c>
      <c r="V458" s="2">
        <f t="shared" si="2"/>
        <v>0</v>
      </c>
      <c r="W458" s="2">
        <f t="shared" si="3"/>
        <v>0</v>
      </c>
      <c r="X458" s="2">
        <f t="shared" si="4"/>
        <v>0</v>
      </c>
      <c r="Y458" s="2">
        <f t="shared" si="5"/>
        <v>0</v>
      </c>
      <c r="Z458" s="2">
        <f t="shared" si="6"/>
        <v>0</v>
      </c>
      <c r="AA458" s="2">
        <f t="shared" si="7"/>
        <v>-1</v>
      </c>
      <c r="AB458" s="2">
        <f>IF(OR($M458="",$N458=""),0,MEDIAN(-MarginCap,MarginCap,($M458-$N458)-$AA458*HFA_Base))</f>
        <v>0</v>
      </c>
      <c r="AC458" s="2">
        <f t="array" ref="AC458">IF(OR($P458="",INDEX($P$3:$P$722,(ROW()+IF(MOD(ROW()-3,2)=0,1,-1))-3+1)=""),0,MEDIAN(-MarginCap,MarginCap,($T458-$W458)-$AA458*HFA_Base))</f>
        <v>0</v>
      </c>
      <c r="AD458" s="2">
        <f t="shared" si="8"/>
        <v>0</v>
      </c>
      <c r="AE458" s="2">
        <f>IF(OR($M458="",$N458=""),0,IF(AND(WEpa&gt;0,$AD458=1),(1-WEpa)*$AB458+WEpa*$AC458,$AB458))</f>
        <v>0</v>
      </c>
      <c r="AF458" s="2">
        <f>IF(AND($C458&lt;&gt;"",$E458=CurrentSeason,$F458="REG",ISNUMBER($G458),$G458&lt;CurrentWeek,AND($M458&lt;&gt;"",$N458&lt;&gt;"")),1,0)</f>
        <v>0</v>
      </c>
      <c r="AG458" s="2">
        <f>IF($AF458=0,0,IF($G458&gt;=CurrentWeek-RecencyWin,RecencyMult,1))</f>
        <v>0</v>
      </c>
      <c r="AH458" s="2">
        <f>IF(AND($C458&lt;&gt;"",$E458=CurrentSeason,$F458="REG",ISNUMBER($G458),$G458&lt;CurrentWeek-1,AND($M458&lt;&gt;"",$N458&lt;&gt;"")),1,0)</f>
        <v>0</v>
      </c>
      <c r="AI458" s="2">
        <f>IF($AH458=0,0,IF($G458&gt;=CurrentWeek-1-RecencyWin,RecencyMult,1))</f>
        <v>0</v>
      </c>
      <c r="AJ458" s="2">
        <f>IF($AF458=0,0,IF($G458&gt;=CurrentWeek-RecencyWin,TotRecency,1))</f>
        <v>0</v>
      </c>
      <c r="AK458" s="2">
        <f t="shared" si="9"/>
        <v>0</v>
      </c>
      <c r="AL458" s="2">
        <f t="shared" si="10"/>
        <v>0</v>
      </c>
      <c r="AM458" s="2" t="str">
        <f t="array" ref="AM458">IF($K458="",0,IFERROR(INDEX(CALC!$F$2:$F$33,MATCH($K458,CALC!$A$2:$A$33,0)),0))</f>
        <v/>
      </c>
      <c r="AN458" s="2" t="str">
        <f t="array" ref="AN458">IF($K458="",0,IFERROR(INDEX(CALC!$I$2:$I$33,MATCH($K458,CALC!$A$2:$A$33,0)),0))</f>
        <v/>
      </c>
      <c r="AO458" s="2" t="str">
        <f t="array" ref="AO458">IF($K458="",0,IFERROR(INDEX(CALC!$L$2:$L$33,MATCH($K458,CALC!$A$2:$A$33,0)),0))</f>
        <v/>
      </c>
      <c r="AP458" s="2" t="str">
        <f t="array" ref="AP458">IF($K458="",0,IFERROR(INDEX(CALC!$T$2:$T$33,MATCH($K458,CALC!$A$2:$A$33,0)),0))</f>
        <v/>
      </c>
      <c r="AQ458" s="2" t="str">
        <f t="array" ref="AQ458">IF($K458="",0,IFERROR(INDEX(CALC!$W$2:$W$33,MATCH($K458,CALC!$A$2:$A$33,0)),0))</f>
        <v/>
      </c>
      <c r="AR458" s="2" t="str">
        <f t="array" ref="AR458">IF($K458="",0,IFERROR(INDEX(CALC!$Z$2:$Z$33,MATCH($K458,CALC!$A$2:$A$33,0)),0))</f>
        <v/>
      </c>
      <c r="AS458" s="2" t="str">
        <f t="array" ref="AS458">IF($K458="",0,IFERROR(INDEX(CALC!$AJ$2:$AJ$33,MATCH($K458,CALC!$A$2:$A$33,0)),0))</f>
        <v/>
      </c>
      <c r="AT458" s="2" t="str">
        <f t="array" ref="AT458">IF($K458="",0,IFERROR(INDEX(CALC!$AI$2:$AI$33,MATCH($K458,CALC!$A$2:$A$33,0)),0))</f>
        <v/>
      </c>
      <c r="AU458" s="2">
        <f t="shared" si="11"/>
        <v>0</v>
      </c>
      <c r="AV458" s="2">
        <f t="shared" si="12"/>
        <v>0</v>
      </c>
    </row>
    <row r="459" ht="15.0" customHeight="1">
      <c r="A459" s="2">
        <v>229.0</v>
      </c>
      <c r="B459" s="2" t="s">
        <v>2365</v>
      </c>
      <c r="C459" s="2">
        <f>IFERROR(MATCH($A459,SchedSeq,0),"")</f>
        <v>514</v>
      </c>
      <c r="D459" s="2" t="str">
        <f t="array" ref="D459">IF($C459="","",INDEX(SchedZone,$C459,MAP!$B$6))</f>
        <v>2026_16_TB_ATL</v>
      </c>
      <c r="E459" s="2">
        <f t="array" ref="E459">IF($C459="","",INDEX(SchedZone,$C459,MAP!$B$3))</f>
        <v>2026</v>
      </c>
      <c r="F459" s="2" t="str">
        <f t="array" ref="F459">IF($C459="","",INDEX(SchedZone,$C459,MAP!$B$5))</f>
        <v>REG</v>
      </c>
      <c r="G459" s="2">
        <f t="array" ref="G459">IF($C459="","",INDEX(SchedZone,$C459,MAP!$B$4))</f>
        <v>16</v>
      </c>
      <c r="H459" s="2" t="str">
        <f t="array" ref="H459">IF($C459="","",INDEX(SchedZone,$C459,MAP!$B$12))</f>
        <v>ATL</v>
      </c>
      <c r="I459" s="2" t="str">
        <f t="array" ref="I459">IF($H459="","",IF(COUNTIF(Teams,$H459)&gt;0,$H459,IFERROR(INDEX(LISTS!$D$2:$D$12,MATCH($H459,LISTS!$C$2:$C$12,0)),"⚠ "&amp;$H459)))</f>
        <v>ATL</v>
      </c>
      <c r="J459" s="2" t="str">
        <f t="array" ref="J459">IF($C459="","",INDEX(SchedZone,$C459,MAP!$B$10))</f>
        <v>TB</v>
      </c>
      <c r="K459" s="2" t="str">
        <f t="array" ref="K459">IF($J459="","",IF(COUNTIF(Teams,$J459)&gt;0,$J459,IFERROR(INDEX(LISTS!$D$2:$D$12,MATCH($J459,LISTS!$C$2:$C$12,0)),"⚠ "&amp;$J459)))</f>
        <v>TB</v>
      </c>
      <c r="L459" s="2" t="str">
        <f t="array" ref="L459">IF($C459="","",IF(INDEX(SchedZone,$C459,MAP!$B$14)="Neutral","N",IF($B459="HOME","H","A")))</f>
        <v>H</v>
      </c>
      <c r="M459" s="2" t="str">
        <f t="array" ref="M459">IF($C459="","",IF(INDEX(SchedZone,$C459,MAP!$B$13)="","",INDEX(SchedZone,$C459,MAP!$B$13)))</f>
        <v/>
      </c>
      <c r="N459" s="2" t="str">
        <f t="array" ref="N459">IF($C459="","",IF(INDEX(SchedZone,$C459,MAP!$B$11)="","",INDEX(SchedZone,$C459,MAP!$B$11)))</f>
        <v/>
      </c>
      <c r="O459" s="2">
        <f t="array" ref="O459">IF($C459="","",INDEX(SchedZone,$C459,MAP!$B$16))</f>
        <v>7</v>
      </c>
      <c r="P459" s="2" t="str">
        <f>IF($C459="","",IFERROR(MATCH($E459&amp;"|"&amp;$G459&amp;"|"&amp;$I459,StatsKey,0),""))</f>
        <v/>
      </c>
      <c r="Q459" s="2">
        <f t="array" ref="Q459">IF($P459="",0,INDEX(StatsZone,$P459,MAP!$E$9)+INDEX(StatsZone,$P459,MAP!$E$10)+INDEX(StatsZone,$P459,MAP!$E$11))</f>
        <v>0</v>
      </c>
      <c r="R459" s="2">
        <f t="array" ref="R459">IF($P459="",0,INDEX(StatsZone,$P459,MAP!$E$12))</f>
        <v>0</v>
      </c>
      <c r="S459" s="2">
        <f t="array" ref="S459">IF($P459="",0,INDEX(StatsZone,$P459,MAP!$E$13))</f>
        <v>0</v>
      </c>
      <c r="T459" s="2">
        <f t="shared" si="1"/>
        <v>0</v>
      </c>
      <c r="U459" s="2">
        <f t="array" ref="U459">IF($P459="",0,INDEX(StatsZone,$P459,MAP!$E$14)+INDEX(StatsZone,$P459,MAP!$E$15)+INDEX(StatsZone,$P459,MAP!$E$16))</f>
        <v>0</v>
      </c>
      <c r="V459" s="2">
        <f t="shared" si="2"/>
        <v>0</v>
      </c>
      <c r="W459" s="2">
        <f t="shared" si="3"/>
        <v>0</v>
      </c>
      <c r="X459" s="2">
        <f t="shared" si="4"/>
        <v>0</v>
      </c>
      <c r="Y459" s="2">
        <f t="shared" si="5"/>
        <v>0</v>
      </c>
      <c r="Z459" s="2">
        <f t="shared" si="6"/>
        <v>0</v>
      </c>
      <c r="AA459" s="2">
        <f t="shared" si="7"/>
        <v>1</v>
      </c>
      <c r="AB459" s="2">
        <f>IF(OR($M459="",$N459=""),0,MEDIAN(-MarginCap,MarginCap,($M459-$N459)-$AA459*HFA_Base))</f>
        <v>0</v>
      </c>
      <c r="AC459" s="2">
        <f t="array" ref="AC459">IF(OR($P459="",INDEX($P$3:$P$722,(ROW()+IF(MOD(ROW()-3,2)=0,1,-1))-3+1)=""),0,MEDIAN(-MarginCap,MarginCap,($T459-$W459)-$AA459*HFA_Base))</f>
        <v>0</v>
      </c>
      <c r="AD459" s="2">
        <f t="shared" si="8"/>
        <v>0</v>
      </c>
      <c r="AE459" s="2">
        <f>IF(OR($M459="",$N459=""),0,IF(AND(WEpa&gt;0,$AD459=1),(1-WEpa)*$AB459+WEpa*$AC459,$AB459))</f>
        <v>0</v>
      </c>
      <c r="AF459" s="2">
        <f>IF(AND($C459&lt;&gt;"",$E459=CurrentSeason,$F459="REG",ISNUMBER($G459),$G459&lt;CurrentWeek,AND($M459&lt;&gt;"",$N459&lt;&gt;"")),1,0)</f>
        <v>0</v>
      </c>
      <c r="AG459" s="2">
        <f>IF($AF459=0,0,IF($G459&gt;=CurrentWeek-RecencyWin,RecencyMult,1))</f>
        <v>0</v>
      </c>
      <c r="AH459" s="2">
        <f>IF(AND($C459&lt;&gt;"",$E459=CurrentSeason,$F459="REG",ISNUMBER($G459),$G459&lt;CurrentWeek-1,AND($M459&lt;&gt;"",$N459&lt;&gt;"")),1,0)</f>
        <v>0</v>
      </c>
      <c r="AI459" s="2">
        <f>IF($AH459=0,0,IF($G459&gt;=CurrentWeek-1-RecencyWin,RecencyMult,1))</f>
        <v>0</v>
      </c>
      <c r="AJ459" s="2">
        <f>IF($AF459=0,0,IF($G459&gt;=CurrentWeek-RecencyWin,TotRecency,1))</f>
        <v>0</v>
      </c>
      <c r="AK459" s="2">
        <f t="shared" si="9"/>
        <v>0</v>
      </c>
      <c r="AL459" s="2">
        <f t="shared" si="10"/>
        <v>0</v>
      </c>
      <c r="AM459" s="2" t="str">
        <f t="array" ref="AM459">IF($K459="",0,IFERROR(INDEX(CALC!$F$2:$F$33,MATCH($K459,CALC!$A$2:$A$33,0)),0))</f>
        <v/>
      </c>
      <c r="AN459" s="2" t="str">
        <f t="array" ref="AN459">IF($K459="",0,IFERROR(INDEX(CALC!$I$2:$I$33,MATCH($K459,CALC!$A$2:$A$33,0)),0))</f>
        <v/>
      </c>
      <c r="AO459" s="2" t="str">
        <f t="array" ref="AO459">IF($K459="",0,IFERROR(INDEX(CALC!$L$2:$L$33,MATCH($K459,CALC!$A$2:$A$33,0)),0))</f>
        <v/>
      </c>
      <c r="AP459" s="2" t="str">
        <f t="array" ref="AP459">IF($K459="",0,IFERROR(INDEX(CALC!$T$2:$T$33,MATCH($K459,CALC!$A$2:$A$33,0)),0))</f>
        <v/>
      </c>
      <c r="AQ459" s="2" t="str">
        <f t="array" ref="AQ459">IF($K459="",0,IFERROR(INDEX(CALC!$W$2:$W$33,MATCH($K459,CALC!$A$2:$A$33,0)),0))</f>
        <v/>
      </c>
      <c r="AR459" s="2" t="str">
        <f t="array" ref="AR459">IF($K459="",0,IFERROR(INDEX(CALC!$Z$2:$Z$33,MATCH($K459,CALC!$A$2:$A$33,0)),0))</f>
        <v/>
      </c>
      <c r="AS459" s="2" t="str">
        <f t="array" ref="AS459">IF($K459="",0,IFERROR(INDEX(CALC!$AJ$2:$AJ$33,MATCH($K459,CALC!$A$2:$A$33,0)),0))</f>
        <v/>
      </c>
      <c r="AT459" s="2" t="str">
        <f t="array" ref="AT459">IF($K459="",0,IFERROR(INDEX(CALC!$AI$2:$AI$33,MATCH($K459,CALC!$A$2:$A$33,0)),0))</f>
        <v/>
      </c>
      <c r="AU459" s="2">
        <f t="shared" si="11"/>
        <v>0</v>
      </c>
      <c r="AV459" s="2">
        <f t="shared" si="12"/>
        <v>0</v>
      </c>
    </row>
    <row r="460" ht="15.0" customHeight="1">
      <c r="A460" s="2">
        <v>229.0</v>
      </c>
      <c r="B460" s="2" t="s">
        <v>2366</v>
      </c>
      <c r="C460" s="2">
        <f>IFERROR(MATCH($A460,SchedSeq,0),"")</f>
        <v>514</v>
      </c>
      <c r="D460" s="2" t="str">
        <f t="array" ref="D460">IF($C460="","",INDEX(SchedZone,$C460,MAP!$B$6))</f>
        <v>2026_16_TB_ATL</v>
      </c>
      <c r="E460" s="2">
        <f t="array" ref="E460">IF($C460="","",INDEX(SchedZone,$C460,MAP!$B$3))</f>
        <v>2026</v>
      </c>
      <c r="F460" s="2" t="str">
        <f t="array" ref="F460">IF($C460="","",INDEX(SchedZone,$C460,MAP!$B$5))</f>
        <v>REG</v>
      </c>
      <c r="G460" s="2">
        <f t="array" ref="G460">IF($C460="","",INDEX(SchedZone,$C460,MAP!$B$4))</f>
        <v>16</v>
      </c>
      <c r="H460" s="2" t="str">
        <f t="array" ref="H460">IF($C460="","",INDEX(SchedZone,$C460,MAP!$B$10))</f>
        <v>TB</v>
      </c>
      <c r="I460" s="2" t="str">
        <f t="array" ref="I460">IF($H460="","",IF(COUNTIF(Teams,$H460)&gt;0,$H460,IFERROR(INDEX(LISTS!$D$2:$D$12,MATCH($H460,LISTS!$C$2:$C$12,0)),"⚠ "&amp;$H460)))</f>
        <v>TB</v>
      </c>
      <c r="J460" s="2" t="str">
        <f t="array" ref="J460">IF($C460="","",INDEX(SchedZone,$C460,MAP!$B$12))</f>
        <v>ATL</v>
      </c>
      <c r="K460" s="2" t="str">
        <f t="array" ref="K460">IF($J460="","",IF(COUNTIF(Teams,$J460)&gt;0,$J460,IFERROR(INDEX(LISTS!$D$2:$D$12,MATCH($J460,LISTS!$C$2:$C$12,0)),"⚠ "&amp;$J460)))</f>
        <v>ATL</v>
      </c>
      <c r="L460" s="2" t="str">
        <f t="array" ref="L460">IF($C460="","",IF(INDEX(SchedZone,$C460,MAP!$B$14)="Neutral","N",IF($B460="HOME","H","A")))</f>
        <v>A</v>
      </c>
      <c r="M460" s="2" t="str">
        <f t="array" ref="M460">IF($C460="","",IF(INDEX(SchedZone,$C460,MAP!$B$11)="","",INDEX(SchedZone,$C460,MAP!$B$11)))</f>
        <v/>
      </c>
      <c r="N460" s="2" t="str">
        <f t="array" ref="N460">IF($C460="","",IF(INDEX(SchedZone,$C460,MAP!$B$13)="","",INDEX(SchedZone,$C460,MAP!$B$13)))</f>
        <v/>
      </c>
      <c r="O460" s="2">
        <f t="array" ref="O460">IF($C460="","",INDEX(SchedZone,$C460,MAP!$B$15))</f>
        <v>7</v>
      </c>
      <c r="P460" s="2" t="str">
        <f>IF($C460="","",IFERROR(MATCH($E460&amp;"|"&amp;$G460&amp;"|"&amp;$I460,StatsKey,0),""))</f>
        <v/>
      </c>
      <c r="Q460" s="2">
        <f t="array" ref="Q460">IF($P460="",0,INDEX(StatsZone,$P460,MAP!$E$9)+INDEX(StatsZone,$P460,MAP!$E$10)+INDEX(StatsZone,$P460,MAP!$E$11))</f>
        <v>0</v>
      </c>
      <c r="R460" s="2">
        <f t="array" ref="R460">IF($P460="",0,INDEX(StatsZone,$P460,MAP!$E$12))</f>
        <v>0</v>
      </c>
      <c r="S460" s="2">
        <f t="array" ref="S460">IF($P460="",0,INDEX(StatsZone,$P460,MAP!$E$13))</f>
        <v>0</v>
      </c>
      <c r="T460" s="2">
        <f t="shared" si="1"/>
        <v>0</v>
      </c>
      <c r="U460" s="2">
        <f t="array" ref="U460">IF($P460="",0,INDEX(StatsZone,$P460,MAP!$E$14)+INDEX(StatsZone,$P460,MAP!$E$15)+INDEX(StatsZone,$P460,MAP!$E$16))</f>
        <v>0</v>
      </c>
      <c r="V460" s="2">
        <f t="shared" si="2"/>
        <v>0</v>
      </c>
      <c r="W460" s="2">
        <f t="shared" si="3"/>
        <v>0</v>
      </c>
      <c r="X460" s="2">
        <f t="shared" si="4"/>
        <v>0</v>
      </c>
      <c r="Y460" s="2">
        <f t="shared" si="5"/>
        <v>0</v>
      </c>
      <c r="Z460" s="2">
        <f t="shared" si="6"/>
        <v>0</v>
      </c>
      <c r="AA460" s="2">
        <f t="shared" si="7"/>
        <v>-1</v>
      </c>
      <c r="AB460" s="2">
        <f>IF(OR($M460="",$N460=""),0,MEDIAN(-MarginCap,MarginCap,($M460-$N460)-$AA460*HFA_Base))</f>
        <v>0</v>
      </c>
      <c r="AC460" s="2">
        <f t="array" ref="AC460">IF(OR($P460="",INDEX($P$3:$P$722,(ROW()+IF(MOD(ROW()-3,2)=0,1,-1))-3+1)=""),0,MEDIAN(-MarginCap,MarginCap,($T460-$W460)-$AA460*HFA_Base))</f>
        <v>0</v>
      </c>
      <c r="AD460" s="2">
        <f t="shared" si="8"/>
        <v>0</v>
      </c>
      <c r="AE460" s="2">
        <f>IF(OR($M460="",$N460=""),0,IF(AND(WEpa&gt;0,$AD460=1),(1-WEpa)*$AB460+WEpa*$AC460,$AB460))</f>
        <v>0</v>
      </c>
      <c r="AF460" s="2">
        <f>IF(AND($C460&lt;&gt;"",$E460=CurrentSeason,$F460="REG",ISNUMBER($G460),$G460&lt;CurrentWeek,AND($M460&lt;&gt;"",$N460&lt;&gt;"")),1,0)</f>
        <v>0</v>
      </c>
      <c r="AG460" s="2">
        <f>IF($AF460=0,0,IF($G460&gt;=CurrentWeek-RecencyWin,RecencyMult,1))</f>
        <v>0</v>
      </c>
      <c r="AH460" s="2">
        <f>IF(AND($C460&lt;&gt;"",$E460=CurrentSeason,$F460="REG",ISNUMBER($G460),$G460&lt;CurrentWeek-1,AND($M460&lt;&gt;"",$N460&lt;&gt;"")),1,0)</f>
        <v>0</v>
      </c>
      <c r="AI460" s="2">
        <f>IF($AH460=0,0,IF($G460&gt;=CurrentWeek-1-RecencyWin,RecencyMult,1))</f>
        <v>0</v>
      </c>
      <c r="AJ460" s="2">
        <f>IF($AF460=0,0,IF($G460&gt;=CurrentWeek-RecencyWin,TotRecency,1))</f>
        <v>0</v>
      </c>
      <c r="AK460" s="2">
        <f t="shared" si="9"/>
        <v>0</v>
      </c>
      <c r="AL460" s="2">
        <f t="shared" si="10"/>
        <v>0</v>
      </c>
      <c r="AM460" s="2" t="str">
        <f t="array" ref="AM460">IF($K460="",0,IFERROR(INDEX(CALC!$F$2:$F$33,MATCH($K460,CALC!$A$2:$A$33,0)),0))</f>
        <v/>
      </c>
      <c r="AN460" s="2" t="str">
        <f t="array" ref="AN460">IF($K460="",0,IFERROR(INDEX(CALC!$I$2:$I$33,MATCH($K460,CALC!$A$2:$A$33,0)),0))</f>
        <v/>
      </c>
      <c r="AO460" s="2" t="str">
        <f t="array" ref="AO460">IF($K460="",0,IFERROR(INDEX(CALC!$L$2:$L$33,MATCH($K460,CALC!$A$2:$A$33,0)),0))</f>
        <v/>
      </c>
      <c r="AP460" s="2" t="str">
        <f t="array" ref="AP460">IF($K460="",0,IFERROR(INDEX(CALC!$T$2:$T$33,MATCH($K460,CALC!$A$2:$A$33,0)),0))</f>
        <v/>
      </c>
      <c r="AQ460" s="2" t="str">
        <f t="array" ref="AQ460">IF($K460="",0,IFERROR(INDEX(CALC!$W$2:$W$33,MATCH($K460,CALC!$A$2:$A$33,0)),0))</f>
        <v/>
      </c>
      <c r="AR460" s="2" t="str">
        <f t="array" ref="AR460">IF($K460="",0,IFERROR(INDEX(CALC!$Z$2:$Z$33,MATCH($K460,CALC!$A$2:$A$33,0)),0))</f>
        <v/>
      </c>
      <c r="AS460" s="2" t="str">
        <f t="array" ref="AS460">IF($K460="",0,IFERROR(INDEX(CALC!$AJ$2:$AJ$33,MATCH($K460,CALC!$A$2:$A$33,0)),0))</f>
        <v/>
      </c>
      <c r="AT460" s="2" t="str">
        <f t="array" ref="AT460">IF($K460="",0,IFERROR(INDEX(CALC!$AI$2:$AI$33,MATCH($K460,CALC!$A$2:$A$33,0)),0))</f>
        <v/>
      </c>
      <c r="AU460" s="2">
        <f t="shared" si="11"/>
        <v>0</v>
      </c>
      <c r="AV460" s="2">
        <f t="shared" si="12"/>
        <v>0</v>
      </c>
    </row>
    <row r="461" ht="15.0" customHeight="1">
      <c r="A461" s="2">
        <v>230.0</v>
      </c>
      <c r="B461" s="2" t="s">
        <v>2365</v>
      </c>
      <c r="C461" s="2">
        <f>IFERROR(MATCH($A461,SchedSeq,0),"")</f>
        <v>515</v>
      </c>
      <c r="D461" s="2" t="str">
        <f t="array" ref="D461">IF($C461="","",INDEX(SchedZone,$C461,MAP!$B$6))</f>
        <v>2026_16_CLE_BAL</v>
      </c>
      <c r="E461" s="2">
        <f t="array" ref="E461">IF($C461="","",INDEX(SchedZone,$C461,MAP!$B$3))</f>
        <v>2026</v>
      </c>
      <c r="F461" s="2" t="str">
        <f t="array" ref="F461">IF($C461="","",INDEX(SchedZone,$C461,MAP!$B$5))</f>
        <v>REG</v>
      </c>
      <c r="G461" s="2">
        <f t="array" ref="G461">IF($C461="","",INDEX(SchedZone,$C461,MAP!$B$4))</f>
        <v>16</v>
      </c>
      <c r="H461" s="2" t="str">
        <f t="array" ref="H461">IF($C461="","",INDEX(SchedZone,$C461,MAP!$B$12))</f>
        <v>BAL</v>
      </c>
      <c r="I461" s="2" t="str">
        <f t="array" ref="I461">IF($H461="","",IF(COUNTIF(Teams,$H461)&gt;0,$H461,IFERROR(INDEX(LISTS!$D$2:$D$12,MATCH($H461,LISTS!$C$2:$C$12,0)),"⚠ "&amp;$H461)))</f>
        <v>BAL</v>
      </c>
      <c r="J461" s="2" t="str">
        <f t="array" ref="J461">IF($C461="","",INDEX(SchedZone,$C461,MAP!$B$10))</f>
        <v>CLE</v>
      </c>
      <c r="K461" s="2" t="str">
        <f t="array" ref="K461">IF($J461="","",IF(COUNTIF(Teams,$J461)&gt;0,$J461,IFERROR(INDEX(LISTS!$D$2:$D$12,MATCH($J461,LISTS!$C$2:$C$12,0)),"⚠ "&amp;$J461)))</f>
        <v>CLE</v>
      </c>
      <c r="L461" s="2" t="str">
        <f t="array" ref="L461">IF($C461="","",IF(INDEX(SchedZone,$C461,MAP!$B$14)="Neutral","N",IF($B461="HOME","H","A")))</f>
        <v>H</v>
      </c>
      <c r="M461" s="2" t="str">
        <f t="array" ref="M461">IF($C461="","",IF(INDEX(SchedZone,$C461,MAP!$B$13)="","",INDEX(SchedZone,$C461,MAP!$B$13)))</f>
        <v/>
      </c>
      <c r="N461" s="2" t="str">
        <f t="array" ref="N461">IF($C461="","",IF(INDEX(SchedZone,$C461,MAP!$B$11)="","",INDEX(SchedZone,$C461,MAP!$B$11)))</f>
        <v/>
      </c>
      <c r="O461" s="2">
        <f t="array" ref="O461">IF($C461="","",INDEX(SchedZone,$C461,MAP!$B$16))</f>
        <v>7</v>
      </c>
      <c r="P461" s="2" t="str">
        <f>IF($C461="","",IFERROR(MATCH($E461&amp;"|"&amp;$G461&amp;"|"&amp;$I461,StatsKey,0),""))</f>
        <v/>
      </c>
      <c r="Q461" s="2">
        <f t="array" ref="Q461">IF($P461="",0,INDEX(StatsZone,$P461,MAP!$E$9)+INDEX(StatsZone,$P461,MAP!$E$10)+INDEX(StatsZone,$P461,MAP!$E$11))</f>
        <v>0</v>
      </c>
      <c r="R461" s="2">
        <f t="array" ref="R461">IF($P461="",0,INDEX(StatsZone,$P461,MAP!$E$12))</f>
        <v>0</v>
      </c>
      <c r="S461" s="2">
        <f t="array" ref="S461">IF($P461="",0,INDEX(StatsZone,$P461,MAP!$E$13))</f>
        <v>0</v>
      </c>
      <c r="T461" s="2">
        <f t="shared" si="1"/>
        <v>0</v>
      </c>
      <c r="U461" s="2">
        <f t="array" ref="U461">IF($P461="",0,INDEX(StatsZone,$P461,MAP!$E$14)+INDEX(StatsZone,$P461,MAP!$E$15)+INDEX(StatsZone,$P461,MAP!$E$16))</f>
        <v>0</v>
      </c>
      <c r="V461" s="2">
        <f t="shared" si="2"/>
        <v>0</v>
      </c>
      <c r="W461" s="2">
        <f t="shared" si="3"/>
        <v>0</v>
      </c>
      <c r="X461" s="2">
        <f t="shared" si="4"/>
        <v>0</v>
      </c>
      <c r="Y461" s="2">
        <f t="shared" si="5"/>
        <v>0</v>
      </c>
      <c r="Z461" s="2">
        <f t="shared" si="6"/>
        <v>0</v>
      </c>
      <c r="AA461" s="2">
        <f t="shared" si="7"/>
        <v>1</v>
      </c>
      <c r="AB461" s="2">
        <f>IF(OR($M461="",$N461=""),0,MEDIAN(-MarginCap,MarginCap,($M461-$N461)-$AA461*HFA_Base))</f>
        <v>0</v>
      </c>
      <c r="AC461" s="2">
        <f t="array" ref="AC461">IF(OR($P461="",INDEX($P$3:$P$722,(ROW()+IF(MOD(ROW()-3,2)=0,1,-1))-3+1)=""),0,MEDIAN(-MarginCap,MarginCap,($T461-$W461)-$AA461*HFA_Base))</f>
        <v>0</v>
      </c>
      <c r="AD461" s="2">
        <f t="shared" si="8"/>
        <v>0</v>
      </c>
      <c r="AE461" s="2">
        <f>IF(OR($M461="",$N461=""),0,IF(AND(WEpa&gt;0,$AD461=1),(1-WEpa)*$AB461+WEpa*$AC461,$AB461))</f>
        <v>0</v>
      </c>
      <c r="AF461" s="2">
        <f>IF(AND($C461&lt;&gt;"",$E461=CurrentSeason,$F461="REG",ISNUMBER($G461),$G461&lt;CurrentWeek,AND($M461&lt;&gt;"",$N461&lt;&gt;"")),1,0)</f>
        <v>0</v>
      </c>
      <c r="AG461" s="2">
        <f>IF($AF461=0,0,IF($G461&gt;=CurrentWeek-RecencyWin,RecencyMult,1))</f>
        <v>0</v>
      </c>
      <c r="AH461" s="2">
        <f>IF(AND($C461&lt;&gt;"",$E461=CurrentSeason,$F461="REG",ISNUMBER($G461),$G461&lt;CurrentWeek-1,AND($M461&lt;&gt;"",$N461&lt;&gt;"")),1,0)</f>
        <v>0</v>
      </c>
      <c r="AI461" s="2">
        <f>IF($AH461=0,0,IF($G461&gt;=CurrentWeek-1-RecencyWin,RecencyMult,1))</f>
        <v>0</v>
      </c>
      <c r="AJ461" s="2">
        <f>IF($AF461=0,0,IF($G461&gt;=CurrentWeek-RecencyWin,TotRecency,1))</f>
        <v>0</v>
      </c>
      <c r="AK461" s="2">
        <f t="shared" si="9"/>
        <v>0</v>
      </c>
      <c r="AL461" s="2">
        <f t="shared" si="10"/>
        <v>0</v>
      </c>
      <c r="AM461" s="2" t="str">
        <f t="array" ref="AM461">IF($K461="",0,IFERROR(INDEX(CALC!$F$2:$F$33,MATCH($K461,CALC!$A$2:$A$33,0)),0))</f>
        <v/>
      </c>
      <c r="AN461" s="2" t="str">
        <f t="array" ref="AN461">IF($K461="",0,IFERROR(INDEX(CALC!$I$2:$I$33,MATCH($K461,CALC!$A$2:$A$33,0)),0))</f>
        <v/>
      </c>
      <c r="AO461" s="2" t="str">
        <f t="array" ref="AO461">IF($K461="",0,IFERROR(INDEX(CALC!$L$2:$L$33,MATCH($K461,CALC!$A$2:$A$33,0)),0))</f>
        <v/>
      </c>
      <c r="AP461" s="2" t="str">
        <f t="array" ref="AP461">IF($K461="",0,IFERROR(INDEX(CALC!$T$2:$T$33,MATCH($K461,CALC!$A$2:$A$33,0)),0))</f>
        <v/>
      </c>
      <c r="AQ461" s="2" t="str">
        <f t="array" ref="AQ461">IF($K461="",0,IFERROR(INDEX(CALC!$W$2:$W$33,MATCH($K461,CALC!$A$2:$A$33,0)),0))</f>
        <v/>
      </c>
      <c r="AR461" s="2" t="str">
        <f t="array" ref="AR461">IF($K461="",0,IFERROR(INDEX(CALC!$Z$2:$Z$33,MATCH($K461,CALC!$A$2:$A$33,0)),0))</f>
        <v/>
      </c>
      <c r="AS461" s="2" t="str">
        <f t="array" ref="AS461">IF($K461="",0,IFERROR(INDEX(CALC!$AJ$2:$AJ$33,MATCH($K461,CALC!$A$2:$A$33,0)),0))</f>
        <v/>
      </c>
      <c r="AT461" s="2" t="str">
        <f t="array" ref="AT461">IF($K461="",0,IFERROR(INDEX(CALC!$AI$2:$AI$33,MATCH($K461,CALC!$A$2:$A$33,0)),0))</f>
        <v/>
      </c>
      <c r="AU461" s="2">
        <f t="shared" si="11"/>
        <v>0</v>
      </c>
      <c r="AV461" s="2">
        <f t="shared" si="12"/>
        <v>0</v>
      </c>
    </row>
    <row r="462" ht="15.0" customHeight="1">
      <c r="A462" s="2">
        <v>230.0</v>
      </c>
      <c r="B462" s="2" t="s">
        <v>2366</v>
      </c>
      <c r="C462" s="2">
        <f>IFERROR(MATCH($A462,SchedSeq,0),"")</f>
        <v>515</v>
      </c>
      <c r="D462" s="2" t="str">
        <f t="array" ref="D462">IF($C462="","",INDEX(SchedZone,$C462,MAP!$B$6))</f>
        <v>2026_16_CLE_BAL</v>
      </c>
      <c r="E462" s="2">
        <f t="array" ref="E462">IF($C462="","",INDEX(SchedZone,$C462,MAP!$B$3))</f>
        <v>2026</v>
      </c>
      <c r="F462" s="2" t="str">
        <f t="array" ref="F462">IF($C462="","",INDEX(SchedZone,$C462,MAP!$B$5))</f>
        <v>REG</v>
      </c>
      <c r="G462" s="2">
        <f t="array" ref="G462">IF($C462="","",INDEX(SchedZone,$C462,MAP!$B$4))</f>
        <v>16</v>
      </c>
      <c r="H462" s="2" t="str">
        <f t="array" ref="H462">IF($C462="","",INDEX(SchedZone,$C462,MAP!$B$10))</f>
        <v>CLE</v>
      </c>
      <c r="I462" s="2" t="str">
        <f t="array" ref="I462">IF($H462="","",IF(COUNTIF(Teams,$H462)&gt;0,$H462,IFERROR(INDEX(LISTS!$D$2:$D$12,MATCH($H462,LISTS!$C$2:$C$12,0)),"⚠ "&amp;$H462)))</f>
        <v>CLE</v>
      </c>
      <c r="J462" s="2" t="str">
        <f t="array" ref="J462">IF($C462="","",INDEX(SchedZone,$C462,MAP!$B$12))</f>
        <v>BAL</v>
      </c>
      <c r="K462" s="2" t="str">
        <f t="array" ref="K462">IF($J462="","",IF(COUNTIF(Teams,$J462)&gt;0,$J462,IFERROR(INDEX(LISTS!$D$2:$D$12,MATCH($J462,LISTS!$C$2:$C$12,0)),"⚠ "&amp;$J462)))</f>
        <v>BAL</v>
      </c>
      <c r="L462" s="2" t="str">
        <f t="array" ref="L462">IF($C462="","",IF(INDEX(SchedZone,$C462,MAP!$B$14)="Neutral","N",IF($B462="HOME","H","A")))</f>
        <v>A</v>
      </c>
      <c r="M462" s="2" t="str">
        <f t="array" ref="M462">IF($C462="","",IF(INDEX(SchedZone,$C462,MAP!$B$11)="","",INDEX(SchedZone,$C462,MAP!$B$11)))</f>
        <v/>
      </c>
      <c r="N462" s="2" t="str">
        <f t="array" ref="N462">IF($C462="","",IF(INDEX(SchedZone,$C462,MAP!$B$13)="","",INDEX(SchedZone,$C462,MAP!$B$13)))</f>
        <v/>
      </c>
      <c r="O462" s="2">
        <f t="array" ref="O462">IF($C462="","",INDEX(SchedZone,$C462,MAP!$B$15))</f>
        <v>7</v>
      </c>
      <c r="P462" s="2" t="str">
        <f>IF($C462="","",IFERROR(MATCH($E462&amp;"|"&amp;$G462&amp;"|"&amp;$I462,StatsKey,0),""))</f>
        <v/>
      </c>
      <c r="Q462" s="2">
        <f t="array" ref="Q462">IF($P462="",0,INDEX(StatsZone,$P462,MAP!$E$9)+INDEX(StatsZone,$P462,MAP!$E$10)+INDEX(StatsZone,$P462,MAP!$E$11))</f>
        <v>0</v>
      </c>
      <c r="R462" s="2">
        <f t="array" ref="R462">IF($P462="",0,INDEX(StatsZone,$P462,MAP!$E$12))</f>
        <v>0</v>
      </c>
      <c r="S462" s="2">
        <f t="array" ref="S462">IF($P462="",0,INDEX(StatsZone,$P462,MAP!$E$13))</f>
        <v>0</v>
      </c>
      <c r="T462" s="2">
        <f t="shared" si="1"/>
        <v>0</v>
      </c>
      <c r="U462" s="2">
        <f t="array" ref="U462">IF($P462="",0,INDEX(StatsZone,$P462,MAP!$E$14)+INDEX(StatsZone,$P462,MAP!$E$15)+INDEX(StatsZone,$P462,MAP!$E$16))</f>
        <v>0</v>
      </c>
      <c r="V462" s="2">
        <f t="shared" si="2"/>
        <v>0</v>
      </c>
      <c r="W462" s="2">
        <f t="shared" si="3"/>
        <v>0</v>
      </c>
      <c r="X462" s="2">
        <f t="shared" si="4"/>
        <v>0</v>
      </c>
      <c r="Y462" s="2">
        <f t="shared" si="5"/>
        <v>0</v>
      </c>
      <c r="Z462" s="2">
        <f t="shared" si="6"/>
        <v>0</v>
      </c>
      <c r="AA462" s="2">
        <f t="shared" si="7"/>
        <v>-1</v>
      </c>
      <c r="AB462" s="2">
        <f>IF(OR($M462="",$N462=""),0,MEDIAN(-MarginCap,MarginCap,($M462-$N462)-$AA462*HFA_Base))</f>
        <v>0</v>
      </c>
      <c r="AC462" s="2">
        <f t="array" ref="AC462">IF(OR($P462="",INDEX($P$3:$P$722,(ROW()+IF(MOD(ROW()-3,2)=0,1,-1))-3+1)=""),0,MEDIAN(-MarginCap,MarginCap,($T462-$W462)-$AA462*HFA_Base))</f>
        <v>0</v>
      </c>
      <c r="AD462" s="2">
        <f t="shared" si="8"/>
        <v>0</v>
      </c>
      <c r="AE462" s="2">
        <f>IF(OR($M462="",$N462=""),0,IF(AND(WEpa&gt;0,$AD462=1),(1-WEpa)*$AB462+WEpa*$AC462,$AB462))</f>
        <v>0</v>
      </c>
      <c r="AF462" s="2">
        <f>IF(AND($C462&lt;&gt;"",$E462=CurrentSeason,$F462="REG",ISNUMBER($G462),$G462&lt;CurrentWeek,AND($M462&lt;&gt;"",$N462&lt;&gt;"")),1,0)</f>
        <v>0</v>
      </c>
      <c r="AG462" s="2">
        <f>IF($AF462=0,0,IF($G462&gt;=CurrentWeek-RecencyWin,RecencyMult,1))</f>
        <v>0</v>
      </c>
      <c r="AH462" s="2">
        <f>IF(AND($C462&lt;&gt;"",$E462=CurrentSeason,$F462="REG",ISNUMBER($G462),$G462&lt;CurrentWeek-1,AND($M462&lt;&gt;"",$N462&lt;&gt;"")),1,0)</f>
        <v>0</v>
      </c>
      <c r="AI462" s="2">
        <f>IF($AH462=0,0,IF($G462&gt;=CurrentWeek-1-RecencyWin,RecencyMult,1))</f>
        <v>0</v>
      </c>
      <c r="AJ462" s="2">
        <f>IF($AF462=0,0,IF($G462&gt;=CurrentWeek-RecencyWin,TotRecency,1))</f>
        <v>0</v>
      </c>
      <c r="AK462" s="2">
        <f t="shared" si="9"/>
        <v>0</v>
      </c>
      <c r="AL462" s="2">
        <f t="shared" si="10"/>
        <v>0</v>
      </c>
      <c r="AM462" s="2" t="str">
        <f t="array" ref="AM462">IF($K462="",0,IFERROR(INDEX(CALC!$F$2:$F$33,MATCH($K462,CALC!$A$2:$A$33,0)),0))</f>
        <v/>
      </c>
      <c r="AN462" s="2" t="str">
        <f t="array" ref="AN462">IF($K462="",0,IFERROR(INDEX(CALC!$I$2:$I$33,MATCH($K462,CALC!$A$2:$A$33,0)),0))</f>
        <v/>
      </c>
      <c r="AO462" s="2" t="str">
        <f t="array" ref="AO462">IF($K462="",0,IFERROR(INDEX(CALC!$L$2:$L$33,MATCH($K462,CALC!$A$2:$A$33,0)),0))</f>
        <v/>
      </c>
      <c r="AP462" s="2" t="str">
        <f t="array" ref="AP462">IF($K462="",0,IFERROR(INDEX(CALC!$T$2:$T$33,MATCH($K462,CALC!$A$2:$A$33,0)),0))</f>
        <v/>
      </c>
      <c r="AQ462" s="2" t="str">
        <f t="array" ref="AQ462">IF($K462="",0,IFERROR(INDEX(CALC!$W$2:$W$33,MATCH($K462,CALC!$A$2:$A$33,0)),0))</f>
        <v/>
      </c>
      <c r="AR462" s="2" t="str">
        <f t="array" ref="AR462">IF($K462="",0,IFERROR(INDEX(CALC!$Z$2:$Z$33,MATCH($K462,CALC!$A$2:$A$33,0)),0))</f>
        <v/>
      </c>
      <c r="AS462" s="2" t="str">
        <f t="array" ref="AS462">IF($K462="",0,IFERROR(INDEX(CALC!$AJ$2:$AJ$33,MATCH($K462,CALC!$A$2:$A$33,0)),0))</f>
        <v/>
      </c>
      <c r="AT462" s="2" t="str">
        <f t="array" ref="AT462">IF($K462="",0,IFERROR(INDEX(CALC!$AI$2:$AI$33,MATCH($K462,CALC!$A$2:$A$33,0)),0))</f>
        <v/>
      </c>
      <c r="AU462" s="2">
        <f t="shared" si="11"/>
        <v>0</v>
      </c>
      <c r="AV462" s="2">
        <f t="shared" si="12"/>
        <v>0</v>
      </c>
    </row>
    <row r="463" ht="15.0" customHeight="1">
      <c r="A463" s="2">
        <v>231.0</v>
      </c>
      <c r="B463" s="2" t="s">
        <v>2365</v>
      </c>
      <c r="C463" s="2">
        <f>IFERROR(MATCH($A463,SchedSeq,0),"")</f>
        <v>516</v>
      </c>
      <c r="D463" s="2" t="str">
        <f t="array" ref="D463">IF($C463="","",INDEX(SchedZone,$C463,MAP!$B$6))</f>
        <v>2026_16_CIN_IND</v>
      </c>
      <c r="E463" s="2">
        <f t="array" ref="E463">IF($C463="","",INDEX(SchedZone,$C463,MAP!$B$3))</f>
        <v>2026</v>
      </c>
      <c r="F463" s="2" t="str">
        <f t="array" ref="F463">IF($C463="","",INDEX(SchedZone,$C463,MAP!$B$5))</f>
        <v>REG</v>
      </c>
      <c r="G463" s="2">
        <f t="array" ref="G463">IF($C463="","",INDEX(SchedZone,$C463,MAP!$B$4))</f>
        <v>16</v>
      </c>
      <c r="H463" s="2" t="str">
        <f t="array" ref="H463">IF($C463="","",INDEX(SchedZone,$C463,MAP!$B$12))</f>
        <v>IND</v>
      </c>
      <c r="I463" s="2" t="str">
        <f t="array" ref="I463">IF($H463="","",IF(COUNTIF(Teams,$H463)&gt;0,$H463,IFERROR(INDEX(LISTS!$D$2:$D$12,MATCH($H463,LISTS!$C$2:$C$12,0)),"⚠ "&amp;$H463)))</f>
        <v>IND</v>
      </c>
      <c r="J463" s="2" t="str">
        <f t="array" ref="J463">IF($C463="","",INDEX(SchedZone,$C463,MAP!$B$10))</f>
        <v>CIN</v>
      </c>
      <c r="K463" s="2" t="str">
        <f t="array" ref="K463">IF($J463="","",IF(COUNTIF(Teams,$J463)&gt;0,$J463,IFERROR(INDEX(LISTS!$D$2:$D$12,MATCH($J463,LISTS!$C$2:$C$12,0)),"⚠ "&amp;$J463)))</f>
        <v>CIN</v>
      </c>
      <c r="L463" s="2" t="str">
        <f t="array" ref="L463">IF($C463="","",IF(INDEX(SchedZone,$C463,MAP!$B$14)="Neutral","N",IF($B463="HOME","H","A")))</f>
        <v>H</v>
      </c>
      <c r="M463" s="2" t="str">
        <f t="array" ref="M463">IF($C463="","",IF(INDEX(SchedZone,$C463,MAP!$B$13)="","",INDEX(SchedZone,$C463,MAP!$B$13)))</f>
        <v/>
      </c>
      <c r="N463" s="2" t="str">
        <f t="array" ref="N463">IF($C463="","",IF(INDEX(SchedZone,$C463,MAP!$B$11)="","",INDEX(SchedZone,$C463,MAP!$B$11)))</f>
        <v/>
      </c>
      <c r="O463" s="2">
        <f t="array" ref="O463">IF($C463="","",INDEX(SchedZone,$C463,MAP!$B$16))</f>
        <v>7</v>
      </c>
      <c r="P463" s="2" t="str">
        <f>IF($C463="","",IFERROR(MATCH($E463&amp;"|"&amp;$G463&amp;"|"&amp;$I463,StatsKey,0),""))</f>
        <v/>
      </c>
      <c r="Q463" s="2">
        <f t="array" ref="Q463">IF($P463="",0,INDEX(StatsZone,$P463,MAP!$E$9)+INDEX(StatsZone,$P463,MAP!$E$10)+INDEX(StatsZone,$P463,MAP!$E$11))</f>
        <v>0</v>
      </c>
      <c r="R463" s="2">
        <f t="array" ref="R463">IF($P463="",0,INDEX(StatsZone,$P463,MAP!$E$12))</f>
        <v>0</v>
      </c>
      <c r="S463" s="2">
        <f t="array" ref="S463">IF($P463="",0,INDEX(StatsZone,$P463,MAP!$E$13))</f>
        <v>0</v>
      </c>
      <c r="T463" s="2">
        <f t="shared" si="1"/>
        <v>0</v>
      </c>
      <c r="U463" s="2">
        <f t="array" ref="U463">IF($P463="",0,INDEX(StatsZone,$P463,MAP!$E$14)+INDEX(StatsZone,$P463,MAP!$E$15)+INDEX(StatsZone,$P463,MAP!$E$16))</f>
        <v>0</v>
      </c>
      <c r="V463" s="2">
        <f t="shared" si="2"/>
        <v>0</v>
      </c>
      <c r="W463" s="2">
        <f t="shared" si="3"/>
        <v>0</v>
      </c>
      <c r="X463" s="2">
        <f t="shared" si="4"/>
        <v>0</v>
      </c>
      <c r="Y463" s="2">
        <f t="shared" si="5"/>
        <v>0</v>
      </c>
      <c r="Z463" s="2">
        <f t="shared" si="6"/>
        <v>0</v>
      </c>
      <c r="AA463" s="2">
        <f t="shared" si="7"/>
        <v>1</v>
      </c>
      <c r="AB463" s="2">
        <f>IF(OR($M463="",$N463=""),0,MEDIAN(-MarginCap,MarginCap,($M463-$N463)-$AA463*HFA_Base))</f>
        <v>0</v>
      </c>
      <c r="AC463" s="2">
        <f t="array" ref="AC463">IF(OR($P463="",INDEX($P$3:$P$722,(ROW()+IF(MOD(ROW()-3,2)=0,1,-1))-3+1)=""),0,MEDIAN(-MarginCap,MarginCap,($T463-$W463)-$AA463*HFA_Base))</f>
        <v>0</v>
      </c>
      <c r="AD463" s="2">
        <f t="shared" si="8"/>
        <v>0</v>
      </c>
      <c r="AE463" s="2">
        <f>IF(OR($M463="",$N463=""),0,IF(AND(WEpa&gt;0,$AD463=1),(1-WEpa)*$AB463+WEpa*$AC463,$AB463))</f>
        <v>0</v>
      </c>
      <c r="AF463" s="2">
        <f>IF(AND($C463&lt;&gt;"",$E463=CurrentSeason,$F463="REG",ISNUMBER($G463),$G463&lt;CurrentWeek,AND($M463&lt;&gt;"",$N463&lt;&gt;"")),1,0)</f>
        <v>0</v>
      </c>
      <c r="AG463" s="2">
        <f>IF($AF463=0,0,IF($G463&gt;=CurrentWeek-RecencyWin,RecencyMult,1))</f>
        <v>0</v>
      </c>
      <c r="AH463" s="2">
        <f>IF(AND($C463&lt;&gt;"",$E463=CurrentSeason,$F463="REG",ISNUMBER($G463),$G463&lt;CurrentWeek-1,AND($M463&lt;&gt;"",$N463&lt;&gt;"")),1,0)</f>
        <v>0</v>
      </c>
      <c r="AI463" s="2">
        <f>IF($AH463=0,0,IF($G463&gt;=CurrentWeek-1-RecencyWin,RecencyMult,1))</f>
        <v>0</v>
      </c>
      <c r="AJ463" s="2">
        <f>IF($AF463=0,0,IF($G463&gt;=CurrentWeek-RecencyWin,TotRecency,1))</f>
        <v>0</v>
      </c>
      <c r="AK463" s="2">
        <f t="shared" si="9"/>
        <v>0</v>
      </c>
      <c r="AL463" s="2">
        <f t="shared" si="10"/>
        <v>0</v>
      </c>
      <c r="AM463" s="2" t="str">
        <f t="array" ref="AM463">IF($K463="",0,IFERROR(INDEX(CALC!$F$2:$F$33,MATCH($K463,CALC!$A$2:$A$33,0)),0))</f>
        <v/>
      </c>
      <c r="AN463" s="2" t="str">
        <f t="array" ref="AN463">IF($K463="",0,IFERROR(INDEX(CALC!$I$2:$I$33,MATCH($K463,CALC!$A$2:$A$33,0)),0))</f>
        <v/>
      </c>
      <c r="AO463" s="2" t="str">
        <f t="array" ref="AO463">IF($K463="",0,IFERROR(INDEX(CALC!$L$2:$L$33,MATCH($K463,CALC!$A$2:$A$33,0)),0))</f>
        <v/>
      </c>
      <c r="AP463" s="2" t="str">
        <f t="array" ref="AP463">IF($K463="",0,IFERROR(INDEX(CALC!$T$2:$T$33,MATCH($K463,CALC!$A$2:$A$33,0)),0))</f>
        <v/>
      </c>
      <c r="AQ463" s="2" t="str">
        <f t="array" ref="AQ463">IF($K463="",0,IFERROR(INDEX(CALC!$W$2:$W$33,MATCH($K463,CALC!$A$2:$A$33,0)),0))</f>
        <v/>
      </c>
      <c r="AR463" s="2" t="str">
        <f t="array" ref="AR463">IF($K463="",0,IFERROR(INDEX(CALC!$Z$2:$Z$33,MATCH($K463,CALC!$A$2:$A$33,0)),0))</f>
        <v/>
      </c>
      <c r="AS463" s="2" t="str">
        <f t="array" ref="AS463">IF($K463="",0,IFERROR(INDEX(CALC!$AJ$2:$AJ$33,MATCH($K463,CALC!$A$2:$A$33,0)),0))</f>
        <v/>
      </c>
      <c r="AT463" s="2" t="str">
        <f t="array" ref="AT463">IF($K463="",0,IFERROR(INDEX(CALC!$AI$2:$AI$33,MATCH($K463,CALC!$A$2:$A$33,0)),0))</f>
        <v/>
      </c>
      <c r="AU463" s="2">
        <f t="shared" si="11"/>
        <v>0</v>
      </c>
      <c r="AV463" s="2">
        <f t="shared" si="12"/>
        <v>0</v>
      </c>
    </row>
    <row r="464" ht="15.0" customHeight="1">
      <c r="A464" s="2">
        <v>231.0</v>
      </c>
      <c r="B464" s="2" t="s">
        <v>2366</v>
      </c>
      <c r="C464" s="2">
        <f>IFERROR(MATCH($A464,SchedSeq,0),"")</f>
        <v>516</v>
      </c>
      <c r="D464" s="2" t="str">
        <f t="array" ref="D464">IF($C464="","",INDEX(SchedZone,$C464,MAP!$B$6))</f>
        <v>2026_16_CIN_IND</v>
      </c>
      <c r="E464" s="2">
        <f t="array" ref="E464">IF($C464="","",INDEX(SchedZone,$C464,MAP!$B$3))</f>
        <v>2026</v>
      </c>
      <c r="F464" s="2" t="str">
        <f t="array" ref="F464">IF($C464="","",INDEX(SchedZone,$C464,MAP!$B$5))</f>
        <v>REG</v>
      </c>
      <c r="G464" s="2">
        <f t="array" ref="G464">IF($C464="","",INDEX(SchedZone,$C464,MAP!$B$4))</f>
        <v>16</v>
      </c>
      <c r="H464" s="2" t="str">
        <f t="array" ref="H464">IF($C464="","",INDEX(SchedZone,$C464,MAP!$B$10))</f>
        <v>CIN</v>
      </c>
      <c r="I464" s="2" t="str">
        <f t="array" ref="I464">IF($H464="","",IF(COUNTIF(Teams,$H464)&gt;0,$H464,IFERROR(INDEX(LISTS!$D$2:$D$12,MATCH($H464,LISTS!$C$2:$C$12,0)),"⚠ "&amp;$H464)))</f>
        <v>CIN</v>
      </c>
      <c r="J464" s="2" t="str">
        <f t="array" ref="J464">IF($C464="","",INDEX(SchedZone,$C464,MAP!$B$12))</f>
        <v>IND</v>
      </c>
      <c r="K464" s="2" t="str">
        <f t="array" ref="K464">IF($J464="","",IF(COUNTIF(Teams,$J464)&gt;0,$J464,IFERROR(INDEX(LISTS!$D$2:$D$12,MATCH($J464,LISTS!$C$2:$C$12,0)),"⚠ "&amp;$J464)))</f>
        <v>IND</v>
      </c>
      <c r="L464" s="2" t="str">
        <f t="array" ref="L464">IF($C464="","",IF(INDEX(SchedZone,$C464,MAP!$B$14)="Neutral","N",IF($B464="HOME","H","A")))</f>
        <v>A</v>
      </c>
      <c r="M464" s="2" t="str">
        <f t="array" ref="M464">IF($C464="","",IF(INDEX(SchedZone,$C464,MAP!$B$11)="","",INDEX(SchedZone,$C464,MAP!$B$11)))</f>
        <v/>
      </c>
      <c r="N464" s="2" t="str">
        <f t="array" ref="N464">IF($C464="","",IF(INDEX(SchedZone,$C464,MAP!$B$13)="","",INDEX(SchedZone,$C464,MAP!$B$13)))</f>
        <v/>
      </c>
      <c r="O464" s="2">
        <f t="array" ref="O464">IF($C464="","",INDEX(SchedZone,$C464,MAP!$B$15))</f>
        <v>7</v>
      </c>
      <c r="P464" s="2" t="str">
        <f>IF($C464="","",IFERROR(MATCH($E464&amp;"|"&amp;$G464&amp;"|"&amp;$I464,StatsKey,0),""))</f>
        <v/>
      </c>
      <c r="Q464" s="2">
        <f t="array" ref="Q464">IF($P464="",0,INDEX(StatsZone,$P464,MAP!$E$9)+INDEX(StatsZone,$P464,MAP!$E$10)+INDEX(StatsZone,$P464,MAP!$E$11))</f>
        <v>0</v>
      </c>
      <c r="R464" s="2">
        <f t="array" ref="R464">IF($P464="",0,INDEX(StatsZone,$P464,MAP!$E$12))</f>
        <v>0</v>
      </c>
      <c r="S464" s="2">
        <f t="array" ref="S464">IF($P464="",0,INDEX(StatsZone,$P464,MAP!$E$13))</f>
        <v>0</v>
      </c>
      <c r="T464" s="2">
        <f t="shared" si="1"/>
        <v>0</v>
      </c>
      <c r="U464" s="2">
        <f t="array" ref="U464">IF($P464="",0,INDEX(StatsZone,$P464,MAP!$E$14)+INDEX(StatsZone,$P464,MAP!$E$15)+INDEX(StatsZone,$P464,MAP!$E$16))</f>
        <v>0</v>
      </c>
      <c r="V464" s="2">
        <f t="shared" si="2"/>
        <v>0</v>
      </c>
      <c r="W464" s="2">
        <f t="shared" si="3"/>
        <v>0</v>
      </c>
      <c r="X464" s="2">
        <f t="shared" si="4"/>
        <v>0</v>
      </c>
      <c r="Y464" s="2">
        <f t="shared" si="5"/>
        <v>0</v>
      </c>
      <c r="Z464" s="2">
        <f t="shared" si="6"/>
        <v>0</v>
      </c>
      <c r="AA464" s="2">
        <f t="shared" si="7"/>
        <v>-1</v>
      </c>
      <c r="AB464" s="2">
        <f>IF(OR($M464="",$N464=""),0,MEDIAN(-MarginCap,MarginCap,($M464-$N464)-$AA464*HFA_Base))</f>
        <v>0</v>
      </c>
      <c r="AC464" s="2">
        <f t="array" ref="AC464">IF(OR($P464="",INDEX($P$3:$P$722,(ROW()+IF(MOD(ROW()-3,2)=0,1,-1))-3+1)=""),0,MEDIAN(-MarginCap,MarginCap,($T464-$W464)-$AA464*HFA_Base))</f>
        <v>0</v>
      </c>
      <c r="AD464" s="2">
        <f t="shared" si="8"/>
        <v>0</v>
      </c>
      <c r="AE464" s="2">
        <f>IF(OR($M464="",$N464=""),0,IF(AND(WEpa&gt;0,$AD464=1),(1-WEpa)*$AB464+WEpa*$AC464,$AB464))</f>
        <v>0</v>
      </c>
      <c r="AF464" s="2">
        <f>IF(AND($C464&lt;&gt;"",$E464=CurrentSeason,$F464="REG",ISNUMBER($G464),$G464&lt;CurrentWeek,AND($M464&lt;&gt;"",$N464&lt;&gt;"")),1,0)</f>
        <v>0</v>
      </c>
      <c r="AG464" s="2">
        <f>IF($AF464=0,0,IF($G464&gt;=CurrentWeek-RecencyWin,RecencyMult,1))</f>
        <v>0</v>
      </c>
      <c r="AH464" s="2">
        <f>IF(AND($C464&lt;&gt;"",$E464=CurrentSeason,$F464="REG",ISNUMBER($G464),$G464&lt;CurrentWeek-1,AND($M464&lt;&gt;"",$N464&lt;&gt;"")),1,0)</f>
        <v>0</v>
      </c>
      <c r="AI464" s="2">
        <f>IF($AH464=0,0,IF($G464&gt;=CurrentWeek-1-RecencyWin,RecencyMult,1))</f>
        <v>0</v>
      </c>
      <c r="AJ464" s="2">
        <f>IF($AF464=0,0,IF($G464&gt;=CurrentWeek-RecencyWin,TotRecency,1))</f>
        <v>0</v>
      </c>
      <c r="AK464" s="2">
        <f t="shared" si="9"/>
        <v>0</v>
      </c>
      <c r="AL464" s="2">
        <f t="shared" si="10"/>
        <v>0</v>
      </c>
      <c r="AM464" s="2" t="str">
        <f t="array" ref="AM464">IF($K464="",0,IFERROR(INDEX(CALC!$F$2:$F$33,MATCH($K464,CALC!$A$2:$A$33,0)),0))</f>
        <v/>
      </c>
      <c r="AN464" s="2" t="str">
        <f t="array" ref="AN464">IF($K464="",0,IFERROR(INDEX(CALC!$I$2:$I$33,MATCH($K464,CALC!$A$2:$A$33,0)),0))</f>
        <v/>
      </c>
      <c r="AO464" s="2" t="str">
        <f t="array" ref="AO464">IF($K464="",0,IFERROR(INDEX(CALC!$L$2:$L$33,MATCH($K464,CALC!$A$2:$A$33,0)),0))</f>
        <v/>
      </c>
      <c r="AP464" s="2" t="str">
        <f t="array" ref="AP464">IF($K464="",0,IFERROR(INDEX(CALC!$T$2:$T$33,MATCH($K464,CALC!$A$2:$A$33,0)),0))</f>
        <v/>
      </c>
      <c r="AQ464" s="2" t="str">
        <f t="array" ref="AQ464">IF($K464="",0,IFERROR(INDEX(CALC!$W$2:$W$33,MATCH($K464,CALC!$A$2:$A$33,0)),0))</f>
        <v/>
      </c>
      <c r="AR464" s="2" t="str">
        <f t="array" ref="AR464">IF($K464="",0,IFERROR(INDEX(CALC!$Z$2:$Z$33,MATCH($K464,CALC!$A$2:$A$33,0)),0))</f>
        <v/>
      </c>
      <c r="AS464" s="2" t="str">
        <f t="array" ref="AS464">IF($K464="",0,IFERROR(INDEX(CALC!$AJ$2:$AJ$33,MATCH($K464,CALC!$A$2:$A$33,0)),0))</f>
        <v/>
      </c>
      <c r="AT464" s="2" t="str">
        <f t="array" ref="AT464">IF($K464="",0,IFERROR(INDEX(CALC!$AI$2:$AI$33,MATCH($K464,CALC!$A$2:$A$33,0)),0))</f>
        <v/>
      </c>
      <c r="AU464" s="2">
        <f t="shared" si="11"/>
        <v>0</v>
      </c>
      <c r="AV464" s="2">
        <f t="shared" si="12"/>
        <v>0</v>
      </c>
    </row>
    <row r="465" ht="15.0" customHeight="1">
      <c r="A465" s="2">
        <v>232.0</v>
      </c>
      <c r="B465" s="2" t="s">
        <v>2365</v>
      </c>
      <c r="C465" s="2">
        <f>IFERROR(MATCH($A465,SchedSeq,0),"")</f>
        <v>517</v>
      </c>
      <c r="D465" s="2" t="str">
        <f t="array" ref="D465">IF($C465="","",INDEX(SchedZone,$C465,MAP!$B$6))</f>
        <v>2026_16_LAC_MIA</v>
      </c>
      <c r="E465" s="2">
        <f t="array" ref="E465">IF($C465="","",INDEX(SchedZone,$C465,MAP!$B$3))</f>
        <v>2026</v>
      </c>
      <c r="F465" s="2" t="str">
        <f t="array" ref="F465">IF($C465="","",INDEX(SchedZone,$C465,MAP!$B$5))</f>
        <v>REG</v>
      </c>
      <c r="G465" s="2">
        <f t="array" ref="G465">IF($C465="","",INDEX(SchedZone,$C465,MAP!$B$4))</f>
        <v>16</v>
      </c>
      <c r="H465" s="2" t="str">
        <f t="array" ref="H465">IF($C465="","",INDEX(SchedZone,$C465,MAP!$B$12))</f>
        <v>MIA</v>
      </c>
      <c r="I465" s="2" t="str">
        <f t="array" ref="I465">IF($H465="","",IF(COUNTIF(Teams,$H465)&gt;0,$H465,IFERROR(INDEX(LISTS!$D$2:$D$12,MATCH($H465,LISTS!$C$2:$C$12,0)),"⚠ "&amp;$H465)))</f>
        <v>MIA</v>
      </c>
      <c r="J465" s="2" t="str">
        <f t="array" ref="J465">IF($C465="","",INDEX(SchedZone,$C465,MAP!$B$10))</f>
        <v>LAC</v>
      </c>
      <c r="K465" s="2" t="str">
        <f t="array" ref="K465">IF($J465="","",IF(COUNTIF(Teams,$J465)&gt;0,$J465,IFERROR(INDEX(LISTS!$D$2:$D$12,MATCH($J465,LISTS!$C$2:$C$12,0)),"⚠ "&amp;$J465)))</f>
        <v>LAC</v>
      </c>
      <c r="L465" s="2" t="str">
        <f t="array" ref="L465">IF($C465="","",IF(INDEX(SchedZone,$C465,MAP!$B$14)="Neutral","N",IF($B465="HOME","H","A")))</f>
        <v>H</v>
      </c>
      <c r="M465" s="2" t="str">
        <f t="array" ref="M465">IF($C465="","",IF(INDEX(SchedZone,$C465,MAP!$B$13)="","",INDEX(SchedZone,$C465,MAP!$B$13)))</f>
        <v/>
      </c>
      <c r="N465" s="2" t="str">
        <f t="array" ref="N465">IF($C465="","",IF(INDEX(SchedZone,$C465,MAP!$B$11)="","",INDEX(SchedZone,$C465,MAP!$B$11)))</f>
        <v/>
      </c>
      <c r="O465" s="2">
        <f t="array" ref="O465">IF($C465="","",INDEX(SchedZone,$C465,MAP!$B$16))</f>
        <v>7</v>
      </c>
      <c r="P465" s="2" t="str">
        <f>IF($C465="","",IFERROR(MATCH($E465&amp;"|"&amp;$G465&amp;"|"&amp;$I465,StatsKey,0),""))</f>
        <v/>
      </c>
      <c r="Q465" s="2">
        <f t="array" ref="Q465">IF($P465="",0,INDEX(StatsZone,$P465,MAP!$E$9)+INDEX(StatsZone,$P465,MAP!$E$10)+INDEX(StatsZone,$P465,MAP!$E$11))</f>
        <v>0</v>
      </c>
      <c r="R465" s="2">
        <f t="array" ref="R465">IF($P465="",0,INDEX(StatsZone,$P465,MAP!$E$12))</f>
        <v>0</v>
      </c>
      <c r="S465" s="2">
        <f t="array" ref="S465">IF($P465="",0,INDEX(StatsZone,$P465,MAP!$E$13))</f>
        <v>0</v>
      </c>
      <c r="T465" s="2">
        <f t="shared" si="1"/>
        <v>0</v>
      </c>
      <c r="U465" s="2">
        <f t="array" ref="U465">IF($P465="",0,INDEX(StatsZone,$P465,MAP!$E$14)+INDEX(StatsZone,$P465,MAP!$E$15)+INDEX(StatsZone,$P465,MAP!$E$16))</f>
        <v>0</v>
      </c>
      <c r="V465" s="2">
        <f t="shared" si="2"/>
        <v>0</v>
      </c>
      <c r="W465" s="2">
        <f t="shared" si="3"/>
        <v>0</v>
      </c>
      <c r="X465" s="2">
        <f t="shared" si="4"/>
        <v>0</v>
      </c>
      <c r="Y465" s="2">
        <f t="shared" si="5"/>
        <v>0</v>
      </c>
      <c r="Z465" s="2">
        <f t="shared" si="6"/>
        <v>0</v>
      </c>
      <c r="AA465" s="2">
        <f t="shared" si="7"/>
        <v>1</v>
      </c>
      <c r="AB465" s="2">
        <f>IF(OR($M465="",$N465=""),0,MEDIAN(-MarginCap,MarginCap,($M465-$N465)-$AA465*HFA_Base))</f>
        <v>0</v>
      </c>
      <c r="AC465" s="2">
        <f t="array" ref="AC465">IF(OR($P465="",INDEX($P$3:$P$722,(ROW()+IF(MOD(ROW()-3,2)=0,1,-1))-3+1)=""),0,MEDIAN(-MarginCap,MarginCap,($T465-$W465)-$AA465*HFA_Base))</f>
        <v>0</v>
      </c>
      <c r="AD465" s="2">
        <f t="shared" si="8"/>
        <v>0</v>
      </c>
      <c r="AE465" s="2">
        <f>IF(OR($M465="",$N465=""),0,IF(AND(WEpa&gt;0,$AD465=1),(1-WEpa)*$AB465+WEpa*$AC465,$AB465))</f>
        <v>0</v>
      </c>
      <c r="AF465" s="2">
        <f>IF(AND($C465&lt;&gt;"",$E465=CurrentSeason,$F465="REG",ISNUMBER($G465),$G465&lt;CurrentWeek,AND($M465&lt;&gt;"",$N465&lt;&gt;"")),1,0)</f>
        <v>0</v>
      </c>
      <c r="AG465" s="2">
        <f>IF($AF465=0,0,IF($G465&gt;=CurrentWeek-RecencyWin,RecencyMult,1))</f>
        <v>0</v>
      </c>
      <c r="AH465" s="2">
        <f>IF(AND($C465&lt;&gt;"",$E465=CurrentSeason,$F465="REG",ISNUMBER($G465),$G465&lt;CurrentWeek-1,AND($M465&lt;&gt;"",$N465&lt;&gt;"")),1,0)</f>
        <v>0</v>
      </c>
      <c r="AI465" s="2">
        <f>IF($AH465=0,0,IF($G465&gt;=CurrentWeek-1-RecencyWin,RecencyMult,1))</f>
        <v>0</v>
      </c>
      <c r="AJ465" s="2">
        <f>IF($AF465=0,0,IF($G465&gt;=CurrentWeek-RecencyWin,TotRecency,1))</f>
        <v>0</v>
      </c>
      <c r="AK465" s="2">
        <f t="shared" si="9"/>
        <v>0</v>
      </c>
      <c r="AL465" s="2">
        <f t="shared" si="10"/>
        <v>0</v>
      </c>
      <c r="AM465" s="2" t="str">
        <f t="array" ref="AM465">IF($K465="",0,IFERROR(INDEX(CALC!$F$2:$F$33,MATCH($K465,CALC!$A$2:$A$33,0)),0))</f>
        <v/>
      </c>
      <c r="AN465" s="2" t="str">
        <f t="array" ref="AN465">IF($K465="",0,IFERROR(INDEX(CALC!$I$2:$I$33,MATCH($K465,CALC!$A$2:$A$33,0)),0))</f>
        <v/>
      </c>
      <c r="AO465" s="2" t="str">
        <f t="array" ref="AO465">IF($K465="",0,IFERROR(INDEX(CALC!$L$2:$L$33,MATCH($K465,CALC!$A$2:$A$33,0)),0))</f>
        <v/>
      </c>
      <c r="AP465" s="2" t="str">
        <f t="array" ref="AP465">IF($K465="",0,IFERROR(INDEX(CALC!$T$2:$T$33,MATCH($K465,CALC!$A$2:$A$33,0)),0))</f>
        <v/>
      </c>
      <c r="AQ465" s="2" t="str">
        <f t="array" ref="AQ465">IF($K465="",0,IFERROR(INDEX(CALC!$W$2:$W$33,MATCH($K465,CALC!$A$2:$A$33,0)),0))</f>
        <v/>
      </c>
      <c r="AR465" s="2" t="str">
        <f t="array" ref="AR465">IF($K465="",0,IFERROR(INDEX(CALC!$Z$2:$Z$33,MATCH($K465,CALC!$A$2:$A$33,0)),0))</f>
        <v/>
      </c>
      <c r="AS465" s="2" t="str">
        <f t="array" ref="AS465">IF($K465="",0,IFERROR(INDEX(CALC!$AJ$2:$AJ$33,MATCH($K465,CALC!$A$2:$A$33,0)),0))</f>
        <v/>
      </c>
      <c r="AT465" s="2" t="str">
        <f t="array" ref="AT465">IF($K465="",0,IFERROR(INDEX(CALC!$AI$2:$AI$33,MATCH($K465,CALC!$A$2:$A$33,0)),0))</f>
        <v/>
      </c>
      <c r="AU465" s="2">
        <f t="shared" si="11"/>
        <v>0</v>
      </c>
      <c r="AV465" s="2">
        <f t="shared" si="12"/>
        <v>0</v>
      </c>
    </row>
    <row r="466" ht="15.0" customHeight="1">
      <c r="A466" s="2">
        <v>232.0</v>
      </c>
      <c r="B466" s="2" t="s">
        <v>2366</v>
      </c>
      <c r="C466" s="2">
        <f>IFERROR(MATCH($A466,SchedSeq,0),"")</f>
        <v>517</v>
      </c>
      <c r="D466" s="2" t="str">
        <f t="array" ref="D466">IF($C466="","",INDEX(SchedZone,$C466,MAP!$B$6))</f>
        <v>2026_16_LAC_MIA</v>
      </c>
      <c r="E466" s="2">
        <f t="array" ref="E466">IF($C466="","",INDEX(SchedZone,$C466,MAP!$B$3))</f>
        <v>2026</v>
      </c>
      <c r="F466" s="2" t="str">
        <f t="array" ref="F466">IF($C466="","",INDEX(SchedZone,$C466,MAP!$B$5))</f>
        <v>REG</v>
      </c>
      <c r="G466" s="2">
        <f t="array" ref="G466">IF($C466="","",INDEX(SchedZone,$C466,MAP!$B$4))</f>
        <v>16</v>
      </c>
      <c r="H466" s="2" t="str">
        <f t="array" ref="H466">IF($C466="","",INDEX(SchedZone,$C466,MAP!$B$10))</f>
        <v>LAC</v>
      </c>
      <c r="I466" s="2" t="str">
        <f t="array" ref="I466">IF($H466="","",IF(COUNTIF(Teams,$H466)&gt;0,$H466,IFERROR(INDEX(LISTS!$D$2:$D$12,MATCH($H466,LISTS!$C$2:$C$12,0)),"⚠ "&amp;$H466)))</f>
        <v>LAC</v>
      </c>
      <c r="J466" s="2" t="str">
        <f t="array" ref="J466">IF($C466="","",INDEX(SchedZone,$C466,MAP!$B$12))</f>
        <v>MIA</v>
      </c>
      <c r="K466" s="2" t="str">
        <f t="array" ref="K466">IF($J466="","",IF(COUNTIF(Teams,$J466)&gt;0,$J466,IFERROR(INDEX(LISTS!$D$2:$D$12,MATCH($J466,LISTS!$C$2:$C$12,0)),"⚠ "&amp;$J466)))</f>
        <v>MIA</v>
      </c>
      <c r="L466" s="2" t="str">
        <f t="array" ref="L466">IF($C466="","",IF(INDEX(SchedZone,$C466,MAP!$B$14)="Neutral","N",IF($B466="HOME","H","A")))</f>
        <v>A</v>
      </c>
      <c r="M466" s="2" t="str">
        <f t="array" ref="M466">IF($C466="","",IF(INDEX(SchedZone,$C466,MAP!$B$11)="","",INDEX(SchedZone,$C466,MAP!$B$11)))</f>
        <v/>
      </c>
      <c r="N466" s="2" t="str">
        <f t="array" ref="N466">IF($C466="","",IF(INDEX(SchedZone,$C466,MAP!$B$13)="","",INDEX(SchedZone,$C466,MAP!$B$13)))</f>
        <v/>
      </c>
      <c r="O466" s="2">
        <f t="array" ref="O466">IF($C466="","",INDEX(SchedZone,$C466,MAP!$B$15))</f>
        <v>10</v>
      </c>
      <c r="P466" s="2" t="str">
        <f>IF($C466="","",IFERROR(MATCH($E466&amp;"|"&amp;$G466&amp;"|"&amp;$I466,StatsKey,0),""))</f>
        <v/>
      </c>
      <c r="Q466" s="2">
        <f t="array" ref="Q466">IF($P466="",0,INDEX(StatsZone,$P466,MAP!$E$9)+INDEX(StatsZone,$P466,MAP!$E$10)+INDEX(StatsZone,$P466,MAP!$E$11))</f>
        <v>0</v>
      </c>
      <c r="R466" s="2">
        <f t="array" ref="R466">IF($P466="",0,INDEX(StatsZone,$P466,MAP!$E$12))</f>
        <v>0</v>
      </c>
      <c r="S466" s="2">
        <f t="array" ref="S466">IF($P466="",0,INDEX(StatsZone,$P466,MAP!$E$13))</f>
        <v>0</v>
      </c>
      <c r="T466" s="2">
        <f t="shared" si="1"/>
        <v>0</v>
      </c>
      <c r="U466" s="2">
        <f t="array" ref="U466">IF($P466="",0,INDEX(StatsZone,$P466,MAP!$E$14)+INDEX(StatsZone,$P466,MAP!$E$15)+INDEX(StatsZone,$P466,MAP!$E$16))</f>
        <v>0</v>
      </c>
      <c r="V466" s="2">
        <f t="shared" si="2"/>
        <v>0</v>
      </c>
      <c r="W466" s="2">
        <f t="shared" si="3"/>
        <v>0</v>
      </c>
      <c r="X466" s="2">
        <f t="shared" si="4"/>
        <v>0</v>
      </c>
      <c r="Y466" s="2">
        <f t="shared" si="5"/>
        <v>0</v>
      </c>
      <c r="Z466" s="2">
        <f t="shared" si="6"/>
        <v>0</v>
      </c>
      <c r="AA466" s="2">
        <f t="shared" si="7"/>
        <v>-1</v>
      </c>
      <c r="AB466" s="2">
        <f>IF(OR($M466="",$N466=""),0,MEDIAN(-MarginCap,MarginCap,($M466-$N466)-$AA466*HFA_Base))</f>
        <v>0</v>
      </c>
      <c r="AC466" s="2">
        <f t="array" ref="AC466">IF(OR($P466="",INDEX($P$3:$P$722,(ROW()+IF(MOD(ROW()-3,2)=0,1,-1))-3+1)=""),0,MEDIAN(-MarginCap,MarginCap,($T466-$W466)-$AA466*HFA_Base))</f>
        <v>0</v>
      </c>
      <c r="AD466" s="2">
        <f t="shared" si="8"/>
        <v>0</v>
      </c>
      <c r="AE466" s="2">
        <f>IF(OR($M466="",$N466=""),0,IF(AND(WEpa&gt;0,$AD466=1),(1-WEpa)*$AB466+WEpa*$AC466,$AB466))</f>
        <v>0</v>
      </c>
      <c r="AF466" s="2">
        <f>IF(AND($C466&lt;&gt;"",$E466=CurrentSeason,$F466="REG",ISNUMBER($G466),$G466&lt;CurrentWeek,AND($M466&lt;&gt;"",$N466&lt;&gt;"")),1,0)</f>
        <v>0</v>
      </c>
      <c r="AG466" s="2">
        <f>IF($AF466=0,0,IF($G466&gt;=CurrentWeek-RecencyWin,RecencyMult,1))</f>
        <v>0</v>
      </c>
      <c r="AH466" s="2">
        <f>IF(AND($C466&lt;&gt;"",$E466=CurrentSeason,$F466="REG",ISNUMBER($G466),$G466&lt;CurrentWeek-1,AND($M466&lt;&gt;"",$N466&lt;&gt;"")),1,0)</f>
        <v>0</v>
      </c>
      <c r="AI466" s="2">
        <f>IF($AH466=0,0,IF($G466&gt;=CurrentWeek-1-RecencyWin,RecencyMult,1))</f>
        <v>0</v>
      </c>
      <c r="AJ466" s="2">
        <f>IF($AF466=0,0,IF($G466&gt;=CurrentWeek-RecencyWin,TotRecency,1))</f>
        <v>0</v>
      </c>
      <c r="AK466" s="2">
        <f t="shared" si="9"/>
        <v>0</v>
      </c>
      <c r="AL466" s="2">
        <f t="shared" si="10"/>
        <v>0</v>
      </c>
      <c r="AM466" s="2" t="str">
        <f t="array" ref="AM466">IF($K466="",0,IFERROR(INDEX(CALC!$F$2:$F$33,MATCH($K466,CALC!$A$2:$A$33,0)),0))</f>
        <v/>
      </c>
      <c r="AN466" s="2" t="str">
        <f t="array" ref="AN466">IF($K466="",0,IFERROR(INDEX(CALC!$I$2:$I$33,MATCH($K466,CALC!$A$2:$A$33,0)),0))</f>
        <v/>
      </c>
      <c r="AO466" s="2" t="str">
        <f t="array" ref="AO466">IF($K466="",0,IFERROR(INDEX(CALC!$L$2:$L$33,MATCH($K466,CALC!$A$2:$A$33,0)),0))</f>
        <v/>
      </c>
      <c r="AP466" s="2" t="str">
        <f t="array" ref="AP466">IF($K466="",0,IFERROR(INDEX(CALC!$T$2:$T$33,MATCH($K466,CALC!$A$2:$A$33,0)),0))</f>
        <v/>
      </c>
      <c r="AQ466" s="2" t="str">
        <f t="array" ref="AQ466">IF($K466="",0,IFERROR(INDEX(CALC!$W$2:$W$33,MATCH($K466,CALC!$A$2:$A$33,0)),0))</f>
        <v/>
      </c>
      <c r="AR466" s="2" t="str">
        <f t="array" ref="AR466">IF($K466="",0,IFERROR(INDEX(CALC!$Z$2:$Z$33,MATCH($K466,CALC!$A$2:$A$33,0)),0))</f>
        <v/>
      </c>
      <c r="AS466" s="2" t="str">
        <f t="array" ref="AS466">IF($K466="",0,IFERROR(INDEX(CALC!$AJ$2:$AJ$33,MATCH($K466,CALC!$A$2:$A$33,0)),0))</f>
        <v/>
      </c>
      <c r="AT466" s="2" t="str">
        <f t="array" ref="AT466">IF($K466="",0,IFERROR(INDEX(CALC!$AI$2:$AI$33,MATCH($K466,CALC!$A$2:$A$33,0)),0))</f>
        <v/>
      </c>
      <c r="AU466" s="2">
        <f t="shared" si="11"/>
        <v>0</v>
      </c>
      <c r="AV466" s="2">
        <f t="shared" si="12"/>
        <v>0</v>
      </c>
    </row>
    <row r="467" ht="15.0" customHeight="1">
      <c r="A467" s="2">
        <v>233.0</v>
      </c>
      <c r="B467" s="2" t="s">
        <v>2365</v>
      </c>
      <c r="C467" s="2">
        <f>IFERROR(MATCH($A467,SchedSeq,0),"")</f>
        <v>518</v>
      </c>
      <c r="D467" s="2" t="str">
        <f t="array" ref="D467">IF($C467="","",INDEX(SchedZone,$C467,MAP!$B$6))</f>
        <v>2026_16_WAS_MIN</v>
      </c>
      <c r="E467" s="2">
        <f t="array" ref="E467">IF($C467="","",INDEX(SchedZone,$C467,MAP!$B$3))</f>
        <v>2026</v>
      </c>
      <c r="F467" s="2" t="str">
        <f t="array" ref="F467">IF($C467="","",INDEX(SchedZone,$C467,MAP!$B$5))</f>
        <v>REG</v>
      </c>
      <c r="G467" s="2">
        <f t="array" ref="G467">IF($C467="","",INDEX(SchedZone,$C467,MAP!$B$4))</f>
        <v>16</v>
      </c>
      <c r="H467" s="2" t="str">
        <f t="array" ref="H467">IF($C467="","",INDEX(SchedZone,$C467,MAP!$B$12))</f>
        <v>MIN</v>
      </c>
      <c r="I467" s="2" t="str">
        <f t="array" ref="I467">IF($H467="","",IF(COUNTIF(Teams,$H467)&gt;0,$H467,IFERROR(INDEX(LISTS!$D$2:$D$12,MATCH($H467,LISTS!$C$2:$C$12,0)),"⚠ "&amp;$H467)))</f>
        <v>MIN</v>
      </c>
      <c r="J467" s="2" t="str">
        <f t="array" ref="J467">IF($C467="","",INDEX(SchedZone,$C467,MAP!$B$10))</f>
        <v>WAS</v>
      </c>
      <c r="K467" s="2" t="str">
        <f t="array" ref="K467">IF($J467="","",IF(COUNTIF(Teams,$J467)&gt;0,$J467,IFERROR(INDEX(LISTS!$D$2:$D$12,MATCH($J467,LISTS!$C$2:$C$12,0)),"⚠ "&amp;$J467)))</f>
        <v>WAS</v>
      </c>
      <c r="L467" s="2" t="str">
        <f t="array" ref="L467">IF($C467="","",IF(INDEX(SchedZone,$C467,MAP!$B$14)="Neutral","N",IF($B467="HOME","H","A")))</f>
        <v>H</v>
      </c>
      <c r="M467" s="2" t="str">
        <f t="array" ref="M467">IF($C467="","",IF(INDEX(SchedZone,$C467,MAP!$B$13)="","",INDEX(SchedZone,$C467,MAP!$B$13)))</f>
        <v/>
      </c>
      <c r="N467" s="2" t="str">
        <f t="array" ref="N467">IF($C467="","",IF(INDEX(SchedZone,$C467,MAP!$B$11)="","",INDEX(SchedZone,$C467,MAP!$B$11)))</f>
        <v/>
      </c>
      <c r="O467" s="2">
        <f t="array" ref="O467">IF($C467="","",INDEX(SchedZone,$C467,MAP!$B$16))</f>
        <v>7</v>
      </c>
      <c r="P467" s="2" t="str">
        <f>IF($C467="","",IFERROR(MATCH($E467&amp;"|"&amp;$G467&amp;"|"&amp;$I467,StatsKey,0),""))</f>
        <v/>
      </c>
      <c r="Q467" s="2">
        <f t="array" ref="Q467">IF($P467="",0,INDEX(StatsZone,$P467,MAP!$E$9)+INDEX(StatsZone,$P467,MAP!$E$10)+INDEX(StatsZone,$P467,MAP!$E$11))</f>
        <v>0</v>
      </c>
      <c r="R467" s="2">
        <f t="array" ref="R467">IF($P467="",0,INDEX(StatsZone,$P467,MAP!$E$12))</f>
        <v>0</v>
      </c>
      <c r="S467" s="2">
        <f t="array" ref="S467">IF($P467="",0,INDEX(StatsZone,$P467,MAP!$E$13))</f>
        <v>0</v>
      </c>
      <c r="T467" s="2">
        <f t="shared" si="1"/>
        <v>0</v>
      </c>
      <c r="U467" s="2">
        <f t="array" ref="U467">IF($P467="",0,INDEX(StatsZone,$P467,MAP!$E$14)+INDEX(StatsZone,$P467,MAP!$E$15)+INDEX(StatsZone,$P467,MAP!$E$16))</f>
        <v>0</v>
      </c>
      <c r="V467" s="2">
        <f t="shared" si="2"/>
        <v>0</v>
      </c>
      <c r="W467" s="2">
        <f t="shared" si="3"/>
        <v>0</v>
      </c>
      <c r="X467" s="2">
        <f t="shared" si="4"/>
        <v>0</v>
      </c>
      <c r="Y467" s="2">
        <f t="shared" si="5"/>
        <v>0</v>
      </c>
      <c r="Z467" s="2">
        <f t="shared" si="6"/>
        <v>0</v>
      </c>
      <c r="AA467" s="2">
        <f t="shared" si="7"/>
        <v>1</v>
      </c>
      <c r="AB467" s="2">
        <f>IF(OR($M467="",$N467=""),0,MEDIAN(-MarginCap,MarginCap,($M467-$N467)-$AA467*HFA_Base))</f>
        <v>0</v>
      </c>
      <c r="AC467" s="2">
        <f t="array" ref="AC467">IF(OR($P467="",INDEX($P$3:$P$722,(ROW()+IF(MOD(ROW()-3,2)=0,1,-1))-3+1)=""),0,MEDIAN(-MarginCap,MarginCap,($T467-$W467)-$AA467*HFA_Base))</f>
        <v>0</v>
      </c>
      <c r="AD467" s="2">
        <f t="shared" si="8"/>
        <v>0</v>
      </c>
      <c r="AE467" s="2">
        <f>IF(OR($M467="",$N467=""),0,IF(AND(WEpa&gt;0,$AD467=1),(1-WEpa)*$AB467+WEpa*$AC467,$AB467))</f>
        <v>0</v>
      </c>
      <c r="AF467" s="2">
        <f>IF(AND($C467&lt;&gt;"",$E467=CurrentSeason,$F467="REG",ISNUMBER($G467),$G467&lt;CurrentWeek,AND($M467&lt;&gt;"",$N467&lt;&gt;"")),1,0)</f>
        <v>0</v>
      </c>
      <c r="AG467" s="2">
        <f>IF($AF467=0,0,IF($G467&gt;=CurrentWeek-RecencyWin,RecencyMult,1))</f>
        <v>0</v>
      </c>
      <c r="AH467" s="2">
        <f>IF(AND($C467&lt;&gt;"",$E467=CurrentSeason,$F467="REG",ISNUMBER($G467),$G467&lt;CurrentWeek-1,AND($M467&lt;&gt;"",$N467&lt;&gt;"")),1,0)</f>
        <v>0</v>
      </c>
      <c r="AI467" s="2">
        <f>IF($AH467=0,0,IF($G467&gt;=CurrentWeek-1-RecencyWin,RecencyMult,1))</f>
        <v>0</v>
      </c>
      <c r="AJ467" s="2">
        <f>IF($AF467=0,0,IF($G467&gt;=CurrentWeek-RecencyWin,TotRecency,1))</f>
        <v>0</v>
      </c>
      <c r="AK467" s="2">
        <f t="shared" si="9"/>
        <v>0</v>
      </c>
      <c r="AL467" s="2">
        <f t="shared" si="10"/>
        <v>0</v>
      </c>
      <c r="AM467" s="2" t="str">
        <f t="array" ref="AM467">IF($K467="",0,IFERROR(INDEX(CALC!$F$2:$F$33,MATCH($K467,CALC!$A$2:$A$33,0)),0))</f>
        <v/>
      </c>
      <c r="AN467" s="2" t="str">
        <f t="array" ref="AN467">IF($K467="",0,IFERROR(INDEX(CALC!$I$2:$I$33,MATCH($K467,CALC!$A$2:$A$33,0)),0))</f>
        <v/>
      </c>
      <c r="AO467" s="2" t="str">
        <f t="array" ref="AO467">IF($K467="",0,IFERROR(INDEX(CALC!$L$2:$L$33,MATCH($K467,CALC!$A$2:$A$33,0)),0))</f>
        <v/>
      </c>
      <c r="AP467" s="2" t="str">
        <f t="array" ref="AP467">IF($K467="",0,IFERROR(INDEX(CALC!$T$2:$T$33,MATCH($K467,CALC!$A$2:$A$33,0)),0))</f>
        <v/>
      </c>
      <c r="AQ467" s="2" t="str">
        <f t="array" ref="AQ467">IF($K467="",0,IFERROR(INDEX(CALC!$W$2:$W$33,MATCH($K467,CALC!$A$2:$A$33,0)),0))</f>
        <v/>
      </c>
      <c r="AR467" s="2" t="str">
        <f t="array" ref="AR467">IF($K467="",0,IFERROR(INDEX(CALC!$Z$2:$Z$33,MATCH($K467,CALC!$A$2:$A$33,0)),0))</f>
        <v/>
      </c>
      <c r="AS467" s="2" t="str">
        <f t="array" ref="AS467">IF($K467="",0,IFERROR(INDEX(CALC!$AJ$2:$AJ$33,MATCH($K467,CALC!$A$2:$A$33,0)),0))</f>
        <v/>
      </c>
      <c r="AT467" s="2" t="str">
        <f t="array" ref="AT467">IF($K467="",0,IFERROR(INDEX(CALC!$AI$2:$AI$33,MATCH($K467,CALC!$A$2:$A$33,0)),0))</f>
        <v/>
      </c>
      <c r="AU467" s="2">
        <f t="shared" si="11"/>
        <v>0</v>
      </c>
      <c r="AV467" s="2">
        <f t="shared" si="12"/>
        <v>0</v>
      </c>
    </row>
    <row r="468" ht="15.0" customHeight="1">
      <c r="A468" s="2">
        <v>233.0</v>
      </c>
      <c r="B468" s="2" t="s">
        <v>2366</v>
      </c>
      <c r="C468" s="2">
        <f>IFERROR(MATCH($A468,SchedSeq,0),"")</f>
        <v>518</v>
      </c>
      <c r="D468" s="2" t="str">
        <f t="array" ref="D468">IF($C468="","",INDEX(SchedZone,$C468,MAP!$B$6))</f>
        <v>2026_16_WAS_MIN</v>
      </c>
      <c r="E468" s="2">
        <f t="array" ref="E468">IF($C468="","",INDEX(SchedZone,$C468,MAP!$B$3))</f>
        <v>2026</v>
      </c>
      <c r="F468" s="2" t="str">
        <f t="array" ref="F468">IF($C468="","",INDEX(SchedZone,$C468,MAP!$B$5))</f>
        <v>REG</v>
      </c>
      <c r="G468" s="2">
        <f t="array" ref="G468">IF($C468="","",INDEX(SchedZone,$C468,MAP!$B$4))</f>
        <v>16</v>
      </c>
      <c r="H468" s="2" t="str">
        <f t="array" ref="H468">IF($C468="","",INDEX(SchedZone,$C468,MAP!$B$10))</f>
        <v>WAS</v>
      </c>
      <c r="I468" s="2" t="str">
        <f t="array" ref="I468">IF($H468="","",IF(COUNTIF(Teams,$H468)&gt;0,$H468,IFERROR(INDEX(LISTS!$D$2:$D$12,MATCH($H468,LISTS!$C$2:$C$12,0)),"⚠ "&amp;$H468)))</f>
        <v>WAS</v>
      </c>
      <c r="J468" s="2" t="str">
        <f t="array" ref="J468">IF($C468="","",INDEX(SchedZone,$C468,MAP!$B$12))</f>
        <v>MIN</v>
      </c>
      <c r="K468" s="2" t="str">
        <f t="array" ref="K468">IF($J468="","",IF(COUNTIF(Teams,$J468)&gt;0,$J468,IFERROR(INDEX(LISTS!$D$2:$D$12,MATCH($J468,LISTS!$C$2:$C$12,0)),"⚠ "&amp;$J468)))</f>
        <v>MIN</v>
      </c>
      <c r="L468" s="2" t="str">
        <f t="array" ref="L468">IF($C468="","",IF(INDEX(SchedZone,$C468,MAP!$B$14)="Neutral","N",IF($B468="HOME","H","A")))</f>
        <v>A</v>
      </c>
      <c r="M468" s="2" t="str">
        <f t="array" ref="M468">IF($C468="","",IF(INDEX(SchedZone,$C468,MAP!$B$11)="","",INDEX(SchedZone,$C468,MAP!$B$11)))</f>
        <v/>
      </c>
      <c r="N468" s="2" t="str">
        <f t="array" ref="N468">IF($C468="","",IF(INDEX(SchedZone,$C468,MAP!$B$13)="","",INDEX(SchedZone,$C468,MAP!$B$13)))</f>
        <v/>
      </c>
      <c r="O468" s="2">
        <f t="array" ref="O468">IF($C468="","",INDEX(SchedZone,$C468,MAP!$B$15))</f>
        <v>7</v>
      </c>
      <c r="P468" s="2" t="str">
        <f>IF($C468="","",IFERROR(MATCH($E468&amp;"|"&amp;$G468&amp;"|"&amp;$I468,StatsKey,0),""))</f>
        <v/>
      </c>
      <c r="Q468" s="2">
        <f t="array" ref="Q468">IF($P468="",0,INDEX(StatsZone,$P468,MAP!$E$9)+INDEX(StatsZone,$P468,MAP!$E$10)+INDEX(StatsZone,$P468,MAP!$E$11))</f>
        <v>0</v>
      </c>
      <c r="R468" s="2">
        <f t="array" ref="R468">IF($P468="",0,INDEX(StatsZone,$P468,MAP!$E$12))</f>
        <v>0</v>
      </c>
      <c r="S468" s="2">
        <f t="array" ref="S468">IF($P468="",0,INDEX(StatsZone,$P468,MAP!$E$13))</f>
        <v>0</v>
      </c>
      <c r="T468" s="2">
        <f t="shared" si="1"/>
        <v>0</v>
      </c>
      <c r="U468" s="2">
        <f t="array" ref="U468">IF($P468="",0,INDEX(StatsZone,$P468,MAP!$E$14)+INDEX(StatsZone,$P468,MAP!$E$15)+INDEX(StatsZone,$P468,MAP!$E$16))</f>
        <v>0</v>
      </c>
      <c r="V468" s="2">
        <f t="shared" si="2"/>
        <v>0</v>
      </c>
      <c r="W468" s="2">
        <f t="shared" si="3"/>
        <v>0</v>
      </c>
      <c r="X468" s="2">
        <f t="shared" si="4"/>
        <v>0</v>
      </c>
      <c r="Y468" s="2">
        <f t="shared" si="5"/>
        <v>0</v>
      </c>
      <c r="Z468" s="2">
        <f t="shared" si="6"/>
        <v>0</v>
      </c>
      <c r="AA468" s="2">
        <f t="shared" si="7"/>
        <v>-1</v>
      </c>
      <c r="AB468" s="2">
        <f>IF(OR($M468="",$N468=""),0,MEDIAN(-MarginCap,MarginCap,($M468-$N468)-$AA468*HFA_Base))</f>
        <v>0</v>
      </c>
      <c r="AC468" s="2">
        <f t="array" ref="AC468">IF(OR($P468="",INDEX($P$3:$P$722,(ROW()+IF(MOD(ROW()-3,2)=0,1,-1))-3+1)=""),0,MEDIAN(-MarginCap,MarginCap,($T468-$W468)-$AA468*HFA_Base))</f>
        <v>0</v>
      </c>
      <c r="AD468" s="2">
        <f t="shared" si="8"/>
        <v>0</v>
      </c>
      <c r="AE468" s="2">
        <f>IF(OR($M468="",$N468=""),0,IF(AND(WEpa&gt;0,$AD468=1),(1-WEpa)*$AB468+WEpa*$AC468,$AB468))</f>
        <v>0</v>
      </c>
      <c r="AF468" s="2">
        <f>IF(AND($C468&lt;&gt;"",$E468=CurrentSeason,$F468="REG",ISNUMBER($G468),$G468&lt;CurrentWeek,AND($M468&lt;&gt;"",$N468&lt;&gt;"")),1,0)</f>
        <v>0</v>
      </c>
      <c r="AG468" s="2">
        <f>IF($AF468=0,0,IF($G468&gt;=CurrentWeek-RecencyWin,RecencyMult,1))</f>
        <v>0</v>
      </c>
      <c r="AH468" s="2">
        <f>IF(AND($C468&lt;&gt;"",$E468=CurrentSeason,$F468="REG",ISNUMBER($G468),$G468&lt;CurrentWeek-1,AND($M468&lt;&gt;"",$N468&lt;&gt;"")),1,0)</f>
        <v>0</v>
      </c>
      <c r="AI468" s="2">
        <f>IF($AH468=0,0,IF($G468&gt;=CurrentWeek-1-RecencyWin,RecencyMult,1))</f>
        <v>0</v>
      </c>
      <c r="AJ468" s="2">
        <f>IF($AF468=0,0,IF($G468&gt;=CurrentWeek-RecencyWin,TotRecency,1))</f>
        <v>0</v>
      </c>
      <c r="AK468" s="2">
        <f t="shared" si="9"/>
        <v>0</v>
      </c>
      <c r="AL468" s="2">
        <f t="shared" si="10"/>
        <v>0</v>
      </c>
      <c r="AM468" s="2" t="str">
        <f t="array" ref="AM468">IF($K468="",0,IFERROR(INDEX(CALC!$F$2:$F$33,MATCH($K468,CALC!$A$2:$A$33,0)),0))</f>
        <v/>
      </c>
      <c r="AN468" s="2" t="str">
        <f t="array" ref="AN468">IF($K468="",0,IFERROR(INDEX(CALC!$I$2:$I$33,MATCH($K468,CALC!$A$2:$A$33,0)),0))</f>
        <v/>
      </c>
      <c r="AO468" s="2" t="str">
        <f t="array" ref="AO468">IF($K468="",0,IFERROR(INDEX(CALC!$L$2:$L$33,MATCH($K468,CALC!$A$2:$A$33,0)),0))</f>
        <v/>
      </c>
      <c r="AP468" s="2" t="str">
        <f t="array" ref="AP468">IF($K468="",0,IFERROR(INDEX(CALC!$T$2:$T$33,MATCH($K468,CALC!$A$2:$A$33,0)),0))</f>
        <v/>
      </c>
      <c r="AQ468" s="2" t="str">
        <f t="array" ref="AQ468">IF($K468="",0,IFERROR(INDEX(CALC!$W$2:$W$33,MATCH($K468,CALC!$A$2:$A$33,0)),0))</f>
        <v/>
      </c>
      <c r="AR468" s="2" t="str">
        <f t="array" ref="AR468">IF($K468="",0,IFERROR(INDEX(CALC!$Z$2:$Z$33,MATCH($K468,CALC!$A$2:$A$33,0)),0))</f>
        <v/>
      </c>
      <c r="AS468" s="2" t="str">
        <f t="array" ref="AS468">IF($K468="",0,IFERROR(INDEX(CALC!$AJ$2:$AJ$33,MATCH($K468,CALC!$A$2:$A$33,0)),0))</f>
        <v/>
      </c>
      <c r="AT468" s="2" t="str">
        <f t="array" ref="AT468">IF($K468="",0,IFERROR(INDEX(CALC!$AI$2:$AI$33,MATCH($K468,CALC!$A$2:$A$33,0)),0))</f>
        <v/>
      </c>
      <c r="AU468" s="2">
        <f t="shared" si="11"/>
        <v>0</v>
      </c>
      <c r="AV468" s="2">
        <f t="shared" si="12"/>
        <v>0</v>
      </c>
    </row>
    <row r="469" ht="15.0" customHeight="1">
      <c r="A469" s="2">
        <v>234.0</v>
      </c>
      <c r="B469" s="2" t="s">
        <v>2365</v>
      </c>
      <c r="C469" s="2">
        <f>IFERROR(MATCH($A469,SchedSeq,0),"")</f>
        <v>519</v>
      </c>
      <c r="D469" s="2" t="str">
        <f t="array" ref="D469">IF($C469="","",INDEX(SchedZone,$C469,MAP!$B$6))</f>
        <v>2026_16_ARI_NO</v>
      </c>
      <c r="E469" s="2">
        <f t="array" ref="E469">IF($C469="","",INDEX(SchedZone,$C469,MAP!$B$3))</f>
        <v>2026</v>
      </c>
      <c r="F469" s="2" t="str">
        <f t="array" ref="F469">IF($C469="","",INDEX(SchedZone,$C469,MAP!$B$5))</f>
        <v>REG</v>
      </c>
      <c r="G469" s="2">
        <f t="array" ref="G469">IF($C469="","",INDEX(SchedZone,$C469,MAP!$B$4))</f>
        <v>16</v>
      </c>
      <c r="H469" s="2" t="str">
        <f t="array" ref="H469">IF($C469="","",INDEX(SchedZone,$C469,MAP!$B$12))</f>
        <v>NO</v>
      </c>
      <c r="I469" s="2" t="str">
        <f t="array" ref="I469">IF($H469="","",IF(COUNTIF(Teams,$H469)&gt;0,$H469,IFERROR(INDEX(LISTS!$D$2:$D$12,MATCH($H469,LISTS!$C$2:$C$12,0)),"⚠ "&amp;$H469)))</f>
        <v>NO</v>
      </c>
      <c r="J469" s="2" t="str">
        <f t="array" ref="J469">IF($C469="","",INDEX(SchedZone,$C469,MAP!$B$10))</f>
        <v>ARI</v>
      </c>
      <c r="K469" s="2" t="str">
        <f t="array" ref="K469">IF($J469="","",IF(COUNTIF(Teams,$J469)&gt;0,$J469,IFERROR(INDEX(LISTS!$D$2:$D$12,MATCH($J469,LISTS!$C$2:$C$12,0)),"⚠ "&amp;$J469)))</f>
        <v>ARI</v>
      </c>
      <c r="L469" s="2" t="str">
        <f t="array" ref="L469">IF($C469="","",IF(INDEX(SchedZone,$C469,MAP!$B$14)="Neutral","N",IF($B469="HOME","H","A")))</f>
        <v>H</v>
      </c>
      <c r="M469" s="2" t="str">
        <f t="array" ref="M469">IF($C469="","",IF(INDEX(SchedZone,$C469,MAP!$B$13)="","",INDEX(SchedZone,$C469,MAP!$B$13)))</f>
        <v/>
      </c>
      <c r="N469" s="2" t="str">
        <f t="array" ref="N469">IF($C469="","",IF(INDEX(SchedZone,$C469,MAP!$B$11)="","",INDEX(SchedZone,$C469,MAP!$B$11)))</f>
        <v/>
      </c>
      <c r="O469" s="2">
        <f t="array" ref="O469">IF($C469="","",INDEX(SchedZone,$C469,MAP!$B$16))</f>
        <v>7</v>
      </c>
      <c r="P469" s="2" t="str">
        <f>IF($C469="","",IFERROR(MATCH($E469&amp;"|"&amp;$G469&amp;"|"&amp;$I469,StatsKey,0),""))</f>
        <v/>
      </c>
      <c r="Q469" s="2">
        <f t="array" ref="Q469">IF($P469="",0,INDEX(StatsZone,$P469,MAP!$E$9)+INDEX(StatsZone,$P469,MAP!$E$10)+INDEX(StatsZone,$P469,MAP!$E$11))</f>
        <v>0</v>
      </c>
      <c r="R469" s="2">
        <f t="array" ref="R469">IF($P469="",0,INDEX(StatsZone,$P469,MAP!$E$12))</f>
        <v>0</v>
      </c>
      <c r="S469" s="2">
        <f t="array" ref="S469">IF($P469="",0,INDEX(StatsZone,$P469,MAP!$E$13))</f>
        <v>0</v>
      </c>
      <c r="T469" s="2">
        <f t="shared" si="1"/>
        <v>0</v>
      </c>
      <c r="U469" s="2">
        <f t="array" ref="U469">IF($P469="",0,INDEX(StatsZone,$P469,MAP!$E$14)+INDEX(StatsZone,$P469,MAP!$E$15)+INDEX(StatsZone,$P469,MAP!$E$16))</f>
        <v>0</v>
      </c>
      <c r="V469" s="2">
        <f t="shared" si="2"/>
        <v>0</v>
      </c>
      <c r="W469" s="2">
        <f t="shared" si="3"/>
        <v>0</v>
      </c>
      <c r="X469" s="2">
        <f t="shared" si="4"/>
        <v>0</v>
      </c>
      <c r="Y469" s="2">
        <f t="shared" si="5"/>
        <v>0</v>
      </c>
      <c r="Z469" s="2">
        <f t="shared" si="6"/>
        <v>0</v>
      </c>
      <c r="AA469" s="2">
        <f t="shared" si="7"/>
        <v>1</v>
      </c>
      <c r="AB469" s="2">
        <f>IF(OR($M469="",$N469=""),0,MEDIAN(-MarginCap,MarginCap,($M469-$N469)-$AA469*HFA_Base))</f>
        <v>0</v>
      </c>
      <c r="AC469" s="2">
        <f t="array" ref="AC469">IF(OR($P469="",INDEX($P$3:$P$722,(ROW()+IF(MOD(ROW()-3,2)=0,1,-1))-3+1)=""),0,MEDIAN(-MarginCap,MarginCap,($T469-$W469)-$AA469*HFA_Base))</f>
        <v>0</v>
      </c>
      <c r="AD469" s="2">
        <f t="shared" si="8"/>
        <v>0</v>
      </c>
      <c r="AE469" s="2">
        <f>IF(OR($M469="",$N469=""),0,IF(AND(WEpa&gt;0,$AD469=1),(1-WEpa)*$AB469+WEpa*$AC469,$AB469))</f>
        <v>0</v>
      </c>
      <c r="AF469" s="2">
        <f>IF(AND($C469&lt;&gt;"",$E469=CurrentSeason,$F469="REG",ISNUMBER($G469),$G469&lt;CurrentWeek,AND($M469&lt;&gt;"",$N469&lt;&gt;"")),1,0)</f>
        <v>0</v>
      </c>
      <c r="AG469" s="2">
        <f>IF($AF469=0,0,IF($G469&gt;=CurrentWeek-RecencyWin,RecencyMult,1))</f>
        <v>0</v>
      </c>
      <c r="AH469" s="2">
        <f>IF(AND($C469&lt;&gt;"",$E469=CurrentSeason,$F469="REG",ISNUMBER($G469),$G469&lt;CurrentWeek-1,AND($M469&lt;&gt;"",$N469&lt;&gt;"")),1,0)</f>
        <v>0</v>
      </c>
      <c r="AI469" s="2">
        <f>IF($AH469=0,0,IF($G469&gt;=CurrentWeek-1-RecencyWin,RecencyMult,1))</f>
        <v>0</v>
      </c>
      <c r="AJ469" s="2">
        <f>IF($AF469=0,0,IF($G469&gt;=CurrentWeek-RecencyWin,TotRecency,1))</f>
        <v>0</v>
      </c>
      <c r="AK469" s="2">
        <f t="shared" si="9"/>
        <v>0</v>
      </c>
      <c r="AL469" s="2">
        <f t="shared" si="10"/>
        <v>0</v>
      </c>
      <c r="AM469" s="2" t="str">
        <f t="array" ref="AM469">IF($K469="",0,IFERROR(INDEX(CALC!$F$2:$F$33,MATCH($K469,CALC!$A$2:$A$33,0)),0))</f>
        <v/>
      </c>
      <c r="AN469" s="2" t="str">
        <f t="array" ref="AN469">IF($K469="",0,IFERROR(INDEX(CALC!$I$2:$I$33,MATCH($K469,CALC!$A$2:$A$33,0)),0))</f>
        <v/>
      </c>
      <c r="AO469" s="2" t="str">
        <f t="array" ref="AO469">IF($K469="",0,IFERROR(INDEX(CALC!$L$2:$L$33,MATCH($K469,CALC!$A$2:$A$33,0)),0))</f>
        <v/>
      </c>
      <c r="AP469" s="2" t="str">
        <f t="array" ref="AP469">IF($K469="",0,IFERROR(INDEX(CALC!$T$2:$T$33,MATCH($K469,CALC!$A$2:$A$33,0)),0))</f>
        <v/>
      </c>
      <c r="AQ469" s="2" t="str">
        <f t="array" ref="AQ469">IF($K469="",0,IFERROR(INDEX(CALC!$W$2:$W$33,MATCH($K469,CALC!$A$2:$A$33,0)),0))</f>
        <v/>
      </c>
      <c r="AR469" s="2" t="str">
        <f t="array" ref="AR469">IF($K469="",0,IFERROR(INDEX(CALC!$Z$2:$Z$33,MATCH($K469,CALC!$A$2:$A$33,0)),0))</f>
        <v/>
      </c>
      <c r="AS469" s="2" t="str">
        <f t="array" ref="AS469">IF($K469="",0,IFERROR(INDEX(CALC!$AJ$2:$AJ$33,MATCH($K469,CALC!$A$2:$A$33,0)),0))</f>
        <v/>
      </c>
      <c r="AT469" s="2" t="str">
        <f t="array" ref="AT469">IF($K469="",0,IFERROR(INDEX(CALC!$AI$2:$AI$33,MATCH($K469,CALC!$A$2:$A$33,0)),0))</f>
        <v/>
      </c>
      <c r="AU469" s="2">
        <f t="shared" si="11"/>
        <v>0</v>
      </c>
      <c r="AV469" s="2">
        <f t="shared" si="12"/>
        <v>0</v>
      </c>
    </row>
    <row r="470" ht="15.0" customHeight="1">
      <c r="A470" s="2">
        <v>234.0</v>
      </c>
      <c r="B470" s="2" t="s">
        <v>2366</v>
      </c>
      <c r="C470" s="2">
        <f>IFERROR(MATCH($A470,SchedSeq,0),"")</f>
        <v>519</v>
      </c>
      <c r="D470" s="2" t="str">
        <f t="array" ref="D470">IF($C470="","",INDEX(SchedZone,$C470,MAP!$B$6))</f>
        <v>2026_16_ARI_NO</v>
      </c>
      <c r="E470" s="2">
        <f t="array" ref="E470">IF($C470="","",INDEX(SchedZone,$C470,MAP!$B$3))</f>
        <v>2026</v>
      </c>
      <c r="F470" s="2" t="str">
        <f t="array" ref="F470">IF($C470="","",INDEX(SchedZone,$C470,MAP!$B$5))</f>
        <v>REG</v>
      </c>
      <c r="G470" s="2">
        <f t="array" ref="G470">IF($C470="","",INDEX(SchedZone,$C470,MAP!$B$4))</f>
        <v>16</v>
      </c>
      <c r="H470" s="2" t="str">
        <f t="array" ref="H470">IF($C470="","",INDEX(SchedZone,$C470,MAP!$B$10))</f>
        <v>ARI</v>
      </c>
      <c r="I470" s="2" t="str">
        <f t="array" ref="I470">IF($H470="","",IF(COUNTIF(Teams,$H470)&gt;0,$H470,IFERROR(INDEX(LISTS!$D$2:$D$12,MATCH($H470,LISTS!$C$2:$C$12,0)),"⚠ "&amp;$H470)))</f>
        <v>ARI</v>
      </c>
      <c r="J470" s="2" t="str">
        <f t="array" ref="J470">IF($C470="","",INDEX(SchedZone,$C470,MAP!$B$12))</f>
        <v>NO</v>
      </c>
      <c r="K470" s="2" t="str">
        <f t="array" ref="K470">IF($J470="","",IF(COUNTIF(Teams,$J470)&gt;0,$J470,IFERROR(INDEX(LISTS!$D$2:$D$12,MATCH($J470,LISTS!$C$2:$C$12,0)),"⚠ "&amp;$J470)))</f>
        <v>NO</v>
      </c>
      <c r="L470" s="2" t="str">
        <f t="array" ref="L470">IF($C470="","",IF(INDEX(SchedZone,$C470,MAP!$B$14)="Neutral","N",IF($B470="HOME","H","A")))</f>
        <v>A</v>
      </c>
      <c r="M470" s="2" t="str">
        <f t="array" ref="M470">IF($C470="","",IF(INDEX(SchedZone,$C470,MAP!$B$11)="","",INDEX(SchedZone,$C470,MAP!$B$11)))</f>
        <v/>
      </c>
      <c r="N470" s="2" t="str">
        <f t="array" ref="N470">IF($C470="","",IF(INDEX(SchedZone,$C470,MAP!$B$13)="","",INDEX(SchedZone,$C470,MAP!$B$13)))</f>
        <v/>
      </c>
      <c r="O470" s="2">
        <f t="array" ref="O470">IF($C470="","",INDEX(SchedZone,$C470,MAP!$B$15))</f>
        <v>7</v>
      </c>
      <c r="P470" s="2" t="str">
        <f>IF($C470="","",IFERROR(MATCH($E470&amp;"|"&amp;$G470&amp;"|"&amp;$I470,StatsKey,0),""))</f>
        <v/>
      </c>
      <c r="Q470" s="2">
        <f t="array" ref="Q470">IF($P470="",0,INDEX(StatsZone,$P470,MAP!$E$9)+INDEX(StatsZone,$P470,MAP!$E$10)+INDEX(StatsZone,$P470,MAP!$E$11))</f>
        <v>0</v>
      </c>
      <c r="R470" s="2">
        <f t="array" ref="R470">IF($P470="",0,INDEX(StatsZone,$P470,MAP!$E$12))</f>
        <v>0</v>
      </c>
      <c r="S470" s="2">
        <f t="array" ref="S470">IF($P470="",0,INDEX(StatsZone,$P470,MAP!$E$13))</f>
        <v>0</v>
      </c>
      <c r="T470" s="2">
        <f t="shared" si="1"/>
        <v>0</v>
      </c>
      <c r="U470" s="2">
        <f t="array" ref="U470">IF($P470="",0,INDEX(StatsZone,$P470,MAP!$E$14)+INDEX(StatsZone,$P470,MAP!$E$15)+INDEX(StatsZone,$P470,MAP!$E$16))</f>
        <v>0</v>
      </c>
      <c r="V470" s="2">
        <f t="shared" si="2"/>
        <v>0</v>
      </c>
      <c r="W470" s="2">
        <f t="shared" si="3"/>
        <v>0</v>
      </c>
      <c r="X470" s="2">
        <f t="shared" si="4"/>
        <v>0</v>
      </c>
      <c r="Y470" s="2">
        <f t="shared" si="5"/>
        <v>0</v>
      </c>
      <c r="Z470" s="2">
        <f t="shared" si="6"/>
        <v>0</v>
      </c>
      <c r="AA470" s="2">
        <f t="shared" si="7"/>
        <v>-1</v>
      </c>
      <c r="AB470" s="2">
        <f>IF(OR($M470="",$N470=""),0,MEDIAN(-MarginCap,MarginCap,($M470-$N470)-$AA470*HFA_Base))</f>
        <v>0</v>
      </c>
      <c r="AC470" s="2">
        <f t="array" ref="AC470">IF(OR($P470="",INDEX($P$3:$P$722,(ROW()+IF(MOD(ROW()-3,2)=0,1,-1))-3+1)=""),0,MEDIAN(-MarginCap,MarginCap,($T470-$W470)-$AA470*HFA_Base))</f>
        <v>0</v>
      </c>
      <c r="AD470" s="2">
        <f t="shared" si="8"/>
        <v>0</v>
      </c>
      <c r="AE470" s="2">
        <f>IF(OR($M470="",$N470=""),0,IF(AND(WEpa&gt;0,$AD470=1),(1-WEpa)*$AB470+WEpa*$AC470,$AB470))</f>
        <v>0</v>
      </c>
      <c r="AF470" s="2">
        <f>IF(AND($C470&lt;&gt;"",$E470=CurrentSeason,$F470="REG",ISNUMBER($G470),$G470&lt;CurrentWeek,AND($M470&lt;&gt;"",$N470&lt;&gt;"")),1,0)</f>
        <v>0</v>
      </c>
      <c r="AG470" s="2">
        <f>IF($AF470=0,0,IF($G470&gt;=CurrentWeek-RecencyWin,RecencyMult,1))</f>
        <v>0</v>
      </c>
      <c r="AH470" s="2">
        <f>IF(AND($C470&lt;&gt;"",$E470=CurrentSeason,$F470="REG",ISNUMBER($G470),$G470&lt;CurrentWeek-1,AND($M470&lt;&gt;"",$N470&lt;&gt;"")),1,0)</f>
        <v>0</v>
      </c>
      <c r="AI470" s="2">
        <f>IF($AH470=0,0,IF($G470&gt;=CurrentWeek-1-RecencyWin,RecencyMult,1))</f>
        <v>0</v>
      </c>
      <c r="AJ470" s="2">
        <f>IF($AF470=0,0,IF($G470&gt;=CurrentWeek-RecencyWin,TotRecency,1))</f>
        <v>0</v>
      </c>
      <c r="AK470" s="2">
        <f t="shared" si="9"/>
        <v>0</v>
      </c>
      <c r="AL470" s="2">
        <f t="shared" si="10"/>
        <v>0</v>
      </c>
      <c r="AM470" s="2" t="str">
        <f t="array" ref="AM470">IF($K470="",0,IFERROR(INDEX(CALC!$F$2:$F$33,MATCH($K470,CALC!$A$2:$A$33,0)),0))</f>
        <v/>
      </c>
      <c r="AN470" s="2" t="str">
        <f t="array" ref="AN470">IF($K470="",0,IFERROR(INDEX(CALC!$I$2:$I$33,MATCH($K470,CALC!$A$2:$A$33,0)),0))</f>
        <v/>
      </c>
      <c r="AO470" s="2" t="str">
        <f t="array" ref="AO470">IF($K470="",0,IFERROR(INDEX(CALC!$L$2:$L$33,MATCH($K470,CALC!$A$2:$A$33,0)),0))</f>
        <v/>
      </c>
      <c r="AP470" s="2" t="str">
        <f t="array" ref="AP470">IF($K470="",0,IFERROR(INDEX(CALC!$T$2:$T$33,MATCH($K470,CALC!$A$2:$A$33,0)),0))</f>
        <v/>
      </c>
      <c r="AQ470" s="2" t="str">
        <f t="array" ref="AQ470">IF($K470="",0,IFERROR(INDEX(CALC!$W$2:$W$33,MATCH($K470,CALC!$A$2:$A$33,0)),0))</f>
        <v/>
      </c>
      <c r="AR470" s="2" t="str">
        <f t="array" ref="AR470">IF($K470="",0,IFERROR(INDEX(CALC!$Z$2:$Z$33,MATCH($K470,CALC!$A$2:$A$33,0)),0))</f>
        <v/>
      </c>
      <c r="AS470" s="2" t="str">
        <f t="array" ref="AS470">IF($K470="",0,IFERROR(INDEX(CALC!$AJ$2:$AJ$33,MATCH($K470,CALC!$A$2:$A$33,0)),0))</f>
        <v/>
      </c>
      <c r="AT470" s="2" t="str">
        <f t="array" ref="AT470">IF($K470="",0,IFERROR(INDEX(CALC!$AI$2:$AI$33,MATCH($K470,CALC!$A$2:$A$33,0)),0))</f>
        <v/>
      </c>
      <c r="AU470" s="2">
        <f t="shared" si="11"/>
        <v>0</v>
      </c>
      <c r="AV470" s="2">
        <f t="shared" si="12"/>
        <v>0</v>
      </c>
    </row>
    <row r="471" ht="15.0" customHeight="1">
      <c r="A471" s="2">
        <v>235.0</v>
      </c>
      <c r="B471" s="2" t="s">
        <v>2365</v>
      </c>
      <c r="C471" s="2">
        <f>IFERROR(MATCH($A471,SchedSeq,0),"")</f>
        <v>520</v>
      </c>
      <c r="D471" s="2" t="str">
        <f t="array" ref="D471">IF($C471="","",INDEX(SchedZone,$C471,MAP!$B$6))</f>
        <v>2026_16_NE_NYJ</v>
      </c>
      <c r="E471" s="2">
        <f t="array" ref="E471">IF($C471="","",INDEX(SchedZone,$C471,MAP!$B$3))</f>
        <v>2026</v>
      </c>
      <c r="F471" s="2" t="str">
        <f t="array" ref="F471">IF($C471="","",INDEX(SchedZone,$C471,MAP!$B$5))</f>
        <v>REG</v>
      </c>
      <c r="G471" s="2">
        <f t="array" ref="G471">IF($C471="","",INDEX(SchedZone,$C471,MAP!$B$4))</f>
        <v>16</v>
      </c>
      <c r="H471" s="2" t="str">
        <f t="array" ref="H471">IF($C471="","",INDEX(SchedZone,$C471,MAP!$B$12))</f>
        <v>NYJ</v>
      </c>
      <c r="I471" s="2" t="str">
        <f t="array" ref="I471">IF($H471="","",IF(COUNTIF(Teams,$H471)&gt;0,$H471,IFERROR(INDEX(LISTS!$D$2:$D$12,MATCH($H471,LISTS!$C$2:$C$12,0)),"⚠ "&amp;$H471)))</f>
        <v>NYJ</v>
      </c>
      <c r="J471" s="2" t="str">
        <f t="array" ref="J471">IF($C471="","",INDEX(SchedZone,$C471,MAP!$B$10))</f>
        <v>NE</v>
      </c>
      <c r="K471" s="2" t="str">
        <f t="array" ref="K471">IF($J471="","",IF(COUNTIF(Teams,$J471)&gt;0,$J471,IFERROR(INDEX(LISTS!$D$2:$D$12,MATCH($J471,LISTS!$C$2:$C$12,0)),"⚠ "&amp;$J471)))</f>
        <v>NE</v>
      </c>
      <c r="L471" s="2" t="str">
        <f t="array" ref="L471">IF($C471="","",IF(INDEX(SchedZone,$C471,MAP!$B$14)="Neutral","N",IF($B471="HOME","H","A")))</f>
        <v>H</v>
      </c>
      <c r="M471" s="2" t="str">
        <f t="array" ref="M471">IF($C471="","",IF(INDEX(SchedZone,$C471,MAP!$B$13)="","",INDEX(SchedZone,$C471,MAP!$B$13)))</f>
        <v/>
      </c>
      <c r="N471" s="2" t="str">
        <f t="array" ref="N471">IF($C471="","",IF(INDEX(SchedZone,$C471,MAP!$B$11)="","",INDEX(SchedZone,$C471,MAP!$B$11)))</f>
        <v/>
      </c>
      <c r="O471" s="2">
        <f t="array" ref="O471">IF($C471="","",INDEX(SchedZone,$C471,MAP!$B$16))</f>
        <v>7</v>
      </c>
      <c r="P471" s="2" t="str">
        <f>IF($C471="","",IFERROR(MATCH($E471&amp;"|"&amp;$G471&amp;"|"&amp;$I471,StatsKey,0),""))</f>
        <v/>
      </c>
      <c r="Q471" s="2">
        <f t="array" ref="Q471">IF($P471="",0,INDEX(StatsZone,$P471,MAP!$E$9)+INDEX(StatsZone,$P471,MAP!$E$10)+INDEX(StatsZone,$P471,MAP!$E$11))</f>
        <v>0</v>
      </c>
      <c r="R471" s="2">
        <f t="array" ref="R471">IF($P471="",0,INDEX(StatsZone,$P471,MAP!$E$12))</f>
        <v>0</v>
      </c>
      <c r="S471" s="2">
        <f t="array" ref="S471">IF($P471="",0,INDEX(StatsZone,$P471,MAP!$E$13))</f>
        <v>0</v>
      </c>
      <c r="T471" s="2">
        <f t="shared" si="1"/>
        <v>0</v>
      </c>
      <c r="U471" s="2">
        <f t="array" ref="U471">IF($P471="",0,INDEX(StatsZone,$P471,MAP!$E$14)+INDEX(StatsZone,$P471,MAP!$E$15)+INDEX(StatsZone,$P471,MAP!$E$16))</f>
        <v>0</v>
      </c>
      <c r="V471" s="2">
        <f t="shared" si="2"/>
        <v>0</v>
      </c>
      <c r="W471" s="2">
        <f t="shared" si="3"/>
        <v>0</v>
      </c>
      <c r="X471" s="2">
        <f t="shared" si="4"/>
        <v>0</v>
      </c>
      <c r="Y471" s="2">
        <f t="shared" si="5"/>
        <v>0</v>
      </c>
      <c r="Z471" s="2">
        <f t="shared" si="6"/>
        <v>0</v>
      </c>
      <c r="AA471" s="2">
        <f t="shared" si="7"/>
        <v>1</v>
      </c>
      <c r="AB471" s="2">
        <f>IF(OR($M471="",$N471=""),0,MEDIAN(-MarginCap,MarginCap,($M471-$N471)-$AA471*HFA_Base))</f>
        <v>0</v>
      </c>
      <c r="AC471" s="2">
        <f t="array" ref="AC471">IF(OR($P471="",INDEX($P$3:$P$722,(ROW()+IF(MOD(ROW()-3,2)=0,1,-1))-3+1)=""),0,MEDIAN(-MarginCap,MarginCap,($T471-$W471)-$AA471*HFA_Base))</f>
        <v>0</v>
      </c>
      <c r="AD471" s="2">
        <f t="shared" si="8"/>
        <v>0</v>
      </c>
      <c r="AE471" s="2">
        <f>IF(OR($M471="",$N471=""),0,IF(AND(WEpa&gt;0,$AD471=1),(1-WEpa)*$AB471+WEpa*$AC471,$AB471))</f>
        <v>0</v>
      </c>
      <c r="AF471" s="2">
        <f>IF(AND($C471&lt;&gt;"",$E471=CurrentSeason,$F471="REG",ISNUMBER($G471),$G471&lt;CurrentWeek,AND($M471&lt;&gt;"",$N471&lt;&gt;"")),1,0)</f>
        <v>0</v>
      </c>
      <c r="AG471" s="2">
        <f>IF($AF471=0,0,IF($G471&gt;=CurrentWeek-RecencyWin,RecencyMult,1))</f>
        <v>0</v>
      </c>
      <c r="AH471" s="2">
        <f>IF(AND($C471&lt;&gt;"",$E471=CurrentSeason,$F471="REG",ISNUMBER($G471),$G471&lt;CurrentWeek-1,AND($M471&lt;&gt;"",$N471&lt;&gt;"")),1,0)</f>
        <v>0</v>
      </c>
      <c r="AI471" s="2">
        <f>IF($AH471=0,0,IF($G471&gt;=CurrentWeek-1-RecencyWin,RecencyMult,1))</f>
        <v>0</v>
      </c>
      <c r="AJ471" s="2">
        <f>IF($AF471=0,0,IF($G471&gt;=CurrentWeek-RecencyWin,TotRecency,1))</f>
        <v>0</v>
      </c>
      <c r="AK471" s="2">
        <f t="shared" si="9"/>
        <v>0</v>
      </c>
      <c r="AL471" s="2">
        <f t="shared" si="10"/>
        <v>0</v>
      </c>
      <c r="AM471" s="2" t="str">
        <f t="array" ref="AM471">IF($K471="",0,IFERROR(INDEX(CALC!$F$2:$F$33,MATCH($K471,CALC!$A$2:$A$33,0)),0))</f>
        <v/>
      </c>
      <c r="AN471" s="2" t="str">
        <f t="array" ref="AN471">IF($K471="",0,IFERROR(INDEX(CALC!$I$2:$I$33,MATCH($K471,CALC!$A$2:$A$33,0)),0))</f>
        <v/>
      </c>
      <c r="AO471" s="2" t="str">
        <f t="array" ref="AO471">IF($K471="",0,IFERROR(INDEX(CALC!$L$2:$L$33,MATCH($K471,CALC!$A$2:$A$33,0)),0))</f>
        <v/>
      </c>
      <c r="AP471" s="2" t="str">
        <f t="array" ref="AP471">IF($K471="",0,IFERROR(INDEX(CALC!$T$2:$T$33,MATCH($K471,CALC!$A$2:$A$33,0)),0))</f>
        <v/>
      </c>
      <c r="AQ471" s="2" t="str">
        <f t="array" ref="AQ471">IF($K471="",0,IFERROR(INDEX(CALC!$W$2:$W$33,MATCH($K471,CALC!$A$2:$A$33,0)),0))</f>
        <v/>
      </c>
      <c r="AR471" s="2" t="str">
        <f t="array" ref="AR471">IF($K471="",0,IFERROR(INDEX(CALC!$Z$2:$Z$33,MATCH($K471,CALC!$A$2:$A$33,0)),0))</f>
        <v/>
      </c>
      <c r="AS471" s="2" t="str">
        <f t="array" ref="AS471">IF($K471="",0,IFERROR(INDEX(CALC!$AJ$2:$AJ$33,MATCH($K471,CALC!$A$2:$A$33,0)),0))</f>
        <v/>
      </c>
      <c r="AT471" s="2" t="str">
        <f t="array" ref="AT471">IF($K471="",0,IFERROR(INDEX(CALC!$AI$2:$AI$33,MATCH($K471,CALC!$A$2:$A$33,0)),0))</f>
        <v/>
      </c>
      <c r="AU471" s="2">
        <f t="shared" si="11"/>
        <v>0</v>
      </c>
      <c r="AV471" s="2">
        <f t="shared" si="12"/>
        <v>0</v>
      </c>
    </row>
    <row r="472" ht="15.0" customHeight="1">
      <c r="A472" s="2">
        <v>235.0</v>
      </c>
      <c r="B472" s="2" t="s">
        <v>2366</v>
      </c>
      <c r="C472" s="2">
        <f>IFERROR(MATCH($A472,SchedSeq,0),"")</f>
        <v>520</v>
      </c>
      <c r="D472" s="2" t="str">
        <f t="array" ref="D472">IF($C472="","",INDEX(SchedZone,$C472,MAP!$B$6))</f>
        <v>2026_16_NE_NYJ</v>
      </c>
      <c r="E472" s="2">
        <f t="array" ref="E472">IF($C472="","",INDEX(SchedZone,$C472,MAP!$B$3))</f>
        <v>2026</v>
      </c>
      <c r="F472" s="2" t="str">
        <f t="array" ref="F472">IF($C472="","",INDEX(SchedZone,$C472,MAP!$B$5))</f>
        <v>REG</v>
      </c>
      <c r="G472" s="2">
        <f t="array" ref="G472">IF($C472="","",INDEX(SchedZone,$C472,MAP!$B$4))</f>
        <v>16</v>
      </c>
      <c r="H472" s="2" t="str">
        <f t="array" ref="H472">IF($C472="","",INDEX(SchedZone,$C472,MAP!$B$10))</f>
        <v>NE</v>
      </c>
      <c r="I472" s="2" t="str">
        <f t="array" ref="I472">IF($H472="","",IF(COUNTIF(Teams,$H472)&gt;0,$H472,IFERROR(INDEX(LISTS!$D$2:$D$12,MATCH($H472,LISTS!$C$2:$C$12,0)),"⚠ "&amp;$H472)))</f>
        <v>NE</v>
      </c>
      <c r="J472" s="2" t="str">
        <f t="array" ref="J472">IF($C472="","",INDEX(SchedZone,$C472,MAP!$B$12))</f>
        <v>NYJ</v>
      </c>
      <c r="K472" s="2" t="str">
        <f t="array" ref="K472">IF($J472="","",IF(COUNTIF(Teams,$J472)&gt;0,$J472,IFERROR(INDEX(LISTS!$D$2:$D$12,MATCH($J472,LISTS!$C$2:$C$12,0)),"⚠ "&amp;$J472)))</f>
        <v>NYJ</v>
      </c>
      <c r="L472" s="2" t="str">
        <f t="array" ref="L472">IF($C472="","",IF(INDEX(SchedZone,$C472,MAP!$B$14)="Neutral","N",IF($B472="HOME","H","A")))</f>
        <v>A</v>
      </c>
      <c r="M472" s="2" t="str">
        <f t="array" ref="M472">IF($C472="","",IF(INDEX(SchedZone,$C472,MAP!$B$11)="","",INDEX(SchedZone,$C472,MAP!$B$11)))</f>
        <v/>
      </c>
      <c r="N472" s="2" t="str">
        <f t="array" ref="N472">IF($C472="","",IF(INDEX(SchedZone,$C472,MAP!$B$13)="","",INDEX(SchedZone,$C472,MAP!$B$13)))</f>
        <v/>
      </c>
      <c r="O472" s="2">
        <f t="array" ref="O472">IF($C472="","",INDEX(SchedZone,$C472,MAP!$B$15))</f>
        <v>6</v>
      </c>
      <c r="P472" s="2" t="str">
        <f>IF($C472="","",IFERROR(MATCH($E472&amp;"|"&amp;$G472&amp;"|"&amp;$I472,StatsKey,0),""))</f>
        <v/>
      </c>
      <c r="Q472" s="2">
        <f t="array" ref="Q472">IF($P472="",0,INDEX(StatsZone,$P472,MAP!$E$9)+INDEX(StatsZone,$P472,MAP!$E$10)+INDEX(StatsZone,$P472,MAP!$E$11))</f>
        <v>0</v>
      </c>
      <c r="R472" s="2">
        <f t="array" ref="R472">IF($P472="",0,INDEX(StatsZone,$P472,MAP!$E$12))</f>
        <v>0</v>
      </c>
      <c r="S472" s="2">
        <f t="array" ref="S472">IF($P472="",0,INDEX(StatsZone,$P472,MAP!$E$13))</f>
        <v>0</v>
      </c>
      <c r="T472" s="2">
        <f t="shared" si="1"/>
        <v>0</v>
      </c>
      <c r="U472" s="2">
        <f t="array" ref="U472">IF($P472="",0,INDEX(StatsZone,$P472,MAP!$E$14)+INDEX(StatsZone,$P472,MAP!$E$15)+INDEX(StatsZone,$P472,MAP!$E$16))</f>
        <v>0</v>
      </c>
      <c r="V472" s="2">
        <f t="shared" si="2"/>
        <v>0</v>
      </c>
      <c r="W472" s="2">
        <f t="shared" si="3"/>
        <v>0</v>
      </c>
      <c r="X472" s="2">
        <f t="shared" si="4"/>
        <v>0</v>
      </c>
      <c r="Y472" s="2">
        <f t="shared" si="5"/>
        <v>0</v>
      </c>
      <c r="Z472" s="2">
        <f t="shared" si="6"/>
        <v>0</v>
      </c>
      <c r="AA472" s="2">
        <f t="shared" si="7"/>
        <v>-1</v>
      </c>
      <c r="AB472" s="2">
        <f>IF(OR($M472="",$N472=""),0,MEDIAN(-MarginCap,MarginCap,($M472-$N472)-$AA472*HFA_Base))</f>
        <v>0</v>
      </c>
      <c r="AC472" s="2">
        <f t="array" ref="AC472">IF(OR($P472="",INDEX($P$3:$P$722,(ROW()+IF(MOD(ROW()-3,2)=0,1,-1))-3+1)=""),0,MEDIAN(-MarginCap,MarginCap,($T472-$W472)-$AA472*HFA_Base))</f>
        <v>0</v>
      </c>
      <c r="AD472" s="2">
        <f t="shared" si="8"/>
        <v>0</v>
      </c>
      <c r="AE472" s="2">
        <f>IF(OR($M472="",$N472=""),0,IF(AND(WEpa&gt;0,$AD472=1),(1-WEpa)*$AB472+WEpa*$AC472,$AB472))</f>
        <v>0</v>
      </c>
      <c r="AF472" s="2">
        <f>IF(AND($C472&lt;&gt;"",$E472=CurrentSeason,$F472="REG",ISNUMBER($G472),$G472&lt;CurrentWeek,AND($M472&lt;&gt;"",$N472&lt;&gt;"")),1,0)</f>
        <v>0</v>
      </c>
      <c r="AG472" s="2">
        <f>IF($AF472=0,0,IF($G472&gt;=CurrentWeek-RecencyWin,RecencyMult,1))</f>
        <v>0</v>
      </c>
      <c r="AH472" s="2">
        <f>IF(AND($C472&lt;&gt;"",$E472=CurrentSeason,$F472="REG",ISNUMBER($G472),$G472&lt;CurrentWeek-1,AND($M472&lt;&gt;"",$N472&lt;&gt;"")),1,0)</f>
        <v>0</v>
      </c>
      <c r="AI472" s="2">
        <f>IF($AH472=0,0,IF($G472&gt;=CurrentWeek-1-RecencyWin,RecencyMult,1))</f>
        <v>0</v>
      </c>
      <c r="AJ472" s="2">
        <f>IF($AF472=0,0,IF($G472&gt;=CurrentWeek-RecencyWin,TotRecency,1))</f>
        <v>0</v>
      </c>
      <c r="AK472" s="2">
        <f t="shared" si="9"/>
        <v>0</v>
      </c>
      <c r="AL472" s="2">
        <f t="shared" si="10"/>
        <v>0</v>
      </c>
      <c r="AM472" s="2" t="str">
        <f t="array" ref="AM472">IF($K472="",0,IFERROR(INDEX(CALC!$F$2:$F$33,MATCH($K472,CALC!$A$2:$A$33,0)),0))</f>
        <v/>
      </c>
      <c r="AN472" s="2" t="str">
        <f t="array" ref="AN472">IF($K472="",0,IFERROR(INDEX(CALC!$I$2:$I$33,MATCH($K472,CALC!$A$2:$A$33,0)),0))</f>
        <v/>
      </c>
      <c r="AO472" s="2" t="str">
        <f t="array" ref="AO472">IF($K472="",0,IFERROR(INDEX(CALC!$L$2:$L$33,MATCH($K472,CALC!$A$2:$A$33,0)),0))</f>
        <v/>
      </c>
      <c r="AP472" s="2" t="str">
        <f t="array" ref="AP472">IF($K472="",0,IFERROR(INDEX(CALC!$T$2:$T$33,MATCH($K472,CALC!$A$2:$A$33,0)),0))</f>
        <v/>
      </c>
      <c r="AQ472" s="2" t="str">
        <f t="array" ref="AQ472">IF($K472="",0,IFERROR(INDEX(CALC!$W$2:$W$33,MATCH($K472,CALC!$A$2:$A$33,0)),0))</f>
        <v/>
      </c>
      <c r="AR472" s="2" t="str">
        <f t="array" ref="AR472">IF($K472="",0,IFERROR(INDEX(CALC!$Z$2:$Z$33,MATCH($K472,CALC!$A$2:$A$33,0)),0))</f>
        <v/>
      </c>
      <c r="AS472" s="2" t="str">
        <f t="array" ref="AS472">IF($K472="",0,IFERROR(INDEX(CALC!$AJ$2:$AJ$33,MATCH($K472,CALC!$A$2:$A$33,0)),0))</f>
        <v/>
      </c>
      <c r="AT472" s="2" t="str">
        <f t="array" ref="AT472">IF($K472="",0,IFERROR(INDEX(CALC!$AI$2:$AI$33,MATCH($K472,CALC!$A$2:$A$33,0)),0))</f>
        <v/>
      </c>
      <c r="AU472" s="2">
        <f t="shared" si="11"/>
        <v>0</v>
      </c>
      <c r="AV472" s="2">
        <f t="shared" si="12"/>
        <v>0</v>
      </c>
    </row>
    <row r="473" ht="15.0" customHeight="1">
      <c r="A473" s="2">
        <v>236.0</v>
      </c>
      <c r="B473" s="2" t="s">
        <v>2365</v>
      </c>
      <c r="C473" s="2">
        <f>IFERROR(MATCH($A473,SchedSeq,0),"")</f>
        <v>521</v>
      </c>
      <c r="D473" s="2" t="str">
        <f t="array" ref="D473">IF($C473="","",INDEX(SchedZone,$C473,MAP!$B$6))</f>
        <v>2026_16_CAR_PIT</v>
      </c>
      <c r="E473" s="2">
        <f t="array" ref="E473">IF($C473="","",INDEX(SchedZone,$C473,MAP!$B$3))</f>
        <v>2026</v>
      </c>
      <c r="F473" s="2" t="str">
        <f t="array" ref="F473">IF($C473="","",INDEX(SchedZone,$C473,MAP!$B$5))</f>
        <v>REG</v>
      </c>
      <c r="G473" s="2">
        <f t="array" ref="G473">IF($C473="","",INDEX(SchedZone,$C473,MAP!$B$4))</f>
        <v>16</v>
      </c>
      <c r="H473" s="2" t="str">
        <f t="array" ref="H473">IF($C473="","",INDEX(SchedZone,$C473,MAP!$B$12))</f>
        <v>PIT</v>
      </c>
      <c r="I473" s="2" t="str">
        <f t="array" ref="I473">IF($H473="","",IF(COUNTIF(Teams,$H473)&gt;0,$H473,IFERROR(INDEX(LISTS!$D$2:$D$12,MATCH($H473,LISTS!$C$2:$C$12,0)),"⚠ "&amp;$H473)))</f>
        <v>PIT</v>
      </c>
      <c r="J473" s="2" t="str">
        <f t="array" ref="J473">IF($C473="","",INDEX(SchedZone,$C473,MAP!$B$10))</f>
        <v>CAR</v>
      </c>
      <c r="K473" s="2" t="str">
        <f t="array" ref="K473">IF($J473="","",IF(COUNTIF(Teams,$J473)&gt;0,$J473,IFERROR(INDEX(LISTS!$D$2:$D$12,MATCH($J473,LISTS!$C$2:$C$12,0)),"⚠ "&amp;$J473)))</f>
        <v>CAR</v>
      </c>
      <c r="L473" s="2" t="str">
        <f t="array" ref="L473">IF($C473="","",IF(INDEX(SchedZone,$C473,MAP!$B$14)="Neutral","N",IF($B473="HOME","H","A")))</f>
        <v>H</v>
      </c>
      <c r="M473" s="2" t="str">
        <f t="array" ref="M473">IF($C473="","",IF(INDEX(SchedZone,$C473,MAP!$B$13)="","",INDEX(SchedZone,$C473,MAP!$B$13)))</f>
        <v/>
      </c>
      <c r="N473" s="2" t="str">
        <f t="array" ref="N473">IF($C473="","",IF(INDEX(SchedZone,$C473,MAP!$B$11)="","",INDEX(SchedZone,$C473,MAP!$B$11)))</f>
        <v/>
      </c>
      <c r="O473" s="2">
        <f t="array" ref="O473">IF($C473="","",INDEX(SchedZone,$C473,MAP!$B$16))</f>
        <v>7</v>
      </c>
      <c r="P473" s="2" t="str">
        <f>IF($C473="","",IFERROR(MATCH($E473&amp;"|"&amp;$G473&amp;"|"&amp;$I473,StatsKey,0),""))</f>
        <v/>
      </c>
      <c r="Q473" s="2">
        <f t="array" ref="Q473">IF($P473="",0,INDEX(StatsZone,$P473,MAP!$E$9)+INDEX(StatsZone,$P473,MAP!$E$10)+INDEX(StatsZone,$P473,MAP!$E$11))</f>
        <v>0</v>
      </c>
      <c r="R473" s="2">
        <f t="array" ref="R473">IF($P473="",0,INDEX(StatsZone,$P473,MAP!$E$12))</f>
        <v>0</v>
      </c>
      <c r="S473" s="2">
        <f t="array" ref="S473">IF($P473="",0,INDEX(StatsZone,$P473,MAP!$E$13))</f>
        <v>0</v>
      </c>
      <c r="T473" s="2">
        <f t="shared" si="1"/>
        <v>0</v>
      </c>
      <c r="U473" s="2">
        <f t="array" ref="U473">IF($P473="",0,INDEX(StatsZone,$P473,MAP!$E$14)+INDEX(StatsZone,$P473,MAP!$E$15)+INDEX(StatsZone,$P473,MAP!$E$16))</f>
        <v>0</v>
      </c>
      <c r="V473" s="2">
        <f t="shared" si="2"/>
        <v>0</v>
      </c>
      <c r="W473" s="2">
        <f t="shared" si="3"/>
        <v>0</v>
      </c>
      <c r="X473" s="2">
        <f t="shared" si="4"/>
        <v>0</v>
      </c>
      <c r="Y473" s="2">
        <f t="shared" si="5"/>
        <v>0</v>
      </c>
      <c r="Z473" s="2">
        <f t="shared" si="6"/>
        <v>0</v>
      </c>
      <c r="AA473" s="2">
        <f t="shared" si="7"/>
        <v>1</v>
      </c>
      <c r="AB473" s="2">
        <f>IF(OR($M473="",$N473=""),0,MEDIAN(-MarginCap,MarginCap,($M473-$N473)-$AA473*HFA_Base))</f>
        <v>0</v>
      </c>
      <c r="AC473" s="2">
        <f t="array" ref="AC473">IF(OR($P473="",INDEX($P$3:$P$722,(ROW()+IF(MOD(ROW()-3,2)=0,1,-1))-3+1)=""),0,MEDIAN(-MarginCap,MarginCap,($T473-$W473)-$AA473*HFA_Base))</f>
        <v>0</v>
      </c>
      <c r="AD473" s="2">
        <f t="shared" si="8"/>
        <v>0</v>
      </c>
      <c r="AE473" s="2">
        <f>IF(OR($M473="",$N473=""),0,IF(AND(WEpa&gt;0,$AD473=1),(1-WEpa)*$AB473+WEpa*$AC473,$AB473))</f>
        <v>0</v>
      </c>
      <c r="AF473" s="2">
        <f>IF(AND($C473&lt;&gt;"",$E473=CurrentSeason,$F473="REG",ISNUMBER($G473),$G473&lt;CurrentWeek,AND($M473&lt;&gt;"",$N473&lt;&gt;"")),1,0)</f>
        <v>0</v>
      </c>
      <c r="AG473" s="2">
        <f>IF($AF473=0,0,IF($G473&gt;=CurrentWeek-RecencyWin,RecencyMult,1))</f>
        <v>0</v>
      </c>
      <c r="AH473" s="2">
        <f>IF(AND($C473&lt;&gt;"",$E473=CurrentSeason,$F473="REG",ISNUMBER($G473),$G473&lt;CurrentWeek-1,AND($M473&lt;&gt;"",$N473&lt;&gt;"")),1,0)</f>
        <v>0</v>
      </c>
      <c r="AI473" s="2">
        <f>IF($AH473=0,0,IF($G473&gt;=CurrentWeek-1-RecencyWin,RecencyMult,1))</f>
        <v>0</v>
      </c>
      <c r="AJ473" s="2">
        <f>IF($AF473=0,0,IF($G473&gt;=CurrentWeek-RecencyWin,TotRecency,1))</f>
        <v>0</v>
      </c>
      <c r="AK473" s="2">
        <f t="shared" si="9"/>
        <v>0</v>
      </c>
      <c r="AL473" s="2">
        <f t="shared" si="10"/>
        <v>0</v>
      </c>
      <c r="AM473" s="2" t="str">
        <f t="array" ref="AM473">IF($K473="",0,IFERROR(INDEX(CALC!$F$2:$F$33,MATCH($K473,CALC!$A$2:$A$33,0)),0))</f>
        <v/>
      </c>
      <c r="AN473" s="2" t="str">
        <f t="array" ref="AN473">IF($K473="",0,IFERROR(INDEX(CALC!$I$2:$I$33,MATCH($K473,CALC!$A$2:$A$33,0)),0))</f>
        <v/>
      </c>
      <c r="AO473" s="2" t="str">
        <f t="array" ref="AO473">IF($K473="",0,IFERROR(INDEX(CALC!$L$2:$L$33,MATCH($K473,CALC!$A$2:$A$33,0)),0))</f>
        <v/>
      </c>
      <c r="AP473" s="2" t="str">
        <f t="array" ref="AP473">IF($K473="",0,IFERROR(INDEX(CALC!$T$2:$T$33,MATCH($K473,CALC!$A$2:$A$33,0)),0))</f>
        <v/>
      </c>
      <c r="AQ473" s="2" t="str">
        <f t="array" ref="AQ473">IF($K473="",0,IFERROR(INDEX(CALC!$W$2:$W$33,MATCH($K473,CALC!$A$2:$A$33,0)),0))</f>
        <v/>
      </c>
      <c r="AR473" s="2" t="str">
        <f t="array" ref="AR473">IF($K473="",0,IFERROR(INDEX(CALC!$Z$2:$Z$33,MATCH($K473,CALC!$A$2:$A$33,0)),0))</f>
        <v/>
      </c>
      <c r="AS473" s="2" t="str">
        <f t="array" ref="AS473">IF($K473="",0,IFERROR(INDEX(CALC!$AJ$2:$AJ$33,MATCH($K473,CALC!$A$2:$A$33,0)),0))</f>
        <v/>
      </c>
      <c r="AT473" s="2" t="str">
        <f t="array" ref="AT473">IF($K473="",0,IFERROR(INDEX(CALC!$AI$2:$AI$33,MATCH($K473,CALC!$A$2:$A$33,0)),0))</f>
        <v/>
      </c>
      <c r="AU473" s="2">
        <f t="shared" si="11"/>
        <v>0</v>
      </c>
      <c r="AV473" s="2">
        <f t="shared" si="12"/>
        <v>0</v>
      </c>
    </row>
    <row r="474" ht="15.0" customHeight="1">
      <c r="A474" s="2">
        <v>236.0</v>
      </c>
      <c r="B474" s="2" t="s">
        <v>2366</v>
      </c>
      <c r="C474" s="2">
        <f>IFERROR(MATCH($A474,SchedSeq,0),"")</f>
        <v>521</v>
      </c>
      <c r="D474" s="2" t="str">
        <f t="array" ref="D474">IF($C474="","",INDEX(SchedZone,$C474,MAP!$B$6))</f>
        <v>2026_16_CAR_PIT</v>
      </c>
      <c r="E474" s="2">
        <f t="array" ref="E474">IF($C474="","",INDEX(SchedZone,$C474,MAP!$B$3))</f>
        <v>2026</v>
      </c>
      <c r="F474" s="2" t="str">
        <f t="array" ref="F474">IF($C474="","",INDEX(SchedZone,$C474,MAP!$B$5))</f>
        <v>REG</v>
      </c>
      <c r="G474" s="2">
        <f t="array" ref="G474">IF($C474="","",INDEX(SchedZone,$C474,MAP!$B$4))</f>
        <v>16</v>
      </c>
      <c r="H474" s="2" t="str">
        <f t="array" ref="H474">IF($C474="","",INDEX(SchedZone,$C474,MAP!$B$10))</f>
        <v>CAR</v>
      </c>
      <c r="I474" s="2" t="str">
        <f t="array" ref="I474">IF($H474="","",IF(COUNTIF(Teams,$H474)&gt;0,$H474,IFERROR(INDEX(LISTS!$D$2:$D$12,MATCH($H474,LISTS!$C$2:$C$12,0)),"⚠ "&amp;$H474)))</f>
        <v>CAR</v>
      </c>
      <c r="J474" s="2" t="str">
        <f t="array" ref="J474">IF($C474="","",INDEX(SchedZone,$C474,MAP!$B$12))</f>
        <v>PIT</v>
      </c>
      <c r="K474" s="2" t="str">
        <f t="array" ref="K474">IF($J474="","",IF(COUNTIF(Teams,$J474)&gt;0,$J474,IFERROR(INDEX(LISTS!$D$2:$D$12,MATCH($J474,LISTS!$C$2:$C$12,0)),"⚠ "&amp;$J474)))</f>
        <v>PIT</v>
      </c>
      <c r="L474" s="2" t="str">
        <f t="array" ref="L474">IF($C474="","",IF(INDEX(SchedZone,$C474,MAP!$B$14)="Neutral","N",IF($B474="HOME","H","A")))</f>
        <v>A</v>
      </c>
      <c r="M474" s="2" t="str">
        <f t="array" ref="M474">IF($C474="","",IF(INDEX(SchedZone,$C474,MAP!$B$11)="","",INDEX(SchedZone,$C474,MAP!$B$11)))</f>
        <v/>
      </c>
      <c r="N474" s="2" t="str">
        <f t="array" ref="N474">IF($C474="","",IF(INDEX(SchedZone,$C474,MAP!$B$13)="","",INDEX(SchedZone,$C474,MAP!$B$13)))</f>
        <v/>
      </c>
      <c r="O474" s="2">
        <f t="array" ref="O474">IF($C474="","",INDEX(SchedZone,$C474,MAP!$B$15))</f>
        <v>7</v>
      </c>
      <c r="P474" s="2" t="str">
        <f>IF($C474="","",IFERROR(MATCH($E474&amp;"|"&amp;$G474&amp;"|"&amp;$I474,StatsKey,0),""))</f>
        <v/>
      </c>
      <c r="Q474" s="2">
        <f t="array" ref="Q474">IF($P474="",0,INDEX(StatsZone,$P474,MAP!$E$9)+INDEX(StatsZone,$P474,MAP!$E$10)+INDEX(StatsZone,$P474,MAP!$E$11))</f>
        <v>0</v>
      </c>
      <c r="R474" s="2">
        <f t="array" ref="R474">IF($P474="",0,INDEX(StatsZone,$P474,MAP!$E$12))</f>
        <v>0</v>
      </c>
      <c r="S474" s="2">
        <f t="array" ref="S474">IF($P474="",0,INDEX(StatsZone,$P474,MAP!$E$13))</f>
        <v>0</v>
      </c>
      <c r="T474" s="2">
        <f t="shared" si="1"/>
        <v>0</v>
      </c>
      <c r="U474" s="2">
        <f t="array" ref="U474">IF($P474="",0,INDEX(StatsZone,$P474,MAP!$E$14)+INDEX(StatsZone,$P474,MAP!$E$15)+INDEX(StatsZone,$P474,MAP!$E$16))</f>
        <v>0</v>
      </c>
      <c r="V474" s="2">
        <f t="shared" si="2"/>
        <v>0</v>
      </c>
      <c r="W474" s="2">
        <f t="shared" si="3"/>
        <v>0</v>
      </c>
      <c r="X474" s="2">
        <f t="shared" si="4"/>
        <v>0</v>
      </c>
      <c r="Y474" s="2">
        <f t="shared" si="5"/>
        <v>0</v>
      </c>
      <c r="Z474" s="2">
        <f t="shared" si="6"/>
        <v>0</v>
      </c>
      <c r="AA474" s="2">
        <f t="shared" si="7"/>
        <v>-1</v>
      </c>
      <c r="AB474" s="2">
        <f>IF(OR($M474="",$N474=""),0,MEDIAN(-MarginCap,MarginCap,($M474-$N474)-$AA474*HFA_Base))</f>
        <v>0</v>
      </c>
      <c r="AC474" s="2">
        <f t="array" ref="AC474">IF(OR($P474="",INDEX($P$3:$P$722,(ROW()+IF(MOD(ROW()-3,2)=0,1,-1))-3+1)=""),0,MEDIAN(-MarginCap,MarginCap,($T474-$W474)-$AA474*HFA_Base))</f>
        <v>0</v>
      </c>
      <c r="AD474" s="2">
        <f t="shared" si="8"/>
        <v>0</v>
      </c>
      <c r="AE474" s="2">
        <f>IF(OR($M474="",$N474=""),0,IF(AND(WEpa&gt;0,$AD474=1),(1-WEpa)*$AB474+WEpa*$AC474,$AB474))</f>
        <v>0</v>
      </c>
      <c r="AF474" s="2">
        <f>IF(AND($C474&lt;&gt;"",$E474=CurrentSeason,$F474="REG",ISNUMBER($G474),$G474&lt;CurrentWeek,AND($M474&lt;&gt;"",$N474&lt;&gt;"")),1,0)</f>
        <v>0</v>
      </c>
      <c r="AG474" s="2">
        <f>IF($AF474=0,0,IF($G474&gt;=CurrentWeek-RecencyWin,RecencyMult,1))</f>
        <v>0</v>
      </c>
      <c r="AH474" s="2">
        <f>IF(AND($C474&lt;&gt;"",$E474=CurrentSeason,$F474="REG",ISNUMBER($G474),$G474&lt;CurrentWeek-1,AND($M474&lt;&gt;"",$N474&lt;&gt;"")),1,0)</f>
        <v>0</v>
      </c>
      <c r="AI474" s="2">
        <f>IF($AH474=0,0,IF($G474&gt;=CurrentWeek-1-RecencyWin,RecencyMult,1))</f>
        <v>0</v>
      </c>
      <c r="AJ474" s="2">
        <f>IF($AF474=0,0,IF($G474&gt;=CurrentWeek-RecencyWin,TotRecency,1))</f>
        <v>0</v>
      </c>
      <c r="AK474" s="2">
        <f t="shared" si="9"/>
        <v>0</v>
      </c>
      <c r="AL474" s="2">
        <f t="shared" si="10"/>
        <v>0</v>
      </c>
      <c r="AM474" s="2" t="str">
        <f t="array" ref="AM474">IF($K474="",0,IFERROR(INDEX(CALC!$F$2:$F$33,MATCH($K474,CALC!$A$2:$A$33,0)),0))</f>
        <v/>
      </c>
      <c r="AN474" s="2" t="str">
        <f t="array" ref="AN474">IF($K474="",0,IFERROR(INDEX(CALC!$I$2:$I$33,MATCH($K474,CALC!$A$2:$A$33,0)),0))</f>
        <v/>
      </c>
      <c r="AO474" s="2" t="str">
        <f t="array" ref="AO474">IF($K474="",0,IFERROR(INDEX(CALC!$L$2:$L$33,MATCH($K474,CALC!$A$2:$A$33,0)),0))</f>
        <v/>
      </c>
      <c r="AP474" s="2" t="str">
        <f t="array" ref="AP474">IF($K474="",0,IFERROR(INDEX(CALC!$T$2:$T$33,MATCH($K474,CALC!$A$2:$A$33,0)),0))</f>
        <v/>
      </c>
      <c r="AQ474" s="2" t="str">
        <f t="array" ref="AQ474">IF($K474="",0,IFERROR(INDEX(CALC!$W$2:$W$33,MATCH($K474,CALC!$A$2:$A$33,0)),0))</f>
        <v/>
      </c>
      <c r="AR474" s="2" t="str">
        <f t="array" ref="AR474">IF($K474="",0,IFERROR(INDEX(CALC!$Z$2:$Z$33,MATCH($K474,CALC!$A$2:$A$33,0)),0))</f>
        <v/>
      </c>
      <c r="AS474" s="2" t="str">
        <f t="array" ref="AS474">IF($K474="",0,IFERROR(INDEX(CALC!$AJ$2:$AJ$33,MATCH($K474,CALC!$A$2:$A$33,0)),0))</f>
        <v/>
      </c>
      <c r="AT474" s="2" t="str">
        <f t="array" ref="AT474">IF($K474="",0,IFERROR(INDEX(CALC!$AI$2:$AI$33,MATCH($K474,CALC!$A$2:$A$33,0)),0))</f>
        <v/>
      </c>
      <c r="AU474" s="2">
        <f t="shared" si="11"/>
        <v>0</v>
      </c>
      <c r="AV474" s="2">
        <f t="shared" si="12"/>
        <v>0</v>
      </c>
    </row>
    <row r="475" ht="15.0" customHeight="1">
      <c r="A475" s="2">
        <v>237.0</v>
      </c>
      <c r="B475" s="2" t="s">
        <v>2365</v>
      </c>
      <c r="C475" s="2">
        <f>IFERROR(MATCH($A475,SchedSeq,0),"")</f>
        <v>522</v>
      </c>
      <c r="D475" s="2" t="str">
        <f t="array" ref="D475">IF($C475="","",INDEX(SchedZone,$C475,MAP!$B$6))</f>
        <v>2026_16_TEN_LV</v>
      </c>
      <c r="E475" s="2">
        <f t="array" ref="E475">IF($C475="","",INDEX(SchedZone,$C475,MAP!$B$3))</f>
        <v>2026</v>
      </c>
      <c r="F475" s="2" t="str">
        <f t="array" ref="F475">IF($C475="","",INDEX(SchedZone,$C475,MAP!$B$5))</f>
        <v>REG</v>
      </c>
      <c r="G475" s="2">
        <f t="array" ref="G475">IF($C475="","",INDEX(SchedZone,$C475,MAP!$B$4))</f>
        <v>16</v>
      </c>
      <c r="H475" s="2" t="str">
        <f t="array" ref="H475">IF($C475="","",INDEX(SchedZone,$C475,MAP!$B$12))</f>
        <v>LV</v>
      </c>
      <c r="I475" s="2" t="str">
        <f t="array" ref="I475">IF($H475="","",IF(COUNTIF(Teams,$H475)&gt;0,$H475,IFERROR(INDEX(LISTS!$D$2:$D$12,MATCH($H475,LISTS!$C$2:$C$12,0)),"⚠ "&amp;$H475)))</f>
        <v>LV</v>
      </c>
      <c r="J475" s="2" t="str">
        <f t="array" ref="J475">IF($C475="","",INDEX(SchedZone,$C475,MAP!$B$10))</f>
        <v>TEN</v>
      </c>
      <c r="K475" s="2" t="str">
        <f t="array" ref="K475">IF($J475="","",IF(COUNTIF(Teams,$J475)&gt;0,$J475,IFERROR(INDEX(LISTS!$D$2:$D$12,MATCH($J475,LISTS!$C$2:$C$12,0)),"⚠ "&amp;$J475)))</f>
        <v>TEN</v>
      </c>
      <c r="L475" s="2" t="str">
        <f t="array" ref="L475">IF($C475="","",IF(INDEX(SchedZone,$C475,MAP!$B$14)="Neutral","N",IF($B475="HOME","H","A")))</f>
        <v>H</v>
      </c>
      <c r="M475" s="2" t="str">
        <f t="array" ref="M475">IF($C475="","",IF(INDEX(SchedZone,$C475,MAP!$B$13)="","",INDEX(SchedZone,$C475,MAP!$B$13)))</f>
        <v/>
      </c>
      <c r="N475" s="2" t="str">
        <f t="array" ref="N475">IF($C475="","",IF(INDEX(SchedZone,$C475,MAP!$B$11)="","",INDEX(SchedZone,$C475,MAP!$B$11)))</f>
        <v/>
      </c>
      <c r="O475" s="2">
        <f t="array" ref="O475">IF($C475="","",INDEX(SchedZone,$C475,MAP!$B$16))</f>
        <v>7</v>
      </c>
      <c r="P475" s="2" t="str">
        <f>IF($C475="","",IFERROR(MATCH($E475&amp;"|"&amp;$G475&amp;"|"&amp;$I475,StatsKey,0),""))</f>
        <v/>
      </c>
      <c r="Q475" s="2">
        <f t="array" ref="Q475">IF($P475="",0,INDEX(StatsZone,$P475,MAP!$E$9)+INDEX(StatsZone,$P475,MAP!$E$10)+INDEX(StatsZone,$P475,MAP!$E$11))</f>
        <v>0</v>
      </c>
      <c r="R475" s="2">
        <f t="array" ref="R475">IF($P475="",0,INDEX(StatsZone,$P475,MAP!$E$12))</f>
        <v>0</v>
      </c>
      <c r="S475" s="2">
        <f t="array" ref="S475">IF($P475="",0,INDEX(StatsZone,$P475,MAP!$E$13))</f>
        <v>0</v>
      </c>
      <c r="T475" s="2">
        <f t="shared" si="1"/>
        <v>0</v>
      </c>
      <c r="U475" s="2">
        <f t="array" ref="U475">IF($P475="",0,INDEX(StatsZone,$P475,MAP!$E$14)+INDEX(StatsZone,$P475,MAP!$E$15)+INDEX(StatsZone,$P475,MAP!$E$16))</f>
        <v>0</v>
      </c>
      <c r="V475" s="2">
        <f t="shared" si="2"/>
        <v>0</v>
      </c>
      <c r="W475" s="2">
        <f t="shared" si="3"/>
        <v>0</v>
      </c>
      <c r="X475" s="2">
        <f t="shared" si="4"/>
        <v>0</v>
      </c>
      <c r="Y475" s="2">
        <f t="shared" si="5"/>
        <v>0</v>
      </c>
      <c r="Z475" s="2">
        <f t="shared" si="6"/>
        <v>0</v>
      </c>
      <c r="AA475" s="2">
        <f t="shared" si="7"/>
        <v>1</v>
      </c>
      <c r="AB475" s="2">
        <f>IF(OR($M475="",$N475=""),0,MEDIAN(-MarginCap,MarginCap,($M475-$N475)-$AA475*HFA_Base))</f>
        <v>0</v>
      </c>
      <c r="AC475" s="2">
        <f t="array" ref="AC475">IF(OR($P475="",INDEX($P$3:$P$722,(ROW()+IF(MOD(ROW()-3,2)=0,1,-1))-3+1)=""),0,MEDIAN(-MarginCap,MarginCap,($T475-$W475)-$AA475*HFA_Base))</f>
        <v>0</v>
      </c>
      <c r="AD475" s="2">
        <f t="shared" si="8"/>
        <v>0</v>
      </c>
      <c r="AE475" s="2">
        <f>IF(OR($M475="",$N475=""),0,IF(AND(WEpa&gt;0,$AD475=1),(1-WEpa)*$AB475+WEpa*$AC475,$AB475))</f>
        <v>0</v>
      </c>
      <c r="AF475" s="2">
        <f>IF(AND($C475&lt;&gt;"",$E475=CurrentSeason,$F475="REG",ISNUMBER($G475),$G475&lt;CurrentWeek,AND($M475&lt;&gt;"",$N475&lt;&gt;"")),1,0)</f>
        <v>0</v>
      </c>
      <c r="AG475" s="2">
        <f>IF($AF475=0,0,IF($G475&gt;=CurrentWeek-RecencyWin,RecencyMult,1))</f>
        <v>0</v>
      </c>
      <c r="AH475" s="2">
        <f>IF(AND($C475&lt;&gt;"",$E475=CurrentSeason,$F475="REG",ISNUMBER($G475),$G475&lt;CurrentWeek-1,AND($M475&lt;&gt;"",$N475&lt;&gt;"")),1,0)</f>
        <v>0</v>
      </c>
      <c r="AI475" s="2">
        <f>IF($AH475=0,0,IF($G475&gt;=CurrentWeek-1-RecencyWin,RecencyMult,1))</f>
        <v>0</v>
      </c>
      <c r="AJ475" s="2">
        <f>IF($AF475=0,0,IF($G475&gt;=CurrentWeek-RecencyWin,TotRecency,1))</f>
        <v>0</v>
      </c>
      <c r="AK475" s="2">
        <f t="shared" si="9"/>
        <v>0</v>
      </c>
      <c r="AL475" s="2">
        <f t="shared" si="10"/>
        <v>0</v>
      </c>
      <c r="AM475" s="2" t="str">
        <f t="array" ref="AM475">IF($K475="",0,IFERROR(INDEX(CALC!$F$2:$F$33,MATCH($K475,CALC!$A$2:$A$33,0)),0))</f>
        <v/>
      </c>
      <c r="AN475" s="2" t="str">
        <f t="array" ref="AN475">IF($K475="",0,IFERROR(INDEX(CALC!$I$2:$I$33,MATCH($K475,CALC!$A$2:$A$33,0)),0))</f>
        <v/>
      </c>
      <c r="AO475" s="2" t="str">
        <f t="array" ref="AO475">IF($K475="",0,IFERROR(INDEX(CALC!$L$2:$L$33,MATCH($K475,CALC!$A$2:$A$33,0)),0))</f>
        <v/>
      </c>
      <c r="AP475" s="2" t="str">
        <f t="array" ref="AP475">IF($K475="",0,IFERROR(INDEX(CALC!$T$2:$T$33,MATCH($K475,CALC!$A$2:$A$33,0)),0))</f>
        <v/>
      </c>
      <c r="AQ475" s="2" t="str">
        <f t="array" ref="AQ475">IF($K475="",0,IFERROR(INDEX(CALC!$W$2:$W$33,MATCH($K475,CALC!$A$2:$A$33,0)),0))</f>
        <v/>
      </c>
      <c r="AR475" s="2" t="str">
        <f t="array" ref="AR475">IF($K475="",0,IFERROR(INDEX(CALC!$Z$2:$Z$33,MATCH($K475,CALC!$A$2:$A$33,0)),0))</f>
        <v/>
      </c>
      <c r="AS475" s="2" t="str">
        <f t="array" ref="AS475">IF($K475="",0,IFERROR(INDEX(CALC!$AJ$2:$AJ$33,MATCH($K475,CALC!$A$2:$A$33,0)),0))</f>
        <v/>
      </c>
      <c r="AT475" s="2" t="str">
        <f t="array" ref="AT475">IF($K475="",0,IFERROR(INDEX(CALC!$AI$2:$AI$33,MATCH($K475,CALC!$A$2:$A$33,0)),0))</f>
        <v/>
      </c>
      <c r="AU475" s="2">
        <f t="shared" si="11"/>
        <v>0</v>
      </c>
      <c r="AV475" s="2">
        <f t="shared" si="12"/>
        <v>0</v>
      </c>
    </row>
    <row r="476" ht="15.0" customHeight="1">
      <c r="A476" s="2">
        <v>237.0</v>
      </c>
      <c r="B476" s="2" t="s">
        <v>2366</v>
      </c>
      <c r="C476" s="2">
        <f>IFERROR(MATCH($A476,SchedSeq,0),"")</f>
        <v>522</v>
      </c>
      <c r="D476" s="2" t="str">
        <f t="array" ref="D476">IF($C476="","",INDEX(SchedZone,$C476,MAP!$B$6))</f>
        <v>2026_16_TEN_LV</v>
      </c>
      <c r="E476" s="2">
        <f t="array" ref="E476">IF($C476="","",INDEX(SchedZone,$C476,MAP!$B$3))</f>
        <v>2026</v>
      </c>
      <c r="F476" s="2" t="str">
        <f t="array" ref="F476">IF($C476="","",INDEX(SchedZone,$C476,MAP!$B$5))</f>
        <v>REG</v>
      </c>
      <c r="G476" s="2">
        <f t="array" ref="G476">IF($C476="","",INDEX(SchedZone,$C476,MAP!$B$4))</f>
        <v>16</v>
      </c>
      <c r="H476" s="2" t="str">
        <f t="array" ref="H476">IF($C476="","",INDEX(SchedZone,$C476,MAP!$B$10))</f>
        <v>TEN</v>
      </c>
      <c r="I476" s="2" t="str">
        <f t="array" ref="I476">IF($H476="","",IF(COUNTIF(Teams,$H476)&gt;0,$H476,IFERROR(INDEX(LISTS!$D$2:$D$12,MATCH($H476,LISTS!$C$2:$C$12,0)),"⚠ "&amp;$H476)))</f>
        <v>TEN</v>
      </c>
      <c r="J476" s="2" t="str">
        <f t="array" ref="J476">IF($C476="","",INDEX(SchedZone,$C476,MAP!$B$12))</f>
        <v>LV</v>
      </c>
      <c r="K476" s="2" t="str">
        <f t="array" ref="K476">IF($J476="","",IF(COUNTIF(Teams,$J476)&gt;0,$J476,IFERROR(INDEX(LISTS!$D$2:$D$12,MATCH($J476,LISTS!$C$2:$C$12,0)),"⚠ "&amp;$J476)))</f>
        <v>LV</v>
      </c>
      <c r="L476" s="2" t="str">
        <f t="array" ref="L476">IF($C476="","",IF(INDEX(SchedZone,$C476,MAP!$B$14)="Neutral","N",IF($B476="HOME","H","A")))</f>
        <v>A</v>
      </c>
      <c r="M476" s="2" t="str">
        <f t="array" ref="M476">IF($C476="","",IF(INDEX(SchedZone,$C476,MAP!$B$11)="","",INDEX(SchedZone,$C476,MAP!$B$11)))</f>
        <v/>
      </c>
      <c r="N476" s="2" t="str">
        <f t="array" ref="N476">IF($C476="","",IF(INDEX(SchedZone,$C476,MAP!$B$13)="","",INDEX(SchedZone,$C476,MAP!$B$13)))</f>
        <v/>
      </c>
      <c r="O476" s="2">
        <f t="array" ref="O476">IF($C476="","",INDEX(SchedZone,$C476,MAP!$B$15))</f>
        <v>7</v>
      </c>
      <c r="P476" s="2" t="str">
        <f>IF($C476="","",IFERROR(MATCH($E476&amp;"|"&amp;$G476&amp;"|"&amp;$I476,StatsKey,0),""))</f>
        <v/>
      </c>
      <c r="Q476" s="2">
        <f t="array" ref="Q476">IF($P476="",0,INDEX(StatsZone,$P476,MAP!$E$9)+INDEX(StatsZone,$P476,MAP!$E$10)+INDEX(StatsZone,$P476,MAP!$E$11))</f>
        <v>0</v>
      </c>
      <c r="R476" s="2">
        <f t="array" ref="R476">IF($P476="",0,INDEX(StatsZone,$P476,MAP!$E$12))</f>
        <v>0</v>
      </c>
      <c r="S476" s="2">
        <f t="array" ref="S476">IF($P476="",0,INDEX(StatsZone,$P476,MAP!$E$13))</f>
        <v>0</v>
      </c>
      <c r="T476" s="2">
        <f t="shared" si="1"/>
        <v>0</v>
      </c>
      <c r="U476" s="2">
        <f t="array" ref="U476">IF($P476="",0,INDEX(StatsZone,$P476,MAP!$E$14)+INDEX(StatsZone,$P476,MAP!$E$15)+INDEX(StatsZone,$P476,MAP!$E$16))</f>
        <v>0</v>
      </c>
      <c r="V476" s="2">
        <f t="shared" si="2"/>
        <v>0</v>
      </c>
      <c r="W476" s="2">
        <f t="shared" si="3"/>
        <v>0</v>
      </c>
      <c r="X476" s="2">
        <f t="shared" si="4"/>
        <v>0</v>
      </c>
      <c r="Y476" s="2">
        <f t="shared" si="5"/>
        <v>0</v>
      </c>
      <c r="Z476" s="2">
        <f t="shared" si="6"/>
        <v>0</v>
      </c>
      <c r="AA476" s="2">
        <f t="shared" si="7"/>
        <v>-1</v>
      </c>
      <c r="AB476" s="2">
        <f>IF(OR($M476="",$N476=""),0,MEDIAN(-MarginCap,MarginCap,($M476-$N476)-$AA476*HFA_Base))</f>
        <v>0</v>
      </c>
      <c r="AC476" s="2">
        <f t="array" ref="AC476">IF(OR($P476="",INDEX($P$3:$P$722,(ROW()+IF(MOD(ROW()-3,2)=0,1,-1))-3+1)=""),0,MEDIAN(-MarginCap,MarginCap,($T476-$W476)-$AA476*HFA_Base))</f>
        <v>0</v>
      </c>
      <c r="AD476" s="2">
        <f t="shared" si="8"/>
        <v>0</v>
      </c>
      <c r="AE476" s="2">
        <f>IF(OR($M476="",$N476=""),0,IF(AND(WEpa&gt;0,$AD476=1),(1-WEpa)*$AB476+WEpa*$AC476,$AB476))</f>
        <v>0</v>
      </c>
      <c r="AF476" s="2">
        <f>IF(AND($C476&lt;&gt;"",$E476=CurrentSeason,$F476="REG",ISNUMBER($G476),$G476&lt;CurrentWeek,AND($M476&lt;&gt;"",$N476&lt;&gt;"")),1,0)</f>
        <v>0</v>
      </c>
      <c r="AG476" s="2">
        <f>IF($AF476=0,0,IF($G476&gt;=CurrentWeek-RecencyWin,RecencyMult,1))</f>
        <v>0</v>
      </c>
      <c r="AH476" s="2">
        <f>IF(AND($C476&lt;&gt;"",$E476=CurrentSeason,$F476="REG",ISNUMBER($G476),$G476&lt;CurrentWeek-1,AND($M476&lt;&gt;"",$N476&lt;&gt;"")),1,0)</f>
        <v>0</v>
      </c>
      <c r="AI476" s="2">
        <f>IF($AH476=0,0,IF($G476&gt;=CurrentWeek-1-RecencyWin,RecencyMult,1))</f>
        <v>0</v>
      </c>
      <c r="AJ476" s="2">
        <f>IF($AF476=0,0,IF($G476&gt;=CurrentWeek-RecencyWin,TotRecency,1))</f>
        <v>0</v>
      </c>
      <c r="AK476" s="2">
        <f t="shared" si="9"/>
        <v>0</v>
      </c>
      <c r="AL476" s="2">
        <f t="shared" si="10"/>
        <v>0</v>
      </c>
      <c r="AM476" s="2" t="str">
        <f t="array" ref="AM476">IF($K476="",0,IFERROR(INDEX(CALC!$F$2:$F$33,MATCH($K476,CALC!$A$2:$A$33,0)),0))</f>
        <v/>
      </c>
      <c r="AN476" s="2" t="str">
        <f t="array" ref="AN476">IF($K476="",0,IFERROR(INDEX(CALC!$I$2:$I$33,MATCH($K476,CALC!$A$2:$A$33,0)),0))</f>
        <v/>
      </c>
      <c r="AO476" s="2" t="str">
        <f t="array" ref="AO476">IF($K476="",0,IFERROR(INDEX(CALC!$L$2:$L$33,MATCH($K476,CALC!$A$2:$A$33,0)),0))</f>
        <v/>
      </c>
      <c r="AP476" s="2" t="str">
        <f t="array" ref="AP476">IF($K476="",0,IFERROR(INDEX(CALC!$T$2:$T$33,MATCH($K476,CALC!$A$2:$A$33,0)),0))</f>
        <v/>
      </c>
      <c r="AQ476" s="2" t="str">
        <f t="array" ref="AQ476">IF($K476="",0,IFERROR(INDEX(CALC!$W$2:$W$33,MATCH($K476,CALC!$A$2:$A$33,0)),0))</f>
        <v/>
      </c>
      <c r="AR476" s="2" t="str">
        <f t="array" ref="AR476">IF($K476="",0,IFERROR(INDEX(CALC!$Z$2:$Z$33,MATCH($K476,CALC!$A$2:$A$33,0)),0))</f>
        <v/>
      </c>
      <c r="AS476" s="2" t="str">
        <f t="array" ref="AS476">IF($K476="",0,IFERROR(INDEX(CALC!$AJ$2:$AJ$33,MATCH($K476,CALC!$A$2:$A$33,0)),0))</f>
        <v/>
      </c>
      <c r="AT476" s="2" t="str">
        <f t="array" ref="AT476">IF($K476="",0,IFERROR(INDEX(CALC!$AI$2:$AI$33,MATCH($K476,CALC!$A$2:$A$33,0)),0))</f>
        <v/>
      </c>
      <c r="AU476" s="2">
        <f t="shared" si="11"/>
        <v>0</v>
      </c>
      <c r="AV476" s="2">
        <f t="shared" si="12"/>
        <v>0</v>
      </c>
    </row>
    <row r="477" ht="15.0" customHeight="1">
      <c r="A477" s="2">
        <v>238.0</v>
      </c>
      <c r="B477" s="2" t="s">
        <v>2365</v>
      </c>
      <c r="C477" s="2">
        <f>IFERROR(MATCH($A477,SchedSeq,0),"")</f>
        <v>523</v>
      </c>
      <c r="D477" s="2" t="str">
        <f t="array" ref="D477">IF($C477="","",INDEX(SchedZone,$C477,MAP!$B$6))</f>
        <v>2026_16_SF_KC</v>
      </c>
      <c r="E477" s="2">
        <f t="array" ref="E477">IF($C477="","",INDEX(SchedZone,$C477,MAP!$B$3))</f>
        <v>2026</v>
      </c>
      <c r="F477" s="2" t="str">
        <f t="array" ref="F477">IF($C477="","",INDEX(SchedZone,$C477,MAP!$B$5))</f>
        <v>REG</v>
      </c>
      <c r="G477" s="2">
        <f t="array" ref="G477">IF($C477="","",INDEX(SchedZone,$C477,MAP!$B$4))</f>
        <v>16</v>
      </c>
      <c r="H477" s="2" t="str">
        <f t="array" ref="H477">IF($C477="","",INDEX(SchedZone,$C477,MAP!$B$12))</f>
        <v>KC</v>
      </c>
      <c r="I477" s="2" t="str">
        <f t="array" ref="I477">IF($H477="","",IF(COUNTIF(Teams,$H477)&gt;0,$H477,IFERROR(INDEX(LISTS!$D$2:$D$12,MATCH($H477,LISTS!$C$2:$C$12,0)),"⚠ "&amp;$H477)))</f>
        <v>KC</v>
      </c>
      <c r="J477" s="2" t="str">
        <f t="array" ref="J477">IF($C477="","",INDEX(SchedZone,$C477,MAP!$B$10))</f>
        <v>SF</v>
      </c>
      <c r="K477" s="2" t="str">
        <f t="array" ref="K477">IF($J477="","",IF(COUNTIF(Teams,$J477)&gt;0,$J477,IFERROR(INDEX(LISTS!$D$2:$D$12,MATCH($J477,LISTS!$C$2:$C$12,0)),"⚠ "&amp;$J477)))</f>
        <v>SF</v>
      </c>
      <c r="L477" s="2" t="str">
        <f t="array" ref="L477">IF($C477="","",IF(INDEX(SchedZone,$C477,MAP!$B$14)="Neutral","N",IF($B477="HOME","H","A")))</f>
        <v>H</v>
      </c>
      <c r="M477" s="2" t="str">
        <f t="array" ref="M477">IF($C477="","",IF(INDEX(SchedZone,$C477,MAP!$B$13)="","",INDEX(SchedZone,$C477,MAP!$B$13)))</f>
        <v/>
      </c>
      <c r="N477" s="2" t="str">
        <f t="array" ref="N477">IF($C477="","",IF(INDEX(SchedZone,$C477,MAP!$B$11)="","",INDEX(SchedZone,$C477,MAP!$B$11)))</f>
        <v/>
      </c>
      <c r="O477" s="2">
        <f t="array" ref="O477">IF($C477="","",INDEX(SchedZone,$C477,MAP!$B$16))</f>
        <v>6</v>
      </c>
      <c r="P477" s="2" t="str">
        <f>IF($C477="","",IFERROR(MATCH($E477&amp;"|"&amp;$G477&amp;"|"&amp;$I477,StatsKey,0),""))</f>
        <v/>
      </c>
      <c r="Q477" s="2">
        <f t="array" ref="Q477">IF($P477="",0,INDEX(StatsZone,$P477,MAP!$E$9)+INDEX(StatsZone,$P477,MAP!$E$10)+INDEX(StatsZone,$P477,MAP!$E$11))</f>
        <v>0</v>
      </c>
      <c r="R477" s="2">
        <f t="array" ref="R477">IF($P477="",0,INDEX(StatsZone,$P477,MAP!$E$12))</f>
        <v>0</v>
      </c>
      <c r="S477" s="2">
        <f t="array" ref="S477">IF($P477="",0,INDEX(StatsZone,$P477,MAP!$E$13))</f>
        <v>0</v>
      </c>
      <c r="T477" s="2">
        <f t="shared" si="1"/>
        <v>0</v>
      </c>
      <c r="U477" s="2">
        <f t="array" ref="U477">IF($P477="",0,INDEX(StatsZone,$P477,MAP!$E$14)+INDEX(StatsZone,$P477,MAP!$E$15)+INDEX(StatsZone,$P477,MAP!$E$16))</f>
        <v>0</v>
      </c>
      <c r="V477" s="2">
        <f t="shared" si="2"/>
        <v>0</v>
      </c>
      <c r="W477" s="2">
        <f t="shared" si="3"/>
        <v>0</v>
      </c>
      <c r="X477" s="2">
        <f t="shared" si="4"/>
        <v>0</v>
      </c>
      <c r="Y477" s="2">
        <f t="shared" si="5"/>
        <v>0</v>
      </c>
      <c r="Z477" s="2">
        <f t="shared" si="6"/>
        <v>0</v>
      </c>
      <c r="AA477" s="2">
        <f t="shared" si="7"/>
        <v>1</v>
      </c>
      <c r="AB477" s="2">
        <f>IF(OR($M477="",$N477=""),0,MEDIAN(-MarginCap,MarginCap,($M477-$N477)-$AA477*HFA_Base))</f>
        <v>0</v>
      </c>
      <c r="AC477" s="2">
        <f t="array" ref="AC477">IF(OR($P477="",INDEX($P$3:$P$722,(ROW()+IF(MOD(ROW()-3,2)=0,1,-1))-3+1)=""),0,MEDIAN(-MarginCap,MarginCap,($T477-$W477)-$AA477*HFA_Base))</f>
        <v>0</v>
      </c>
      <c r="AD477" s="2">
        <f t="shared" si="8"/>
        <v>0</v>
      </c>
      <c r="AE477" s="2">
        <f>IF(OR($M477="",$N477=""),0,IF(AND(WEpa&gt;0,$AD477=1),(1-WEpa)*$AB477+WEpa*$AC477,$AB477))</f>
        <v>0</v>
      </c>
      <c r="AF477" s="2">
        <f>IF(AND($C477&lt;&gt;"",$E477=CurrentSeason,$F477="REG",ISNUMBER($G477),$G477&lt;CurrentWeek,AND($M477&lt;&gt;"",$N477&lt;&gt;"")),1,0)</f>
        <v>0</v>
      </c>
      <c r="AG477" s="2">
        <f>IF($AF477=0,0,IF($G477&gt;=CurrentWeek-RecencyWin,RecencyMult,1))</f>
        <v>0</v>
      </c>
      <c r="AH477" s="2">
        <f>IF(AND($C477&lt;&gt;"",$E477=CurrentSeason,$F477="REG",ISNUMBER($G477),$G477&lt;CurrentWeek-1,AND($M477&lt;&gt;"",$N477&lt;&gt;"")),1,0)</f>
        <v>0</v>
      </c>
      <c r="AI477" s="2">
        <f>IF($AH477=0,0,IF($G477&gt;=CurrentWeek-1-RecencyWin,RecencyMult,1))</f>
        <v>0</v>
      </c>
      <c r="AJ477" s="2">
        <f>IF($AF477=0,0,IF($G477&gt;=CurrentWeek-RecencyWin,TotRecency,1))</f>
        <v>0</v>
      </c>
      <c r="AK477" s="2">
        <f t="shared" si="9"/>
        <v>0</v>
      </c>
      <c r="AL477" s="2">
        <f t="shared" si="10"/>
        <v>0</v>
      </c>
      <c r="AM477" s="2" t="str">
        <f t="array" ref="AM477">IF($K477="",0,IFERROR(INDEX(CALC!$F$2:$F$33,MATCH($K477,CALC!$A$2:$A$33,0)),0))</f>
        <v/>
      </c>
      <c r="AN477" s="2" t="str">
        <f t="array" ref="AN477">IF($K477="",0,IFERROR(INDEX(CALC!$I$2:$I$33,MATCH($K477,CALC!$A$2:$A$33,0)),0))</f>
        <v/>
      </c>
      <c r="AO477" s="2" t="str">
        <f t="array" ref="AO477">IF($K477="",0,IFERROR(INDEX(CALC!$L$2:$L$33,MATCH($K477,CALC!$A$2:$A$33,0)),0))</f>
        <v/>
      </c>
      <c r="AP477" s="2" t="str">
        <f t="array" ref="AP477">IF($K477="",0,IFERROR(INDEX(CALC!$T$2:$T$33,MATCH($K477,CALC!$A$2:$A$33,0)),0))</f>
        <v/>
      </c>
      <c r="AQ477" s="2" t="str">
        <f t="array" ref="AQ477">IF($K477="",0,IFERROR(INDEX(CALC!$W$2:$W$33,MATCH($K477,CALC!$A$2:$A$33,0)),0))</f>
        <v/>
      </c>
      <c r="AR477" s="2" t="str">
        <f t="array" ref="AR477">IF($K477="",0,IFERROR(INDEX(CALC!$Z$2:$Z$33,MATCH($K477,CALC!$A$2:$A$33,0)),0))</f>
        <v/>
      </c>
      <c r="AS477" s="2" t="str">
        <f t="array" ref="AS477">IF($K477="",0,IFERROR(INDEX(CALC!$AJ$2:$AJ$33,MATCH($K477,CALC!$A$2:$A$33,0)),0))</f>
        <v/>
      </c>
      <c r="AT477" s="2" t="str">
        <f t="array" ref="AT477">IF($K477="",0,IFERROR(INDEX(CALC!$AI$2:$AI$33,MATCH($K477,CALC!$A$2:$A$33,0)),0))</f>
        <v/>
      </c>
      <c r="AU477" s="2">
        <f t="shared" si="11"/>
        <v>0</v>
      </c>
      <c r="AV477" s="2">
        <f t="shared" si="12"/>
        <v>0</v>
      </c>
    </row>
    <row r="478" ht="15.0" customHeight="1">
      <c r="A478" s="2">
        <v>238.0</v>
      </c>
      <c r="B478" s="2" t="s">
        <v>2366</v>
      </c>
      <c r="C478" s="2">
        <f>IFERROR(MATCH($A478,SchedSeq,0),"")</f>
        <v>523</v>
      </c>
      <c r="D478" s="2" t="str">
        <f t="array" ref="D478">IF($C478="","",INDEX(SchedZone,$C478,MAP!$B$6))</f>
        <v>2026_16_SF_KC</v>
      </c>
      <c r="E478" s="2">
        <f t="array" ref="E478">IF($C478="","",INDEX(SchedZone,$C478,MAP!$B$3))</f>
        <v>2026</v>
      </c>
      <c r="F478" s="2" t="str">
        <f t="array" ref="F478">IF($C478="","",INDEX(SchedZone,$C478,MAP!$B$5))</f>
        <v>REG</v>
      </c>
      <c r="G478" s="2">
        <f t="array" ref="G478">IF($C478="","",INDEX(SchedZone,$C478,MAP!$B$4))</f>
        <v>16</v>
      </c>
      <c r="H478" s="2" t="str">
        <f t="array" ref="H478">IF($C478="","",INDEX(SchedZone,$C478,MAP!$B$10))</f>
        <v>SF</v>
      </c>
      <c r="I478" s="2" t="str">
        <f t="array" ref="I478">IF($H478="","",IF(COUNTIF(Teams,$H478)&gt;0,$H478,IFERROR(INDEX(LISTS!$D$2:$D$12,MATCH($H478,LISTS!$C$2:$C$12,0)),"⚠ "&amp;$H478)))</f>
        <v>SF</v>
      </c>
      <c r="J478" s="2" t="str">
        <f t="array" ref="J478">IF($C478="","",INDEX(SchedZone,$C478,MAP!$B$12))</f>
        <v>KC</v>
      </c>
      <c r="K478" s="2" t="str">
        <f t="array" ref="K478">IF($J478="","",IF(COUNTIF(Teams,$J478)&gt;0,$J478,IFERROR(INDEX(LISTS!$D$2:$D$12,MATCH($J478,LISTS!$C$2:$C$12,0)),"⚠ "&amp;$J478)))</f>
        <v>KC</v>
      </c>
      <c r="L478" s="2" t="str">
        <f t="array" ref="L478">IF($C478="","",IF(INDEX(SchedZone,$C478,MAP!$B$14)="Neutral","N",IF($B478="HOME","H","A")))</f>
        <v>A</v>
      </c>
      <c r="M478" s="2" t="str">
        <f t="array" ref="M478">IF($C478="","",IF(INDEX(SchedZone,$C478,MAP!$B$11)="","",INDEX(SchedZone,$C478,MAP!$B$11)))</f>
        <v/>
      </c>
      <c r="N478" s="2" t="str">
        <f t="array" ref="N478">IF($C478="","",IF(INDEX(SchedZone,$C478,MAP!$B$13)="","",INDEX(SchedZone,$C478,MAP!$B$13)))</f>
        <v/>
      </c>
      <c r="O478" s="2">
        <f t="array" ref="O478">IF($C478="","",INDEX(SchedZone,$C478,MAP!$B$15))</f>
        <v>10</v>
      </c>
      <c r="P478" s="2" t="str">
        <f>IF($C478="","",IFERROR(MATCH($E478&amp;"|"&amp;$G478&amp;"|"&amp;$I478,StatsKey,0),""))</f>
        <v/>
      </c>
      <c r="Q478" s="2">
        <f t="array" ref="Q478">IF($P478="",0,INDEX(StatsZone,$P478,MAP!$E$9)+INDEX(StatsZone,$P478,MAP!$E$10)+INDEX(StatsZone,$P478,MAP!$E$11))</f>
        <v>0</v>
      </c>
      <c r="R478" s="2">
        <f t="array" ref="R478">IF($P478="",0,INDEX(StatsZone,$P478,MAP!$E$12))</f>
        <v>0</v>
      </c>
      <c r="S478" s="2">
        <f t="array" ref="S478">IF($P478="",0,INDEX(StatsZone,$P478,MAP!$E$13))</f>
        <v>0</v>
      </c>
      <c r="T478" s="2">
        <f t="shared" si="1"/>
        <v>0</v>
      </c>
      <c r="U478" s="2">
        <f t="array" ref="U478">IF($P478="",0,INDEX(StatsZone,$P478,MAP!$E$14)+INDEX(StatsZone,$P478,MAP!$E$15)+INDEX(StatsZone,$P478,MAP!$E$16))</f>
        <v>0</v>
      </c>
      <c r="V478" s="2">
        <f t="shared" si="2"/>
        <v>0</v>
      </c>
      <c r="W478" s="2">
        <f t="shared" si="3"/>
        <v>0</v>
      </c>
      <c r="X478" s="2">
        <f t="shared" si="4"/>
        <v>0</v>
      </c>
      <c r="Y478" s="2">
        <f t="shared" si="5"/>
        <v>0</v>
      </c>
      <c r="Z478" s="2">
        <f t="shared" si="6"/>
        <v>0</v>
      </c>
      <c r="AA478" s="2">
        <f t="shared" si="7"/>
        <v>-1</v>
      </c>
      <c r="AB478" s="2">
        <f>IF(OR($M478="",$N478=""),0,MEDIAN(-MarginCap,MarginCap,($M478-$N478)-$AA478*HFA_Base))</f>
        <v>0</v>
      </c>
      <c r="AC478" s="2">
        <f t="array" ref="AC478">IF(OR($P478="",INDEX($P$3:$P$722,(ROW()+IF(MOD(ROW()-3,2)=0,1,-1))-3+1)=""),0,MEDIAN(-MarginCap,MarginCap,($T478-$W478)-$AA478*HFA_Base))</f>
        <v>0</v>
      </c>
      <c r="AD478" s="2">
        <f t="shared" si="8"/>
        <v>0</v>
      </c>
      <c r="AE478" s="2">
        <f>IF(OR($M478="",$N478=""),0,IF(AND(WEpa&gt;0,$AD478=1),(1-WEpa)*$AB478+WEpa*$AC478,$AB478))</f>
        <v>0</v>
      </c>
      <c r="AF478" s="2">
        <f>IF(AND($C478&lt;&gt;"",$E478=CurrentSeason,$F478="REG",ISNUMBER($G478),$G478&lt;CurrentWeek,AND($M478&lt;&gt;"",$N478&lt;&gt;"")),1,0)</f>
        <v>0</v>
      </c>
      <c r="AG478" s="2">
        <f>IF($AF478=0,0,IF($G478&gt;=CurrentWeek-RecencyWin,RecencyMult,1))</f>
        <v>0</v>
      </c>
      <c r="AH478" s="2">
        <f>IF(AND($C478&lt;&gt;"",$E478=CurrentSeason,$F478="REG",ISNUMBER($G478),$G478&lt;CurrentWeek-1,AND($M478&lt;&gt;"",$N478&lt;&gt;"")),1,0)</f>
        <v>0</v>
      </c>
      <c r="AI478" s="2">
        <f>IF($AH478=0,0,IF($G478&gt;=CurrentWeek-1-RecencyWin,RecencyMult,1))</f>
        <v>0</v>
      </c>
      <c r="AJ478" s="2">
        <f>IF($AF478=0,0,IF($G478&gt;=CurrentWeek-RecencyWin,TotRecency,1))</f>
        <v>0</v>
      </c>
      <c r="AK478" s="2">
        <f t="shared" si="9"/>
        <v>0</v>
      </c>
      <c r="AL478" s="2">
        <f t="shared" si="10"/>
        <v>0</v>
      </c>
      <c r="AM478" s="2" t="str">
        <f t="array" ref="AM478">IF($K478="",0,IFERROR(INDEX(CALC!$F$2:$F$33,MATCH($K478,CALC!$A$2:$A$33,0)),0))</f>
        <v/>
      </c>
      <c r="AN478" s="2" t="str">
        <f t="array" ref="AN478">IF($K478="",0,IFERROR(INDEX(CALC!$I$2:$I$33,MATCH($K478,CALC!$A$2:$A$33,0)),0))</f>
        <v/>
      </c>
      <c r="AO478" s="2" t="str">
        <f t="array" ref="AO478">IF($K478="",0,IFERROR(INDEX(CALC!$L$2:$L$33,MATCH($K478,CALC!$A$2:$A$33,0)),0))</f>
        <v/>
      </c>
      <c r="AP478" s="2" t="str">
        <f t="array" ref="AP478">IF($K478="",0,IFERROR(INDEX(CALC!$T$2:$T$33,MATCH($K478,CALC!$A$2:$A$33,0)),0))</f>
        <v/>
      </c>
      <c r="AQ478" s="2" t="str">
        <f t="array" ref="AQ478">IF($K478="",0,IFERROR(INDEX(CALC!$W$2:$W$33,MATCH($K478,CALC!$A$2:$A$33,0)),0))</f>
        <v/>
      </c>
      <c r="AR478" s="2" t="str">
        <f t="array" ref="AR478">IF($K478="",0,IFERROR(INDEX(CALC!$Z$2:$Z$33,MATCH($K478,CALC!$A$2:$A$33,0)),0))</f>
        <v/>
      </c>
      <c r="AS478" s="2" t="str">
        <f t="array" ref="AS478">IF($K478="",0,IFERROR(INDEX(CALC!$AJ$2:$AJ$33,MATCH($K478,CALC!$A$2:$A$33,0)),0))</f>
        <v/>
      </c>
      <c r="AT478" s="2" t="str">
        <f t="array" ref="AT478">IF($K478="",0,IFERROR(INDEX(CALC!$AI$2:$AI$33,MATCH($K478,CALC!$A$2:$A$33,0)),0))</f>
        <v/>
      </c>
      <c r="AU478" s="2">
        <f t="shared" si="11"/>
        <v>0</v>
      </c>
      <c r="AV478" s="2">
        <f t="shared" si="12"/>
        <v>0</v>
      </c>
    </row>
    <row r="479" ht="15.0" customHeight="1">
      <c r="A479" s="2">
        <v>239.0</v>
      </c>
      <c r="B479" s="2" t="s">
        <v>2365</v>
      </c>
      <c r="C479" s="2">
        <f>IFERROR(MATCH($A479,SchedSeq,0),"")</f>
        <v>524</v>
      </c>
      <c r="D479" s="2" t="str">
        <f t="array" ref="D479">IF($C479="","",INDEX(SchedZone,$C479,MAP!$B$6))</f>
        <v>2026_16_JAX_DAL</v>
      </c>
      <c r="E479" s="2">
        <f t="array" ref="E479">IF($C479="","",INDEX(SchedZone,$C479,MAP!$B$3))</f>
        <v>2026</v>
      </c>
      <c r="F479" s="2" t="str">
        <f t="array" ref="F479">IF($C479="","",INDEX(SchedZone,$C479,MAP!$B$5))</f>
        <v>REG</v>
      </c>
      <c r="G479" s="2">
        <f t="array" ref="G479">IF($C479="","",INDEX(SchedZone,$C479,MAP!$B$4))</f>
        <v>16</v>
      </c>
      <c r="H479" s="2" t="str">
        <f t="array" ref="H479">IF($C479="","",INDEX(SchedZone,$C479,MAP!$B$12))</f>
        <v>DAL</v>
      </c>
      <c r="I479" s="2" t="str">
        <f t="array" ref="I479">IF($H479="","",IF(COUNTIF(Teams,$H479)&gt;0,$H479,IFERROR(INDEX(LISTS!$D$2:$D$12,MATCH($H479,LISTS!$C$2:$C$12,0)),"⚠ "&amp;$H479)))</f>
        <v>DAL</v>
      </c>
      <c r="J479" s="2" t="str">
        <f t="array" ref="J479">IF($C479="","",INDEX(SchedZone,$C479,MAP!$B$10))</f>
        <v>JAX</v>
      </c>
      <c r="K479" s="2" t="str">
        <f t="array" ref="K479">IF($J479="","",IF(COUNTIF(Teams,$J479)&gt;0,$J479,IFERROR(INDEX(LISTS!$D$2:$D$12,MATCH($J479,LISTS!$C$2:$C$12,0)),"⚠ "&amp;$J479)))</f>
        <v>JAX</v>
      </c>
      <c r="L479" s="2" t="str">
        <f t="array" ref="L479">IF($C479="","",IF(INDEX(SchedZone,$C479,MAP!$B$14)="Neutral","N",IF($B479="HOME","H","A")))</f>
        <v>H</v>
      </c>
      <c r="M479" s="2" t="str">
        <f t="array" ref="M479">IF($C479="","",IF(INDEX(SchedZone,$C479,MAP!$B$13)="","",INDEX(SchedZone,$C479,MAP!$B$13)))</f>
        <v/>
      </c>
      <c r="N479" s="2" t="str">
        <f t="array" ref="N479">IF($C479="","",IF(INDEX(SchedZone,$C479,MAP!$B$11)="","",INDEX(SchedZone,$C479,MAP!$B$11)))</f>
        <v/>
      </c>
      <c r="O479" s="2">
        <f t="array" ref="O479">IF($C479="","",INDEX(SchedZone,$C479,MAP!$B$16))</f>
        <v>7</v>
      </c>
      <c r="P479" s="2" t="str">
        <f>IF($C479="","",IFERROR(MATCH($E479&amp;"|"&amp;$G479&amp;"|"&amp;$I479,StatsKey,0),""))</f>
        <v/>
      </c>
      <c r="Q479" s="2">
        <f t="array" ref="Q479">IF($P479="",0,INDEX(StatsZone,$P479,MAP!$E$9)+INDEX(StatsZone,$P479,MAP!$E$10)+INDEX(StatsZone,$P479,MAP!$E$11))</f>
        <v>0</v>
      </c>
      <c r="R479" s="2">
        <f t="array" ref="R479">IF($P479="",0,INDEX(StatsZone,$P479,MAP!$E$12))</f>
        <v>0</v>
      </c>
      <c r="S479" s="2">
        <f t="array" ref="S479">IF($P479="",0,INDEX(StatsZone,$P479,MAP!$E$13))</f>
        <v>0</v>
      </c>
      <c r="T479" s="2">
        <f t="shared" si="1"/>
        <v>0</v>
      </c>
      <c r="U479" s="2">
        <f t="array" ref="U479">IF($P479="",0,INDEX(StatsZone,$P479,MAP!$E$14)+INDEX(StatsZone,$P479,MAP!$E$15)+INDEX(StatsZone,$P479,MAP!$E$16))</f>
        <v>0</v>
      </c>
      <c r="V479" s="2">
        <f t="shared" si="2"/>
        <v>0</v>
      </c>
      <c r="W479" s="2">
        <f t="shared" si="3"/>
        <v>0</v>
      </c>
      <c r="X479" s="2">
        <f t="shared" si="4"/>
        <v>0</v>
      </c>
      <c r="Y479" s="2">
        <f t="shared" si="5"/>
        <v>0</v>
      </c>
      <c r="Z479" s="2">
        <f t="shared" si="6"/>
        <v>0</v>
      </c>
      <c r="AA479" s="2">
        <f t="shared" si="7"/>
        <v>1</v>
      </c>
      <c r="AB479" s="2">
        <f>IF(OR($M479="",$N479=""),0,MEDIAN(-MarginCap,MarginCap,($M479-$N479)-$AA479*HFA_Base))</f>
        <v>0</v>
      </c>
      <c r="AC479" s="2">
        <f t="array" ref="AC479">IF(OR($P479="",INDEX($P$3:$P$722,(ROW()+IF(MOD(ROW()-3,2)=0,1,-1))-3+1)=""),0,MEDIAN(-MarginCap,MarginCap,($T479-$W479)-$AA479*HFA_Base))</f>
        <v>0</v>
      </c>
      <c r="AD479" s="2">
        <f t="shared" si="8"/>
        <v>0</v>
      </c>
      <c r="AE479" s="2">
        <f>IF(OR($M479="",$N479=""),0,IF(AND(WEpa&gt;0,$AD479=1),(1-WEpa)*$AB479+WEpa*$AC479,$AB479))</f>
        <v>0</v>
      </c>
      <c r="AF479" s="2">
        <f>IF(AND($C479&lt;&gt;"",$E479=CurrentSeason,$F479="REG",ISNUMBER($G479),$G479&lt;CurrentWeek,AND($M479&lt;&gt;"",$N479&lt;&gt;"")),1,0)</f>
        <v>0</v>
      </c>
      <c r="AG479" s="2">
        <f>IF($AF479=0,0,IF($G479&gt;=CurrentWeek-RecencyWin,RecencyMult,1))</f>
        <v>0</v>
      </c>
      <c r="AH479" s="2">
        <f>IF(AND($C479&lt;&gt;"",$E479=CurrentSeason,$F479="REG",ISNUMBER($G479),$G479&lt;CurrentWeek-1,AND($M479&lt;&gt;"",$N479&lt;&gt;"")),1,0)</f>
        <v>0</v>
      </c>
      <c r="AI479" s="2">
        <f>IF($AH479=0,0,IF($G479&gt;=CurrentWeek-1-RecencyWin,RecencyMult,1))</f>
        <v>0</v>
      </c>
      <c r="AJ479" s="2">
        <f>IF($AF479=0,0,IF($G479&gt;=CurrentWeek-RecencyWin,TotRecency,1))</f>
        <v>0</v>
      </c>
      <c r="AK479" s="2">
        <f t="shared" si="9"/>
        <v>0</v>
      </c>
      <c r="AL479" s="2">
        <f t="shared" si="10"/>
        <v>0</v>
      </c>
      <c r="AM479" s="2" t="str">
        <f t="array" ref="AM479">IF($K479="",0,IFERROR(INDEX(CALC!$F$2:$F$33,MATCH($K479,CALC!$A$2:$A$33,0)),0))</f>
        <v/>
      </c>
      <c r="AN479" s="2" t="str">
        <f t="array" ref="AN479">IF($K479="",0,IFERROR(INDEX(CALC!$I$2:$I$33,MATCH($K479,CALC!$A$2:$A$33,0)),0))</f>
        <v/>
      </c>
      <c r="AO479" s="2" t="str">
        <f t="array" ref="AO479">IF($K479="",0,IFERROR(INDEX(CALC!$L$2:$L$33,MATCH($K479,CALC!$A$2:$A$33,0)),0))</f>
        <v/>
      </c>
      <c r="AP479" s="2" t="str">
        <f t="array" ref="AP479">IF($K479="",0,IFERROR(INDEX(CALC!$T$2:$T$33,MATCH($K479,CALC!$A$2:$A$33,0)),0))</f>
        <v/>
      </c>
      <c r="AQ479" s="2" t="str">
        <f t="array" ref="AQ479">IF($K479="",0,IFERROR(INDEX(CALC!$W$2:$W$33,MATCH($K479,CALC!$A$2:$A$33,0)),0))</f>
        <v/>
      </c>
      <c r="AR479" s="2" t="str">
        <f t="array" ref="AR479">IF($K479="",0,IFERROR(INDEX(CALC!$Z$2:$Z$33,MATCH($K479,CALC!$A$2:$A$33,0)),0))</f>
        <v/>
      </c>
      <c r="AS479" s="2" t="str">
        <f t="array" ref="AS479">IF($K479="",0,IFERROR(INDEX(CALC!$AJ$2:$AJ$33,MATCH($K479,CALC!$A$2:$A$33,0)),0))</f>
        <v/>
      </c>
      <c r="AT479" s="2" t="str">
        <f t="array" ref="AT479">IF($K479="",0,IFERROR(INDEX(CALC!$AI$2:$AI$33,MATCH($K479,CALC!$A$2:$A$33,0)),0))</f>
        <v/>
      </c>
      <c r="AU479" s="2">
        <f t="shared" si="11"/>
        <v>0</v>
      </c>
      <c r="AV479" s="2">
        <f t="shared" si="12"/>
        <v>0</v>
      </c>
    </row>
    <row r="480" ht="15.0" customHeight="1">
      <c r="A480" s="2">
        <v>239.0</v>
      </c>
      <c r="B480" s="2" t="s">
        <v>2366</v>
      </c>
      <c r="C480" s="2">
        <f>IFERROR(MATCH($A480,SchedSeq,0),"")</f>
        <v>524</v>
      </c>
      <c r="D480" s="2" t="str">
        <f t="array" ref="D480">IF($C480="","",INDEX(SchedZone,$C480,MAP!$B$6))</f>
        <v>2026_16_JAX_DAL</v>
      </c>
      <c r="E480" s="2">
        <f t="array" ref="E480">IF($C480="","",INDEX(SchedZone,$C480,MAP!$B$3))</f>
        <v>2026</v>
      </c>
      <c r="F480" s="2" t="str">
        <f t="array" ref="F480">IF($C480="","",INDEX(SchedZone,$C480,MAP!$B$5))</f>
        <v>REG</v>
      </c>
      <c r="G480" s="2">
        <f t="array" ref="G480">IF($C480="","",INDEX(SchedZone,$C480,MAP!$B$4))</f>
        <v>16</v>
      </c>
      <c r="H480" s="2" t="str">
        <f t="array" ref="H480">IF($C480="","",INDEX(SchedZone,$C480,MAP!$B$10))</f>
        <v>JAX</v>
      </c>
      <c r="I480" s="2" t="str">
        <f t="array" ref="I480">IF($H480="","",IF(COUNTIF(Teams,$H480)&gt;0,$H480,IFERROR(INDEX(LISTS!$D$2:$D$12,MATCH($H480,LISTS!$C$2:$C$12,0)),"⚠ "&amp;$H480)))</f>
        <v>JAX</v>
      </c>
      <c r="J480" s="2" t="str">
        <f t="array" ref="J480">IF($C480="","",INDEX(SchedZone,$C480,MAP!$B$12))</f>
        <v>DAL</v>
      </c>
      <c r="K480" s="2" t="str">
        <f t="array" ref="K480">IF($J480="","",IF(COUNTIF(Teams,$J480)&gt;0,$J480,IFERROR(INDEX(LISTS!$D$2:$D$12,MATCH($J480,LISTS!$C$2:$C$12,0)),"⚠ "&amp;$J480)))</f>
        <v>DAL</v>
      </c>
      <c r="L480" s="2" t="str">
        <f t="array" ref="L480">IF($C480="","",IF(INDEX(SchedZone,$C480,MAP!$B$14)="Neutral","N",IF($B480="HOME","H","A")))</f>
        <v>A</v>
      </c>
      <c r="M480" s="2" t="str">
        <f t="array" ref="M480">IF($C480="","",IF(INDEX(SchedZone,$C480,MAP!$B$11)="","",INDEX(SchedZone,$C480,MAP!$B$11)))</f>
        <v/>
      </c>
      <c r="N480" s="2" t="str">
        <f t="array" ref="N480">IF($C480="","",IF(INDEX(SchedZone,$C480,MAP!$B$13)="","",INDEX(SchedZone,$C480,MAP!$B$13)))</f>
        <v/>
      </c>
      <c r="O480" s="2">
        <f t="array" ref="O480">IF($C480="","",INDEX(SchedZone,$C480,MAP!$B$15))</f>
        <v>7</v>
      </c>
      <c r="P480" s="2" t="str">
        <f>IF($C480="","",IFERROR(MATCH($E480&amp;"|"&amp;$G480&amp;"|"&amp;$I480,StatsKey,0),""))</f>
        <v/>
      </c>
      <c r="Q480" s="2">
        <f t="array" ref="Q480">IF($P480="",0,INDEX(StatsZone,$P480,MAP!$E$9)+INDEX(StatsZone,$P480,MAP!$E$10)+INDEX(StatsZone,$P480,MAP!$E$11))</f>
        <v>0</v>
      </c>
      <c r="R480" s="2">
        <f t="array" ref="R480">IF($P480="",0,INDEX(StatsZone,$P480,MAP!$E$12))</f>
        <v>0</v>
      </c>
      <c r="S480" s="2">
        <f t="array" ref="S480">IF($P480="",0,INDEX(StatsZone,$P480,MAP!$E$13))</f>
        <v>0</v>
      </c>
      <c r="T480" s="2">
        <f t="shared" si="1"/>
        <v>0</v>
      </c>
      <c r="U480" s="2">
        <f t="array" ref="U480">IF($P480="",0,INDEX(StatsZone,$P480,MAP!$E$14)+INDEX(StatsZone,$P480,MAP!$E$15)+INDEX(StatsZone,$P480,MAP!$E$16))</f>
        <v>0</v>
      </c>
      <c r="V480" s="2">
        <f t="shared" si="2"/>
        <v>0</v>
      </c>
      <c r="W480" s="2">
        <f t="shared" si="3"/>
        <v>0</v>
      </c>
      <c r="X480" s="2">
        <f t="shared" si="4"/>
        <v>0</v>
      </c>
      <c r="Y480" s="2">
        <f t="shared" si="5"/>
        <v>0</v>
      </c>
      <c r="Z480" s="2">
        <f t="shared" si="6"/>
        <v>0</v>
      </c>
      <c r="AA480" s="2">
        <f t="shared" si="7"/>
        <v>-1</v>
      </c>
      <c r="AB480" s="2">
        <f>IF(OR($M480="",$N480=""),0,MEDIAN(-MarginCap,MarginCap,($M480-$N480)-$AA480*HFA_Base))</f>
        <v>0</v>
      </c>
      <c r="AC480" s="2">
        <f t="array" ref="AC480">IF(OR($P480="",INDEX($P$3:$P$722,(ROW()+IF(MOD(ROW()-3,2)=0,1,-1))-3+1)=""),0,MEDIAN(-MarginCap,MarginCap,($T480-$W480)-$AA480*HFA_Base))</f>
        <v>0</v>
      </c>
      <c r="AD480" s="2">
        <f t="shared" si="8"/>
        <v>0</v>
      </c>
      <c r="AE480" s="2">
        <f>IF(OR($M480="",$N480=""),0,IF(AND(WEpa&gt;0,$AD480=1),(1-WEpa)*$AB480+WEpa*$AC480,$AB480))</f>
        <v>0</v>
      </c>
      <c r="AF480" s="2">
        <f>IF(AND($C480&lt;&gt;"",$E480=CurrentSeason,$F480="REG",ISNUMBER($G480),$G480&lt;CurrentWeek,AND($M480&lt;&gt;"",$N480&lt;&gt;"")),1,0)</f>
        <v>0</v>
      </c>
      <c r="AG480" s="2">
        <f>IF($AF480=0,0,IF($G480&gt;=CurrentWeek-RecencyWin,RecencyMult,1))</f>
        <v>0</v>
      </c>
      <c r="AH480" s="2">
        <f>IF(AND($C480&lt;&gt;"",$E480=CurrentSeason,$F480="REG",ISNUMBER($G480),$G480&lt;CurrentWeek-1,AND($M480&lt;&gt;"",$N480&lt;&gt;"")),1,0)</f>
        <v>0</v>
      </c>
      <c r="AI480" s="2">
        <f>IF($AH480=0,0,IF($G480&gt;=CurrentWeek-1-RecencyWin,RecencyMult,1))</f>
        <v>0</v>
      </c>
      <c r="AJ480" s="2">
        <f>IF($AF480=0,0,IF($G480&gt;=CurrentWeek-RecencyWin,TotRecency,1))</f>
        <v>0</v>
      </c>
      <c r="AK480" s="2">
        <f t="shared" si="9"/>
        <v>0</v>
      </c>
      <c r="AL480" s="2">
        <f t="shared" si="10"/>
        <v>0</v>
      </c>
      <c r="AM480" s="2" t="str">
        <f t="array" ref="AM480">IF($K480="",0,IFERROR(INDEX(CALC!$F$2:$F$33,MATCH($K480,CALC!$A$2:$A$33,0)),0))</f>
        <v/>
      </c>
      <c r="AN480" s="2" t="str">
        <f t="array" ref="AN480">IF($K480="",0,IFERROR(INDEX(CALC!$I$2:$I$33,MATCH($K480,CALC!$A$2:$A$33,0)),0))</f>
        <v/>
      </c>
      <c r="AO480" s="2" t="str">
        <f t="array" ref="AO480">IF($K480="",0,IFERROR(INDEX(CALC!$L$2:$L$33,MATCH($K480,CALC!$A$2:$A$33,0)),0))</f>
        <v/>
      </c>
      <c r="AP480" s="2" t="str">
        <f t="array" ref="AP480">IF($K480="",0,IFERROR(INDEX(CALC!$T$2:$T$33,MATCH($K480,CALC!$A$2:$A$33,0)),0))</f>
        <v/>
      </c>
      <c r="AQ480" s="2" t="str">
        <f t="array" ref="AQ480">IF($K480="",0,IFERROR(INDEX(CALC!$W$2:$W$33,MATCH($K480,CALC!$A$2:$A$33,0)),0))</f>
        <v/>
      </c>
      <c r="AR480" s="2" t="str">
        <f t="array" ref="AR480">IF($K480="",0,IFERROR(INDEX(CALC!$Z$2:$Z$33,MATCH($K480,CALC!$A$2:$A$33,0)),0))</f>
        <v/>
      </c>
      <c r="AS480" s="2" t="str">
        <f t="array" ref="AS480">IF($K480="",0,IFERROR(INDEX(CALC!$AJ$2:$AJ$33,MATCH($K480,CALC!$A$2:$A$33,0)),0))</f>
        <v/>
      </c>
      <c r="AT480" s="2" t="str">
        <f t="array" ref="AT480">IF($K480="",0,IFERROR(INDEX(CALC!$AI$2:$AI$33,MATCH($K480,CALC!$A$2:$A$33,0)),0))</f>
        <v/>
      </c>
      <c r="AU480" s="2">
        <f t="shared" si="11"/>
        <v>0</v>
      </c>
      <c r="AV480" s="2">
        <f t="shared" si="12"/>
        <v>0</v>
      </c>
    </row>
    <row r="481" ht="15.0" customHeight="1">
      <c r="A481" s="2">
        <v>240.0</v>
      </c>
      <c r="B481" s="2" t="s">
        <v>2365</v>
      </c>
      <c r="C481" s="2">
        <f>IFERROR(MATCH($A481,SchedSeq,0),"")</f>
        <v>525</v>
      </c>
      <c r="D481" s="2" t="str">
        <f t="array" ref="D481">IF($C481="","",INDEX(SchedZone,$C481,MAP!$B$6))</f>
        <v>2026_16_NYG_DET</v>
      </c>
      <c r="E481" s="2">
        <f t="array" ref="E481">IF($C481="","",INDEX(SchedZone,$C481,MAP!$B$3))</f>
        <v>2026</v>
      </c>
      <c r="F481" s="2" t="str">
        <f t="array" ref="F481">IF($C481="","",INDEX(SchedZone,$C481,MAP!$B$5))</f>
        <v>REG</v>
      </c>
      <c r="G481" s="2">
        <f t="array" ref="G481">IF($C481="","",INDEX(SchedZone,$C481,MAP!$B$4))</f>
        <v>16</v>
      </c>
      <c r="H481" s="2" t="str">
        <f t="array" ref="H481">IF($C481="","",INDEX(SchedZone,$C481,MAP!$B$12))</f>
        <v>DET</v>
      </c>
      <c r="I481" s="2" t="str">
        <f t="array" ref="I481">IF($H481="","",IF(COUNTIF(Teams,$H481)&gt;0,$H481,IFERROR(INDEX(LISTS!$D$2:$D$12,MATCH($H481,LISTS!$C$2:$C$12,0)),"⚠ "&amp;$H481)))</f>
        <v>DET</v>
      </c>
      <c r="J481" s="2" t="str">
        <f t="array" ref="J481">IF($C481="","",INDEX(SchedZone,$C481,MAP!$B$10))</f>
        <v>NYG</v>
      </c>
      <c r="K481" s="2" t="str">
        <f t="array" ref="K481">IF($J481="","",IF(COUNTIF(Teams,$J481)&gt;0,$J481,IFERROR(INDEX(LISTS!$D$2:$D$12,MATCH($J481,LISTS!$C$2:$C$12,0)),"⚠ "&amp;$J481)))</f>
        <v>NYG</v>
      </c>
      <c r="L481" s="2" t="str">
        <f t="array" ref="L481">IF($C481="","",IF(INDEX(SchedZone,$C481,MAP!$B$14)="Neutral","N",IF($B481="HOME","H","A")))</f>
        <v>H</v>
      </c>
      <c r="M481" s="2" t="str">
        <f t="array" ref="M481">IF($C481="","",IF(INDEX(SchedZone,$C481,MAP!$B$13)="","",INDEX(SchedZone,$C481,MAP!$B$13)))</f>
        <v/>
      </c>
      <c r="N481" s="2" t="str">
        <f t="array" ref="N481">IF($C481="","",IF(INDEX(SchedZone,$C481,MAP!$B$11)="","",INDEX(SchedZone,$C481,MAP!$B$11)))</f>
        <v/>
      </c>
      <c r="O481" s="2">
        <f t="array" ref="O481">IF($C481="","",INDEX(SchedZone,$C481,MAP!$B$16))</f>
        <v>8</v>
      </c>
      <c r="P481" s="2" t="str">
        <f>IF($C481="","",IFERROR(MATCH($E481&amp;"|"&amp;$G481&amp;"|"&amp;$I481,StatsKey,0),""))</f>
        <v/>
      </c>
      <c r="Q481" s="2">
        <f t="array" ref="Q481">IF($P481="",0,INDEX(StatsZone,$P481,MAP!$E$9)+INDEX(StatsZone,$P481,MAP!$E$10)+INDEX(StatsZone,$P481,MAP!$E$11))</f>
        <v>0</v>
      </c>
      <c r="R481" s="2">
        <f t="array" ref="R481">IF($P481="",0,INDEX(StatsZone,$P481,MAP!$E$12))</f>
        <v>0</v>
      </c>
      <c r="S481" s="2">
        <f t="array" ref="S481">IF($P481="",0,INDEX(StatsZone,$P481,MAP!$E$13))</f>
        <v>0</v>
      </c>
      <c r="T481" s="2">
        <f t="shared" si="1"/>
        <v>0</v>
      </c>
      <c r="U481" s="2">
        <f t="array" ref="U481">IF($P481="",0,INDEX(StatsZone,$P481,MAP!$E$14)+INDEX(StatsZone,$P481,MAP!$E$15)+INDEX(StatsZone,$P481,MAP!$E$16))</f>
        <v>0</v>
      </c>
      <c r="V481" s="2">
        <f t="shared" si="2"/>
        <v>0</v>
      </c>
      <c r="W481" s="2">
        <f t="shared" si="3"/>
        <v>0</v>
      </c>
      <c r="X481" s="2">
        <f t="shared" si="4"/>
        <v>0</v>
      </c>
      <c r="Y481" s="2">
        <f t="shared" si="5"/>
        <v>0</v>
      </c>
      <c r="Z481" s="2">
        <f t="shared" si="6"/>
        <v>0</v>
      </c>
      <c r="AA481" s="2">
        <f t="shared" si="7"/>
        <v>1</v>
      </c>
      <c r="AB481" s="2">
        <f>IF(OR($M481="",$N481=""),0,MEDIAN(-MarginCap,MarginCap,($M481-$N481)-$AA481*HFA_Base))</f>
        <v>0</v>
      </c>
      <c r="AC481" s="2">
        <f t="array" ref="AC481">IF(OR($P481="",INDEX($P$3:$P$722,(ROW()+IF(MOD(ROW()-3,2)=0,1,-1))-3+1)=""),0,MEDIAN(-MarginCap,MarginCap,($T481-$W481)-$AA481*HFA_Base))</f>
        <v>0</v>
      </c>
      <c r="AD481" s="2">
        <f t="shared" si="8"/>
        <v>0</v>
      </c>
      <c r="AE481" s="2">
        <f>IF(OR($M481="",$N481=""),0,IF(AND(WEpa&gt;0,$AD481=1),(1-WEpa)*$AB481+WEpa*$AC481,$AB481))</f>
        <v>0</v>
      </c>
      <c r="AF481" s="2">
        <f>IF(AND($C481&lt;&gt;"",$E481=CurrentSeason,$F481="REG",ISNUMBER($G481),$G481&lt;CurrentWeek,AND($M481&lt;&gt;"",$N481&lt;&gt;"")),1,0)</f>
        <v>0</v>
      </c>
      <c r="AG481" s="2">
        <f>IF($AF481=0,0,IF($G481&gt;=CurrentWeek-RecencyWin,RecencyMult,1))</f>
        <v>0</v>
      </c>
      <c r="AH481" s="2">
        <f>IF(AND($C481&lt;&gt;"",$E481=CurrentSeason,$F481="REG",ISNUMBER($G481),$G481&lt;CurrentWeek-1,AND($M481&lt;&gt;"",$N481&lt;&gt;"")),1,0)</f>
        <v>0</v>
      </c>
      <c r="AI481" s="2">
        <f>IF($AH481=0,0,IF($G481&gt;=CurrentWeek-1-RecencyWin,RecencyMult,1))</f>
        <v>0</v>
      </c>
      <c r="AJ481" s="2">
        <f>IF($AF481=0,0,IF($G481&gt;=CurrentWeek-RecencyWin,TotRecency,1))</f>
        <v>0</v>
      </c>
      <c r="AK481" s="2">
        <f t="shared" si="9"/>
        <v>0</v>
      </c>
      <c r="AL481" s="2">
        <f t="shared" si="10"/>
        <v>0</v>
      </c>
      <c r="AM481" s="2" t="str">
        <f t="array" ref="AM481">IF($K481="",0,IFERROR(INDEX(CALC!$F$2:$F$33,MATCH($K481,CALC!$A$2:$A$33,0)),0))</f>
        <v/>
      </c>
      <c r="AN481" s="2" t="str">
        <f t="array" ref="AN481">IF($K481="",0,IFERROR(INDEX(CALC!$I$2:$I$33,MATCH($K481,CALC!$A$2:$A$33,0)),0))</f>
        <v/>
      </c>
      <c r="AO481" s="2" t="str">
        <f t="array" ref="AO481">IF($K481="",0,IFERROR(INDEX(CALC!$L$2:$L$33,MATCH($K481,CALC!$A$2:$A$33,0)),0))</f>
        <v/>
      </c>
      <c r="AP481" s="2" t="str">
        <f t="array" ref="AP481">IF($K481="",0,IFERROR(INDEX(CALC!$T$2:$T$33,MATCH($K481,CALC!$A$2:$A$33,0)),0))</f>
        <v/>
      </c>
      <c r="AQ481" s="2" t="str">
        <f t="array" ref="AQ481">IF($K481="",0,IFERROR(INDEX(CALC!$W$2:$W$33,MATCH($K481,CALC!$A$2:$A$33,0)),0))</f>
        <v/>
      </c>
      <c r="AR481" s="2" t="str">
        <f t="array" ref="AR481">IF($K481="",0,IFERROR(INDEX(CALC!$Z$2:$Z$33,MATCH($K481,CALC!$A$2:$A$33,0)),0))</f>
        <v/>
      </c>
      <c r="AS481" s="2" t="str">
        <f t="array" ref="AS481">IF($K481="",0,IFERROR(INDEX(CALC!$AJ$2:$AJ$33,MATCH($K481,CALC!$A$2:$A$33,0)),0))</f>
        <v/>
      </c>
      <c r="AT481" s="2" t="str">
        <f t="array" ref="AT481">IF($K481="",0,IFERROR(INDEX(CALC!$AI$2:$AI$33,MATCH($K481,CALC!$A$2:$A$33,0)),0))</f>
        <v/>
      </c>
      <c r="AU481" s="2">
        <f t="shared" si="11"/>
        <v>0</v>
      </c>
      <c r="AV481" s="2">
        <f t="shared" si="12"/>
        <v>0</v>
      </c>
    </row>
    <row r="482" ht="15.0" customHeight="1">
      <c r="A482" s="2">
        <v>240.0</v>
      </c>
      <c r="B482" s="2" t="s">
        <v>2366</v>
      </c>
      <c r="C482" s="2">
        <f>IFERROR(MATCH($A482,SchedSeq,0),"")</f>
        <v>525</v>
      </c>
      <c r="D482" s="2" t="str">
        <f t="array" ref="D482">IF($C482="","",INDEX(SchedZone,$C482,MAP!$B$6))</f>
        <v>2026_16_NYG_DET</v>
      </c>
      <c r="E482" s="2">
        <f t="array" ref="E482">IF($C482="","",INDEX(SchedZone,$C482,MAP!$B$3))</f>
        <v>2026</v>
      </c>
      <c r="F482" s="2" t="str">
        <f t="array" ref="F482">IF($C482="","",INDEX(SchedZone,$C482,MAP!$B$5))</f>
        <v>REG</v>
      </c>
      <c r="G482" s="2">
        <f t="array" ref="G482">IF($C482="","",INDEX(SchedZone,$C482,MAP!$B$4))</f>
        <v>16</v>
      </c>
      <c r="H482" s="2" t="str">
        <f t="array" ref="H482">IF($C482="","",INDEX(SchedZone,$C482,MAP!$B$10))</f>
        <v>NYG</v>
      </c>
      <c r="I482" s="2" t="str">
        <f t="array" ref="I482">IF($H482="","",IF(COUNTIF(Teams,$H482)&gt;0,$H482,IFERROR(INDEX(LISTS!$D$2:$D$12,MATCH($H482,LISTS!$C$2:$C$12,0)),"⚠ "&amp;$H482)))</f>
        <v>NYG</v>
      </c>
      <c r="J482" s="2" t="str">
        <f t="array" ref="J482">IF($C482="","",INDEX(SchedZone,$C482,MAP!$B$12))</f>
        <v>DET</v>
      </c>
      <c r="K482" s="2" t="str">
        <f t="array" ref="K482">IF($J482="","",IF(COUNTIF(Teams,$J482)&gt;0,$J482,IFERROR(INDEX(LISTS!$D$2:$D$12,MATCH($J482,LISTS!$C$2:$C$12,0)),"⚠ "&amp;$J482)))</f>
        <v>DET</v>
      </c>
      <c r="L482" s="2" t="str">
        <f t="array" ref="L482">IF($C482="","",IF(INDEX(SchedZone,$C482,MAP!$B$14)="Neutral","N",IF($B482="HOME","H","A")))</f>
        <v>A</v>
      </c>
      <c r="M482" s="2" t="str">
        <f t="array" ref="M482">IF($C482="","",IF(INDEX(SchedZone,$C482,MAP!$B$11)="","",INDEX(SchedZone,$C482,MAP!$B$11)))</f>
        <v/>
      </c>
      <c r="N482" s="2" t="str">
        <f t="array" ref="N482">IF($C482="","",IF(INDEX(SchedZone,$C482,MAP!$B$13)="","",INDEX(SchedZone,$C482,MAP!$B$13)))</f>
        <v/>
      </c>
      <c r="O482" s="2">
        <f t="array" ref="O482">IF($C482="","",INDEX(SchedZone,$C482,MAP!$B$15))</f>
        <v>8</v>
      </c>
      <c r="P482" s="2" t="str">
        <f>IF($C482="","",IFERROR(MATCH($E482&amp;"|"&amp;$G482&amp;"|"&amp;$I482,StatsKey,0),""))</f>
        <v/>
      </c>
      <c r="Q482" s="2">
        <f t="array" ref="Q482">IF($P482="",0,INDEX(StatsZone,$P482,MAP!$E$9)+INDEX(StatsZone,$P482,MAP!$E$10)+INDEX(StatsZone,$P482,MAP!$E$11))</f>
        <v>0</v>
      </c>
      <c r="R482" s="2">
        <f t="array" ref="R482">IF($P482="",0,INDEX(StatsZone,$P482,MAP!$E$12))</f>
        <v>0</v>
      </c>
      <c r="S482" s="2">
        <f t="array" ref="S482">IF($P482="",0,INDEX(StatsZone,$P482,MAP!$E$13))</f>
        <v>0</v>
      </c>
      <c r="T482" s="2">
        <f t="shared" si="1"/>
        <v>0</v>
      </c>
      <c r="U482" s="2">
        <f t="array" ref="U482">IF($P482="",0,INDEX(StatsZone,$P482,MAP!$E$14)+INDEX(StatsZone,$P482,MAP!$E$15)+INDEX(StatsZone,$P482,MAP!$E$16))</f>
        <v>0</v>
      </c>
      <c r="V482" s="2">
        <f t="shared" si="2"/>
        <v>0</v>
      </c>
      <c r="W482" s="2">
        <f t="shared" si="3"/>
        <v>0</v>
      </c>
      <c r="X482" s="2">
        <f t="shared" si="4"/>
        <v>0</v>
      </c>
      <c r="Y482" s="2">
        <f t="shared" si="5"/>
        <v>0</v>
      </c>
      <c r="Z482" s="2">
        <f t="shared" si="6"/>
        <v>0</v>
      </c>
      <c r="AA482" s="2">
        <f t="shared" si="7"/>
        <v>-1</v>
      </c>
      <c r="AB482" s="2">
        <f>IF(OR($M482="",$N482=""),0,MEDIAN(-MarginCap,MarginCap,($M482-$N482)-$AA482*HFA_Base))</f>
        <v>0</v>
      </c>
      <c r="AC482" s="2">
        <f t="array" ref="AC482">IF(OR($P482="",INDEX($P$3:$P$722,(ROW()+IF(MOD(ROW()-3,2)=0,1,-1))-3+1)=""),0,MEDIAN(-MarginCap,MarginCap,($T482-$W482)-$AA482*HFA_Base))</f>
        <v>0</v>
      </c>
      <c r="AD482" s="2">
        <f t="shared" si="8"/>
        <v>0</v>
      </c>
      <c r="AE482" s="2">
        <f>IF(OR($M482="",$N482=""),0,IF(AND(WEpa&gt;0,$AD482=1),(1-WEpa)*$AB482+WEpa*$AC482,$AB482))</f>
        <v>0</v>
      </c>
      <c r="AF482" s="2">
        <f>IF(AND($C482&lt;&gt;"",$E482=CurrentSeason,$F482="REG",ISNUMBER($G482),$G482&lt;CurrentWeek,AND($M482&lt;&gt;"",$N482&lt;&gt;"")),1,0)</f>
        <v>0</v>
      </c>
      <c r="AG482" s="2">
        <f>IF($AF482=0,0,IF($G482&gt;=CurrentWeek-RecencyWin,RecencyMult,1))</f>
        <v>0</v>
      </c>
      <c r="AH482" s="2">
        <f>IF(AND($C482&lt;&gt;"",$E482=CurrentSeason,$F482="REG",ISNUMBER($G482),$G482&lt;CurrentWeek-1,AND($M482&lt;&gt;"",$N482&lt;&gt;"")),1,0)</f>
        <v>0</v>
      </c>
      <c r="AI482" s="2">
        <f>IF($AH482=0,0,IF($G482&gt;=CurrentWeek-1-RecencyWin,RecencyMult,1))</f>
        <v>0</v>
      </c>
      <c r="AJ482" s="2">
        <f>IF($AF482=0,0,IF($G482&gt;=CurrentWeek-RecencyWin,TotRecency,1))</f>
        <v>0</v>
      </c>
      <c r="AK482" s="2">
        <f t="shared" si="9"/>
        <v>0</v>
      </c>
      <c r="AL482" s="2">
        <f t="shared" si="10"/>
        <v>0</v>
      </c>
      <c r="AM482" s="2" t="str">
        <f t="array" ref="AM482">IF($K482="",0,IFERROR(INDEX(CALC!$F$2:$F$33,MATCH($K482,CALC!$A$2:$A$33,0)),0))</f>
        <v/>
      </c>
      <c r="AN482" s="2" t="str">
        <f t="array" ref="AN482">IF($K482="",0,IFERROR(INDEX(CALC!$I$2:$I$33,MATCH($K482,CALC!$A$2:$A$33,0)),0))</f>
        <v/>
      </c>
      <c r="AO482" s="2" t="str">
        <f t="array" ref="AO482">IF($K482="",0,IFERROR(INDEX(CALC!$L$2:$L$33,MATCH($K482,CALC!$A$2:$A$33,0)),0))</f>
        <v/>
      </c>
      <c r="AP482" s="2" t="str">
        <f t="array" ref="AP482">IF($K482="",0,IFERROR(INDEX(CALC!$T$2:$T$33,MATCH($K482,CALC!$A$2:$A$33,0)),0))</f>
        <v/>
      </c>
      <c r="AQ482" s="2" t="str">
        <f t="array" ref="AQ482">IF($K482="",0,IFERROR(INDEX(CALC!$W$2:$W$33,MATCH($K482,CALC!$A$2:$A$33,0)),0))</f>
        <v/>
      </c>
      <c r="AR482" s="2" t="str">
        <f t="array" ref="AR482">IF($K482="",0,IFERROR(INDEX(CALC!$Z$2:$Z$33,MATCH($K482,CALC!$A$2:$A$33,0)),0))</f>
        <v/>
      </c>
      <c r="AS482" s="2" t="str">
        <f t="array" ref="AS482">IF($K482="",0,IFERROR(INDEX(CALC!$AJ$2:$AJ$33,MATCH($K482,CALC!$A$2:$A$33,0)),0))</f>
        <v/>
      </c>
      <c r="AT482" s="2" t="str">
        <f t="array" ref="AT482">IF($K482="",0,IFERROR(INDEX(CALC!$AI$2:$AI$33,MATCH($K482,CALC!$A$2:$A$33,0)),0))</f>
        <v/>
      </c>
      <c r="AU482" s="2">
        <f t="shared" si="11"/>
        <v>0</v>
      </c>
      <c r="AV482" s="2">
        <f t="shared" si="12"/>
        <v>0</v>
      </c>
    </row>
    <row r="483" ht="15.0" customHeight="1">
      <c r="A483" s="2">
        <v>241.0</v>
      </c>
      <c r="B483" s="2" t="s">
        <v>2365</v>
      </c>
      <c r="C483" s="2">
        <f>IFERROR(MATCH($A483,SchedSeq,0),"")</f>
        <v>526</v>
      </c>
      <c r="D483" s="2" t="str">
        <f t="array" ref="D483">IF($C483="","",INDEX(SchedZone,$C483,MAP!$B$6))</f>
        <v>2026_17_BAL_CIN</v>
      </c>
      <c r="E483" s="2">
        <f t="array" ref="E483">IF($C483="","",INDEX(SchedZone,$C483,MAP!$B$3))</f>
        <v>2026</v>
      </c>
      <c r="F483" s="2" t="str">
        <f t="array" ref="F483">IF($C483="","",INDEX(SchedZone,$C483,MAP!$B$5))</f>
        <v>REG</v>
      </c>
      <c r="G483" s="2">
        <f t="array" ref="G483">IF($C483="","",INDEX(SchedZone,$C483,MAP!$B$4))</f>
        <v>17</v>
      </c>
      <c r="H483" s="2" t="str">
        <f t="array" ref="H483">IF($C483="","",INDEX(SchedZone,$C483,MAP!$B$12))</f>
        <v>CIN</v>
      </c>
      <c r="I483" s="2" t="str">
        <f t="array" ref="I483">IF($H483="","",IF(COUNTIF(Teams,$H483)&gt;0,$H483,IFERROR(INDEX(LISTS!$D$2:$D$12,MATCH($H483,LISTS!$C$2:$C$12,0)),"⚠ "&amp;$H483)))</f>
        <v>CIN</v>
      </c>
      <c r="J483" s="2" t="str">
        <f t="array" ref="J483">IF($C483="","",INDEX(SchedZone,$C483,MAP!$B$10))</f>
        <v>BAL</v>
      </c>
      <c r="K483" s="2" t="str">
        <f t="array" ref="K483">IF($J483="","",IF(COUNTIF(Teams,$J483)&gt;0,$J483,IFERROR(INDEX(LISTS!$D$2:$D$12,MATCH($J483,LISTS!$C$2:$C$12,0)),"⚠ "&amp;$J483)))</f>
        <v>BAL</v>
      </c>
      <c r="L483" s="2" t="str">
        <f t="array" ref="L483">IF($C483="","",IF(INDEX(SchedZone,$C483,MAP!$B$14)="Neutral","N",IF($B483="HOME","H","A")))</f>
        <v>H</v>
      </c>
      <c r="M483" s="2" t="str">
        <f t="array" ref="M483">IF($C483="","",IF(INDEX(SchedZone,$C483,MAP!$B$13)="","",INDEX(SchedZone,$C483,MAP!$B$13)))</f>
        <v/>
      </c>
      <c r="N483" s="2" t="str">
        <f t="array" ref="N483">IF($C483="","",IF(INDEX(SchedZone,$C483,MAP!$B$11)="","",INDEX(SchedZone,$C483,MAP!$B$11)))</f>
        <v/>
      </c>
      <c r="O483" s="2">
        <f t="array" ref="O483">IF($C483="","",INDEX(SchedZone,$C483,MAP!$B$16))</f>
        <v>4</v>
      </c>
      <c r="P483" s="2" t="str">
        <f>IF($C483="","",IFERROR(MATCH($E483&amp;"|"&amp;$G483&amp;"|"&amp;$I483,StatsKey,0),""))</f>
        <v/>
      </c>
      <c r="Q483" s="2">
        <f t="array" ref="Q483">IF($P483="",0,INDEX(StatsZone,$P483,MAP!$E$9)+INDEX(StatsZone,$P483,MAP!$E$10)+INDEX(StatsZone,$P483,MAP!$E$11))</f>
        <v>0</v>
      </c>
      <c r="R483" s="2">
        <f t="array" ref="R483">IF($P483="",0,INDEX(StatsZone,$P483,MAP!$E$12))</f>
        <v>0</v>
      </c>
      <c r="S483" s="2">
        <f t="array" ref="S483">IF($P483="",0,INDEX(StatsZone,$P483,MAP!$E$13))</f>
        <v>0</v>
      </c>
      <c r="T483" s="2">
        <f t="shared" si="1"/>
        <v>0</v>
      </c>
      <c r="U483" s="2">
        <f t="array" ref="U483">IF($P483="",0,INDEX(StatsZone,$P483,MAP!$E$14)+INDEX(StatsZone,$P483,MAP!$E$15)+INDEX(StatsZone,$P483,MAP!$E$16))</f>
        <v>0</v>
      </c>
      <c r="V483" s="2">
        <f t="shared" si="2"/>
        <v>0</v>
      </c>
      <c r="W483" s="2">
        <f t="shared" si="3"/>
        <v>0</v>
      </c>
      <c r="X483" s="2">
        <f t="shared" si="4"/>
        <v>0</v>
      </c>
      <c r="Y483" s="2">
        <f t="shared" si="5"/>
        <v>0</v>
      </c>
      <c r="Z483" s="2">
        <f t="shared" si="6"/>
        <v>0</v>
      </c>
      <c r="AA483" s="2">
        <f t="shared" si="7"/>
        <v>1</v>
      </c>
      <c r="AB483" s="2">
        <f>IF(OR($M483="",$N483=""),0,MEDIAN(-MarginCap,MarginCap,($M483-$N483)-$AA483*HFA_Base))</f>
        <v>0</v>
      </c>
      <c r="AC483" s="2">
        <f t="array" ref="AC483">IF(OR($P483="",INDEX($P$3:$P$722,(ROW()+IF(MOD(ROW()-3,2)=0,1,-1))-3+1)=""),0,MEDIAN(-MarginCap,MarginCap,($T483-$W483)-$AA483*HFA_Base))</f>
        <v>0</v>
      </c>
      <c r="AD483" s="2">
        <f t="shared" si="8"/>
        <v>0</v>
      </c>
      <c r="AE483" s="2">
        <f>IF(OR($M483="",$N483=""),0,IF(AND(WEpa&gt;0,$AD483=1),(1-WEpa)*$AB483+WEpa*$AC483,$AB483))</f>
        <v>0</v>
      </c>
      <c r="AF483" s="2">
        <f>IF(AND($C483&lt;&gt;"",$E483=CurrentSeason,$F483="REG",ISNUMBER($G483),$G483&lt;CurrentWeek,AND($M483&lt;&gt;"",$N483&lt;&gt;"")),1,0)</f>
        <v>0</v>
      </c>
      <c r="AG483" s="2">
        <f>IF($AF483=0,0,IF($G483&gt;=CurrentWeek-RecencyWin,RecencyMult,1))</f>
        <v>0</v>
      </c>
      <c r="AH483" s="2">
        <f>IF(AND($C483&lt;&gt;"",$E483=CurrentSeason,$F483="REG",ISNUMBER($G483),$G483&lt;CurrentWeek-1,AND($M483&lt;&gt;"",$N483&lt;&gt;"")),1,0)</f>
        <v>0</v>
      </c>
      <c r="AI483" s="2">
        <f>IF($AH483=0,0,IF($G483&gt;=CurrentWeek-1-RecencyWin,RecencyMult,1))</f>
        <v>0</v>
      </c>
      <c r="AJ483" s="2">
        <f>IF($AF483=0,0,IF($G483&gt;=CurrentWeek-RecencyWin,TotRecency,1))</f>
        <v>0</v>
      </c>
      <c r="AK483" s="2">
        <f t="shared" si="9"/>
        <v>0</v>
      </c>
      <c r="AL483" s="2">
        <f t="shared" si="10"/>
        <v>0</v>
      </c>
      <c r="AM483" s="2" t="str">
        <f t="array" ref="AM483">IF($K483="",0,IFERROR(INDEX(CALC!$F$2:$F$33,MATCH($K483,CALC!$A$2:$A$33,0)),0))</f>
        <v/>
      </c>
      <c r="AN483" s="2" t="str">
        <f t="array" ref="AN483">IF($K483="",0,IFERROR(INDEX(CALC!$I$2:$I$33,MATCH($K483,CALC!$A$2:$A$33,0)),0))</f>
        <v/>
      </c>
      <c r="AO483" s="2" t="str">
        <f t="array" ref="AO483">IF($K483="",0,IFERROR(INDEX(CALC!$L$2:$L$33,MATCH($K483,CALC!$A$2:$A$33,0)),0))</f>
        <v/>
      </c>
      <c r="AP483" s="2" t="str">
        <f t="array" ref="AP483">IF($K483="",0,IFERROR(INDEX(CALC!$T$2:$T$33,MATCH($K483,CALC!$A$2:$A$33,0)),0))</f>
        <v/>
      </c>
      <c r="AQ483" s="2" t="str">
        <f t="array" ref="AQ483">IF($K483="",0,IFERROR(INDEX(CALC!$W$2:$W$33,MATCH($K483,CALC!$A$2:$A$33,0)),0))</f>
        <v/>
      </c>
      <c r="AR483" s="2" t="str">
        <f t="array" ref="AR483">IF($K483="",0,IFERROR(INDEX(CALC!$Z$2:$Z$33,MATCH($K483,CALC!$A$2:$A$33,0)),0))</f>
        <v/>
      </c>
      <c r="AS483" s="2" t="str">
        <f t="array" ref="AS483">IF($K483="",0,IFERROR(INDEX(CALC!$AJ$2:$AJ$33,MATCH($K483,CALC!$A$2:$A$33,0)),0))</f>
        <v/>
      </c>
      <c r="AT483" s="2" t="str">
        <f t="array" ref="AT483">IF($K483="",0,IFERROR(INDEX(CALC!$AI$2:$AI$33,MATCH($K483,CALC!$A$2:$A$33,0)),0))</f>
        <v/>
      </c>
      <c r="AU483" s="2">
        <f t="shared" si="11"/>
        <v>0</v>
      </c>
      <c r="AV483" s="2">
        <f t="shared" si="12"/>
        <v>0</v>
      </c>
    </row>
    <row r="484" ht="15.0" customHeight="1">
      <c r="A484" s="2">
        <v>241.0</v>
      </c>
      <c r="B484" s="2" t="s">
        <v>2366</v>
      </c>
      <c r="C484" s="2">
        <f>IFERROR(MATCH($A484,SchedSeq,0),"")</f>
        <v>526</v>
      </c>
      <c r="D484" s="2" t="str">
        <f t="array" ref="D484">IF($C484="","",INDEX(SchedZone,$C484,MAP!$B$6))</f>
        <v>2026_17_BAL_CIN</v>
      </c>
      <c r="E484" s="2">
        <f t="array" ref="E484">IF($C484="","",INDEX(SchedZone,$C484,MAP!$B$3))</f>
        <v>2026</v>
      </c>
      <c r="F484" s="2" t="str">
        <f t="array" ref="F484">IF($C484="","",INDEX(SchedZone,$C484,MAP!$B$5))</f>
        <v>REG</v>
      </c>
      <c r="G484" s="2">
        <f t="array" ref="G484">IF($C484="","",INDEX(SchedZone,$C484,MAP!$B$4))</f>
        <v>17</v>
      </c>
      <c r="H484" s="2" t="str">
        <f t="array" ref="H484">IF($C484="","",INDEX(SchedZone,$C484,MAP!$B$10))</f>
        <v>BAL</v>
      </c>
      <c r="I484" s="2" t="str">
        <f t="array" ref="I484">IF($H484="","",IF(COUNTIF(Teams,$H484)&gt;0,$H484,IFERROR(INDEX(LISTS!$D$2:$D$12,MATCH($H484,LISTS!$C$2:$C$12,0)),"⚠ "&amp;$H484)))</f>
        <v>BAL</v>
      </c>
      <c r="J484" s="2" t="str">
        <f t="array" ref="J484">IF($C484="","",INDEX(SchedZone,$C484,MAP!$B$12))</f>
        <v>CIN</v>
      </c>
      <c r="K484" s="2" t="str">
        <f t="array" ref="K484">IF($J484="","",IF(COUNTIF(Teams,$J484)&gt;0,$J484,IFERROR(INDEX(LISTS!$D$2:$D$12,MATCH($J484,LISTS!$C$2:$C$12,0)),"⚠ "&amp;$J484)))</f>
        <v>CIN</v>
      </c>
      <c r="L484" s="2" t="str">
        <f t="array" ref="L484">IF($C484="","",IF(INDEX(SchedZone,$C484,MAP!$B$14)="Neutral","N",IF($B484="HOME","H","A")))</f>
        <v>A</v>
      </c>
      <c r="M484" s="2" t="str">
        <f t="array" ref="M484">IF($C484="","",IF(INDEX(SchedZone,$C484,MAP!$B$11)="","",INDEX(SchedZone,$C484,MAP!$B$11)))</f>
        <v/>
      </c>
      <c r="N484" s="2" t="str">
        <f t="array" ref="N484">IF($C484="","",IF(INDEX(SchedZone,$C484,MAP!$B$13)="","",INDEX(SchedZone,$C484,MAP!$B$13)))</f>
        <v/>
      </c>
      <c r="O484" s="2">
        <f t="array" ref="O484">IF($C484="","",INDEX(SchedZone,$C484,MAP!$B$15))</f>
        <v>4</v>
      </c>
      <c r="P484" s="2" t="str">
        <f>IF($C484="","",IFERROR(MATCH($E484&amp;"|"&amp;$G484&amp;"|"&amp;$I484,StatsKey,0),""))</f>
        <v/>
      </c>
      <c r="Q484" s="2">
        <f t="array" ref="Q484">IF($P484="",0,INDEX(StatsZone,$P484,MAP!$E$9)+INDEX(StatsZone,$P484,MAP!$E$10)+INDEX(StatsZone,$P484,MAP!$E$11))</f>
        <v>0</v>
      </c>
      <c r="R484" s="2">
        <f t="array" ref="R484">IF($P484="",0,INDEX(StatsZone,$P484,MAP!$E$12))</f>
        <v>0</v>
      </c>
      <c r="S484" s="2">
        <f t="array" ref="S484">IF($P484="",0,INDEX(StatsZone,$P484,MAP!$E$13))</f>
        <v>0</v>
      </c>
      <c r="T484" s="2">
        <f t="shared" si="1"/>
        <v>0</v>
      </c>
      <c r="U484" s="2">
        <f t="array" ref="U484">IF($P484="",0,INDEX(StatsZone,$P484,MAP!$E$14)+INDEX(StatsZone,$P484,MAP!$E$15)+INDEX(StatsZone,$P484,MAP!$E$16))</f>
        <v>0</v>
      </c>
      <c r="V484" s="2">
        <f t="shared" si="2"/>
        <v>0</v>
      </c>
      <c r="W484" s="2">
        <f t="shared" si="3"/>
        <v>0</v>
      </c>
      <c r="X484" s="2">
        <f t="shared" si="4"/>
        <v>0</v>
      </c>
      <c r="Y484" s="2">
        <f t="shared" si="5"/>
        <v>0</v>
      </c>
      <c r="Z484" s="2">
        <f t="shared" si="6"/>
        <v>0</v>
      </c>
      <c r="AA484" s="2">
        <f t="shared" si="7"/>
        <v>-1</v>
      </c>
      <c r="AB484" s="2">
        <f>IF(OR($M484="",$N484=""),0,MEDIAN(-MarginCap,MarginCap,($M484-$N484)-$AA484*HFA_Base))</f>
        <v>0</v>
      </c>
      <c r="AC484" s="2">
        <f t="array" ref="AC484">IF(OR($P484="",INDEX($P$3:$P$722,(ROW()+IF(MOD(ROW()-3,2)=0,1,-1))-3+1)=""),0,MEDIAN(-MarginCap,MarginCap,($T484-$W484)-$AA484*HFA_Base))</f>
        <v>0</v>
      </c>
      <c r="AD484" s="2">
        <f t="shared" si="8"/>
        <v>0</v>
      </c>
      <c r="AE484" s="2">
        <f>IF(OR($M484="",$N484=""),0,IF(AND(WEpa&gt;0,$AD484=1),(1-WEpa)*$AB484+WEpa*$AC484,$AB484))</f>
        <v>0</v>
      </c>
      <c r="AF484" s="2">
        <f>IF(AND($C484&lt;&gt;"",$E484=CurrentSeason,$F484="REG",ISNUMBER($G484),$G484&lt;CurrentWeek,AND($M484&lt;&gt;"",$N484&lt;&gt;"")),1,0)</f>
        <v>0</v>
      </c>
      <c r="AG484" s="2">
        <f>IF($AF484=0,0,IF($G484&gt;=CurrentWeek-RecencyWin,RecencyMult,1))</f>
        <v>0</v>
      </c>
      <c r="AH484" s="2">
        <f>IF(AND($C484&lt;&gt;"",$E484=CurrentSeason,$F484="REG",ISNUMBER($G484),$G484&lt;CurrentWeek-1,AND($M484&lt;&gt;"",$N484&lt;&gt;"")),1,0)</f>
        <v>0</v>
      </c>
      <c r="AI484" s="2">
        <f>IF($AH484=0,0,IF($G484&gt;=CurrentWeek-1-RecencyWin,RecencyMult,1))</f>
        <v>0</v>
      </c>
      <c r="AJ484" s="2">
        <f>IF($AF484=0,0,IF($G484&gt;=CurrentWeek-RecencyWin,TotRecency,1))</f>
        <v>0</v>
      </c>
      <c r="AK484" s="2">
        <f t="shared" si="9"/>
        <v>0</v>
      </c>
      <c r="AL484" s="2">
        <f t="shared" si="10"/>
        <v>0</v>
      </c>
      <c r="AM484" s="2" t="str">
        <f t="array" ref="AM484">IF($K484="",0,IFERROR(INDEX(CALC!$F$2:$F$33,MATCH($K484,CALC!$A$2:$A$33,0)),0))</f>
        <v/>
      </c>
      <c r="AN484" s="2" t="str">
        <f t="array" ref="AN484">IF($K484="",0,IFERROR(INDEX(CALC!$I$2:$I$33,MATCH($K484,CALC!$A$2:$A$33,0)),0))</f>
        <v/>
      </c>
      <c r="AO484" s="2" t="str">
        <f t="array" ref="AO484">IF($K484="",0,IFERROR(INDEX(CALC!$L$2:$L$33,MATCH($K484,CALC!$A$2:$A$33,0)),0))</f>
        <v/>
      </c>
      <c r="AP484" s="2" t="str">
        <f t="array" ref="AP484">IF($K484="",0,IFERROR(INDEX(CALC!$T$2:$T$33,MATCH($K484,CALC!$A$2:$A$33,0)),0))</f>
        <v/>
      </c>
      <c r="AQ484" s="2" t="str">
        <f t="array" ref="AQ484">IF($K484="",0,IFERROR(INDEX(CALC!$W$2:$W$33,MATCH($K484,CALC!$A$2:$A$33,0)),0))</f>
        <v/>
      </c>
      <c r="AR484" s="2" t="str">
        <f t="array" ref="AR484">IF($K484="",0,IFERROR(INDEX(CALC!$Z$2:$Z$33,MATCH($K484,CALC!$A$2:$A$33,0)),0))</f>
        <v/>
      </c>
      <c r="AS484" s="2" t="str">
        <f t="array" ref="AS484">IF($K484="",0,IFERROR(INDEX(CALC!$AJ$2:$AJ$33,MATCH($K484,CALC!$A$2:$A$33,0)),0))</f>
        <v/>
      </c>
      <c r="AT484" s="2" t="str">
        <f t="array" ref="AT484">IF($K484="",0,IFERROR(INDEX(CALC!$AI$2:$AI$33,MATCH($K484,CALC!$A$2:$A$33,0)),0))</f>
        <v/>
      </c>
      <c r="AU484" s="2">
        <f t="shared" si="11"/>
        <v>0</v>
      </c>
      <c r="AV484" s="2">
        <f t="shared" si="12"/>
        <v>0</v>
      </c>
    </row>
    <row r="485" ht="15.0" customHeight="1">
      <c r="A485" s="2">
        <v>242.0</v>
      </c>
      <c r="B485" s="2" t="s">
        <v>2365</v>
      </c>
      <c r="C485" s="2">
        <f>IFERROR(MATCH($A485,SchedSeq,0),"")</f>
        <v>527</v>
      </c>
      <c r="D485" s="2" t="str">
        <f t="array" ref="D485">IF($C485="","",INDEX(SchedZone,$C485,MAP!$B$6))</f>
        <v>2026_17_NO_ATL</v>
      </c>
      <c r="E485" s="2">
        <f t="array" ref="E485">IF($C485="","",INDEX(SchedZone,$C485,MAP!$B$3))</f>
        <v>2026</v>
      </c>
      <c r="F485" s="2" t="str">
        <f t="array" ref="F485">IF($C485="","",INDEX(SchedZone,$C485,MAP!$B$5))</f>
        <v>REG</v>
      </c>
      <c r="G485" s="2">
        <f t="array" ref="G485">IF($C485="","",INDEX(SchedZone,$C485,MAP!$B$4))</f>
        <v>17</v>
      </c>
      <c r="H485" s="2" t="str">
        <f t="array" ref="H485">IF($C485="","",INDEX(SchedZone,$C485,MAP!$B$12))</f>
        <v>ATL</v>
      </c>
      <c r="I485" s="2" t="str">
        <f t="array" ref="I485">IF($H485="","",IF(COUNTIF(Teams,$H485)&gt;0,$H485,IFERROR(INDEX(LISTS!$D$2:$D$12,MATCH($H485,LISTS!$C$2:$C$12,0)),"⚠ "&amp;$H485)))</f>
        <v>ATL</v>
      </c>
      <c r="J485" s="2" t="str">
        <f t="array" ref="J485">IF($C485="","",INDEX(SchedZone,$C485,MAP!$B$10))</f>
        <v>NO</v>
      </c>
      <c r="K485" s="2" t="str">
        <f t="array" ref="K485">IF($J485="","",IF(COUNTIF(Teams,$J485)&gt;0,$J485,IFERROR(INDEX(LISTS!$D$2:$D$12,MATCH($J485,LISTS!$C$2:$C$12,0)),"⚠ "&amp;$J485)))</f>
        <v>NO</v>
      </c>
      <c r="L485" s="2" t="str">
        <f t="array" ref="L485">IF($C485="","",IF(INDEX(SchedZone,$C485,MAP!$B$14)="Neutral","N",IF($B485="HOME","H","A")))</f>
        <v>H</v>
      </c>
      <c r="M485" s="2" t="str">
        <f t="array" ref="M485">IF($C485="","",IF(INDEX(SchedZone,$C485,MAP!$B$13)="","",INDEX(SchedZone,$C485,MAP!$B$13)))</f>
        <v/>
      </c>
      <c r="N485" s="2" t="str">
        <f t="array" ref="N485">IF($C485="","",IF(INDEX(SchedZone,$C485,MAP!$B$11)="","",INDEX(SchedZone,$C485,MAP!$B$11)))</f>
        <v/>
      </c>
      <c r="O485" s="2">
        <f t="array" ref="O485">IF($C485="","",INDEX(SchedZone,$C485,MAP!$B$16))</f>
        <v>7</v>
      </c>
      <c r="P485" s="2" t="str">
        <f>IF($C485="","",IFERROR(MATCH($E485&amp;"|"&amp;$G485&amp;"|"&amp;$I485,StatsKey,0),""))</f>
        <v/>
      </c>
      <c r="Q485" s="2">
        <f t="array" ref="Q485">IF($P485="",0,INDEX(StatsZone,$P485,MAP!$E$9)+INDEX(StatsZone,$P485,MAP!$E$10)+INDEX(StatsZone,$P485,MAP!$E$11))</f>
        <v>0</v>
      </c>
      <c r="R485" s="2">
        <f t="array" ref="R485">IF($P485="",0,INDEX(StatsZone,$P485,MAP!$E$12))</f>
        <v>0</v>
      </c>
      <c r="S485" s="2">
        <f t="array" ref="S485">IF($P485="",0,INDEX(StatsZone,$P485,MAP!$E$13))</f>
        <v>0</v>
      </c>
      <c r="T485" s="2">
        <f t="shared" si="1"/>
        <v>0</v>
      </c>
      <c r="U485" s="2">
        <f t="array" ref="U485">IF($P485="",0,INDEX(StatsZone,$P485,MAP!$E$14)+INDEX(StatsZone,$P485,MAP!$E$15)+INDEX(StatsZone,$P485,MAP!$E$16))</f>
        <v>0</v>
      </c>
      <c r="V485" s="2">
        <f t="shared" si="2"/>
        <v>0</v>
      </c>
      <c r="W485" s="2">
        <f t="shared" si="3"/>
        <v>0</v>
      </c>
      <c r="X485" s="2">
        <f t="shared" si="4"/>
        <v>0</v>
      </c>
      <c r="Y485" s="2">
        <f t="shared" si="5"/>
        <v>0</v>
      </c>
      <c r="Z485" s="2">
        <f t="shared" si="6"/>
        <v>0</v>
      </c>
      <c r="AA485" s="2">
        <f t="shared" si="7"/>
        <v>1</v>
      </c>
      <c r="AB485" s="2">
        <f>IF(OR($M485="",$N485=""),0,MEDIAN(-MarginCap,MarginCap,($M485-$N485)-$AA485*HFA_Base))</f>
        <v>0</v>
      </c>
      <c r="AC485" s="2">
        <f t="array" ref="AC485">IF(OR($P485="",INDEX($P$3:$P$722,(ROW()+IF(MOD(ROW()-3,2)=0,1,-1))-3+1)=""),0,MEDIAN(-MarginCap,MarginCap,($T485-$W485)-$AA485*HFA_Base))</f>
        <v>0</v>
      </c>
      <c r="AD485" s="2">
        <f t="shared" si="8"/>
        <v>0</v>
      </c>
      <c r="AE485" s="2">
        <f>IF(OR($M485="",$N485=""),0,IF(AND(WEpa&gt;0,$AD485=1),(1-WEpa)*$AB485+WEpa*$AC485,$AB485))</f>
        <v>0</v>
      </c>
      <c r="AF485" s="2">
        <f>IF(AND($C485&lt;&gt;"",$E485=CurrentSeason,$F485="REG",ISNUMBER($G485),$G485&lt;CurrentWeek,AND($M485&lt;&gt;"",$N485&lt;&gt;"")),1,0)</f>
        <v>0</v>
      </c>
      <c r="AG485" s="2">
        <f>IF($AF485=0,0,IF($G485&gt;=CurrentWeek-RecencyWin,RecencyMult,1))</f>
        <v>0</v>
      </c>
      <c r="AH485" s="2">
        <f>IF(AND($C485&lt;&gt;"",$E485=CurrentSeason,$F485="REG",ISNUMBER($G485),$G485&lt;CurrentWeek-1,AND($M485&lt;&gt;"",$N485&lt;&gt;"")),1,0)</f>
        <v>0</v>
      </c>
      <c r="AI485" s="2">
        <f>IF($AH485=0,0,IF($G485&gt;=CurrentWeek-1-RecencyWin,RecencyMult,1))</f>
        <v>0</v>
      </c>
      <c r="AJ485" s="2">
        <f>IF($AF485=0,0,IF($G485&gt;=CurrentWeek-RecencyWin,TotRecency,1))</f>
        <v>0</v>
      </c>
      <c r="AK485" s="2">
        <f t="shared" si="9"/>
        <v>0</v>
      </c>
      <c r="AL485" s="2">
        <f t="shared" si="10"/>
        <v>0</v>
      </c>
      <c r="AM485" s="2" t="str">
        <f t="array" ref="AM485">IF($K485="",0,IFERROR(INDEX(CALC!$F$2:$F$33,MATCH($K485,CALC!$A$2:$A$33,0)),0))</f>
        <v/>
      </c>
      <c r="AN485" s="2" t="str">
        <f t="array" ref="AN485">IF($K485="",0,IFERROR(INDEX(CALC!$I$2:$I$33,MATCH($K485,CALC!$A$2:$A$33,0)),0))</f>
        <v/>
      </c>
      <c r="AO485" s="2" t="str">
        <f t="array" ref="AO485">IF($K485="",0,IFERROR(INDEX(CALC!$L$2:$L$33,MATCH($K485,CALC!$A$2:$A$33,0)),0))</f>
        <v/>
      </c>
      <c r="AP485" s="2" t="str">
        <f t="array" ref="AP485">IF($K485="",0,IFERROR(INDEX(CALC!$T$2:$T$33,MATCH($K485,CALC!$A$2:$A$33,0)),0))</f>
        <v/>
      </c>
      <c r="AQ485" s="2" t="str">
        <f t="array" ref="AQ485">IF($K485="",0,IFERROR(INDEX(CALC!$W$2:$W$33,MATCH($K485,CALC!$A$2:$A$33,0)),0))</f>
        <v/>
      </c>
      <c r="AR485" s="2" t="str">
        <f t="array" ref="AR485">IF($K485="",0,IFERROR(INDEX(CALC!$Z$2:$Z$33,MATCH($K485,CALC!$A$2:$A$33,0)),0))</f>
        <v/>
      </c>
      <c r="AS485" s="2" t="str">
        <f t="array" ref="AS485">IF($K485="",0,IFERROR(INDEX(CALC!$AJ$2:$AJ$33,MATCH($K485,CALC!$A$2:$A$33,0)),0))</f>
        <v/>
      </c>
      <c r="AT485" s="2" t="str">
        <f t="array" ref="AT485">IF($K485="",0,IFERROR(INDEX(CALC!$AI$2:$AI$33,MATCH($K485,CALC!$A$2:$A$33,0)),0))</f>
        <v/>
      </c>
      <c r="AU485" s="2">
        <f t="shared" si="11"/>
        <v>0</v>
      </c>
      <c r="AV485" s="2">
        <f t="shared" si="12"/>
        <v>0</v>
      </c>
    </row>
    <row r="486" ht="15.0" customHeight="1">
      <c r="A486" s="2">
        <v>242.0</v>
      </c>
      <c r="B486" s="2" t="s">
        <v>2366</v>
      </c>
      <c r="C486" s="2">
        <f>IFERROR(MATCH($A486,SchedSeq,0),"")</f>
        <v>527</v>
      </c>
      <c r="D486" s="2" t="str">
        <f t="array" ref="D486">IF($C486="","",INDEX(SchedZone,$C486,MAP!$B$6))</f>
        <v>2026_17_NO_ATL</v>
      </c>
      <c r="E486" s="2">
        <f t="array" ref="E486">IF($C486="","",INDEX(SchedZone,$C486,MAP!$B$3))</f>
        <v>2026</v>
      </c>
      <c r="F486" s="2" t="str">
        <f t="array" ref="F486">IF($C486="","",INDEX(SchedZone,$C486,MAP!$B$5))</f>
        <v>REG</v>
      </c>
      <c r="G486" s="2">
        <f t="array" ref="G486">IF($C486="","",INDEX(SchedZone,$C486,MAP!$B$4))</f>
        <v>17</v>
      </c>
      <c r="H486" s="2" t="str">
        <f t="array" ref="H486">IF($C486="","",INDEX(SchedZone,$C486,MAP!$B$10))</f>
        <v>NO</v>
      </c>
      <c r="I486" s="2" t="str">
        <f t="array" ref="I486">IF($H486="","",IF(COUNTIF(Teams,$H486)&gt;0,$H486,IFERROR(INDEX(LISTS!$D$2:$D$12,MATCH($H486,LISTS!$C$2:$C$12,0)),"⚠ "&amp;$H486)))</f>
        <v>NO</v>
      </c>
      <c r="J486" s="2" t="str">
        <f t="array" ref="J486">IF($C486="","",INDEX(SchedZone,$C486,MAP!$B$12))</f>
        <v>ATL</v>
      </c>
      <c r="K486" s="2" t="str">
        <f t="array" ref="K486">IF($J486="","",IF(COUNTIF(Teams,$J486)&gt;0,$J486,IFERROR(INDEX(LISTS!$D$2:$D$12,MATCH($J486,LISTS!$C$2:$C$12,0)),"⚠ "&amp;$J486)))</f>
        <v>ATL</v>
      </c>
      <c r="L486" s="2" t="str">
        <f t="array" ref="L486">IF($C486="","",IF(INDEX(SchedZone,$C486,MAP!$B$14)="Neutral","N",IF($B486="HOME","H","A")))</f>
        <v>A</v>
      </c>
      <c r="M486" s="2" t="str">
        <f t="array" ref="M486">IF($C486="","",IF(INDEX(SchedZone,$C486,MAP!$B$11)="","",INDEX(SchedZone,$C486,MAP!$B$11)))</f>
        <v/>
      </c>
      <c r="N486" s="2" t="str">
        <f t="array" ref="N486">IF($C486="","",IF(INDEX(SchedZone,$C486,MAP!$B$13)="","",INDEX(SchedZone,$C486,MAP!$B$13)))</f>
        <v/>
      </c>
      <c r="O486" s="2">
        <f t="array" ref="O486">IF($C486="","",INDEX(SchedZone,$C486,MAP!$B$15))</f>
        <v>7</v>
      </c>
      <c r="P486" s="2" t="str">
        <f>IF($C486="","",IFERROR(MATCH($E486&amp;"|"&amp;$G486&amp;"|"&amp;$I486,StatsKey,0),""))</f>
        <v/>
      </c>
      <c r="Q486" s="2">
        <f t="array" ref="Q486">IF($P486="",0,INDEX(StatsZone,$P486,MAP!$E$9)+INDEX(StatsZone,$P486,MAP!$E$10)+INDEX(StatsZone,$P486,MAP!$E$11))</f>
        <v>0</v>
      </c>
      <c r="R486" s="2">
        <f t="array" ref="R486">IF($P486="",0,INDEX(StatsZone,$P486,MAP!$E$12))</f>
        <v>0</v>
      </c>
      <c r="S486" s="2">
        <f t="array" ref="S486">IF($P486="",0,INDEX(StatsZone,$P486,MAP!$E$13))</f>
        <v>0</v>
      </c>
      <c r="T486" s="2">
        <f t="shared" si="1"/>
        <v>0</v>
      </c>
      <c r="U486" s="2">
        <f t="array" ref="U486">IF($P486="",0,INDEX(StatsZone,$P486,MAP!$E$14)+INDEX(StatsZone,$P486,MAP!$E$15)+INDEX(StatsZone,$P486,MAP!$E$16))</f>
        <v>0</v>
      </c>
      <c r="V486" s="2">
        <f t="shared" si="2"/>
        <v>0</v>
      </c>
      <c r="W486" s="2">
        <f t="shared" si="3"/>
        <v>0</v>
      </c>
      <c r="X486" s="2">
        <f t="shared" si="4"/>
        <v>0</v>
      </c>
      <c r="Y486" s="2">
        <f t="shared" si="5"/>
        <v>0</v>
      </c>
      <c r="Z486" s="2">
        <f t="shared" si="6"/>
        <v>0</v>
      </c>
      <c r="AA486" s="2">
        <f t="shared" si="7"/>
        <v>-1</v>
      </c>
      <c r="AB486" s="2">
        <f>IF(OR($M486="",$N486=""),0,MEDIAN(-MarginCap,MarginCap,($M486-$N486)-$AA486*HFA_Base))</f>
        <v>0</v>
      </c>
      <c r="AC486" s="2">
        <f t="array" ref="AC486">IF(OR($P486="",INDEX($P$3:$P$722,(ROW()+IF(MOD(ROW()-3,2)=0,1,-1))-3+1)=""),0,MEDIAN(-MarginCap,MarginCap,($T486-$W486)-$AA486*HFA_Base))</f>
        <v>0</v>
      </c>
      <c r="AD486" s="2">
        <f t="shared" si="8"/>
        <v>0</v>
      </c>
      <c r="AE486" s="2">
        <f>IF(OR($M486="",$N486=""),0,IF(AND(WEpa&gt;0,$AD486=1),(1-WEpa)*$AB486+WEpa*$AC486,$AB486))</f>
        <v>0</v>
      </c>
      <c r="AF486" s="2">
        <f>IF(AND($C486&lt;&gt;"",$E486=CurrentSeason,$F486="REG",ISNUMBER($G486),$G486&lt;CurrentWeek,AND($M486&lt;&gt;"",$N486&lt;&gt;"")),1,0)</f>
        <v>0</v>
      </c>
      <c r="AG486" s="2">
        <f>IF($AF486=0,0,IF($G486&gt;=CurrentWeek-RecencyWin,RecencyMult,1))</f>
        <v>0</v>
      </c>
      <c r="AH486" s="2">
        <f>IF(AND($C486&lt;&gt;"",$E486=CurrentSeason,$F486="REG",ISNUMBER($G486),$G486&lt;CurrentWeek-1,AND($M486&lt;&gt;"",$N486&lt;&gt;"")),1,0)</f>
        <v>0</v>
      </c>
      <c r="AI486" s="2">
        <f>IF($AH486=0,0,IF($G486&gt;=CurrentWeek-1-RecencyWin,RecencyMult,1))</f>
        <v>0</v>
      </c>
      <c r="AJ486" s="2">
        <f>IF($AF486=0,0,IF($G486&gt;=CurrentWeek-RecencyWin,TotRecency,1))</f>
        <v>0</v>
      </c>
      <c r="AK486" s="2">
        <f t="shared" si="9"/>
        <v>0</v>
      </c>
      <c r="AL486" s="2">
        <f t="shared" si="10"/>
        <v>0</v>
      </c>
      <c r="AM486" s="2" t="str">
        <f t="array" ref="AM486">IF($K486="",0,IFERROR(INDEX(CALC!$F$2:$F$33,MATCH($K486,CALC!$A$2:$A$33,0)),0))</f>
        <v/>
      </c>
      <c r="AN486" s="2" t="str">
        <f t="array" ref="AN486">IF($K486="",0,IFERROR(INDEX(CALC!$I$2:$I$33,MATCH($K486,CALC!$A$2:$A$33,0)),0))</f>
        <v/>
      </c>
      <c r="AO486" s="2" t="str">
        <f t="array" ref="AO486">IF($K486="",0,IFERROR(INDEX(CALC!$L$2:$L$33,MATCH($K486,CALC!$A$2:$A$33,0)),0))</f>
        <v/>
      </c>
      <c r="AP486" s="2" t="str">
        <f t="array" ref="AP486">IF($K486="",0,IFERROR(INDEX(CALC!$T$2:$T$33,MATCH($K486,CALC!$A$2:$A$33,0)),0))</f>
        <v/>
      </c>
      <c r="AQ486" s="2" t="str">
        <f t="array" ref="AQ486">IF($K486="",0,IFERROR(INDEX(CALC!$W$2:$W$33,MATCH($K486,CALC!$A$2:$A$33,0)),0))</f>
        <v/>
      </c>
      <c r="AR486" s="2" t="str">
        <f t="array" ref="AR486">IF($K486="",0,IFERROR(INDEX(CALC!$Z$2:$Z$33,MATCH($K486,CALC!$A$2:$A$33,0)),0))</f>
        <v/>
      </c>
      <c r="AS486" s="2" t="str">
        <f t="array" ref="AS486">IF($K486="",0,IFERROR(INDEX(CALC!$AJ$2:$AJ$33,MATCH($K486,CALC!$A$2:$A$33,0)),0))</f>
        <v/>
      </c>
      <c r="AT486" s="2" t="str">
        <f t="array" ref="AT486">IF($K486="",0,IFERROR(INDEX(CALC!$AI$2:$AI$33,MATCH($K486,CALC!$A$2:$A$33,0)),0))</f>
        <v/>
      </c>
      <c r="AU486" s="2">
        <f t="shared" si="11"/>
        <v>0</v>
      </c>
      <c r="AV486" s="2">
        <f t="shared" si="12"/>
        <v>0</v>
      </c>
    </row>
    <row r="487" ht="15.0" customHeight="1">
      <c r="A487" s="2">
        <v>243.0</v>
      </c>
      <c r="B487" s="2" t="s">
        <v>2365</v>
      </c>
      <c r="C487" s="2">
        <f>IFERROR(MATCH($A487,SchedSeq,0),"")</f>
        <v>528</v>
      </c>
      <c r="D487" s="2" t="str">
        <f t="array" ref="D487">IF($C487="","",INDEX(SchedZone,$C487,MAP!$B$6))</f>
        <v>2026_17_SEA_CAR</v>
      </c>
      <c r="E487" s="2">
        <f t="array" ref="E487">IF($C487="","",INDEX(SchedZone,$C487,MAP!$B$3))</f>
        <v>2026</v>
      </c>
      <c r="F487" s="2" t="str">
        <f t="array" ref="F487">IF($C487="","",INDEX(SchedZone,$C487,MAP!$B$5))</f>
        <v>REG</v>
      </c>
      <c r="G487" s="2">
        <f t="array" ref="G487">IF($C487="","",INDEX(SchedZone,$C487,MAP!$B$4))</f>
        <v>17</v>
      </c>
      <c r="H487" s="2" t="str">
        <f t="array" ref="H487">IF($C487="","",INDEX(SchedZone,$C487,MAP!$B$12))</f>
        <v>CAR</v>
      </c>
      <c r="I487" s="2" t="str">
        <f t="array" ref="I487">IF($H487="","",IF(COUNTIF(Teams,$H487)&gt;0,$H487,IFERROR(INDEX(LISTS!$D$2:$D$12,MATCH($H487,LISTS!$C$2:$C$12,0)),"⚠ "&amp;$H487)))</f>
        <v>CAR</v>
      </c>
      <c r="J487" s="2" t="str">
        <f t="array" ref="J487">IF($C487="","",INDEX(SchedZone,$C487,MAP!$B$10))</f>
        <v>SEA</v>
      </c>
      <c r="K487" s="2" t="str">
        <f t="array" ref="K487">IF($J487="","",IF(COUNTIF(Teams,$J487)&gt;0,$J487,IFERROR(INDEX(LISTS!$D$2:$D$12,MATCH($J487,LISTS!$C$2:$C$12,0)),"⚠ "&amp;$J487)))</f>
        <v>SEA</v>
      </c>
      <c r="L487" s="2" t="str">
        <f t="array" ref="L487">IF($C487="","",IF(INDEX(SchedZone,$C487,MAP!$B$14)="Neutral","N",IF($B487="HOME","H","A")))</f>
        <v>H</v>
      </c>
      <c r="M487" s="2" t="str">
        <f t="array" ref="M487">IF($C487="","",IF(INDEX(SchedZone,$C487,MAP!$B$13)="","",INDEX(SchedZone,$C487,MAP!$B$13)))</f>
        <v/>
      </c>
      <c r="N487" s="2" t="str">
        <f t="array" ref="N487">IF($C487="","",IF(INDEX(SchedZone,$C487,MAP!$B$11)="","",INDEX(SchedZone,$C487,MAP!$B$11)))</f>
        <v/>
      </c>
      <c r="O487" s="2">
        <f t="array" ref="O487">IF($C487="","",INDEX(SchedZone,$C487,MAP!$B$16))</f>
        <v>7</v>
      </c>
      <c r="P487" s="2" t="str">
        <f>IF($C487="","",IFERROR(MATCH($E487&amp;"|"&amp;$G487&amp;"|"&amp;$I487,StatsKey,0),""))</f>
        <v/>
      </c>
      <c r="Q487" s="2">
        <f t="array" ref="Q487">IF($P487="",0,INDEX(StatsZone,$P487,MAP!$E$9)+INDEX(StatsZone,$P487,MAP!$E$10)+INDEX(StatsZone,$P487,MAP!$E$11))</f>
        <v>0</v>
      </c>
      <c r="R487" s="2">
        <f t="array" ref="R487">IF($P487="",0,INDEX(StatsZone,$P487,MAP!$E$12))</f>
        <v>0</v>
      </c>
      <c r="S487" s="2">
        <f t="array" ref="S487">IF($P487="",0,INDEX(StatsZone,$P487,MAP!$E$13))</f>
        <v>0</v>
      </c>
      <c r="T487" s="2">
        <f t="shared" si="1"/>
        <v>0</v>
      </c>
      <c r="U487" s="2">
        <f t="array" ref="U487">IF($P487="",0,INDEX(StatsZone,$P487,MAP!$E$14)+INDEX(StatsZone,$P487,MAP!$E$15)+INDEX(StatsZone,$P487,MAP!$E$16))</f>
        <v>0</v>
      </c>
      <c r="V487" s="2">
        <f t="shared" si="2"/>
        <v>0</v>
      </c>
      <c r="W487" s="2">
        <f t="shared" si="3"/>
        <v>0</v>
      </c>
      <c r="X487" s="2">
        <f t="shared" si="4"/>
        <v>0</v>
      </c>
      <c r="Y487" s="2">
        <f t="shared" si="5"/>
        <v>0</v>
      </c>
      <c r="Z487" s="2">
        <f t="shared" si="6"/>
        <v>0</v>
      </c>
      <c r="AA487" s="2">
        <f t="shared" si="7"/>
        <v>1</v>
      </c>
      <c r="AB487" s="2">
        <f>IF(OR($M487="",$N487=""),0,MEDIAN(-MarginCap,MarginCap,($M487-$N487)-$AA487*HFA_Base))</f>
        <v>0</v>
      </c>
      <c r="AC487" s="2">
        <f t="array" ref="AC487">IF(OR($P487="",INDEX($P$3:$P$722,(ROW()+IF(MOD(ROW()-3,2)=0,1,-1))-3+1)=""),0,MEDIAN(-MarginCap,MarginCap,($T487-$W487)-$AA487*HFA_Base))</f>
        <v>0</v>
      </c>
      <c r="AD487" s="2">
        <f t="shared" si="8"/>
        <v>0</v>
      </c>
      <c r="AE487" s="2">
        <f>IF(OR($M487="",$N487=""),0,IF(AND(WEpa&gt;0,$AD487=1),(1-WEpa)*$AB487+WEpa*$AC487,$AB487))</f>
        <v>0</v>
      </c>
      <c r="AF487" s="2">
        <f>IF(AND($C487&lt;&gt;"",$E487=CurrentSeason,$F487="REG",ISNUMBER($G487),$G487&lt;CurrentWeek,AND($M487&lt;&gt;"",$N487&lt;&gt;"")),1,0)</f>
        <v>0</v>
      </c>
      <c r="AG487" s="2">
        <f>IF($AF487=0,0,IF($G487&gt;=CurrentWeek-RecencyWin,RecencyMult,1))</f>
        <v>0</v>
      </c>
      <c r="AH487" s="2">
        <f>IF(AND($C487&lt;&gt;"",$E487=CurrentSeason,$F487="REG",ISNUMBER($G487),$G487&lt;CurrentWeek-1,AND($M487&lt;&gt;"",$N487&lt;&gt;"")),1,0)</f>
        <v>0</v>
      </c>
      <c r="AI487" s="2">
        <f>IF($AH487=0,0,IF($G487&gt;=CurrentWeek-1-RecencyWin,RecencyMult,1))</f>
        <v>0</v>
      </c>
      <c r="AJ487" s="2">
        <f>IF($AF487=0,0,IF($G487&gt;=CurrentWeek-RecencyWin,TotRecency,1))</f>
        <v>0</v>
      </c>
      <c r="AK487" s="2">
        <f t="shared" si="9"/>
        <v>0</v>
      </c>
      <c r="AL487" s="2">
        <f t="shared" si="10"/>
        <v>0</v>
      </c>
      <c r="AM487" s="2" t="str">
        <f t="array" ref="AM487">IF($K487="",0,IFERROR(INDEX(CALC!$F$2:$F$33,MATCH($K487,CALC!$A$2:$A$33,0)),0))</f>
        <v/>
      </c>
      <c r="AN487" s="2" t="str">
        <f t="array" ref="AN487">IF($K487="",0,IFERROR(INDEX(CALC!$I$2:$I$33,MATCH($K487,CALC!$A$2:$A$33,0)),0))</f>
        <v/>
      </c>
      <c r="AO487" s="2" t="str">
        <f t="array" ref="AO487">IF($K487="",0,IFERROR(INDEX(CALC!$L$2:$L$33,MATCH($K487,CALC!$A$2:$A$33,0)),0))</f>
        <v/>
      </c>
      <c r="AP487" s="2" t="str">
        <f t="array" ref="AP487">IF($K487="",0,IFERROR(INDEX(CALC!$T$2:$T$33,MATCH($K487,CALC!$A$2:$A$33,0)),0))</f>
        <v/>
      </c>
      <c r="AQ487" s="2" t="str">
        <f t="array" ref="AQ487">IF($K487="",0,IFERROR(INDEX(CALC!$W$2:$W$33,MATCH($K487,CALC!$A$2:$A$33,0)),0))</f>
        <v/>
      </c>
      <c r="AR487" s="2" t="str">
        <f t="array" ref="AR487">IF($K487="",0,IFERROR(INDEX(CALC!$Z$2:$Z$33,MATCH($K487,CALC!$A$2:$A$33,0)),0))</f>
        <v/>
      </c>
      <c r="AS487" s="2" t="str">
        <f t="array" ref="AS487">IF($K487="",0,IFERROR(INDEX(CALC!$AJ$2:$AJ$33,MATCH($K487,CALC!$A$2:$A$33,0)),0))</f>
        <v/>
      </c>
      <c r="AT487" s="2" t="str">
        <f t="array" ref="AT487">IF($K487="",0,IFERROR(INDEX(CALC!$AI$2:$AI$33,MATCH($K487,CALC!$A$2:$A$33,0)),0))</f>
        <v/>
      </c>
      <c r="AU487" s="2">
        <f t="shared" si="11"/>
        <v>0</v>
      </c>
      <c r="AV487" s="2">
        <f t="shared" si="12"/>
        <v>0</v>
      </c>
    </row>
    <row r="488" ht="15.0" customHeight="1">
      <c r="A488" s="2">
        <v>243.0</v>
      </c>
      <c r="B488" s="2" t="s">
        <v>2366</v>
      </c>
      <c r="C488" s="2">
        <f>IFERROR(MATCH($A488,SchedSeq,0),"")</f>
        <v>528</v>
      </c>
      <c r="D488" s="2" t="str">
        <f t="array" ref="D488">IF($C488="","",INDEX(SchedZone,$C488,MAP!$B$6))</f>
        <v>2026_17_SEA_CAR</v>
      </c>
      <c r="E488" s="2">
        <f t="array" ref="E488">IF($C488="","",INDEX(SchedZone,$C488,MAP!$B$3))</f>
        <v>2026</v>
      </c>
      <c r="F488" s="2" t="str">
        <f t="array" ref="F488">IF($C488="","",INDEX(SchedZone,$C488,MAP!$B$5))</f>
        <v>REG</v>
      </c>
      <c r="G488" s="2">
        <f t="array" ref="G488">IF($C488="","",INDEX(SchedZone,$C488,MAP!$B$4))</f>
        <v>17</v>
      </c>
      <c r="H488" s="2" t="str">
        <f t="array" ref="H488">IF($C488="","",INDEX(SchedZone,$C488,MAP!$B$10))</f>
        <v>SEA</v>
      </c>
      <c r="I488" s="2" t="str">
        <f t="array" ref="I488">IF($H488="","",IF(COUNTIF(Teams,$H488)&gt;0,$H488,IFERROR(INDEX(LISTS!$D$2:$D$12,MATCH($H488,LISTS!$C$2:$C$12,0)),"⚠ "&amp;$H488)))</f>
        <v>SEA</v>
      </c>
      <c r="J488" s="2" t="str">
        <f t="array" ref="J488">IF($C488="","",INDEX(SchedZone,$C488,MAP!$B$12))</f>
        <v>CAR</v>
      </c>
      <c r="K488" s="2" t="str">
        <f t="array" ref="K488">IF($J488="","",IF(COUNTIF(Teams,$J488)&gt;0,$J488,IFERROR(INDEX(LISTS!$D$2:$D$12,MATCH($J488,LISTS!$C$2:$C$12,0)),"⚠ "&amp;$J488)))</f>
        <v>CAR</v>
      </c>
      <c r="L488" s="2" t="str">
        <f t="array" ref="L488">IF($C488="","",IF(INDEX(SchedZone,$C488,MAP!$B$14)="Neutral","N",IF($B488="HOME","H","A")))</f>
        <v>A</v>
      </c>
      <c r="M488" s="2" t="str">
        <f t="array" ref="M488">IF($C488="","",IF(INDEX(SchedZone,$C488,MAP!$B$11)="","",INDEX(SchedZone,$C488,MAP!$B$11)))</f>
        <v/>
      </c>
      <c r="N488" s="2" t="str">
        <f t="array" ref="N488">IF($C488="","",IF(INDEX(SchedZone,$C488,MAP!$B$13)="","",INDEX(SchedZone,$C488,MAP!$B$13)))</f>
        <v/>
      </c>
      <c r="O488" s="2">
        <f t="array" ref="O488">IF($C488="","",INDEX(SchedZone,$C488,MAP!$B$15))</f>
        <v>9</v>
      </c>
      <c r="P488" s="2" t="str">
        <f>IF($C488="","",IFERROR(MATCH($E488&amp;"|"&amp;$G488&amp;"|"&amp;$I488,StatsKey,0),""))</f>
        <v/>
      </c>
      <c r="Q488" s="2">
        <f t="array" ref="Q488">IF($P488="",0,INDEX(StatsZone,$P488,MAP!$E$9)+INDEX(StatsZone,$P488,MAP!$E$10)+INDEX(StatsZone,$P488,MAP!$E$11))</f>
        <v>0</v>
      </c>
      <c r="R488" s="2">
        <f t="array" ref="R488">IF($P488="",0,INDEX(StatsZone,$P488,MAP!$E$12))</f>
        <v>0</v>
      </c>
      <c r="S488" s="2">
        <f t="array" ref="S488">IF($P488="",0,INDEX(StatsZone,$P488,MAP!$E$13))</f>
        <v>0</v>
      </c>
      <c r="T488" s="2">
        <f t="shared" si="1"/>
        <v>0</v>
      </c>
      <c r="U488" s="2">
        <f t="array" ref="U488">IF($P488="",0,INDEX(StatsZone,$P488,MAP!$E$14)+INDEX(StatsZone,$P488,MAP!$E$15)+INDEX(StatsZone,$P488,MAP!$E$16))</f>
        <v>0</v>
      </c>
      <c r="V488" s="2">
        <f t="shared" si="2"/>
        <v>0</v>
      </c>
      <c r="W488" s="2">
        <f t="shared" si="3"/>
        <v>0</v>
      </c>
      <c r="X488" s="2">
        <f t="shared" si="4"/>
        <v>0</v>
      </c>
      <c r="Y488" s="2">
        <f t="shared" si="5"/>
        <v>0</v>
      </c>
      <c r="Z488" s="2">
        <f t="shared" si="6"/>
        <v>0</v>
      </c>
      <c r="AA488" s="2">
        <f t="shared" si="7"/>
        <v>-1</v>
      </c>
      <c r="AB488" s="2">
        <f>IF(OR($M488="",$N488=""),0,MEDIAN(-MarginCap,MarginCap,($M488-$N488)-$AA488*HFA_Base))</f>
        <v>0</v>
      </c>
      <c r="AC488" s="2">
        <f t="array" ref="AC488">IF(OR($P488="",INDEX($P$3:$P$722,(ROW()+IF(MOD(ROW()-3,2)=0,1,-1))-3+1)=""),0,MEDIAN(-MarginCap,MarginCap,($T488-$W488)-$AA488*HFA_Base))</f>
        <v>0</v>
      </c>
      <c r="AD488" s="2">
        <f t="shared" si="8"/>
        <v>0</v>
      </c>
      <c r="AE488" s="2">
        <f>IF(OR($M488="",$N488=""),0,IF(AND(WEpa&gt;0,$AD488=1),(1-WEpa)*$AB488+WEpa*$AC488,$AB488))</f>
        <v>0</v>
      </c>
      <c r="AF488" s="2">
        <f>IF(AND($C488&lt;&gt;"",$E488=CurrentSeason,$F488="REG",ISNUMBER($G488),$G488&lt;CurrentWeek,AND($M488&lt;&gt;"",$N488&lt;&gt;"")),1,0)</f>
        <v>0</v>
      </c>
      <c r="AG488" s="2">
        <f>IF($AF488=0,0,IF($G488&gt;=CurrentWeek-RecencyWin,RecencyMult,1))</f>
        <v>0</v>
      </c>
      <c r="AH488" s="2">
        <f>IF(AND($C488&lt;&gt;"",$E488=CurrentSeason,$F488="REG",ISNUMBER($G488),$G488&lt;CurrentWeek-1,AND($M488&lt;&gt;"",$N488&lt;&gt;"")),1,0)</f>
        <v>0</v>
      </c>
      <c r="AI488" s="2">
        <f>IF($AH488=0,0,IF($G488&gt;=CurrentWeek-1-RecencyWin,RecencyMult,1))</f>
        <v>0</v>
      </c>
      <c r="AJ488" s="2">
        <f>IF($AF488=0,0,IF($G488&gt;=CurrentWeek-RecencyWin,TotRecency,1))</f>
        <v>0</v>
      </c>
      <c r="AK488" s="2">
        <f t="shared" si="9"/>
        <v>0</v>
      </c>
      <c r="AL488" s="2">
        <f t="shared" si="10"/>
        <v>0</v>
      </c>
      <c r="AM488" s="2" t="str">
        <f t="array" ref="AM488">IF($K488="",0,IFERROR(INDEX(CALC!$F$2:$F$33,MATCH($K488,CALC!$A$2:$A$33,0)),0))</f>
        <v/>
      </c>
      <c r="AN488" s="2" t="str">
        <f t="array" ref="AN488">IF($K488="",0,IFERROR(INDEX(CALC!$I$2:$I$33,MATCH($K488,CALC!$A$2:$A$33,0)),0))</f>
        <v/>
      </c>
      <c r="AO488" s="2" t="str">
        <f t="array" ref="AO488">IF($K488="",0,IFERROR(INDEX(CALC!$L$2:$L$33,MATCH($K488,CALC!$A$2:$A$33,0)),0))</f>
        <v/>
      </c>
      <c r="AP488" s="2" t="str">
        <f t="array" ref="AP488">IF($K488="",0,IFERROR(INDEX(CALC!$T$2:$T$33,MATCH($K488,CALC!$A$2:$A$33,0)),0))</f>
        <v/>
      </c>
      <c r="AQ488" s="2" t="str">
        <f t="array" ref="AQ488">IF($K488="",0,IFERROR(INDEX(CALC!$W$2:$W$33,MATCH($K488,CALC!$A$2:$A$33,0)),0))</f>
        <v/>
      </c>
      <c r="AR488" s="2" t="str">
        <f t="array" ref="AR488">IF($K488="",0,IFERROR(INDEX(CALC!$Z$2:$Z$33,MATCH($K488,CALC!$A$2:$A$33,0)),0))</f>
        <v/>
      </c>
      <c r="AS488" s="2" t="str">
        <f t="array" ref="AS488">IF($K488="",0,IFERROR(INDEX(CALC!$AJ$2:$AJ$33,MATCH($K488,CALC!$A$2:$A$33,0)),0))</f>
        <v/>
      </c>
      <c r="AT488" s="2" t="str">
        <f t="array" ref="AT488">IF($K488="",0,IFERROR(INDEX(CALC!$AI$2:$AI$33,MATCH($K488,CALC!$A$2:$A$33,0)),0))</f>
        <v/>
      </c>
      <c r="AU488" s="2">
        <f t="shared" si="11"/>
        <v>0</v>
      </c>
      <c r="AV488" s="2">
        <f t="shared" si="12"/>
        <v>0</v>
      </c>
    </row>
    <row r="489" ht="15.0" customHeight="1">
      <c r="A489" s="2">
        <v>244.0</v>
      </c>
      <c r="B489" s="2" t="s">
        <v>2365</v>
      </c>
      <c r="C489" s="2">
        <f>IFERROR(MATCH($A489,SchedSeq,0),"")</f>
        <v>529</v>
      </c>
      <c r="D489" s="2" t="str">
        <f t="array" ref="D489">IF($C489="","",INDEX(SchedZone,$C489,MAP!$B$6))</f>
        <v>2026_17_IND_CLE</v>
      </c>
      <c r="E489" s="2">
        <f t="array" ref="E489">IF($C489="","",INDEX(SchedZone,$C489,MAP!$B$3))</f>
        <v>2026</v>
      </c>
      <c r="F489" s="2" t="str">
        <f t="array" ref="F489">IF($C489="","",INDEX(SchedZone,$C489,MAP!$B$5))</f>
        <v>REG</v>
      </c>
      <c r="G489" s="2">
        <f t="array" ref="G489">IF($C489="","",INDEX(SchedZone,$C489,MAP!$B$4))</f>
        <v>17</v>
      </c>
      <c r="H489" s="2" t="str">
        <f t="array" ref="H489">IF($C489="","",INDEX(SchedZone,$C489,MAP!$B$12))</f>
        <v>CLE</v>
      </c>
      <c r="I489" s="2" t="str">
        <f t="array" ref="I489">IF($H489="","",IF(COUNTIF(Teams,$H489)&gt;0,$H489,IFERROR(INDEX(LISTS!$D$2:$D$12,MATCH($H489,LISTS!$C$2:$C$12,0)),"⚠ "&amp;$H489)))</f>
        <v>CLE</v>
      </c>
      <c r="J489" s="2" t="str">
        <f t="array" ref="J489">IF($C489="","",INDEX(SchedZone,$C489,MAP!$B$10))</f>
        <v>IND</v>
      </c>
      <c r="K489" s="2" t="str">
        <f t="array" ref="K489">IF($J489="","",IF(COUNTIF(Teams,$J489)&gt;0,$J489,IFERROR(INDEX(LISTS!$D$2:$D$12,MATCH($J489,LISTS!$C$2:$C$12,0)),"⚠ "&amp;$J489)))</f>
        <v>IND</v>
      </c>
      <c r="L489" s="2" t="str">
        <f t="array" ref="L489">IF($C489="","",IF(INDEX(SchedZone,$C489,MAP!$B$14)="Neutral","N",IF($B489="HOME","H","A")))</f>
        <v>H</v>
      </c>
      <c r="M489" s="2" t="str">
        <f t="array" ref="M489">IF($C489="","",IF(INDEX(SchedZone,$C489,MAP!$B$13)="","",INDEX(SchedZone,$C489,MAP!$B$13)))</f>
        <v/>
      </c>
      <c r="N489" s="2" t="str">
        <f t="array" ref="N489">IF($C489="","",IF(INDEX(SchedZone,$C489,MAP!$B$11)="","",INDEX(SchedZone,$C489,MAP!$B$11)))</f>
        <v/>
      </c>
      <c r="O489" s="2">
        <f t="array" ref="O489">IF($C489="","",INDEX(SchedZone,$C489,MAP!$B$16))</f>
        <v>7</v>
      </c>
      <c r="P489" s="2" t="str">
        <f>IF($C489="","",IFERROR(MATCH($E489&amp;"|"&amp;$G489&amp;"|"&amp;$I489,StatsKey,0),""))</f>
        <v/>
      </c>
      <c r="Q489" s="2">
        <f t="array" ref="Q489">IF($P489="",0,INDEX(StatsZone,$P489,MAP!$E$9)+INDEX(StatsZone,$P489,MAP!$E$10)+INDEX(StatsZone,$P489,MAP!$E$11))</f>
        <v>0</v>
      </c>
      <c r="R489" s="2">
        <f t="array" ref="R489">IF($P489="",0,INDEX(StatsZone,$P489,MAP!$E$12))</f>
        <v>0</v>
      </c>
      <c r="S489" s="2">
        <f t="array" ref="S489">IF($P489="",0,INDEX(StatsZone,$P489,MAP!$E$13))</f>
        <v>0</v>
      </c>
      <c r="T489" s="2">
        <f t="shared" si="1"/>
        <v>0</v>
      </c>
      <c r="U489" s="2">
        <f t="array" ref="U489">IF($P489="",0,INDEX(StatsZone,$P489,MAP!$E$14)+INDEX(StatsZone,$P489,MAP!$E$15)+INDEX(StatsZone,$P489,MAP!$E$16))</f>
        <v>0</v>
      </c>
      <c r="V489" s="2">
        <f t="shared" si="2"/>
        <v>0</v>
      </c>
      <c r="W489" s="2">
        <f t="shared" si="3"/>
        <v>0</v>
      </c>
      <c r="X489" s="2">
        <f t="shared" si="4"/>
        <v>0</v>
      </c>
      <c r="Y489" s="2">
        <f t="shared" si="5"/>
        <v>0</v>
      </c>
      <c r="Z489" s="2">
        <f t="shared" si="6"/>
        <v>0</v>
      </c>
      <c r="AA489" s="2">
        <f t="shared" si="7"/>
        <v>1</v>
      </c>
      <c r="AB489" s="2">
        <f>IF(OR($M489="",$N489=""),0,MEDIAN(-MarginCap,MarginCap,($M489-$N489)-$AA489*HFA_Base))</f>
        <v>0</v>
      </c>
      <c r="AC489" s="2">
        <f t="array" ref="AC489">IF(OR($P489="",INDEX($P$3:$P$722,(ROW()+IF(MOD(ROW()-3,2)=0,1,-1))-3+1)=""),0,MEDIAN(-MarginCap,MarginCap,($T489-$W489)-$AA489*HFA_Base))</f>
        <v>0</v>
      </c>
      <c r="AD489" s="2">
        <f t="shared" si="8"/>
        <v>0</v>
      </c>
      <c r="AE489" s="2">
        <f>IF(OR($M489="",$N489=""),0,IF(AND(WEpa&gt;0,$AD489=1),(1-WEpa)*$AB489+WEpa*$AC489,$AB489))</f>
        <v>0</v>
      </c>
      <c r="AF489" s="2">
        <f>IF(AND($C489&lt;&gt;"",$E489=CurrentSeason,$F489="REG",ISNUMBER($G489),$G489&lt;CurrentWeek,AND($M489&lt;&gt;"",$N489&lt;&gt;"")),1,0)</f>
        <v>0</v>
      </c>
      <c r="AG489" s="2">
        <f>IF($AF489=0,0,IF($G489&gt;=CurrentWeek-RecencyWin,RecencyMult,1))</f>
        <v>0</v>
      </c>
      <c r="AH489" s="2">
        <f>IF(AND($C489&lt;&gt;"",$E489=CurrentSeason,$F489="REG",ISNUMBER($G489),$G489&lt;CurrentWeek-1,AND($M489&lt;&gt;"",$N489&lt;&gt;"")),1,0)</f>
        <v>0</v>
      </c>
      <c r="AI489" s="2">
        <f>IF($AH489=0,0,IF($G489&gt;=CurrentWeek-1-RecencyWin,RecencyMult,1))</f>
        <v>0</v>
      </c>
      <c r="AJ489" s="2">
        <f>IF($AF489=0,0,IF($G489&gt;=CurrentWeek-RecencyWin,TotRecency,1))</f>
        <v>0</v>
      </c>
      <c r="AK489" s="2">
        <f t="shared" si="9"/>
        <v>0</v>
      </c>
      <c r="AL489" s="2">
        <f t="shared" si="10"/>
        <v>0</v>
      </c>
      <c r="AM489" s="2" t="str">
        <f t="array" ref="AM489">IF($K489="",0,IFERROR(INDEX(CALC!$F$2:$F$33,MATCH($K489,CALC!$A$2:$A$33,0)),0))</f>
        <v/>
      </c>
      <c r="AN489" s="2" t="str">
        <f t="array" ref="AN489">IF($K489="",0,IFERROR(INDEX(CALC!$I$2:$I$33,MATCH($K489,CALC!$A$2:$A$33,0)),0))</f>
        <v/>
      </c>
      <c r="AO489" s="2" t="str">
        <f t="array" ref="AO489">IF($K489="",0,IFERROR(INDEX(CALC!$L$2:$L$33,MATCH($K489,CALC!$A$2:$A$33,0)),0))</f>
        <v/>
      </c>
      <c r="AP489" s="2" t="str">
        <f t="array" ref="AP489">IF($K489="",0,IFERROR(INDEX(CALC!$T$2:$T$33,MATCH($K489,CALC!$A$2:$A$33,0)),0))</f>
        <v/>
      </c>
      <c r="AQ489" s="2" t="str">
        <f t="array" ref="AQ489">IF($K489="",0,IFERROR(INDEX(CALC!$W$2:$W$33,MATCH($K489,CALC!$A$2:$A$33,0)),0))</f>
        <v/>
      </c>
      <c r="AR489" s="2" t="str">
        <f t="array" ref="AR489">IF($K489="",0,IFERROR(INDEX(CALC!$Z$2:$Z$33,MATCH($K489,CALC!$A$2:$A$33,0)),0))</f>
        <v/>
      </c>
      <c r="AS489" s="2" t="str">
        <f t="array" ref="AS489">IF($K489="",0,IFERROR(INDEX(CALC!$AJ$2:$AJ$33,MATCH($K489,CALC!$A$2:$A$33,0)),0))</f>
        <v/>
      </c>
      <c r="AT489" s="2" t="str">
        <f t="array" ref="AT489">IF($K489="",0,IFERROR(INDEX(CALC!$AI$2:$AI$33,MATCH($K489,CALC!$A$2:$A$33,0)),0))</f>
        <v/>
      </c>
      <c r="AU489" s="2">
        <f t="shared" si="11"/>
        <v>0</v>
      </c>
      <c r="AV489" s="2">
        <f t="shared" si="12"/>
        <v>0</v>
      </c>
    </row>
    <row r="490" ht="15.0" customHeight="1">
      <c r="A490" s="2">
        <v>244.0</v>
      </c>
      <c r="B490" s="2" t="s">
        <v>2366</v>
      </c>
      <c r="C490" s="2">
        <f>IFERROR(MATCH($A490,SchedSeq,0),"")</f>
        <v>529</v>
      </c>
      <c r="D490" s="2" t="str">
        <f t="array" ref="D490">IF($C490="","",INDEX(SchedZone,$C490,MAP!$B$6))</f>
        <v>2026_17_IND_CLE</v>
      </c>
      <c r="E490" s="2">
        <f t="array" ref="E490">IF($C490="","",INDEX(SchedZone,$C490,MAP!$B$3))</f>
        <v>2026</v>
      </c>
      <c r="F490" s="2" t="str">
        <f t="array" ref="F490">IF($C490="","",INDEX(SchedZone,$C490,MAP!$B$5))</f>
        <v>REG</v>
      </c>
      <c r="G490" s="2">
        <f t="array" ref="G490">IF($C490="","",INDEX(SchedZone,$C490,MAP!$B$4))</f>
        <v>17</v>
      </c>
      <c r="H490" s="2" t="str">
        <f t="array" ref="H490">IF($C490="","",INDEX(SchedZone,$C490,MAP!$B$10))</f>
        <v>IND</v>
      </c>
      <c r="I490" s="2" t="str">
        <f t="array" ref="I490">IF($H490="","",IF(COUNTIF(Teams,$H490)&gt;0,$H490,IFERROR(INDEX(LISTS!$D$2:$D$12,MATCH($H490,LISTS!$C$2:$C$12,0)),"⚠ "&amp;$H490)))</f>
        <v>IND</v>
      </c>
      <c r="J490" s="2" t="str">
        <f t="array" ref="J490">IF($C490="","",INDEX(SchedZone,$C490,MAP!$B$12))</f>
        <v>CLE</v>
      </c>
      <c r="K490" s="2" t="str">
        <f t="array" ref="K490">IF($J490="","",IF(COUNTIF(Teams,$J490)&gt;0,$J490,IFERROR(INDEX(LISTS!$D$2:$D$12,MATCH($J490,LISTS!$C$2:$C$12,0)),"⚠ "&amp;$J490)))</f>
        <v>CLE</v>
      </c>
      <c r="L490" s="2" t="str">
        <f t="array" ref="L490">IF($C490="","",IF(INDEX(SchedZone,$C490,MAP!$B$14)="Neutral","N",IF($B490="HOME","H","A")))</f>
        <v>A</v>
      </c>
      <c r="M490" s="2" t="str">
        <f t="array" ref="M490">IF($C490="","",IF(INDEX(SchedZone,$C490,MAP!$B$11)="","",INDEX(SchedZone,$C490,MAP!$B$11)))</f>
        <v/>
      </c>
      <c r="N490" s="2" t="str">
        <f t="array" ref="N490">IF($C490="","",IF(INDEX(SchedZone,$C490,MAP!$B$13)="","",INDEX(SchedZone,$C490,MAP!$B$13)))</f>
        <v/>
      </c>
      <c r="O490" s="2">
        <f t="array" ref="O490">IF($C490="","",INDEX(SchedZone,$C490,MAP!$B$15))</f>
        <v>7</v>
      </c>
      <c r="P490" s="2" t="str">
        <f>IF($C490="","",IFERROR(MATCH($E490&amp;"|"&amp;$G490&amp;"|"&amp;$I490,StatsKey,0),""))</f>
        <v/>
      </c>
      <c r="Q490" s="2">
        <f t="array" ref="Q490">IF($P490="",0,INDEX(StatsZone,$P490,MAP!$E$9)+INDEX(StatsZone,$P490,MAP!$E$10)+INDEX(StatsZone,$P490,MAP!$E$11))</f>
        <v>0</v>
      </c>
      <c r="R490" s="2">
        <f t="array" ref="R490">IF($P490="",0,INDEX(StatsZone,$P490,MAP!$E$12))</f>
        <v>0</v>
      </c>
      <c r="S490" s="2">
        <f t="array" ref="S490">IF($P490="",0,INDEX(StatsZone,$P490,MAP!$E$13))</f>
        <v>0</v>
      </c>
      <c r="T490" s="2">
        <f t="shared" si="1"/>
        <v>0</v>
      </c>
      <c r="U490" s="2">
        <f t="array" ref="U490">IF($P490="",0,INDEX(StatsZone,$P490,MAP!$E$14)+INDEX(StatsZone,$P490,MAP!$E$15)+INDEX(StatsZone,$P490,MAP!$E$16))</f>
        <v>0</v>
      </c>
      <c r="V490" s="2">
        <f t="shared" si="2"/>
        <v>0</v>
      </c>
      <c r="W490" s="2">
        <f t="shared" si="3"/>
        <v>0</v>
      </c>
      <c r="X490" s="2">
        <f t="shared" si="4"/>
        <v>0</v>
      </c>
      <c r="Y490" s="2">
        <f t="shared" si="5"/>
        <v>0</v>
      </c>
      <c r="Z490" s="2">
        <f t="shared" si="6"/>
        <v>0</v>
      </c>
      <c r="AA490" s="2">
        <f t="shared" si="7"/>
        <v>-1</v>
      </c>
      <c r="AB490" s="2">
        <f>IF(OR($M490="",$N490=""),0,MEDIAN(-MarginCap,MarginCap,($M490-$N490)-$AA490*HFA_Base))</f>
        <v>0</v>
      </c>
      <c r="AC490" s="2">
        <f t="array" ref="AC490">IF(OR($P490="",INDEX($P$3:$P$722,(ROW()+IF(MOD(ROW()-3,2)=0,1,-1))-3+1)=""),0,MEDIAN(-MarginCap,MarginCap,($T490-$W490)-$AA490*HFA_Base))</f>
        <v>0</v>
      </c>
      <c r="AD490" s="2">
        <f t="shared" si="8"/>
        <v>0</v>
      </c>
      <c r="AE490" s="2">
        <f>IF(OR($M490="",$N490=""),0,IF(AND(WEpa&gt;0,$AD490=1),(1-WEpa)*$AB490+WEpa*$AC490,$AB490))</f>
        <v>0</v>
      </c>
      <c r="AF490" s="2">
        <f>IF(AND($C490&lt;&gt;"",$E490=CurrentSeason,$F490="REG",ISNUMBER($G490),$G490&lt;CurrentWeek,AND($M490&lt;&gt;"",$N490&lt;&gt;"")),1,0)</f>
        <v>0</v>
      </c>
      <c r="AG490" s="2">
        <f>IF($AF490=0,0,IF($G490&gt;=CurrentWeek-RecencyWin,RecencyMult,1))</f>
        <v>0</v>
      </c>
      <c r="AH490" s="2">
        <f>IF(AND($C490&lt;&gt;"",$E490=CurrentSeason,$F490="REG",ISNUMBER($G490),$G490&lt;CurrentWeek-1,AND($M490&lt;&gt;"",$N490&lt;&gt;"")),1,0)</f>
        <v>0</v>
      </c>
      <c r="AI490" s="2">
        <f>IF($AH490=0,0,IF($G490&gt;=CurrentWeek-1-RecencyWin,RecencyMult,1))</f>
        <v>0</v>
      </c>
      <c r="AJ490" s="2">
        <f>IF($AF490=0,0,IF($G490&gt;=CurrentWeek-RecencyWin,TotRecency,1))</f>
        <v>0</v>
      </c>
      <c r="AK490" s="2">
        <f t="shared" si="9"/>
        <v>0</v>
      </c>
      <c r="AL490" s="2">
        <f t="shared" si="10"/>
        <v>0</v>
      </c>
      <c r="AM490" s="2" t="str">
        <f t="array" ref="AM490">IF($K490="",0,IFERROR(INDEX(CALC!$F$2:$F$33,MATCH($K490,CALC!$A$2:$A$33,0)),0))</f>
        <v/>
      </c>
      <c r="AN490" s="2" t="str">
        <f t="array" ref="AN490">IF($K490="",0,IFERROR(INDEX(CALC!$I$2:$I$33,MATCH($K490,CALC!$A$2:$A$33,0)),0))</f>
        <v/>
      </c>
      <c r="AO490" s="2" t="str">
        <f t="array" ref="AO490">IF($K490="",0,IFERROR(INDEX(CALC!$L$2:$L$33,MATCH($K490,CALC!$A$2:$A$33,0)),0))</f>
        <v/>
      </c>
      <c r="AP490" s="2" t="str">
        <f t="array" ref="AP490">IF($K490="",0,IFERROR(INDEX(CALC!$T$2:$T$33,MATCH($K490,CALC!$A$2:$A$33,0)),0))</f>
        <v/>
      </c>
      <c r="AQ490" s="2" t="str">
        <f t="array" ref="AQ490">IF($K490="",0,IFERROR(INDEX(CALC!$W$2:$W$33,MATCH($K490,CALC!$A$2:$A$33,0)),0))</f>
        <v/>
      </c>
      <c r="AR490" s="2" t="str">
        <f t="array" ref="AR490">IF($K490="",0,IFERROR(INDEX(CALC!$Z$2:$Z$33,MATCH($K490,CALC!$A$2:$A$33,0)),0))</f>
        <v/>
      </c>
      <c r="AS490" s="2" t="str">
        <f t="array" ref="AS490">IF($K490="",0,IFERROR(INDEX(CALC!$AJ$2:$AJ$33,MATCH($K490,CALC!$A$2:$A$33,0)),0))</f>
        <v/>
      </c>
      <c r="AT490" s="2" t="str">
        <f t="array" ref="AT490">IF($K490="",0,IFERROR(INDEX(CALC!$AI$2:$AI$33,MATCH($K490,CALC!$A$2:$A$33,0)),0))</f>
        <v/>
      </c>
      <c r="AU490" s="2">
        <f t="shared" si="11"/>
        <v>0</v>
      </c>
      <c r="AV490" s="2">
        <f t="shared" si="12"/>
        <v>0</v>
      </c>
    </row>
    <row r="491" ht="15.0" customHeight="1">
      <c r="A491" s="2">
        <v>245.0</v>
      </c>
      <c r="B491" s="2" t="s">
        <v>2365</v>
      </c>
      <c r="C491" s="2">
        <f>IFERROR(MATCH($A491,SchedSeq,0),"")</f>
        <v>530</v>
      </c>
      <c r="D491" s="2" t="str">
        <f t="array" ref="D491">IF($C491="","",INDEX(SchedZone,$C491,MAP!$B$6))</f>
        <v>2026_17_NYG_DAL</v>
      </c>
      <c r="E491" s="2">
        <f t="array" ref="E491">IF($C491="","",INDEX(SchedZone,$C491,MAP!$B$3))</f>
        <v>2026</v>
      </c>
      <c r="F491" s="2" t="str">
        <f t="array" ref="F491">IF($C491="","",INDEX(SchedZone,$C491,MAP!$B$5))</f>
        <v>REG</v>
      </c>
      <c r="G491" s="2">
        <f t="array" ref="G491">IF($C491="","",INDEX(SchedZone,$C491,MAP!$B$4))</f>
        <v>17</v>
      </c>
      <c r="H491" s="2" t="str">
        <f t="array" ref="H491">IF($C491="","",INDEX(SchedZone,$C491,MAP!$B$12))</f>
        <v>DAL</v>
      </c>
      <c r="I491" s="2" t="str">
        <f t="array" ref="I491">IF($H491="","",IF(COUNTIF(Teams,$H491)&gt;0,$H491,IFERROR(INDEX(LISTS!$D$2:$D$12,MATCH($H491,LISTS!$C$2:$C$12,0)),"⚠ "&amp;$H491)))</f>
        <v>DAL</v>
      </c>
      <c r="J491" s="2" t="str">
        <f t="array" ref="J491">IF($C491="","",INDEX(SchedZone,$C491,MAP!$B$10))</f>
        <v>NYG</v>
      </c>
      <c r="K491" s="2" t="str">
        <f t="array" ref="K491">IF($J491="","",IF(COUNTIF(Teams,$J491)&gt;0,$J491,IFERROR(INDEX(LISTS!$D$2:$D$12,MATCH($J491,LISTS!$C$2:$C$12,0)),"⚠ "&amp;$J491)))</f>
        <v>NYG</v>
      </c>
      <c r="L491" s="2" t="str">
        <f t="array" ref="L491">IF($C491="","",IF(INDEX(SchedZone,$C491,MAP!$B$14)="Neutral","N",IF($B491="HOME","H","A")))</f>
        <v>H</v>
      </c>
      <c r="M491" s="2" t="str">
        <f t="array" ref="M491">IF($C491="","",IF(INDEX(SchedZone,$C491,MAP!$B$13)="","",INDEX(SchedZone,$C491,MAP!$B$13)))</f>
        <v/>
      </c>
      <c r="N491" s="2" t="str">
        <f t="array" ref="N491">IF($C491="","",IF(INDEX(SchedZone,$C491,MAP!$B$11)="","",INDEX(SchedZone,$C491,MAP!$B$11)))</f>
        <v/>
      </c>
      <c r="O491" s="2">
        <f t="array" ref="O491">IF($C491="","",INDEX(SchedZone,$C491,MAP!$B$16))</f>
        <v>7</v>
      </c>
      <c r="P491" s="2" t="str">
        <f>IF($C491="","",IFERROR(MATCH($E491&amp;"|"&amp;$G491&amp;"|"&amp;$I491,StatsKey,0),""))</f>
        <v/>
      </c>
      <c r="Q491" s="2">
        <f t="array" ref="Q491">IF($P491="",0,INDEX(StatsZone,$P491,MAP!$E$9)+INDEX(StatsZone,$P491,MAP!$E$10)+INDEX(StatsZone,$P491,MAP!$E$11))</f>
        <v>0</v>
      </c>
      <c r="R491" s="2">
        <f t="array" ref="R491">IF($P491="",0,INDEX(StatsZone,$P491,MAP!$E$12))</f>
        <v>0</v>
      </c>
      <c r="S491" s="2">
        <f t="array" ref="S491">IF($P491="",0,INDEX(StatsZone,$P491,MAP!$E$13))</f>
        <v>0</v>
      </c>
      <c r="T491" s="2">
        <f t="shared" si="1"/>
        <v>0</v>
      </c>
      <c r="U491" s="2">
        <f t="array" ref="U491">IF($P491="",0,INDEX(StatsZone,$P491,MAP!$E$14)+INDEX(StatsZone,$P491,MAP!$E$15)+INDEX(StatsZone,$P491,MAP!$E$16))</f>
        <v>0</v>
      </c>
      <c r="V491" s="2">
        <f t="shared" si="2"/>
        <v>0</v>
      </c>
      <c r="W491" s="2">
        <f t="shared" si="3"/>
        <v>0</v>
      </c>
      <c r="X491" s="2">
        <f t="shared" si="4"/>
        <v>0</v>
      </c>
      <c r="Y491" s="2">
        <f t="shared" si="5"/>
        <v>0</v>
      </c>
      <c r="Z491" s="2">
        <f t="shared" si="6"/>
        <v>0</v>
      </c>
      <c r="AA491" s="2">
        <f t="shared" si="7"/>
        <v>1</v>
      </c>
      <c r="AB491" s="2">
        <f>IF(OR($M491="",$N491=""),0,MEDIAN(-MarginCap,MarginCap,($M491-$N491)-$AA491*HFA_Base))</f>
        <v>0</v>
      </c>
      <c r="AC491" s="2">
        <f t="array" ref="AC491">IF(OR($P491="",INDEX($P$3:$P$722,(ROW()+IF(MOD(ROW()-3,2)=0,1,-1))-3+1)=""),0,MEDIAN(-MarginCap,MarginCap,($T491-$W491)-$AA491*HFA_Base))</f>
        <v>0</v>
      </c>
      <c r="AD491" s="2">
        <f t="shared" si="8"/>
        <v>0</v>
      </c>
      <c r="AE491" s="2">
        <f>IF(OR($M491="",$N491=""),0,IF(AND(WEpa&gt;0,$AD491=1),(1-WEpa)*$AB491+WEpa*$AC491,$AB491))</f>
        <v>0</v>
      </c>
      <c r="AF491" s="2">
        <f>IF(AND($C491&lt;&gt;"",$E491=CurrentSeason,$F491="REG",ISNUMBER($G491),$G491&lt;CurrentWeek,AND($M491&lt;&gt;"",$N491&lt;&gt;"")),1,0)</f>
        <v>0</v>
      </c>
      <c r="AG491" s="2">
        <f>IF($AF491=0,0,IF($G491&gt;=CurrentWeek-RecencyWin,RecencyMult,1))</f>
        <v>0</v>
      </c>
      <c r="AH491" s="2">
        <f>IF(AND($C491&lt;&gt;"",$E491=CurrentSeason,$F491="REG",ISNUMBER($G491),$G491&lt;CurrentWeek-1,AND($M491&lt;&gt;"",$N491&lt;&gt;"")),1,0)</f>
        <v>0</v>
      </c>
      <c r="AI491" s="2">
        <f>IF($AH491=0,0,IF($G491&gt;=CurrentWeek-1-RecencyWin,RecencyMult,1))</f>
        <v>0</v>
      </c>
      <c r="AJ491" s="2">
        <f>IF($AF491=0,0,IF($G491&gt;=CurrentWeek-RecencyWin,TotRecency,1))</f>
        <v>0</v>
      </c>
      <c r="AK491" s="2">
        <f t="shared" si="9"/>
        <v>0</v>
      </c>
      <c r="AL491" s="2">
        <f t="shared" si="10"/>
        <v>0</v>
      </c>
      <c r="AM491" s="2" t="str">
        <f t="array" ref="AM491">IF($K491="",0,IFERROR(INDEX(CALC!$F$2:$F$33,MATCH($K491,CALC!$A$2:$A$33,0)),0))</f>
        <v/>
      </c>
      <c r="AN491" s="2" t="str">
        <f t="array" ref="AN491">IF($K491="",0,IFERROR(INDEX(CALC!$I$2:$I$33,MATCH($K491,CALC!$A$2:$A$33,0)),0))</f>
        <v/>
      </c>
      <c r="AO491" s="2" t="str">
        <f t="array" ref="AO491">IF($K491="",0,IFERROR(INDEX(CALC!$L$2:$L$33,MATCH($K491,CALC!$A$2:$A$33,0)),0))</f>
        <v/>
      </c>
      <c r="AP491" s="2" t="str">
        <f t="array" ref="AP491">IF($K491="",0,IFERROR(INDEX(CALC!$T$2:$T$33,MATCH($K491,CALC!$A$2:$A$33,0)),0))</f>
        <v/>
      </c>
      <c r="AQ491" s="2" t="str">
        <f t="array" ref="AQ491">IF($K491="",0,IFERROR(INDEX(CALC!$W$2:$W$33,MATCH($K491,CALC!$A$2:$A$33,0)),0))</f>
        <v/>
      </c>
      <c r="AR491" s="2" t="str">
        <f t="array" ref="AR491">IF($K491="",0,IFERROR(INDEX(CALC!$Z$2:$Z$33,MATCH($K491,CALC!$A$2:$A$33,0)),0))</f>
        <v/>
      </c>
      <c r="AS491" s="2" t="str">
        <f t="array" ref="AS491">IF($K491="",0,IFERROR(INDEX(CALC!$AJ$2:$AJ$33,MATCH($K491,CALC!$A$2:$A$33,0)),0))</f>
        <v/>
      </c>
      <c r="AT491" s="2" t="str">
        <f t="array" ref="AT491">IF($K491="",0,IFERROR(INDEX(CALC!$AI$2:$AI$33,MATCH($K491,CALC!$A$2:$A$33,0)),0))</f>
        <v/>
      </c>
      <c r="AU491" s="2">
        <f t="shared" si="11"/>
        <v>0</v>
      </c>
      <c r="AV491" s="2">
        <f t="shared" si="12"/>
        <v>0</v>
      </c>
    </row>
    <row r="492" ht="15.0" customHeight="1">
      <c r="A492" s="2">
        <v>245.0</v>
      </c>
      <c r="B492" s="2" t="s">
        <v>2366</v>
      </c>
      <c r="C492" s="2">
        <f>IFERROR(MATCH($A492,SchedSeq,0),"")</f>
        <v>530</v>
      </c>
      <c r="D492" s="2" t="str">
        <f t="array" ref="D492">IF($C492="","",INDEX(SchedZone,$C492,MAP!$B$6))</f>
        <v>2026_17_NYG_DAL</v>
      </c>
      <c r="E492" s="2">
        <f t="array" ref="E492">IF($C492="","",INDEX(SchedZone,$C492,MAP!$B$3))</f>
        <v>2026</v>
      </c>
      <c r="F492" s="2" t="str">
        <f t="array" ref="F492">IF($C492="","",INDEX(SchedZone,$C492,MAP!$B$5))</f>
        <v>REG</v>
      </c>
      <c r="G492" s="2">
        <f t="array" ref="G492">IF($C492="","",INDEX(SchedZone,$C492,MAP!$B$4))</f>
        <v>17</v>
      </c>
      <c r="H492" s="2" t="str">
        <f t="array" ref="H492">IF($C492="","",INDEX(SchedZone,$C492,MAP!$B$10))</f>
        <v>NYG</v>
      </c>
      <c r="I492" s="2" t="str">
        <f t="array" ref="I492">IF($H492="","",IF(COUNTIF(Teams,$H492)&gt;0,$H492,IFERROR(INDEX(LISTS!$D$2:$D$12,MATCH($H492,LISTS!$C$2:$C$12,0)),"⚠ "&amp;$H492)))</f>
        <v>NYG</v>
      </c>
      <c r="J492" s="2" t="str">
        <f t="array" ref="J492">IF($C492="","",INDEX(SchedZone,$C492,MAP!$B$12))</f>
        <v>DAL</v>
      </c>
      <c r="K492" s="2" t="str">
        <f t="array" ref="K492">IF($J492="","",IF(COUNTIF(Teams,$J492)&gt;0,$J492,IFERROR(INDEX(LISTS!$D$2:$D$12,MATCH($J492,LISTS!$C$2:$C$12,0)),"⚠ "&amp;$J492)))</f>
        <v>DAL</v>
      </c>
      <c r="L492" s="2" t="str">
        <f t="array" ref="L492">IF($C492="","",IF(INDEX(SchedZone,$C492,MAP!$B$14)="Neutral","N",IF($B492="HOME","H","A")))</f>
        <v>A</v>
      </c>
      <c r="M492" s="2" t="str">
        <f t="array" ref="M492">IF($C492="","",IF(INDEX(SchedZone,$C492,MAP!$B$11)="","",INDEX(SchedZone,$C492,MAP!$B$11)))</f>
        <v/>
      </c>
      <c r="N492" s="2" t="str">
        <f t="array" ref="N492">IF($C492="","",IF(INDEX(SchedZone,$C492,MAP!$B$13)="","",INDEX(SchedZone,$C492,MAP!$B$13)))</f>
        <v/>
      </c>
      <c r="O492" s="2">
        <f t="array" ref="O492">IF($C492="","",INDEX(SchedZone,$C492,MAP!$B$15))</f>
        <v>6</v>
      </c>
      <c r="P492" s="2" t="str">
        <f>IF($C492="","",IFERROR(MATCH($E492&amp;"|"&amp;$G492&amp;"|"&amp;$I492,StatsKey,0),""))</f>
        <v/>
      </c>
      <c r="Q492" s="2">
        <f t="array" ref="Q492">IF($P492="",0,INDEX(StatsZone,$P492,MAP!$E$9)+INDEX(StatsZone,$P492,MAP!$E$10)+INDEX(StatsZone,$P492,MAP!$E$11))</f>
        <v>0</v>
      </c>
      <c r="R492" s="2">
        <f t="array" ref="R492">IF($P492="",0,INDEX(StatsZone,$P492,MAP!$E$12))</f>
        <v>0</v>
      </c>
      <c r="S492" s="2">
        <f t="array" ref="S492">IF($P492="",0,INDEX(StatsZone,$P492,MAP!$E$13))</f>
        <v>0</v>
      </c>
      <c r="T492" s="2">
        <f t="shared" si="1"/>
        <v>0</v>
      </c>
      <c r="U492" s="2">
        <f t="array" ref="U492">IF($P492="",0,INDEX(StatsZone,$P492,MAP!$E$14)+INDEX(StatsZone,$P492,MAP!$E$15)+INDEX(StatsZone,$P492,MAP!$E$16))</f>
        <v>0</v>
      </c>
      <c r="V492" s="2">
        <f t="shared" si="2"/>
        <v>0</v>
      </c>
      <c r="W492" s="2">
        <f t="shared" si="3"/>
        <v>0</v>
      </c>
      <c r="X492" s="2">
        <f t="shared" si="4"/>
        <v>0</v>
      </c>
      <c r="Y492" s="2">
        <f t="shared" si="5"/>
        <v>0</v>
      </c>
      <c r="Z492" s="2">
        <f t="shared" si="6"/>
        <v>0</v>
      </c>
      <c r="AA492" s="2">
        <f t="shared" si="7"/>
        <v>-1</v>
      </c>
      <c r="AB492" s="2">
        <f>IF(OR($M492="",$N492=""),0,MEDIAN(-MarginCap,MarginCap,($M492-$N492)-$AA492*HFA_Base))</f>
        <v>0</v>
      </c>
      <c r="AC492" s="2">
        <f t="array" ref="AC492">IF(OR($P492="",INDEX($P$3:$P$722,(ROW()+IF(MOD(ROW()-3,2)=0,1,-1))-3+1)=""),0,MEDIAN(-MarginCap,MarginCap,($T492-$W492)-$AA492*HFA_Base))</f>
        <v>0</v>
      </c>
      <c r="AD492" s="2">
        <f t="shared" si="8"/>
        <v>0</v>
      </c>
      <c r="AE492" s="2">
        <f>IF(OR($M492="",$N492=""),0,IF(AND(WEpa&gt;0,$AD492=1),(1-WEpa)*$AB492+WEpa*$AC492,$AB492))</f>
        <v>0</v>
      </c>
      <c r="AF492" s="2">
        <f>IF(AND($C492&lt;&gt;"",$E492=CurrentSeason,$F492="REG",ISNUMBER($G492),$G492&lt;CurrentWeek,AND($M492&lt;&gt;"",$N492&lt;&gt;"")),1,0)</f>
        <v>0</v>
      </c>
      <c r="AG492" s="2">
        <f>IF($AF492=0,0,IF($G492&gt;=CurrentWeek-RecencyWin,RecencyMult,1))</f>
        <v>0</v>
      </c>
      <c r="AH492" s="2">
        <f>IF(AND($C492&lt;&gt;"",$E492=CurrentSeason,$F492="REG",ISNUMBER($G492),$G492&lt;CurrentWeek-1,AND($M492&lt;&gt;"",$N492&lt;&gt;"")),1,0)</f>
        <v>0</v>
      </c>
      <c r="AI492" s="2">
        <f>IF($AH492=0,0,IF($G492&gt;=CurrentWeek-1-RecencyWin,RecencyMult,1))</f>
        <v>0</v>
      </c>
      <c r="AJ492" s="2">
        <f>IF($AF492=0,0,IF($G492&gt;=CurrentWeek-RecencyWin,TotRecency,1))</f>
        <v>0</v>
      </c>
      <c r="AK492" s="2">
        <f t="shared" si="9"/>
        <v>0</v>
      </c>
      <c r="AL492" s="2">
        <f t="shared" si="10"/>
        <v>0</v>
      </c>
      <c r="AM492" s="2" t="str">
        <f t="array" ref="AM492">IF($K492="",0,IFERROR(INDEX(CALC!$F$2:$F$33,MATCH($K492,CALC!$A$2:$A$33,0)),0))</f>
        <v/>
      </c>
      <c r="AN492" s="2" t="str">
        <f t="array" ref="AN492">IF($K492="",0,IFERROR(INDEX(CALC!$I$2:$I$33,MATCH($K492,CALC!$A$2:$A$33,0)),0))</f>
        <v/>
      </c>
      <c r="AO492" s="2" t="str">
        <f t="array" ref="AO492">IF($K492="",0,IFERROR(INDEX(CALC!$L$2:$L$33,MATCH($K492,CALC!$A$2:$A$33,0)),0))</f>
        <v/>
      </c>
      <c r="AP492" s="2" t="str">
        <f t="array" ref="AP492">IF($K492="",0,IFERROR(INDEX(CALC!$T$2:$T$33,MATCH($K492,CALC!$A$2:$A$33,0)),0))</f>
        <v/>
      </c>
      <c r="AQ492" s="2" t="str">
        <f t="array" ref="AQ492">IF($K492="",0,IFERROR(INDEX(CALC!$W$2:$W$33,MATCH($K492,CALC!$A$2:$A$33,0)),0))</f>
        <v/>
      </c>
      <c r="AR492" s="2" t="str">
        <f t="array" ref="AR492">IF($K492="",0,IFERROR(INDEX(CALC!$Z$2:$Z$33,MATCH($K492,CALC!$A$2:$A$33,0)),0))</f>
        <v/>
      </c>
      <c r="AS492" s="2" t="str">
        <f t="array" ref="AS492">IF($K492="",0,IFERROR(INDEX(CALC!$AJ$2:$AJ$33,MATCH($K492,CALC!$A$2:$A$33,0)),0))</f>
        <v/>
      </c>
      <c r="AT492" s="2" t="str">
        <f t="array" ref="AT492">IF($K492="",0,IFERROR(INDEX(CALC!$AI$2:$AI$33,MATCH($K492,CALC!$A$2:$A$33,0)),0))</f>
        <v/>
      </c>
      <c r="AU492" s="2">
        <f t="shared" si="11"/>
        <v>0</v>
      </c>
      <c r="AV492" s="2">
        <f t="shared" si="12"/>
        <v>0</v>
      </c>
    </row>
    <row r="493" ht="15.0" customHeight="1">
      <c r="A493" s="2">
        <v>246.0</v>
      </c>
      <c r="B493" s="2" t="s">
        <v>2365</v>
      </c>
      <c r="C493" s="2">
        <f>IFERROR(MATCH($A493,SchedSeq,0),"")</f>
        <v>531</v>
      </c>
      <c r="D493" s="2" t="str">
        <f t="array" ref="D493">IF($C493="","",INDEX(SchedZone,$C493,MAP!$B$6))</f>
        <v>2026_17_WAS_JAX</v>
      </c>
      <c r="E493" s="2">
        <f t="array" ref="E493">IF($C493="","",INDEX(SchedZone,$C493,MAP!$B$3))</f>
        <v>2026</v>
      </c>
      <c r="F493" s="2" t="str">
        <f t="array" ref="F493">IF($C493="","",INDEX(SchedZone,$C493,MAP!$B$5))</f>
        <v>REG</v>
      </c>
      <c r="G493" s="2">
        <f t="array" ref="G493">IF($C493="","",INDEX(SchedZone,$C493,MAP!$B$4))</f>
        <v>17</v>
      </c>
      <c r="H493" s="2" t="str">
        <f t="array" ref="H493">IF($C493="","",INDEX(SchedZone,$C493,MAP!$B$12))</f>
        <v>JAX</v>
      </c>
      <c r="I493" s="2" t="str">
        <f t="array" ref="I493">IF($H493="","",IF(COUNTIF(Teams,$H493)&gt;0,$H493,IFERROR(INDEX(LISTS!$D$2:$D$12,MATCH($H493,LISTS!$C$2:$C$12,0)),"⚠ "&amp;$H493)))</f>
        <v>JAX</v>
      </c>
      <c r="J493" s="2" t="str">
        <f t="array" ref="J493">IF($C493="","",INDEX(SchedZone,$C493,MAP!$B$10))</f>
        <v>WAS</v>
      </c>
      <c r="K493" s="2" t="str">
        <f t="array" ref="K493">IF($J493="","",IF(COUNTIF(Teams,$J493)&gt;0,$J493,IFERROR(INDEX(LISTS!$D$2:$D$12,MATCH($J493,LISTS!$C$2:$C$12,0)),"⚠ "&amp;$J493)))</f>
        <v>WAS</v>
      </c>
      <c r="L493" s="2" t="str">
        <f t="array" ref="L493">IF($C493="","",IF(INDEX(SchedZone,$C493,MAP!$B$14)="Neutral","N",IF($B493="HOME","H","A")))</f>
        <v>H</v>
      </c>
      <c r="M493" s="2" t="str">
        <f t="array" ref="M493">IF($C493="","",IF(INDEX(SchedZone,$C493,MAP!$B$13)="","",INDEX(SchedZone,$C493,MAP!$B$13)))</f>
        <v/>
      </c>
      <c r="N493" s="2" t="str">
        <f t="array" ref="N493">IF($C493="","",IF(INDEX(SchedZone,$C493,MAP!$B$11)="","",INDEX(SchedZone,$C493,MAP!$B$11)))</f>
        <v/>
      </c>
      <c r="O493" s="2">
        <f t="array" ref="O493">IF($C493="","",INDEX(SchedZone,$C493,MAP!$B$16))</f>
        <v>7</v>
      </c>
      <c r="P493" s="2" t="str">
        <f>IF($C493="","",IFERROR(MATCH($E493&amp;"|"&amp;$G493&amp;"|"&amp;$I493,StatsKey,0),""))</f>
        <v/>
      </c>
      <c r="Q493" s="2">
        <f t="array" ref="Q493">IF($P493="",0,INDEX(StatsZone,$P493,MAP!$E$9)+INDEX(StatsZone,$P493,MAP!$E$10)+INDEX(StatsZone,$P493,MAP!$E$11))</f>
        <v>0</v>
      </c>
      <c r="R493" s="2">
        <f t="array" ref="R493">IF($P493="",0,INDEX(StatsZone,$P493,MAP!$E$12))</f>
        <v>0</v>
      </c>
      <c r="S493" s="2">
        <f t="array" ref="S493">IF($P493="",0,INDEX(StatsZone,$P493,MAP!$E$13))</f>
        <v>0</v>
      </c>
      <c r="T493" s="2">
        <f t="shared" si="1"/>
        <v>0</v>
      </c>
      <c r="U493" s="2">
        <f t="array" ref="U493">IF($P493="",0,INDEX(StatsZone,$P493,MAP!$E$14)+INDEX(StatsZone,$P493,MAP!$E$15)+INDEX(StatsZone,$P493,MAP!$E$16))</f>
        <v>0</v>
      </c>
      <c r="V493" s="2">
        <f t="shared" si="2"/>
        <v>0</v>
      </c>
      <c r="W493" s="2">
        <f t="shared" si="3"/>
        <v>0</v>
      </c>
      <c r="X493" s="2">
        <f t="shared" si="4"/>
        <v>0</v>
      </c>
      <c r="Y493" s="2">
        <f t="shared" si="5"/>
        <v>0</v>
      </c>
      <c r="Z493" s="2">
        <f t="shared" si="6"/>
        <v>0</v>
      </c>
      <c r="AA493" s="2">
        <f t="shared" si="7"/>
        <v>1</v>
      </c>
      <c r="AB493" s="2">
        <f>IF(OR($M493="",$N493=""),0,MEDIAN(-MarginCap,MarginCap,($M493-$N493)-$AA493*HFA_Base))</f>
        <v>0</v>
      </c>
      <c r="AC493" s="2">
        <f t="array" ref="AC493">IF(OR($P493="",INDEX($P$3:$P$722,(ROW()+IF(MOD(ROW()-3,2)=0,1,-1))-3+1)=""),0,MEDIAN(-MarginCap,MarginCap,($T493-$W493)-$AA493*HFA_Base))</f>
        <v>0</v>
      </c>
      <c r="AD493" s="2">
        <f t="shared" si="8"/>
        <v>0</v>
      </c>
      <c r="AE493" s="2">
        <f>IF(OR($M493="",$N493=""),0,IF(AND(WEpa&gt;0,$AD493=1),(1-WEpa)*$AB493+WEpa*$AC493,$AB493))</f>
        <v>0</v>
      </c>
      <c r="AF493" s="2">
        <f>IF(AND($C493&lt;&gt;"",$E493=CurrentSeason,$F493="REG",ISNUMBER($G493),$G493&lt;CurrentWeek,AND($M493&lt;&gt;"",$N493&lt;&gt;"")),1,0)</f>
        <v>0</v>
      </c>
      <c r="AG493" s="2">
        <f>IF($AF493=0,0,IF($G493&gt;=CurrentWeek-RecencyWin,RecencyMult,1))</f>
        <v>0</v>
      </c>
      <c r="AH493" s="2">
        <f>IF(AND($C493&lt;&gt;"",$E493=CurrentSeason,$F493="REG",ISNUMBER($G493),$G493&lt;CurrentWeek-1,AND($M493&lt;&gt;"",$N493&lt;&gt;"")),1,0)</f>
        <v>0</v>
      </c>
      <c r="AI493" s="2">
        <f>IF($AH493=0,0,IF($G493&gt;=CurrentWeek-1-RecencyWin,RecencyMult,1))</f>
        <v>0</v>
      </c>
      <c r="AJ493" s="2">
        <f>IF($AF493=0,0,IF($G493&gt;=CurrentWeek-RecencyWin,TotRecency,1))</f>
        <v>0</v>
      </c>
      <c r="AK493" s="2">
        <f t="shared" si="9"/>
        <v>0</v>
      </c>
      <c r="AL493" s="2">
        <f t="shared" si="10"/>
        <v>0</v>
      </c>
      <c r="AM493" s="2" t="str">
        <f t="array" ref="AM493">IF($K493="",0,IFERROR(INDEX(CALC!$F$2:$F$33,MATCH($K493,CALC!$A$2:$A$33,0)),0))</f>
        <v/>
      </c>
      <c r="AN493" s="2" t="str">
        <f t="array" ref="AN493">IF($K493="",0,IFERROR(INDEX(CALC!$I$2:$I$33,MATCH($K493,CALC!$A$2:$A$33,0)),0))</f>
        <v/>
      </c>
      <c r="AO493" s="2" t="str">
        <f t="array" ref="AO493">IF($K493="",0,IFERROR(INDEX(CALC!$L$2:$L$33,MATCH($K493,CALC!$A$2:$A$33,0)),0))</f>
        <v/>
      </c>
      <c r="AP493" s="2" t="str">
        <f t="array" ref="AP493">IF($K493="",0,IFERROR(INDEX(CALC!$T$2:$T$33,MATCH($K493,CALC!$A$2:$A$33,0)),0))</f>
        <v/>
      </c>
      <c r="AQ493" s="2" t="str">
        <f t="array" ref="AQ493">IF($K493="",0,IFERROR(INDEX(CALC!$W$2:$W$33,MATCH($K493,CALC!$A$2:$A$33,0)),0))</f>
        <v/>
      </c>
      <c r="AR493" s="2" t="str">
        <f t="array" ref="AR493">IF($K493="",0,IFERROR(INDEX(CALC!$Z$2:$Z$33,MATCH($K493,CALC!$A$2:$A$33,0)),0))</f>
        <v/>
      </c>
      <c r="AS493" s="2" t="str">
        <f t="array" ref="AS493">IF($K493="",0,IFERROR(INDEX(CALC!$AJ$2:$AJ$33,MATCH($K493,CALC!$A$2:$A$33,0)),0))</f>
        <v/>
      </c>
      <c r="AT493" s="2" t="str">
        <f t="array" ref="AT493">IF($K493="",0,IFERROR(INDEX(CALC!$AI$2:$AI$33,MATCH($K493,CALC!$A$2:$A$33,0)),0))</f>
        <v/>
      </c>
      <c r="AU493" s="2">
        <f t="shared" si="11"/>
        <v>0</v>
      </c>
      <c r="AV493" s="2">
        <f t="shared" si="12"/>
        <v>0</v>
      </c>
    </row>
    <row r="494" ht="15.0" customHeight="1">
      <c r="A494" s="2">
        <v>246.0</v>
      </c>
      <c r="B494" s="2" t="s">
        <v>2366</v>
      </c>
      <c r="C494" s="2">
        <f>IFERROR(MATCH($A494,SchedSeq,0),"")</f>
        <v>531</v>
      </c>
      <c r="D494" s="2" t="str">
        <f t="array" ref="D494">IF($C494="","",INDEX(SchedZone,$C494,MAP!$B$6))</f>
        <v>2026_17_WAS_JAX</v>
      </c>
      <c r="E494" s="2">
        <f t="array" ref="E494">IF($C494="","",INDEX(SchedZone,$C494,MAP!$B$3))</f>
        <v>2026</v>
      </c>
      <c r="F494" s="2" t="str">
        <f t="array" ref="F494">IF($C494="","",INDEX(SchedZone,$C494,MAP!$B$5))</f>
        <v>REG</v>
      </c>
      <c r="G494" s="2">
        <f t="array" ref="G494">IF($C494="","",INDEX(SchedZone,$C494,MAP!$B$4))</f>
        <v>17</v>
      </c>
      <c r="H494" s="2" t="str">
        <f t="array" ref="H494">IF($C494="","",INDEX(SchedZone,$C494,MAP!$B$10))</f>
        <v>WAS</v>
      </c>
      <c r="I494" s="2" t="str">
        <f t="array" ref="I494">IF($H494="","",IF(COUNTIF(Teams,$H494)&gt;0,$H494,IFERROR(INDEX(LISTS!$D$2:$D$12,MATCH($H494,LISTS!$C$2:$C$12,0)),"⚠ "&amp;$H494)))</f>
        <v>WAS</v>
      </c>
      <c r="J494" s="2" t="str">
        <f t="array" ref="J494">IF($C494="","",INDEX(SchedZone,$C494,MAP!$B$12))</f>
        <v>JAX</v>
      </c>
      <c r="K494" s="2" t="str">
        <f t="array" ref="K494">IF($J494="","",IF(COUNTIF(Teams,$J494)&gt;0,$J494,IFERROR(INDEX(LISTS!$D$2:$D$12,MATCH($J494,LISTS!$C$2:$C$12,0)),"⚠ "&amp;$J494)))</f>
        <v>JAX</v>
      </c>
      <c r="L494" s="2" t="str">
        <f t="array" ref="L494">IF($C494="","",IF(INDEX(SchedZone,$C494,MAP!$B$14)="Neutral","N",IF($B494="HOME","H","A")))</f>
        <v>A</v>
      </c>
      <c r="M494" s="2" t="str">
        <f t="array" ref="M494">IF($C494="","",IF(INDEX(SchedZone,$C494,MAP!$B$11)="","",INDEX(SchedZone,$C494,MAP!$B$11)))</f>
        <v/>
      </c>
      <c r="N494" s="2" t="str">
        <f t="array" ref="N494">IF($C494="","",IF(INDEX(SchedZone,$C494,MAP!$B$13)="","",INDEX(SchedZone,$C494,MAP!$B$13)))</f>
        <v/>
      </c>
      <c r="O494" s="2">
        <f t="array" ref="O494">IF($C494="","",INDEX(SchedZone,$C494,MAP!$B$15))</f>
        <v>7</v>
      </c>
      <c r="P494" s="2" t="str">
        <f>IF($C494="","",IFERROR(MATCH($E494&amp;"|"&amp;$G494&amp;"|"&amp;$I494,StatsKey,0),""))</f>
        <v/>
      </c>
      <c r="Q494" s="2">
        <f t="array" ref="Q494">IF($P494="",0,INDEX(StatsZone,$P494,MAP!$E$9)+INDEX(StatsZone,$P494,MAP!$E$10)+INDEX(StatsZone,$P494,MAP!$E$11))</f>
        <v>0</v>
      </c>
      <c r="R494" s="2">
        <f t="array" ref="R494">IF($P494="",0,INDEX(StatsZone,$P494,MAP!$E$12))</f>
        <v>0</v>
      </c>
      <c r="S494" s="2">
        <f t="array" ref="S494">IF($P494="",0,INDEX(StatsZone,$P494,MAP!$E$13))</f>
        <v>0</v>
      </c>
      <c r="T494" s="2">
        <f t="shared" si="1"/>
        <v>0</v>
      </c>
      <c r="U494" s="2">
        <f t="array" ref="U494">IF($P494="",0,INDEX(StatsZone,$P494,MAP!$E$14)+INDEX(StatsZone,$P494,MAP!$E$15)+INDEX(StatsZone,$P494,MAP!$E$16))</f>
        <v>0</v>
      </c>
      <c r="V494" s="2">
        <f t="shared" si="2"/>
        <v>0</v>
      </c>
      <c r="W494" s="2">
        <f t="shared" si="3"/>
        <v>0</v>
      </c>
      <c r="X494" s="2">
        <f t="shared" si="4"/>
        <v>0</v>
      </c>
      <c r="Y494" s="2">
        <f t="shared" si="5"/>
        <v>0</v>
      </c>
      <c r="Z494" s="2">
        <f t="shared" si="6"/>
        <v>0</v>
      </c>
      <c r="AA494" s="2">
        <f t="shared" si="7"/>
        <v>-1</v>
      </c>
      <c r="AB494" s="2">
        <f>IF(OR($M494="",$N494=""),0,MEDIAN(-MarginCap,MarginCap,($M494-$N494)-$AA494*HFA_Base))</f>
        <v>0</v>
      </c>
      <c r="AC494" s="2">
        <f t="array" ref="AC494">IF(OR($P494="",INDEX($P$3:$P$722,(ROW()+IF(MOD(ROW()-3,2)=0,1,-1))-3+1)=""),0,MEDIAN(-MarginCap,MarginCap,($T494-$W494)-$AA494*HFA_Base))</f>
        <v>0</v>
      </c>
      <c r="AD494" s="2">
        <f t="shared" si="8"/>
        <v>0</v>
      </c>
      <c r="AE494" s="2">
        <f>IF(OR($M494="",$N494=""),0,IF(AND(WEpa&gt;0,$AD494=1),(1-WEpa)*$AB494+WEpa*$AC494,$AB494))</f>
        <v>0</v>
      </c>
      <c r="AF494" s="2">
        <f>IF(AND($C494&lt;&gt;"",$E494=CurrentSeason,$F494="REG",ISNUMBER($G494),$G494&lt;CurrentWeek,AND($M494&lt;&gt;"",$N494&lt;&gt;"")),1,0)</f>
        <v>0</v>
      </c>
      <c r="AG494" s="2">
        <f>IF($AF494=0,0,IF($G494&gt;=CurrentWeek-RecencyWin,RecencyMult,1))</f>
        <v>0</v>
      </c>
      <c r="AH494" s="2">
        <f>IF(AND($C494&lt;&gt;"",$E494=CurrentSeason,$F494="REG",ISNUMBER($G494),$G494&lt;CurrentWeek-1,AND($M494&lt;&gt;"",$N494&lt;&gt;"")),1,0)</f>
        <v>0</v>
      </c>
      <c r="AI494" s="2">
        <f>IF($AH494=0,0,IF($G494&gt;=CurrentWeek-1-RecencyWin,RecencyMult,1))</f>
        <v>0</v>
      </c>
      <c r="AJ494" s="2">
        <f>IF($AF494=0,0,IF($G494&gt;=CurrentWeek-RecencyWin,TotRecency,1))</f>
        <v>0</v>
      </c>
      <c r="AK494" s="2">
        <f t="shared" si="9"/>
        <v>0</v>
      </c>
      <c r="AL494" s="2">
        <f t="shared" si="10"/>
        <v>0</v>
      </c>
      <c r="AM494" s="2" t="str">
        <f t="array" ref="AM494">IF($K494="",0,IFERROR(INDEX(CALC!$F$2:$F$33,MATCH($K494,CALC!$A$2:$A$33,0)),0))</f>
        <v/>
      </c>
      <c r="AN494" s="2" t="str">
        <f t="array" ref="AN494">IF($K494="",0,IFERROR(INDEX(CALC!$I$2:$I$33,MATCH($K494,CALC!$A$2:$A$33,0)),0))</f>
        <v/>
      </c>
      <c r="AO494" s="2" t="str">
        <f t="array" ref="AO494">IF($K494="",0,IFERROR(INDEX(CALC!$L$2:$L$33,MATCH($K494,CALC!$A$2:$A$33,0)),0))</f>
        <v/>
      </c>
      <c r="AP494" s="2" t="str">
        <f t="array" ref="AP494">IF($K494="",0,IFERROR(INDEX(CALC!$T$2:$T$33,MATCH($K494,CALC!$A$2:$A$33,0)),0))</f>
        <v/>
      </c>
      <c r="AQ494" s="2" t="str">
        <f t="array" ref="AQ494">IF($K494="",0,IFERROR(INDEX(CALC!$W$2:$W$33,MATCH($K494,CALC!$A$2:$A$33,0)),0))</f>
        <v/>
      </c>
      <c r="AR494" s="2" t="str">
        <f t="array" ref="AR494">IF($K494="",0,IFERROR(INDEX(CALC!$Z$2:$Z$33,MATCH($K494,CALC!$A$2:$A$33,0)),0))</f>
        <v/>
      </c>
      <c r="AS494" s="2" t="str">
        <f t="array" ref="AS494">IF($K494="",0,IFERROR(INDEX(CALC!$AJ$2:$AJ$33,MATCH($K494,CALC!$A$2:$A$33,0)),0))</f>
        <v/>
      </c>
      <c r="AT494" s="2" t="str">
        <f t="array" ref="AT494">IF($K494="",0,IFERROR(INDEX(CALC!$AI$2:$AI$33,MATCH($K494,CALC!$A$2:$A$33,0)),0))</f>
        <v/>
      </c>
      <c r="AU494" s="2">
        <f t="shared" si="11"/>
        <v>0</v>
      </c>
      <c r="AV494" s="2">
        <f t="shared" si="12"/>
        <v>0</v>
      </c>
    </row>
    <row r="495" ht="15.0" customHeight="1">
      <c r="A495" s="2">
        <v>247.0</v>
      </c>
      <c r="B495" s="2" t="s">
        <v>2365</v>
      </c>
      <c r="C495" s="2">
        <f>IFERROR(MATCH($A495,SchedSeq,0),"")</f>
        <v>532</v>
      </c>
      <c r="D495" s="2" t="str">
        <f t="array" ref="D495">IF($C495="","",INDEX(SchedZone,$C495,MAP!$B$6))</f>
        <v>2026_17_KC_LAC</v>
      </c>
      <c r="E495" s="2">
        <f t="array" ref="E495">IF($C495="","",INDEX(SchedZone,$C495,MAP!$B$3))</f>
        <v>2026</v>
      </c>
      <c r="F495" s="2" t="str">
        <f t="array" ref="F495">IF($C495="","",INDEX(SchedZone,$C495,MAP!$B$5))</f>
        <v>REG</v>
      </c>
      <c r="G495" s="2">
        <f t="array" ref="G495">IF($C495="","",INDEX(SchedZone,$C495,MAP!$B$4))</f>
        <v>17</v>
      </c>
      <c r="H495" s="2" t="str">
        <f t="array" ref="H495">IF($C495="","",INDEX(SchedZone,$C495,MAP!$B$12))</f>
        <v>LAC</v>
      </c>
      <c r="I495" s="2" t="str">
        <f t="array" ref="I495">IF($H495="","",IF(COUNTIF(Teams,$H495)&gt;0,$H495,IFERROR(INDEX(LISTS!$D$2:$D$12,MATCH($H495,LISTS!$C$2:$C$12,0)),"⚠ "&amp;$H495)))</f>
        <v>LAC</v>
      </c>
      <c r="J495" s="2" t="str">
        <f t="array" ref="J495">IF($C495="","",INDEX(SchedZone,$C495,MAP!$B$10))</f>
        <v>KC</v>
      </c>
      <c r="K495" s="2" t="str">
        <f t="array" ref="K495">IF($J495="","",IF(COUNTIF(Teams,$J495)&gt;0,$J495,IFERROR(INDEX(LISTS!$D$2:$D$12,MATCH($J495,LISTS!$C$2:$C$12,0)),"⚠ "&amp;$J495)))</f>
        <v>KC</v>
      </c>
      <c r="L495" s="2" t="str">
        <f t="array" ref="L495">IF($C495="","",IF(INDEX(SchedZone,$C495,MAP!$B$14)="Neutral","N",IF($B495="HOME","H","A")))</f>
        <v>H</v>
      </c>
      <c r="M495" s="2" t="str">
        <f t="array" ref="M495">IF($C495="","",IF(INDEX(SchedZone,$C495,MAP!$B$13)="","",INDEX(SchedZone,$C495,MAP!$B$13)))</f>
        <v/>
      </c>
      <c r="N495" s="2" t="str">
        <f t="array" ref="N495">IF($C495="","",IF(INDEX(SchedZone,$C495,MAP!$B$11)="","",INDEX(SchedZone,$C495,MAP!$B$11)))</f>
        <v/>
      </c>
      <c r="O495" s="2">
        <f t="array" ref="O495">IF($C495="","",INDEX(SchedZone,$C495,MAP!$B$16))</f>
        <v>7</v>
      </c>
      <c r="P495" s="2" t="str">
        <f>IF($C495="","",IFERROR(MATCH($E495&amp;"|"&amp;$G495&amp;"|"&amp;$I495,StatsKey,0),""))</f>
        <v/>
      </c>
      <c r="Q495" s="2">
        <f t="array" ref="Q495">IF($P495="",0,INDEX(StatsZone,$P495,MAP!$E$9)+INDEX(StatsZone,$P495,MAP!$E$10)+INDEX(StatsZone,$P495,MAP!$E$11))</f>
        <v>0</v>
      </c>
      <c r="R495" s="2">
        <f t="array" ref="R495">IF($P495="",0,INDEX(StatsZone,$P495,MAP!$E$12))</f>
        <v>0</v>
      </c>
      <c r="S495" s="2">
        <f t="array" ref="S495">IF($P495="",0,INDEX(StatsZone,$P495,MAP!$E$13))</f>
        <v>0</v>
      </c>
      <c r="T495" s="2">
        <f t="shared" si="1"/>
        <v>0</v>
      </c>
      <c r="U495" s="2">
        <f t="array" ref="U495">IF($P495="",0,INDEX(StatsZone,$P495,MAP!$E$14)+INDEX(StatsZone,$P495,MAP!$E$15)+INDEX(StatsZone,$P495,MAP!$E$16))</f>
        <v>0</v>
      </c>
      <c r="V495" s="2">
        <f t="shared" si="2"/>
        <v>0</v>
      </c>
      <c r="W495" s="2">
        <f t="shared" si="3"/>
        <v>0</v>
      </c>
      <c r="X495" s="2">
        <f t="shared" si="4"/>
        <v>0</v>
      </c>
      <c r="Y495" s="2">
        <f t="shared" si="5"/>
        <v>0</v>
      </c>
      <c r="Z495" s="2">
        <f t="shared" si="6"/>
        <v>0</v>
      </c>
      <c r="AA495" s="2">
        <f t="shared" si="7"/>
        <v>1</v>
      </c>
      <c r="AB495" s="2">
        <f>IF(OR($M495="",$N495=""),0,MEDIAN(-MarginCap,MarginCap,($M495-$N495)-$AA495*HFA_Base))</f>
        <v>0</v>
      </c>
      <c r="AC495" s="2">
        <f t="array" ref="AC495">IF(OR($P495="",INDEX($P$3:$P$722,(ROW()+IF(MOD(ROW()-3,2)=0,1,-1))-3+1)=""),0,MEDIAN(-MarginCap,MarginCap,($T495-$W495)-$AA495*HFA_Base))</f>
        <v>0</v>
      </c>
      <c r="AD495" s="2">
        <f t="shared" si="8"/>
        <v>0</v>
      </c>
      <c r="AE495" s="2">
        <f>IF(OR($M495="",$N495=""),0,IF(AND(WEpa&gt;0,$AD495=1),(1-WEpa)*$AB495+WEpa*$AC495,$AB495))</f>
        <v>0</v>
      </c>
      <c r="AF495" s="2">
        <f>IF(AND($C495&lt;&gt;"",$E495=CurrentSeason,$F495="REG",ISNUMBER($G495),$G495&lt;CurrentWeek,AND($M495&lt;&gt;"",$N495&lt;&gt;"")),1,0)</f>
        <v>0</v>
      </c>
      <c r="AG495" s="2">
        <f>IF($AF495=0,0,IF($G495&gt;=CurrentWeek-RecencyWin,RecencyMult,1))</f>
        <v>0</v>
      </c>
      <c r="AH495" s="2">
        <f>IF(AND($C495&lt;&gt;"",$E495=CurrentSeason,$F495="REG",ISNUMBER($G495),$G495&lt;CurrentWeek-1,AND($M495&lt;&gt;"",$N495&lt;&gt;"")),1,0)</f>
        <v>0</v>
      </c>
      <c r="AI495" s="2">
        <f>IF($AH495=0,0,IF($G495&gt;=CurrentWeek-1-RecencyWin,RecencyMult,1))</f>
        <v>0</v>
      </c>
      <c r="AJ495" s="2">
        <f>IF($AF495=0,0,IF($G495&gt;=CurrentWeek-RecencyWin,TotRecency,1))</f>
        <v>0</v>
      </c>
      <c r="AK495" s="2">
        <f t="shared" si="9"/>
        <v>0</v>
      </c>
      <c r="AL495" s="2">
        <f t="shared" si="10"/>
        <v>0</v>
      </c>
      <c r="AM495" s="2" t="str">
        <f t="array" ref="AM495">IF($K495="",0,IFERROR(INDEX(CALC!$F$2:$F$33,MATCH($K495,CALC!$A$2:$A$33,0)),0))</f>
        <v/>
      </c>
      <c r="AN495" s="2" t="str">
        <f t="array" ref="AN495">IF($K495="",0,IFERROR(INDEX(CALC!$I$2:$I$33,MATCH($K495,CALC!$A$2:$A$33,0)),0))</f>
        <v/>
      </c>
      <c r="AO495" s="2" t="str">
        <f t="array" ref="AO495">IF($K495="",0,IFERROR(INDEX(CALC!$L$2:$L$33,MATCH($K495,CALC!$A$2:$A$33,0)),0))</f>
        <v/>
      </c>
      <c r="AP495" s="2" t="str">
        <f t="array" ref="AP495">IF($K495="",0,IFERROR(INDEX(CALC!$T$2:$T$33,MATCH($K495,CALC!$A$2:$A$33,0)),0))</f>
        <v/>
      </c>
      <c r="AQ495" s="2" t="str">
        <f t="array" ref="AQ495">IF($K495="",0,IFERROR(INDEX(CALC!$W$2:$W$33,MATCH($K495,CALC!$A$2:$A$33,0)),0))</f>
        <v/>
      </c>
      <c r="AR495" s="2" t="str">
        <f t="array" ref="AR495">IF($K495="",0,IFERROR(INDEX(CALC!$Z$2:$Z$33,MATCH($K495,CALC!$A$2:$A$33,0)),0))</f>
        <v/>
      </c>
      <c r="AS495" s="2" t="str">
        <f t="array" ref="AS495">IF($K495="",0,IFERROR(INDEX(CALC!$AJ$2:$AJ$33,MATCH($K495,CALC!$A$2:$A$33,0)),0))</f>
        <v/>
      </c>
      <c r="AT495" s="2" t="str">
        <f t="array" ref="AT495">IF($K495="",0,IFERROR(INDEX(CALC!$AI$2:$AI$33,MATCH($K495,CALC!$A$2:$A$33,0)),0))</f>
        <v/>
      </c>
      <c r="AU495" s="2">
        <f t="shared" si="11"/>
        <v>0</v>
      </c>
      <c r="AV495" s="2">
        <f t="shared" si="12"/>
        <v>0</v>
      </c>
    </row>
    <row r="496" ht="15.0" customHeight="1">
      <c r="A496" s="2">
        <v>247.0</v>
      </c>
      <c r="B496" s="2" t="s">
        <v>2366</v>
      </c>
      <c r="C496" s="2">
        <f>IFERROR(MATCH($A496,SchedSeq,0),"")</f>
        <v>532</v>
      </c>
      <c r="D496" s="2" t="str">
        <f t="array" ref="D496">IF($C496="","",INDEX(SchedZone,$C496,MAP!$B$6))</f>
        <v>2026_17_KC_LAC</v>
      </c>
      <c r="E496" s="2">
        <f t="array" ref="E496">IF($C496="","",INDEX(SchedZone,$C496,MAP!$B$3))</f>
        <v>2026</v>
      </c>
      <c r="F496" s="2" t="str">
        <f t="array" ref="F496">IF($C496="","",INDEX(SchedZone,$C496,MAP!$B$5))</f>
        <v>REG</v>
      </c>
      <c r="G496" s="2">
        <f t="array" ref="G496">IF($C496="","",INDEX(SchedZone,$C496,MAP!$B$4))</f>
        <v>17</v>
      </c>
      <c r="H496" s="2" t="str">
        <f t="array" ref="H496">IF($C496="","",INDEX(SchedZone,$C496,MAP!$B$10))</f>
        <v>KC</v>
      </c>
      <c r="I496" s="2" t="str">
        <f t="array" ref="I496">IF($H496="","",IF(COUNTIF(Teams,$H496)&gt;0,$H496,IFERROR(INDEX(LISTS!$D$2:$D$12,MATCH($H496,LISTS!$C$2:$C$12,0)),"⚠ "&amp;$H496)))</f>
        <v>KC</v>
      </c>
      <c r="J496" s="2" t="str">
        <f t="array" ref="J496">IF($C496="","",INDEX(SchedZone,$C496,MAP!$B$12))</f>
        <v>LAC</v>
      </c>
      <c r="K496" s="2" t="str">
        <f t="array" ref="K496">IF($J496="","",IF(COUNTIF(Teams,$J496)&gt;0,$J496,IFERROR(INDEX(LISTS!$D$2:$D$12,MATCH($J496,LISTS!$C$2:$C$12,0)),"⚠ "&amp;$J496)))</f>
        <v>LAC</v>
      </c>
      <c r="L496" s="2" t="str">
        <f t="array" ref="L496">IF($C496="","",IF(INDEX(SchedZone,$C496,MAP!$B$14)="Neutral","N",IF($B496="HOME","H","A")))</f>
        <v>A</v>
      </c>
      <c r="M496" s="2" t="str">
        <f t="array" ref="M496">IF($C496="","",IF(INDEX(SchedZone,$C496,MAP!$B$11)="","",INDEX(SchedZone,$C496,MAP!$B$11)))</f>
        <v/>
      </c>
      <c r="N496" s="2" t="str">
        <f t="array" ref="N496">IF($C496="","",IF(INDEX(SchedZone,$C496,MAP!$B$13)="","",INDEX(SchedZone,$C496,MAP!$B$13)))</f>
        <v/>
      </c>
      <c r="O496" s="2">
        <f t="array" ref="O496">IF($C496="","",INDEX(SchedZone,$C496,MAP!$B$15))</f>
        <v>7</v>
      </c>
      <c r="P496" s="2" t="str">
        <f>IF($C496="","",IFERROR(MATCH($E496&amp;"|"&amp;$G496&amp;"|"&amp;$I496,StatsKey,0),""))</f>
        <v/>
      </c>
      <c r="Q496" s="2">
        <f t="array" ref="Q496">IF($P496="",0,INDEX(StatsZone,$P496,MAP!$E$9)+INDEX(StatsZone,$P496,MAP!$E$10)+INDEX(StatsZone,$P496,MAP!$E$11))</f>
        <v>0</v>
      </c>
      <c r="R496" s="2">
        <f t="array" ref="R496">IF($P496="",0,INDEX(StatsZone,$P496,MAP!$E$12))</f>
        <v>0</v>
      </c>
      <c r="S496" s="2">
        <f t="array" ref="S496">IF($P496="",0,INDEX(StatsZone,$P496,MAP!$E$13))</f>
        <v>0</v>
      </c>
      <c r="T496" s="2">
        <f t="shared" si="1"/>
        <v>0</v>
      </c>
      <c r="U496" s="2">
        <f t="array" ref="U496">IF($P496="",0,INDEX(StatsZone,$P496,MAP!$E$14)+INDEX(StatsZone,$P496,MAP!$E$15)+INDEX(StatsZone,$P496,MAP!$E$16))</f>
        <v>0</v>
      </c>
      <c r="V496" s="2">
        <f t="shared" si="2"/>
        <v>0</v>
      </c>
      <c r="W496" s="2">
        <f t="shared" si="3"/>
        <v>0</v>
      </c>
      <c r="X496" s="2">
        <f t="shared" si="4"/>
        <v>0</v>
      </c>
      <c r="Y496" s="2">
        <f t="shared" si="5"/>
        <v>0</v>
      </c>
      <c r="Z496" s="2">
        <f t="shared" si="6"/>
        <v>0</v>
      </c>
      <c r="AA496" s="2">
        <f t="shared" si="7"/>
        <v>-1</v>
      </c>
      <c r="AB496" s="2">
        <f>IF(OR($M496="",$N496=""),0,MEDIAN(-MarginCap,MarginCap,($M496-$N496)-$AA496*HFA_Base))</f>
        <v>0</v>
      </c>
      <c r="AC496" s="2">
        <f t="array" ref="AC496">IF(OR($P496="",INDEX($P$3:$P$722,(ROW()+IF(MOD(ROW()-3,2)=0,1,-1))-3+1)=""),0,MEDIAN(-MarginCap,MarginCap,($T496-$W496)-$AA496*HFA_Base))</f>
        <v>0</v>
      </c>
      <c r="AD496" s="2">
        <f t="shared" si="8"/>
        <v>0</v>
      </c>
      <c r="AE496" s="2">
        <f>IF(OR($M496="",$N496=""),0,IF(AND(WEpa&gt;0,$AD496=1),(1-WEpa)*$AB496+WEpa*$AC496,$AB496))</f>
        <v>0</v>
      </c>
      <c r="AF496" s="2">
        <f>IF(AND($C496&lt;&gt;"",$E496=CurrentSeason,$F496="REG",ISNUMBER($G496),$G496&lt;CurrentWeek,AND($M496&lt;&gt;"",$N496&lt;&gt;"")),1,0)</f>
        <v>0</v>
      </c>
      <c r="AG496" s="2">
        <f>IF($AF496=0,0,IF($G496&gt;=CurrentWeek-RecencyWin,RecencyMult,1))</f>
        <v>0</v>
      </c>
      <c r="AH496" s="2">
        <f>IF(AND($C496&lt;&gt;"",$E496=CurrentSeason,$F496="REG",ISNUMBER($G496),$G496&lt;CurrentWeek-1,AND($M496&lt;&gt;"",$N496&lt;&gt;"")),1,0)</f>
        <v>0</v>
      </c>
      <c r="AI496" s="2">
        <f>IF($AH496=0,0,IF($G496&gt;=CurrentWeek-1-RecencyWin,RecencyMult,1))</f>
        <v>0</v>
      </c>
      <c r="AJ496" s="2">
        <f>IF($AF496=0,0,IF($G496&gt;=CurrentWeek-RecencyWin,TotRecency,1))</f>
        <v>0</v>
      </c>
      <c r="AK496" s="2">
        <f t="shared" si="9"/>
        <v>0</v>
      </c>
      <c r="AL496" s="2">
        <f t="shared" si="10"/>
        <v>0</v>
      </c>
      <c r="AM496" s="2" t="str">
        <f t="array" ref="AM496">IF($K496="",0,IFERROR(INDEX(CALC!$F$2:$F$33,MATCH($K496,CALC!$A$2:$A$33,0)),0))</f>
        <v/>
      </c>
      <c r="AN496" s="2" t="str">
        <f t="array" ref="AN496">IF($K496="",0,IFERROR(INDEX(CALC!$I$2:$I$33,MATCH($K496,CALC!$A$2:$A$33,0)),0))</f>
        <v/>
      </c>
      <c r="AO496" s="2" t="str">
        <f t="array" ref="AO496">IF($K496="",0,IFERROR(INDEX(CALC!$L$2:$L$33,MATCH($K496,CALC!$A$2:$A$33,0)),0))</f>
        <v/>
      </c>
      <c r="AP496" s="2" t="str">
        <f t="array" ref="AP496">IF($K496="",0,IFERROR(INDEX(CALC!$T$2:$T$33,MATCH($K496,CALC!$A$2:$A$33,0)),0))</f>
        <v/>
      </c>
      <c r="AQ496" s="2" t="str">
        <f t="array" ref="AQ496">IF($K496="",0,IFERROR(INDEX(CALC!$W$2:$W$33,MATCH($K496,CALC!$A$2:$A$33,0)),0))</f>
        <v/>
      </c>
      <c r="AR496" s="2" t="str">
        <f t="array" ref="AR496">IF($K496="",0,IFERROR(INDEX(CALC!$Z$2:$Z$33,MATCH($K496,CALC!$A$2:$A$33,0)),0))</f>
        <v/>
      </c>
      <c r="AS496" s="2" t="str">
        <f t="array" ref="AS496">IF($K496="",0,IFERROR(INDEX(CALC!$AJ$2:$AJ$33,MATCH($K496,CALC!$A$2:$A$33,0)),0))</f>
        <v/>
      </c>
      <c r="AT496" s="2" t="str">
        <f t="array" ref="AT496">IF($K496="",0,IFERROR(INDEX(CALC!$AI$2:$AI$33,MATCH($K496,CALC!$A$2:$A$33,0)),0))</f>
        <v/>
      </c>
      <c r="AU496" s="2">
        <f t="shared" si="11"/>
        <v>0</v>
      </c>
      <c r="AV496" s="2">
        <f t="shared" si="12"/>
        <v>0</v>
      </c>
    </row>
    <row r="497" ht="15.0" customHeight="1">
      <c r="A497" s="2">
        <v>248.0</v>
      </c>
      <c r="B497" s="2" t="s">
        <v>2365</v>
      </c>
      <c r="C497" s="2">
        <f>IFERROR(MATCH($A497,SchedSeq,0),"")</f>
        <v>533</v>
      </c>
      <c r="D497" s="2" t="str">
        <f t="array" ref="D497">IF($C497="","",INDEX(SchedZone,$C497,MAP!$B$6))</f>
        <v>2026_17_BUF_MIA</v>
      </c>
      <c r="E497" s="2">
        <f t="array" ref="E497">IF($C497="","",INDEX(SchedZone,$C497,MAP!$B$3))</f>
        <v>2026</v>
      </c>
      <c r="F497" s="2" t="str">
        <f t="array" ref="F497">IF($C497="","",INDEX(SchedZone,$C497,MAP!$B$5))</f>
        <v>REG</v>
      </c>
      <c r="G497" s="2">
        <f t="array" ref="G497">IF($C497="","",INDEX(SchedZone,$C497,MAP!$B$4))</f>
        <v>17</v>
      </c>
      <c r="H497" s="2" t="str">
        <f t="array" ref="H497">IF($C497="","",INDEX(SchedZone,$C497,MAP!$B$12))</f>
        <v>MIA</v>
      </c>
      <c r="I497" s="2" t="str">
        <f t="array" ref="I497">IF($H497="","",IF(COUNTIF(Teams,$H497)&gt;0,$H497,IFERROR(INDEX(LISTS!$D$2:$D$12,MATCH($H497,LISTS!$C$2:$C$12,0)),"⚠ "&amp;$H497)))</f>
        <v>MIA</v>
      </c>
      <c r="J497" s="2" t="str">
        <f t="array" ref="J497">IF($C497="","",INDEX(SchedZone,$C497,MAP!$B$10))</f>
        <v>BUF</v>
      </c>
      <c r="K497" s="2" t="str">
        <f t="array" ref="K497">IF($J497="","",IF(COUNTIF(Teams,$J497)&gt;0,$J497,IFERROR(INDEX(LISTS!$D$2:$D$12,MATCH($J497,LISTS!$C$2:$C$12,0)),"⚠ "&amp;$J497)))</f>
        <v>BUF</v>
      </c>
      <c r="L497" s="2" t="str">
        <f t="array" ref="L497">IF($C497="","",IF(INDEX(SchedZone,$C497,MAP!$B$14)="Neutral","N",IF($B497="HOME","H","A")))</f>
        <v>H</v>
      </c>
      <c r="M497" s="2" t="str">
        <f t="array" ref="M497">IF($C497="","",IF(INDEX(SchedZone,$C497,MAP!$B$13)="","",INDEX(SchedZone,$C497,MAP!$B$13)))</f>
        <v/>
      </c>
      <c r="N497" s="2" t="str">
        <f t="array" ref="N497">IF($C497="","",IF(INDEX(SchedZone,$C497,MAP!$B$11)="","",INDEX(SchedZone,$C497,MAP!$B$11)))</f>
        <v/>
      </c>
      <c r="O497" s="2">
        <f t="array" ref="O497">IF($C497="","",INDEX(SchedZone,$C497,MAP!$B$16))</f>
        <v>7</v>
      </c>
      <c r="P497" s="2" t="str">
        <f>IF($C497="","",IFERROR(MATCH($E497&amp;"|"&amp;$G497&amp;"|"&amp;$I497,StatsKey,0),""))</f>
        <v/>
      </c>
      <c r="Q497" s="2">
        <f t="array" ref="Q497">IF($P497="",0,INDEX(StatsZone,$P497,MAP!$E$9)+INDEX(StatsZone,$P497,MAP!$E$10)+INDEX(StatsZone,$P497,MAP!$E$11))</f>
        <v>0</v>
      </c>
      <c r="R497" s="2">
        <f t="array" ref="R497">IF($P497="",0,INDEX(StatsZone,$P497,MAP!$E$12))</f>
        <v>0</v>
      </c>
      <c r="S497" s="2">
        <f t="array" ref="S497">IF($P497="",0,INDEX(StatsZone,$P497,MAP!$E$13))</f>
        <v>0</v>
      </c>
      <c r="T497" s="2">
        <f t="shared" si="1"/>
        <v>0</v>
      </c>
      <c r="U497" s="2">
        <f t="array" ref="U497">IF($P497="",0,INDEX(StatsZone,$P497,MAP!$E$14)+INDEX(StatsZone,$P497,MAP!$E$15)+INDEX(StatsZone,$P497,MAP!$E$16))</f>
        <v>0</v>
      </c>
      <c r="V497" s="2">
        <f t="shared" si="2"/>
        <v>0</v>
      </c>
      <c r="W497" s="2">
        <f t="shared" si="3"/>
        <v>0</v>
      </c>
      <c r="X497" s="2">
        <f t="shared" si="4"/>
        <v>0</v>
      </c>
      <c r="Y497" s="2">
        <f t="shared" si="5"/>
        <v>0</v>
      </c>
      <c r="Z497" s="2">
        <f t="shared" si="6"/>
        <v>0</v>
      </c>
      <c r="AA497" s="2">
        <f t="shared" si="7"/>
        <v>1</v>
      </c>
      <c r="AB497" s="2">
        <f>IF(OR($M497="",$N497=""),0,MEDIAN(-MarginCap,MarginCap,($M497-$N497)-$AA497*HFA_Base))</f>
        <v>0</v>
      </c>
      <c r="AC497" s="2">
        <f t="array" ref="AC497">IF(OR($P497="",INDEX($P$3:$P$722,(ROW()+IF(MOD(ROW()-3,2)=0,1,-1))-3+1)=""),0,MEDIAN(-MarginCap,MarginCap,($T497-$W497)-$AA497*HFA_Base))</f>
        <v>0</v>
      </c>
      <c r="AD497" s="2">
        <f t="shared" si="8"/>
        <v>0</v>
      </c>
      <c r="AE497" s="2">
        <f>IF(OR($M497="",$N497=""),0,IF(AND(WEpa&gt;0,$AD497=1),(1-WEpa)*$AB497+WEpa*$AC497,$AB497))</f>
        <v>0</v>
      </c>
      <c r="AF497" s="2">
        <f>IF(AND($C497&lt;&gt;"",$E497=CurrentSeason,$F497="REG",ISNUMBER($G497),$G497&lt;CurrentWeek,AND($M497&lt;&gt;"",$N497&lt;&gt;"")),1,0)</f>
        <v>0</v>
      </c>
      <c r="AG497" s="2">
        <f>IF($AF497=0,0,IF($G497&gt;=CurrentWeek-RecencyWin,RecencyMult,1))</f>
        <v>0</v>
      </c>
      <c r="AH497" s="2">
        <f>IF(AND($C497&lt;&gt;"",$E497=CurrentSeason,$F497="REG",ISNUMBER($G497),$G497&lt;CurrentWeek-1,AND($M497&lt;&gt;"",$N497&lt;&gt;"")),1,0)</f>
        <v>0</v>
      </c>
      <c r="AI497" s="2">
        <f>IF($AH497=0,0,IF($G497&gt;=CurrentWeek-1-RecencyWin,RecencyMult,1))</f>
        <v>0</v>
      </c>
      <c r="AJ497" s="2">
        <f>IF($AF497=0,0,IF($G497&gt;=CurrentWeek-RecencyWin,TotRecency,1))</f>
        <v>0</v>
      </c>
      <c r="AK497" s="2">
        <f t="shared" si="9"/>
        <v>0</v>
      </c>
      <c r="AL497" s="2">
        <f t="shared" si="10"/>
        <v>0</v>
      </c>
      <c r="AM497" s="2" t="str">
        <f t="array" ref="AM497">IF($K497="",0,IFERROR(INDEX(CALC!$F$2:$F$33,MATCH($K497,CALC!$A$2:$A$33,0)),0))</f>
        <v/>
      </c>
      <c r="AN497" s="2" t="str">
        <f t="array" ref="AN497">IF($K497="",0,IFERROR(INDEX(CALC!$I$2:$I$33,MATCH($K497,CALC!$A$2:$A$33,0)),0))</f>
        <v/>
      </c>
      <c r="AO497" s="2" t="str">
        <f t="array" ref="AO497">IF($K497="",0,IFERROR(INDEX(CALC!$L$2:$L$33,MATCH($K497,CALC!$A$2:$A$33,0)),0))</f>
        <v/>
      </c>
      <c r="AP497" s="2" t="str">
        <f t="array" ref="AP497">IF($K497="",0,IFERROR(INDEX(CALC!$T$2:$T$33,MATCH($K497,CALC!$A$2:$A$33,0)),0))</f>
        <v/>
      </c>
      <c r="AQ497" s="2" t="str">
        <f t="array" ref="AQ497">IF($K497="",0,IFERROR(INDEX(CALC!$W$2:$W$33,MATCH($K497,CALC!$A$2:$A$33,0)),0))</f>
        <v/>
      </c>
      <c r="AR497" s="2" t="str">
        <f t="array" ref="AR497">IF($K497="",0,IFERROR(INDEX(CALC!$Z$2:$Z$33,MATCH($K497,CALC!$A$2:$A$33,0)),0))</f>
        <v/>
      </c>
      <c r="AS497" s="2" t="str">
        <f t="array" ref="AS497">IF($K497="",0,IFERROR(INDEX(CALC!$AJ$2:$AJ$33,MATCH($K497,CALC!$A$2:$A$33,0)),0))</f>
        <v/>
      </c>
      <c r="AT497" s="2" t="str">
        <f t="array" ref="AT497">IF($K497="",0,IFERROR(INDEX(CALC!$AI$2:$AI$33,MATCH($K497,CALC!$A$2:$A$33,0)),0))</f>
        <v/>
      </c>
      <c r="AU497" s="2">
        <f t="shared" si="11"/>
        <v>0</v>
      </c>
      <c r="AV497" s="2">
        <f t="shared" si="12"/>
        <v>0</v>
      </c>
    </row>
    <row r="498" ht="15.0" customHeight="1">
      <c r="A498" s="2">
        <v>248.0</v>
      </c>
      <c r="B498" s="2" t="s">
        <v>2366</v>
      </c>
      <c r="C498" s="2">
        <f>IFERROR(MATCH($A498,SchedSeq,0),"")</f>
        <v>533</v>
      </c>
      <c r="D498" s="2" t="str">
        <f t="array" ref="D498">IF($C498="","",INDEX(SchedZone,$C498,MAP!$B$6))</f>
        <v>2026_17_BUF_MIA</v>
      </c>
      <c r="E498" s="2">
        <f t="array" ref="E498">IF($C498="","",INDEX(SchedZone,$C498,MAP!$B$3))</f>
        <v>2026</v>
      </c>
      <c r="F498" s="2" t="str">
        <f t="array" ref="F498">IF($C498="","",INDEX(SchedZone,$C498,MAP!$B$5))</f>
        <v>REG</v>
      </c>
      <c r="G498" s="2">
        <f t="array" ref="G498">IF($C498="","",INDEX(SchedZone,$C498,MAP!$B$4))</f>
        <v>17</v>
      </c>
      <c r="H498" s="2" t="str">
        <f t="array" ref="H498">IF($C498="","",INDEX(SchedZone,$C498,MAP!$B$10))</f>
        <v>BUF</v>
      </c>
      <c r="I498" s="2" t="str">
        <f t="array" ref="I498">IF($H498="","",IF(COUNTIF(Teams,$H498)&gt;0,$H498,IFERROR(INDEX(LISTS!$D$2:$D$12,MATCH($H498,LISTS!$C$2:$C$12,0)),"⚠ "&amp;$H498)))</f>
        <v>BUF</v>
      </c>
      <c r="J498" s="2" t="str">
        <f t="array" ref="J498">IF($C498="","",INDEX(SchedZone,$C498,MAP!$B$12))</f>
        <v>MIA</v>
      </c>
      <c r="K498" s="2" t="str">
        <f t="array" ref="K498">IF($J498="","",IF(COUNTIF(Teams,$J498)&gt;0,$J498,IFERROR(INDEX(LISTS!$D$2:$D$12,MATCH($J498,LISTS!$C$2:$C$12,0)),"⚠ "&amp;$J498)))</f>
        <v>MIA</v>
      </c>
      <c r="L498" s="2" t="str">
        <f t="array" ref="L498">IF($C498="","",IF(INDEX(SchedZone,$C498,MAP!$B$14)="Neutral","N",IF($B498="HOME","H","A")))</f>
        <v>A</v>
      </c>
      <c r="M498" s="2" t="str">
        <f t="array" ref="M498">IF($C498="","",IF(INDEX(SchedZone,$C498,MAP!$B$11)="","",INDEX(SchedZone,$C498,MAP!$B$11)))</f>
        <v/>
      </c>
      <c r="N498" s="2" t="str">
        <f t="array" ref="N498">IF($C498="","",IF(INDEX(SchedZone,$C498,MAP!$B$13)="","",INDEX(SchedZone,$C498,MAP!$B$13)))</f>
        <v/>
      </c>
      <c r="O498" s="2">
        <f t="array" ref="O498">IF($C498="","",INDEX(SchedZone,$C498,MAP!$B$15))</f>
        <v>9</v>
      </c>
      <c r="P498" s="2" t="str">
        <f>IF($C498="","",IFERROR(MATCH($E498&amp;"|"&amp;$G498&amp;"|"&amp;$I498,StatsKey,0),""))</f>
        <v/>
      </c>
      <c r="Q498" s="2">
        <f t="array" ref="Q498">IF($P498="",0,INDEX(StatsZone,$P498,MAP!$E$9)+INDEX(StatsZone,$P498,MAP!$E$10)+INDEX(StatsZone,$P498,MAP!$E$11))</f>
        <v>0</v>
      </c>
      <c r="R498" s="2">
        <f t="array" ref="R498">IF($P498="",0,INDEX(StatsZone,$P498,MAP!$E$12))</f>
        <v>0</v>
      </c>
      <c r="S498" s="2">
        <f t="array" ref="S498">IF($P498="",0,INDEX(StatsZone,$P498,MAP!$E$13))</f>
        <v>0</v>
      </c>
      <c r="T498" s="2">
        <f t="shared" si="1"/>
        <v>0</v>
      </c>
      <c r="U498" s="2">
        <f t="array" ref="U498">IF($P498="",0,INDEX(StatsZone,$P498,MAP!$E$14)+INDEX(StatsZone,$P498,MAP!$E$15)+INDEX(StatsZone,$P498,MAP!$E$16))</f>
        <v>0</v>
      </c>
      <c r="V498" s="2">
        <f t="shared" si="2"/>
        <v>0</v>
      </c>
      <c r="W498" s="2">
        <f t="shared" si="3"/>
        <v>0</v>
      </c>
      <c r="X498" s="2">
        <f t="shared" si="4"/>
        <v>0</v>
      </c>
      <c r="Y498" s="2">
        <f t="shared" si="5"/>
        <v>0</v>
      </c>
      <c r="Z498" s="2">
        <f t="shared" si="6"/>
        <v>0</v>
      </c>
      <c r="AA498" s="2">
        <f t="shared" si="7"/>
        <v>-1</v>
      </c>
      <c r="AB498" s="2">
        <f>IF(OR($M498="",$N498=""),0,MEDIAN(-MarginCap,MarginCap,($M498-$N498)-$AA498*HFA_Base))</f>
        <v>0</v>
      </c>
      <c r="AC498" s="2">
        <f t="array" ref="AC498">IF(OR($P498="",INDEX($P$3:$P$722,(ROW()+IF(MOD(ROW()-3,2)=0,1,-1))-3+1)=""),0,MEDIAN(-MarginCap,MarginCap,($T498-$W498)-$AA498*HFA_Base))</f>
        <v>0</v>
      </c>
      <c r="AD498" s="2">
        <f t="shared" si="8"/>
        <v>0</v>
      </c>
      <c r="AE498" s="2">
        <f>IF(OR($M498="",$N498=""),0,IF(AND(WEpa&gt;0,$AD498=1),(1-WEpa)*$AB498+WEpa*$AC498,$AB498))</f>
        <v>0</v>
      </c>
      <c r="AF498" s="2">
        <f>IF(AND($C498&lt;&gt;"",$E498=CurrentSeason,$F498="REG",ISNUMBER($G498),$G498&lt;CurrentWeek,AND($M498&lt;&gt;"",$N498&lt;&gt;"")),1,0)</f>
        <v>0</v>
      </c>
      <c r="AG498" s="2">
        <f>IF($AF498=0,0,IF($G498&gt;=CurrentWeek-RecencyWin,RecencyMult,1))</f>
        <v>0</v>
      </c>
      <c r="AH498" s="2">
        <f>IF(AND($C498&lt;&gt;"",$E498=CurrentSeason,$F498="REG",ISNUMBER($G498),$G498&lt;CurrentWeek-1,AND($M498&lt;&gt;"",$N498&lt;&gt;"")),1,0)</f>
        <v>0</v>
      </c>
      <c r="AI498" s="2">
        <f>IF($AH498=0,0,IF($G498&gt;=CurrentWeek-1-RecencyWin,RecencyMult,1))</f>
        <v>0</v>
      </c>
      <c r="AJ498" s="2">
        <f>IF($AF498=0,0,IF($G498&gt;=CurrentWeek-RecencyWin,TotRecency,1))</f>
        <v>0</v>
      </c>
      <c r="AK498" s="2">
        <f t="shared" si="9"/>
        <v>0</v>
      </c>
      <c r="AL498" s="2">
        <f t="shared" si="10"/>
        <v>0</v>
      </c>
      <c r="AM498" s="2" t="str">
        <f t="array" ref="AM498">IF($K498="",0,IFERROR(INDEX(CALC!$F$2:$F$33,MATCH($K498,CALC!$A$2:$A$33,0)),0))</f>
        <v/>
      </c>
      <c r="AN498" s="2" t="str">
        <f t="array" ref="AN498">IF($K498="",0,IFERROR(INDEX(CALC!$I$2:$I$33,MATCH($K498,CALC!$A$2:$A$33,0)),0))</f>
        <v/>
      </c>
      <c r="AO498" s="2" t="str">
        <f t="array" ref="AO498">IF($K498="",0,IFERROR(INDEX(CALC!$L$2:$L$33,MATCH($K498,CALC!$A$2:$A$33,0)),0))</f>
        <v/>
      </c>
      <c r="AP498" s="2" t="str">
        <f t="array" ref="AP498">IF($K498="",0,IFERROR(INDEX(CALC!$T$2:$T$33,MATCH($K498,CALC!$A$2:$A$33,0)),0))</f>
        <v/>
      </c>
      <c r="AQ498" s="2" t="str">
        <f t="array" ref="AQ498">IF($K498="",0,IFERROR(INDEX(CALC!$W$2:$W$33,MATCH($K498,CALC!$A$2:$A$33,0)),0))</f>
        <v/>
      </c>
      <c r="AR498" s="2" t="str">
        <f t="array" ref="AR498">IF($K498="",0,IFERROR(INDEX(CALC!$Z$2:$Z$33,MATCH($K498,CALC!$A$2:$A$33,0)),0))</f>
        <v/>
      </c>
      <c r="AS498" s="2" t="str">
        <f t="array" ref="AS498">IF($K498="",0,IFERROR(INDEX(CALC!$AJ$2:$AJ$33,MATCH($K498,CALC!$A$2:$A$33,0)),0))</f>
        <v/>
      </c>
      <c r="AT498" s="2" t="str">
        <f t="array" ref="AT498">IF($K498="",0,IFERROR(INDEX(CALC!$AI$2:$AI$33,MATCH($K498,CALC!$A$2:$A$33,0)),0))</f>
        <v/>
      </c>
      <c r="AU498" s="2">
        <f t="shared" si="11"/>
        <v>0</v>
      </c>
      <c r="AV498" s="2">
        <f t="shared" si="12"/>
        <v>0</v>
      </c>
    </row>
    <row r="499" ht="15.0" customHeight="1">
      <c r="A499" s="2">
        <v>249.0</v>
      </c>
      <c r="B499" s="2" t="s">
        <v>2365</v>
      </c>
      <c r="C499" s="2">
        <f>IFERROR(MATCH($A499,SchedSeq,0),"")</f>
        <v>534</v>
      </c>
      <c r="D499" s="2" t="str">
        <f t="array" ref="D499">IF($C499="","",INDEX(SchedZone,$C499,MAP!$B$6))</f>
        <v>2026_17_DEN_NE</v>
      </c>
      <c r="E499" s="2">
        <f t="array" ref="E499">IF($C499="","",INDEX(SchedZone,$C499,MAP!$B$3))</f>
        <v>2026</v>
      </c>
      <c r="F499" s="2" t="str">
        <f t="array" ref="F499">IF($C499="","",INDEX(SchedZone,$C499,MAP!$B$5))</f>
        <v>REG</v>
      </c>
      <c r="G499" s="2">
        <f t="array" ref="G499">IF($C499="","",INDEX(SchedZone,$C499,MAP!$B$4))</f>
        <v>17</v>
      </c>
      <c r="H499" s="2" t="str">
        <f t="array" ref="H499">IF($C499="","",INDEX(SchedZone,$C499,MAP!$B$12))</f>
        <v>NE</v>
      </c>
      <c r="I499" s="2" t="str">
        <f t="array" ref="I499">IF($H499="","",IF(COUNTIF(Teams,$H499)&gt;0,$H499,IFERROR(INDEX(LISTS!$D$2:$D$12,MATCH($H499,LISTS!$C$2:$C$12,0)),"⚠ "&amp;$H499)))</f>
        <v>NE</v>
      </c>
      <c r="J499" s="2" t="str">
        <f t="array" ref="J499">IF($C499="","",INDEX(SchedZone,$C499,MAP!$B$10))</f>
        <v>DEN</v>
      </c>
      <c r="K499" s="2" t="str">
        <f t="array" ref="K499">IF($J499="","",IF(COUNTIF(Teams,$J499)&gt;0,$J499,IFERROR(INDEX(LISTS!$D$2:$D$12,MATCH($J499,LISTS!$C$2:$C$12,0)),"⚠ "&amp;$J499)))</f>
        <v>DEN</v>
      </c>
      <c r="L499" s="2" t="str">
        <f t="array" ref="L499">IF($C499="","",IF(INDEX(SchedZone,$C499,MAP!$B$14)="Neutral","N",IF($B499="HOME","H","A")))</f>
        <v>H</v>
      </c>
      <c r="M499" s="2" t="str">
        <f t="array" ref="M499">IF($C499="","",IF(INDEX(SchedZone,$C499,MAP!$B$13)="","",INDEX(SchedZone,$C499,MAP!$B$13)))</f>
        <v/>
      </c>
      <c r="N499" s="2" t="str">
        <f t="array" ref="N499">IF($C499="","",IF(INDEX(SchedZone,$C499,MAP!$B$11)="","",INDEX(SchedZone,$C499,MAP!$B$11)))</f>
        <v/>
      </c>
      <c r="O499" s="2">
        <f t="array" ref="O499">IF($C499="","",INDEX(SchedZone,$C499,MAP!$B$16))</f>
        <v>7</v>
      </c>
      <c r="P499" s="2" t="str">
        <f>IF($C499="","",IFERROR(MATCH($E499&amp;"|"&amp;$G499&amp;"|"&amp;$I499,StatsKey,0),""))</f>
        <v/>
      </c>
      <c r="Q499" s="2">
        <f t="array" ref="Q499">IF($P499="",0,INDEX(StatsZone,$P499,MAP!$E$9)+INDEX(StatsZone,$P499,MAP!$E$10)+INDEX(StatsZone,$P499,MAP!$E$11))</f>
        <v>0</v>
      </c>
      <c r="R499" s="2">
        <f t="array" ref="R499">IF($P499="",0,INDEX(StatsZone,$P499,MAP!$E$12))</f>
        <v>0</v>
      </c>
      <c r="S499" s="2">
        <f t="array" ref="S499">IF($P499="",0,INDEX(StatsZone,$P499,MAP!$E$13))</f>
        <v>0</v>
      </c>
      <c r="T499" s="2">
        <f t="shared" si="1"/>
        <v>0</v>
      </c>
      <c r="U499" s="2">
        <f t="array" ref="U499">IF($P499="",0,INDEX(StatsZone,$P499,MAP!$E$14)+INDEX(StatsZone,$P499,MAP!$E$15)+INDEX(StatsZone,$P499,MAP!$E$16))</f>
        <v>0</v>
      </c>
      <c r="V499" s="2">
        <f t="shared" si="2"/>
        <v>0</v>
      </c>
      <c r="W499" s="2">
        <f t="shared" si="3"/>
        <v>0</v>
      </c>
      <c r="X499" s="2">
        <f t="shared" si="4"/>
        <v>0</v>
      </c>
      <c r="Y499" s="2">
        <f t="shared" si="5"/>
        <v>0</v>
      </c>
      <c r="Z499" s="2">
        <f t="shared" si="6"/>
        <v>0</v>
      </c>
      <c r="AA499" s="2">
        <f t="shared" si="7"/>
        <v>1</v>
      </c>
      <c r="AB499" s="2">
        <f>IF(OR($M499="",$N499=""),0,MEDIAN(-MarginCap,MarginCap,($M499-$N499)-$AA499*HFA_Base))</f>
        <v>0</v>
      </c>
      <c r="AC499" s="2">
        <f t="array" ref="AC499">IF(OR($P499="",INDEX($P$3:$P$722,(ROW()+IF(MOD(ROW()-3,2)=0,1,-1))-3+1)=""),0,MEDIAN(-MarginCap,MarginCap,($T499-$W499)-$AA499*HFA_Base))</f>
        <v>0</v>
      </c>
      <c r="AD499" s="2">
        <f t="shared" si="8"/>
        <v>0</v>
      </c>
      <c r="AE499" s="2">
        <f>IF(OR($M499="",$N499=""),0,IF(AND(WEpa&gt;0,$AD499=1),(1-WEpa)*$AB499+WEpa*$AC499,$AB499))</f>
        <v>0</v>
      </c>
      <c r="AF499" s="2">
        <f>IF(AND($C499&lt;&gt;"",$E499=CurrentSeason,$F499="REG",ISNUMBER($G499),$G499&lt;CurrentWeek,AND($M499&lt;&gt;"",$N499&lt;&gt;"")),1,0)</f>
        <v>0</v>
      </c>
      <c r="AG499" s="2">
        <f>IF($AF499=0,0,IF($G499&gt;=CurrentWeek-RecencyWin,RecencyMult,1))</f>
        <v>0</v>
      </c>
      <c r="AH499" s="2">
        <f>IF(AND($C499&lt;&gt;"",$E499=CurrentSeason,$F499="REG",ISNUMBER($G499),$G499&lt;CurrentWeek-1,AND($M499&lt;&gt;"",$N499&lt;&gt;"")),1,0)</f>
        <v>0</v>
      </c>
      <c r="AI499" s="2">
        <f>IF($AH499=0,0,IF($G499&gt;=CurrentWeek-1-RecencyWin,RecencyMult,1))</f>
        <v>0</v>
      </c>
      <c r="AJ499" s="2">
        <f>IF($AF499=0,0,IF($G499&gt;=CurrentWeek-RecencyWin,TotRecency,1))</f>
        <v>0</v>
      </c>
      <c r="AK499" s="2">
        <f t="shared" si="9"/>
        <v>0</v>
      </c>
      <c r="AL499" s="2">
        <f t="shared" si="10"/>
        <v>0</v>
      </c>
      <c r="AM499" s="2" t="str">
        <f t="array" ref="AM499">IF($K499="",0,IFERROR(INDEX(CALC!$F$2:$F$33,MATCH($K499,CALC!$A$2:$A$33,0)),0))</f>
        <v/>
      </c>
      <c r="AN499" s="2" t="str">
        <f t="array" ref="AN499">IF($K499="",0,IFERROR(INDEX(CALC!$I$2:$I$33,MATCH($K499,CALC!$A$2:$A$33,0)),0))</f>
        <v/>
      </c>
      <c r="AO499" s="2" t="str">
        <f t="array" ref="AO499">IF($K499="",0,IFERROR(INDEX(CALC!$L$2:$L$33,MATCH($K499,CALC!$A$2:$A$33,0)),0))</f>
        <v/>
      </c>
      <c r="AP499" s="2" t="str">
        <f t="array" ref="AP499">IF($K499="",0,IFERROR(INDEX(CALC!$T$2:$T$33,MATCH($K499,CALC!$A$2:$A$33,0)),0))</f>
        <v/>
      </c>
      <c r="AQ499" s="2" t="str">
        <f t="array" ref="AQ499">IF($K499="",0,IFERROR(INDEX(CALC!$W$2:$W$33,MATCH($K499,CALC!$A$2:$A$33,0)),0))</f>
        <v/>
      </c>
      <c r="AR499" s="2" t="str">
        <f t="array" ref="AR499">IF($K499="",0,IFERROR(INDEX(CALC!$Z$2:$Z$33,MATCH($K499,CALC!$A$2:$A$33,0)),0))</f>
        <v/>
      </c>
      <c r="AS499" s="2" t="str">
        <f t="array" ref="AS499">IF($K499="",0,IFERROR(INDEX(CALC!$AJ$2:$AJ$33,MATCH($K499,CALC!$A$2:$A$33,0)),0))</f>
        <v/>
      </c>
      <c r="AT499" s="2" t="str">
        <f t="array" ref="AT499">IF($K499="",0,IFERROR(INDEX(CALC!$AI$2:$AI$33,MATCH($K499,CALC!$A$2:$A$33,0)),0))</f>
        <v/>
      </c>
      <c r="AU499" s="2">
        <f t="shared" si="11"/>
        <v>0</v>
      </c>
      <c r="AV499" s="2">
        <f t="shared" si="12"/>
        <v>0</v>
      </c>
    </row>
    <row r="500" ht="15.0" customHeight="1">
      <c r="A500" s="2">
        <v>249.0</v>
      </c>
      <c r="B500" s="2" t="s">
        <v>2366</v>
      </c>
      <c r="C500" s="2">
        <f>IFERROR(MATCH($A500,SchedSeq,0),"")</f>
        <v>534</v>
      </c>
      <c r="D500" s="2" t="str">
        <f t="array" ref="D500">IF($C500="","",INDEX(SchedZone,$C500,MAP!$B$6))</f>
        <v>2026_17_DEN_NE</v>
      </c>
      <c r="E500" s="2">
        <f t="array" ref="E500">IF($C500="","",INDEX(SchedZone,$C500,MAP!$B$3))</f>
        <v>2026</v>
      </c>
      <c r="F500" s="2" t="str">
        <f t="array" ref="F500">IF($C500="","",INDEX(SchedZone,$C500,MAP!$B$5))</f>
        <v>REG</v>
      </c>
      <c r="G500" s="2">
        <f t="array" ref="G500">IF($C500="","",INDEX(SchedZone,$C500,MAP!$B$4))</f>
        <v>17</v>
      </c>
      <c r="H500" s="2" t="str">
        <f t="array" ref="H500">IF($C500="","",INDEX(SchedZone,$C500,MAP!$B$10))</f>
        <v>DEN</v>
      </c>
      <c r="I500" s="2" t="str">
        <f t="array" ref="I500">IF($H500="","",IF(COUNTIF(Teams,$H500)&gt;0,$H500,IFERROR(INDEX(LISTS!$D$2:$D$12,MATCH($H500,LISTS!$C$2:$C$12,0)),"⚠ "&amp;$H500)))</f>
        <v>DEN</v>
      </c>
      <c r="J500" s="2" t="str">
        <f t="array" ref="J500">IF($C500="","",INDEX(SchedZone,$C500,MAP!$B$12))</f>
        <v>NE</v>
      </c>
      <c r="K500" s="2" t="str">
        <f t="array" ref="K500">IF($J500="","",IF(COUNTIF(Teams,$J500)&gt;0,$J500,IFERROR(INDEX(LISTS!$D$2:$D$12,MATCH($J500,LISTS!$C$2:$C$12,0)),"⚠ "&amp;$J500)))</f>
        <v>NE</v>
      </c>
      <c r="L500" s="2" t="str">
        <f t="array" ref="L500">IF($C500="","",IF(INDEX(SchedZone,$C500,MAP!$B$14)="Neutral","N",IF($B500="HOME","H","A")))</f>
        <v>A</v>
      </c>
      <c r="M500" s="2" t="str">
        <f t="array" ref="M500">IF($C500="","",IF(INDEX(SchedZone,$C500,MAP!$B$11)="","",INDEX(SchedZone,$C500,MAP!$B$11)))</f>
        <v/>
      </c>
      <c r="N500" s="2" t="str">
        <f t="array" ref="N500">IF($C500="","",IF(INDEX(SchedZone,$C500,MAP!$B$13)="","",INDEX(SchedZone,$C500,MAP!$B$13)))</f>
        <v/>
      </c>
      <c r="O500" s="2">
        <f t="array" ref="O500">IF($C500="","",INDEX(SchedZone,$C500,MAP!$B$15))</f>
        <v>9</v>
      </c>
      <c r="P500" s="2" t="str">
        <f>IF($C500="","",IFERROR(MATCH($E500&amp;"|"&amp;$G500&amp;"|"&amp;$I500,StatsKey,0),""))</f>
        <v/>
      </c>
      <c r="Q500" s="2">
        <f t="array" ref="Q500">IF($P500="",0,INDEX(StatsZone,$P500,MAP!$E$9)+INDEX(StatsZone,$P500,MAP!$E$10)+INDEX(StatsZone,$P500,MAP!$E$11))</f>
        <v>0</v>
      </c>
      <c r="R500" s="2">
        <f t="array" ref="R500">IF($P500="",0,INDEX(StatsZone,$P500,MAP!$E$12))</f>
        <v>0</v>
      </c>
      <c r="S500" s="2">
        <f t="array" ref="S500">IF($P500="",0,INDEX(StatsZone,$P500,MAP!$E$13))</f>
        <v>0</v>
      </c>
      <c r="T500" s="2">
        <f t="shared" si="1"/>
        <v>0</v>
      </c>
      <c r="U500" s="2">
        <f t="array" ref="U500">IF($P500="",0,INDEX(StatsZone,$P500,MAP!$E$14)+INDEX(StatsZone,$P500,MAP!$E$15)+INDEX(StatsZone,$P500,MAP!$E$16))</f>
        <v>0</v>
      </c>
      <c r="V500" s="2">
        <f t="shared" si="2"/>
        <v>0</v>
      </c>
      <c r="W500" s="2">
        <f t="shared" si="3"/>
        <v>0</v>
      </c>
      <c r="X500" s="2">
        <f t="shared" si="4"/>
        <v>0</v>
      </c>
      <c r="Y500" s="2">
        <f t="shared" si="5"/>
        <v>0</v>
      </c>
      <c r="Z500" s="2">
        <f t="shared" si="6"/>
        <v>0</v>
      </c>
      <c r="AA500" s="2">
        <f t="shared" si="7"/>
        <v>-1</v>
      </c>
      <c r="AB500" s="2">
        <f>IF(OR($M500="",$N500=""),0,MEDIAN(-MarginCap,MarginCap,($M500-$N500)-$AA500*HFA_Base))</f>
        <v>0</v>
      </c>
      <c r="AC500" s="2">
        <f t="array" ref="AC500">IF(OR($P500="",INDEX($P$3:$P$722,(ROW()+IF(MOD(ROW()-3,2)=0,1,-1))-3+1)=""),0,MEDIAN(-MarginCap,MarginCap,($T500-$W500)-$AA500*HFA_Base))</f>
        <v>0</v>
      </c>
      <c r="AD500" s="2">
        <f t="shared" si="8"/>
        <v>0</v>
      </c>
      <c r="AE500" s="2">
        <f>IF(OR($M500="",$N500=""),0,IF(AND(WEpa&gt;0,$AD500=1),(1-WEpa)*$AB500+WEpa*$AC500,$AB500))</f>
        <v>0</v>
      </c>
      <c r="AF500" s="2">
        <f>IF(AND($C500&lt;&gt;"",$E500=CurrentSeason,$F500="REG",ISNUMBER($G500),$G500&lt;CurrentWeek,AND($M500&lt;&gt;"",$N500&lt;&gt;"")),1,0)</f>
        <v>0</v>
      </c>
      <c r="AG500" s="2">
        <f>IF($AF500=0,0,IF($G500&gt;=CurrentWeek-RecencyWin,RecencyMult,1))</f>
        <v>0</v>
      </c>
      <c r="AH500" s="2">
        <f>IF(AND($C500&lt;&gt;"",$E500=CurrentSeason,$F500="REG",ISNUMBER($G500),$G500&lt;CurrentWeek-1,AND($M500&lt;&gt;"",$N500&lt;&gt;"")),1,0)</f>
        <v>0</v>
      </c>
      <c r="AI500" s="2">
        <f>IF($AH500=0,0,IF($G500&gt;=CurrentWeek-1-RecencyWin,RecencyMult,1))</f>
        <v>0</v>
      </c>
      <c r="AJ500" s="2">
        <f>IF($AF500=0,0,IF($G500&gt;=CurrentWeek-RecencyWin,TotRecency,1))</f>
        <v>0</v>
      </c>
      <c r="AK500" s="2">
        <f t="shared" si="9"/>
        <v>0</v>
      </c>
      <c r="AL500" s="2">
        <f t="shared" si="10"/>
        <v>0</v>
      </c>
      <c r="AM500" s="2" t="str">
        <f t="array" ref="AM500">IF($K500="",0,IFERROR(INDEX(CALC!$F$2:$F$33,MATCH($K500,CALC!$A$2:$A$33,0)),0))</f>
        <v/>
      </c>
      <c r="AN500" s="2" t="str">
        <f t="array" ref="AN500">IF($K500="",0,IFERROR(INDEX(CALC!$I$2:$I$33,MATCH($K500,CALC!$A$2:$A$33,0)),0))</f>
        <v/>
      </c>
      <c r="AO500" s="2" t="str">
        <f t="array" ref="AO500">IF($K500="",0,IFERROR(INDEX(CALC!$L$2:$L$33,MATCH($K500,CALC!$A$2:$A$33,0)),0))</f>
        <v/>
      </c>
      <c r="AP500" s="2" t="str">
        <f t="array" ref="AP500">IF($K500="",0,IFERROR(INDEX(CALC!$T$2:$T$33,MATCH($K500,CALC!$A$2:$A$33,0)),0))</f>
        <v/>
      </c>
      <c r="AQ500" s="2" t="str">
        <f t="array" ref="AQ500">IF($K500="",0,IFERROR(INDEX(CALC!$W$2:$W$33,MATCH($K500,CALC!$A$2:$A$33,0)),0))</f>
        <v/>
      </c>
      <c r="AR500" s="2" t="str">
        <f t="array" ref="AR500">IF($K500="",0,IFERROR(INDEX(CALC!$Z$2:$Z$33,MATCH($K500,CALC!$A$2:$A$33,0)),0))</f>
        <v/>
      </c>
      <c r="AS500" s="2" t="str">
        <f t="array" ref="AS500">IF($K500="",0,IFERROR(INDEX(CALC!$AJ$2:$AJ$33,MATCH($K500,CALC!$A$2:$A$33,0)),0))</f>
        <v/>
      </c>
      <c r="AT500" s="2" t="str">
        <f t="array" ref="AT500">IF($K500="",0,IFERROR(INDEX(CALC!$AI$2:$AI$33,MATCH($K500,CALC!$A$2:$A$33,0)),0))</f>
        <v/>
      </c>
      <c r="AU500" s="2">
        <f t="shared" si="11"/>
        <v>0</v>
      </c>
      <c r="AV500" s="2">
        <f t="shared" si="12"/>
        <v>0</v>
      </c>
    </row>
    <row r="501" ht="15.0" customHeight="1">
      <c r="A501" s="2">
        <v>250.0</v>
      </c>
      <c r="B501" s="2" t="s">
        <v>2365</v>
      </c>
      <c r="C501" s="2">
        <f>IFERROR(MATCH($A501,SchedSeq,0),"")</f>
        <v>535</v>
      </c>
      <c r="D501" s="2" t="str">
        <f t="array" ref="D501">IF($C501="","",INDEX(SchedZone,$C501,MAP!$B$6))</f>
        <v>2026_17_MIN_NYJ</v>
      </c>
      <c r="E501" s="2">
        <f t="array" ref="E501">IF($C501="","",INDEX(SchedZone,$C501,MAP!$B$3))</f>
        <v>2026</v>
      </c>
      <c r="F501" s="2" t="str">
        <f t="array" ref="F501">IF($C501="","",INDEX(SchedZone,$C501,MAP!$B$5))</f>
        <v>REG</v>
      </c>
      <c r="G501" s="2">
        <f t="array" ref="G501">IF($C501="","",INDEX(SchedZone,$C501,MAP!$B$4))</f>
        <v>17</v>
      </c>
      <c r="H501" s="2" t="str">
        <f t="array" ref="H501">IF($C501="","",INDEX(SchedZone,$C501,MAP!$B$12))</f>
        <v>NYJ</v>
      </c>
      <c r="I501" s="2" t="str">
        <f t="array" ref="I501">IF($H501="","",IF(COUNTIF(Teams,$H501)&gt;0,$H501,IFERROR(INDEX(LISTS!$D$2:$D$12,MATCH($H501,LISTS!$C$2:$C$12,0)),"⚠ "&amp;$H501)))</f>
        <v>NYJ</v>
      </c>
      <c r="J501" s="2" t="str">
        <f t="array" ref="J501">IF($C501="","",INDEX(SchedZone,$C501,MAP!$B$10))</f>
        <v>MIN</v>
      </c>
      <c r="K501" s="2" t="str">
        <f t="array" ref="K501">IF($J501="","",IF(COUNTIF(Teams,$J501)&gt;0,$J501,IFERROR(INDEX(LISTS!$D$2:$D$12,MATCH($J501,LISTS!$C$2:$C$12,0)),"⚠ "&amp;$J501)))</f>
        <v>MIN</v>
      </c>
      <c r="L501" s="2" t="str">
        <f t="array" ref="L501">IF($C501="","",IF(INDEX(SchedZone,$C501,MAP!$B$14)="Neutral","N",IF($B501="HOME","H","A")))</f>
        <v>H</v>
      </c>
      <c r="M501" s="2" t="str">
        <f t="array" ref="M501">IF($C501="","",IF(INDEX(SchedZone,$C501,MAP!$B$13)="","",INDEX(SchedZone,$C501,MAP!$B$13)))</f>
        <v/>
      </c>
      <c r="N501" s="2" t="str">
        <f t="array" ref="N501">IF($C501="","",IF(INDEX(SchedZone,$C501,MAP!$B$11)="","",INDEX(SchedZone,$C501,MAP!$B$11)))</f>
        <v/>
      </c>
      <c r="O501" s="2">
        <f t="array" ref="O501">IF($C501="","",INDEX(SchedZone,$C501,MAP!$B$16))</f>
        <v>7</v>
      </c>
      <c r="P501" s="2" t="str">
        <f>IF($C501="","",IFERROR(MATCH($E501&amp;"|"&amp;$G501&amp;"|"&amp;$I501,StatsKey,0),""))</f>
        <v/>
      </c>
      <c r="Q501" s="2">
        <f t="array" ref="Q501">IF($P501="",0,INDEX(StatsZone,$P501,MAP!$E$9)+INDEX(StatsZone,$P501,MAP!$E$10)+INDEX(StatsZone,$P501,MAP!$E$11))</f>
        <v>0</v>
      </c>
      <c r="R501" s="2">
        <f t="array" ref="R501">IF($P501="",0,INDEX(StatsZone,$P501,MAP!$E$12))</f>
        <v>0</v>
      </c>
      <c r="S501" s="2">
        <f t="array" ref="S501">IF($P501="",0,INDEX(StatsZone,$P501,MAP!$E$13))</f>
        <v>0</v>
      </c>
      <c r="T501" s="2">
        <f t="shared" si="1"/>
        <v>0</v>
      </c>
      <c r="U501" s="2">
        <f t="array" ref="U501">IF($P501="",0,INDEX(StatsZone,$P501,MAP!$E$14)+INDEX(StatsZone,$P501,MAP!$E$15)+INDEX(StatsZone,$P501,MAP!$E$16))</f>
        <v>0</v>
      </c>
      <c r="V501" s="2">
        <f t="shared" si="2"/>
        <v>0</v>
      </c>
      <c r="W501" s="2">
        <f t="shared" si="3"/>
        <v>0</v>
      </c>
      <c r="X501" s="2">
        <f t="shared" si="4"/>
        <v>0</v>
      </c>
      <c r="Y501" s="2">
        <f t="shared" si="5"/>
        <v>0</v>
      </c>
      <c r="Z501" s="2">
        <f t="shared" si="6"/>
        <v>0</v>
      </c>
      <c r="AA501" s="2">
        <f t="shared" si="7"/>
        <v>1</v>
      </c>
      <c r="AB501" s="2">
        <f>IF(OR($M501="",$N501=""),0,MEDIAN(-MarginCap,MarginCap,($M501-$N501)-$AA501*HFA_Base))</f>
        <v>0</v>
      </c>
      <c r="AC501" s="2">
        <f t="array" ref="AC501">IF(OR($P501="",INDEX($P$3:$P$722,(ROW()+IF(MOD(ROW()-3,2)=0,1,-1))-3+1)=""),0,MEDIAN(-MarginCap,MarginCap,($T501-$W501)-$AA501*HFA_Base))</f>
        <v>0</v>
      </c>
      <c r="AD501" s="2">
        <f t="shared" si="8"/>
        <v>0</v>
      </c>
      <c r="AE501" s="2">
        <f>IF(OR($M501="",$N501=""),0,IF(AND(WEpa&gt;0,$AD501=1),(1-WEpa)*$AB501+WEpa*$AC501,$AB501))</f>
        <v>0</v>
      </c>
      <c r="AF501" s="2">
        <f>IF(AND($C501&lt;&gt;"",$E501=CurrentSeason,$F501="REG",ISNUMBER($G501),$G501&lt;CurrentWeek,AND($M501&lt;&gt;"",$N501&lt;&gt;"")),1,0)</f>
        <v>0</v>
      </c>
      <c r="AG501" s="2">
        <f>IF($AF501=0,0,IF($G501&gt;=CurrentWeek-RecencyWin,RecencyMult,1))</f>
        <v>0</v>
      </c>
      <c r="AH501" s="2">
        <f>IF(AND($C501&lt;&gt;"",$E501=CurrentSeason,$F501="REG",ISNUMBER($G501),$G501&lt;CurrentWeek-1,AND($M501&lt;&gt;"",$N501&lt;&gt;"")),1,0)</f>
        <v>0</v>
      </c>
      <c r="AI501" s="2">
        <f>IF($AH501=0,0,IF($G501&gt;=CurrentWeek-1-RecencyWin,RecencyMult,1))</f>
        <v>0</v>
      </c>
      <c r="AJ501" s="2">
        <f>IF($AF501=0,0,IF($G501&gt;=CurrentWeek-RecencyWin,TotRecency,1))</f>
        <v>0</v>
      </c>
      <c r="AK501" s="2">
        <f t="shared" si="9"/>
        <v>0</v>
      </c>
      <c r="AL501" s="2">
        <f t="shared" si="10"/>
        <v>0</v>
      </c>
      <c r="AM501" s="2" t="str">
        <f t="array" ref="AM501">IF($K501="",0,IFERROR(INDEX(CALC!$F$2:$F$33,MATCH($K501,CALC!$A$2:$A$33,0)),0))</f>
        <v/>
      </c>
      <c r="AN501" s="2" t="str">
        <f t="array" ref="AN501">IF($K501="",0,IFERROR(INDEX(CALC!$I$2:$I$33,MATCH($K501,CALC!$A$2:$A$33,0)),0))</f>
        <v/>
      </c>
      <c r="AO501" s="2" t="str">
        <f t="array" ref="AO501">IF($K501="",0,IFERROR(INDEX(CALC!$L$2:$L$33,MATCH($K501,CALC!$A$2:$A$33,0)),0))</f>
        <v/>
      </c>
      <c r="AP501" s="2" t="str">
        <f t="array" ref="AP501">IF($K501="",0,IFERROR(INDEX(CALC!$T$2:$T$33,MATCH($K501,CALC!$A$2:$A$33,0)),0))</f>
        <v/>
      </c>
      <c r="AQ501" s="2" t="str">
        <f t="array" ref="AQ501">IF($K501="",0,IFERROR(INDEX(CALC!$W$2:$W$33,MATCH($K501,CALC!$A$2:$A$33,0)),0))</f>
        <v/>
      </c>
      <c r="AR501" s="2" t="str">
        <f t="array" ref="AR501">IF($K501="",0,IFERROR(INDEX(CALC!$Z$2:$Z$33,MATCH($K501,CALC!$A$2:$A$33,0)),0))</f>
        <v/>
      </c>
      <c r="AS501" s="2" t="str">
        <f t="array" ref="AS501">IF($K501="",0,IFERROR(INDEX(CALC!$AJ$2:$AJ$33,MATCH($K501,CALC!$A$2:$A$33,0)),0))</f>
        <v/>
      </c>
      <c r="AT501" s="2" t="str">
        <f t="array" ref="AT501">IF($K501="",0,IFERROR(INDEX(CALC!$AI$2:$AI$33,MATCH($K501,CALC!$A$2:$A$33,0)),0))</f>
        <v/>
      </c>
      <c r="AU501" s="2">
        <f t="shared" si="11"/>
        <v>0</v>
      </c>
      <c r="AV501" s="2">
        <f t="shared" si="12"/>
        <v>0</v>
      </c>
    </row>
    <row r="502" ht="15.0" customHeight="1">
      <c r="A502" s="2">
        <v>250.0</v>
      </c>
      <c r="B502" s="2" t="s">
        <v>2366</v>
      </c>
      <c r="C502" s="2">
        <f>IFERROR(MATCH($A502,SchedSeq,0),"")</f>
        <v>535</v>
      </c>
      <c r="D502" s="2" t="str">
        <f t="array" ref="D502">IF($C502="","",INDEX(SchedZone,$C502,MAP!$B$6))</f>
        <v>2026_17_MIN_NYJ</v>
      </c>
      <c r="E502" s="2">
        <f t="array" ref="E502">IF($C502="","",INDEX(SchedZone,$C502,MAP!$B$3))</f>
        <v>2026</v>
      </c>
      <c r="F502" s="2" t="str">
        <f t="array" ref="F502">IF($C502="","",INDEX(SchedZone,$C502,MAP!$B$5))</f>
        <v>REG</v>
      </c>
      <c r="G502" s="2">
        <f t="array" ref="G502">IF($C502="","",INDEX(SchedZone,$C502,MAP!$B$4))</f>
        <v>17</v>
      </c>
      <c r="H502" s="2" t="str">
        <f t="array" ref="H502">IF($C502="","",INDEX(SchedZone,$C502,MAP!$B$10))</f>
        <v>MIN</v>
      </c>
      <c r="I502" s="2" t="str">
        <f t="array" ref="I502">IF($H502="","",IF(COUNTIF(Teams,$H502)&gt;0,$H502,IFERROR(INDEX(LISTS!$D$2:$D$12,MATCH($H502,LISTS!$C$2:$C$12,0)),"⚠ "&amp;$H502)))</f>
        <v>MIN</v>
      </c>
      <c r="J502" s="2" t="str">
        <f t="array" ref="J502">IF($C502="","",INDEX(SchedZone,$C502,MAP!$B$12))</f>
        <v>NYJ</v>
      </c>
      <c r="K502" s="2" t="str">
        <f t="array" ref="K502">IF($J502="","",IF(COUNTIF(Teams,$J502)&gt;0,$J502,IFERROR(INDEX(LISTS!$D$2:$D$12,MATCH($J502,LISTS!$C$2:$C$12,0)),"⚠ "&amp;$J502)))</f>
        <v>NYJ</v>
      </c>
      <c r="L502" s="2" t="str">
        <f t="array" ref="L502">IF($C502="","",IF(INDEX(SchedZone,$C502,MAP!$B$14)="Neutral","N",IF($B502="HOME","H","A")))</f>
        <v>A</v>
      </c>
      <c r="M502" s="2" t="str">
        <f t="array" ref="M502">IF($C502="","",IF(INDEX(SchedZone,$C502,MAP!$B$11)="","",INDEX(SchedZone,$C502,MAP!$B$11)))</f>
        <v/>
      </c>
      <c r="N502" s="2" t="str">
        <f t="array" ref="N502">IF($C502="","",IF(INDEX(SchedZone,$C502,MAP!$B$13)="","",INDEX(SchedZone,$C502,MAP!$B$13)))</f>
        <v/>
      </c>
      <c r="O502" s="2">
        <f t="array" ref="O502">IF($C502="","",INDEX(SchedZone,$C502,MAP!$B$15))</f>
        <v>7</v>
      </c>
      <c r="P502" s="2" t="str">
        <f>IF($C502="","",IFERROR(MATCH($E502&amp;"|"&amp;$G502&amp;"|"&amp;$I502,StatsKey,0),""))</f>
        <v/>
      </c>
      <c r="Q502" s="2">
        <f t="array" ref="Q502">IF($P502="",0,INDEX(StatsZone,$P502,MAP!$E$9)+INDEX(StatsZone,$P502,MAP!$E$10)+INDEX(StatsZone,$P502,MAP!$E$11))</f>
        <v>0</v>
      </c>
      <c r="R502" s="2">
        <f t="array" ref="R502">IF($P502="",0,INDEX(StatsZone,$P502,MAP!$E$12))</f>
        <v>0</v>
      </c>
      <c r="S502" s="2">
        <f t="array" ref="S502">IF($P502="",0,INDEX(StatsZone,$P502,MAP!$E$13))</f>
        <v>0</v>
      </c>
      <c r="T502" s="2">
        <f t="shared" si="1"/>
        <v>0</v>
      </c>
      <c r="U502" s="2">
        <f t="array" ref="U502">IF($P502="",0,INDEX(StatsZone,$P502,MAP!$E$14)+INDEX(StatsZone,$P502,MAP!$E$15)+INDEX(StatsZone,$P502,MAP!$E$16))</f>
        <v>0</v>
      </c>
      <c r="V502" s="2">
        <f t="shared" si="2"/>
        <v>0</v>
      </c>
      <c r="W502" s="2">
        <f t="shared" si="3"/>
        <v>0</v>
      </c>
      <c r="X502" s="2">
        <f t="shared" si="4"/>
        <v>0</v>
      </c>
      <c r="Y502" s="2">
        <f t="shared" si="5"/>
        <v>0</v>
      </c>
      <c r="Z502" s="2">
        <f t="shared" si="6"/>
        <v>0</v>
      </c>
      <c r="AA502" s="2">
        <f t="shared" si="7"/>
        <v>-1</v>
      </c>
      <c r="AB502" s="2">
        <f>IF(OR($M502="",$N502=""),0,MEDIAN(-MarginCap,MarginCap,($M502-$N502)-$AA502*HFA_Base))</f>
        <v>0</v>
      </c>
      <c r="AC502" s="2">
        <f t="array" ref="AC502">IF(OR($P502="",INDEX($P$3:$P$722,(ROW()+IF(MOD(ROW()-3,2)=0,1,-1))-3+1)=""),0,MEDIAN(-MarginCap,MarginCap,($T502-$W502)-$AA502*HFA_Base))</f>
        <v>0</v>
      </c>
      <c r="AD502" s="2">
        <f t="shared" si="8"/>
        <v>0</v>
      </c>
      <c r="AE502" s="2">
        <f>IF(OR($M502="",$N502=""),0,IF(AND(WEpa&gt;0,$AD502=1),(1-WEpa)*$AB502+WEpa*$AC502,$AB502))</f>
        <v>0</v>
      </c>
      <c r="AF502" s="2">
        <f>IF(AND($C502&lt;&gt;"",$E502=CurrentSeason,$F502="REG",ISNUMBER($G502),$G502&lt;CurrentWeek,AND($M502&lt;&gt;"",$N502&lt;&gt;"")),1,0)</f>
        <v>0</v>
      </c>
      <c r="AG502" s="2">
        <f>IF($AF502=0,0,IF($G502&gt;=CurrentWeek-RecencyWin,RecencyMult,1))</f>
        <v>0</v>
      </c>
      <c r="AH502" s="2">
        <f>IF(AND($C502&lt;&gt;"",$E502=CurrentSeason,$F502="REG",ISNUMBER($G502),$G502&lt;CurrentWeek-1,AND($M502&lt;&gt;"",$N502&lt;&gt;"")),1,0)</f>
        <v>0</v>
      </c>
      <c r="AI502" s="2">
        <f>IF($AH502=0,0,IF($G502&gt;=CurrentWeek-1-RecencyWin,RecencyMult,1))</f>
        <v>0</v>
      </c>
      <c r="AJ502" s="2">
        <f>IF($AF502=0,0,IF($G502&gt;=CurrentWeek-RecencyWin,TotRecency,1))</f>
        <v>0</v>
      </c>
      <c r="AK502" s="2">
        <f t="shared" si="9"/>
        <v>0</v>
      </c>
      <c r="AL502" s="2">
        <f t="shared" si="10"/>
        <v>0</v>
      </c>
      <c r="AM502" s="2" t="str">
        <f t="array" ref="AM502">IF($K502="",0,IFERROR(INDEX(CALC!$F$2:$F$33,MATCH($K502,CALC!$A$2:$A$33,0)),0))</f>
        <v/>
      </c>
      <c r="AN502" s="2" t="str">
        <f t="array" ref="AN502">IF($K502="",0,IFERROR(INDEX(CALC!$I$2:$I$33,MATCH($K502,CALC!$A$2:$A$33,0)),0))</f>
        <v/>
      </c>
      <c r="AO502" s="2" t="str">
        <f t="array" ref="AO502">IF($K502="",0,IFERROR(INDEX(CALC!$L$2:$L$33,MATCH($K502,CALC!$A$2:$A$33,0)),0))</f>
        <v/>
      </c>
      <c r="AP502" s="2" t="str">
        <f t="array" ref="AP502">IF($K502="",0,IFERROR(INDEX(CALC!$T$2:$T$33,MATCH($K502,CALC!$A$2:$A$33,0)),0))</f>
        <v/>
      </c>
      <c r="AQ502" s="2" t="str">
        <f t="array" ref="AQ502">IF($K502="",0,IFERROR(INDEX(CALC!$W$2:$W$33,MATCH($K502,CALC!$A$2:$A$33,0)),0))</f>
        <v/>
      </c>
      <c r="AR502" s="2" t="str">
        <f t="array" ref="AR502">IF($K502="",0,IFERROR(INDEX(CALC!$Z$2:$Z$33,MATCH($K502,CALC!$A$2:$A$33,0)),0))</f>
        <v/>
      </c>
      <c r="AS502" s="2" t="str">
        <f t="array" ref="AS502">IF($K502="",0,IFERROR(INDEX(CALC!$AJ$2:$AJ$33,MATCH($K502,CALC!$A$2:$A$33,0)),0))</f>
        <v/>
      </c>
      <c r="AT502" s="2" t="str">
        <f t="array" ref="AT502">IF($K502="",0,IFERROR(INDEX(CALC!$AI$2:$AI$33,MATCH($K502,CALC!$A$2:$A$33,0)),0))</f>
        <v/>
      </c>
      <c r="AU502" s="2">
        <f t="shared" si="11"/>
        <v>0</v>
      </c>
      <c r="AV502" s="2">
        <f t="shared" si="12"/>
        <v>0</v>
      </c>
    </row>
    <row r="503" ht="15.0" customHeight="1">
      <c r="A503" s="2">
        <v>251.0</v>
      </c>
      <c r="B503" s="2" t="s">
        <v>2365</v>
      </c>
      <c r="C503" s="2">
        <f>IFERROR(MATCH($A503,SchedSeq,0),"")</f>
        <v>536</v>
      </c>
      <c r="D503" s="2" t="str">
        <f t="array" ref="D503">IF($C503="","",INDEX(SchedZone,$C503,MAP!$B$6))</f>
        <v>2026_17_LA_TB</v>
      </c>
      <c r="E503" s="2">
        <f t="array" ref="E503">IF($C503="","",INDEX(SchedZone,$C503,MAP!$B$3))</f>
        <v>2026</v>
      </c>
      <c r="F503" s="2" t="str">
        <f t="array" ref="F503">IF($C503="","",INDEX(SchedZone,$C503,MAP!$B$5))</f>
        <v>REG</v>
      </c>
      <c r="G503" s="2">
        <f t="array" ref="G503">IF($C503="","",INDEX(SchedZone,$C503,MAP!$B$4))</f>
        <v>17</v>
      </c>
      <c r="H503" s="2" t="str">
        <f t="array" ref="H503">IF($C503="","",INDEX(SchedZone,$C503,MAP!$B$12))</f>
        <v>TB</v>
      </c>
      <c r="I503" s="2" t="str">
        <f t="array" ref="I503">IF($H503="","",IF(COUNTIF(Teams,$H503)&gt;0,$H503,IFERROR(INDEX(LISTS!$D$2:$D$12,MATCH($H503,LISTS!$C$2:$C$12,0)),"⚠ "&amp;$H503)))</f>
        <v>TB</v>
      </c>
      <c r="J503" s="2" t="str">
        <f t="array" ref="J503">IF($C503="","",INDEX(SchedZone,$C503,MAP!$B$10))</f>
        <v>LA</v>
      </c>
      <c r="K503" s="2" t="str">
        <f t="array" ref="K503">IF($J503="","",IF(COUNTIF(Teams,$J503)&gt;0,$J503,IFERROR(INDEX(LISTS!$D$2:$D$12,MATCH($J503,LISTS!$C$2:$C$12,0)),"⚠ "&amp;$J503)))</f>
        <v>LA</v>
      </c>
      <c r="L503" s="2" t="str">
        <f t="array" ref="L503">IF($C503="","",IF(INDEX(SchedZone,$C503,MAP!$B$14)="Neutral","N",IF($B503="HOME","H","A")))</f>
        <v>H</v>
      </c>
      <c r="M503" s="2" t="str">
        <f t="array" ref="M503">IF($C503="","",IF(INDEX(SchedZone,$C503,MAP!$B$13)="","",INDEX(SchedZone,$C503,MAP!$B$13)))</f>
        <v/>
      </c>
      <c r="N503" s="2" t="str">
        <f t="array" ref="N503">IF($C503="","",IF(INDEX(SchedZone,$C503,MAP!$B$11)="","",INDEX(SchedZone,$C503,MAP!$B$11)))</f>
        <v/>
      </c>
      <c r="O503" s="2">
        <f t="array" ref="O503">IF($C503="","",INDEX(SchedZone,$C503,MAP!$B$16))</f>
        <v>7</v>
      </c>
      <c r="P503" s="2" t="str">
        <f>IF($C503="","",IFERROR(MATCH($E503&amp;"|"&amp;$G503&amp;"|"&amp;$I503,StatsKey,0),""))</f>
        <v/>
      </c>
      <c r="Q503" s="2">
        <f t="array" ref="Q503">IF($P503="",0,INDEX(StatsZone,$P503,MAP!$E$9)+INDEX(StatsZone,$P503,MAP!$E$10)+INDEX(StatsZone,$P503,MAP!$E$11))</f>
        <v>0</v>
      </c>
      <c r="R503" s="2">
        <f t="array" ref="R503">IF($P503="",0,INDEX(StatsZone,$P503,MAP!$E$12))</f>
        <v>0</v>
      </c>
      <c r="S503" s="2">
        <f t="array" ref="S503">IF($P503="",0,INDEX(StatsZone,$P503,MAP!$E$13))</f>
        <v>0</v>
      </c>
      <c r="T503" s="2">
        <f t="shared" si="1"/>
        <v>0</v>
      </c>
      <c r="U503" s="2">
        <f t="array" ref="U503">IF($P503="",0,INDEX(StatsZone,$P503,MAP!$E$14)+INDEX(StatsZone,$P503,MAP!$E$15)+INDEX(StatsZone,$P503,MAP!$E$16))</f>
        <v>0</v>
      </c>
      <c r="V503" s="2">
        <f t="shared" si="2"/>
        <v>0</v>
      </c>
      <c r="W503" s="2">
        <f t="shared" si="3"/>
        <v>0</v>
      </c>
      <c r="X503" s="2">
        <f t="shared" si="4"/>
        <v>0</v>
      </c>
      <c r="Y503" s="2">
        <f t="shared" si="5"/>
        <v>0</v>
      </c>
      <c r="Z503" s="2">
        <f t="shared" si="6"/>
        <v>0</v>
      </c>
      <c r="AA503" s="2">
        <f t="shared" si="7"/>
        <v>1</v>
      </c>
      <c r="AB503" s="2">
        <f>IF(OR($M503="",$N503=""),0,MEDIAN(-MarginCap,MarginCap,($M503-$N503)-$AA503*HFA_Base))</f>
        <v>0</v>
      </c>
      <c r="AC503" s="2">
        <f t="array" ref="AC503">IF(OR($P503="",INDEX($P$3:$P$722,(ROW()+IF(MOD(ROW()-3,2)=0,1,-1))-3+1)=""),0,MEDIAN(-MarginCap,MarginCap,($T503-$W503)-$AA503*HFA_Base))</f>
        <v>0</v>
      </c>
      <c r="AD503" s="2">
        <f t="shared" si="8"/>
        <v>0</v>
      </c>
      <c r="AE503" s="2">
        <f>IF(OR($M503="",$N503=""),0,IF(AND(WEpa&gt;0,$AD503=1),(1-WEpa)*$AB503+WEpa*$AC503,$AB503))</f>
        <v>0</v>
      </c>
      <c r="AF503" s="2">
        <f>IF(AND($C503&lt;&gt;"",$E503=CurrentSeason,$F503="REG",ISNUMBER($G503),$G503&lt;CurrentWeek,AND($M503&lt;&gt;"",$N503&lt;&gt;"")),1,0)</f>
        <v>0</v>
      </c>
      <c r="AG503" s="2">
        <f>IF($AF503=0,0,IF($G503&gt;=CurrentWeek-RecencyWin,RecencyMult,1))</f>
        <v>0</v>
      </c>
      <c r="AH503" s="2">
        <f>IF(AND($C503&lt;&gt;"",$E503=CurrentSeason,$F503="REG",ISNUMBER($G503),$G503&lt;CurrentWeek-1,AND($M503&lt;&gt;"",$N503&lt;&gt;"")),1,0)</f>
        <v>0</v>
      </c>
      <c r="AI503" s="2">
        <f>IF($AH503=0,0,IF($G503&gt;=CurrentWeek-1-RecencyWin,RecencyMult,1))</f>
        <v>0</v>
      </c>
      <c r="AJ503" s="2">
        <f>IF($AF503=0,0,IF($G503&gt;=CurrentWeek-RecencyWin,TotRecency,1))</f>
        <v>0</v>
      </c>
      <c r="AK503" s="2">
        <f t="shared" si="9"/>
        <v>0</v>
      </c>
      <c r="AL503" s="2">
        <f t="shared" si="10"/>
        <v>0</v>
      </c>
      <c r="AM503" s="2" t="str">
        <f t="array" ref="AM503">IF($K503="",0,IFERROR(INDEX(CALC!$F$2:$F$33,MATCH($K503,CALC!$A$2:$A$33,0)),0))</f>
        <v/>
      </c>
      <c r="AN503" s="2" t="str">
        <f t="array" ref="AN503">IF($K503="",0,IFERROR(INDEX(CALC!$I$2:$I$33,MATCH($K503,CALC!$A$2:$A$33,0)),0))</f>
        <v/>
      </c>
      <c r="AO503" s="2" t="str">
        <f t="array" ref="AO503">IF($K503="",0,IFERROR(INDEX(CALC!$L$2:$L$33,MATCH($K503,CALC!$A$2:$A$33,0)),0))</f>
        <v/>
      </c>
      <c r="AP503" s="2" t="str">
        <f t="array" ref="AP503">IF($K503="",0,IFERROR(INDEX(CALC!$T$2:$T$33,MATCH($K503,CALC!$A$2:$A$33,0)),0))</f>
        <v/>
      </c>
      <c r="AQ503" s="2" t="str">
        <f t="array" ref="AQ503">IF($K503="",0,IFERROR(INDEX(CALC!$W$2:$W$33,MATCH($K503,CALC!$A$2:$A$33,0)),0))</f>
        <v/>
      </c>
      <c r="AR503" s="2" t="str">
        <f t="array" ref="AR503">IF($K503="",0,IFERROR(INDEX(CALC!$Z$2:$Z$33,MATCH($K503,CALC!$A$2:$A$33,0)),0))</f>
        <v/>
      </c>
      <c r="AS503" s="2" t="str">
        <f t="array" ref="AS503">IF($K503="",0,IFERROR(INDEX(CALC!$AJ$2:$AJ$33,MATCH($K503,CALC!$A$2:$A$33,0)),0))</f>
        <v/>
      </c>
      <c r="AT503" s="2" t="str">
        <f t="array" ref="AT503">IF($K503="",0,IFERROR(INDEX(CALC!$AI$2:$AI$33,MATCH($K503,CALC!$A$2:$A$33,0)),0))</f>
        <v/>
      </c>
      <c r="AU503" s="2">
        <f t="shared" si="11"/>
        <v>0</v>
      </c>
      <c r="AV503" s="2">
        <f t="shared" si="12"/>
        <v>0</v>
      </c>
    </row>
    <row r="504" ht="15.0" customHeight="1">
      <c r="A504" s="2">
        <v>251.0</v>
      </c>
      <c r="B504" s="2" t="s">
        <v>2366</v>
      </c>
      <c r="C504" s="2">
        <f>IFERROR(MATCH($A504,SchedSeq,0),"")</f>
        <v>536</v>
      </c>
      <c r="D504" s="2" t="str">
        <f t="array" ref="D504">IF($C504="","",INDEX(SchedZone,$C504,MAP!$B$6))</f>
        <v>2026_17_LA_TB</v>
      </c>
      <c r="E504" s="2">
        <f t="array" ref="E504">IF($C504="","",INDEX(SchedZone,$C504,MAP!$B$3))</f>
        <v>2026</v>
      </c>
      <c r="F504" s="2" t="str">
        <f t="array" ref="F504">IF($C504="","",INDEX(SchedZone,$C504,MAP!$B$5))</f>
        <v>REG</v>
      </c>
      <c r="G504" s="2">
        <f t="array" ref="G504">IF($C504="","",INDEX(SchedZone,$C504,MAP!$B$4))</f>
        <v>17</v>
      </c>
      <c r="H504" s="2" t="str">
        <f t="array" ref="H504">IF($C504="","",INDEX(SchedZone,$C504,MAP!$B$10))</f>
        <v>LA</v>
      </c>
      <c r="I504" s="2" t="str">
        <f t="array" ref="I504">IF($H504="","",IF(COUNTIF(Teams,$H504)&gt;0,$H504,IFERROR(INDEX(LISTS!$D$2:$D$12,MATCH($H504,LISTS!$C$2:$C$12,0)),"⚠ "&amp;$H504)))</f>
        <v>LA</v>
      </c>
      <c r="J504" s="2" t="str">
        <f t="array" ref="J504">IF($C504="","",INDEX(SchedZone,$C504,MAP!$B$12))</f>
        <v>TB</v>
      </c>
      <c r="K504" s="2" t="str">
        <f t="array" ref="K504">IF($J504="","",IF(COUNTIF(Teams,$J504)&gt;0,$J504,IFERROR(INDEX(LISTS!$D$2:$D$12,MATCH($J504,LISTS!$C$2:$C$12,0)),"⚠ "&amp;$J504)))</f>
        <v>TB</v>
      </c>
      <c r="L504" s="2" t="str">
        <f t="array" ref="L504">IF($C504="","",IF(INDEX(SchedZone,$C504,MAP!$B$14)="Neutral","N",IF($B504="HOME","H","A")))</f>
        <v>A</v>
      </c>
      <c r="M504" s="2" t="str">
        <f t="array" ref="M504">IF($C504="","",IF(INDEX(SchedZone,$C504,MAP!$B$11)="","",INDEX(SchedZone,$C504,MAP!$B$11)))</f>
        <v/>
      </c>
      <c r="N504" s="2" t="str">
        <f t="array" ref="N504">IF($C504="","",IF(INDEX(SchedZone,$C504,MAP!$B$13)="","",INDEX(SchedZone,$C504,MAP!$B$13)))</f>
        <v/>
      </c>
      <c r="O504" s="2">
        <f t="array" ref="O504">IF($C504="","",INDEX(SchedZone,$C504,MAP!$B$15))</f>
        <v>9</v>
      </c>
      <c r="P504" s="2" t="str">
        <f>IF($C504="","",IFERROR(MATCH($E504&amp;"|"&amp;$G504&amp;"|"&amp;$I504,StatsKey,0),""))</f>
        <v/>
      </c>
      <c r="Q504" s="2">
        <f t="array" ref="Q504">IF($P504="",0,INDEX(StatsZone,$P504,MAP!$E$9)+INDEX(StatsZone,$P504,MAP!$E$10)+INDEX(StatsZone,$P504,MAP!$E$11))</f>
        <v>0</v>
      </c>
      <c r="R504" s="2">
        <f t="array" ref="R504">IF($P504="",0,INDEX(StatsZone,$P504,MAP!$E$12))</f>
        <v>0</v>
      </c>
      <c r="S504" s="2">
        <f t="array" ref="S504">IF($P504="",0,INDEX(StatsZone,$P504,MAP!$E$13))</f>
        <v>0</v>
      </c>
      <c r="T504" s="2">
        <f t="shared" si="1"/>
        <v>0</v>
      </c>
      <c r="U504" s="2">
        <f t="array" ref="U504">IF($P504="",0,INDEX(StatsZone,$P504,MAP!$E$14)+INDEX(StatsZone,$P504,MAP!$E$15)+INDEX(StatsZone,$P504,MAP!$E$16))</f>
        <v>0</v>
      </c>
      <c r="V504" s="2">
        <f t="shared" si="2"/>
        <v>0</v>
      </c>
      <c r="W504" s="2">
        <f t="shared" si="3"/>
        <v>0</v>
      </c>
      <c r="X504" s="2">
        <f t="shared" si="4"/>
        <v>0</v>
      </c>
      <c r="Y504" s="2">
        <f t="shared" si="5"/>
        <v>0</v>
      </c>
      <c r="Z504" s="2">
        <f t="shared" si="6"/>
        <v>0</v>
      </c>
      <c r="AA504" s="2">
        <f t="shared" si="7"/>
        <v>-1</v>
      </c>
      <c r="AB504" s="2">
        <f>IF(OR($M504="",$N504=""),0,MEDIAN(-MarginCap,MarginCap,($M504-$N504)-$AA504*HFA_Base))</f>
        <v>0</v>
      </c>
      <c r="AC504" s="2">
        <f t="array" ref="AC504">IF(OR($P504="",INDEX($P$3:$P$722,(ROW()+IF(MOD(ROW()-3,2)=0,1,-1))-3+1)=""),0,MEDIAN(-MarginCap,MarginCap,($T504-$W504)-$AA504*HFA_Base))</f>
        <v>0</v>
      </c>
      <c r="AD504" s="2">
        <f t="shared" si="8"/>
        <v>0</v>
      </c>
      <c r="AE504" s="2">
        <f>IF(OR($M504="",$N504=""),0,IF(AND(WEpa&gt;0,$AD504=1),(1-WEpa)*$AB504+WEpa*$AC504,$AB504))</f>
        <v>0</v>
      </c>
      <c r="AF504" s="2">
        <f>IF(AND($C504&lt;&gt;"",$E504=CurrentSeason,$F504="REG",ISNUMBER($G504),$G504&lt;CurrentWeek,AND($M504&lt;&gt;"",$N504&lt;&gt;"")),1,0)</f>
        <v>0</v>
      </c>
      <c r="AG504" s="2">
        <f>IF($AF504=0,0,IF($G504&gt;=CurrentWeek-RecencyWin,RecencyMult,1))</f>
        <v>0</v>
      </c>
      <c r="AH504" s="2">
        <f>IF(AND($C504&lt;&gt;"",$E504=CurrentSeason,$F504="REG",ISNUMBER($G504),$G504&lt;CurrentWeek-1,AND($M504&lt;&gt;"",$N504&lt;&gt;"")),1,0)</f>
        <v>0</v>
      </c>
      <c r="AI504" s="2">
        <f>IF($AH504=0,0,IF($G504&gt;=CurrentWeek-1-RecencyWin,RecencyMult,1))</f>
        <v>0</v>
      </c>
      <c r="AJ504" s="2">
        <f>IF($AF504=0,0,IF($G504&gt;=CurrentWeek-RecencyWin,TotRecency,1))</f>
        <v>0</v>
      </c>
      <c r="AK504" s="2">
        <f t="shared" si="9"/>
        <v>0</v>
      </c>
      <c r="AL504" s="2">
        <f t="shared" si="10"/>
        <v>0</v>
      </c>
      <c r="AM504" s="2" t="str">
        <f t="array" ref="AM504">IF($K504="",0,IFERROR(INDEX(CALC!$F$2:$F$33,MATCH($K504,CALC!$A$2:$A$33,0)),0))</f>
        <v/>
      </c>
      <c r="AN504" s="2" t="str">
        <f t="array" ref="AN504">IF($K504="",0,IFERROR(INDEX(CALC!$I$2:$I$33,MATCH($K504,CALC!$A$2:$A$33,0)),0))</f>
        <v/>
      </c>
      <c r="AO504" s="2" t="str">
        <f t="array" ref="AO504">IF($K504="",0,IFERROR(INDEX(CALC!$L$2:$L$33,MATCH($K504,CALC!$A$2:$A$33,0)),0))</f>
        <v/>
      </c>
      <c r="AP504" s="2" t="str">
        <f t="array" ref="AP504">IF($K504="",0,IFERROR(INDEX(CALC!$T$2:$T$33,MATCH($K504,CALC!$A$2:$A$33,0)),0))</f>
        <v/>
      </c>
      <c r="AQ504" s="2" t="str">
        <f t="array" ref="AQ504">IF($K504="",0,IFERROR(INDEX(CALC!$W$2:$W$33,MATCH($K504,CALC!$A$2:$A$33,0)),0))</f>
        <v/>
      </c>
      <c r="AR504" s="2" t="str">
        <f t="array" ref="AR504">IF($K504="",0,IFERROR(INDEX(CALC!$Z$2:$Z$33,MATCH($K504,CALC!$A$2:$A$33,0)),0))</f>
        <v/>
      </c>
      <c r="AS504" s="2" t="str">
        <f t="array" ref="AS504">IF($K504="",0,IFERROR(INDEX(CALC!$AJ$2:$AJ$33,MATCH($K504,CALC!$A$2:$A$33,0)),0))</f>
        <v/>
      </c>
      <c r="AT504" s="2" t="str">
        <f t="array" ref="AT504">IF($K504="",0,IFERROR(INDEX(CALC!$AI$2:$AI$33,MATCH($K504,CALC!$A$2:$A$33,0)),0))</f>
        <v/>
      </c>
      <c r="AU504" s="2">
        <f t="shared" si="11"/>
        <v>0</v>
      </c>
      <c r="AV504" s="2">
        <f t="shared" si="12"/>
        <v>0</v>
      </c>
    </row>
    <row r="505" ht="15.0" customHeight="1">
      <c r="A505" s="2">
        <v>252.0</v>
      </c>
      <c r="B505" s="2" t="s">
        <v>2365</v>
      </c>
      <c r="C505" s="2">
        <f>IFERROR(MATCH($A505,SchedSeq,0),"")</f>
        <v>537</v>
      </c>
      <c r="D505" s="2" t="str">
        <f t="array" ref="D505">IF($C505="","",INDEX(SchedZone,$C505,MAP!$B$6))</f>
        <v>2026_17_PIT_TEN</v>
      </c>
      <c r="E505" s="2">
        <f t="array" ref="E505">IF($C505="","",INDEX(SchedZone,$C505,MAP!$B$3))</f>
        <v>2026</v>
      </c>
      <c r="F505" s="2" t="str">
        <f t="array" ref="F505">IF($C505="","",INDEX(SchedZone,$C505,MAP!$B$5))</f>
        <v>REG</v>
      </c>
      <c r="G505" s="2">
        <f t="array" ref="G505">IF($C505="","",INDEX(SchedZone,$C505,MAP!$B$4))</f>
        <v>17</v>
      </c>
      <c r="H505" s="2" t="str">
        <f t="array" ref="H505">IF($C505="","",INDEX(SchedZone,$C505,MAP!$B$12))</f>
        <v>TEN</v>
      </c>
      <c r="I505" s="2" t="str">
        <f t="array" ref="I505">IF($H505="","",IF(COUNTIF(Teams,$H505)&gt;0,$H505,IFERROR(INDEX(LISTS!$D$2:$D$12,MATCH($H505,LISTS!$C$2:$C$12,0)),"⚠ "&amp;$H505)))</f>
        <v>TEN</v>
      </c>
      <c r="J505" s="2" t="str">
        <f t="array" ref="J505">IF($C505="","",INDEX(SchedZone,$C505,MAP!$B$10))</f>
        <v>PIT</v>
      </c>
      <c r="K505" s="2" t="str">
        <f t="array" ref="K505">IF($J505="","",IF(COUNTIF(Teams,$J505)&gt;0,$J505,IFERROR(INDEX(LISTS!$D$2:$D$12,MATCH($J505,LISTS!$C$2:$C$12,0)),"⚠ "&amp;$J505)))</f>
        <v>PIT</v>
      </c>
      <c r="L505" s="2" t="str">
        <f t="array" ref="L505">IF($C505="","",IF(INDEX(SchedZone,$C505,MAP!$B$14)="Neutral","N",IF($B505="HOME","H","A")))</f>
        <v>H</v>
      </c>
      <c r="M505" s="2" t="str">
        <f t="array" ref="M505">IF($C505="","",IF(INDEX(SchedZone,$C505,MAP!$B$13)="","",INDEX(SchedZone,$C505,MAP!$B$13)))</f>
        <v/>
      </c>
      <c r="N505" s="2" t="str">
        <f t="array" ref="N505">IF($C505="","",IF(INDEX(SchedZone,$C505,MAP!$B$11)="","",INDEX(SchedZone,$C505,MAP!$B$11)))</f>
        <v/>
      </c>
      <c r="O505" s="2">
        <f t="array" ref="O505">IF($C505="","",INDEX(SchedZone,$C505,MAP!$B$16))</f>
        <v>7</v>
      </c>
      <c r="P505" s="2" t="str">
        <f>IF($C505="","",IFERROR(MATCH($E505&amp;"|"&amp;$G505&amp;"|"&amp;$I505,StatsKey,0),""))</f>
        <v/>
      </c>
      <c r="Q505" s="2">
        <f t="array" ref="Q505">IF($P505="",0,INDEX(StatsZone,$P505,MAP!$E$9)+INDEX(StatsZone,$P505,MAP!$E$10)+INDEX(StatsZone,$P505,MAP!$E$11))</f>
        <v>0</v>
      </c>
      <c r="R505" s="2">
        <f t="array" ref="R505">IF($P505="",0,INDEX(StatsZone,$P505,MAP!$E$12))</f>
        <v>0</v>
      </c>
      <c r="S505" s="2">
        <f t="array" ref="S505">IF($P505="",0,INDEX(StatsZone,$P505,MAP!$E$13))</f>
        <v>0</v>
      </c>
      <c r="T505" s="2">
        <f t="shared" si="1"/>
        <v>0</v>
      </c>
      <c r="U505" s="2">
        <f t="array" ref="U505">IF($P505="",0,INDEX(StatsZone,$P505,MAP!$E$14)+INDEX(StatsZone,$P505,MAP!$E$15)+INDEX(StatsZone,$P505,MAP!$E$16))</f>
        <v>0</v>
      </c>
      <c r="V505" s="2">
        <f t="shared" si="2"/>
        <v>0</v>
      </c>
      <c r="W505" s="2">
        <f t="shared" si="3"/>
        <v>0</v>
      </c>
      <c r="X505" s="2">
        <f t="shared" si="4"/>
        <v>0</v>
      </c>
      <c r="Y505" s="2">
        <f t="shared" si="5"/>
        <v>0</v>
      </c>
      <c r="Z505" s="2">
        <f t="shared" si="6"/>
        <v>0</v>
      </c>
      <c r="AA505" s="2">
        <f t="shared" si="7"/>
        <v>1</v>
      </c>
      <c r="AB505" s="2">
        <f>IF(OR($M505="",$N505=""),0,MEDIAN(-MarginCap,MarginCap,($M505-$N505)-$AA505*HFA_Base))</f>
        <v>0</v>
      </c>
      <c r="AC505" s="2">
        <f t="array" ref="AC505">IF(OR($P505="",INDEX($P$3:$P$722,(ROW()+IF(MOD(ROW()-3,2)=0,1,-1))-3+1)=""),0,MEDIAN(-MarginCap,MarginCap,($T505-$W505)-$AA505*HFA_Base))</f>
        <v>0</v>
      </c>
      <c r="AD505" s="2">
        <f t="shared" si="8"/>
        <v>0</v>
      </c>
      <c r="AE505" s="2">
        <f>IF(OR($M505="",$N505=""),0,IF(AND(WEpa&gt;0,$AD505=1),(1-WEpa)*$AB505+WEpa*$AC505,$AB505))</f>
        <v>0</v>
      </c>
      <c r="AF505" s="2">
        <f>IF(AND($C505&lt;&gt;"",$E505=CurrentSeason,$F505="REG",ISNUMBER($G505),$G505&lt;CurrentWeek,AND($M505&lt;&gt;"",$N505&lt;&gt;"")),1,0)</f>
        <v>0</v>
      </c>
      <c r="AG505" s="2">
        <f>IF($AF505=0,0,IF($G505&gt;=CurrentWeek-RecencyWin,RecencyMult,1))</f>
        <v>0</v>
      </c>
      <c r="AH505" s="2">
        <f>IF(AND($C505&lt;&gt;"",$E505=CurrentSeason,$F505="REG",ISNUMBER($G505),$G505&lt;CurrentWeek-1,AND($M505&lt;&gt;"",$N505&lt;&gt;"")),1,0)</f>
        <v>0</v>
      </c>
      <c r="AI505" s="2">
        <f>IF($AH505=0,0,IF($G505&gt;=CurrentWeek-1-RecencyWin,RecencyMult,1))</f>
        <v>0</v>
      </c>
      <c r="AJ505" s="2">
        <f>IF($AF505=0,0,IF($G505&gt;=CurrentWeek-RecencyWin,TotRecency,1))</f>
        <v>0</v>
      </c>
      <c r="AK505" s="2">
        <f t="shared" si="9"/>
        <v>0</v>
      </c>
      <c r="AL505" s="2">
        <f t="shared" si="10"/>
        <v>0</v>
      </c>
      <c r="AM505" s="2" t="str">
        <f t="array" ref="AM505">IF($K505="",0,IFERROR(INDEX(CALC!$F$2:$F$33,MATCH($K505,CALC!$A$2:$A$33,0)),0))</f>
        <v/>
      </c>
      <c r="AN505" s="2" t="str">
        <f t="array" ref="AN505">IF($K505="",0,IFERROR(INDEX(CALC!$I$2:$I$33,MATCH($K505,CALC!$A$2:$A$33,0)),0))</f>
        <v/>
      </c>
      <c r="AO505" s="2" t="str">
        <f t="array" ref="AO505">IF($K505="",0,IFERROR(INDEX(CALC!$L$2:$L$33,MATCH($K505,CALC!$A$2:$A$33,0)),0))</f>
        <v/>
      </c>
      <c r="AP505" s="2" t="str">
        <f t="array" ref="AP505">IF($K505="",0,IFERROR(INDEX(CALC!$T$2:$T$33,MATCH($K505,CALC!$A$2:$A$33,0)),0))</f>
        <v/>
      </c>
      <c r="AQ505" s="2" t="str">
        <f t="array" ref="AQ505">IF($K505="",0,IFERROR(INDEX(CALC!$W$2:$W$33,MATCH($K505,CALC!$A$2:$A$33,0)),0))</f>
        <v/>
      </c>
      <c r="AR505" s="2" t="str">
        <f t="array" ref="AR505">IF($K505="",0,IFERROR(INDEX(CALC!$Z$2:$Z$33,MATCH($K505,CALC!$A$2:$A$33,0)),0))</f>
        <v/>
      </c>
      <c r="AS505" s="2" t="str">
        <f t="array" ref="AS505">IF($K505="",0,IFERROR(INDEX(CALC!$AJ$2:$AJ$33,MATCH($K505,CALC!$A$2:$A$33,0)),0))</f>
        <v/>
      </c>
      <c r="AT505" s="2" t="str">
        <f t="array" ref="AT505">IF($K505="",0,IFERROR(INDEX(CALC!$AI$2:$AI$33,MATCH($K505,CALC!$A$2:$A$33,0)),0))</f>
        <v/>
      </c>
      <c r="AU505" s="2">
        <f t="shared" si="11"/>
        <v>0</v>
      </c>
      <c r="AV505" s="2">
        <f t="shared" si="12"/>
        <v>0</v>
      </c>
    </row>
    <row r="506" ht="15.0" customHeight="1">
      <c r="A506" s="2">
        <v>252.0</v>
      </c>
      <c r="B506" s="2" t="s">
        <v>2366</v>
      </c>
      <c r="C506" s="2">
        <f>IFERROR(MATCH($A506,SchedSeq,0),"")</f>
        <v>537</v>
      </c>
      <c r="D506" s="2" t="str">
        <f t="array" ref="D506">IF($C506="","",INDEX(SchedZone,$C506,MAP!$B$6))</f>
        <v>2026_17_PIT_TEN</v>
      </c>
      <c r="E506" s="2">
        <f t="array" ref="E506">IF($C506="","",INDEX(SchedZone,$C506,MAP!$B$3))</f>
        <v>2026</v>
      </c>
      <c r="F506" s="2" t="str">
        <f t="array" ref="F506">IF($C506="","",INDEX(SchedZone,$C506,MAP!$B$5))</f>
        <v>REG</v>
      </c>
      <c r="G506" s="2">
        <f t="array" ref="G506">IF($C506="","",INDEX(SchedZone,$C506,MAP!$B$4))</f>
        <v>17</v>
      </c>
      <c r="H506" s="2" t="str">
        <f t="array" ref="H506">IF($C506="","",INDEX(SchedZone,$C506,MAP!$B$10))</f>
        <v>PIT</v>
      </c>
      <c r="I506" s="2" t="str">
        <f t="array" ref="I506">IF($H506="","",IF(COUNTIF(Teams,$H506)&gt;0,$H506,IFERROR(INDEX(LISTS!$D$2:$D$12,MATCH($H506,LISTS!$C$2:$C$12,0)),"⚠ "&amp;$H506)))</f>
        <v>PIT</v>
      </c>
      <c r="J506" s="2" t="str">
        <f t="array" ref="J506">IF($C506="","",INDEX(SchedZone,$C506,MAP!$B$12))</f>
        <v>TEN</v>
      </c>
      <c r="K506" s="2" t="str">
        <f t="array" ref="K506">IF($J506="","",IF(COUNTIF(Teams,$J506)&gt;0,$J506,IFERROR(INDEX(LISTS!$D$2:$D$12,MATCH($J506,LISTS!$C$2:$C$12,0)),"⚠ "&amp;$J506)))</f>
        <v>TEN</v>
      </c>
      <c r="L506" s="2" t="str">
        <f t="array" ref="L506">IF($C506="","",IF(INDEX(SchedZone,$C506,MAP!$B$14)="Neutral","N",IF($B506="HOME","H","A")))</f>
        <v>A</v>
      </c>
      <c r="M506" s="2" t="str">
        <f t="array" ref="M506">IF($C506="","",IF(INDEX(SchedZone,$C506,MAP!$B$11)="","",INDEX(SchedZone,$C506,MAP!$B$11)))</f>
        <v/>
      </c>
      <c r="N506" s="2" t="str">
        <f t="array" ref="N506">IF($C506="","",IF(INDEX(SchedZone,$C506,MAP!$B$13)="","",INDEX(SchedZone,$C506,MAP!$B$13)))</f>
        <v/>
      </c>
      <c r="O506" s="2">
        <f t="array" ref="O506">IF($C506="","",INDEX(SchedZone,$C506,MAP!$B$15))</f>
        <v>7</v>
      </c>
      <c r="P506" s="2" t="str">
        <f>IF($C506="","",IFERROR(MATCH($E506&amp;"|"&amp;$G506&amp;"|"&amp;$I506,StatsKey,0),""))</f>
        <v/>
      </c>
      <c r="Q506" s="2">
        <f t="array" ref="Q506">IF($P506="",0,INDEX(StatsZone,$P506,MAP!$E$9)+INDEX(StatsZone,$P506,MAP!$E$10)+INDEX(StatsZone,$P506,MAP!$E$11))</f>
        <v>0</v>
      </c>
      <c r="R506" s="2">
        <f t="array" ref="R506">IF($P506="",0,INDEX(StatsZone,$P506,MAP!$E$12))</f>
        <v>0</v>
      </c>
      <c r="S506" s="2">
        <f t="array" ref="S506">IF($P506="",0,INDEX(StatsZone,$P506,MAP!$E$13))</f>
        <v>0</v>
      </c>
      <c r="T506" s="2">
        <f t="shared" si="1"/>
        <v>0</v>
      </c>
      <c r="U506" s="2">
        <f t="array" ref="U506">IF($P506="",0,INDEX(StatsZone,$P506,MAP!$E$14)+INDEX(StatsZone,$P506,MAP!$E$15)+INDEX(StatsZone,$P506,MAP!$E$16))</f>
        <v>0</v>
      </c>
      <c r="V506" s="2">
        <f t="shared" si="2"/>
        <v>0</v>
      </c>
      <c r="W506" s="2">
        <f t="shared" si="3"/>
        <v>0</v>
      </c>
      <c r="X506" s="2">
        <f t="shared" si="4"/>
        <v>0</v>
      </c>
      <c r="Y506" s="2">
        <f t="shared" si="5"/>
        <v>0</v>
      </c>
      <c r="Z506" s="2">
        <f t="shared" si="6"/>
        <v>0</v>
      </c>
      <c r="AA506" s="2">
        <f t="shared" si="7"/>
        <v>-1</v>
      </c>
      <c r="AB506" s="2">
        <f>IF(OR($M506="",$N506=""),0,MEDIAN(-MarginCap,MarginCap,($M506-$N506)-$AA506*HFA_Base))</f>
        <v>0</v>
      </c>
      <c r="AC506" s="2">
        <f t="array" ref="AC506">IF(OR($P506="",INDEX($P$3:$P$722,(ROW()+IF(MOD(ROW()-3,2)=0,1,-1))-3+1)=""),0,MEDIAN(-MarginCap,MarginCap,($T506-$W506)-$AA506*HFA_Base))</f>
        <v>0</v>
      </c>
      <c r="AD506" s="2">
        <f t="shared" si="8"/>
        <v>0</v>
      </c>
      <c r="AE506" s="2">
        <f>IF(OR($M506="",$N506=""),0,IF(AND(WEpa&gt;0,$AD506=1),(1-WEpa)*$AB506+WEpa*$AC506,$AB506))</f>
        <v>0</v>
      </c>
      <c r="AF506" s="2">
        <f>IF(AND($C506&lt;&gt;"",$E506=CurrentSeason,$F506="REG",ISNUMBER($G506),$G506&lt;CurrentWeek,AND($M506&lt;&gt;"",$N506&lt;&gt;"")),1,0)</f>
        <v>0</v>
      </c>
      <c r="AG506" s="2">
        <f>IF($AF506=0,0,IF($G506&gt;=CurrentWeek-RecencyWin,RecencyMult,1))</f>
        <v>0</v>
      </c>
      <c r="AH506" s="2">
        <f>IF(AND($C506&lt;&gt;"",$E506=CurrentSeason,$F506="REG",ISNUMBER($G506),$G506&lt;CurrentWeek-1,AND($M506&lt;&gt;"",$N506&lt;&gt;"")),1,0)</f>
        <v>0</v>
      </c>
      <c r="AI506" s="2">
        <f>IF($AH506=0,0,IF($G506&gt;=CurrentWeek-1-RecencyWin,RecencyMult,1))</f>
        <v>0</v>
      </c>
      <c r="AJ506" s="2">
        <f>IF($AF506=0,0,IF($G506&gt;=CurrentWeek-RecencyWin,TotRecency,1))</f>
        <v>0</v>
      </c>
      <c r="AK506" s="2">
        <f t="shared" si="9"/>
        <v>0</v>
      </c>
      <c r="AL506" s="2">
        <f t="shared" si="10"/>
        <v>0</v>
      </c>
      <c r="AM506" s="2" t="str">
        <f t="array" ref="AM506">IF($K506="",0,IFERROR(INDEX(CALC!$F$2:$F$33,MATCH($K506,CALC!$A$2:$A$33,0)),0))</f>
        <v/>
      </c>
      <c r="AN506" s="2" t="str">
        <f t="array" ref="AN506">IF($K506="",0,IFERROR(INDEX(CALC!$I$2:$I$33,MATCH($K506,CALC!$A$2:$A$33,0)),0))</f>
        <v/>
      </c>
      <c r="AO506" s="2" t="str">
        <f t="array" ref="AO506">IF($K506="",0,IFERROR(INDEX(CALC!$L$2:$L$33,MATCH($K506,CALC!$A$2:$A$33,0)),0))</f>
        <v/>
      </c>
      <c r="AP506" s="2" t="str">
        <f t="array" ref="AP506">IF($K506="",0,IFERROR(INDEX(CALC!$T$2:$T$33,MATCH($K506,CALC!$A$2:$A$33,0)),0))</f>
        <v/>
      </c>
      <c r="AQ506" s="2" t="str">
        <f t="array" ref="AQ506">IF($K506="",0,IFERROR(INDEX(CALC!$W$2:$W$33,MATCH($K506,CALC!$A$2:$A$33,0)),0))</f>
        <v/>
      </c>
      <c r="AR506" s="2" t="str">
        <f t="array" ref="AR506">IF($K506="",0,IFERROR(INDEX(CALC!$Z$2:$Z$33,MATCH($K506,CALC!$A$2:$A$33,0)),0))</f>
        <v/>
      </c>
      <c r="AS506" s="2" t="str">
        <f t="array" ref="AS506">IF($K506="",0,IFERROR(INDEX(CALC!$AJ$2:$AJ$33,MATCH($K506,CALC!$A$2:$A$33,0)),0))</f>
        <v/>
      </c>
      <c r="AT506" s="2" t="str">
        <f t="array" ref="AT506">IF($K506="",0,IFERROR(INDEX(CALC!$AI$2:$AI$33,MATCH($K506,CALC!$A$2:$A$33,0)),0))</f>
        <v/>
      </c>
      <c r="AU506" s="2">
        <f t="shared" si="11"/>
        <v>0</v>
      </c>
      <c r="AV506" s="2">
        <f t="shared" si="12"/>
        <v>0</v>
      </c>
    </row>
    <row r="507" ht="15.0" customHeight="1">
      <c r="A507" s="2">
        <v>253.0</v>
      </c>
      <c r="B507" s="2" t="s">
        <v>2365</v>
      </c>
      <c r="C507" s="2">
        <f>IFERROR(MATCH($A507,SchedSeq,0),"")</f>
        <v>538</v>
      </c>
      <c r="D507" s="2" t="str">
        <f t="array" ref="D507">IF($C507="","",INDEX(SchedZone,$C507,MAP!$B$6))</f>
        <v>2026_17_LV_ARI</v>
      </c>
      <c r="E507" s="2">
        <f t="array" ref="E507">IF($C507="","",INDEX(SchedZone,$C507,MAP!$B$3))</f>
        <v>2026</v>
      </c>
      <c r="F507" s="2" t="str">
        <f t="array" ref="F507">IF($C507="","",INDEX(SchedZone,$C507,MAP!$B$5))</f>
        <v>REG</v>
      </c>
      <c r="G507" s="2">
        <f t="array" ref="G507">IF($C507="","",INDEX(SchedZone,$C507,MAP!$B$4))</f>
        <v>17</v>
      </c>
      <c r="H507" s="2" t="str">
        <f t="array" ref="H507">IF($C507="","",INDEX(SchedZone,$C507,MAP!$B$12))</f>
        <v>ARI</v>
      </c>
      <c r="I507" s="2" t="str">
        <f t="array" ref="I507">IF($H507="","",IF(COUNTIF(Teams,$H507)&gt;0,$H507,IFERROR(INDEX(LISTS!$D$2:$D$12,MATCH($H507,LISTS!$C$2:$C$12,0)),"⚠ "&amp;$H507)))</f>
        <v>ARI</v>
      </c>
      <c r="J507" s="2" t="str">
        <f t="array" ref="J507">IF($C507="","",INDEX(SchedZone,$C507,MAP!$B$10))</f>
        <v>LV</v>
      </c>
      <c r="K507" s="2" t="str">
        <f t="array" ref="K507">IF($J507="","",IF(COUNTIF(Teams,$J507)&gt;0,$J507,IFERROR(INDEX(LISTS!$D$2:$D$12,MATCH($J507,LISTS!$C$2:$C$12,0)),"⚠ "&amp;$J507)))</f>
        <v>LV</v>
      </c>
      <c r="L507" s="2" t="str">
        <f t="array" ref="L507">IF($C507="","",IF(INDEX(SchedZone,$C507,MAP!$B$14)="Neutral","N",IF($B507="HOME","H","A")))</f>
        <v>H</v>
      </c>
      <c r="M507" s="2" t="str">
        <f t="array" ref="M507">IF($C507="","",IF(INDEX(SchedZone,$C507,MAP!$B$13)="","",INDEX(SchedZone,$C507,MAP!$B$13)))</f>
        <v/>
      </c>
      <c r="N507" s="2" t="str">
        <f t="array" ref="N507">IF($C507="","",IF(INDEX(SchedZone,$C507,MAP!$B$11)="","",INDEX(SchedZone,$C507,MAP!$B$11)))</f>
        <v/>
      </c>
      <c r="O507" s="2">
        <f t="array" ref="O507">IF($C507="","",INDEX(SchedZone,$C507,MAP!$B$16))</f>
        <v>7</v>
      </c>
      <c r="P507" s="2" t="str">
        <f>IF($C507="","",IFERROR(MATCH($E507&amp;"|"&amp;$G507&amp;"|"&amp;$I507,StatsKey,0),""))</f>
        <v/>
      </c>
      <c r="Q507" s="2">
        <f t="array" ref="Q507">IF($P507="",0,INDEX(StatsZone,$P507,MAP!$E$9)+INDEX(StatsZone,$P507,MAP!$E$10)+INDEX(StatsZone,$P507,MAP!$E$11))</f>
        <v>0</v>
      </c>
      <c r="R507" s="2">
        <f t="array" ref="R507">IF($P507="",0,INDEX(StatsZone,$P507,MAP!$E$12))</f>
        <v>0</v>
      </c>
      <c r="S507" s="2">
        <f t="array" ref="S507">IF($P507="",0,INDEX(StatsZone,$P507,MAP!$E$13))</f>
        <v>0</v>
      </c>
      <c r="T507" s="2">
        <f t="shared" si="1"/>
        <v>0</v>
      </c>
      <c r="U507" s="2">
        <f t="array" ref="U507">IF($P507="",0,INDEX(StatsZone,$P507,MAP!$E$14)+INDEX(StatsZone,$P507,MAP!$E$15)+INDEX(StatsZone,$P507,MAP!$E$16))</f>
        <v>0</v>
      </c>
      <c r="V507" s="2">
        <f t="shared" si="2"/>
        <v>0</v>
      </c>
      <c r="W507" s="2">
        <f t="shared" si="3"/>
        <v>0</v>
      </c>
      <c r="X507" s="2">
        <f t="shared" si="4"/>
        <v>0</v>
      </c>
      <c r="Y507" s="2">
        <f t="shared" si="5"/>
        <v>0</v>
      </c>
      <c r="Z507" s="2">
        <f t="shared" si="6"/>
        <v>0</v>
      </c>
      <c r="AA507" s="2">
        <f t="shared" si="7"/>
        <v>1</v>
      </c>
      <c r="AB507" s="2">
        <f>IF(OR($M507="",$N507=""),0,MEDIAN(-MarginCap,MarginCap,($M507-$N507)-$AA507*HFA_Base))</f>
        <v>0</v>
      </c>
      <c r="AC507" s="2">
        <f t="array" ref="AC507">IF(OR($P507="",INDEX($P$3:$P$722,(ROW()+IF(MOD(ROW()-3,2)=0,1,-1))-3+1)=""),0,MEDIAN(-MarginCap,MarginCap,($T507-$W507)-$AA507*HFA_Base))</f>
        <v>0</v>
      </c>
      <c r="AD507" s="2">
        <f t="shared" si="8"/>
        <v>0</v>
      </c>
      <c r="AE507" s="2">
        <f>IF(OR($M507="",$N507=""),0,IF(AND(WEpa&gt;0,$AD507=1),(1-WEpa)*$AB507+WEpa*$AC507,$AB507))</f>
        <v>0</v>
      </c>
      <c r="AF507" s="2">
        <f>IF(AND($C507&lt;&gt;"",$E507=CurrentSeason,$F507="REG",ISNUMBER($G507),$G507&lt;CurrentWeek,AND($M507&lt;&gt;"",$N507&lt;&gt;"")),1,0)</f>
        <v>0</v>
      </c>
      <c r="AG507" s="2">
        <f>IF($AF507=0,0,IF($G507&gt;=CurrentWeek-RecencyWin,RecencyMult,1))</f>
        <v>0</v>
      </c>
      <c r="AH507" s="2">
        <f>IF(AND($C507&lt;&gt;"",$E507=CurrentSeason,$F507="REG",ISNUMBER($G507),$G507&lt;CurrentWeek-1,AND($M507&lt;&gt;"",$N507&lt;&gt;"")),1,0)</f>
        <v>0</v>
      </c>
      <c r="AI507" s="2">
        <f>IF($AH507=0,0,IF($G507&gt;=CurrentWeek-1-RecencyWin,RecencyMult,1))</f>
        <v>0</v>
      </c>
      <c r="AJ507" s="2">
        <f>IF($AF507=0,0,IF($G507&gt;=CurrentWeek-RecencyWin,TotRecency,1))</f>
        <v>0</v>
      </c>
      <c r="AK507" s="2">
        <f t="shared" si="9"/>
        <v>0</v>
      </c>
      <c r="AL507" s="2">
        <f t="shared" si="10"/>
        <v>0</v>
      </c>
      <c r="AM507" s="2" t="str">
        <f t="array" ref="AM507">IF($K507="",0,IFERROR(INDEX(CALC!$F$2:$F$33,MATCH($K507,CALC!$A$2:$A$33,0)),0))</f>
        <v/>
      </c>
      <c r="AN507" s="2" t="str">
        <f t="array" ref="AN507">IF($K507="",0,IFERROR(INDEX(CALC!$I$2:$I$33,MATCH($K507,CALC!$A$2:$A$33,0)),0))</f>
        <v/>
      </c>
      <c r="AO507" s="2" t="str">
        <f t="array" ref="AO507">IF($K507="",0,IFERROR(INDEX(CALC!$L$2:$L$33,MATCH($K507,CALC!$A$2:$A$33,0)),0))</f>
        <v/>
      </c>
      <c r="AP507" s="2" t="str">
        <f t="array" ref="AP507">IF($K507="",0,IFERROR(INDEX(CALC!$T$2:$T$33,MATCH($K507,CALC!$A$2:$A$33,0)),0))</f>
        <v/>
      </c>
      <c r="AQ507" s="2" t="str">
        <f t="array" ref="AQ507">IF($K507="",0,IFERROR(INDEX(CALC!$W$2:$W$33,MATCH($K507,CALC!$A$2:$A$33,0)),0))</f>
        <v/>
      </c>
      <c r="AR507" s="2" t="str">
        <f t="array" ref="AR507">IF($K507="",0,IFERROR(INDEX(CALC!$Z$2:$Z$33,MATCH($K507,CALC!$A$2:$A$33,0)),0))</f>
        <v/>
      </c>
      <c r="AS507" s="2" t="str">
        <f t="array" ref="AS507">IF($K507="",0,IFERROR(INDEX(CALC!$AJ$2:$AJ$33,MATCH($K507,CALC!$A$2:$A$33,0)),0))</f>
        <v/>
      </c>
      <c r="AT507" s="2" t="str">
        <f t="array" ref="AT507">IF($K507="",0,IFERROR(INDEX(CALC!$AI$2:$AI$33,MATCH($K507,CALC!$A$2:$A$33,0)),0))</f>
        <v/>
      </c>
      <c r="AU507" s="2">
        <f t="shared" si="11"/>
        <v>0</v>
      </c>
      <c r="AV507" s="2">
        <f t="shared" si="12"/>
        <v>0</v>
      </c>
    </row>
    <row r="508" ht="15.0" customHeight="1">
      <c r="A508" s="2">
        <v>253.0</v>
      </c>
      <c r="B508" s="2" t="s">
        <v>2366</v>
      </c>
      <c r="C508" s="2">
        <f>IFERROR(MATCH($A508,SchedSeq,0),"")</f>
        <v>538</v>
      </c>
      <c r="D508" s="2" t="str">
        <f t="array" ref="D508">IF($C508="","",INDEX(SchedZone,$C508,MAP!$B$6))</f>
        <v>2026_17_LV_ARI</v>
      </c>
      <c r="E508" s="2">
        <f t="array" ref="E508">IF($C508="","",INDEX(SchedZone,$C508,MAP!$B$3))</f>
        <v>2026</v>
      </c>
      <c r="F508" s="2" t="str">
        <f t="array" ref="F508">IF($C508="","",INDEX(SchedZone,$C508,MAP!$B$5))</f>
        <v>REG</v>
      </c>
      <c r="G508" s="2">
        <f t="array" ref="G508">IF($C508="","",INDEX(SchedZone,$C508,MAP!$B$4))</f>
        <v>17</v>
      </c>
      <c r="H508" s="2" t="str">
        <f t="array" ref="H508">IF($C508="","",INDEX(SchedZone,$C508,MAP!$B$10))</f>
        <v>LV</v>
      </c>
      <c r="I508" s="2" t="str">
        <f t="array" ref="I508">IF($H508="","",IF(COUNTIF(Teams,$H508)&gt;0,$H508,IFERROR(INDEX(LISTS!$D$2:$D$12,MATCH($H508,LISTS!$C$2:$C$12,0)),"⚠ "&amp;$H508)))</f>
        <v>LV</v>
      </c>
      <c r="J508" s="2" t="str">
        <f t="array" ref="J508">IF($C508="","",INDEX(SchedZone,$C508,MAP!$B$12))</f>
        <v>ARI</v>
      </c>
      <c r="K508" s="2" t="str">
        <f t="array" ref="K508">IF($J508="","",IF(COUNTIF(Teams,$J508)&gt;0,$J508,IFERROR(INDEX(LISTS!$D$2:$D$12,MATCH($J508,LISTS!$C$2:$C$12,0)),"⚠ "&amp;$J508)))</f>
        <v>ARI</v>
      </c>
      <c r="L508" s="2" t="str">
        <f t="array" ref="L508">IF($C508="","",IF(INDEX(SchedZone,$C508,MAP!$B$14)="Neutral","N",IF($B508="HOME","H","A")))</f>
        <v>A</v>
      </c>
      <c r="M508" s="2" t="str">
        <f t="array" ref="M508">IF($C508="","",IF(INDEX(SchedZone,$C508,MAP!$B$11)="","",INDEX(SchedZone,$C508,MAP!$B$11)))</f>
        <v/>
      </c>
      <c r="N508" s="2" t="str">
        <f t="array" ref="N508">IF($C508="","",IF(INDEX(SchedZone,$C508,MAP!$B$13)="","",INDEX(SchedZone,$C508,MAP!$B$13)))</f>
        <v/>
      </c>
      <c r="O508" s="2">
        <f t="array" ref="O508">IF($C508="","",INDEX(SchedZone,$C508,MAP!$B$15))</f>
        <v>7</v>
      </c>
      <c r="P508" s="2" t="str">
        <f>IF($C508="","",IFERROR(MATCH($E508&amp;"|"&amp;$G508&amp;"|"&amp;$I508,StatsKey,0),""))</f>
        <v/>
      </c>
      <c r="Q508" s="2">
        <f t="array" ref="Q508">IF($P508="",0,INDEX(StatsZone,$P508,MAP!$E$9)+INDEX(StatsZone,$P508,MAP!$E$10)+INDEX(StatsZone,$P508,MAP!$E$11))</f>
        <v>0</v>
      </c>
      <c r="R508" s="2">
        <f t="array" ref="R508">IF($P508="",0,INDEX(StatsZone,$P508,MAP!$E$12))</f>
        <v>0</v>
      </c>
      <c r="S508" s="2">
        <f t="array" ref="S508">IF($P508="",0,INDEX(StatsZone,$P508,MAP!$E$13))</f>
        <v>0</v>
      </c>
      <c r="T508" s="2">
        <f t="shared" si="1"/>
        <v>0</v>
      </c>
      <c r="U508" s="2">
        <f t="array" ref="U508">IF($P508="",0,INDEX(StatsZone,$P508,MAP!$E$14)+INDEX(StatsZone,$P508,MAP!$E$15)+INDEX(StatsZone,$P508,MAP!$E$16))</f>
        <v>0</v>
      </c>
      <c r="V508" s="2">
        <f t="shared" si="2"/>
        <v>0</v>
      </c>
      <c r="W508" s="2">
        <f t="shared" si="3"/>
        <v>0</v>
      </c>
      <c r="X508" s="2">
        <f t="shared" si="4"/>
        <v>0</v>
      </c>
      <c r="Y508" s="2">
        <f t="shared" si="5"/>
        <v>0</v>
      </c>
      <c r="Z508" s="2">
        <f t="shared" si="6"/>
        <v>0</v>
      </c>
      <c r="AA508" s="2">
        <f t="shared" si="7"/>
        <v>-1</v>
      </c>
      <c r="AB508" s="2">
        <f>IF(OR($M508="",$N508=""),0,MEDIAN(-MarginCap,MarginCap,($M508-$N508)-$AA508*HFA_Base))</f>
        <v>0</v>
      </c>
      <c r="AC508" s="2">
        <f t="array" ref="AC508">IF(OR($P508="",INDEX($P$3:$P$722,(ROW()+IF(MOD(ROW()-3,2)=0,1,-1))-3+1)=""),0,MEDIAN(-MarginCap,MarginCap,($T508-$W508)-$AA508*HFA_Base))</f>
        <v>0</v>
      </c>
      <c r="AD508" s="2">
        <f t="shared" si="8"/>
        <v>0</v>
      </c>
      <c r="AE508" s="2">
        <f>IF(OR($M508="",$N508=""),0,IF(AND(WEpa&gt;0,$AD508=1),(1-WEpa)*$AB508+WEpa*$AC508,$AB508))</f>
        <v>0</v>
      </c>
      <c r="AF508" s="2">
        <f>IF(AND($C508&lt;&gt;"",$E508=CurrentSeason,$F508="REG",ISNUMBER($G508),$G508&lt;CurrentWeek,AND($M508&lt;&gt;"",$N508&lt;&gt;"")),1,0)</f>
        <v>0</v>
      </c>
      <c r="AG508" s="2">
        <f>IF($AF508=0,0,IF($G508&gt;=CurrentWeek-RecencyWin,RecencyMult,1))</f>
        <v>0</v>
      </c>
      <c r="AH508" s="2">
        <f>IF(AND($C508&lt;&gt;"",$E508=CurrentSeason,$F508="REG",ISNUMBER($G508),$G508&lt;CurrentWeek-1,AND($M508&lt;&gt;"",$N508&lt;&gt;"")),1,0)</f>
        <v>0</v>
      </c>
      <c r="AI508" s="2">
        <f>IF($AH508=0,0,IF($G508&gt;=CurrentWeek-1-RecencyWin,RecencyMult,1))</f>
        <v>0</v>
      </c>
      <c r="AJ508" s="2">
        <f>IF($AF508=0,0,IF($G508&gt;=CurrentWeek-RecencyWin,TotRecency,1))</f>
        <v>0</v>
      </c>
      <c r="AK508" s="2">
        <f t="shared" si="9"/>
        <v>0</v>
      </c>
      <c r="AL508" s="2">
        <f t="shared" si="10"/>
        <v>0</v>
      </c>
      <c r="AM508" s="2" t="str">
        <f t="array" ref="AM508">IF($K508="",0,IFERROR(INDEX(CALC!$F$2:$F$33,MATCH($K508,CALC!$A$2:$A$33,0)),0))</f>
        <v/>
      </c>
      <c r="AN508" s="2" t="str">
        <f t="array" ref="AN508">IF($K508="",0,IFERROR(INDEX(CALC!$I$2:$I$33,MATCH($K508,CALC!$A$2:$A$33,0)),0))</f>
        <v/>
      </c>
      <c r="AO508" s="2" t="str">
        <f t="array" ref="AO508">IF($K508="",0,IFERROR(INDEX(CALC!$L$2:$L$33,MATCH($K508,CALC!$A$2:$A$33,0)),0))</f>
        <v/>
      </c>
      <c r="AP508" s="2" t="str">
        <f t="array" ref="AP508">IF($K508="",0,IFERROR(INDEX(CALC!$T$2:$T$33,MATCH($K508,CALC!$A$2:$A$33,0)),0))</f>
        <v/>
      </c>
      <c r="AQ508" s="2" t="str">
        <f t="array" ref="AQ508">IF($K508="",0,IFERROR(INDEX(CALC!$W$2:$W$33,MATCH($K508,CALC!$A$2:$A$33,0)),0))</f>
        <v/>
      </c>
      <c r="AR508" s="2" t="str">
        <f t="array" ref="AR508">IF($K508="",0,IFERROR(INDEX(CALC!$Z$2:$Z$33,MATCH($K508,CALC!$A$2:$A$33,0)),0))</f>
        <v/>
      </c>
      <c r="AS508" s="2" t="str">
        <f t="array" ref="AS508">IF($K508="",0,IFERROR(INDEX(CALC!$AJ$2:$AJ$33,MATCH($K508,CALC!$A$2:$A$33,0)),0))</f>
        <v/>
      </c>
      <c r="AT508" s="2" t="str">
        <f t="array" ref="AT508">IF($K508="",0,IFERROR(INDEX(CALC!$AI$2:$AI$33,MATCH($K508,CALC!$A$2:$A$33,0)),0))</f>
        <v/>
      </c>
      <c r="AU508" s="2">
        <f t="shared" si="11"/>
        <v>0</v>
      </c>
      <c r="AV508" s="2">
        <f t="shared" si="12"/>
        <v>0</v>
      </c>
    </row>
    <row r="509" ht="15.0" customHeight="1">
      <c r="A509" s="2">
        <v>254.0</v>
      </c>
      <c r="B509" s="2" t="s">
        <v>2365</v>
      </c>
      <c r="C509" s="2">
        <f>IFERROR(MATCH($A509,SchedSeq,0),"")</f>
        <v>539</v>
      </c>
      <c r="D509" s="2" t="str">
        <f t="array" ref="D509">IF($C509="","",INDEX(SchedZone,$C509,MAP!$B$6))</f>
        <v>2026_17_DET_CHI</v>
      </c>
      <c r="E509" s="2">
        <f t="array" ref="E509">IF($C509="","",INDEX(SchedZone,$C509,MAP!$B$3))</f>
        <v>2026</v>
      </c>
      <c r="F509" s="2" t="str">
        <f t="array" ref="F509">IF($C509="","",INDEX(SchedZone,$C509,MAP!$B$5))</f>
        <v>REG</v>
      </c>
      <c r="G509" s="2">
        <f t="array" ref="G509">IF($C509="","",INDEX(SchedZone,$C509,MAP!$B$4))</f>
        <v>17</v>
      </c>
      <c r="H509" s="2" t="str">
        <f t="array" ref="H509">IF($C509="","",INDEX(SchedZone,$C509,MAP!$B$12))</f>
        <v>CHI</v>
      </c>
      <c r="I509" s="2" t="str">
        <f t="array" ref="I509">IF($H509="","",IF(COUNTIF(Teams,$H509)&gt;0,$H509,IFERROR(INDEX(LISTS!$D$2:$D$12,MATCH($H509,LISTS!$C$2:$C$12,0)),"⚠ "&amp;$H509)))</f>
        <v>CHI</v>
      </c>
      <c r="J509" s="2" t="str">
        <f t="array" ref="J509">IF($C509="","",INDEX(SchedZone,$C509,MAP!$B$10))</f>
        <v>DET</v>
      </c>
      <c r="K509" s="2" t="str">
        <f t="array" ref="K509">IF($J509="","",IF(COUNTIF(Teams,$J509)&gt;0,$J509,IFERROR(INDEX(LISTS!$D$2:$D$12,MATCH($J509,LISTS!$C$2:$C$12,0)),"⚠ "&amp;$J509)))</f>
        <v>DET</v>
      </c>
      <c r="L509" s="2" t="str">
        <f t="array" ref="L509">IF($C509="","",IF(INDEX(SchedZone,$C509,MAP!$B$14)="Neutral","N",IF($B509="HOME","H","A")))</f>
        <v>H</v>
      </c>
      <c r="M509" s="2" t="str">
        <f t="array" ref="M509">IF($C509="","",IF(INDEX(SchedZone,$C509,MAP!$B$13)="","",INDEX(SchedZone,$C509,MAP!$B$13)))</f>
        <v/>
      </c>
      <c r="N509" s="2" t="str">
        <f t="array" ref="N509">IF($C509="","",IF(INDEX(SchedZone,$C509,MAP!$B$11)="","",INDEX(SchedZone,$C509,MAP!$B$11)))</f>
        <v/>
      </c>
      <c r="O509" s="2">
        <f t="array" ref="O509">IF($C509="","",INDEX(SchedZone,$C509,MAP!$B$16))</f>
        <v>9</v>
      </c>
      <c r="P509" s="2" t="str">
        <f>IF($C509="","",IFERROR(MATCH($E509&amp;"|"&amp;$G509&amp;"|"&amp;$I509,StatsKey,0),""))</f>
        <v/>
      </c>
      <c r="Q509" s="2">
        <f t="array" ref="Q509">IF($P509="",0,INDEX(StatsZone,$P509,MAP!$E$9)+INDEX(StatsZone,$P509,MAP!$E$10)+INDEX(StatsZone,$P509,MAP!$E$11))</f>
        <v>0</v>
      </c>
      <c r="R509" s="2">
        <f t="array" ref="R509">IF($P509="",0,INDEX(StatsZone,$P509,MAP!$E$12))</f>
        <v>0</v>
      </c>
      <c r="S509" s="2">
        <f t="array" ref="S509">IF($P509="",0,INDEX(StatsZone,$P509,MAP!$E$13))</f>
        <v>0</v>
      </c>
      <c r="T509" s="2">
        <f t="shared" si="1"/>
        <v>0</v>
      </c>
      <c r="U509" s="2">
        <f t="array" ref="U509">IF($P509="",0,INDEX(StatsZone,$P509,MAP!$E$14)+INDEX(StatsZone,$P509,MAP!$E$15)+INDEX(StatsZone,$P509,MAP!$E$16))</f>
        <v>0</v>
      </c>
      <c r="V509" s="2">
        <f t="shared" si="2"/>
        <v>0</v>
      </c>
      <c r="W509" s="2">
        <f t="shared" si="3"/>
        <v>0</v>
      </c>
      <c r="X509" s="2">
        <f t="shared" si="4"/>
        <v>0</v>
      </c>
      <c r="Y509" s="2">
        <f t="shared" si="5"/>
        <v>0</v>
      </c>
      <c r="Z509" s="2">
        <f t="shared" si="6"/>
        <v>0</v>
      </c>
      <c r="AA509" s="2">
        <f t="shared" si="7"/>
        <v>1</v>
      </c>
      <c r="AB509" s="2">
        <f>IF(OR($M509="",$N509=""),0,MEDIAN(-MarginCap,MarginCap,($M509-$N509)-$AA509*HFA_Base))</f>
        <v>0</v>
      </c>
      <c r="AC509" s="2">
        <f t="array" ref="AC509">IF(OR($P509="",INDEX($P$3:$P$722,(ROW()+IF(MOD(ROW()-3,2)=0,1,-1))-3+1)=""),0,MEDIAN(-MarginCap,MarginCap,($T509-$W509)-$AA509*HFA_Base))</f>
        <v>0</v>
      </c>
      <c r="AD509" s="2">
        <f t="shared" si="8"/>
        <v>0</v>
      </c>
      <c r="AE509" s="2">
        <f>IF(OR($M509="",$N509=""),0,IF(AND(WEpa&gt;0,$AD509=1),(1-WEpa)*$AB509+WEpa*$AC509,$AB509))</f>
        <v>0</v>
      </c>
      <c r="AF509" s="2">
        <f>IF(AND($C509&lt;&gt;"",$E509=CurrentSeason,$F509="REG",ISNUMBER($G509),$G509&lt;CurrentWeek,AND($M509&lt;&gt;"",$N509&lt;&gt;"")),1,0)</f>
        <v>0</v>
      </c>
      <c r="AG509" s="2">
        <f>IF($AF509=0,0,IF($G509&gt;=CurrentWeek-RecencyWin,RecencyMult,1))</f>
        <v>0</v>
      </c>
      <c r="AH509" s="2">
        <f>IF(AND($C509&lt;&gt;"",$E509=CurrentSeason,$F509="REG",ISNUMBER($G509),$G509&lt;CurrentWeek-1,AND($M509&lt;&gt;"",$N509&lt;&gt;"")),1,0)</f>
        <v>0</v>
      </c>
      <c r="AI509" s="2">
        <f>IF($AH509=0,0,IF($G509&gt;=CurrentWeek-1-RecencyWin,RecencyMult,1))</f>
        <v>0</v>
      </c>
      <c r="AJ509" s="2">
        <f>IF($AF509=0,0,IF($G509&gt;=CurrentWeek-RecencyWin,TotRecency,1))</f>
        <v>0</v>
      </c>
      <c r="AK509" s="2">
        <f t="shared" si="9"/>
        <v>0</v>
      </c>
      <c r="AL509" s="2">
        <f t="shared" si="10"/>
        <v>0</v>
      </c>
      <c r="AM509" s="2" t="str">
        <f t="array" ref="AM509">IF($K509="",0,IFERROR(INDEX(CALC!$F$2:$F$33,MATCH($K509,CALC!$A$2:$A$33,0)),0))</f>
        <v/>
      </c>
      <c r="AN509" s="2" t="str">
        <f t="array" ref="AN509">IF($K509="",0,IFERROR(INDEX(CALC!$I$2:$I$33,MATCH($K509,CALC!$A$2:$A$33,0)),0))</f>
        <v/>
      </c>
      <c r="AO509" s="2" t="str">
        <f t="array" ref="AO509">IF($K509="",0,IFERROR(INDEX(CALC!$L$2:$L$33,MATCH($K509,CALC!$A$2:$A$33,0)),0))</f>
        <v/>
      </c>
      <c r="AP509" s="2" t="str">
        <f t="array" ref="AP509">IF($K509="",0,IFERROR(INDEX(CALC!$T$2:$T$33,MATCH($K509,CALC!$A$2:$A$33,0)),0))</f>
        <v/>
      </c>
      <c r="AQ509" s="2" t="str">
        <f t="array" ref="AQ509">IF($K509="",0,IFERROR(INDEX(CALC!$W$2:$W$33,MATCH($K509,CALC!$A$2:$A$33,0)),0))</f>
        <v/>
      </c>
      <c r="AR509" s="2" t="str">
        <f t="array" ref="AR509">IF($K509="",0,IFERROR(INDEX(CALC!$Z$2:$Z$33,MATCH($K509,CALC!$A$2:$A$33,0)),0))</f>
        <v/>
      </c>
      <c r="AS509" s="2" t="str">
        <f t="array" ref="AS509">IF($K509="",0,IFERROR(INDEX(CALC!$AJ$2:$AJ$33,MATCH($K509,CALC!$A$2:$A$33,0)),0))</f>
        <v/>
      </c>
      <c r="AT509" s="2" t="str">
        <f t="array" ref="AT509">IF($K509="",0,IFERROR(INDEX(CALC!$AI$2:$AI$33,MATCH($K509,CALC!$A$2:$A$33,0)),0))</f>
        <v/>
      </c>
      <c r="AU509" s="2">
        <f t="shared" si="11"/>
        <v>0</v>
      </c>
      <c r="AV509" s="2">
        <f t="shared" si="12"/>
        <v>0</v>
      </c>
    </row>
    <row r="510" ht="15.0" customHeight="1">
      <c r="A510" s="2">
        <v>254.0</v>
      </c>
      <c r="B510" s="2" t="s">
        <v>2366</v>
      </c>
      <c r="C510" s="2">
        <f>IFERROR(MATCH($A510,SchedSeq,0),"")</f>
        <v>539</v>
      </c>
      <c r="D510" s="2" t="str">
        <f t="array" ref="D510">IF($C510="","",INDEX(SchedZone,$C510,MAP!$B$6))</f>
        <v>2026_17_DET_CHI</v>
      </c>
      <c r="E510" s="2">
        <f t="array" ref="E510">IF($C510="","",INDEX(SchedZone,$C510,MAP!$B$3))</f>
        <v>2026</v>
      </c>
      <c r="F510" s="2" t="str">
        <f t="array" ref="F510">IF($C510="","",INDEX(SchedZone,$C510,MAP!$B$5))</f>
        <v>REG</v>
      </c>
      <c r="G510" s="2">
        <f t="array" ref="G510">IF($C510="","",INDEX(SchedZone,$C510,MAP!$B$4))</f>
        <v>17</v>
      </c>
      <c r="H510" s="2" t="str">
        <f t="array" ref="H510">IF($C510="","",INDEX(SchedZone,$C510,MAP!$B$10))</f>
        <v>DET</v>
      </c>
      <c r="I510" s="2" t="str">
        <f t="array" ref="I510">IF($H510="","",IF(COUNTIF(Teams,$H510)&gt;0,$H510,IFERROR(INDEX(LISTS!$D$2:$D$12,MATCH($H510,LISTS!$C$2:$C$12,0)),"⚠ "&amp;$H510)))</f>
        <v>DET</v>
      </c>
      <c r="J510" s="2" t="str">
        <f t="array" ref="J510">IF($C510="","",INDEX(SchedZone,$C510,MAP!$B$12))</f>
        <v>CHI</v>
      </c>
      <c r="K510" s="2" t="str">
        <f t="array" ref="K510">IF($J510="","",IF(COUNTIF(Teams,$J510)&gt;0,$J510,IFERROR(INDEX(LISTS!$D$2:$D$12,MATCH($J510,LISTS!$C$2:$C$12,0)),"⚠ "&amp;$J510)))</f>
        <v>CHI</v>
      </c>
      <c r="L510" s="2" t="str">
        <f t="array" ref="L510">IF($C510="","",IF(INDEX(SchedZone,$C510,MAP!$B$14)="Neutral","N",IF($B510="HOME","H","A")))</f>
        <v>A</v>
      </c>
      <c r="M510" s="2" t="str">
        <f t="array" ref="M510">IF($C510="","",IF(INDEX(SchedZone,$C510,MAP!$B$11)="","",INDEX(SchedZone,$C510,MAP!$B$11)))</f>
        <v/>
      </c>
      <c r="N510" s="2" t="str">
        <f t="array" ref="N510">IF($C510="","",IF(INDEX(SchedZone,$C510,MAP!$B$13)="","",INDEX(SchedZone,$C510,MAP!$B$13)))</f>
        <v/>
      </c>
      <c r="O510" s="2">
        <f t="array" ref="O510">IF($C510="","",INDEX(SchedZone,$C510,MAP!$B$15))</f>
        <v>6</v>
      </c>
      <c r="P510" s="2" t="str">
        <f>IF($C510="","",IFERROR(MATCH($E510&amp;"|"&amp;$G510&amp;"|"&amp;$I510,StatsKey,0),""))</f>
        <v/>
      </c>
      <c r="Q510" s="2">
        <f t="array" ref="Q510">IF($P510="",0,INDEX(StatsZone,$P510,MAP!$E$9)+INDEX(StatsZone,$P510,MAP!$E$10)+INDEX(StatsZone,$P510,MAP!$E$11))</f>
        <v>0</v>
      </c>
      <c r="R510" s="2">
        <f t="array" ref="R510">IF($P510="",0,INDEX(StatsZone,$P510,MAP!$E$12))</f>
        <v>0</v>
      </c>
      <c r="S510" s="2">
        <f t="array" ref="S510">IF($P510="",0,INDEX(StatsZone,$P510,MAP!$E$13))</f>
        <v>0</v>
      </c>
      <c r="T510" s="2">
        <f t="shared" si="1"/>
        <v>0</v>
      </c>
      <c r="U510" s="2">
        <f t="array" ref="U510">IF($P510="",0,INDEX(StatsZone,$P510,MAP!$E$14)+INDEX(StatsZone,$P510,MAP!$E$15)+INDEX(StatsZone,$P510,MAP!$E$16))</f>
        <v>0</v>
      </c>
      <c r="V510" s="2">
        <f t="shared" si="2"/>
        <v>0</v>
      </c>
      <c r="W510" s="2">
        <f t="shared" si="3"/>
        <v>0</v>
      </c>
      <c r="X510" s="2">
        <f t="shared" si="4"/>
        <v>0</v>
      </c>
      <c r="Y510" s="2">
        <f t="shared" si="5"/>
        <v>0</v>
      </c>
      <c r="Z510" s="2">
        <f t="shared" si="6"/>
        <v>0</v>
      </c>
      <c r="AA510" s="2">
        <f t="shared" si="7"/>
        <v>-1</v>
      </c>
      <c r="AB510" s="2">
        <f>IF(OR($M510="",$N510=""),0,MEDIAN(-MarginCap,MarginCap,($M510-$N510)-$AA510*HFA_Base))</f>
        <v>0</v>
      </c>
      <c r="AC510" s="2">
        <f t="array" ref="AC510">IF(OR($P510="",INDEX($P$3:$P$722,(ROW()+IF(MOD(ROW()-3,2)=0,1,-1))-3+1)=""),0,MEDIAN(-MarginCap,MarginCap,($T510-$W510)-$AA510*HFA_Base))</f>
        <v>0</v>
      </c>
      <c r="AD510" s="2">
        <f t="shared" si="8"/>
        <v>0</v>
      </c>
      <c r="AE510" s="2">
        <f>IF(OR($M510="",$N510=""),0,IF(AND(WEpa&gt;0,$AD510=1),(1-WEpa)*$AB510+WEpa*$AC510,$AB510))</f>
        <v>0</v>
      </c>
      <c r="AF510" s="2">
        <f>IF(AND($C510&lt;&gt;"",$E510=CurrentSeason,$F510="REG",ISNUMBER($G510),$G510&lt;CurrentWeek,AND($M510&lt;&gt;"",$N510&lt;&gt;"")),1,0)</f>
        <v>0</v>
      </c>
      <c r="AG510" s="2">
        <f>IF($AF510=0,0,IF($G510&gt;=CurrentWeek-RecencyWin,RecencyMult,1))</f>
        <v>0</v>
      </c>
      <c r="AH510" s="2">
        <f>IF(AND($C510&lt;&gt;"",$E510=CurrentSeason,$F510="REG",ISNUMBER($G510),$G510&lt;CurrentWeek-1,AND($M510&lt;&gt;"",$N510&lt;&gt;"")),1,0)</f>
        <v>0</v>
      </c>
      <c r="AI510" s="2">
        <f>IF($AH510=0,0,IF($G510&gt;=CurrentWeek-1-RecencyWin,RecencyMult,1))</f>
        <v>0</v>
      </c>
      <c r="AJ510" s="2">
        <f>IF($AF510=0,0,IF($G510&gt;=CurrentWeek-RecencyWin,TotRecency,1))</f>
        <v>0</v>
      </c>
      <c r="AK510" s="2">
        <f t="shared" si="9"/>
        <v>0</v>
      </c>
      <c r="AL510" s="2">
        <f t="shared" si="10"/>
        <v>0</v>
      </c>
      <c r="AM510" s="2" t="str">
        <f t="array" ref="AM510">IF($K510="",0,IFERROR(INDEX(CALC!$F$2:$F$33,MATCH($K510,CALC!$A$2:$A$33,0)),0))</f>
        <v/>
      </c>
      <c r="AN510" s="2" t="str">
        <f t="array" ref="AN510">IF($K510="",0,IFERROR(INDEX(CALC!$I$2:$I$33,MATCH($K510,CALC!$A$2:$A$33,0)),0))</f>
        <v/>
      </c>
      <c r="AO510" s="2" t="str">
        <f t="array" ref="AO510">IF($K510="",0,IFERROR(INDEX(CALC!$L$2:$L$33,MATCH($K510,CALC!$A$2:$A$33,0)),0))</f>
        <v/>
      </c>
      <c r="AP510" s="2" t="str">
        <f t="array" ref="AP510">IF($K510="",0,IFERROR(INDEX(CALC!$T$2:$T$33,MATCH($K510,CALC!$A$2:$A$33,0)),0))</f>
        <v/>
      </c>
      <c r="AQ510" s="2" t="str">
        <f t="array" ref="AQ510">IF($K510="",0,IFERROR(INDEX(CALC!$W$2:$W$33,MATCH($K510,CALC!$A$2:$A$33,0)),0))</f>
        <v/>
      </c>
      <c r="AR510" s="2" t="str">
        <f t="array" ref="AR510">IF($K510="",0,IFERROR(INDEX(CALC!$Z$2:$Z$33,MATCH($K510,CALC!$A$2:$A$33,0)),0))</f>
        <v/>
      </c>
      <c r="AS510" s="2" t="str">
        <f t="array" ref="AS510">IF($K510="",0,IFERROR(INDEX(CALC!$AJ$2:$AJ$33,MATCH($K510,CALC!$A$2:$A$33,0)),0))</f>
        <v/>
      </c>
      <c r="AT510" s="2" t="str">
        <f t="array" ref="AT510">IF($K510="",0,IFERROR(INDEX(CALC!$AI$2:$AI$33,MATCH($K510,CALC!$A$2:$A$33,0)),0))</f>
        <v/>
      </c>
      <c r="AU510" s="2">
        <f t="shared" si="11"/>
        <v>0</v>
      </c>
      <c r="AV510" s="2">
        <f t="shared" si="12"/>
        <v>0</v>
      </c>
    </row>
    <row r="511" ht="15.0" customHeight="1">
      <c r="A511" s="2">
        <v>255.0</v>
      </c>
      <c r="B511" s="2" t="s">
        <v>2365</v>
      </c>
      <c r="C511" s="2">
        <f>IFERROR(MATCH($A511,SchedSeq,0),"")</f>
        <v>540</v>
      </c>
      <c r="D511" s="2" t="str">
        <f t="array" ref="D511">IF($C511="","",INDEX(SchedZone,$C511,MAP!$B$6))</f>
        <v>2026_17_PHI_SF</v>
      </c>
      <c r="E511" s="2">
        <f t="array" ref="E511">IF($C511="","",INDEX(SchedZone,$C511,MAP!$B$3))</f>
        <v>2026</v>
      </c>
      <c r="F511" s="2" t="str">
        <f t="array" ref="F511">IF($C511="","",INDEX(SchedZone,$C511,MAP!$B$5))</f>
        <v>REG</v>
      </c>
      <c r="G511" s="2">
        <f t="array" ref="G511">IF($C511="","",INDEX(SchedZone,$C511,MAP!$B$4))</f>
        <v>17</v>
      </c>
      <c r="H511" s="2" t="str">
        <f t="array" ref="H511">IF($C511="","",INDEX(SchedZone,$C511,MAP!$B$12))</f>
        <v>SF</v>
      </c>
      <c r="I511" s="2" t="str">
        <f t="array" ref="I511">IF($H511="","",IF(COUNTIF(Teams,$H511)&gt;0,$H511,IFERROR(INDEX(LISTS!$D$2:$D$12,MATCH($H511,LISTS!$C$2:$C$12,0)),"⚠ "&amp;$H511)))</f>
        <v>SF</v>
      </c>
      <c r="J511" s="2" t="str">
        <f t="array" ref="J511">IF($C511="","",INDEX(SchedZone,$C511,MAP!$B$10))</f>
        <v>PHI</v>
      </c>
      <c r="K511" s="2" t="str">
        <f t="array" ref="K511">IF($J511="","",IF(COUNTIF(Teams,$J511)&gt;0,$J511,IFERROR(INDEX(LISTS!$D$2:$D$12,MATCH($J511,LISTS!$C$2:$C$12,0)),"⚠ "&amp;$J511)))</f>
        <v>PHI</v>
      </c>
      <c r="L511" s="2" t="str">
        <f t="array" ref="L511">IF($C511="","",IF(INDEX(SchedZone,$C511,MAP!$B$14)="Neutral","N",IF($B511="HOME","H","A")))</f>
        <v>H</v>
      </c>
      <c r="M511" s="2" t="str">
        <f t="array" ref="M511">IF($C511="","",IF(INDEX(SchedZone,$C511,MAP!$B$13)="","",INDEX(SchedZone,$C511,MAP!$B$13)))</f>
        <v/>
      </c>
      <c r="N511" s="2" t="str">
        <f t="array" ref="N511">IF($C511="","",IF(INDEX(SchedZone,$C511,MAP!$B$11)="","",INDEX(SchedZone,$C511,MAP!$B$11)))</f>
        <v/>
      </c>
      <c r="O511" s="2">
        <f t="array" ref="O511">IF($C511="","",INDEX(SchedZone,$C511,MAP!$B$16))</f>
        <v>7</v>
      </c>
      <c r="P511" s="2" t="str">
        <f>IF($C511="","",IFERROR(MATCH($E511&amp;"|"&amp;$G511&amp;"|"&amp;$I511,StatsKey,0),""))</f>
        <v/>
      </c>
      <c r="Q511" s="2">
        <f t="array" ref="Q511">IF($P511="",0,INDEX(StatsZone,$P511,MAP!$E$9)+INDEX(StatsZone,$P511,MAP!$E$10)+INDEX(StatsZone,$P511,MAP!$E$11))</f>
        <v>0</v>
      </c>
      <c r="R511" s="2">
        <f t="array" ref="R511">IF($P511="",0,INDEX(StatsZone,$P511,MAP!$E$12))</f>
        <v>0</v>
      </c>
      <c r="S511" s="2">
        <f t="array" ref="S511">IF($P511="",0,INDEX(StatsZone,$P511,MAP!$E$13))</f>
        <v>0</v>
      </c>
      <c r="T511" s="2">
        <f t="shared" si="1"/>
        <v>0</v>
      </c>
      <c r="U511" s="2">
        <f t="array" ref="U511">IF($P511="",0,INDEX(StatsZone,$P511,MAP!$E$14)+INDEX(StatsZone,$P511,MAP!$E$15)+INDEX(StatsZone,$P511,MAP!$E$16))</f>
        <v>0</v>
      </c>
      <c r="V511" s="2">
        <f t="shared" si="2"/>
        <v>0</v>
      </c>
      <c r="W511" s="2">
        <f t="shared" si="3"/>
        <v>0</v>
      </c>
      <c r="X511" s="2">
        <f t="shared" si="4"/>
        <v>0</v>
      </c>
      <c r="Y511" s="2">
        <f t="shared" si="5"/>
        <v>0</v>
      </c>
      <c r="Z511" s="2">
        <f t="shared" si="6"/>
        <v>0</v>
      </c>
      <c r="AA511" s="2">
        <f t="shared" si="7"/>
        <v>1</v>
      </c>
      <c r="AB511" s="2">
        <f>IF(OR($M511="",$N511=""),0,MEDIAN(-MarginCap,MarginCap,($M511-$N511)-$AA511*HFA_Base))</f>
        <v>0</v>
      </c>
      <c r="AC511" s="2">
        <f t="array" ref="AC511">IF(OR($P511="",INDEX($P$3:$P$722,(ROW()+IF(MOD(ROW()-3,2)=0,1,-1))-3+1)=""),0,MEDIAN(-MarginCap,MarginCap,($T511-$W511)-$AA511*HFA_Base))</f>
        <v>0</v>
      </c>
      <c r="AD511" s="2">
        <f t="shared" si="8"/>
        <v>0</v>
      </c>
      <c r="AE511" s="2">
        <f>IF(OR($M511="",$N511=""),0,IF(AND(WEpa&gt;0,$AD511=1),(1-WEpa)*$AB511+WEpa*$AC511,$AB511))</f>
        <v>0</v>
      </c>
      <c r="AF511" s="2">
        <f>IF(AND($C511&lt;&gt;"",$E511=CurrentSeason,$F511="REG",ISNUMBER($G511),$G511&lt;CurrentWeek,AND($M511&lt;&gt;"",$N511&lt;&gt;"")),1,0)</f>
        <v>0</v>
      </c>
      <c r="AG511" s="2">
        <f>IF($AF511=0,0,IF($G511&gt;=CurrentWeek-RecencyWin,RecencyMult,1))</f>
        <v>0</v>
      </c>
      <c r="AH511" s="2">
        <f>IF(AND($C511&lt;&gt;"",$E511=CurrentSeason,$F511="REG",ISNUMBER($G511),$G511&lt;CurrentWeek-1,AND($M511&lt;&gt;"",$N511&lt;&gt;"")),1,0)</f>
        <v>0</v>
      </c>
      <c r="AI511" s="2">
        <f>IF($AH511=0,0,IF($G511&gt;=CurrentWeek-1-RecencyWin,RecencyMult,1))</f>
        <v>0</v>
      </c>
      <c r="AJ511" s="2">
        <f>IF($AF511=0,0,IF($G511&gt;=CurrentWeek-RecencyWin,TotRecency,1))</f>
        <v>0</v>
      </c>
      <c r="AK511" s="2">
        <f t="shared" si="9"/>
        <v>0</v>
      </c>
      <c r="AL511" s="2">
        <f t="shared" si="10"/>
        <v>0</v>
      </c>
      <c r="AM511" s="2" t="str">
        <f t="array" ref="AM511">IF($K511="",0,IFERROR(INDEX(CALC!$F$2:$F$33,MATCH($K511,CALC!$A$2:$A$33,0)),0))</f>
        <v/>
      </c>
      <c r="AN511" s="2" t="str">
        <f t="array" ref="AN511">IF($K511="",0,IFERROR(INDEX(CALC!$I$2:$I$33,MATCH($K511,CALC!$A$2:$A$33,0)),0))</f>
        <v/>
      </c>
      <c r="AO511" s="2" t="str">
        <f t="array" ref="AO511">IF($K511="",0,IFERROR(INDEX(CALC!$L$2:$L$33,MATCH($K511,CALC!$A$2:$A$33,0)),0))</f>
        <v/>
      </c>
      <c r="AP511" s="2" t="str">
        <f t="array" ref="AP511">IF($K511="",0,IFERROR(INDEX(CALC!$T$2:$T$33,MATCH($K511,CALC!$A$2:$A$33,0)),0))</f>
        <v/>
      </c>
      <c r="AQ511" s="2" t="str">
        <f t="array" ref="AQ511">IF($K511="",0,IFERROR(INDEX(CALC!$W$2:$W$33,MATCH($K511,CALC!$A$2:$A$33,0)),0))</f>
        <v/>
      </c>
      <c r="AR511" s="2" t="str">
        <f t="array" ref="AR511">IF($K511="",0,IFERROR(INDEX(CALC!$Z$2:$Z$33,MATCH($K511,CALC!$A$2:$A$33,0)),0))</f>
        <v/>
      </c>
      <c r="AS511" s="2" t="str">
        <f t="array" ref="AS511">IF($K511="",0,IFERROR(INDEX(CALC!$AJ$2:$AJ$33,MATCH($K511,CALC!$A$2:$A$33,0)),0))</f>
        <v/>
      </c>
      <c r="AT511" s="2" t="str">
        <f t="array" ref="AT511">IF($K511="",0,IFERROR(INDEX(CALC!$AI$2:$AI$33,MATCH($K511,CALC!$A$2:$A$33,0)),0))</f>
        <v/>
      </c>
      <c r="AU511" s="2">
        <f t="shared" si="11"/>
        <v>0</v>
      </c>
      <c r="AV511" s="2">
        <f t="shared" si="12"/>
        <v>0</v>
      </c>
    </row>
    <row r="512" ht="15.0" customHeight="1">
      <c r="A512" s="2">
        <v>255.0</v>
      </c>
      <c r="B512" s="2" t="s">
        <v>2366</v>
      </c>
      <c r="C512" s="2">
        <f>IFERROR(MATCH($A512,SchedSeq,0),"")</f>
        <v>540</v>
      </c>
      <c r="D512" s="2" t="str">
        <f t="array" ref="D512">IF($C512="","",INDEX(SchedZone,$C512,MAP!$B$6))</f>
        <v>2026_17_PHI_SF</v>
      </c>
      <c r="E512" s="2">
        <f t="array" ref="E512">IF($C512="","",INDEX(SchedZone,$C512,MAP!$B$3))</f>
        <v>2026</v>
      </c>
      <c r="F512" s="2" t="str">
        <f t="array" ref="F512">IF($C512="","",INDEX(SchedZone,$C512,MAP!$B$5))</f>
        <v>REG</v>
      </c>
      <c r="G512" s="2">
        <f t="array" ref="G512">IF($C512="","",INDEX(SchedZone,$C512,MAP!$B$4))</f>
        <v>17</v>
      </c>
      <c r="H512" s="2" t="str">
        <f t="array" ref="H512">IF($C512="","",INDEX(SchedZone,$C512,MAP!$B$10))</f>
        <v>PHI</v>
      </c>
      <c r="I512" s="2" t="str">
        <f t="array" ref="I512">IF($H512="","",IF(COUNTIF(Teams,$H512)&gt;0,$H512,IFERROR(INDEX(LISTS!$D$2:$D$12,MATCH($H512,LISTS!$C$2:$C$12,0)),"⚠ "&amp;$H512)))</f>
        <v>PHI</v>
      </c>
      <c r="J512" s="2" t="str">
        <f t="array" ref="J512">IF($C512="","",INDEX(SchedZone,$C512,MAP!$B$12))</f>
        <v>SF</v>
      </c>
      <c r="K512" s="2" t="str">
        <f t="array" ref="K512">IF($J512="","",IF(COUNTIF(Teams,$J512)&gt;0,$J512,IFERROR(INDEX(LISTS!$D$2:$D$12,MATCH($J512,LISTS!$C$2:$C$12,0)),"⚠ "&amp;$J512)))</f>
        <v>SF</v>
      </c>
      <c r="L512" s="2" t="str">
        <f t="array" ref="L512">IF($C512="","",IF(INDEX(SchedZone,$C512,MAP!$B$14)="Neutral","N",IF($B512="HOME","H","A")))</f>
        <v>A</v>
      </c>
      <c r="M512" s="2" t="str">
        <f t="array" ref="M512">IF($C512="","",IF(INDEX(SchedZone,$C512,MAP!$B$11)="","",INDEX(SchedZone,$C512,MAP!$B$11)))</f>
        <v/>
      </c>
      <c r="N512" s="2" t="str">
        <f t="array" ref="N512">IF($C512="","",IF(INDEX(SchedZone,$C512,MAP!$B$13)="","",INDEX(SchedZone,$C512,MAP!$B$13)))</f>
        <v/>
      </c>
      <c r="O512" s="2">
        <f t="array" ref="O512">IF($C512="","",INDEX(SchedZone,$C512,MAP!$B$15))</f>
        <v>10</v>
      </c>
      <c r="P512" s="2" t="str">
        <f>IF($C512="","",IFERROR(MATCH($E512&amp;"|"&amp;$G512&amp;"|"&amp;$I512,StatsKey,0),""))</f>
        <v/>
      </c>
      <c r="Q512" s="2">
        <f t="array" ref="Q512">IF($P512="",0,INDEX(StatsZone,$P512,MAP!$E$9)+INDEX(StatsZone,$P512,MAP!$E$10)+INDEX(StatsZone,$P512,MAP!$E$11))</f>
        <v>0</v>
      </c>
      <c r="R512" s="2">
        <f t="array" ref="R512">IF($P512="",0,INDEX(StatsZone,$P512,MAP!$E$12))</f>
        <v>0</v>
      </c>
      <c r="S512" s="2">
        <f t="array" ref="S512">IF($P512="",0,INDEX(StatsZone,$P512,MAP!$E$13))</f>
        <v>0</v>
      </c>
      <c r="T512" s="2">
        <f t="shared" si="1"/>
        <v>0</v>
      </c>
      <c r="U512" s="2">
        <f t="array" ref="U512">IF($P512="",0,INDEX(StatsZone,$P512,MAP!$E$14)+INDEX(StatsZone,$P512,MAP!$E$15)+INDEX(StatsZone,$P512,MAP!$E$16))</f>
        <v>0</v>
      </c>
      <c r="V512" s="2">
        <f t="shared" si="2"/>
        <v>0</v>
      </c>
      <c r="W512" s="2">
        <f t="shared" si="3"/>
        <v>0</v>
      </c>
      <c r="X512" s="2">
        <f t="shared" si="4"/>
        <v>0</v>
      </c>
      <c r="Y512" s="2">
        <f t="shared" si="5"/>
        <v>0</v>
      </c>
      <c r="Z512" s="2">
        <f t="shared" si="6"/>
        <v>0</v>
      </c>
      <c r="AA512" s="2">
        <f t="shared" si="7"/>
        <v>-1</v>
      </c>
      <c r="AB512" s="2">
        <f>IF(OR($M512="",$N512=""),0,MEDIAN(-MarginCap,MarginCap,($M512-$N512)-$AA512*HFA_Base))</f>
        <v>0</v>
      </c>
      <c r="AC512" s="2">
        <f t="array" ref="AC512">IF(OR($P512="",INDEX($P$3:$P$722,(ROW()+IF(MOD(ROW()-3,2)=0,1,-1))-3+1)=""),0,MEDIAN(-MarginCap,MarginCap,($T512-$W512)-$AA512*HFA_Base))</f>
        <v>0</v>
      </c>
      <c r="AD512" s="2">
        <f t="shared" si="8"/>
        <v>0</v>
      </c>
      <c r="AE512" s="2">
        <f>IF(OR($M512="",$N512=""),0,IF(AND(WEpa&gt;0,$AD512=1),(1-WEpa)*$AB512+WEpa*$AC512,$AB512))</f>
        <v>0</v>
      </c>
      <c r="AF512" s="2">
        <f>IF(AND($C512&lt;&gt;"",$E512=CurrentSeason,$F512="REG",ISNUMBER($G512),$G512&lt;CurrentWeek,AND($M512&lt;&gt;"",$N512&lt;&gt;"")),1,0)</f>
        <v>0</v>
      </c>
      <c r="AG512" s="2">
        <f>IF($AF512=0,0,IF($G512&gt;=CurrentWeek-RecencyWin,RecencyMult,1))</f>
        <v>0</v>
      </c>
      <c r="AH512" s="2">
        <f>IF(AND($C512&lt;&gt;"",$E512=CurrentSeason,$F512="REG",ISNUMBER($G512),$G512&lt;CurrentWeek-1,AND($M512&lt;&gt;"",$N512&lt;&gt;"")),1,0)</f>
        <v>0</v>
      </c>
      <c r="AI512" s="2">
        <f>IF($AH512=0,0,IF($G512&gt;=CurrentWeek-1-RecencyWin,RecencyMult,1))</f>
        <v>0</v>
      </c>
      <c r="AJ512" s="2">
        <f>IF($AF512=0,0,IF($G512&gt;=CurrentWeek-RecencyWin,TotRecency,1))</f>
        <v>0</v>
      </c>
      <c r="AK512" s="2">
        <f t="shared" si="9"/>
        <v>0</v>
      </c>
      <c r="AL512" s="2">
        <f t="shared" si="10"/>
        <v>0</v>
      </c>
      <c r="AM512" s="2" t="str">
        <f t="array" ref="AM512">IF($K512="",0,IFERROR(INDEX(CALC!$F$2:$F$33,MATCH($K512,CALC!$A$2:$A$33,0)),0))</f>
        <v/>
      </c>
      <c r="AN512" s="2" t="str">
        <f t="array" ref="AN512">IF($K512="",0,IFERROR(INDEX(CALC!$I$2:$I$33,MATCH($K512,CALC!$A$2:$A$33,0)),0))</f>
        <v/>
      </c>
      <c r="AO512" s="2" t="str">
        <f t="array" ref="AO512">IF($K512="",0,IFERROR(INDEX(CALC!$L$2:$L$33,MATCH($K512,CALC!$A$2:$A$33,0)),0))</f>
        <v/>
      </c>
      <c r="AP512" s="2" t="str">
        <f t="array" ref="AP512">IF($K512="",0,IFERROR(INDEX(CALC!$T$2:$T$33,MATCH($K512,CALC!$A$2:$A$33,0)),0))</f>
        <v/>
      </c>
      <c r="AQ512" s="2" t="str">
        <f t="array" ref="AQ512">IF($K512="",0,IFERROR(INDEX(CALC!$W$2:$W$33,MATCH($K512,CALC!$A$2:$A$33,0)),0))</f>
        <v/>
      </c>
      <c r="AR512" s="2" t="str">
        <f t="array" ref="AR512">IF($K512="",0,IFERROR(INDEX(CALC!$Z$2:$Z$33,MATCH($K512,CALC!$A$2:$A$33,0)),0))</f>
        <v/>
      </c>
      <c r="AS512" s="2" t="str">
        <f t="array" ref="AS512">IF($K512="",0,IFERROR(INDEX(CALC!$AJ$2:$AJ$33,MATCH($K512,CALC!$A$2:$A$33,0)),0))</f>
        <v/>
      </c>
      <c r="AT512" s="2" t="str">
        <f t="array" ref="AT512">IF($K512="",0,IFERROR(INDEX(CALC!$AI$2:$AI$33,MATCH($K512,CALC!$A$2:$A$33,0)),0))</f>
        <v/>
      </c>
      <c r="AU512" s="2">
        <f t="shared" si="11"/>
        <v>0</v>
      </c>
      <c r="AV512" s="2">
        <f t="shared" si="12"/>
        <v>0</v>
      </c>
    </row>
    <row r="513" ht="15.0" customHeight="1">
      <c r="A513" s="2">
        <v>256.0</v>
      </c>
      <c r="B513" s="2" t="s">
        <v>2365</v>
      </c>
      <c r="C513" s="2">
        <f>IFERROR(MATCH($A513,SchedSeq,0),"")</f>
        <v>541</v>
      </c>
      <c r="D513" s="2" t="str">
        <f t="array" ref="D513">IF($C513="","",INDEX(SchedZone,$C513,MAP!$B$6))</f>
        <v>2026_17_HOU_GB</v>
      </c>
      <c r="E513" s="2">
        <f t="array" ref="E513">IF($C513="","",INDEX(SchedZone,$C513,MAP!$B$3))</f>
        <v>2026</v>
      </c>
      <c r="F513" s="2" t="str">
        <f t="array" ref="F513">IF($C513="","",INDEX(SchedZone,$C513,MAP!$B$5))</f>
        <v>REG</v>
      </c>
      <c r="G513" s="2">
        <f t="array" ref="G513">IF($C513="","",INDEX(SchedZone,$C513,MAP!$B$4))</f>
        <v>17</v>
      </c>
      <c r="H513" s="2" t="str">
        <f t="array" ref="H513">IF($C513="","",INDEX(SchedZone,$C513,MAP!$B$12))</f>
        <v>GB</v>
      </c>
      <c r="I513" s="2" t="str">
        <f t="array" ref="I513">IF($H513="","",IF(COUNTIF(Teams,$H513)&gt;0,$H513,IFERROR(INDEX(LISTS!$D$2:$D$12,MATCH($H513,LISTS!$C$2:$C$12,0)),"⚠ "&amp;$H513)))</f>
        <v>GB</v>
      </c>
      <c r="J513" s="2" t="str">
        <f t="array" ref="J513">IF($C513="","",INDEX(SchedZone,$C513,MAP!$B$10))</f>
        <v>HOU</v>
      </c>
      <c r="K513" s="2" t="str">
        <f t="array" ref="K513">IF($J513="","",IF(COUNTIF(Teams,$J513)&gt;0,$J513,IFERROR(INDEX(LISTS!$D$2:$D$12,MATCH($J513,LISTS!$C$2:$C$12,0)),"⚠ "&amp;$J513)))</f>
        <v>HOU</v>
      </c>
      <c r="L513" s="2" t="str">
        <f t="array" ref="L513">IF($C513="","",IF(INDEX(SchedZone,$C513,MAP!$B$14)="Neutral","N",IF($B513="HOME","H","A")))</f>
        <v>H</v>
      </c>
      <c r="M513" s="2" t="str">
        <f t="array" ref="M513">IF($C513="","",IF(INDEX(SchedZone,$C513,MAP!$B$13)="","",INDEX(SchedZone,$C513,MAP!$B$13)))</f>
        <v/>
      </c>
      <c r="N513" s="2" t="str">
        <f t="array" ref="N513">IF($C513="","",IF(INDEX(SchedZone,$C513,MAP!$B$11)="","",INDEX(SchedZone,$C513,MAP!$B$11)))</f>
        <v/>
      </c>
      <c r="O513" s="2">
        <f t="array" ref="O513">IF($C513="","",INDEX(SchedZone,$C513,MAP!$B$16))</f>
        <v>10</v>
      </c>
      <c r="P513" s="2" t="str">
        <f>IF($C513="","",IFERROR(MATCH($E513&amp;"|"&amp;$G513&amp;"|"&amp;$I513,StatsKey,0),""))</f>
        <v/>
      </c>
      <c r="Q513" s="2">
        <f t="array" ref="Q513">IF($P513="",0,INDEX(StatsZone,$P513,MAP!$E$9)+INDEX(StatsZone,$P513,MAP!$E$10)+INDEX(StatsZone,$P513,MAP!$E$11))</f>
        <v>0</v>
      </c>
      <c r="R513" s="2">
        <f t="array" ref="R513">IF($P513="",0,INDEX(StatsZone,$P513,MAP!$E$12))</f>
        <v>0</v>
      </c>
      <c r="S513" s="2">
        <f t="array" ref="S513">IF($P513="",0,INDEX(StatsZone,$P513,MAP!$E$13))</f>
        <v>0</v>
      </c>
      <c r="T513" s="2">
        <f t="shared" si="1"/>
        <v>0</v>
      </c>
      <c r="U513" s="2">
        <f t="array" ref="U513">IF($P513="",0,INDEX(StatsZone,$P513,MAP!$E$14)+INDEX(StatsZone,$P513,MAP!$E$15)+INDEX(StatsZone,$P513,MAP!$E$16))</f>
        <v>0</v>
      </c>
      <c r="V513" s="2">
        <f t="shared" si="2"/>
        <v>0</v>
      </c>
      <c r="W513" s="2">
        <f t="shared" si="3"/>
        <v>0</v>
      </c>
      <c r="X513" s="2">
        <f t="shared" si="4"/>
        <v>0</v>
      </c>
      <c r="Y513" s="2">
        <f t="shared" si="5"/>
        <v>0</v>
      </c>
      <c r="Z513" s="2">
        <f t="shared" si="6"/>
        <v>0</v>
      </c>
      <c r="AA513" s="2">
        <f t="shared" si="7"/>
        <v>1</v>
      </c>
      <c r="AB513" s="2">
        <f>IF(OR($M513="",$N513=""),0,MEDIAN(-MarginCap,MarginCap,($M513-$N513)-$AA513*HFA_Base))</f>
        <v>0</v>
      </c>
      <c r="AC513" s="2">
        <f t="array" ref="AC513">IF(OR($P513="",INDEX($P$3:$P$722,(ROW()+IF(MOD(ROW()-3,2)=0,1,-1))-3+1)=""),0,MEDIAN(-MarginCap,MarginCap,($T513-$W513)-$AA513*HFA_Base))</f>
        <v>0</v>
      </c>
      <c r="AD513" s="2">
        <f t="shared" si="8"/>
        <v>0</v>
      </c>
      <c r="AE513" s="2">
        <f>IF(OR($M513="",$N513=""),0,IF(AND(WEpa&gt;0,$AD513=1),(1-WEpa)*$AB513+WEpa*$AC513,$AB513))</f>
        <v>0</v>
      </c>
      <c r="AF513" s="2">
        <f>IF(AND($C513&lt;&gt;"",$E513=CurrentSeason,$F513="REG",ISNUMBER($G513),$G513&lt;CurrentWeek,AND($M513&lt;&gt;"",$N513&lt;&gt;"")),1,0)</f>
        <v>0</v>
      </c>
      <c r="AG513" s="2">
        <f>IF($AF513=0,0,IF($G513&gt;=CurrentWeek-RecencyWin,RecencyMult,1))</f>
        <v>0</v>
      </c>
      <c r="AH513" s="2">
        <f>IF(AND($C513&lt;&gt;"",$E513=CurrentSeason,$F513="REG",ISNUMBER($G513),$G513&lt;CurrentWeek-1,AND($M513&lt;&gt;"",$N513&lt;&gt;"")),1,0)</f>
        <v>0</v>
      </c>
      <c r="AI513" s="2">
        <f>IF($AH513=0,0,IF($G513&gt;=CurrentWeek-1-RecencyWin,RecencyMult,1))</f>
        <v>0</v>
      </c>
      <c r="AJ513" s="2">
        <f>IF($AF513=0,0,IF($G513&gt;=CurrentWeek-RecencyWin,TotRecency,1))</f>
        <v>0</v>
      </c>
      <c r="AK513" s="2">
        <f t="shared" si="9"/>
        <v>0</v>
      </c>
      <c r="AL513" s="2">
        <f t="shared" si="10"/>
        <v>0</v>
      </c>
      <c r="AM513" s="2" t="str">
        <f t="array" ref="AM513">IF($K513="",0,IFERROR(INDEX(CALC!$F$2:$F$33,MATCH($K513,CALC!$A$2:$A$33,0)),0))</f>
        <v/>
      </c>
      <c r="AN513" s="2" t="str">
        <f t="array" ref="AN513">IF($K513="",0,IFERROR(INDEX(CALC!$I$2:$I$33,MATCH($K513,CALC!$A$2:$A$33,0)),0))</f>
        <v/>
      </c>
      <c r="AO513" s="2" t="str">
        <f t="array" ref="AO513">IF($K513="",0,IFERROR(INDEX(CALC!$L$2:$L$33,MATCH($K513,CALC!$A$2:$A$33,0)),0))</f>
        <v/>
      </c>
      <c r="AP513" s="2" t="str">
        <f t="array" ref="AP513">IF($K513="",0,IFERROR(INDEX(CALC!$T$2:$T$33,MATCH($K513,CALC!$A$2:$A$33,0)),0))</f>
        <v/>
      </c>
      <c r="AQ513" s="2" t="str">
        <f t="array" ref="AQ513">IF($K513="",0,IFERROR(INDEX(CALC!$W$2:$W$33,MATCH($K513,CALC!$A$2:$A$33,0)),0))</f>
        <v/>
      </c>
      <c r="AR513" s="2" t="str">
        <f t="array" ref="AR513">IF($K513="",0,IFERROR(INDEX(CALC!$Z$2:$Z$33,MATCH($K513,CALC!$A$2:$A$33,0)),0))</f>
        <v/>
      </c>
      <c r="AS513" s="2" t="str">
        <f t="array" ref="AS513">IF($K513="",0,IFERROR(INDEX(CALC!$AJ$2:$AJ$33,MATCH($K513,CALC!$A$2:$A$33,0)),0))</f>
        <v/>
      </c>
      <c r="AT513" s="2" t="str">
        <f t="array" ref="AT513">IF($K513="",0,IFERROR(INDEX(CALC!$AI$2:$AI$33,MATCH($K513,CALC!$A$2:$A$33,0)),0))</f>
        <v/>
      </c>
      <c r="AU513" s="2">
        <f t="shared" si="11"/>
        <v>0</v>
      </c>
      <c r="AV513" s="2">
        <f t="shared" si="12"/>
        <v>0</v>
      </c>
    </row>
    <row r="514" ht="15.0" customHeight="1">
      <c r="A514" s="2">
        <v>256.0</v>
      </c>
      <c r="B514" s="2" t="s">
        <v>2366</v>
      </c>
      <c r="C514" s="2">
        <f>IFERROR(MATCH($A514,SchedSeq,0),"")</f>
        <v>541</v>
      </c>
      <c r="D514" s="2" t="str">
        <f t="array" ref="D514">IF($C514="","",INDEX(SchedZone,$C514,MAP!$B$6))</f>
        <v>2026_17_HOU_GB</v>
      </c>
      <c r="E514" s="2">
        <f t="array" ref="E514">IF($C514="","",INDEX(SchedZone,$C514,MAP!$B$3))</f>
        <v>2026</v>
      </c>
      <c r="F514" s="2" t="str">
        <f t="array" ref="F514">IF($C514="","",INDEX(SchedZone,$C514,MAP!$B$5))</f>
        <v>REG</v>
      </c>
      <c r="G514" s="2">
        <f t="array" ref="G514">IF($C514="","",INDEX(SchedZone,$C514,MAP!$B$4))</f>
        <v>17</v>
      </c>
      <c r="H514" s="2" t="str">
        <f t="array" ref="H514">IF($C514="","",INDEX(SchedZone,$C514,MAP!$B$10))</f>
        <v>HOU</v>
      </c>
      <c r="I514" s="2" t="str">
        <f t="array" ref="I514">IF($H514="","",IF(COUNTIF(Teams,$H514)&gt;0,$H514,IFERROR(INDEX(LISTS!$D$2:$D$12,MATCH($H514,LISTS!$C$2:$C$12,0)),"⚠ "&amp;$H514)))</f>
        <v>HOU</v>
      </c>
      <c r="J514" s="2" t="str">
        <f t="array" ref="J514">IF($C514="","",INDEX(SchedZone,$C514,MAP!$B$12))</f>
        <v>GB</v>
      </c>
      <c r="K514" s="2" t="str">
        <f t="array" ref="K514">IF($J514="","",IF(COUNTIF(Teams,$J514)&gt;0,$J514,IFERROR(INDEX(LISTS!$D$2:$D$12,MATCH($J514,LISTS!$C$2:$C$12,0)),"⚠ "&amp;$J514)))</f>
        <v>GB</v>
      </c>
      <c r="L514" s="2" t="str">
        <f t="array" ref="L514">IF($C514="","",IF(INDEX(SchedZone,$C514,MAP!$B$14)="Neutral","N",IF($B514="HOME","H","A")))</f>
        <v>A</v>
      </c>
      <c r="M514" s="2" t="str">
        <f t="array" ref="M514">IF($C514="","",IF(INDEX(SchedZone,$C514,MAP!$B$11)="","",INDEX(SchedZone,$C514,MAP!$B$11)))</f>
        <v/>
      </c>
      <c r="N514" s="2" t="str">
        <f t="array" ref="N514">IF($C514="","",IF(INDEX(SchedZone,$C514,MAP!$B$13)="","",INDEX(SchedZone,$C514,MAP!$B$13)))</f>
        <v/>
      </c>
      <c r="O514" s="2">
        <f t="array" ref="O514">IF($C514="","",INDEX(SchedZone,$C514,MAP!$B$15))</f>
        <v>11</v>
      </c>
      <c r="P514" s="2" t="str">
        <f>IF($C514="","",IFERROR(MATCH($E514&amp;"|"&amp;$G514&amp;"|"&amp;$I514,StatsKey,0),""))</f>
        <v/>
      </c>
      <c r="Q514" s="2">
        <f t="array" ref="Q514">IF($P514="",0,INDEX(StatsZone,$P514,MAP!$E$9)+INDEX(StatsZone,$P514,MAP!$E$10)+INDEX(StatsZone,$P514,MAP!$E$11))</f>
        <v>0</v>
      </c>
      <c r="R514" s="2">
        <f t="array" ref="R514">IF($P514="",0,INDEX(StatsZone,$P514,MAP!$E$12))</f>
        <v>0</v>
      </c>
      <c r="S514" s="2">
        <f t="array" ref="S514">IF($P514="",0,INDEX(StatsZone,$P514,MAP!$E$13))</f>
        <v>0</v>
      </c>
      <c r="T514" s="2">
        <f t="shared" si="1"/>
        <v>0</v>
      </c>
      <c r="U514" s="2">
        <f t="array" ref="U514">IF($P514="",0,INDEX(StatsZone,$P514,MAP!$E$14)+INDEX(StatsZone,$P514,MAP!$E$15)+INDEX(StatsZone,$P514,MAP!$E$16))</f>
        <v>0</v>
      </c>
      <c r="V514" s="2">
        <f t="shared" si="2"/>
        <v>0</v>
      </c>
      <c r="W514" s="2">
        <f t="shared" si="3"/>
        <v>0</v>
      </c>
      <c r="X514" s="2">
        <f t="shared" si="4"/>
        <v>0</v>
      </c>
      <c r="Y514" s="2">
        <f t="shared" si="5"/>
        <v>0</v>
      </c>
      <c r="Z514" s="2">
        <f t="shared" si="6"/>
        <v>0</v>
      </c>
      <c r="AA514" s="2">
        <f t="shared" si="7"/>
        <v>-1</v>
      </c>
      <c r="AB514" s="2">
        <f>IF(OR($M514="",$N514=""),0,MEDIAN(-MarginCap,MarginCap,($M514-$N514)-$AA514*HFA_Base))</f>
        <v>0</v>
      </c>
      <c r="AC514" s="2">
        <f t="array" ref="AC514">IF(OR($P514="",INDEX($P$3:$P$722,(ROW()+IF(MOD(ROW()-3,2)=0,1,-1))-3+1)=""),0,MEDIAN(-MarginCap,MarginCap,($T514-$W514)-$AA514*HFA_Base))</f>
        <v>0</v>
      </c>
      <c r="AD514" s="2">
        <f t="shared" si="8"/>
        <v>0</v>
      </c>
      <c r="AE514" s="2">
        <f>IF(OR($M514="",$N514=""),0,IF(AND(WEpa&gt;0,$AD514=1),(1-WEpa)*$AB514+WEpa*$AC514,$AB514))</f>
        <v>0</v>
      </c>
      <c r="AF514" s="2">
        <f>IF(AND($C514&lt;&gt;"",$E514=CurrentSeason,$F514="REG",ISNUMBER($G514),$G514&lt;CurrentWeek,AND($M514&lt;&gt;"",$N514&lt;&gt;"")),1,0)</f>
        <v>0</v>
      </c>
      <c r="AG514" s="2">
        <f>IF($AF514=0,0,IF($G514&gt;=CurrentWeek-RecencyWin,RecencyMult,1))</f>
        <v>0</v>
      </c>
      <c r="AH514" s="2">
        <f>IF(AND($C514&lt;&gt;"",$E514=CurrentSeason,$F514="REG",ISNUMBER($G514),$G514&lt;CurrentWeek-1,AND($M514&lt;&gt;"",$N514&lt;&gt;"")),1,0)</f>
        <v>0</v>
      </c>
      <c r="AI514" s="2">
        <f>IF($AH514=0,0,IF($G514&gt;=CurrentWeek-1-RecencyWin,RecencyMult,1))</f>
        <v>0</v>
      </c>
      <c r="AJ514" s="2">
        <f>IF($AF514=0,0,IF($G514&gt;=CurrentWeek-RecencyWin,TotRecency,1))</f>
        <v>0</v>
      </c>
      <c r="AK514" s="2">
        <f t="shared" si="9"/>
        <v>0</v>
      </c>
      <c r="AL514" s="2">
        <f t="shared" si="10"/>
        <v>0</v>
      </c>
      <c r="AM514" s="2" t="str">
        <f t="array" ref="AM514">IF($K514="",0,IFERROR(INDEX(CALC!$F$2:$F$33,MATCH($K514,CALC!$A$2:$A$33,0)),0))</f>
        <v/>
      </c>
      <c r="AN514" s="2" t="str">
        <f t="array" ref="AN514">IF($K514="",0,IFERROR(INDEX(CALC!$I$2:$I$33,MATCH($K514,CALC!$A$2:$A$33,0)),0))</f>
        <v/>
      </c>
      <c r="AO514" s="2" t="str">
        <f t="array" ref="AO514">IF($K514="",0,IFERROR(INDEX(CALC!$L$2:$L$33,MATCH($K514,CALC!$A$2:$A$33,0)),0))</f>
        <v/>
      </c>
      <c r="AP514" s="2" t="str">
        <f t="array" ref="AP514">IF($K514="",0,IFERROR(INDEX(CALC!$T$2:$T$33,MATCH($K514,CALC!$A$2:$A$33,0)),0))</f>
        <v/>
      </c>
      <c r="AQ514" s="2" t="str">
        <f t="array" ref="AQ514">IF($K514="",0,IFERROR(INDEX(CALC!$W$2:$W$33,MATCH($K514,CALC!$A$2:$A$33,0)),0))</f>
        <v/>
      </c>
      <c r="AR514" s="2" t="str">
        <f t="array" ref="AR514">IF($K514="",0,IFERROR(INDEX(CALC!$Z$2:$Z$33,MATCH($K514,CALC!$A$2:$A$33,0)),0))</f>
        <v/>
      </c>
      <c r="AS514" s="2" t="str">
        <f t="array" ref="AS514">IF($K514="",0,IFERROR(INDEX(CALC!$AJ$2:$AJ$33,MATCH($K514,CALC!$A$2:$A$33,0)),0))</f>
        <v/>
      </c>
      <c r="AT514" s="2" t="str">
        <f t="array" ref="AT514">IF($K514="",0,IFERROR(INDEX(CALC!$AI$2:$AI$33,MATCH($K514,CALC!$A$2:$A$33,0)),0))</f>
        <v/>
      </c>
      <c r="AU514" s="2">
        <f t="shared" si="11"/>
        <v>0</v>
      </c>
      <c r="AV514" s="2">
        <f t="shared" si="12"/>
        <v>0</v>
      </c>
    </row>
    <row r="515" ht="15.0" customHeight="1">
      <c r="A515" s="2">
        <v>257.0</v>
      </c>
      <c r="B515" s="2" t="s">
        <v>2365</v>
      </c>
      <c r="C515" s="2">
        <f>IFERROR(MATCH($A515,SchedSeq,0),"")</f>
        <v>542</v>
      </c>
      <c r="D515" s="2" t="str">
        <f t="array" ref="D515">IF($C515="","",INDEX(SchedZone,$C515,MAP!$B$6))</f>
        <v>2026_18_SF_ARI</v>
      </c>
      <c r="E515" s="2">
        <f t="array" ref="E515">IF($C515="","",INDEX(SchedZone,$C515,MAP!$B$3))</f>
        <v>2026</v>
      </c>
      <c r="F515" s="2" t="str">
        <f t="array" ref="F515">IF($C515="","",INDEX(SchedZone,$C515,MAP!$B$5))</f>
        <v>REG</v>
      </c>
      <c r="G515" s="2">
        <f t="array" ref="G515">IF($C515="","",INDEX(SchedZone,$C515,MAP!$B$4))</f>
        <v>18</v>
      </c>
      <c r="H515" s="2" t="str">
        <f t="array" ref="H515">IF($C515="","",INDEX(SchedZone,$C515,MAP!$B$12))</f>
        <v>ARI</v>
      </c>
      <c r="I515" s="2" t="str">
        <f t="array" ref="I515">IF($H515="","",IF(COUNTIF(Teams,$H515)&gt;0,$H515,IFERROR(INDEX(LISTS!$D$2:$D$12,MATCH($H515,LISTS!$C$2:$C$12,0)),"⚠ "&amp;$H515)))</f>
        <v>ARI</v>
      </c>
      <c r="J515" s="2" t="str">
        <f t="array" ref="J515">IF($C515="","",INDEX(SchedZone,$C515,MAP!$B$10))</f>
        <v>SF</v>
      </c>
      <c r="K515" s="2" t="str">
        <f t="array" ref="K515">IF($J515="","",IF(COUNTIF(Teams,$J515)&gt;0,$J515,IFERROR(INDEX(LISTS!$D$2:$D$12,MATCH($J515,LISTS!$C$2:$C$12,0)),"⚠ "&amp;$J515)))</f>
        <v>SF</v>
      </c>
      <c r="L515" s="2" t="str">
        <f t="array" ref="L515">IF($C515="","",IF(INDEX(SchedZone,$C515,MAP!$B$14)="Neutral","N",IF($B515="HOME","H","A")))</f>
        <v>H</v>
      </c>
      <c r="M515" s="2" t="str">
        <f t="array" ref="M515">IF($C515="","",IF(INDEX(SchedZone,$C515,MAP!$B$13)="","",INDEX(SchedZone,$C515,MAP!$B$13)))</f>
        <v/>
      </c>
      <c r="N515" s="2" t="str">
        <f t="array" ref="N515">IF($C515="","",IF(INDEX(SchedZone,$C515,MAP!$B$11)="","",INDEX(SchedZone,$C515,MAP!$B$11)))</f>
        <v/>
      </c>
      <c r="O515" s="2">
        <f t="array" ref="O515">IF($C515="","",INDEX(SchedZone,$C515,MAP!$B$16))</f>
        <v>7</v>
      </c>
      <c r="P515" s="2" t="str">
        <f>IF($C515="","",IFERROR(MATCH($E515&amp;"|"&amp;$G515&amp;"|"&amp;$I515,StatsKey,0),""))</f>
        <v/>
      </c>
      <c r="Q515" s="2">
        <f t="array" ref="Q515">IF($P515="",0,INDEX(StatsZone,$P515,MAP!$E$9)+INDEX(StatsZone,$P515,MAP!$E$10)+INDEX(StatsZone,$P515,MAP!$E$11))</f>
        <v>0</v>
      </c>
      <c r="R515" s="2">
        <f t="array" ref="R515">IF($P515="",0,INDEX(StatsZone,$P515,MAP!$E$12))</f>
        <v>0</v>
      </c>
      <c r="S515" s="2">
        <f t="array" ref="S515">IF($P515="",0,INDEX(StatsZone,$P515,MAP!$E$13))</f>
        <v>0</v>
      </c>
      <c r="T515" s="2">
        <f t="shared" si="1"/>
        <v>0</v>
      </c>
      <c r="U515" s="2">
        <f t="array" ref="U515">IF($P515="",0,INDEX(StatsZone,$P515,MAP!$E$14)+INDEX(StatsZone,$P515,MAP!$E$15)+INDEX(StatsZone,$P515,MAP!$E$16))</f>
        <v>0</v>
      </c>
      <c r="V515" s="2">
        <f t="shared" si="2"/>
        <v>0</v>
      </c>
      <c r="W515" s="2">
        <f t="shared" si="3"/>
        <v>0</v>
      </c>
      <c r="X515" s="2">
        <f t="shared" si="4"/>
        <v>0</v>
      </c>
      <c r="Y515" s="2">
        <f t="shared" si="5"/>
        <v>0</v>
      </c>
      <c r="Z515" s="2">
        <f t="shared" si="6"/>
        <v>0</v>
      </c>
      <c r="AA515" s="2">
        <f t="shared" si="7"/>
        <v>1</v>
      </c>
      <c r="AB515" s="2">
        <f>IF(OR($M515="",$N515=""),0,MEDIAN(-MarginCap,MarginCap,($M515-$N515)-$AA515*HFA_Base))</f>
        <v>0</v>
      </c>
      <c r="AC515" s="2">
        <f t="array" ref="AC515">IF(OR($P515="",INDEX($P$3:$P$722,(ROW()+IF(MOD(ROW()-3,2)=0,1,-1))-3+1)=""),0,MEDIAN(-MarginCap,MarginCap,($T515-$W515)-$AA515*HFA_Base))</f>
        <v>0</v>
      </c>
      <c r="AD515" s="2">
        <f t="shared" si="8"/>
        <v>0</v>
      </c>
      <c r="AE515" s="2">
        <f>IF(OR($M515="",$N515=""),0,IF(AND(WEpa&gt;0,$AD515=1),(1-WEpa)*$AB515+WEpa*$AC515,$AB515))</f>
        <v>0</v>
      </c>
      <c r="AF515" s="2">
        <f>IF(AND($C515&lt;&gt;"",$E515=CurrentSeason,$F515="REG",ISNUMBER($G515),$G515&lt;CurrentWeek,AND($M515&lt;&gt;"",$N515&lt;&gt;"")),1,0)</f>
        <v>0</v>
      </c>
      <c r="AG515" s="2">
        <f>IF($AF515=0,0,IF($G515&gt;=CurrentWeek-RecencyWin,RecencyMult,1))</f>
        <v>0</v>
      </c>
      <c r="AH515" s="2">
        <f>IF(AND($C515&lt;&gt;"",$E515=CurrentSeason,$F515="REG",ISNUMBER($G515),$G515&lt;CurrentWeek-1,AND($M515&lt;&gt;"",$N515&lt;&gt;"")),1,0)</f>
        <v>0</v>
      </c>
      <c r="AI515" s="2">
        <f>IF($AH515=0,0,IF($G515&gt;=CurrentWeek-1-RecencyWin,RecencyMult,1))</f>
        <v>0</v>
      </c>
      <c r="AJ515" s="2">
        <f>IF($AF515=0,0,IF($G515&gt;=CurrentWeek-RecencyWin,TotRecency,1))</f>
        <v>0</v>
      </c>
      <c r="AK515" s="2">
        <f t="shared" si="9"/>
        <v>0</v>
      </c>
      <c r="AL515" s="2">
        <f t="shared" si="10"/>
        <v>0</v>
      </c>
      <c r="AM515" s="2" t="str">
        <f t="array" ref="AM515">IF($K515="",0,IFERROR(INDEX(CALC!$F$2:$F$33,MATCH($K515,CALC!$A$2:$A$33,0)),0))</f>
        <v/>
      </c>
      <c r="AN515" s="2" t="str">
        <f t="array" ref="AN515">IF($K515="",0,IFERROR(INDEX(CALC!$I$2:$I$33,MATCH($K515,CALC!$A$2:$A$33,0)),0))</f>
        <v/>
      </c>
      <c r="AO515" s="2" t="str">
        <f t="array" ref="AO515">IF($K515="",0,IFERROR(INDEX(CALC!$L$2:$L$33,MATCH($K515,CALC!$A$2:$A$33,0)),0))</f>
        <v/>
      </c>
      <c r="AP515" s="2" t="str">
        <f t="array" ref="AP515">IF($K515="",0,IFERROR(INDEX(CALC!$T$2:$T$33,MATCH($K515,CALC!$A$2:$A$33,0)),0))</f>
        <v/>
      </c>
      <c r="AQ515" s="2" t="str">
        <f t="array" ref="AQ515">IF($K515="",0,IFERROR(INDEX(CALC!$W$2:$W$33,MATCH($K515,CALC!$A$2:$A$33,0)),0))</f>
        <v/>
      </c>
      <c r="AR515" s="2" t="str">
        <f t="array" ref="AR515">IF($K515="",0,IFERROR(INDEX(CALC!$Z$2:$Z$33,MATCH($K515,CALC!$A$2:$A$33,0)),0))</f>
        <v/>
      </c>
      <c r="AS515" s="2" t="str">
        <f t="array" ref="AS515">IF($K515="",0,IFERROR(INDEX(CALC!$AJ$2:$AJ$33,MATCH($K515,CALC!$A$2:$A$33,0)),0))</f>
        <v/>
      </c>
      <c r="AT515" s="2" t="str">
        <f t="array" ref="AT515">IF($K515="",0,IFERROR(INDEX(CALC!$AI$2:$AI$33,MATCH($K515,CALC!$A$2:$A$33,0)),0))</f>
        <v/>
      </c>
      <c r="AU515" s="2">
        <f t="shared" si="11"/>
        <v>0</v>
      </c>
      <c r="AV515" s="2">
        <f t="shared" si="12"/>
        <v>0</v>
      </c>
    </row>
    <row r="516" ht="15.0" customHeight="1">
      <c r="A516" s="2">
        <v>257.0</v>
      </c>
      <c r="B516" s="2" t="s">
        <v>2366</v>
      </c>
      <c r="C516" s="2">
        <f>IFERROR(MATCH($A516,SchedSeq,0),"")</f>
        <v>542</v>
      </c>
      <c r="D516" s="2" t="str">
        <f t="array" ref="D516">IF($C516="","",INDEX(SchedZone,$C516,MAP!$B$6))</f>
        <v>2026_18_SF_ARI</v>
      </c>
      <c r="E516" s="2">
        <f t="array" ref="E516">IF($C516="","",INDEX(SchedZone,$C516,MAP!$B$3))</f>
        <v>2026</v>
      </c>
      <c r="F516" s="2" t="str">
        <f t="array" ref="F516">IF($C516="","",INDEX(SchedZone,$C516,MAP!$B$5))</f>
        <v>REG</v>
      </c>
      <c r="G516" s="2">
        <f t="array" ref="G516">IF($C516="","",INDEX(SchedZone,$C516,MAP!$B$4))</f>
        <v>18</v>
      </c>
      <c r="H516" s="2" t="str">
        <f t="array" ref="H516">IF($C516="","",INDEX(SchedZone,$C516,MAP!$B$10))</f>
        <v>SF</v>
      </c>
      <c r="I516" s="2" t="str">
        <f t="array" ref="I516">IF($H516="","",IF(COUNTIF(Teams,$H516)&gt;0,$H516,IFERROR(INDEX(LISTS!$D$2:$D$12,MATCH($H516,LISTS!$C$2:$C$12,0)),"⚠ "&amp;$H516)))</f>
        <v>SF</v>
      </c>
      <c r="J516" s="2" t="str">
        <f t="array" ref="J516">IF($C516="","",INDEX(SchedZone,$C516,MAP!$B$12))</f>
        <v>ARI</v>
      </c>
      <c r="K516" s="2" t="str">
        <f t="array" ref="K516">IF($J516="","",IF(COUNTIF(Teams,$J516)&gt;0,$J516,IFERROR(INDEX(LISTS!$D$2:$D$12,MATCH($J516,LISTS!$C$2:$C$12,0)),"⚠ "&amp;$J516)))</f>
        <v>ARI</v>
      </c>
      <c r="L516" s="2" t="str">
        <f t="array" ref="L516">IF($C516="","",IF(INDEX(SchedZone,$C516,MAP!$B$14)="Neutral","N",IF($B516="HOME","H","A")))</f>
        <v>A</v>
      </c>
      <c r="M516" s="2" t="str">
        <f t="array" ref="M516">IF($C516="","",IF(INDEX(SchedZone,$C516,MAP!$B$11)="","",INDEX(SchedZone,$C516,MAP!$B$11)))</f>
        <v/>
      </c>
      <c r="N516" s="2" t="str">
        <f t="array" ref="N516">IF($C516="","",IF(INDEX(SchedZone,$C516,MAP!$B$13)="","",INDEX(SchedZone,$C516,MAP!$B$13)))</f>
        <v/>
      </c>
      <c r="O516" s="2">
        <f t="array" ref="O516">IF($C516="","",INDEX(SchedZone,$C516,MAP!$B$15))</f>
        <v>7</v>
      </c>
      <c r="P516" s="2" t="str">
        <f>IF($C516="","",IFERROR(MATCH($E516&amp;"|"&amp;$G516&amp;"|"&amp;$I516,StatsKey,0),""))</f>
        <v/>
      </c>
      <c r="Q516" s="2">
        <f t="array" ref="Q516">IF($P516="",0,INDEX(StatsZone,$P516,MAP!$E$9)+INDEX(StatsZone,$P516,MAP!$E$10)+INDEX(StatsZone,$P516,MAP!$E$11))</f>
        <v>0</v>
      </c>
      <c r="R516" s="2">
        <f t="array" ref="R516">IF($P516="",0,INDEX(StatsZone,$P516,MAP!$E$12))</f>
        <v>0</v>
      </c>
      <c r="S516" s="2">
        <f t="array" ref="S516">IF($P516="",0,INDEX(StatsZone,$P516,MAP!$E$13))</f>
        <v>0</v>
      </c>
      <c r="T516" s="2">
        <f t="shared" si="1"/>
        <v>0</v>
      </c>
      <c r="U516" s="2">
        <f t="array" ref="U516">IF($P516="",0,INDEX(StatsZone,$P516,MAP!$E$14)+INDEX(StatsZone,$P516,MAP!$E$15)+INDEX(StatsZone,$P516,MAP!$E$16))</f>
        <v>0</v>
      </c>
      <c r="V516" s="2">
        <f t="shared" si="2"/>
        <v>0</v>
      </c>
      <c r="W516" s="2">
        <f t="shared" si="3"/>
        <v>0</v>
      </c>
      <c r="X516" s="2">
        <f t="shared" si="4"/>
        <v>0</v>
      </c>
      <c r="Y516" s="2">
        <f t="shared" si="5"/>
        <v>0</v>
      </c>
      <c r="Z516" s="2">
        <f t="shared" si="6"/>
        <v>0</v>
      </c>
      <c r="AA516" s="2">
        <f t="shared" si="7"/>
        <v>-1</v>
      </c>
      <c r="AB516" s="2">
        <f>IF(OR($M516="",$N516=""),0,MEDIAN(-MarginCap,MarginCap,($M516-$N516)-$AA516*HFA_Base))</f>
        <v>0</v>
      </c>
      <c r="AC516" s="2">
        <f t="array" ref="AC516">IF(OR($P516="",INDEX($P$3:$P$722,(ROW()+IF(MOD(ROW()-3,2)=0,1,-1))-3+1)=""),0,MEDIAN(-MarginCap,MarginCap,($T516-$W516)-$AA516*HFA_Base))</f>
        <v>0</v>
      </c>
      <c r="AD516" s="2">
        <f t="shared" si="8"/>
        <v>0</v>
      </c>
      <c r="AE516" s="2">
        <f>IF(OR($M516="",$N516=""),0,IF(AND(WEpa&gt;0,$AD516=1),(1-WEpa)*$AB516+WEpa*$AC516,$AB516))</f>
        <v>0</v>
      </c>
      <c r="AF516" s="2">
        <f>IF(AND($C516&lt;&gt;"",$E516=CurrentSeason,$F516="REG",ISNUMBER($G516),$G516&lt;CurrentWeek,AND($M516&lt;&gt;"",$N516&lt;&gt;"")),1,0)</f>
        <v>0</v>
      </c>
      <c r="AG516" s="2">
        <f>IF($AF516=0,0,IF($G516&gt;=CurrentWeek-RecencyWin,RecencyMult,1))</f>
        <v>0</v>
      </c>
      <c r="AH516" s="2">
        <f>IF(AND($C516&lt;&gt;"",$E516=CurrentSeason,$F516="REG",ISNUMBER($G516),$G516&lt;CurrentWeek-1,AND($M516&lt;&gt;"",$N516&lt;&gt;"")),1,0)</f>
        <v>0</v>
      </c>
      <c r="AI516" s="2">
        <f>IF($AH516=0,0,IF($G516&gt;=CurrentWeek-1-RecencyWin,RecencyMult,1))</f>
        <v>0</v>
      </c>
      <c r="AJ516" s="2">
        <f>IF($AF516=0,0,IF($G516&gt;=CurrentWeek-RecencyWin,TotRecency,1))</f>
        <v>0</v>
      </c>
      <c r="AK516" s="2">
        <f t="shared" si="9"/>
        <v>0</v>
      </c>
      <c r="AL516" s="2">
        <f t="shared" si="10"/>
        <v>0</v>
      </c>
      <c r="AM516" s="2" t="str">
        <f t="array" ref="AM516">IF($K516="",0,IFERROR(INDEX(CALC!$F$2:$F$33,MATCH($K516,CALC!$A$2:$A$33,0)),0))</f>
        <v/>
      </c>
      <c r="AN516" s="2" t="str">
        <f t="array" ref="AN516">IF($K516="",0,IFERROR(INDEX(CALC!$I$2:$I$33,MATCH($K516,CALC!$A$2:$A$33,0)),0))</f>
        <v/>
      </c>
      <c r="AO516" s="2" t="str">
        <f t="array" ref="AO516">IF($K516="",0,IFERROR(INDEX(CALC!$L$2:$L$33,MATCH($K516,CALC!$A$2:$A$33,0)),0))</f>
        <v/>
      </c>
      <c r="AP516" s="2" t="str">
        <f t="array" ref="AP516">IF($K516="",0,IFERROR(INDEX(CALC!$T$2:$T$33,MATCH($K516,CALC!$A$2:$A$33,0)),0))</f>
        <v/>
      </c>
      <c r="AQ516" s="2" t="str">
        <f t="array" ref="AQ516">IF($K516="",0,IFERROR(INDEX(CALC!$W$2:$W$33,MATCH($K516,CALC!$A$2:$A$33,0)),0))</f>
        <v/>
      </c>
      <c r="AR516" s="2" t="str">
        <f t="array" ref="AR516">IF($K516="",0,IFERROR(INDEX(CALC!$Z$2:$Z$33,MATCH($K516,CALC!$A$2:$A$33,0)),0))</f>
        <v/>
      </c>
      <c r="AS516" s="2" t="str">
        <f t="array" ref="AS516">IF($K516="",0,IFERROR(INDEX(CALC!$AJ$2:$AJ$33,MATCH($K516,CALC!$A$2:$A$33,0)),0))</f>
        <v/>
      </c>
      <c r="AT516" s="2" t="str">
        <f t="array" ref="AT516">IF($K516="",0,IFERROR(INDEX(CALC!$AI$2:$AI$33,MATCH($K516,CALC!$A$2:$A$33,0)),0))</f>
        <v/>
      </c>
      <c r="AU516" s="2">
        <f t="shared" si="11"/>
        <v>0</v>
      </c>
      <c r="AV516" s="2">
        <f t="shared" si="12"/>
        <v>0</v>
      </c>
    </row>
    <row r="517" ht="15.0" customHeight="1">
      <c r="A517" s="2">
        <v>258.0</v>
      </c>
      <c r="B517" s="2" t="s">
        <v>2365</v>
      </c>
      <c r="C517" s="2">
        <f>IFERROR(MATCH($A517,SchedSeq,0),"")</f>
        <v>543</v>
      </c>
      <c r="D517" s="2" t="str">
        <f t="array" ref="D517">IF($C517="","",INDEX(SchedZone,$C517,MAP!$B$6))</f>
        <v>2026_18_PIT_BAL</v>
      </c>
      <c r="E517" s="2">
        <f t="array" ref="E517">IF($C517="","",INDEX(SchedZone,$C517,MAP!$B$3))</f>
        <v>2026</v>
      </c>
      <c r="F517" s="2" t="str">
        <f t="array" ref="F517">IF($C517="","",INDEX(SchedZone,$C517,MAP!$B$5))</f>
        <v>REG</v>
      </c>
      <c r="G517" s="2">
        <f t="array" ref="G517">IF($C517="","",INDEX(SchedZone,$C517,MAP!$B$4))</f>
        <v>18</v>
      </c>
      <c r="H517" s="2" t="str">
        <f t="array" ref="H517">IF($C517="","",INDEX(SchedZone,$C517,MAP!$B$12))</f>
        <v>BAL</v>
      </c>
      <c r="I517" s="2" t="str">
        <f t="array" ref="I517">IF($H517="","",IF(COUNTIF(Teams,$H517)&gt;0,$H517,IFERROR(INDEX(LISTS!$D$2:$D$12,MATCH($H517,LISTS!$C$2:$C$12,0)),"⚠ "&amp;$H517)))</f>
        <v>BAL</v>
      </c>
      <c r="J517" s="2" t="str">
        <f t="array" ref="J517">IF($C517="","",INDEX(SchedZone,$C517,MAP!$B$10))</f>
        <v>PIT</v>
      </c>
      <c r="K517" s="2" t="str">
        <f t="array" ref="K517">IF($J517="","",IF(COUNTIF(Teams,$J517)&gt;0,$J517,IFERROR(INDEX(LISTS!$D$2:$D$12,MATCH($J517,LISTS!$C$2:$C$12,0)),"⚠ "&amp;$J517)))</f>
        <v>PIT</v>
      </c>
      <c r="L517" s="2" t="str">
        <f t="array" ref="L517">IF($C517="","",IF(INDEX(SchedZone,$C517,MAP!$B$14)="Neutral","N",IF($B517="HOME","H","A")))</f>
        <v>H</v>
      </c>
      <c r="M517" s="2" t="str">
        <f t="array" ref="M517">IF($C517="","",IF(INDEX(SchedZone,$C517,MAP!$B$13)="","",INDEX(SchedZone,$C517,MAP!$B$13)))</f>
        <v/>
      </c>
      <c r="N517" s="2" t="str">
        <f t="array" ref="N517">IF($C517="","",IF(INDEX(SchedZone,$C517,MAP!$B$11)="","",INDEX(SchedZone,$C517,MAP!$B$11)))</f>
        <v/>
      </c>
      <c r="O517" s="2">
        <f t="array" ref="O517">IF($C517="","",INDEX(SchedZone,$C517,MAP!$B$16))</f>
        <v>10</v>
      </c>
      <c r="P517" s="2" t="str">
        <f>IF($C517="","",IFERROR(MATCH($E517&amp;"|"&amp;$G517&amp;"|"&amp;$I517,StatsKey,0),""))</f>
        <v/>
      </c>
      <c r="Q517" s="2">
        <f t="array" ref="Q517">IF($P517="",0,INDEX(StatsZone,$P517,MAP!$E$9)+INDEX(StatsZone,$P517,MAP!$E$10)+INDEX(StatsZone,$P517,MAP!$E$11))</f>
        <v>0</v>
      </c>
      <c r="R517" s="2">
        <f t="array" ref="R517">IF($P517="",0,INDEX(StatsZone,$P517,MAP!$E$12))</f>
        <v>0</v>
      </c>
      <c r="S517" s="2">
        <f t="array" ref="S517">IF($P517="",0,INDEX(StatsZone,$P517,MAP!$E$13))</f>
        <v>0</v>
      </c>
      <c r="T517" s="2">
        <f t="shared" si="1"/>
        <v>0</v>
      </c>
      <c r="U517" s="2">
        <f t="array" ref="U517">IF($P517="",0,INDEX(StatsZone,$P517,MAP!$E$14)+INDEX(StatsZone,$P517,MAP!$E$15)+INDEX(StatsZone,$P517,MAP!$E$16))</f>
        <v>0</v>
      </c>
      <c r="V517" s="2">
        <f t="shared" si="2"/>
        <v>0</v>
      </c>
      <c r="W517" s="2">
        <f t="shared" si="3"/>
        <v>0</v>
      </c>
      <c r="X517" s="2">
        <f t="shared" si="4"/>
        <v>0</v>
      </c>
      <c r="Y517" s="2">
        <f t="shared" si="5"/>
        <v>0</v>
      </c>
      <c r="Z517" s="2">
        <f t="shared" si="6"/>
        <v>0</v>
      </c>
      <c r="AA517" s="2">
        <f t="shared" si="7"/>
        <v>1</v>
      </c>
      <c r="AB517" s="2">
        <f>IF(OR($M517="",$N517=""),0,MEDIAN(-MarginCap,MarginCap,($M517-$N517)-$AA517*HFA_Base))</f>
        <v>0</v>
      </c>
      <c r="AC517" s="2">
        <f t="array" ref="AC517">IF(OR($P517="",INDEX($P$3:$P$722,(ROW()+IF(MOD(ROW()-3,2)=0,1,-1))-3+1)=""),0,MEDIAN(-MarginCap,MarginCap,($T517-$W517)-$AA517*HFA_Base))</f>
        <v>0</v>
      </c>
      <c r="AD517" s="2">
        <f t="shared" si="8"/>
        <v>0</v>
      </c>
      <c r="AE517" s="2">
        <f>IF(OR($M517="",$N517=""),0,IF(AND(WEpa&gt;0,$AD517=1),(1-WEpa)*$AB517+WEpa*$AC517,$AB517))</f>
        <v>0</v>
      </c>
      <c r="AF517" s="2">
        <f>IF(AND($C517&lt;&gt;"",$E517=CurrentSeason,$F517="REG",ISNUMBER($G517),$G517&lt;CurrentWeek,AND($M517&lt;&gt;"",$N517&lt;&gt;"")),1,0)</f>
        <v>0</v>
      </c>
      <c r="AG517" s="2">
        <f>IF($AF517=0,0,IF($G517&gt;=CurrentWeek-RecencyWin,RecencyMult,1))</f>
        <v>0</v>
      </c>
      <c r="AH517" s="2">
        <f>IF(AND($C517&lt;&gt;"",$E517=CurrentSeason,$F517="REG",ISNUMBER($G517),$G517&lt;CurrentWeek-1,AND($M517&lt;&gt;"",$N517&lt;&gt;"")),1,0)</f>
        <v>0</v>
      </c>
      <c r="AI517" s="2">
        <f>IF($AH517=0,0,IF($G517&gt;=CurrentWeek-1-RecencyWin,RecencyMult,1))</f>
        <v>0</v>
      </c>
      <c r="AJ517" s="2">
        <f>IF($AF517=0,0,IF($G517&gt;=CurrentWeek-RecencyWin,TotRecency,1))</f>
        <v>0</v>
      </c>
      <c r="AK517" s="2">
        <f t="shared" si="9"/>
        <v>0</v>
      </c>
      <c r="AL517" s="2">
        <f t="shared" si="10"/>
        <v>0</v>
      </c>
      <c r="AM517" s="2" t="str">
        <f t="array" ref="AM517">IF($K517="",0,IFERROR(INDEX(CALC!$F$2:$F$33,MATCH($K517,CALC!$A$2:$A$33,0)),0))</f>
        <v/>
      </c>
      <c r="AN517" s="2" t="str">
        <f t="array" ref="AN517">IF($K517="",0,IFERROR(INDEX(CALC!$I$2:$I$33,MATCH($K517,CALC!$A$2:$A$33,0)),0))</f>
        <v/>
      </c>
      <c r="AO517" s="2" t="str">
        <f t="array" ref="AO517">IF($K517="",0,IFERROR(INDEX(CALC!$L$2:$L$33,MATCH($K517,CALC!$A$2:$A$33,0)),0))</f>
        <v/>
      </c>
      <c r="AP517" s="2" t="str">
        <f t="array" ref="AP517">IF($K517="",0,IFERROR(INDEX(CALC!$T$2:$T$33,MATCH($K517,CALC!$A$2:$A$33,0)),0))</f>
        <v/>
      </c>
      <c r="AQ517" s="2" t="str">
        <f t="array" ref="AQ517">IF($K517="",0,IFERROR(INDEX(CALC!$W$2:$W$33,MATCH($K517,CALC!$A$2:$A$33,0)),0))</f>
        <v/>
      </c>
      <c r="AR517" s="2" t="str">
        <f t="array" ref="AR517">IF($K517="",0,IFERROR(INDEX(CALC!$Z$2:$Z$33,MATCH($K517,CALC!$A$2:$A$33,0)),0))</f>
        <v/>
      </c>
      <c r="AS517" s="2" t="str">
        <f t="array" ref="AS517">IF($K517="",0,IFERROR(INDEX(CALC!$AJ$2:$AJ$33,MATCH($K517,CALC!$A$2:$A$33,0)),0))</f>
        <v/>
      </c>
      <c r="AT517" s="2" t="str">
        <f t="array" ref="AT517">IF($K517="",0,IFERROR(INDEX(CALC!$AI$2:$AI$33,MATCH($K517,CALC!$A$2:$A$33,0)),0))</f>
        <v/>
      </c>
      <c r="AU517" s="2">
        <f t="shared" si="11"/>
        <v>0</v>
      </c>
      <c r="AV517" s="2">
        <f t="shared" si="12"/>
        <v>0</v>
      </c>
    </row>
    <row r="518" ht="15.0" customHeight="1">
      <c r="A518" s="2">
        <v>258.0</v>
      </c>
      <c r="B518" s="2" t="s">
        <v>2366</v>
      </c>
      <c r="C518" s="2">
        <f>IFERROR(MATCH($A518,SchedSeq,0),"")</f>
        <v>543</v>
      </c>
      <c r="D518" s="2" t="str">
        <f t="array" ref="D518">IF($C518="","",INDEX(SchedZone,$C518,MAP!$B$6))</f>
        <v>2026_18_PIT_BAL</v>
      </c>
      <c r="E518" s="2">
        <f t="array" ref="E518">IF($C518="","",INDEX(SchedZone,$C518,MAP!$B$3))</f>
        <v>2026</v>
      </c>
      <c r="F518" s="2" t="str">
        <f t="array" ref="F518">IF($C518="","",INDEX(SchedZone,$C518,MAP!$B$5))</f>
        <v>REG</v>
      </c>
      <c r="G518" s="2">
        <f t="array" ref="G518">IF($C518="","",INDEX(SchedZone,$C518,MAP!$B$4))</f>
        <v>18</v>
      </c>
      <c r="H518" s="2" t="str">
        <f t="array" ref="H518">IF($C518="","",INDEX(SchedZone,$C518,MAP!$B$10))</f>
        <v>PIT</v>
      </c>
      <c r="I518" s="2" t="str">
        <f t="array" ref="I518">IF($H518="","",IF(COUNTIF(Teams,$H518)&gt;0,$H518,IFERROR(INDEX(LISTS!$D$2:$D$12,MATCH($H518,LISTS!$C$2:$C$12,0)),"⚠ "&amp;$H518)))</f>
        <v>PIT</v>
      </c>
      <c r="J518" s="2" t="str">
        <f t="array" ref="J518">IF($C518="","",INDEX(SchedZone,$C518,MAP!$B$12))</f>
        <v>BAL</v>
      </c>
      <c r="K518" s="2" t="str">
        <f t="array" ref="K518">IF($J518="","",IF(COUNTIF(Teams,$J518)&gt;0,$J518,IFERROR(INDEX(LISTS!$D$2:$D$12,MATCH($J518,LISTS!$C$2:$C$12,0)),"⚠ "&amp;$J518)))</f>
        <v>BAL</v>
      </c>
      <c r="L518" s="2" t="str">
        <f t="array" ref="L518">IF($C518="","",IF(INDEX(SchedZone,$C518,MAP!$B$14)="Neutral","N",IF($B518="HOME","H","A")))</f>
        <v>A</v>
      </c>
      <c r="M518" s="2" t="str">
        <f t="array" ref="M518">IF($C518="","",IF(INDEX(SchedZone,$C518,MAP!$B$11)="","",INDEX(SchedZone,$C518,MAP!$B$11)))</f>
        <v/>
      </c>
      <c r="N518" s="2" t="str">
        <f t="array" ref="N518">IF($C518="","",IF(INDEX(SchedZone,$C518,MAP!$B$13)="","",INDEX(SchedZone,$C518,MAP!$B$13)))</f>
        <v/>
      </c>
      <c r="O518" s="2">
        <f t="array" ref="O518">IF($C518="","",INDEX(SchedZone,$C518,MAP!$B$15))</f>
        <v>7</v>
      </c>
      <c r="P518" s="2" t="str">
        <f>IF($C518="","",IFERROR(MATCH($E518&amp;"|"&amp;$G518&amp;"|"&amp;$I518,StatsKey,0),""))</f>
        <v/>
      </c>
      <c r="Q518" s="2">
        <f t="array" ref="Q518">IF($P518="",0,INDEX(StatsZone,$P518,MAP!$E$9)+INDEX(StatsZone,$P518,MAP!$E$10)+INDEX(StatsZone,$P518,MAP!$E$11))</f>
        <v>0</v>
      </c>
      <c r="R518" s="2">
        <f t="array" ref="R518">IF($P518="",0,INDEX(StatsZone,$P518,MAP!$E$12))</f>
        <v>0</v>
      </c>
      <c r="S518" s="2">
        <f t="array" ref="S518">IF($P518="",0,INDEX(StatsZone,$P518,MAP!$E$13))</f>
        <v>0</v>
      </c>
      <c r="T518" s="2">
        <f t="shared" si="1"/>
        <v>0</v>
      </c>
      <c r="U518" s="2">
        <f t="array" ref="U518">IF($P518="",0,INDEX(StatsZone,$P518,MAP!$E$14)+INDEX(StatsZone,$P518,MAP!$E$15)+INDEX(StatsZone,$P518,MAP!$E$16))</f>
        <v>0</v>
      </c>
      <c r="V518" s="2">
        <f t="shared" si="2"/>
        <v>0</v>
      </c>
      <c r="W518" s="2">
        <f t="shared" si="3"/>
        <v>0</v>
      </c>
      <c r="X518" s="2">
        <f t="shared" si="4"/>
        <v>0</v>
      </c>
      <c r="Y518" s="2">
        <f t="shared" si="5"/>
        <v>0</v>
      </c>
      <c r="Z518" s="2">
        <f t="shared" si="6"/>
        <v>0</v>
      </c>
      <c r="AA518" s="2">
        <f t="shared" si="7"/>
        <v>-1</v>
      </c>
      <c r="AB518" s="2">
        <f>IF(OR($M518="",$N518=""),0,MEDIAN(-MarginCap,MarginCap,($M518-$N518)-$AA518*HFA_Base))</f>
        <v>0</v>
      </c>
      <c r="AC518" s="2">
        <f t="array" ref="AC518">IF(OR($P518="",INDEX($P$3:$P$722,(ROW()+IF(MOD(ROW()-3,2)=0,1,-1))-3+1)=""),0,MEDIAN(-MarginCap,MarginCap,($T518-$W518)-$AA518*HFA_Base))</f>
        <v>0</v>
      </c>
      <c r="AD518" s="2">
        <f t="shared" si="8"/>
        <v>0</v>
      </c>
      <c r="AE518" s="2">
        <f>IF(OR($M518="",$N518=""),0,IF(AND(WEpa&gt;0,$AD518=1),(1-WEpa)*$AB518+WEpa*$AC518,$AB518))</f>
        <v>0</v>
      </c>
      <c r="AF518" s="2">
        <f>IF(AND($C518&lt;&gt;"",$E518=CurrentSeason,$F518="REG",ISNUMBER($G518),$G518&lt;CurrentWeek,AND($M518&lt;&gt;"",$N518&lt;&gt;"")),1,0)</f>
        <v>0</v>
      </c>
      <c r="AG518" s="2">
        <f>IF($AF518=0,0,IF($G518&gt;=CurrentWeek-RecencyWin,RecencyMult,1))</f>
        <v>0</v>
      </c>
      <c r="AH518" s="2">
        <f>IF(AND($C518&lt;&gt;"",$E518=CurrentSeason,$F518="REG",ISNUMBER($G518),$G518&lt;CurrentWeek-1,AND($M518&lt;&gt;"",$N518&lt;&gt;"")),1,0)</f>
        <v>0</v>
      </c>
      <c r="AI518" s="2">
        <f>IF($AH518=0,0,IF($G518&gt;=CurrentWeek-1-RecencyWin,RecencyMult,1))</f>
        <v>0</v>
      </c>
      <c r="AJ518" s="2">
        <f>IF($AF518=0,0,IF($G518&gt;=CurrentWeek-RecencyWin,TotRecency,1))</f>
        <v>0</v>
      </c>
      <c r="AK518" s="2">
        <f t="shared" si="9"/>
        <v>0</v>
      </c>
      <c r="AL518" s="2">
        <f t="shared" si="10"/>
        <v>0</v>
      </c>
      <c r="AM518" s="2" t="str">
        <f t="array" ref="AM518">IF($K518="",0,IFERROR(INDEX(CALC!$F$2:$F$33,MATCH($K518,CALC!$A$2:$A$33,0)),0))</f>
        <v/>
      </c>
      <c r="AN518" s="2" t="str">
        <f t="array" ref="AN518">IF($K518="",0,IFERROR(INDEX(CALC!$I$2:$I$33,MATCH($K518,CALC!$A$2:$A$33,0)),0))</f>
        <v/>
      </c>
      <c r="AO518" s="2" t="str">
        <f t="array" ref="AO518">IF($K518="",0,IFERROR(INDEX(CALC!$L$2:$L$33,MATCH($K518,CALC!$A$2:$A$33,0)),0))</f>
        <v/>
      </c>
      <c r="AP518" s="2" t="str">
        <f t="array" ref="AP518">IF($K518="",0,IFERROR(INDEX(CALC!$T$2:$T$33,MATCH($K518,CALC!$A$2:$A$33,0)),0))</f>
        <v/>
      </c>
      <c r="AQ518" s="2" t="str">
        <f t="array" ref="AQ518">IF($K518="",0,IFERROR(INDEX(CALC!$W$2:$W$33,MATCH($K518,CALC!$A$2:$A$33,0)),0))</f>
        <v/>
      </c>
      <c r="AR518" s="2" t="str">
        <f t="array" ref="AR518">IF($K518="",0,IFERROR(INDEX(CALC!$Z$2:$Z$33,MATCH($K518,CALC!$A$2:$A$33,0)),0))</f>
        <v/>
      </c>
      <c r="AS518" s="2" t="str">
        <f t="array" ref="AS518">IF($K518="",0,IFERROR(INDEX(CALC!$AJ$2:$AJ$33,MATCH($K518,CALC!$A$2:$A$33,0)),0))</f>
        <v/>
      </c>
      <c r="AT518" s="2" t="str">
        <f t="array" ref="AT518">IF($K518="",0,IFERROR(INDEX(CALC!$AI$2:$AI$33,MATCH($K518,CALC!$A$2:$A$33,0)),0))</f>
        <v/>
      </c>
      <c r="AU518" s="2">
        <f t="shared" si="11"/>
        <v>0</v>
      </c>
      <c r="AV518" s="2">
        <f t="shared" si="12"/>
        <v>0</v>
      </c>
    </row>
    <row r="519" ht="15.0" customHeight="1">
      <c r="A519" s="2">
        <v>259.0</v>
      </c>
      <c r="B519" s="2" t="s">
        <v>2365</v>
      </c>
      <c r="C519" s="2">
        <f>IFERROR(MATCH($A519,SchedSeq,0),"")</f>
        <v>544</v>
      </c>
      <c r="D519" s="2" t="str">
        <f t="array" ref="D519">IF($C519="","",INDEX(SchedZone,$C519,MAP!$B$6))</f>
        <v>2026_18_NYJ_BUF</v>
      </c>
      <c r="E519" s="2">
        <f t="array" ref="E519">IF($C519="","",INDEX(SchedZone,$C519,MAP!$B$3))</f>
        <v>2026</v>
      </c>
      <c r="F519" s="2" t="str">
        <f t="array" ref="F519">IF($C519="","",INDEX(SchedZone,$C519,MAP!$B$5))</f>
        <v>REG</v>
      </c>
      <c r="G519" s="2">
        <f t="array" ref="G519">IF($C519="","",INDEX(SchedZone,$C519,MAP!$B$4))</f>
        <v>18</v>
      </c>
      <c r="H519" s="2" t="str">
        <f t="array" ref="H519">IF($C519="","",INDEX(SchedZone,$C519,MAP!$B$12))</f>
        <v>BUF</v>
      </c>
      <c r="I519" s="2" t="str">
        <f t="array" ref="I519">IF($H519="","",IF(COUNTIF(Teams,$H519)&gt;0,$H519,IFERROR(INDEX(LISTS!$D$2:$D$12,MATCH($H519,LISTS!$C$2:$C$12,0)),"⚠ "&amp;$H519)))</f>
        <v>BUF</v>
      </c>
      <c r="J519" s="2" t="str">
        <f t="array" ref="J519">IF($C519="","",INDEX(SchedZone,$C519,MAP!$B$10))</f>
        <v>NYJ</v>
      </c>
      <c r="K519" s="2" t="str">
        <f t="array" ref="K519">IF($J519="","",IF(COUNTIF(Teams,$J519)&gt;0,$J519,IFERROR(INDEX(LISTS!$D$2:$D$12,MATCH($J519,LISTS!$C$2:$C$12,0)),"⚠ "&amp;$J519)))</f>
        <v>NYJ</v>
      </c>
      <c r="L519" s="2" t="str">
        <f t="array" ref="L519">IF($C519="","",IF(INDEX(SchedZone,$C519,MAP!$B$14)="Neutral","N",IF($B519="HOME","H","A")))</f>
        <v>H</v>
      </c>
      <c r="M519" s="2" t="str">
        <f t="array" ref="M519">IF($C519="","",IF(INDEX(SchedZone,$C519,MAP!$B$13)="","",INDEX(SchedZone,$C519,MAP!$B$13)))</f>
        <v/>
      </c>
      <c r="N519" s="2" t="str">
        <f t="array" ref="N519">IF($C519="","",IF(INDEX(SchedZone,$C519,MAP!$B$11)="","",INDEX(SchedZone,$C519,MAP!$B$11)))</f>
        <v/>
      </c>
      <c r="O519" s="2">
        <f t="array" ref="O519">IF($C519="","",INDEX(SchedZone,$C519,MAP!$B$16))</f>
        <v>7</v>
      </c>
      <c r="P519" s="2" t="str">
        <f>IF($C519="","",IFERROR(MATCH($E519&amp;"|"&amp;$G519&amp;"|"&amp;$I519,StatsKey,0),""))</f>
        <v/>
      </c>
      <c r="Q519" s="2">
        <f t="array" ref="Q519">IF($P519="",0,INDEX(StatsZone,$P519,MAP!$E$9)+INDEX(StatsZone,$P519,MAP!$E$10)+INDEX(StatsZone,$P519,MAP!$E$11))</f>
        <v>0</v>
      </c>
      <c r="R519" s="2">
        <f t="array" ref="R519">IF($P519="",0,INDEX(StatsZone,$P519,MAP!$E$12))</f>
        <v>0</v>
      </c>
      <c r="S519" s="2">
        <f t="array" ref="S519">IF($P519="",0,INDEX(StatsZone,$P519,MAP!$E$13))</f>
        <v>0</v>
      </c>
      <c r="T519" s="2">
        <f t="shared" si="1"/>
        <v>0</v>
      </c>
      <c r="U519" s="2">
        <f t="array" ref="U519">IF($P519="",0,INDEX(StatsZone,$P519,MAP!$E$14)+INDEX(StatsZone,$P519,MAP!$E$15)+INDEX(StatsZone,$P519,MAP!$E$16))</f>
        <v>0</v>
      </c>
      <c r="V519" s="2">
        <f t="shared" si="2"/>
        <v>0</v>
      </c>
      <c r="W519" s="2">
        <f t="shared" si="3"/>
        <v>0</v>
      </c>
      <c r="X519" s="2">
        <f t="shared" si="4"/>
        <v>0</v>
      </c>
      <c r="Y519" s="2">
        <f t="shared" si="5"/>
        <v>0</v>
      </c>
      <c r="Z519" s="2">
        <f t="shared" si="6"/>
        <v>0</v>
      </c>
      <c r="AA519" s="2">
        <f t="shared" si="7"/>
        <v>1</v>
      </c>
      <c r="AB519" s="2">
        <f>IF(OR($M519="",$N519=""),0,MEDIAN(-MarginCap,MarginCap,($M519-$N519)-$AA519*HFA_Base))</f>
        <v>0</v>
      </c>
      <c r="AC519" s="2">
        <f t="array" ref="AC519">IF(OR($P519="",INDEX($P$3:$P$722,(ROW()+IF(MOD(ROW()-3,2)=0,1,-1))-3+1)=""),0,MEDIAN(-MarginCap,MarginCap,($T519-$W519)-$AA519*HFA_Base))</f>
        <v>0</v>
      </c>
      <c r="AD519" s="2">
        <f t="shared" si="8"/>
        <v>0</v>
      </c>
      <c r="AE519" s="2">
        <f>IF(OR($M519="",$N519=""),0,IF(AND(WEpa&gt;0,$AD519=1),(1-WEpa)*$AB519+WEpa*$AC519,$AB519))</f>
        <v>0</v>
      </c>
      <c r="AF519" s="2">
        <f>IF(AND($C519&lt;&gt;"",$E519=CurrentSeason,$F519="REG",ISNUMBER($G519),$G519&lt;CurrentWeek,AND($M519&lt;&gt;"",$N519&lt;&gt;"")),1,0)</f>
        <v>0</v>
      </c>
      <c r="AG519" s="2">
        <f>IF($AF519=0,0,IF($G519&gt;=CurrentWeek-RecencyWin,RecencyMult,1))</f>
        <v>0</v>
      </c>
      <c r="AH519" s="2">
        <f>IF(AND($C519&lt;&gt;"",$E519=CurrentSeason,$F519="REG",ISNUMBER($G519),$G519&lt;CurrentWeek-1,AND($M519&lt;&gt;"",$N519&lt;&gt;"")),1,0)</f>
        <v>0</v>
      </c>
      <c r="AI519" s="2">
        <f>IF($AH519=0,0,IF($G519&gt;=CurrentWeek-1-RecencyWin,RecencyMult,1))</f>
        <v>0</v>
      </c>
      <c r="AJ519" s="2">
        <f>IF($AF519=0,0,IF($G519&gt;=CurrentWeek-RecencyWin,TotRecency,1))</f>
        <v>0</v>
      </c>
      <c r="AK519" s="2">
        <f t="shared" si="9"/>
        <v>0</v>
      </c>
      <c r="AL519" s="2">
        <f t="shared" si="10"/>
        <v>0</v>
      </c>
      <c r="AM519" s="2" t="str">
        <f t="array" ref="AM519">IF($K519="",0,IFERROR(INDEX(CALC!$F$2:$F$33,MATCH($K519,CALC!$A$2:$A$33,0)),0))</f>
        <v/>
      </c>
      <c r="AN519" s="2" t="str">
        <f t="array" ref="AN519">IF($K519="",0,IFERROR(INDEX(CALC!$I$2:$I$33,MATCH($K519,CALC!$A$2:$A$33,0)),0))</f>
        <v/>
      </c>
      <c r="AO519" s="2" t="str">
        <f t="array" ref="AO519">IF($K519="",0,IFERROR(INDEX(CALC!$L$2:$L$33,MATCH($K519,CALC!$A$2:$A$33,0)),0))</f>
        <v/>
      </c>
      <c r="AP519" s="2" t="str">
        <f t="array" ref="AP519">IF($K519="",0,IFERROR(INDEX(CALC!$T$2:$T$33,MATCH($K519,CALC!$A$2:$A$33,0)),0))</f>
        <v/>
      </c>
      <c r="AQ519" s="2" t="str">
        <f t="array" ref="AQ519">IF($K519="",0,IFERROR(INDEX(CALC!$W$2:$W$33,MATCH($K519,CALC!$A$2:$A$33,0)),0))</f>
        <v/>
      </c>
      <c r="AR519" s="2" t="str">
        <f t="array" ref="AR519">IF($K519="",0,IFERROR(INDEX(CALC!$Z$2:$Z$33,MATCH($K519,CALC!$A$2:$A$33,0)),0))</f>
        <v/>
      </c>
      <c r="AS519" s="2" t="str">
        <f t="array" ref="AS519">IF($K519="",0,IFERROR(INDEX(CALC!$AJ$2:$AJ$33,MATCH($K519,CALC!$A$2:$A$33,0)),0))</f>
        <v/>
      </c>
      <c r="AT519" s="2" t="str">
        <f t="array" ref="AT519">IF($K519="",0,IFERROR(INDEX(CALC!$AI$2:$AI$33,MATCH($K519,CALC!$A$2:$A$33,0)),0))</f>
        <v/>
      </c>
      <c r="AU519" s="2">
        <f t="shared" si="11"/>
        <v>0</v>
      </c>
      <c r="AV519" s="2">
        <f t="shared" si="12"/>
        <v>0</v>
      </c>
    </row>
    <row r="520" ht="15.0" customHeight="1">
      <c r="A520" s="2">
        <v>259.0</v>
      </c>
      <c r="B520" s="2" t="s">
        <v>2366</v>
      </c>
      <c r="C520" s="2">
        <f>IFERROR(MATCH($A520,SchedSeq,0),"")</f>
        <v>544</v>
      </c>
      <c r="D520" s="2" t="str">
        <f t="array" ref="D520">IF($C520="","",INDEX(SchedZone,$C520,MAP!$B$6))</f>
        <v>2026_18_NYJ_BUF</v>
      </c>
      <c r="E520" s="2">
        <f t="array" ref="E520">IF($C520="","",INDEX(SchedZone,$C520,MAP!$B$3))</f>
        <v>2026</v>
      </c>
      <c r="F520" s="2" t="str">
        <f t="array" ref="F520">IF($C520="","",INDEX(SchedZone,$C520,MAP!$B$5))</f>
        <v>REG</v>
      </c>
      <c r="G520" s="2">
        <f t="array" ref="G520">IF($C520="","",INDEX(SchedZone,$C520,MAP!$B$4))</f>
        <v>18</v>
      </c>
      <c r="H520" s="2" t="str">
        <f t="array" ref="H520">IF($C520="","",INDEX(SchedZone,$C520,MAP!$B$10))</f>
        <v>NYJ</v>
      </c>
      <c r="I520" s="2" t="str">
        <f t="array" ref="I520">IF($H520="","",IF(COUNTIF(Teams,$H520)&gt;0,$H520,IFERROR(INDEX(LISTS!$D$2:$D$12,MATCH($H520,LISTS!$C$2:$C$12,0)),"⚠ "&amp;$H520)))</f>
        <v>NYJ</v>
      </c>
      <c r="J520" s="2" t="str">
        <f t="array" ref="J520">IF($C520="","",INDEX(SchedZone,$C520,MAP!$B$12))</f>
        <v>BUF</v>
      </c>
      <c r="K520" s="2" t="str">
        <f t="array" ref="K520">IF($J520="","",IF(COUNTIF(Teams,$J520)&gt;0,$J520,IFERROR(INDEX(LISTS!$D$2:$D$12,MATCH($J520,LISTS!$C$2:$C$12,0)),"⚠ "&amp;$J520)))</f>
        <v>BUF</v>
      </c>
      <c r="L520" s="2" t="str">
        <f t="array" ref="L520">IF($C520="","",IF(INDEX(SchedZone,$C520,MAP!$B$14)="Neutral","N",IF($B520="HOME","H","A")))</f>
        <v>A</v>
      </c>
      <c r="M520" s="2" t="str">
        <f t="array" ref="M520">IF($C520="","",IF(INDEX(SchedZone,$C520,MAP!$B$11)="","",INDEX(SchedZone,$C520,MAP!$B$11)))</f>
        <v/>
      </c>
      <c r="N520" s="2" t="str">
        <f t="array" ref="N520">IF($C520="","",IF(INDEX(SchedZone,$C520,MAP!$B$13)="","",INDEX(SchedZone,$C520,MAP!$B$13)))</f>
        <v/>
      </c>
      <c r="O520" s="2">
        <f t="array" ref="O520">IF($C520="","",INDEX(SchedZone,$C520,MAP!$B$15))</f>
        <v>7</v>
      </c>
      <c r="P520" s="2" t="str">
        <f>IF($C520="","",IFERROR(MATCH($E520&amp;"|"&amp;$G520&amp;"|"&amp;$I520,StatsKey,0),""))</f>
        <v/>
      </c>
      <c r="Q520" s="2">
        <f t="array" ref="Q520">IF($P520="",0,INDEX(StatsZone,$P520,MAP!$E$9)+INDEX(StatsZone,$P520,MAP!$E$10)+INDEX(StatsZone,$P520,MAP!$E$11))</f>
        <v>0</v>
      </c>
      <c r="R520" s="2">
        <f t="array" ref="R520">IF($P520="",0,INDEX(StatsZone,$P520,MAP!$E$12))</f>
        <v>0</v>
      </c>
      <c r="S520" s="2">
        <f t="array" ref="S520">IF($P520="",0,INDEX(StatsZone,$P520,MAP!$E$13))</f>
        <v>0</v>
      </c>
      <c r="T520" s="2">
        <f t="shared" si="1"/>
        <v>0</v>
      </c>
      <c r="U520" s="2">
        <f t="array" ref="U520">IF($P520="",0,INDEX(StatsZone,$P520,MAP!$E$14)+INDEX(StatsZone,$P520,MAP!$E$15)+INDEX(StatsZone,$P520,MAP!$E$16))</f>
        <v>0</v>
      </c>
      <c r="V520" s="2">
        <f t="shared" si="2"/>
        <v>0</v>
      </c>
      <c r="W520" s="2">
        <f t="shared" si="3"/>
        <v>0</v>
      </c>
      <c r="X520" s="2">
        <f t="shared" si="4"/>
        <v>0</v>
      </c>
      <c r="Y520" s="2">
        <f t="shared" si="5"/>
        <v>0</v>
      </c>
      <c r="Z520" s="2">
        <f t="shared" si="6"/>
        <v>0</v>
      </c>
      <c r="AA520" s="2">
        <f t="shared" si="7"/>
        <v>-1</v>
      </c>
      <c r="AB520" s="2">
        <f>IF(OR($M520="",$N520=""),0,MEDIAN(-MarginCap,MarginCap,($M520-$N520)-$AA520*HFA_Base))</f>
        <v>0</v>
      </c>
      <c r="AC520" s="2">
        <f t="array" ref="AC520">IF(OR($P520="",INDEX($P$3:$P$722,(ROW()+IF(MOD(ROW()-3,2)=0,1,-1))-3+1)=""),0,MEDIAN(-MarginCap,MarginCap,($T520-$W520)-$AA520*HFA_Base))</f>
        <v>0</v>
      </c>
      <c r="AD520" s="2">
        <f t="shared" si="8"/>
        <v>0</v>
      </c>
      <c r="AE520" s="2">
        <f>IF(OR($M520="",$N520=""),0,IF(AND(WEpa&gt;0,$AD520=1),(1-WEpa)*$AB520+WEpa*$AC520,$AB520))</f>
        <v>0</v>
      </c>
      <c r="AF520" s="2">
        <f>IF(AND($C520&lt;&gt;"",$E520=CurrentSeason,$F520="REG",ISNUMBER($G520),$G520&lt;CurrentWeek,AND($M520&lt;&gt;"",$N520&lt;&gt;"")),1,0)</f>
        <v>0</v>
      </c>
      <c r="AG520" s="2">
        <f>IF($AF520=0,0,IF($G520&gt;=CurrentWeek-RecencyWin,RecencyMult,1))</f>
        <v>0</v>
      </c>
      <c r="AH520" s="2">
        <f>IF(AND($C520&lt;&gt;"",$E520=CurrentSeason,$F520="REG",ISNUMBER($G520),$G520&lt;CurrentWeek-1,AND($M520&lt;&gt;"",$N520&lt;&gt;"")),1,0)</f>
        <v>0</v>
      </c>
      <c r="AI520" s="2">
        <f>IF($AH520=0,0,IF($G520&gt;=CurrentWeek-1-RecencyWin,RecencyMult,1))</f>
        <v>0</v>
      </c>
      <c r="AJ520" s="2">
        <f>IF($AF520=0,0,IF($G520&gt;=CurrentWeek-RecencyWin,TotRecency,1))</f>
        <v>0</v>
      </c>
      <c r="AK520" s="2">
        <f t="shared" si="9"/>
        <v>0</v>
      </c>
      <c r="AL520" s="2">
        <f t="shared" si="10"/>
        <v>0</v>
      </c>
      <c r="AM520" s="2" t="str">
        <f t="array" ref="AM520">IF($K520="",0,IFERROR(INDEX(CALC!$F$2:$F$33,MATCH($K520,CALC!$A$2:$A$33,0)),0))</f>
        <v/>
      </c>
      <c r="AN520" s="2" t="str">
        <f t="array" ref="AN520">IF($K520="",0,IFERROR(INDEX(CALC!$I$2:$I$33,MATCH($K520,CALC!$A$2:$A$33,0)),0))</f>
        <v/>
      </c>
      <c r="AO520" s="2" t="str">
        <f t="array" ref="AO520">IF($K520="",0,IFERROR(INDEX(CALC!$L$2:$L$33,MATCH($K520,CALC!$A$2:$A$33,0)),0))</f>
        <v/>
      </c>
      <c r="AP520" s="2" t="str">
        <f t="array" ref="AP520">IF($K520="",0,IFERROR(INDEX(CALC!$T$2:$T$33,MATCH($K520,CALC!$A$2:$A$33,0)),0))</f>
        <v/>
      </c>
      <c r="AQ520" s="2" t="str">
        <f t="array" ref="AQ520">IF($K520="",0,IFERROR(INDEX(CALC!$W$2:$W$33,MATCH($K520,CALC!$A$2:$A$33,0)),0))</f>
        <v/>
      </c>
      <c r="AR520" s="2" t="str">
        <f t="array" ref="AR520">IF($K520="",0,IFERROR(INDEX(CALC!$Z$2:$Z$33,MATCH($K520,CALC!$A$2:$A$33,0)),0))</f>
        <v/>
      </c>
      <c r="AS520" s="2" t="str">
        <f t="array" ref="AS520">IF($K520="",0,IFERROR(INDEX(CALC!$AJ$2:$AJ$33,MATCH($K520,CALC!$A$2:$A$33,0)),0))</f>
        <v/>
      </c>
      <c r="AT520" s="2" t="str">
        <f t="array" ref="AT520">IF($K520="",0,IFERROR(INDEX(CALC!$AI$2:$AI$33,MATCH($K520,CALC!$A$2:$A$33,0)),0))</f>
        <v/>
      </c>
      <c r="AU520" s="2">
        <f t="shared" si="11"/>
        <v>0</v>
      </c>
      <c r="AV520" s="2">
        <f t="shared" si="12"/>
        <v>0</v>
      </c>
    </row>
    <row r="521" ht="15.0" customHeight="1">
      <c r="A521" s="2">
        <v>260.0</v>
      </c>
      <c r="B521" s="2" t="s">
        <v>2365</v>
      </c>
      <c r="C521" s="2">
        <f>IFERROR(MATCH($A521,SchedSeq,0),"")</f>
        <v>545</v>
      </c>
      <c r="D521" s="2" t="str">
        <f t="array" ref="D521">IF($C521="","",INDEX(SchedZone,$C521,MAP!$B$6))</f>
        <v>2026_18_ATL_CAR</v>
      </c>
      <c r="E521" s="2">
        <f t="array" ref="E521">IF($C521="","",INDEX(SchedZone,$C521,MAP!$B$3))</f>
        <v>2026</v>
      </c>
      <c r="F521" s="2" t="str">
        <f t="array" ref="F521">IF($C521="","",INDEX(SchedZone,$C521,MAP!$B$5))</f>
        <v>REG</v>
      </c>
      <c r="G521" s="2">
        <f t="array" ref="G521">IF($C521="","",INDEX(SchedZone,$C521,MAP!$B$4))</f>
        <v>18</v>
      </c>
      <c r="H521" s="2" t="str">
        <f t="array" ref="H521">IF($C521="","",INDEX(SchedZone,$C521,MAP!$B$12))</f>
        <v>CAR</v>
      </c>
      <c r="I521" s="2" t="str">
        <f t="array" ref="I521">IF($H521="","",IF(COUNTIF(Teams,$H521)&gt;0,$H521,IFERROR(INDEX(LISTS!$D$2:$D$12,MATCH($H521,LISTS!$C$2:$C$12,0)),"⚠ "&amp;$H521)))</f>
        <v>CAR</v>
      </c>
      <c r="J521" s="2" t="str">
        <f t="array" ref="J521">IF($C521="","",INDEX(SchedZone,$C521,MAP!$B$10))</f>
        <v>ATL</v>
      </c>
      <c r="K521" s="2" t="str">
        <f t="array" ref="K521">IF($J521="","",IF(COUNTIF(Teams,$J521)&gt;0,$J521,IFERROR(INDEX(LISTS!$D$2:$D$12,MATCH($J521,LISTS!$C$2:$C$12,0)),"⚠ "&amp;$J521)))</f>
        <v>ATL</v>
      </c>
      <c r="L521" s="2" t="str">
        <f t="array" ref="L521">IF($C521="","",IF(INDEX(SchedZone,$C521,MAP!$B$14)="Neutral","N",IF($B521="HOME","H","A")))</f>
        <v>H</v>
      </c>
      <c r="M521" s="2" t="str">
        <f t="array" ref="M521">IF($C521="","",IF(INDEX(SchedZone,$C521,MAP!$B$13)="","",INDEX(SchedZone,$C521,MAP!$B$13)))</f>
        <v/>
      </c>
      <c r="N521" s="2" t="str">
        <f t="array" ref="N521">IF($C521="","",IF(INDEX(SchedZone,$C521,MAP!$B$11)="","",INDEX(SchedZone,$C521,MAP!$B$11)))</f>
        <v/>
      </c>
      <c r="O521" s="2">
        <f t="array" ref="O521">IF($C521="","",INDEX(SchedZone,$C521,MAP!$B$16))</f>
        <v>7</v>
      </c>
      <c r="P521" s="2" t="str">
        <f>IF($C521="","",IFERROR(MATCH($E521&amp;"|"&amp;$G521&amp;"|"&amp;$I521,StatsKey,0),""))</f>
        <v/>
      </c>
      <c r="Q521" s="2">
        <f t="array" ref="Q521">IF($P521="",0,INDEX(StatsZone,$P521,MAP!$E$9)+INDEX(StatsZone,$P521,MAP!$E$10)+INDEX(StatsZone,$P521,MAP!$E$11))</f>
        <v>0</v>
      </c>
      <c r="R521" s="2">
        <f t="array" ref="R521">IF($P521="",0,INDEX(StatsZone,$P521,MAP!$E$12))</f>
        <v>0</v>
      </c>
      <c r="S521" s="2">
        <f t="array" ref="S521">IF($P521="",0,INDEX(StatsZone,$P521,MAP!$E$13))</f>
        <v>0</v>
      </c>
      <c r="T521" s="2">
        <f t="shared" si="1"/>
        <v>0</v>
      </c>
      <c r="U521" s="2">
        <f t="array" ref="U521">IF($P521="",0,INDEX(StatsZone,$P521,MAP!$E$14)+INDEX(StatsZone,$P521,MAP!$E$15)+INDEX(StatsZone,$P521,MAP!$E$16))</f>
        <v>0</v>
      </c>
      <c r="V521" s="2">
        <f t="shared" si="2"/>
        <v>0</v>
      </c>
      <c r="W521" s="2">
        <f t="shared" si="3"/>
        <v>0</v>
      </c>
      <c r="X521" s="2">
        <f t="shared" si="4"/>
        <v>0</v>
      </c>
      <c r="Y521" s="2">
        <f t="shared" si="5"/>
        <v>0</v>
      </c>
      <c r="Z521" s="2">
        <f t="shared" si="6"/>
        <v>0</v>
      </c>
      <c r="AA521" s="2">
        <f t="shared" si="7"/>
        <v>1</v>
      </c>
      <c r="AB521" s="2">
        <f>IF(OR($M521="",$N521=""),0,MEDIAN(-MarginCap,MarginCap,($M521-$N521)-$AA521*HFA_Base))</f>
        <v>0</v>
      </c>
      <c r="AC521" s="2">
        <f t="array" ref="AC521">IF(OR($P521="",INDEX($P$3:$P$722,(ROW()+IF(MOD(ROW()-3,2)=0,1,-1))-3+1)=""),0,MEDIAN(-MarginCap,MarginCap,($T521-$W521)-$AA521*HFA_Base))</f>
        <v>0</v>
      </c>
      <c r="AD521" s="2">
        <f t="shared" si="8"/>
        <v>0</v>
      </c>
      <c r="AE521" s="2">
        <f>IF(OR($M521="",$N521=""),0,IF(AND(WEpa&gt;0,$AD521=1),(1-WEpa)*$AB521+WEpa*$AC521,$AB521))</f>
        <v>0</v>
      </c>
      <c r="AF521" s="2">
        <f>IF(AND($C521&lt;&gt;"",$E521=CurrentSeason,$F521="REG",ISNUMBER($G521),$G521&lt;CurrentWeek,AND($M521&lt;&gt;"",$N521&lt;&gt;"")),1,0)</f>
        <v>0</v>
      </c>
      <c r="AG521" s="2">
        <f>IF($AF521=0,0,IF($G521&gt;=CurrentWeek-RecencyWin,RecencyMult,1))</f>
        <v>0</v>
      </c>
      <c r="AH521" s="2">
        <f>IF(AND($C521&lt;&gt;"",$E521=CurrentSeason,$F521="REG",ISNUMBER($G521),$G521&lt;CurrentWeek-1,AND($M521&lt;&gt;"",$N521&lt;&gt;"")),1,0)</f>
        <v>0</v>
      </c>
      <c r="AI521" s="2">
        <f>IF($AH521=0,0,IF($G521&gt;=CurrentWeek-1-RecencyWin,RecencyMult,1))</f>
        <v>0</v>
      </c>
      <c r="AJ521" s="2">
        <f>IF($AF521=0,0,IF($G521&gt;=CurrentWeek-RecencyWin,TotRecency,1))</f>
        <v>0</v>
      </c>
      <c r="AK521" s="2">
        <f t="shared" si="9"/>
        <v>0</v>
      </c>
      <c r="AL521" s="2">
        <f t="shared" si="10"/>
        <v>0</v>
      </c>
      <c r="AM521" s="2" t="str">
        <f t="array" ref="AM521">IF($K521="",0,IFERROR(INDEX(CALC!$F$2:$F$33,MATCH($K521,CALC!$A$2:$A$33,0)),0))</f>
        <v/>
      </c>
      <c r="AN521" s="2" t="str">
        <f t="array" ref="AN521">IF($K521="",0,IFERROR(INDEX(CALC!$I$2:$I$33,MATCH($K521,CALC!$A$2:$A$33,0)),0))</f>
        <v/>
      </c>
      <c r="AO521" s="2" t="str">
        <f t="array" ref="AO521">IF($K521="",0,IFERROR(INDEX(CALC!$L$2:$L$33,MATCH($K521,CALC!$A$2:$A$33,0)),0))</f>
        <v/>
      </c>
      <c r="AP521" s="2" t="str">
        <f t="array" ref="AP521">IF($K521="",0,IFERROR(INDEX(CALC!$T$2:$T$33,MATCH($K521,CALC!$A$2:$A$33,0)),0))</f>
        <v/>
      </c>
      <c r="AQ521" s="2" t="str">
        <f t="array" ref="AQ521">IF($K521="",0,IFERROR(INDEX(CALC!$W$2:$W$33,MATCH($K521,CALC!$A$2:$A$33,0)),0))</f>
        <v/>
      </c>
      <c r="AR521" s="2" t="str">
        <f t="array" ref="AR521">IF($K521="",0,IFERROR(INDEX(CALC!$Z$2:$Z$33,MATCH($K521,CALC!$A$2:$A$33,0)),0))</f>
        <v/>
      </c>
      <c r="AS521" s="2" t="str">
        <f t="array" ref="AS521">IF($K521="",0,IFERROR(INDEX(CALC!$AJ$2:$AJ$33,MATCH($K521,CALC!$A$2:$A$33,0)),0))</f>
        <v/>
      </c>
      <c r="AT521" s="2" t="str">
        <f t="array" ref="AT521">IF($K521="",0,IFERROR(INDEX(CALC!$AI$2:$AI$33,MATCH($K521,CALC!$A$2:$A$33,0)),0))</f>
        <v/>
      </c>
      <c r="AU521" s="2">
        <f t="shared" si="11"/>
        <v>0</v>
      </c>
      <c r="AV521" s="2">
        <f t="shared" si="12"/>
        <v>0</v>
      </c>
    </row>
    <row r="522" ht="15.0" customHeight="1">
      <c r="A522" s="2">
        <v>260.0</v>
      </c>
      <c r="B522" s="2" t="s">
        <v>2366</v>
      </c>
      <c r="C522" s="2">
        <f>IFERROR(MATCH($A522,SchedSeq,0),"")</f>
        <v>545</v>
      </c>
      <c r="D522" s="2" t="str">
        <f t="array" ref="D522">IF($C522="","",INDEX(SchedZone,$C522,MAP!$B$6))</f>
        <v>2026_18_ATL_CAR</v>
      </c>
      <c r="E522" s="2">
        <f t="array" ref="E522">IF($C522="","",INDEX(SchedZone,$C522,MAP!$B$3))</f>
        <v>2026</v>
      </c>
      <c r="F522" s="2" t="str">
        <f t="array" ref="F522">IF($C522="","",INDEX(SchedZone,$C522,MAP!$B$5))</f>
        <v>REG</v>
      </c>
      <c r="G522" s="2">
        <f t="array" ref="G522">IF($C522="","",INDEX(SchedZone,$C522,MAP!$B$4))</f>
        <v>18</v>
      </c>
      <c r="H522" s="2" t="str">
        <f t="array" ref="H522">IF($C522="","",INDEX(SchedZone,$C522,MAP!$B$10))</f>
        <v>ATL</v>
      </c>
      <c r="I522" s="2" t="str">
        <f t="array" ref="I522">IF($H522="","",IF(COUNTIF(Teams,$H522)&gt;0,$H522,IFERROR(INDEX(LISTS!$D$2:$D$12,MATCH($H522,LISTS!$C$2:$C$12,0)),"⚠ "&amp;$H522)))</f>
        <v>ATL</v>
      </c>
      <c r="J522" s="2" t="str">
        <f t="array" ref="J522">IF($C522="","",INDEX(SchedZone,$C522,MAP!$B$12))</f>
        <v>CAR</v>
      </c>
      <c r="K522" s="2" t="str">
        <f t="array" ref="K522">IF($J522="","",IF(COUNTIF(Teams,$J522)&gt;0,$J522,IFERROR(INDEX(LISTS!$D$2:$D$12,MATCH($J522,LISTS!$C$2:$C$12,0)),"⚠ "&amp;$J522)))</f>
        <v>CAR</v>
      </c>
      <c r="L522" s="2" t="str">
        <f t="array" ref="L522">IF($C522="","",IF(INDEX(SchedZone,$C522,MAP!$B$14)="Neutral","N",IF($B522="HOME","H","A")))</f>
        <v>A</v>
      </c>
      <c r="M522" s="2" t="str">
        <f t="array" ref="M522">IF($C522="","",IF(INDEX(SchedZone,$C522,MAP!$B$11)="","",INDEX(SchedZone,$C522,MAP!$B$11)))</f>
        <v/>
      </c>
      <c r="N522" s="2" t="str">
        <f t="array" ref="N522">IF($C522="","",IF(INDEX(SchedZone,$C522,MAP!$B$13)="","",INDEX(SchedZone,$C522,MAP!$B$13)))</f>
        <v/>
      </c>
      <c r="O522" s="2">
        <f t="array" ref="O522">IF($C522="","",INDEX(SchedZone,$C522,MAP!$B$15))</f>
        <v>7</v>
      </c>
      <c r="P522" s="2" t="str">
        <f>IF($C522="","",IFERROR(MATCH($E522&amp;"|"&amp;$G522&amp;"|"&amp;$I522,StatsKey,0),""))</f>
        <v/>
      </c>
      <c r="Q522" s="2">
        <f t="array" ref="Q522">IF($P522="",0,INDEX(StatsZone,$P522,MAP!$E$9)+INDEX(StatsZone,$P522,MAP!$E$10)+INDEX(StatsZone,$P522,MAP!$E$11))</f>
        <v>0</v>
      </c>
      <c r="R522" s="2">
        <f t="array" ref="R522">IF($P522="",0,INDEX(StatsZone,$P522,MAP!$E$12))</f>
        <v>0</v>
      </c>
      <c r="S522" s="2">
        <f t="array" ref="S522">IF($P522="",0,INDEX(StatsZone,$P522,MAP!$E$13))</f>
        <v>0</v>
      </c>
      <c r="T522" s="2">
        <f t="shared" si="1"/>
        <v>0</v>
      </c>
      <c r="U522" s="2">
        <f t="array" ref="U522">IF($P522="",0,INDEX(StatsZone,$P522,MAP!$E$14)+INDEX(StatsZone,$P522,MAP!$E$15)+INDEX(StatsZone,$P522,MAP!$E$16))</f>
        <v>0</v>
      </c>
      <c r="V522" s="2">
        <f t="shared" si="2"/>
        <v>0</v>
      </c>
      <c r="W522" s="2">
        <f t="shared" si="3"/>
        <v>0</v>
      </c>
      <c r="X522" s="2">
        <f t="shared" si="4"/>
        <v>0</v>
      </c>
      <c r="Y522" s="2">
        <f t="shared" si="5"/>
        <v>0</v>
      </c>
      <c r="Z522" s="2">
        <f t="shared" si="6"/>
        <v>0</v>
      </c>
      <c r="AA522" s="2">
        <f t="shared" si="7"/>
        <v>-1</v>
      </c>
      <c r="AB522" s="2">
        <f>IF(OR($M522="",$N522=""),0,MEDIAN(-MarginCap,MarginCap,($M522-$N522)-$AA522*HFA_Base))</f>
        <v>0</v>
      </c>
      <c r="AC522" s="2">
        <f t="array" ref="AC522">IF(OR($P522="",INDEX($P$3:$P$722,(ROW()+IF(MOD(ROW()-3,2)=0,1,-1))-3+1)=""),0,MEDIAN(-MarginCap,MarginCap,($T522-$W522)-$AA522*HFA_Base))</f>
        <v>0</v>
      </c>
      <c r="AD522" s="2">
        <f t="shared" si="8"/>
        <v>0</v>
      </c>
      <c r="AE522" s="2">
        <f>IF(OR($M522="",$N522=""),0,IF(AND(WEpa&gt;0,$AD522=1),(1-WEpa)*$AB522+WEpa*$AC522,$AB522))</f>
        <v>0</v>
      </c>
      <c r="AF522" s="2">
        <f>IF(AND($C522&lt;&gt;"",$E522=CurrentSeason,$F522="REG",ISNUMBER($G522),$G522&lt;CurrentWeek,AND($M522&lt;&gt;"",$N522&lt;&gt;"")),1,0)</f>
        <v>0</v>
      </c>
      <c r="AG522" s="2">
        <f>IF($AF522=0,0,IF($G522&gt;=CurrentWeek-RecencyWin,RecencyMult,1))</f>
        <v>0</v>
      </c>
      <c r="AH522" s="2">
        <f>IF(AND($C522&lt;&gt;"",$E522=CurrentSeason,$F522="REG",ISNUMBER($G522),$G522&lt;CurrentWeek-1,AND($M522&lt;&gt;"",$N522&lt;&gt;"")),1,0)</f>
        <v>0</v>
      </c>
      <c r="AI522" s="2">
        <f>IF($AH522=0,0,IF($G522&gt;=CurrentWeek-1-RecencyWin,RecencyMult,1))</f>
        <v>0</v>
      </c>
      <c r="AJ522" s="2">
        <f>IF($AF522=0,0,IF($G522&gt;=CurrentWeek-RecencyWin,TotRecency,1))</f>
        <v>0</v>
      </c>
      <c r="AK522" s="2">
        <f t="shared" si="9"/>
        <v>0</v>
      </c>
      <c r="AL522" s="2">
        <f t="shared" si="10"/>
        <v>0</v>
      </c>
      <c r="AM522" s="2" t="str">
        <f t="array" ref="AM522">IF($K522="",0,IFERROR(INDEX(CALC!$F$2:$F$33,MATCH($K522,CALC!$A$2:$A$33,0)),0))</f>
        <v/>
      </c>
      <c r="AN522" s="2" t="str">
        <f t="array" ref="AN522">IF($K522="",0,IFERROR(INDEX(CALC!$I$2:$I$33,MATCH($K522,CALC!$A$2:$A$33,0)),0))</f>
        <v/>
      </c>
      <c r="AO522" s="2" t="str">
        <f t="array" ref="AO522">IF($K522="",0,IFERROR(INDEX(CALC!$L$2:$L$33,MATCH($K522,CALC!$A$2:$A$33,0)),0))</f>
        <v/>
      </c>
      <c r="AP522" s="2" t="str">
        <f t="array" ref="AP522">IF($K522="",0,IFERROR(INDEX(CALC!$T$2:$T$33,MATCH($K522,CALC!$A$2:$A$33,0)),0))</f>
        <v/>
      </c>
      <c r="AQ522" s="2" t="str">
        <f t="array" ref="AQ522">IF($K522="",0,IFERROR(INDEX(CALC!$W$2:$W$33,MATCH($K522,CALC!$A$2:$A$33,0)),0))</f>
        <v/>
      </c>
      <c r="AR522" s="2" t="str">
        <f t="array" ref="AR522">IF($K522="",0,IFERROR(INDEX(CALC!$Z$2:$Z$33,MATCH($K522,CALC!$A$2:$A$33,0)),0))</f>
        <v/>
      </c>
      <c r="AS522" s="2" t="str">
        <f t="array" ref="AS522">IF($K522="",0,IFERROR(INDEX(CALC!$AJ$2:$AJ$33,MATCH($K522,CALC!$A$2:$A$33,0)),0))</f>
        <v/>
      </c>
      <c r="AT522" s="2" t="str">
        <f t="array" ref="AT522">IF($K522="",0,IFERROR(INDEX(CALC!$AI$2:$AI$33,MATCH($K522,CALC!$A$2:$A$33,0)),0))</f>
        <v/>
      </c>
      <c r="AU522" s="2">
        <f t="shared" si="11"/>
        <v>0</v>
      </c>
      <c r="AV522" s="2">
        <f t="shared" si="12"/>
        <v>0</v>
      </c>
    </row>
    <row r="523" ht="15.0" customHeight="1">
      <c r="A523" s="2">
        <v>261.0</v>
      </c>
      <c r="B523" s="2" t="s">
        <v>2365</v>
      </c>
      <c r="C523" s="2">
        <f>IFERROR(MATCH($A523,SchedSeq,0),"")</f>
        <v>546</v>
      </c>
      <c r="D523" s="2" t="str">
        <f t="array" ref="D523">IF($C523="","",INDEX(SchedZone,$C523,MAP!$B$6))</f>
        <v>2026_18_CLE_CIN</v>
      </c>
      <c r="E523" s="2">
        <f t="array" ref="E523">IF($C523="","",INDEX(SchedZone,$C523,MAP!$B$3))</f>
        <v>2026</v>
      </c>
      <c r="F523" s="2" t="str">
        <f t="array" ref="F523">IF($C523="","",INDEX(SchedZone,$C523,MAP!$B$5))</f>
        <v>REG</v>
      </c>
      <c r="G523" s="2">
        <f t="array" ref="G523">IF($C523="","",INDEX(SchedZone,$C523,MAP!$B$4))</f>
        <v>18</v>
      </c>
      <c r="H523" s="2" t="str">
        <f t="array" ref="H523">IF($C523="","",INDEX(SchedZone,$C523,MAP!$B$12))</f>
        <v>CIN</v>
      </c>
      <c r="I523" s="2" t="str">
        <f t="array" ref="I523">IF($H523="","",IF(COUNTIF(Teams,$H523)&gt;0,$H523,IFERROR(INDEX(LISTS!$D$2:$D$12,MATCH($H523,LISTS!$C$2:$C$12,0)),"⚠ "&amp;$H523)))</f>
        <v>CIN</v>
      </c>
      <c r="J523" s="2" t="str">
        <f t="array" ref="J523">IF($C523="","",INDEX(SchedZone,$C523,MAP!$B$10))</f>
        <v>CLE</v>
      </c>
      <c r="K523" s="2" t="str">
        <f t="array" ref="K523">IF($J523="","",IF(COUNTIF(Teams,$J523)&gt;0,$J523,IFERROR(INDEX(LISTS!$D$2:$D$12,MATCH($J523,LISTS!$C$2:$C$12,0)),"⚠ "&amp;$J523)))</f>
        <v>CLE</v>
      </c>
      <c r="L523" s="2" t="str">
        <f t="array" ref="L523">IF($C523="","",IF(INDEX(SchedZone,$C523,MAP!$B$14)="Neutral","N",IF($B523="HOME","H","A")))</f>
        <v>H</v>
      </c>
      <c r="M523" s="2" t="str">
        <f t="array" ref="M523">IF($C523="","",IF(INDEX(SchedZone,$C523,MAP!$B$13)="","",INDEX(SchedZone,$C523,MAP!$B$13)))</f>
        <v/>
      </c>
      <c r="N523" s="2" t="str">
        <f t="array" ref="N523">IF($C523="","",IF(INDEX(SchedZone,$C523,MAP!$B$11)="","",INDEX(SchedZone,$C523,MAP!$B$11)))</f>
        <v/>
      </c>
      <c r="O523" s="2">
        <f t="array" ref="O523">IF($C523="","",INDEX(SchedZone,$C523,MAP!$B$16))</f>
        <v>10</v>
      </c>
      <c r="P523" s="2" t="str">
        <f>IF($C523="","",IFERROR(MATCH($E523&amp;"|"&amp;$G523&amp;"|"&amp;$I523,StatsKey,0),""))</f>
        <v/>
      </c>
      <c r="Q523" s="2">
        <f t="array" ref="Q523">IF($P523="",0,INDEX(StatsZone,$P523,MAP!$E$9)+INDEX(StatsZone,$P523,MAP!$E$10)+INDEX(StatsZone,$P523,MAP!$E$11))</f>
        <v>0</v>
      </c>
      <c r="R523" s="2">
        <f t="array" ref="R523">IF($P523="",0,INDEX(StatsZone,$P523,MAP!$E$12))</f>
        <v>0</v>
      </c>
      <c r="S523" s="2">
        <f t="array" ref="S523">IF($P523="",0,INDEX(StatsZone,$P523,MAP!$E$13))</f>
        <v>0</v>
      </c>
      <c r="T523" s="2">
        <f t="shared" si="1"/>
        <v>0</v>
      </c>
      <c r="U523" s="2">
        <f t="array" ref="U523">IF($P523="",0,INDEX(StatsZone,$P523,MAP!$E$14)+INDEX(StatsZone,$P523,MAP!$E$15)+INDEX(StatsZone,$P523,MAP!$E$16))</f>
        <v>0</v>
      </c>
      <c r="V523" s="2">
        <f t="shared" si="2"/>
        <v>0</v>
      </c>
      <c r="W523" s="2">
        <f t="shared" si="3"/>
        <v>0</v>
      </c>
      <c r="X523" s="2">
        <f t="shared" si="4"/>
        <v>0</v>
      </c>
      <c r="Y523" s="2">
        <f t="shared" si="5"/>
        <v>0</v>
      </c>
      <c r="Z523" s="2">
        <f t="shared" si="6"/>
        <v>0</v>
      </c>
      <c r="AA523" s="2">
        <f t="shared" si="7"/>
        <v>1</v>
      </c>
      <c r="AB523" s="2">
        <f>IF(OR($M523="",$N523=""),0,MEDIAN(-MarginCap,MarginCap,($M523-$N523)-$AA523*HFA_Base))</f>
        <v>0</v>
      </c>
      <c r="AC523" s="2">
        <f t="array" ref="AC523">IF(OR($P523="",INDEX($P$3:$P$722,(ROW()+IF(MOD(ROW()-3,2)=0,1,-1))-3+1)=""),0,MEDIAN(-MarginCap,MarginCap,($T523-$W523)-$AA523*HFA_Base))</f>
        <v>0</v>
      </c>
      <c r="AD523" s="2">
        <f t="shared" si="8"/>
        <v>0</v>
      </c>
      <c r="AE523" s="2">
        <f>IF(OR($M523="",$N523=""),0,IF(AND(WEpa&gt;0,$AD523=1),(1-WEpa)*$AB523+WEpa*$AC523,$AB523))</f>
        <v>0</v>
      </c>
      <c r="AF523" s="2">
        <f>IF(AND($C523&lt;&gt;"",$E523=CurrentSeason,$F523="REG",ISNUMBER($G523),$G523&lt;CurrentWeek,AND($M523&lt;&gt;"",$N523&lt;&gt;"")),1,0)</f>
        <v>0</v>
      </c>
      <c r="AG523" s="2">
        <f>IF($AF523=0,0,IF($G523&gt;=CurrentWeek-RecencyWin,RecencyMult,1))</f>
        <v>0</v>
      </c>
      <c r="AH523" s="2">
        <f>IF(AND($C523&lt;&gt;"",$E523=CurrentSeason,$F523="REG",ISNUMBER($G523),$G523&lt;CurrentWeek-1,AND($M523&lt;&gt;"",$N523&lt;&gt;"")),1,0)</f>
        <v>0</v>
      </c>
      <c r="AI523" s="2">
        <f>IF($AH523=0,0,IF($G523&gt;=CurrentWeek-1-RecencyWin,RecencyMult,1))</f>
        <v>0</v>
      </c>
      <c r="AJ523" s="2">
        <f>IF($AF523=0,0,IF($G523&gt;=CurrentWeek-RecencyWin,TotRecency,1))</f>
        <v>0</v>
      </c>
      <c r="AK523" s="2">
        <f t="shared" si="9"/>
        <v>0</v>
      </c>
      <c r="AL523" s="2">
        <f t="shared" si="10"/>
        <v>0</v>
      </c>
      <c r="AM523" s="2" t="str">
        <f t="array" ref="AM523">IF($K523="",0,IFERROR(INDEX(CALC!$F$2:$F$33,MATCH($K523,CALC!$A$2:$A$33,0)),0))</f>
        <v/>
      </c>
      <c r="AN523" s="2" t="str">
        <f t="array" ref="AN523">IF($K523="",0,IFERROR(INDEX(CALC!$I$2:$I$33,MATCH($K523,CALC!$A$2:$A$33,0)),0))</f>
        <v/>
      </c>
      <c r="AO523" s="2" t="str">
        <f t="array" ref="AO523">IF($K523="",0,IFERROR(INDEX(CALC!$L$2:$L$33,MATCH($K523,CALC!$A$2:$A$33,0)),0))</f>
        <v/>
      </c>
      <c r="AP523" s="2" t="str">
        <f t="array" ref="AP523">IF($K523="",0,IFERROR(INDEX(CALC!$T$2:$T$33,MATCH($K523,CALC!$A$2:$A$33,0)),0))</f>
        <v/>
      </c>
      <c r="AQ523" s="2" t="str">
        <f t="array" ref="AQ523">IF($K523="",0,IFERROR(INDEX(CALC!$W$2:$W$33,MATCH($K523,CALC!$A$2:$A$33,0)),0))</f>
        <v/>
      </c>
      <c r="AR523" s="2" t="str">
        <f t="array" ref="AR523">IF($K523="",0,IFERROR(INDEX(CALC!$Z$2:$Z$33,MATCH($K523,CALC!$A$2:$A$33,0)),0))</f>
        <v/>
      </c>
      <c r="AS523" s="2" t="str">
        <f t="array" ref="AS523">IF($K523="",0,IFERROR(INDEX(CALC!$AJ$2:$AJ$33,MATCH($K523,CALC!$A$2:$A$33,0)),0))</f>
        <v/>
      </c>
      <c r="AT523" s="2" t="str">
        <f t="array" ref="AT523">IF($K523="",0,IFERROR(INDEX(CALC!$AI$2:$AI$33,MATCH($K523,CALC!$A$2:$A$33,0)),0))</f>
        <v/>
      </c>
      <c r="AU523" s="2">
        <f t="shared" si="11"/>
        <v>0</v>
      </c>
      <c r="AV523" s="2">
        <f t="shared" si="12"/>
        <v>0</v>
      </c>
    </row>
    <row r="524" ht="15.0" customHeight="1">
      <c r="A524" s="2">
        <v>261.0</v>
      </c>
      <c r="B524" s="2" t="s">
        <v>2366</v>
      </c>
      <c r="C524" s="2">
        <f>IFERROR(MATCH($A524,SchedSeq,0),"")</f>
        <v>546</v>
      </c>
      <c r="D524" s="2" t="str">
        <f t="array" ref="D524">IF($C524="","",INDEX(SchedZone,$C524,MAP!$B$6))</f>
        <v>2026_18_CLE_CIN</v>
      </c>
      <c r="E524" s="2">
        <f t="array" ref="E524">IF($C524="","",INDEX(SchedZone,$C524,MAP!$B$3))</f>
        <v>2026</v>
      </c>
      <c r="F524" s="2" t="str">
        <f t="array" ref="F524">IF($C524="","",INDEX(SchedZone,$C524,MAP!$B$5))</f>
        <v>REG</v>
      </c>
      <c r="G524" s="2">
        <f t="array" ref="G524">IF($C524="","",INDEX(SchedZone,$C524,MAP!$B$4))</f>
        <v>18</v>
      </c>
      <c r="H524" s="2" t="str">
        <f t="array" ref="H524">IF($C524="","",INDEX(SchedZone,$C524,MAP!$B$10))</f>
        <v>CLE</v>
      </c>
      <c r="I524" s="2" t="str">
        <f t="array" ref="I524">IF($H524="","",IF(COUNTIF(Teams,$H524)&gt;0,$H524,IFERROR(INDEX(LISTS!$D$2:$D$12,MATCH($H524,LISTS!$C$2:$C$12,0)),"⚠ "&amp;$H524)))</f>
        <v>CLE</v>
      </c>
      <c r="J524" s="2" t="str">
        <f t="array" ref="J524">IF($C524="","",INDEX(SchedZone,$C524,MAP!$B$12))</f>
        <v>CIN</v>
      </c>
      <c r="K524" s="2" t="str">
        <f t="array" ref="K524">IF($J524="","",IF(COUNTIF(Teams,$J524)&gt;0,$J524,IFERROR(INDEX(LISTS!$D$2:$D$12,MATCH($J524,LISTS!$C$2:$C$12,0)),"⚠ "&amp;$J524)))</f>
        <v>CIN</v>
      </c>
      <c r="L524" s="2" t="str">
        <f t="array" ref="L524">IF($C524="","",IF(INDEX(SchedZone,$C524,MAP!$B$14)="Neutral","N",IF($B524="HOME","H","A")))</f>
        <v>A</v>
      </c>
      <c r="M524" s="2" t="str">
        <f t="array" ref="M524">IF($C524="","",IF(INDEX(SchedZone,$C524,MAP!$B$11)="","",INDEX(SchedZone,$C524,MAP!$B$11)))</f>
        <v/>
      </c>
      <c r="N524" s="2" t="str">
        <f t="array" ref="N524">IF($C524="","",IF(INDEX(SchedZone,$C524,MAP!$B$13)="","",INDEX(SchedZone,$C524,MAP!$B$13)))</f>
        <v/>
      </c>
      <c r="O524" s="2">
        <f t="array" ref="O524">IF($C524="","",INDEX(SchedZone,$C524,MAP!$B$15))</f>
        <v>7</v>
      </c>
      <c r="P524" s="2" t="str">
        <f>IF($C524="","",IFERROR(MATCH($E524&amp;"|"&amp;$G524&amp;"|"&amp;$I524,StatsKey,0),""))</f>
        <v/>
      </c>
      <c r="Q524" s="2">
        <f t="array" ref="Q524">IF($P524="",0,INDEX(StatsZone,$P524,MAP!$E$9)+INDEX(StatsZone,$P524,MAP!$E$10)+INDEX(StatsZone,$P524,MAP!$E$11))</f>
        <v>0</v>
      </c>
      <c r="R524" s="2">
        <f t="array" ref="R524">IF($P524="",0,INDEX(StatsZone,$P524,MAP!$E$12))</f>
        <v>0</v>
      </c>
      <c r="S524" s="2">
        <f t="array" ref="S524">IF($P524="",0,INDEX(StatsZone,$P524,MAP!$E$13))</f>
        <v>0</v>
      </c>
      <c r="T524" s="2">
        <f t="shared" si="1"/>
        <v>0</v>
      </c>
      <c r="U524" s="2">
        <f t="array" ref="U524">IF($P524="",0,INDEX(StatsZone,$P524,MAP!$E$14)+INDEX(StatsZone,$P524,MAP!$E$15)+INDEX(StatsZone,$P524,MAP!$E$16))</f>
        <v>0</v>
      </c>
      <c r="V524" s="2">
        <f t="shared" si="2"/>
        <v>0</v>
      </c>
      <c r="W524" s="2">
        <f t="shared" si="3"/>
        <v>0</v>
      </c>
      <c r="X524" s="2">
        <f t="shared" si="4"/>
        <v>0</v>
      </c>
      <c r="Y524" s="2">
        <f t="shared" si="5"/>
        <v>0</v>
      </c>
      <c r="Z524" s="2">
        <f t="shared" si="6"/>
        <v>0</v>
      </c>
      <c r="AA524" s="2">
        <f t="shared" si="7"/>
        <v>-1</v>
      </c>
      <c r="AB524" s="2">
        <f>IF(OR($M524="",$N524=""),0,MEDIAN(-MarginCap,MarginCap,($M524-$N524)-$AA524*HFA_Base))</f>
        <v>0</v>
      </c>
      <c r="AC524" s="2">
        <f t="array" ref="AC524">IF(OR($P524="",INDEX($P$3:$P$722,(ROW()+IF(MOD(ROW()-3,2)=0,1,-1))-3+1)=""),0,MEDIAN(-MarginCap,MarginCap,($T524-$W524)-$AA524*HFA_Base))</f>
        <v>0</v>
      </c>
      <c r="AD524" s="2">
        <f t="shared" si="8"/>
        <v>0</v>
      </c>
      <c r="AE524" s="2">
        <f>IF(OR($M524="",$N524=""),0,IF(AND(WEpa&gt;0,$AD524=1),(1-WEpa)*$AB524+WEpa*$AC524,$AB524))</f>
        <v>0</v>
      </c>
      <c r="AF524" s="2">
        <f>IF(AND($C524&lt;&gt;"",$E524=CurrentSeason,$F524="REG",ISNUMBER($G524),$G524&lt;CurrentWeek,AND($M524&lt;&gt;"",$N524&lt;&gt;"")),1,0)</f>
        <v>0</v>
      </c>
      <c r="AG524" s="2">
        <f>IF($AF524=0,0,IF($G524&gt;=CurrentWeek-RecencyWin,RecencyMult,1))</f>
        <v>0</v>
      </c>
      <c r="AH524" s="2">
        <f>IF(AND($C524&lt;&gt;"",$E524=CurrentSeason,$F524="REG",ISNUMBER($G524),$G524&lt;CurrentWeek-1,AND($M524&lt;&gt;"",$N524&lt;&gt;"")),1,0)</f>
        <v>0</v>
      </c>
      <c r="AI524" s="2">
        <f>IF($AH524=0,0,IF($G524&gt;=CurrentWeek-1-RecencyWin,RecencyMult,1))</f>
        <v>0</v>
      </c>
      <c r="AJ524" s="2">
        <f>IF($AF524=0,0,IF($G524&gt;=CurrentWeek-RecencyWin,TotRecency,1))</f>
        <v>0</v>
      </c>
      <c r="AK524" s="2">
        <f t="shared" si="9"/>
        <v>0</v>
      </c>
      <c r="AL524" s="2">
        <f t="shared" si="10"/>
        <v>0</v>
      </c>
      <c r="AM524" s="2" t="str">
        <f t="array" ref="AM524">IF($K524="",0,IFERROR(INDEX(CALC!$F$2:$F$33,MATCH($K524,CALC!$A$2:$A$33,0)),0))</f>
        <v/>
      </c>
      <c r="AN524" s="2" t="str">
        <f t="array" ref="AN524">IF($K524="",0,IFERROR(INDEX(CALC!$I$2:$I$33,MATCH($K524,CALC!$A$2:$A$33,0)),0))</f>
        <v/>
      </c>
      <c r="AO524" s="2" t="str">
        <f t="array" ref="AO524">IF($K524="",0,IFERROR(INDEX(CALC!$L$2:$L$33,MATCH($K524,CALC!$A$2:$A$33,0)),0))</f>
        <v/>
      </c>
      <c r="AP524" s="2" t="str">
        <f t="array" ref="AP524">IF($K524="",0,IFERROR(INDEX(CALC!$T$2:$T$33,MATCH($K524,CALC!$A$2:$A$33,0)),0))</f>
        <v/>
      </c>
      <c r="AQ524" s="2" t="str">
        <f t="array" ref="AQ524">IF($K524="",0,IFERROR(INDEX(CALC!$W$2:$W$33,MATCH($K524,CALC!$A$2:$A$33,0)),0))</f>
        <v/>
      </c>
      <c r="AR524" s="2" t="str">
        <f t="array" ref="AR524">IF($K524="",0,IFERROR(INDEX(CALC!$Z$2:$Z$33,MATCH($K524,CALC!$A$2:$A$33,0)),0))</f>
        <v/>
      </c>
      <c r="AS524" s="2" t="str">
        <f t="array" ref="AS524">IF($K524="",0,IFERROR(INDEX(CALC!$AJ$2:$AJ$33,MATCH($K524,CALC!$A$2:$A$33,0)),0))</f>
        <v/>
      </c>
      <c r="AT524" s="2" t="str">
        <f t="array" ref="AT524">IF($K524="",0,IFERROR(INDEX(CALC!$AI$2:$AI$33,MATCH($K524,CALC!$A$2:$A$33,0)),0))</f>
        <v/>
      </c>
      <c r="AU524" s="2">
        <f t="shared" si="11"/>
        <v>0</v>
      </c>
      <c r="AV524" s="2">
        <f t="shared" si="12"/>
        <v>0</v>
      </c>
    </row>
    <row r="525" ht="15.0" customHeight="1">
      <c r="A525" s="2">
        <v>262.0</v>
      </c>
      <c r="B525" s="2" t="s">
        <v>2365</v>
      </c>
      <c r="C525" s="2">
        <f>IFERROR(MATCH($A525,SchedSeq,0),"")</f>
        <v>547</v>
      </c>
      <c r="D525" s="2" t="str">
        <f t="array" ref="D525">IF($C525="","",INDEX(SchedZone,$C525,MAP!$B$6))</f>
        <v>2026_18_LAC_DEN</v>
      </c>
      <c r="E525" s="2">
        <f t="array" ref="E525">IF($C525="","",INDEX(SchedZone,$C525,MAP!$B$3))</f>
        <v>2026</v>
      </c>
      <c r="F525" s="2" t="str">
        <f t="array" ref="F525">IF($C525="","",INDEX(SchedZone,$C525,MAP!$B$5))</f>
        <v>REG</v>
      </c>
      <c r="G525" s="2">
        <f t="array" ref="G525">IF($C525="","",INDEX(SchedZone,$C525,MAP!$B$4))</f>
        <v>18</v>
      </c>
      <c r="H525" s="2" t="str">
        <f t="array" ref="H525">IF($C525="","",INDEX(SchedZone,$C525,MAP!$B$12))</f>
        <v>DEN</v>
      </c>
      <c r="I525" s="2" t="str">
        <f t="array" ref="I525">IF($H525="","",IF(COUNTIF(Teams,$H525)&gt;0,$H525,IFERROR(INDEX(LISTS!$D$2:$D$12,MATCH($H525,LISTS!$C$2:$C$12,0)),"⚠ "&amp;$H525)))</f>
        <v>DEN</v>
      </c>
      <c r="J525" s="2" t="str">
        <f t="array" ref="J525">IF($C525="","",INDEX(SchedZone,$C525,MAP!$B$10))</f>
        <v>LAC</v>
      </c>
      <c r="K525" s="2" t="str">
        <f t="array" ref="K525">IF($J525="","",IF(COUNTIF(Teams,$J525)&gt;0,$J525,IFERROR(INDEX(LISTS!$D$2:$D$12,MATCH($J525,LISTS!$C$2:$C$12,0)),"⚠ "&amp;$J525)))</f>
        <v>LAC</v>
      </c>
      <c r="L525" s="2" t="str">
        <f t="array" ref="L525">IF($C525="","",IF(INDEX(SchedZone,$C525,MAP!$B$14)="Neutral","N",IF($B525="HOME","H","A")))</f>
        <v>H</v>
      </c>
      <c r="M525" s="2" t="str">
        <f t="array" ref="M525">IF($C525="","",IF(INDEX(SchedZone,$C525,MAP!$B$13)="","",INDEX(SchedZone,$C525,MAP!$B$13)))</f>
        <v/>
      </c>
      <c r="N525" s="2" t="str">
        <f t="array" ref="N525">IF($C525="","",IF(INDEX(SchedZone,$C525,MAP!$B$11)="","",INDEX(SchedZone,$C525,MAP!$B$11)))</f>
        <v/>
      </c>
      <c r="O525" s="2">
        <f t="array" ref="O525">IF($C525="","",INDEX(SchedZone,$C525,MAP!$B$16))</f>
        <v>7</v>
      </c>
      <c r="P525" s="2" t="str">
        <f>IF($C525="","",IFERROR(MATCH($E525&amp;"|"&amp;$G525&amp;"|"&amp;$I525,StatsKey,0),""))</f>
        <v/>
      </c>
      <c r="Q525" s="2">
        <f t="array" ref="Q525">IF($P525="",0,INDEX(StatsZone,$P525,MAP!$E$9)+INDEX(StatsZone,$P525,MAP!$E$10)+INDEX(StatsZone,$P525,MAP!$E$11))</f>
        <v>0</v>
      </c>
      <c r="R525" s="2">
        <f t="array" ref="R525">IF($P525="",0,INDEX(StatsZone,$P525,MAP!$E$12))</f>
        <v>0</v>
      </c>
      <c r="S525" s="2">
        <f t="array" ref="S525">IF($P525="",0,INDEX(StatsZone,$P525,MAP!$E$13))</f>
        <v>0</v>
      </c>
      <c r="T525" s="2">
        <f t="shared" si="1"/>
        <v>0</v>
      </c>
      <c r="U525" s="2">
        <f t="array" ref="U525">IF($P525="",0,INDEX(StatsZone,$P525,MAP!$E$14)+INDEX(StatsZone,$P525,MAP!$E$15)+INDEX(StatsZone,$P525,MAP!$E$16))</f>
        <v>0</v>
      </c>
      <c r="V525" s="2">
        <f t="shared" si="2"/>
        <v>0</v>
      </c>
      <c r="W525" s="2">
        <f t="shared" si="3"/>
        <v>0</v>
      </c>
      <c r="X525" s="2">
        <f t="shared" si="4"/>
        <v>0</v>
      </c>
      <c r="Y525" s="2">
        <f t="shared" si="5"/>
        <v>0</v>
      </c>
      <c r="Z525" s="2">
        <f t="shared" si="6"/>
        <v>0</v>
      </c>
      <c r="AA525" s="2">
        <f t="shared" si="7"/>
        <v>1</v>
      </c>
      <c r="AB525" s="2">
        <f>IF(OR($M525="",$N525=""),0,MEDIAN(-MarginCap,MarginCap,($M525-$N525)-$AA525*HFA_Base))</f>
        <v>0</v>
      </c>
      <c r="AC525" s="2">
        <f t="array" ref="AC525">IF(OR($P525="",INDEX($P$3:$P$722,(ROW()+IF(MOD(ROW()-3,2)=0,1,-1))-3+1)=""),0,MEDIAN(-MarginCap,MarginCap,($T525-$W525)-$AA525*HFA_Base))</f>
        <v>0</v>
      </c>
      <c r="AD525" s="2">
        <f t="shared" si="8"/>
        <v>0</v>
      </c>
      <c r="AE525" s="2">
        <f>IF(OR($M525="",$N525=""),0,IF(AND(WEpa&gt;0,$AD525=1),(1-WEpa)*$AB525+WEpa*$AC525,$AB525))</f>
        <v>0</v>
      </c>
      <c r="AF525" s="2">
        <f>IF(AND($C525&lt;&gt;"",$E525=CurrentSeason,$F525="REG",ISNUMBER($G525),$G525&lt;CurrentWeek,AND($M525&lt;&gt;"",$N525&lt;&gt;"")),1,0)</f>
        <v>0</v>
      </c>
      <c r="AG525" s="2">
        <f>IF($AF525=0,0,IF($G525&gt;=CurrentWeek-RecencyWin,RecencyMult,1))</f>
        <v>0</v>
      </c>
      <c r="AH525" s="2">
        <f>IF(AND($C525&lt;&gt;"",$E525=CurrentSeason,$F525="REG",ISNUMBER($G525),$G525&lt;CurrentWeek-1,AND($M525&lt;&gt;"",$N525&lt;&gt;"")),1,0)</f>
        <v>0</v>
      </c>
      <c r="AI525" s="2">
        <f>IF($AH525=0,0,IF($G525&gt;=CurrentWeek-1-RecencyWin,RecencyMult,1))</f>
        <v>0</v>
      </c>
      <c r="AJ525" s="2">
        <f>IF($AF525=0,0,IF($G525&gt;=CurrentWeek-RecencyWin,TotRecency,1))</f>
        <v>0</v>
      </c>
      <c r="AK525" s="2">
        <f t="shared" si="9"/>
        <v>0</v>
      </c>
      <c r="AL525" s="2">
        <f t="shared" si="10"/>
        <v>0</v>
      </c>
      <c r="AM525" s="2" t="str">
        <f t="array" ref="AM525">IF($K525="",0,IFERROR(INDEX(CALC!$F$2:$F$33,MATCH($K525,CALC!$A$2:$A$33,0)),0))</f>
        <v/>
      </c>
      <c r="AN525" s="2" t="str">
        <f t="array" ref="AN525">IF($K525="",0,IFERROR(INDEX(CALC!$I$2:$I$33,MATCH($K525,CALC!$A$2:$A$33,0)),0))</f>
        <v/>
      </c>
      <c r="AO525" s="2" t="str">
        <f t="array" ref="AO525">IF($K525="",0,IFERROR(INDEX(CALC!$L$2:$L$33,MATCH($K525,CALC!$A$2:$A$33,0)),0))</f>
        <v/>
      </c>
      <c r="AP525" s="2" t="str">
        <f t="array" ref="AP525">IF($K525="",0,IFERROR(INDEX(CALC!$T$2:$T$33,MATCH($K525,CALC!$A$2:$A$33,0)),0))</f>
        <v/>
      </c>
      <c r="AQ525" s="2" t="str">
        <f t="array" ref="AQ525">IF($K525="",0,IFERROR(INDEX(CALC!$W$2:$W$33,MATCH($K525,CALC!$A$2:$A$33,0)),0))</f>
        <v/>
      </c>
      <c r="AR525" s="2" t="str">
        <f t="array" ref="AR525">IF($K525="",0,IFERROR(INDEX(CALC!$Z$2:$Z$33,MATCH($K525,CALC!$A$2:$A$33,0)),0))</f>
        <v/>
      </c>
      <c r="AS525" s="2" t="str">
        <f t="array" ref="AS525">IF($K525="",0,IFERROR(INDEX(CALC!$AJ$2:$AJ$33,MATCH($K525,CALC!$A$2:$A$33,0)),0))</f>
        <v/>
      </c>
      <c r="AT525" s="2" t="str">
        <f t="array" ref="AT525">IF($K525="",0,IFERROR(INDEX(CALC!$AI$2:$AI$33,MATCH($K525,CALC!$A$2:$A$33,0)),0))</f>
        <v/>
      </c>
      <c r="AU525" s="2">
        <f t="shared" si="11"/>
        <v>0</v>
      </c>
      <c r="AV525" s="2">
        <f t="shared" si="12"/>
        <v>0</v>
      </c>
    </row>
    <row r="526" ht="15.0" customHeight="1">
      <c r="A526" s="2">
        <v>262.0</v>
      </c>
      <c r="B526" s="2" t="s">
        <v>2366</v>
      </c>
      <c r="C526" s="2">
        <f>IFERROR(MATCH($A526,SchedSeq,0),"")</f>
        <v>547</v>
      </c>
      <c r="D526" s="2" t="str">
        <f t="array" ref="D526">IF($C526="","",INDEX(SchedZone,$C526,MAP!$B$6))</f>
        <v>2026_18_LAC_DEN</v>
      </c>
      <c r="E526" s="2">
        <f t="array" ref="E526">IF($C526="","",INDEX(SchedZone,$C526,MAP!$B$3))</f>
        <v>2026</v>
      </c>
      <c r="F526" s="2" t="str">
        <f t="array" ref="F526">IF($C526="","",INDEX(SchedZone,$C526,MAP!$B$5))</f>
        <v>REG</v>
      </c>
      <c r="G526" s="2">
        <f t="array" ref="G526">IF($C526="","",INDEX(SchedZone,$C526,MAP!$B$4))</f>
        <v>18</v>
      </c>
      <c r="H526" s="2" t="str">
        <f t="array" ref="H526">IF($C526="","",INDEX(SchedZone,$C526,MAP!$B$10))</f>
        <v>LAC</v>
      </c>
      <c r="I526" s="2" t="str">
        <f t="array" ref="I526">IF($H526="","",IF(COUNTIF(Teams,$H526)&gt;0,$H526,IFERROR(INDEX(LISTS!$D$2:$D$12,MATCH($H526,LISTS!$C$2:$C$12,0)),"⚠ "&amp;$H526)))</f>
        <v>LAC</v>
      </c>
      <c r="J526" s="2" t="str">
        <f t="array" ref="J526">IF($C526="","",INDEX(SchedZone,$C526,MAP!$B$12))</f>
        <v>DEN</v>
      </c>
      <c r="K526" s="2" t="str">
        <f t="array" ref="K526">IF($J526="","",IF(COUNTIF(Teams,$J526)&gt;0,$J526,IFERROR(INDEX(LISTS!$D$2:$D$12,MATCH($J526,LISTS!$C$2:$C$12,0)),"⚠ "&amp;$J526)))</f>
        <v>DEN</v>
      </c>
      <c r="L526" s="2" t="str">
        <f t="array" ref="L526">IF($C526="","",IF(INDEX(SchedZone,$C526,MAP!$B$14)="Neutral","N",IF($B526="HOME","H","A")))</f>
        <v>A</v>
      </c>
      <c r="M526" s="2" t="str">
        <f t="array" ref="M526">IF($C526="","",IF(INDEX(SchedZone,$C526,MAP!$B$11)="","",INDEX(SchedZone,$C526,MAP!$B$11)))</f>
        <v/>
      </c>
      <c r="N526" s="2" t="str">
        <f t="array" ref="N526">IF($C526="","",IF(INDEX(SchedZone,$C526,MAP!$B$13)="","",INDEX(SchedZone,$C526,MAP!$B$13)))</f>
        <v/>
      </c>
      <c r="O526" s="2">
        <f t="array" ref="O526">IF($C526="","",INDEX(SchedZone,$C526,MAP!$B$15))</f>
        <v>7</v>
      </c>
      <c r="P526" s="2" t="str">
        <f>IF($C526="","",IFERROR(MATCH($E526&amp;"|"&amp;$G526&amp;"|"&amp;$I526,StatsKey,0),""))</f>
        <v/>
      </c>
      <c r="Q526" s="2">
        <f t="array" ref="Q526">IF($P526="",0,INDEX(StatsZone,$P526,MAP!$E$9)+INDEX(StatsZone,$P526,MAP!$E$10)+INDEX(StatsZone,$P526,MAP!$E$11))</f>
        <v>0</v>
      </c>
      <c r="R526" s="2">
        <f t="array" ref="R526">IF($P526="",0,INDEX(StatsZone,$P526,MAP!$E$12))</f>
        <v>0</v>
      </c>
      <c r="S526" s="2">
        <f t="array" ref="S526">IF($P526="",0,INDEX(StatsZone,$P526,MAP!$E$13))</f>
        <v>0</v>
      </c>
      <c r="T526" s="2">
        <f t="shared" si="1"/>
        <v>0</v>
      </c>
      <c r="U526" s="2">
        <f t="array" ref="U526">IF($P526="",0,INDEX(StatsZone,$P526,MAP!$E$14)+INDEX(StatsZone,$P526,MAP!$E$15)+INDEX(StatsZone,$P526,MAP!$E$16))</f>
        <v>0</v>
      </c>
      <c r="V526" s="2">
        <f t="shared" si="2"/>
        <v>0</v>
      </c>
      <c r="W526" s="2">
        <f t="shared" si="3"/>
        <v>0</v>
      </c>
      <c r="X526" s="2">
        <f t="shared" si="4"/>
        <v>0</v>
      </c>
      <c r="Y526" s="2">
        <f t="shared" si="5"/>
        <v>0</v>
      </c>
      <c r="Z526" s="2">
        <f t="shared" si="6"/>
        <v>0</v>
      </c>
      <c r="AA526" s="2">
        <f t="shared" si="7"/>
        <v>-1</v>
      </c>
      <c r="AB526" s="2">
        <f>IF(OR($M526="",$N526=""),0,MEDIAN(-MarginCap,MarginCap,($M526-$N526)-$AA526*HFA_Base))</f>
        <v>0</v>
      </c>
      <c r="AC526" s="2">
        <f t="array" ref="AC526">IF(OR($P526="",INDEX($P$3:$P$722,(ROW()+IF(MOD(ROW()-3,2)=0,1,-1))-3+1)=""),0,MEDIAN(-MarginCap,MarginCap,($T526-$W526)-$AA526*HFA_Base))</f>
        <v>0</v>
      </c>
      <c r="AD526" s="2">
        <f t="shared" si="8"/>
        <v>0</v>
      </c>
      <c r="AE526" s="2">
        <f>IF(OR($M526="",$N526=""),0,IF(AND(WEpa&gt;0,$AD526=1),(1-WEpa)*$AB526+WEpa*$AC526,$AB526))</f>
        <v>0</v>
      </c>
      <c r="AF526" s="2">
        <f>IF(AND($C526&lt;&gt;"",$E526=CurrentSeason,$F526="REG",ISNUMBER($G526),$G526&lt;CurrentWeek,AND($M526&lt;&gt;"",$N526&lt;&gt;"")),1,0)</f>
        <v>0</v>
      </c>
      <c r="AG526" s="2">
        <f>IF($AF526=0,0,IF($G526&gt;=CurrentWeek-RecencyWin,RecencyMult,1))</f>
        <v>0</v>
      </c>
      <c r="AH526" s="2">
        <f>IF(AND($C526&lt;&gt;"",$E526=CurrentSeason,$F526="REG",ISNUMBER($G526),$G526&lt;CurrentWeek-1,AND($M526&lt;&gt;"",$N526&lt;&gt;"")),1,0)</f>
        <v>0</v>
      </c>
      <c r="AI526" s="2">
        <f>IF($AH526=0,0,IF($G526&gt;=CurrentWeek-1-RecencyWin,RecencyMult,1))</f>
        <v>0</v>
      </c>
      <c r="AJ526" s="2">
        <f>IF($AF526=0,0,IF($G526&gt;=CurrentWeek-RecencyWin,TotRecency,1))</f>
        <v>0</v>
      </c>
      <c r="AK526" s="2">
        <f t="shared" si="9"/>
        <v>0</v>
      </c>
      <c r="AL526" s="2">
        <f t="shared" si="10"/>
        <v>0</v>
      </c>
      <c r="AM526" s="2" t="str">
        <f t="array" ref="AM526">IF($K526="",0,IFERROR(INDEX(CALC!$F$2:$F$33,MATCH($K526,CALC!$A$2:$A$33,0)),0))</f>
        <v/>
      </c>
      <c r="AN526" s="2" t="str">
        <f t="array" ref="AN526">IF($K526="",0,IFERROR(INDEX(CALC!$I$2:$I$33,MATCH($K526,CALC!$A$2:$A$33,0)),0))</f>
        <v/>
      </c>
      <c r="AO526" s="2" t="str">
        <f t="array" ref="AO526">IF($K526="",0,IFERROR(INDEX(CALC!$L$2:$L$33,MATCH($K526,CALC!$A$2:$A$33,0)),0))</f>
        <v/>
      </c>
      <c r="AP526" s="2" t="str">
        <f t="array" ref="AP526">IF($K526="",0,IFERROR(INDEX(CALC!$T$2:$T$33,MATCH($K526,CALC!$A$2:$A$33,0)),0))</f>
        <v/>
      </c>
      <c r="AQ526" s="2" t="str">
        <f t="array" ref="AQ526">IF($K526="",0,IFERROR(INDEX(CALC!$W$2:$W$33,MATCH($K526,CALC!$A$2:$A$33,0)),0))</f>
        <v/>
      </c>
      <c r="AR526" s="2" t="str">
        <f t="array" ref="AR526">IF($K526="",0,IFERROR(INDEX(CALC!$Z$2:$Z$33,MATCH($K526,CALC!$A$2:$A$33,0)),0))</f>
        <v/>
      </c>
      <c r="AS526" s="2" t="str">
        <f t="array" ref="AS526">IF($K526="",0,IFERROR(INDEX(CALC!$AJ$2:$AJ$33,MATCH($K526,CALC!$A$2:$A$33,0)),0))</f>
        <v/>
      </c>
      <c r="AT526" s="2" t="str">
        <f t="array" ref="AT526">IF($K526="",0,IFERROR(INDEX(CALC!$AI$2:$AI$33,MATCH($K526,CALC!$A$2:$A$33,0)),0))</f>
        <v/>
      </c>
      <c r="AU526" s="2">
        <f t="shared" si="11"/>
        <v>0</v>
      </c>
      <c r="AV526" s="2">
        <f t="shared" si="12"/>
        <v>0</v>
      </c>
    </row>
    <row r="527" ht="15.0" customHeight="1">
      <c r="A527" s="2">
        <v>263.0</v>
      </c>
      <c r="B527" s="2" t="s">
        <v>2365</v>
      </c>
      <c r="C527" s="2">
        <f>IFERROR(MATCH($A527,SchedSeq,0),"")</f>
        <v>548</v>
      </c>
      <c r="D527" s="2" t="str">
        <f t="array" ref="D527">IF($C527="","",INDEX(SchedZone,$C527,MAP!$B$6))</f>
        <v>2026_18_DET_GB</v>
      </c>
      <c r="E527" s="2">
        <f t="array" ref="E527">IF($C527="","",INDEX(SchedZone,$C527,MAP!$B$3))</f>
        <v>2026</v>
      </c>
      <c r="F527" s="2" t="str">
        <f t="array" ref="F527">IF($C527="","",INDEX(SchedZone,$C527,MAP!$B$5))</f>
        <v>REG</v>
      </c>
      <c r="G527" s="2">
        <f t="array" ref="G527">IF($C527="","",INDEX(SchedZone,$C527,MAP!$B$4))</f>
        <v>18</v>
      </c>
      <c r="H527" s="2" t="str">
        <f t="array" ref="H527">IF($C527="","",INDEX(SchedZone,$C527,MAP!$B$12))</f>
        <v>GB</v>
      </c>
      <c r="I527" s="2" t="str">
        <f t="array" ref="I527">IF($H527="","",IF(COUNTIF(Teams,$H527)&gt;0,$H527,IFERROR(INDEX(LISTS!$D$2:$D$12,MATCH($H527,LISTS!$C$2:$C$12,0)),"⚠ "&amp;$H527)))</f>
        <v>GB</v>
      </c>
      <c r="J527" s="2" t="str">
        <f t="array" ref="J527">IF($C527="","",INDEX(SchedZone,$C527,MAP!$B$10))</f>
        <v>DET</v>
      </c>
      <c r="K527" s="2" t="str">
        <f t="array" ref="K527">IF($J527="","",IF(COUNTIF(Teams,$J527)&gt;0,$J527,IFERROR(INDEX(LISTS!$D$2:$D$12,MATCH($J527,LISTS!$C$2:$C$12,0)),"⚠ "&amp;$J527)))</f>
        <v>DET</v>
      </c>
      <c r="L527" s="2" t="str">
        <f t="array" ref="L527">IF($C527="","",IF(INDEX(SchedZone,$C527,MAP!$B$14)="Neutral","N",IF($B527="HOME","H","A")))</f>
        <v>H</v>
      </c>
      <c r="M527" s="2" t="str">
        <f t="array" ref="M527">IF($C527="","",IF(INDEX(SchedZone,$C527,MAP!$B$13)="","",INDEX(SchedZone,$C527,MAP!$B$13)))</f>
        <v/>
      </c>
      <c r="N527" s="2" t="str">
        <f t="array" ref="N527">IF($C527="","",IF(INDEX(SchedZone,$C527,MAP!$B$11)="","",INDEX(SchedZone,$C527,MAP!$B$11)))</f>
        <v/>
      </c>
      <c r="O527" s="2">
        <f t="array" ref="O527">IF($C527="","",INDEX(SchedZone,$C527,MAP!$B$16))</f>
        <v>6</v>
      </c>
      <c r="P527" s="2" t="str">
        <f>IF($C527="","",IFERROR(MATCH($E527&amp;"|"&amp;$G527&amp;"|"&amp;$I527,StatsKey,0),""))</f>
        <v/>
      </c>
      <c r="Q527" s="2">
        <f t="array" ref="Q527">IF($P527="",0,INDEX(StatsZone,$P527,MAP!$E$9)+INDEX(StatsZone,$P527,MAP!$E$10)+INDEX(StatsZone,$P527,MAP!$E$11))</f>
        <v>0</v>
      </c>
      <c r="R527" s="2">
        <f t="array" ref="R527">IF($P527="",0,INDEX(StatsZone,$P527,MAP!$E$12))</f>
        <v>0</v>
      </c>
      <c r="S527" s="2">
        <f t="array" ref="S527">IF($P527="",0,INDEX(StatsZone,$P527,MAP!$E$13))</f>
        <v>0</v>
      </c>
      <c r="T527" s="2">
        <f t="shared" si="1"/>
        <v>0</v>
      </c>
      <c r="U527" s="2">
        <f t="array" ref="U527">IF($P527="",0,INDEX(StatsZone,$P527,MAP!$E$14)+INDEX(StatsZone,$P527,MAP!$E$15)+INDEX(StatsZone,$P527,MAP!$E$16))</f>
        <v>0</v>
      </c>
      <c r="V527" s="2">
        <f t="shared" si="2"/>
        <v>0</v>
      </c>
      <c r="W527" s="2">
        <f t="shared" si="3"/>
        <v>0</v>
      </c>
      <c r="X527" s="2">
        <f t="shared" si="4"/>
        <v>0</v>
      </c>
      <c r="Y527" s="2">
        <f t="shared" si="5"/>
        <v>0</v>
      </c>
      <c r="Z527" s="2">
        <f t="shared" si="6"/>
        <v>0</v>
      </c>
      <c r="AA527" s="2">
        <f t="shared" si="7"/>
        <v>1</v>
      </c>
      <c r="AB527" s="2">
        <f>IF(OR($M527="",$N527=""),0,MEDIAN(-MarginCap,MarginCap,($M527-$N527)-$AA527*HFA_Base))</f>
        <v>0</v>
      </c>
      <c r="AC527" s="2">
        <f t="array" ref="AC527">IF(OR($P527="",INDEX($P$3:$P$722,(ROW()+IF(MOD(ROW()-3,2)=0,1,-1))-3+1)=""),0,MEDIAN(-MarginCap,MarginCap,($T527-$W527)-$AA527*HFA_Base))</f>
        <v>0</v>
      </c>
      <c r="AD527" s="2">
        <f t="shared" si="8"/>
        <v>0</v>
      </c>
      <c r="AE527" s="2">
        <f>IF(OR($M527="",$N527=""),0,IF(AND(WEpa&gt;0,$AD527=1),(1-WEpa)*$AB527+WEpa*$AC527,$AB527))</f>
        <v>0</v>
      </c>
      <c r="AF527" s="2">
        <f>IF(AND($C527&lt;&gt;"",$E527=CurrentSeason,$F527="REG",ISNUMBER($G527),$G527&lt;CurrentWeek,AND($M527&lt;&gt;"",$N527&lt;&gt;"")),1,0)</f>
        <v>0</v>
      </c>
      <c r="AG527" s="2">
        <f>IF($AF527=0,0,IF($G527&gt;=CurrentWeek-RecencyWin,RecencyMult,1))</f>
        <v>0</v>
      </c>
      <c r="AH527" s="2">
        <f>IF(AND($C527&lt;&gt;"",$E527=CurrentSeason,$F527="REG",ISNUMBER($G527),$G527&lt;CurrentWeek-1,AND($M527&lt;&gt;"",$N527&lt;&gt;"")),1,0)</f>
        <v>0</v>
      </c>
      <c r="AI527" s="2">
        <f>IF($AH527=0,0,IF($G527&gt;=CurrentWeek-1-RecencyWin,RecencyMult,1))</f>
        <v>0</v>
      </c>
      <c r="AJ527" s="2">
        <f>IF($AF527=0,0,IF($G527&gt;=CurrentWeek-RecencyWin,TotRecency,1))</f>
        <v>0</v>
      </c>
      <c r="AK527" s="2">
        <f t="shared" si="9"/>
        <v>0</v>
      </c>
      <c r="AL527" s="2">
        <f t="shared" si="10"/>
        <v>0</v>
      </c>
      <c r="AM527" s="2" t="str">
        <f t="array" ref="AM527">IF($K527="",0,IFERROR(INDEX(CALC!$F$2:$F$33,MATCH($K527,CALC!$A$2:$A$33,0)),0))</f>
        <v/>
      </c>
      <c r="AN527" s="2" t="str">
        <f t="array" ref="AN527">IF($K527="",0,IFERROR(INDEX(CALC!$I$2:$I$33,MATCH($K527,CALC!$A$2:$A$33,0)),0))</f>
        <v/>
      </c>
      <c r="AO527" s="2" t="str">
        <f t="array" ref="AO527">IF($K527="",0,IFERROR(INDEX(CALC!$L$2:$L$33,MATCH($K527,CALC!$A$2:$A$33,0)),0))</f>
        <v/>
      </c>
      <c r="AP527" s="2" t="str">
        <f t="array" ref="AP527">IF($K527="",0,IFERROR(INDEX(CALC!$T$2:$T$33,MATCH($K527,CALC!$A$2:$A$33,0)),0))</f>
        <v/>
      </c>
      <c r="AQ527" s="2" t="str">
        <f t="array" ref="AQ527">IF($K527="",0,IFERROR(INDEX(CALC!$W$2:$W$33,MATCH($K527,CALC!$A$2:$A$33,0)),0))</f>
        <v/>
      </c>
      <c r="AR527" s="2" t="str">
        <f t="array" ref="AR527">IF($K527="",0,IFERROR(INDEX(CALC!$Z$2:$Z$33,MATCH($K527,CALC!$A$2:$A$33,0)),0))</f>
        <v/>
      </c>
      <c r="AS527" s="2" t="str">
        <f t="array" ref="AS527">IF($K527="",0,IFERROR(INDEX(CALC!$AJ$2:$AJ$33,MATCH($K527,CALC!$A$2:$A$33,0)),0))</f>
        <v/>
      </c>
      <c r="AT527" s="2" t="str">
        <f t="array" ref="AT527">IF($K527="",0,IFERROR(INDEX(CALC!$AI$2:$AI$33,MATCH($K527,CALC!$A$2:$A$33,0)),0))</f>
        <v/>
      </c>
      <c r="AU527" s="2">
        <f t="shared" si="11"/>
        <v>0</v>
      </c>
      <c r="AV527" s="2">
        <f t="shared" si="12"/>
        <v>0</v>
      </c>
    </row>
    <row r="528" ht="15.0" customHeight="1">
      <c r="A528" s="2">
        <v>263.0</v>
      </c>
      <c r="B528" s="2" t="s">
        <v>2366</v>
      </c>
      <c r="C528" s="2">
        <f>IFERROR(MATCH($A528,SchedSeq,0),"")</f>
        <v>548</v>
      </c>
      <c r="D528" s="2" t="str">
        <f t="array" ref="D528">IF($C528="","",INDEX(SchedZone,$C528,MAP!$B$6))</f>
        <v>2026_18_DET_GB</v>
      </c>
      <c r="E528" s="2">
        <f t="array" ref="E528">IF($C528="","",INDEX(SchedZone,$C528,MAP!$B$3))</f>
        <v>2026</v>
      </c>
      <c r="F528" s="2" t="str">
        <f t="array" ref="F528">IF($C528="","",INDEX(SchedZone,$C528,MAP!$B$5))</f>
        <v>REG</v>
      </c>
      <c r="G528" s="2">
        <f t="array" ref="G528">IF($C528="","",INDEX(SchedZone,$C528,MAP!$B$4))</f>
        <v>18</v>
      </c>
      <c r="H528" s="2" t="str">
        <f t="array" ref="H528">IF($C528="","",INDEX(SchedZone,$C528,MAP!$B$10))</f>
        <v>DET</v>
      </c>
      <c r="I528" s="2" t="str">
        <f t="array" ref="I528">IF($H528="","",IF(COUNTIF(Teams,$H528)&gt;0,$H528,IFERROR(INDEX(LISTS!$D$2:$D$12,MATCH($H528,LISTS!$C$2:$C$12,0)),"⚠ "&amp;$H528)))</f>
        <v>DET</v>
      </c>
      <c r="J528" s="2" t="str">
        <f t="array" ref="J528">IF($C528="","",INDEX(SchedZone,$C528,MAP!$B$12))</f>
        <v>GB</v>
      </c>
      <c r="K528" s="2" t="str">
        <f t="array" ref="K528">IF($J528="","",IF(COUNTIF(Teams,$J528)&gt;0,$J528,IFERROR(INDEX(LISTS!$D$2:$D$12,MATCH($J528,LISTS!$C$2:$C$12,0)),"⚠ "&amp;$J528)))</f>
        <v>GB</v>
      </c>
      <c r="L528" s="2" t="str">
        <f t="array" ref="L528">IF($C528="","",IF(INDEX(SchedZone,$C528,MAP!$B$14)="Neutral","N",IF($B528="HOME","H","A")))</f>
        <v>A</v>
      </c>
      <c r="M528" s="2" t="str">
        <f t="array" ref="M528">IF($C528="","",IF(INDEX(SchedZone,$C528,MAP!$B$11)="","",INDEX(SchedZone,$C528,MAP!$B$11)))</f>
        <v/>
      </c>
      <c r="N528" s="2" t="str">
        <f t="array" ref="N528">IF($C528="","",IF(INDEX(SchedZone,$C528,MAP!$B$13)="","",INDEX(SchedZone,$C528,MAP!$B$13)))</f>
        <v/>
      </c>
      <c r="O528" s="2">
        <f t="array" ref="O528">IF($C528="","",INDEX(SchedZone,$C528,MAP!$B$15))</f>
        <v>7</v>
      </c>
      <c r="P528" s="2" t="str">
        <f>IF($C528="","",IFERROR(MATCH($E528&amp;"|"&amp;$G528&amp;"|"&amp;$I528,StatsKey,0),""))</f>
        <v/>
      </c>
      <c r="Q528" s="2">
        <f t="array" ref="Q528">IF($P528="",0,INDEX(StatsZone,$P528,MAP!$E$9)+INDEX(StatsZone,$P528,MAP!$E$10)+INDEX(StatsZone,$P528,MAP!$E$11))</f>
        <v>0</v>
      </c>
      <c r="R528" s="2">
        <f t="array" ref="R528">IF($P528="",0,INDEX(StatsZone,$P528,MAP!$E$12))</f>
        <v>0</v>
      </c>
      <c r="S528" s="2">
        <f t="array" ref="S528">IF($P528="",0,INDEX(StatsZone,$P528,MAP!$E$13))</f>
        <v>0</v>
      </c>
      <c r="T528" s="2">
        <f t="shared" si="1"/>
        <v>0</v>
      </c>
      <c r="U528" s="2">
        <f t="array" ref="U528">IF($P528="",0,INDEX(StatsZone,$P528,MAP!$E$14)+INDEX(StatsZone,$P528,MAP!$E$15)+INDEX(StatsZone,$P528,MAP!$E$16))</f>
        <v>0</v>
      </c>
      <c r="V528" s="2">
        <f t="shared" si="2"/>
        <v>0</v>
      </c>
      <c r="W528" s="2">
        <f t="shared" si="3"/>
        <v>0</v>
      </c>
      <c r="X528" s="2">
        <f t="shared" si="4"/>
        <v>0</v>
      </c>
      <c r="Y528" s="2">
        <f t="shared" si="5"/>
        <v>0</v>
      </c>
      <c r="Z528" s="2">
        <f t="shared" si="6"/>
        <v>0</v>
      </c>
      <c r="AA528" s="2">
        <f t="shared" si="7"/>
        <v>-1</v>
      </c>
      <c r="AB528" s="2">
        <f>IF(OR($M528="",$N528=""),0,MEDIAN(-MarginCap,MarginCap,($M528-$N528)-$AA528*HFA_Base))</f>
        <v>0</v>
      </c>
      <c r="AC528" s="2">
        <f t="array" ref="AC528">IF(OR($P528="",INDEX($P$3:$P$722,(ROW()+IF(MOD(ROW()-3,2)=0,1,-1))-3+1)=""),0,MEDIAN(-MarginCap,MarginCap,($T528-$W528)-$AA528*HFA_Base))</f>
        <v>0</v>
      </c>
      <c r="AD528" s="2">
        <f t="shared" si="8"/>
        <v>0</v>
      </c>
      <c r="AE528" s="2">
        <f>IF(OR($M528="",$N528=""),0,IF(AND(WEpa&gt;0,$AD528=1),(1-WEpa)*$AB528+WEpa*$AC528,$AB528))</f>
        <v>0</v>
      </c>
      <c r="AF528" s="2">
        <f>IF(AND($C528&lt;&gt;"",$E528=CurrentSeason,$F528="REG",ISNUMBER($G528),$G528&lt;CurrentWeek,AND($M528&lt;&gt;"",$N528&lt;&gt;"")),1,0)</f>
        <v>0</v>
      </c>
      <c r="AG528" s="2">
        <f>IF($AF528=0,0,IF($G528&gt;=CurrentWeek-RecencyWin,RecencyMult,1))</f>
        <v>0</v>
      </c>
      <c r="AH528" s="2">
        <f>IF(AND($C528&lt;&gt;"",$E528=CurrentSeason,$F528="REG",ISNUMBER($G528),$G528&lt;CurrentWeek-1,AND($M528&lt;&gt;"",$N528&lt;&gt;"")),1,0)</f>
        <v>0</v>
      </c>
      <c r="AI528" s="2">
        <f>IF($AH528=0,0,IF($G528&gt;=CurrentWeek-1-RecencyWin,RecencyMult,1))</f>
        <v>0</v>
      </c>
      <c r="AJ528" s="2">
        <f>IF($AF528=0,0,IF($G528&gt;=CurrentWeek-RecencyWin,TotRecency,1))</f>
        <v>0</v>
      </c>
      <c r="AK528" s="2">
        <f t="shared" si="9"/>
        <v>0</v>
      </c>
      <c r="AL528" s="2">
        <f t="shared" si="10"/>
        <v>0</v>
      </c>
      <c r="AM528" s="2" t="str">
        <f t="array" ref="AM528">IF($K528="",0,IFERROR(INDEX(CALC!$F$2:$F$33,MATCH($K528,CALC!$A$2:$A$33,0)),0))</f>
        <v/>
      </c>
      <c r="AN528" s="2" t="str">
        <f t="array" ref="AN528">IF($K528="",0,IFERROR(INDEX(CALC!$I$2:$I$33,MATCH($K528,CALC!$A$2:$A$33,0)),0))</f>
        <v/>
      </c>
      <c r="AO528" s="2" t="str">
        <f t="array" ref="AO528">IF($K528="",0,IFERROR(INDEX(CALC!$L$2:$L$33,MATCH($K528,CALC!$A$2:$A$33,0)),0))</f>
        <v/>
      </c>
      <c r="AP528" s="2" t="str">
        <f t="array" ref="AP528">IF($K528="",0,IFERROR(INDEX(CALC!$T$2:$T$33,MATCH($K528,CALC!$A$2:$A$33,0)),0))</f>
        <v/>
      </c>
      <c r="AQ528" s="2" t="str">
        <f t="array" ref="AQ528">IF($K528="",0,IFERROR(INDEX(CALC!$W$2:$W$33,MATCH($K528,CALC!$A$2:$A$33,0)),0))</f>
        <v/>
      </c>
      <c r="AR528" s="2" t="str">
        <f t="array" ref="AR528">IF($K528="",0,IFERROR(INDEX(CALC!$Z$2:$Z$33,MATCH($K528,CALC!$A$2:$A$33,0)),0))</f>
        <v/>
      </c>
      <c r="AS528" s="2" t="str">
        <f t="array" ref="AS528">IF($K528="",0,IFERROR(INDEX(CALC!$AJ$2:$AJ$33,MATCH($K528,CALC!$A$2:$A$33,0)),0))</f>
        <v/>
      </c>
      <c r="AT528" s="2" t="str">
        <f t="array" ref="AT528">IF($K528="",0,IFERROR(INDEX(CALC!$AI$2:$AI$33,MATCH($K528,CALC!$A$2:$A$33,0)),0))</f>
        <v/>
      </c>
      <c r="AU528" s="2">
        <f t="shared" si="11"/>
        <v>0</v>
      </c>
      <c r="AV528" s="2">
        <f t="shared" si="12"/>
        <v>0</v>
      </c>
    </row>
    <row r="529" ht="15.0" customHeight="1">
      <c r="A529" s="2">
        <v>264.0</v>
      </c>
      <c r="B529" s="2" t="s">
        <v>2365</v>
      </c>
      <c r="C529" s="2">
        <f>IFERROR(MATCH($A529,SchedSeq,0),"")</f>
        <v>549</v>
      </c>
      <c r="D529" s="2" t="str">
        <f t="array" ref="D529">IF($C529="","",INDEX(SchedZone,$C529,MAP!$B$6))</f>
        <v>2026_18_TEN_HOU</v>
      </c>
      <c r="E529" s="2">
        <f t="array" ref="E529">IF($C529="","",INDEX(SchedZone,$C529,MAP!$B$3))</f>
        <v>2026</v>
      </c>
      <c r="F529" s="2" t="str">
        <f t="array" ref="F529">IF($C529="","",INDEX(SchedZone,$C529,MAP!$B$5))</f>
        <v>REG</v>
      </c>
      <c r="G529" s="2">
        <f t="array" ref="G529">IF($C529="","",INDEX(SchedZone,$C529,MAP!$B$4))</f>
        <v>18</v>
      </c>
      <c r="H529" s="2" t="str">
        <f t="array" ref="H529">IF($C529="","",INDEX(SchedZone,$C529,MAP!$B$12))</f>
        <v>HOU</v>
      </c>
      <c r="I529" s="2" t="str">
        <f t="array" ref="I529">IF($H529="","",IF(COUNTIF(Teams,$H529)&gt;0,$H529,IFERROR(INDEX(LISTS!$D$2:$D$12,MATCH($H529,LISTS!$C$2:$C$12,0)),"⚠ "&amp;$H529)))</f>
        <v>HOU</v>
      </c>
      <c r="J529" s="2" t="str">
        <f t="array" ref="J529">IF($C529="","",INDEX(SchedZone,$C529,MAP!$B$10))</f>
        <v>TEN</v>
      </c>
      <c r="K529" s="2" t="str">
        <f t="array" ref="K529">IF($J529="","",IF(COUNTIF(Teams,$J529)&gt;0,$J529,IFERROR(INDEX(LISTS!$D$2:$D$12,MATCH($J529,LISTS!$C$2:$C$12,0)),"⚠ "&amp;$J529)))</f>
        <v>TEN</v>
      </c>
      <c r="L529" s="2" t="str">
        <f t="array" ref="L529">IF($C529="","",IF(INDEX(SchedZone,$C529,MAP!$B$14)="Neutral","N",IF($B529="HOME","H","A")))</f>
        <v>H</v>
      </c>
      <c r="M529" s="2" t="str">
        <f t="array" ref="M529">IF($C529="","",IF(INDEX(SchedZone,$C529,MAP!$B$13)="","",INDEX(SchedZone,$C529,MAP!$B$13)))</f>
        <v/>
      </c>
      <c r="N529" s="2" t="str">
        <f t="array" ref="N529">IF($C529="","",IF(INDEX(SchedZone,$C529,MAP!$B$11)="","",INDEX(SchedZone,$C529,MAP!$B$11)))</f>
        <v/>
      </c>
      <c r="O529" s="2">
        <f t="array" ref="O529">IF($C529="","",INDEX(SchedZone,$C529,MAP!$B$16))</f>
        <v>6</v>
      </c>
      <c r="P529" s="2" t="str">
        <f>IF($C529="","",IFERROR(MATCH($E529&amp;"|"&amp;$G529&amp;"|"&amp;$I529,StatsKey,0),""))</f>
        <v/>
      </c>
      <c r="Q529" s="2">
        <f t="array" ref="Q529">IF($P529="",0,INDEX(StatsZone,$P529,MAP!$E$9)+INDEX(StatsZone,$P529,MAP!$E$10)+INDEX(StatsZone,$P529,MAP!$E$11))</f>
        <v>0</v>
      </c>
      <c r="R529" s="2">
        <f t="array" ref="R529">IF($P529="",0,INDEX(StatsZone,$P529,MAP!$E$12))</f>
        <v>0</v>
      </c>
      <c r="S529" s="2">
        <f t="array" ref="S529">IF($P529="",0,INDEX(StatsZone,$P529,MAP!$E$13))</f>
        <v>0</v>
      </c>
      <c r="T529" s="2">
        <f t="shared" si="1"/>
        <v>0</v>
      </c>
      <c r="U529" s="2">
        <f t="array" ref="U529">IF($P529="",0,INDEX(StatsZone,$P529,MAP!$E$14)+INDEX(StatsZone,$P529,MAP!$E$15)+INDEX(StatsZone,$P529,MAP!$E$16))</f>
        <v>0</v>
      </c>
      <c r="V529" s="2">
        <f t="shared" si="2"/>
        <v>0</v>
      </c>
      <c r="W529" s="2">
        <f t="shared" si="3"/>
        <v>0</v>
      </c>
      <c r="X529" s="2">
        <f t="shared" si="4"/>
        <v>0</v>
      </c>
      <c r="Y529" s="2">
        <f t="shared" si="5"/>
        <v>0</v>
      </c>
      <c r="Z529" s="2">
        <f t="shared" si="6"/>
        <v>0</v>
      </c>
      <c r="AA529" s="2">
        <f t="shared" si="7"/>
        <v>1</v>
      </c>
      <c r="AB529" s="2">
        <f>IF(OR($M529="",$N529=""),0,MEDIAN(-MarginCap,MarginCap,($M529-$N529)-$AA529*HFA_Base))</f>
        <v>0</v>
      </c>
      <c r="AC529" s="2">
        <f t="array" ref="AC529">IF(OR($P529="",INDEX($P$3:$P$722,(ROW()+IF(MOD(ROW()-3,2)=0,1,-1))-3+1)=""),0,MEDIAN(-MarginCap,MarginCap,($T529-$W529)-$AA529*HFA_Base))</f>
        <v>0</v>
      </c>
      <c r="AD529" s="2">
        <f t="shared" si="8"/>
        <v>0</v>
      </c>
      <c r="AE529" s="2">
        <f>IF(OR($M529="",$N529=""),0,IF(AND(WEpa&gt;0,$AD529=1),(1-WEpa)*$AB529+WEpa*$AC529,$AB529))</f>
        <v>0</v>
      </c>
      <c r="AF529" s="2">
        <f>IF(AND($C529&lt;&gt;"",$E529=CurrentSeason,$F529="REG",ISNUMBER($G529),$G529&lt;CurrentWeek,AND($M529&lt;&gt;"",$N529&lt;&gt;"")),1,0)</f>
        <v>0</v>
      </c>
      <c r="AG529" s="2">
        <f>IF($AF529=0,0,IF($G529&gt;=CurrentWeek-RecencyWin,RecencyMult,1))</f>
        <v>0</v>
      </c>
      <c r="AH529" s="2">
        <f>IF(AND($C529&lt;&gt;"",$E529=CurrentSeason,$F529="REG",ISNUMBER($G529),$G529&lt;CurrentWeek-1,AND($M529&lt;&gt;"",$N529&lt;&gt;"")),1,0)</f>
        <v>0</v>
      </c>
      <c r="AI529" s="2">
        <f>IF($AH529=0,0,IF($G529&gt;=CurrentWeek-1-RecencyWin,RecencyMult,1))</f>
        <v>0</v>
      </c>
      <c r="AJ529" s="2">
        <f>IF($AF529=0,0,IF($G529&gt;=CurrentWeek-RecencyWin,TotRecency,1))</f>
        <v>0</v>
      </c>
      <c r="AK529" s="2">
        <f t="shared" si="9"/>
        <v>0</v>
      </c>
      <c r="AL529" s="2">
        <f t="shared" si="10"/>
        <v>0</v>
      </c>
      <c r="AM529" s="2" t="str">
        <f t="array" ref="AM529">IF($K529="",0,IFERROR(INDEX(CALC!$F$2:$F$33,MATCH($K529,CALC!$A$2:$A$33,0)),0))</f>
        <v/>
      </c>
      <c r="AN529" s="2" t="str">
        <f t="array" ref="AN529">IF($K529="",0,IFERROR(INDEX(CALC!$I$2:$I$33,MATCH($K529,CALC!$A$2:$A$33,0)),0))</f>
        <v/>
      </c>
      <c r="AO529" s="2" t="str">
        <f t="array" ref="AO529">IF($K529="",0,IFERROR(INDEX(CALC!$L$2:$L$33,MATCH($K529,CALC!$A$2:$A$33,0)),0))</f>
        <v/>
      </c>
      <c r="AP529" s="2" t="str">
        <f t="array" ref="AP529">IF($K529="",0,IFERROR(INDEX(CALC!$T$2:$T$33,MATCH($K529,CALC!$A$2:$A$33,0)),0))</f>
        <v/>
      </c>
      <c r="AQ529" s="2" t="str">
        <f t="array" ref="AQ529">IF($K529="",0,IFERROR(INDEX(CALC!$W$2:$W$33,MATCH($K529,CALC!$A$2:$A$33,0)),0))</f>
        <v/>
      </c>
      <c r="AR529" s="2" t="str">
        <f t="array" ref="AR529">IF($K529="",0,IFERROR(INDEX(CALC!$Z$2:$Z$33,MATCH($K529,CALC!$A$2:$A$33,0)),0))</f>
        <v/>
      </c>
      <c r="AS529" s="2" t="str">
        <f t="array" ref="AS529">IF($K529="",0,IFERROR(INDEX(CALC!$AJ$2:$AJ$33,MATCH($K529,CALC!$A$2:$A$33,0)),0))</f>
        <v/>
      </c>
      <c r="AT529" s="2" t="str">
        <f t="array" ref="AT529">IF($K529="",0,IFERROR(INDEX(CALC!$AI$2:$AI$33,MATCH($K529,CALC!$A$2:$A$33,0)),0))</f>
        <v/>
      </c>
      <c r="AU529" s="2">
        <f t="shared" si="11"/>
        <v>0</v>
      </c>
      <c r="AV529" s="2">
        <f t="shared" si="12"/>
        <v>0</v>
      </c>
    </row>
    <row r="530" ht="15.0" customHeight="1">
      <c r="A530" s="2">
        <v>264.0</v>
      </c>
      <c r="B530" s="2" t="s">
        <v>2366</v>
      </c>
      <c r="C530" s="2">
        <f>IFERROR(MATCH($A530,SchedSeq,0),"")</f>
        <v>549</v>
      </c>
      <c r="D530" s="2" t="str">
        <f t="array" ref="D530">IF($C530="","",INDEX(SchedZone,$C530,MAP!$B$6))</f>
        <v>2026_18_TEN_HOU</v>
      </c>
      <c r="E530" s="2">
        <f t="array" ref="E530">IF($C530="","",INDEX(SchedZone,$C530,MAP!$B$3))</f>
        <v>2026</v>
      </c>
      <c r="F530" s="2" t="str">
        <f t="array" ref="F530">IF($C530="","",INDEX(SchedZone,$C530,MAP!$B$5))</f>
        <v>REG</v>
      </c>
      <c r="G530" s="2">
        <f t="array" ref="G530">IF($C530="","",INDEX(SchedZone,$C530,MAP!$B$4))</f>
        <v>18</v>
      </c>
      <c r="H530" s="2" t="str">
        <f t="array" ref="H530">IF($C530="","",INDEX(SchedZone,$C530,MAP!$B$10))</f>
        <v>TEN</v>
      </c>
      <c r="I530" s="2" t="str">
        <f t="array" ref="I530">IF($H530="","",IF(COUNTIF(Teams,$H530)&gt;0,$H530,IFERROR(INDEX(LISTS!$D$2:$D$12,MATCH($H530,LISTS!$C$2:$C$12,0)),"⚠ "&amp;$H530)))</f>
        <v>TEN</v>
      </c>
      <c r="J530" s="2" t="str">
        <f t="array" ref="J530">IF($C530="","",INDEX(SchedZone,$C530,MAP!$B$12))</f>
        <v>HOU</v>
      </c>
      <c r="K530" s="2" t="str">
        <f t="array" ref="K530">IF($J530="","",IF(COUNTIF(Teams,$J530)&gt;0,$J530,IFERROR(INDEX(LISTS!$D$2:$D$12,MATCH($J530,LISTS!$C$2:$C$12,0)),"⚠ "&amp;$J530)))</f>
        <v>HOU</v>
      </c>
      <c r="L530" s="2" t="str">
        <f t="array" ref="L530">IF($C530="","",IF(INDEX(SchedZone,$C530,MAP!$B$14)="Neutral","N",IF($B530="HOME","H","A")))</f>
        <v>A</v>
      </c>
      <c r="M530" s="2" t="str">
        <f t="array" ref="M530">IF($C530="","",IF(INDEX(SchedZone,$C530,MAP!$B$11)="","",INDEX(SchedZone,$C530,MAP!$B$11)))</f>
        <v/>
      </c>
      <c r="N530" s="2" t="str">
        <f t="array" ref="N530">IF($C530="","",IF(INDEX(SchedZone,$C530,MAP!$B$13)="","",INDEX(SchedZone,$C530,MAP!$B$13)))</f>
        <v/>
      </c>
      <c r="O530" s="2">
        <f t="array" ref="O530">IF($C530="","",INDEX(SchedZone,$C530,MAP!$B$15))</f>
        <v>7</v>
      </c>
      <c r="P530" s="2" t="str">
        <f>IF($C530="","",IFERROR(MATCH($E530&amp;"|"&amp;$G530&amp;"|"&amp;$I530,StatsKey,0),""))</f>
        <v/>
      </c>
      <c r="Q530" s="2">
        <f t="array" ref="Q530">IF($P530="",0,INDEX(StatsZone,$P530,MAP!$E$9)+INDEX(StatsZone,$P530,MAP!$E$10)+INDEX(StatsZone,$P530,MAP!$E$11))</f>
        <v>0</v>
      </c>
      <c r="R530" s="2">
        <f t="array" ref="R530">IF($P530="",0,INDEX(StatsZone,$P530,MAP!$E$12))</f>
        <v>0</v>
      </c>
      <c r="S530" s="2">
        <f t="array" ref="S530">IF($P530="",0,INDEX(StatsZone,$P530,MAP!$E$13))</f>
        <v>0</v>
      </c>
      <c r="T530" s="2">
        <f t="shared" si="1"/>
        <v>0</v>
      </c>
      <c r="U530" s="2">
        <f t="array" ref="U530">IF($P530="",0,INDEX(StatsZone,$P530,MAP!$E$14)+INDEX(StatsZone,$P530,MAP!$E$15)+INDEX(StatsZone,$P530,MAP!$E$16))</f>
        <v>0</v>
      </c>
      <c r="V530" s="2">
        <f t="shared" si="2"/>
        <v>0</v>
      </c>
      <c r="W530" s="2">
        <f t="shared" si="3"/>
        <v>0</v>
      </c>
      <c r="X530" s="2">
        <f t="shared" si="4"/>
        <v>0</v>
      </c>
      <c r="Y530" s="2">
        <f t="shared" si="5"/>
        <v>0</v>
      </c>
      <c r="Z530" s="2">
        <f t="shared" si="6"/>
        <v>0</v>
      </c>
      <c r="AA530" s="2">
        <f t="shared" si="7"/>
        <v>-1</v>
      </c>
      <c r="AB530" s="2">
        <f>IF(OR($M530="",$N530=""),0,MEDIAN(-MarginCap,MarginCap,($M530-$N530)-$AA530*HFA_Base))</f>
        <v>0</v>
      </c>
      <c r="AC530" s="2">
        <f t="array" ref="AC530">IF(OR($P530="",INDEX($P$3:$P$722,(ROW()+IF(MOD(ROW()-3,2)=0,1,-1))-3+1)=""),0,MEDIAN(-MarginCap,MarginCap,($T530-$W530)-$AA530*HFA_Base))</f>
        <v>0</v>
      </c>
      <c r="AD530" s="2">
        <f t="shared" si="8"/>
        <v>0</v>
      </c>
      <c r="AE530" s="2">
        <f>IF(OR($M530="",$N530=""),0,IF(AND(WEpa&gt;0,$AD530=1),(1-WEpa)*$AB530+WEpa*$AC530,$AB530))</f>
        <v>0</v>
      </c>
      <c r="AF530" s="2">
        <f>IF(AND($C530&lt;&gt;"",$E530=CurrentSeason,$F530="REG",ISNUMBER($G530),$G530&lt;CurrentWeek,AND($M530&lt;&gt;"",$N530&lt;&gt;"")),1,0)</f>
        <v>0</v>
      </c>
      <c r="AG530" s="2">
        <f>IF($AF530=0,0,IF($G530&gt;=CurrentWeek-RecencyWin,RecencyMult,1))</f>
        <v>0</v>
      </c>
      <c r="AH530" s="2">
        <f>IF(AND($C530&lt;&gt;"",$E530=CurrentSeason,$F530="REG",ISNUMBER($G530),$G530&lt;CurrentWeek-1,AND($M530&lt;&gt;"",$N530&lt;&gt;"")),1,0)</f>
        <v>0</v>
      </c>
      <c r="AI530" s="2">
        <f>IF($AH530=0,0,IF($G530&gt;=CurrentWeek-1-RecencyWin,RecencyMult,1))</f>
        <v>0</v>
      </c>
      <c r="AJ530" s="2">
        <f>IF($AF530=0,0,IF($G530&gt;=CurrentWeek-RecencyWin,TotRecency,1))</f>
        <v>0</v>
      </c>
      <c r="AK530" s="2">
        <f t="shared" si="9"/>
        <v>0</v>
      </c>
      <c r="AL530" s="2">
        <f t="shared" si="10"/>
        <v>0</v>
      </c>
      <c r="AM530" s="2" t="str">
        <f t="array" ref="AM530">IF($K530="",0,IFERROR(INDEX(CALC!$F$2:$F$33,MATCH($K530,CALC!$A$2:$A$33,0)),0))</f>
        <v/>
      </c>
      <c r="AN530" s="2" t="str">
        <f t="array" ref="AN530">IF($K530="",0,IFERROR(INDEX(CALC!$I$2:$I$33,MATCH($K530,CALC!$A$2:$A$33,0)),0))</f>
        <v/>
      </c>
      <c r="AO530" s="2" t="str">
        <f t="array" ref="AO530">IF($K530="",0,IFERROR(INDEX(CALC!$L$2:$L$33,MATCH($K530,CALC!$A$2:$A$33,0)),0))</f>
        <v/>
      </c>
      <c r="AP530" s="2" t="str">
        <f t="array" ref="AP530">IF($K530="",0,IFERROR(INDEX(CALC!$T$2:$T$33,MATCH($K530,CALC!$A$2:$A$33,0)),0))</f>
        <v/>
      </c>
      <c r="AQ530" s="2" t="str">
        <f t="array" ref="AQ530">IF($K530="",0,IFERROR(INDEX(CALC!$W$2:$W$33,MATCH($K530,CALC!$A$2:$A$33,0)),0))</f>
        <v/>
      </c>
      <c r="AR530" s="2" t="str">
        <f t="array" ref="AR530">IF($K530="",0,IFERROR(INDEX(CALC!$Z$2:$Z$33,MATCH($K530,CALC!$A$2:$A$33,0)),0))</f>
        <v/>
      </c>
      <c r="AS530" s="2" t="str">
        <f t="array" ref="AS530">IF($K530="",0,IFERROR(INDEX(CALC!$AJ$2:$AJ$33,MATCH($K530,CALC!$A$2:$A$33,0)),0))</f>
        <v/>
      </c>
      <c r="AT530" s="2" t="str">
        <f t="array" ref="AT530">IF($K530="",0,IFERROR(INDEX(CALC!$AI$2:$AI$33,MATCH($K530,CALC!$A$2:$A$33,0)),0))</f>
        <v/>
      </c>
      <c r="AU530" s="2">
        <f t="shared" si="11"/>
        <v>0</v>
      </c>
      <c r="AV530" s="2">
        <f t="shared" si="12"/>
        <v>0</v>
      </c>
    </row>
    <row r="531" ht="15.0" customHeight="1">
      <c r="A531" s="2">
        <v>265.0</v>
      </c>
      <c r="B531" s="2" t="s">
        <v>2365</v>
      </c>
      <c r="C531" s="2">
        <f>IFERROR(MATCH($A531,SchedSeq,0),"")</f>
        <v>550</v>
      </c>
      <c r="D531" s="2" t="str">
        <f t="array" ref="D531">IF($C531="","",INDEX(SchedZone,$C531,MAP!$B$6))</f>
        <v>2026_18_JAX_IND</v>
      </c>
      <c r="E531" s="2">
        <f t="array" ref="E531">IF($C531="","",INDEX(SchedZone,$C531,MAP!$B$3))</f>
        <v>2026</v>
      </c>
      <c r="F531" s="2" t="str">
        <f t="array" ref="F531">IF($C531="","",INDEX(SchedZone,$C531,MAP!$B$5))</f>
        <v>REG</v>
      </c>
      <c r="G531" s="2">
        <f t="array" ref="G531">IF($C531="","",INDEX(SchedZone,$C531,MAP!$B$4))</f>
        <v>18</v>
      </c>
      <c r="H531" s="2" t="str">
        <f t="array" ref="H531">IF($C531="","",INDEX(SchedZone,$C531,MAP!$B$12))</f>
        <v>IND</v>
      </c>
      <c r="I531" s="2" t="str">
        <f t="array" ref="I531">IF($H531="","",IF(COUNTIF(Teams,$H531)&gt;0,$H531,IFERROR(INDEX(LISTS!$D$2:$D$12,MATCH($H531,LISTS!$C$2:$C$12,0)),"⚠ "&amp;$H531)))</f>
        <v>IND</v>
      </c>
      <c r="J531" s="2" t="str">
        <f t="array" ref="J531">IF($C531="","",INDEX(SchedZone,$C531,MAP!$B$10))</f>
        <v>JAX</v>
      </c>
      <c r="K531" s="2" t="str">
        <f t="array" ref="K531">IF($J531="","",IF(COUNTIF(Teams,$J531)&gt;0,$J531,IFERROR(INDEX(LISTS!$D$2:$D$12,MATCH($J531,LISTS!$C$2:$C$12,0)),"⚠ "&amp;$J531)))</f>
        <v>JAX</v>
      </c>
      <c r="L531" s="2" t="str">
        <f t="array" ref="L531">IF($C531="","",IF(INDEX(SchedZone,$C531,MAP!$B$14)="Neutral","N",IF($B531="HOME","H","A")))</f>
        <v>H</v>
      </c>
      <c r="M531" s="2" t="str">
        <f t="array" ref="M531">IF($C531="","",IF(INDEX(SchedZone,$C531,MAP!$B$13)="","",INDEX(SchedZone,$C531,MAP!$B$13)))</f>
        <v/>
      </c>
      <c r="N531" s="2" t="str">
        <f t="array" ref="N531">IF($C531="","",IF(INDEX(SchedZone,$C531,MAP!$B$11)="","",INDEX(SchedZone,$C531,MAP!$B$11)))</f>
        <v/>
      </c>
      <c r="O531" s="2">
        <f t="array" ref="O531">IF($C531="","",INDEX(SchedZone,$C531,MAP!$B$16))</f>
        <v>7</v>
      </c>
      <c r="P531" s="2" t="str">
        <f>IF($C531="","",IFERROR(MATCH($E531&amp;"|"&amp;$G531&amp;"|"&amp;$I531,StatsKey,0),""))</f>
        <v/>
      </c>
      <c r="Q531" s="2">
        <f t="array" ref="Q531">IF($P531="",0,INDEX(StatsZone,$P531,MAP!$E$9)+INDEX(StatsZone,$P531,MAP!$E$10)+INDEX(StatsZone,$P531,MAP!$E$11))</f>
        <v>0</v>
      </c>
      <c r="R531" s="2">
        <f t="array" ref="R531">IF($P531="",0,INDEX(StatsZone,$P531,MAP!$E$12))</f>
        <v>0</v>
      </c>
      <c r="S531" s="2">
        <f t="array" ref="S531">IF($P531="",0,INDEX(StatsZone,$P531,MAP!$E$13))</f>
        <v>0</v>
      </c>
      <c r="T531" s="2">
        <f t="shared" si="1"/>
        <v>0</v>
      </c>
      <c r="U531" s="2">
        <f t="array" ref="U531">IF($P531="",0,INDEX(StatsZone,$P531,MAP!$E$14)+INDEX(StatsZone,$P531,MAP!$E$15)+INDEX(StatsZone,$P531,MAP!$E$16))</f>
        <v>0</v>
      </c>
      <c r="V531" s="2">
        <f t="shared" si="2"/>
        <v>0</v>
      </c>
      <c r="W531" s="2">
        <f t="shared" si="3"/>
        <v>0</v>
      </c>
      <c r="X531" s="2">
        <f t="shared" si="4"/>
        <v>0</v>
      </c>
      <c r="Y531" s="2">
        <f t="shared" si="5"/>
        <v>0</v>
      </c>
      <c r="Z531" s="2">
        <f t="shared" si="6"/>
        <v>0</v>
      </c>
      <c r="AA531" s="2">
        <f t="shared" si="7"/>
        <v>1</v>
      </c>
      <c r="AB531" s="2">
        <f>IF(OR($M531="",$N531=""),0,MEDIAN(-MarginCap,MarginCap,($M531-$N531)-$AA531*HFA_Base))</f>
        <v>0</v>
      </c>
      <c r="AC531" s="2">
        <f t="array" ref="AC531">IF(OR($P531="",INDEX($P$3:$P$722,(ROW()+IF(MOD(ROW()-3,2)=0,1,-1))-3+1)=""),0,MEDIAN(-MarginCap,MarginCap,($T531-$W531)-$AA531*HFA_Base))</f>
        <v>0</v>
      </c>
      <c r="AD531" s="2">
        <f t="shared" si="8"/>
        <v>0</v>
      </c>
      <c r="AE531" s="2">
        <f>IF(OR($M531="",$N531=""),0,IF(AND(WEpa&gt;0,$AD531=1),(1-WEpa)*$AB531+WEpa*$AC531,$AB531))</f>
        <v>0</v>
      </c>
      <c r="AF531" s="2">
        <f>IF(AND($C531&lt;&gt;"",$E531=CurrentSeason,$F531="REG",ISNUMBER($G531),$G531&lt;CurrentWeek,AND($M531&lt;&gt;"",$N531&lt;&gt;"")),1,0)</f>
        <v>0</v>
      </c>
      <c r="AG531" s="2">
        <f>IF($AF531=0,0,IF($G531&gt;=CurrentWeek-RecencyWin,RecencyMult,1))</f>
        <v>0</v>
      </c>
      <c r="AH531" s="2">
        <f>IF(AND($C531&lt;&gt;"",$E531=CurrentSeason,$F531="REG",ISNUMBER($G531),$G531&lt;CurrentWeek-1,AND($M531&lt;&gt;"",$N531&lt;&gt;"")),1,0)</f>
        <v>0</v>
      </c>
      <c r="AI531" s="2">
        <f>IF($AH531=0,0,IF($G531&gt;=CurrentWeek-1-RecencyWin,RecencyMult,1))</f>
        <v>0</v>
      </c>
      <c r="AJ531" s="2">
        <f>IF($AF531=0,0,IF($G531&gt;=CurrentWeek-RecencyWin,TotRecency,1))</f>
        <v>0</v>
      </c>
      <c r="AK531" s="2">
        <f t="shared" si="9"/>
        <v>0</v>
      </c>
      <c r="AL531" s="2">
        <f t="shared" si="10"/>
        <v>0</v>
      </c>
      <c r="AM531" s="2" t="str">
        <f t="array" ref="AM531">IF($K531="",0,IFERROR(INDEX(CALC!$F$2:$F$33,MATCH($K531,CALC!$A$2:$A$33,0)),0))</f>
        <v/>
      </c>
      <c r="AN531" s="2" t="str">
        <f t="array" ref="AN531">IF($K531="",0,IFERROR(INDEX(CALC!$I$2:$I$33,MATCH($K531,CALC!$A$2:$A$33,0)),0))</f>
        <v/>
      </c>
      <c r="AO531" s="2" t="str">
        <f t="array" ref="AO531">IF($K531="",0,IFERROR(INDEX(CALC!$L$2:$L$33,MATCH($K531,CALC!$A$2:$A$33,0)),0))</f>
        <v/>
      </c>
      <c r="AP531" s="2" t="str">
        <f t="array" ref="AP531">IF($K531="",0,IFERROR(INDEX(CALC!$T$2:$T$33,MATCH($K531,CALC!$A$2:$A$33,0)),0))</f>
        <v/>
      </c>
      <c r="AQ531" s="2" t="str">
        <f t="array" ref="AQ531">IF($K531="",0,IFERROR(INDEX(CALC!$W$2:$W$33,MATCH($K531,CALC!$A$2:$A$33,0)),0))</f>
        <v/>
      </c>
      <c r="AR531" s="2" t="str">
        <f t="array" ref="AR531">IF($K531="",0,IFERROR(INDEX(CALC!$Z$2:$Z$33,MATCH($K531,CALC!$A$2:$A$33,0)),0))</f>
        <v/>
      </c>
      <c r="AS531" s="2" t="str">
        <f t="array" ref="AS531">IF($K531="",0,IFERROR(INDEX(CALC!$AJ$2:$AJ$33,MATCH($K531,CALC!$A$2:$A$33,0)),0))</f>
        <v/>
      </c>
      <c r="AT531" s="2" t="str">
        <f t="array" ref="AT531">IF($K531="",0,IFERROR(INDEX(CALC!$AI$2:$AI$33,MATCH($K531,CALC!$A$2:$A$33,0)),0))</f>
        <v/>
      </c>
      <c r="AU531" s="2">
        <f t="shared" si="11"/>
        <v>0</v>
      </c>
      <c r="AV531" s="2">
        <f t="shared" si="12"/>
        <v>0</v>
      </c>
    </row>
    <row r="532" ht="15.0" customHeight="1">
      <c r="A532" s="2">
        <v>265.0</v>
      </c>
      <c r="B532" s="2" t="s">
        <v>2366</v>
      </c>
      <c r="C532" s="2">
        <f>IFERROR(MATCH($A532,SchedSeq,0),"")</f>
        <v>550</v>
      </c>
      <c r="D532" s="2" t="str">
        <f t="array" ref="D532">IF($C532="","",INDEX(SchedZone,$C532,MAP!$B$6))</f>
        <v>2026_18_JAX_IND</v>
      </c>
      <c r="E532" s="2">
        <f t="array" ref="E532">IF($C532="","",INDEX(SchedZone,$C532,MAP!$B$3))</f>
        <v>2026</v>
      </c>
      <c r="F532" s="2" t="str">
        <f t="array" ref="F532">IF($C532="","",INDEX(SchedZone,$C532,MAP!$B$5))</f>
        <v>REG</v>
      </c>
      <c r="G532" s="2">
        <f t="array" ref="G532">IF($C532="","",INDEX(SchedZone,$C532,MAP!$B$4))</f>
        <v>18</v>
      </c>
      <c r="H532" s="2" t="str">
        <f t="array" ref="H532">IF($C532="","",INDEX(SchedZone,$C532,MAP!$B$10))</f>
        <v>JAX</v>
      </c>
      <c r="I532" s="2" t="str">
        <f t="array" ref="I532">IF($H532="","",IF(COUNTIF(Teams,$H532)&gt;0,$H532,IFERROR(INDEX(LISTS!$D$2:$D$12,MATCH($H532,LISTS!$C$2:$C$12,0)),"⚠ "&amp;$H532)))</f>
        <v>JAX</v>
      </c>
      <c r="J532" s="2" t="str">
        <f t="array" ref="J532">IF($C532="","",INDEX(SchedZone,$C532,MAP!$B$12))</f>
        <v>IND</v>
      </c>
      <c r="K532" s="2" t="str">
        <f t="array" ref="K532">IF($J532="","",IF(COUNTIF(Teams,$J532)&gt;0,$J532,IFERROR(INDEX(LISTS!$D$2:$D$12,MATCH($J532,LISTS!$C$2:$C$12,0)),"⚠ "&amp;$J532)))</f>
        <v>IND</v>
      </c>
      <c r="L532" s="2" t="str">
        <f t="array" ref="L532">IF($C532="","",IF(INDEX(SchedZone,$C532,MAP!$B$14)="Neutral","N",IF($B532="HOME","H","A")))</f>
        <v>A</v>
      </c>
      <c r="M532" s="2" t="str">
        <f t="array" ref="M532">IF($C532="","",IF(INDEX(SchedZone,$C532,MAP!$B$11)="","",INDEX(SchedZone,$C532,MAP!$B$11)))</f>
        <v/>
      </c>
      <c r="N532" s="2" t="str">
        <f t="array" ref="N532">IF($C532="","",IF(INDEX(SchedZone,$C532,MAP!$B$13)="","",INDEX(SchedZone,$C532,MAP!$B$13)))</f>
        <v/>
      </c>
      <c r="O532" s="2">
        <f t="array" ref="O532">IF($C532="","",INDEX(SchedZone,$C532,MAP!$B$15))</f>
        <v>7</v>
      </c>
      <c r="P532" s="2" t="str">
        <f>IF($C532="","",IFERROR(MATCH($E532&amp;"|"&amp;$G532&amp;"|"&amp;$I532,StatsKey,0),""))</f>
        <v/>
      </c>
      <c r="Q532" s="2">
        <f t="array" ref="Q532">IF($P532="",0,INDEX(StatsZone,$P532,MAP!$E$9)+INDEX(StatsZone,$P532,MAP!$E$10)+INDEX(StatsZone,$P532,MAP!$E$11))</f>
        <v>0</v>
      </c>
      <c r="R532" s="2">
        <f t="array" ref="R532">IF($P532="",0,INDEX(StatsZone,$P532,MAP!$E$12))</f>
        <v>0</v>
      </c>
      <c r="S532" s="2">
        <f t="array" ref="S532">IF($P532="",0,INDEX(StatsZone,$P532,MAP!$E$13))</f>
        <v>0</v>
      </c>
      <c r="T532" s="2">
        <f t="shared" si="1"/>
        <v>0</v>
      </c>
      <c r="U532" s="2">
        <f t="array" ref="U532">IF($P532="",0,INDEX(StatsZone,$P532,MAP!$E$14)+INDEX(StatsZone,$P532,MAP!$E$15)+INDEX(StatsZone,$P532,MAP!$E$16))</f>
        <v>0</v>
      </c>
      <c r="V532" s="2">
        <f t="shared" si="2"/>
        <v>0</v>
      </c>
      <c r="W532" s="2">
        <f t="shared" si="3"/>
        <v>0</v>
      </c>
      <c r="X532" s="2">
        <f t="shared" si="4"/>
        <v>0</v>
      </c>
      <c r="Y532" s="2">
        <f t="shared" si="5"/>
        <v>0</v>
      </c>
      <c r="Z532" s="2">
        <f t="shared" si="6"/>
        <v>0</v>
      </c>
      <c r="AA532" s="2">
        <f t="shared" si="7"/>
        <v>-1</v>
      </c>
      <c r="AB532" s="2">
        <f>IF(OR($M532="",$N532=""),0,MEDIAN(-MarginCap,MarginCap,($M532-$N532)-$AA532*HFA_Base))</f>
        <v>0</v>
      </c>
      <c r="AC532" s="2">
        <f t="array" ref="AC532">IF(OR($P532="",INDEX($P$3:$P$722,(ROW()+IF(MOD(ROW()-3,2)=0,1,-1))-3+1)=""),0,MEDIAN(-MarginCap,MarginCap,($T532-$W532)-$AA532*HFA_Base))</f>
        <v>0</v>
      </c>
      <c r="AD532" s="2">
        <f t="shared" si="8"/>
        <v>0</v>
      </c>
      <c r="AE532" s="2">
        <f>IF(OR($M532="",$N532=""),0,IF(AND(WEpa&gt;0,$AD532=1),(1-WEpa)*$AB532+WEpa*$AC532,$AB532))</f>
        <v>0</v>
      </c>
      <c r="AF532" s="2">
        <f>IF(AND($C532&lt;&gt;"",$E532=CurrentSeason,$F532="REG",ISNUMBER($G532),$G532&lt;CurrentWeek,AND($M532&lt;&gt;"",$N532&lt;&gt;"")),1,0)</f>
        <v>0</v>
      </c>
      <c r="AG532" s="2">
        <f>IF($AF532=0,0,IF($G532&gt;=CurrentWeek-RecencyWin,RecencyMult,1))</f>
        <v>0</v>
      </c>
      <c r="AH532" s="2">
        <f>IF(AND($C532&lt;&gt;"",$E532=CurrentSeason,$F532="REG",ISNUMBER($G532),$G532&lt;CurrentWeek-1,AND($M532&lt;&gt;"",$N532&lt;&gt;"")),1,0)</f>
        <v>0</v>
      </c>
      <c r="AI532" s="2">
        <f>IF($AH532=0,0,IF($G532&gt;=CurrentWeek-1-RecencyWin,RecencyMult,1))</f>
        <v>0</v>
      </c>
      <c r="AJ532" s="2">
        <f>IF($AF532=0,0,IF($G532&gt;=CurrentWeek-RecencyWin,TotRecency,1))</f>
        <v>0</v>
      </c>
      <c r="AK532" s="2">
        <f t="shared" si="9"/>
        <v>0</v>
      </c>
      <c r="AL532" s="2">
        <f t="shared" si="10"/>
        <v>0</v>
      </c>
      <c r="AM532" s="2" t="str">
        <f t="array" ref="AM532">IF($K532="",0,IFERROR(INDEX(CALC!$F$2:$F$33,MATCH($K532,CALC!$A$2:$A$33,0)),0))</f>
        <v/>
      </c>
      <c r="AN532" s="2" t="str">
        <f t="array" ref="AN532">IF($K532="",0,IFERROR(INDEX(CALC!$I$2:$I$33,MATCH($K532,CALC!$A$2:$A$33,0)),0))</f>
        <v/>
      </c>
      <c r="AO532" s="2" t="str">
        <f t="array" ref="AO532">IF($K532="",0,IFERROR(INDEX(CALC!$L$2:$L$33,MATCH($K532,CALC!$A$2:$A$33,0)),0))</f>
        <v/>
      </c>
      <c r="AP532" s="2" t="str">
        <f t="array" ref="AP532">IF($K532="",0,IFERROR(INDEX(CALC!$T$2:$T$33,MATCH($K532,CALC!$A$2:$A$33,0)),0))</f>
        <v/>
      </c>
      <c r="AQ532" s="2" t="str">
        <f t="array" ref="AQ532">IF($K532="",0,IFERROR(INDEX(CALC!$W$2:$W$33,MATCH($K532,CALC!$A$2:$A$33,0)),0))</f>
        <v/>
      </c>
      <c r="AR532" s="2" t="str">
        <f t="array" ref="AR532">IF($K532="",0,IFERROR(INDEX(CALC!$Z$2:$Z$33,MATCH($K532,CALC!$A$2:$A$33,0)),0))</f>
        <v/>
      </c>
      <c r="AS532" s="2" t="str">
        <f t="array" ref="AS532">IF($K532="",0,IFERROR(INDEX(CALC!$AJ$2:$AJ$33,MATCH($K532,CALC!$A$2:$A$33,0)),0))</f>
        <v/>
      </c>
      <c r="AT532" s="2" t="str">
        <f t="array" ref="AT532">IF($K532="",0,IFERROR(INDEX(CALC!$AI$2:$AI$33,MATCH($K532,CALC!$A$2:$A$33,0)),0))</f>
        <v/>
      </c>
      <c r="AU532" s="2">
        <f t="shared" si="11"/>
        <v>0</v>
      </c>
      <c r="AV532" s="2">
        <f t="shared" si="12"/>
        <v>0</v>
      </c>
    </row>
    <row r="533" ht="15.0" customHeight="1">
      <c r="A533" s="2">
        <v>266.0</v>
      </c>
      <c r="B533" s="2" t="s">
        <v>2365</v>
      </c>
      <c r="C533" s="2">
        <f>IFERROR(MATCH($A533,SchedSeq,0),"")</f>
        <v>551</v>
      </c>
      <c r="D533" s="2" t="str">
        <f t="array" ref="D533">IF($C533="","",INDEX(SchedZone,$C533,MAP!$B$6))</f>
        <v>2026_18_LV_KC</v>
      </c>
      <c r="E533" s="2">
        <f t="array" ref="E533">IF($C533="","",INDEX(SchedZone,$C533,MAP!$B$3))</f>
        <v>2026</v>
      </c>
      <c r="F533" s="2" t="str">
        <f t="array" ref="F533">IF($C533="","",INDEX(SchedZone,$C533,MAP!$B$5))</f>
        <v>REG</v>
      </c>
      <c r="G533" s="2">
        <f t="array" ref="G533">IF($C533="","",INDEX(SchedZone,$C533,MAP!$B$4))</f>
        <v>18</v>
      </c>
      <c r="H533" s="2" t="str">
        <f t="array" ref="H533">IF($C533="","",INDEX(SchedZone,$C533,MAP!$B$12))</f>
        <v>KC</v>
      </c>
      <c r="I533" s="2" t="str">
        <f t="array" ref="I533">IF($H533="","",IF(COUNTIF(Teams,$H533)&gt;0,$H533,IFERROR(INDEX(LISTS!$D$2:$D$12,MATCH($H533,LISTS!$C$2:$C$12,0)),"⚠ "&amp;$H533)))</f>
        <v>KC</v>
      </c>
      <c r="J533" s="2" t="str">
        <f t="array" ref="J533">IF($C533="","",INDEX(SchedZone,$C533,MAP!$B$10))</f>
        <v>LV</v>
      </c>
      <c r="K533" s="2" t="str">
        <f t="array" ref="K533">IF($J533="","",IF(COUNTIF(Teams,$J533)&gt;0,$J533,IFERROR(INDEX(LISTS!$D$2:$D$12,MATCH($J533,LISTS!$C$2:$C$12,0)),"⚠ "&amp;$J533)))</f>
        <v>LV</v>
      </c>
      <c r="L533" s="2" t="str">
        <f t="array" ref="L533">IF($C533="","",IF(INDEX(SchedZone,$C533,MAP!$B$14)="Neutral","N",IF($B533="HOME","H","A")))</f>
        <v>H</v>
      </c>
      <c r="M533" s="2" t="str">
        <f t="array" ref="M533">IF($C533="","",IF(INDEX(SchedZone,$C533,MAP!$B$13)="","",INDEX(SchedZone,$C533,MAP!$B$13)))</f>
        <v/>
      </c>
      <c r="N533" s="2" t="str">
        <f t="array" ref="N533">IF($C533="","",IF(INDEX(SchedZone,$C533,MAP!$B$11)="","",INDEX(SchedZone,$C533,MAP!$B$11)))</f>
        <v/>
      </c>
      <c r="O533" s="2">
        <f t="array" ref="O533">IF($C533="","",INDEX(SchedZone,$C533,MAP!$B$16))</f>
        <v>7</v>
      </c>
      <c r="P533" s="2" t="str">
        <f>IF($C533="","",IFERROR(MATCH($E533&amp;"|"&amp;$G533&amp;"|"&amp;$I533,StatsKey,0),""))</f>
        <v/>
      </c>
      <c r="Q533" s="2">
        <f t="array" ref="Q533">IF($P533="",0,INDEX(StatsZone,$P533,MAP!$E$9)+INDEX(StatsZone,$P533,MAP!$E$10)+INDEX(StatsZone,$P533,MAP!$E$11))</f>
        <v>0</v>
      </c>
      <c r="R533" s="2">
        <f t="array" ref="R533">IF($P533="",0,INDEX(StatsZone,$P533,MAP!$E$12))</f>
        <v>0</v>
      </c>
      <c r="S533" s="2">
        <f t="array" ref="S533">IF($P533="",0,INDEX(StatsZone,$P533,MAP!$E$13))</f>
        <v>0</v>
      </c>
      <c r="T533" s="2">
        <f t="shared" si="1"/>
        <v>0</v>
      </c>
      <c r="U533" s="2">
        <f t="array" ref="U533">IF($P533="",0,INDEX(StatsZone,$P533,MAP!$E$14)+INDEX(StatsZone,$P533,MAP!$E$15)+INDEX(StatsZone,$P533,MAP!$E$16))</f>
        <v>0</v>
      </c>
      <c r="V533" s="2">
        <f t="shared" si="2"/>
        <v>0</v>
      </c>
      <c r="W533" s="2">
        <f t="shared" si="3"/>
        <v>0</v>
      </c>
      <c r="X533" s="2">
        <f t="shared" si="4"/>
        <v>0</v>
      </c>
      <c r="Y533" s="2">
        <f t="shared" si="5"/>
        <v>0</v>
      </c>
      <c r="Z533" s="2">
        <f t="shared" si="6"/>
        <v>0</v>
      </c>
      <c r="AA533" s="2">
        <f t="shared" si="7"/>
        <v>1</v>
      </c>
      <c r="AB533" s="2">
        <f>IF(OR($M533="",$N533=""),0,MEDIAN(-MarginCap,MarginCap,($M533-$N533)-$AA533*HFA_Base))</f>
        <v>0</v>
      </c>
      <c r="AC533" s="2">
        <f t="array" ref="AC533">IF(OR($P533="",INDEX($P$3:$P$722,(ROW()+IF(MOD(ROW()-3,2)=0,1,-1))-3+1)=""),0,MEDIAN(-MarginCap,MarginCap,($T533-$W533)-$AA533*HFA_Base))</f>
        <v>0</v>
      </c>
      <c r="AD533" s="2">
        <f t="shared" si="8"/>
        <v>0</v>
      </c>
      <c r="AE533" s="2">
        <f>IF(OR($M533="",$N533=""),0,IF(AND(WEpa&gt;0,$AD533=1),(1-WEpa)*$AB533+WEpa*$AC533,$AB533))</f>
        <v>0</v>
      </c>
      <c r="AF533" s="2">
        <f>IF(AND($C533&lt;&gt;"",$E533=CurrentSeason,$F533="REG",ISNUMBER($G533),$G533&lt;CurrentWeek,AND($M533&lt;&gt;"",$N533&lt;&gt;"")),1,0)</f>
        <v>0</v>
      </c>
      <c r="AG533" s="2">
        <f>IF($AF533=0,0,IF($G533&gt;=CurrentWeek-RecencyWin,RecencyMult,1))</f>
        <v>0</v>
      </c>
      <c r="AH533" s="2">
        <f>IF(AND($C533&lt;&gt;"",$E533=CurrentSeason,$F533="REG",ISNUMBER($G533),$G533&lt;CurrentWeek-1,AND($M533&lt;&gt;"",$N533&lt;&gt;"")),1,0)</f>
        <v>0</v>
      </c>
      <c r="AI533" s="2">
        <f>IF($AH533=0,0,IF($G533&gt;=CurrentWeek-1-RecencyWin,RecencyMult,1))</f>
        <v>0</v>
      </c>
      <c r="AJ533" s="2">
        <f>IF($AF533=0,0,IF($G533&gt;=CurrentWeek-RecencyWin,TotRecency,1))</f>
        <v>0</v>
      </c>
      <c r="AK533" s="2">
        <f t="shared" si="9"/>
        <v>0</v>
      </c>
      <c r="AL533" s="2">
        <f t="shared" si="10"/>
        <v>0</v>
      </c>
      <c r="AM533" s="2" t="str">
        <f t="array" ref="AM533">IF($K533="",0,IFERROR(INDEX(CALC!$F$2:$F$33,MATCH($K533,CALC!$A$2:$A$33,0)),0))</f>
        <v/>
      </c>
      <c r="AN533" s="2" t="str">
        <f t="array" ref="AN533">IF($K533="",0,IFERROR(INDEX(CALC!$I$2:$I$33,MATCH($K533,CALC!$A$2:$A$33,0)),0))</f>
        <v/>
      </c>
      <c r="AO533" s="2" t="str">
        <f t="array" ref="AO533">IF($K533="",0,IFERROR(INDEX(CALC!$L$2:$L$33,MATCH($K533,CALC!$A$2:$A$33,0)),0))</f>
        <v/>
      </c>
      <c r="AP533" s="2" t="str">
        <f t="array" ref="AP533">IF($K533="",0,IFERROR(INDEX(CALC!$T$2:$T$33,MATCH($K533,CALC!$A$2:$A$33,0)),0))</f>
        <v/>
      </c>
      <c r="AQ533" s="2" t="str">
        <f t="array" ref="AQ533">IF($K533="",0,IFERROR(INDEX(CALC!$W$2:$W$33,MATCH($K533,CALC!$A$2:$A$33,0)),0))</f>
        <v/>
      </c>
      <c r="AR533" s="2" t="str">
        <f t="array" ref="AR533">IF($K533="",0,IFERROR(INDEX(CALC!$Z$2:$Z$33,MATCH($K533,CALC!$A$2:$A$33,0)),0))</f>
        <v/>
      </c>
      <c r="AS533" s="2" t="str">
        <f t="array" ref="AS533">IF($K533="",0,IFERROR(INDEX(CALC!$AJ$2:$AJ$33,MATCH($K533,CALC!$A$2:$A$33,0)),0))</f>
        <v/>
      </c>
      <c r="AT533" s="2" t="str">
        <f t="array" ref="AT533">IF($K533="",0,IFERROR(INDEX(CALC!$AI$2:$AI$33,MATCH($K533,CALC!$A$2:$A$33,0)),0))</f>
        <v/>
      </c>
      <c r="AU533" s="2">
        <f t="shared" si="11"/>
        <v>0</v>
      </c>
      <c r="AV533" s="2">
        <f t="shared" si="12"/>
        <v>0</v>
      </c>
    </row>
    <row r="534" ht="15.0" customHeight="1">
      <c r="A534" s="2">
        <v>266.0</v>
      </c>
      <c r="B534" s="2" t="s">
        <v>2366</v>
      </c>
      <c r="C534" s="2">
        <f>IFERROR(MATCH($A534,SchedSeq,0),"")</f>
        <v>551</v>
      </c>
      <c r="D534" s="2" t="str">
        <f t="array" ref="D534">IF($C534="","",INDEX(SchedZone,$C534,MAP!$B$6))</f>
        <v>2026_18_LV_KC</v>
      </c>
      <c r="E534" s="2">
        <f t="array" ref="E534">IF($C534="","",INDEX(SchedZone,$C534,MAP!$B$3))</f>
        <v>2026</v>
      </c>
      <c r="F534" s="2" t="str">
        <f t="array" ref="F534">IF($C534="","",INDEX(SchedZone,$C534,MAP!$B$5))</f>
        <v>REG</v>
      </c>
      <c r="G534" s="2">
        <f t="array" ref="G534">IF($C534="","",INDEX(SchedZone,$C534,MAP!$B$4))</f>
        <v>18</v>
      </c>
      <c r="H534" s="2" t="str">
        <f t="array" ref="H534">IF($C534="","",INDEX(SchedZone,$C534,MAP!$B$10))</f>
        <v>LV</v>
      </c>
      <c r="I534" s="2" t="str">
        <f t="array" ref="I534">IF($H534="","",IF(COUNTIF(Teams,$H534)&gt;0,$H534,IFERROR(INDEX(LISTS!$D$2:$D$12,MATCH($H534,LISTS!$C$2:$C$12,0)),"⚠ "&amp;$H534)))</f>
        <v>LV</v>
      </c>
      <c r="J534" s="2" t="str">
        <f t="array" ref="J534">IF($C534="","",INDEX(SchedZone,$C534,MAP!$B$12))</f>
        <v>KC</v>
      </c>
      <c r="K534" s="2" t="str">
        <f t="array" ref="K534">IF($J534="","",IF(COUNTIF(Teams,$J534)&gt;0,$J534,IFERROR(INDEX(LISTS!$D$2:$D$12,MATCH($J534,LISTS!$C$2:$C$12,0)),"⚠ "&amp;$J534)))</f>
        <v>KC</v>
      </c>
      <c r="L534" s="2" t="str">
        <f t="array" ref="L534">IF($C534="","",IF(INDEX(SchedZone,$C534,MAP!$B$14)="Neutral","N",IF($B534="HOME","H","A")))</f>
        <v>A</v>
      </c>
      <c r="M534" s="2" t="str">
        <f t="array" ref="M534">IF($C534="","",IF(INDEX(SchedZone,$C534,MAP!$B$11)="","",INDEX(SchedZone,$C534,MAP!$B$11)))</f>
        <v/>
      </c>
      <c r="N534" s="2" t="str">
        <f t="array" ref="N534">IF($C534="","",IF(INDEX(SchedZone,$C534,MAP!$B$13)="","",INDEX(SchedZone,$C534,MAP!$B$13)))</f>
        <v/>
      </c>
      <c r="O534" s="2">
        <f t="array" ref="O534">IF($C534="","",INDEX(SchedZone,$C534,MAP!$B$15))</f>
        <v>7</v>
      </c>
      <c r="P534" s="2" t="str">
        <f>IF($C534="","",IFERROR(MATCH($E534&amp;"|"&amp;$G534&amp;"|"&amp;$I534,StatsKey,0),""))</f>
        <v/>
      </c>
      <c r="Q534" s="2">
        <f t="array" ref="Q534">IF($P534="",0,INDEX(StatsZone,$P534,MAP!$E$9)+INDEX(StatsZone,$P534,MAP!$E$10)+INDEX(StatsZone,$P534,MAP!$E$11))</f>
        <v>0</v>
      </c>
      <c r="R534" s="2">
        <f t="array" ref="R534">IF($P534="",0,INDEX(StatsZone,$P534,MAP!$E$12))</f>
        <v>0</v>
      </c>
      <c r="S534" s="2">
        <f t="array" ref="S534">IF($P534="",0,INDEX(StatsZone,$P534,MAP!$E$13))</f>
        <v>0</v>
      </c>
      <c r="T534" s="2">
        <f t="shared" si="1"/>
        <v>0</v>
      </c>
      <c r="U534" s="2">
        <f t="array" ref="U534">IF($P534="",0,INDEX(StatsZone,$P534,MAP!$E$14)+INDEX(StatsZone,$P534,MAP!$E$15)+INDEX(StatsZone,$P534,MAP!$E$16))</f>
        <v>0</v>
      </c>
      <c r="V534" s="2">
        <f t="shared" si="2"/>
        <v>0</v>
      </c>
      <c r="W534" s="2">
        <f t="shared" si="3"/>
        <v>0</v>
      </c>
      <c r="X534" s="2">
        <f t="shared" si="4"/>
        <v>0</v>
      </c>
      <c r="Y534" s="2">
        <f t="shared" si="5"/>
        <v>0</v>
      </c>
      <c r="Z534" s="2">
        <f t="shared" si="6"/>
        <v>0</v>
      </c>
      <c r="AA534" s="2">
        <f t="shared" si="7"/>
        <v>-1</v>
      </c>
      <c r="AB534" s="2">
        <f>IF(OR($M534="",$N534=""),0,MEDIAN(-MarginCap,MarginCap,($M534-$N534)-$AA534*HFA_Base))</f>
        <v>0</v>
      </c>
      <c r="AC534" s="2">
        <f t="array" ref="AC534">IF(OR($P534="",INDEX($P$3:$P$722,(ROW()+IF(MOD(ROW()-3,2)=0,1,-1))-3+1)=""),0,MEDIAN(-MarginCap,MarginCap,($T534-$W534)-$AA534*HFA_Base))</f>
        <v>0</v>
      </c>
      <c r="AD534" s="2">
        <f t="shared" si="8"/>
        <v>0</v>
      </c>
      <c r="AE534" s="2">
        <f>IF(OR($M534="",$N534=""),0,IF(AND(WEpa&gt;0,$AD534=1),(1-WEpa)*$AB534+WEpa*$AC534,$AB534))</f>
        <v>0</v>
      </c>
      <c r="AF534" s="2">
        <f>IF(AND($C534&lt;&gt;"",$E534=CurrentSeason,$F534="REG",ISNUMBER($G534),$G534&lt;CurrentWeek,AND($M534&lt;&gt;"",$N534&lt;&gt;"")),1,0)</f>
        <v>0</v>
      </c>
      <c r="AG534" s="2">
        <f>IF($AF534=0,0,IF($G534&gt;=CurrentWeek-RecencyWin,RecencyMult,1))</f>
        <v>0</v>
      </c>
      <c r="AH534" s="2">
        <f>IF(AND($C534&lt;&gt;"",$E534=CurrentSeason,$F534="REG",ISNUMBER($G534),$G534&lt;CurrentWeek-1,AND($M534&lt;&gt;"",$N534&lt;&gt;"")),1,0)</f>
        <v>0</v>
      </c>
      <c r="AI534" s="2">
        <f>IF($AH534=0,0,IF($G534&gt;=CurrentWeek-1-RecencyWin,RecencyMult,1))</f>
        <v>0</v>
      </c>
      <c r="AJ534" s="2">
        <f>IF($AF534=0,0,IF($G534&gt;=CurrentWeek-RecencyWin,TotRecency,1))</f>
        <v>0</v>
      </c>
      <c r="AK534" s="2">
        <f t="shared" si="9"/>
        <v>0</v>
      </c>
      <c r="AL534" s="2">
        <f t="shared" si="10"/>
        <v>0</v>
      </c>
      <c r="AM534" s="2" t="str">
        <f t="array" ref="AM534">IF($K534="",0,IFERROR(INDEX(CALC!$F$2:$F$33,MATCH($K534,CALC!$A$2:$A$33,0)),0))</f>
        <v/>
      </c>
      <c r="AN534" s="2" t="str">
        <f t="array" ref="AN534">IF($K534="",0,IFERROR(INDEX(CALC!$I$2:$I$33,MATCH($K534,CALC!$A$2:$A$33,0)),0))</f>
        <v/>
      </c>
      <c r="AO534" s="2" t="str">
        <f t="array" ref="AO534">IF($K534="",0,IFERROR(INDEX(CALC!$L$2:$L$33,MATCH($K534,CALC!$A$2:$A$33,0)),0))</f>
        <v/>
      </c>
      <c r="AP534" s="2" t="str">
        <f t="array" ref="AP534">IF($K534="",0,IFERROR(INDEX(CALC!$T$2:$T$33,MATCH($K534,CALC!$A$2:$A$33,0)),0))</f>
        <v/>
      </c>
      <c r="AQ534" s="2" t="str">
        <f t="array" ref="AQ534">IF($K534="",0,IFERROR(INDEX(CALC!$W$2:$W$33,MATCH($K534,CALC!$A$2:$A$33,0)),0))</f>
        <v/>
      </c>
      <c r="AR534" s="2" t="str">
        <f t="array" ref="AR534">IF($K534="",0,IFERROR(INDEX(CALC!$Z$2:$Z$33,MATCH($K534,CALC!$A$2:$A$33,0)),0))</f>
        <v/>
      </c>
      <c r="AS534" s="2" t="str">
        <f t="array" ref="AS534">IF($K534="",0,IFERROR(INDEX(CALC!$AJ$2:$AJ$33,MATCH($K534,CALC!$A$2:$A$33,0)),0))</f>
        <v/>
      </c>
      <c r="AT534" s="2" t="str">
        <f t="array" ref="AT534">IF($K534="",0,IFERROR(INDEX(CALC!$AI$2:$AI$33,MATCH($K534,CALC!$A$2:$A$33,0)),0))</f>
        <v/>
      </c>
      <c r="AU534" s="2">
        <f t="shared" si="11"/>
        <v>0</v>
      </c>
      <c r="AV534" s="2">
        <f t="shared" si="12"/>
        <v>0</v>
      </c>
    </row>
    <row r="535" ht="15.0" customHeight="1">
      <c r="A535" s="2">
        <v>267.0</v>
      </c>
      <c r="B535" s="2" t="s">
        <v>2365</v>
      </c>
      <c r="C535" s="2">
        <f>IFERROR(MATCH($A535,SchedSeq,0),"")</f>
        <v>552</v>
      </c>
      <c r="D535" s="2" t="str">
        <f t="array" ref="D535">IF($C535="","",INDEX(SchedZone,$C535,MAP!$B$6))</f>
        <v>2026_18_SEA_LA</v>
      </c>
      <c r="E535" s="2">
        <f t="array" ref="E535">IF($C535="","",INDEX(SchedZone,$C535,MAP!$B$3))</f>
        <v>2026</v>
      </c>
      <c r="F535" s="2" t="str">
        <f t="array" ref="F535">IF($C535="","",INDEX(SchedZone,$C535,MAP!$B$5))</f>
        <v>REG</v>
      </c>
      <c r="G535" s="2">
        <f t="array" ref="G535">IF($C535="","",INDEX(SchedZone,$C535,MAP!$B$4))</f>
        <v>18</v>
      </c>
      <c r="H535" s="2" t="str">
        <f t="array" ref="H535">IF($C535="","",INDEX(SchedZone,$C535,MAP!$B$12))</f>
        <v>LA</v>
      </c>
      <c r="I535" s="2" t="str">
        <f t="array" ref="I535">IF($H535="","",IF(COUNTIF(Teams,$H535)&gt;0,$H535,IFERROR(INDEX(LISTS!$D$2:$D$12,MATCH($H535,LISTS!$C$2:$C$12,0)),"⚠ "&amp;$H535)))</f>
        <v>LA</v>
      </c>
      <c r="J535" s="2" t="str">
        <f t="array" ref="J535">IF($C535="","",INDEX(SchedZone,$C535,MAP!$B$10))</f>
        <v>SEA</v>
      </c>
      <c r="K535" s="2" t="str">
        <f t="array" ref="K535">IF($J535="","",IF(COUNTIF(Teams,$J535)&gt;0,$J535,IFERROR(INDEX(LISTS!$D$2:$D$12,MATCH($J535,LISTS!$C$2:$C$12,0)),"⚠ "&amp;$J535)))</f>
        <v>SEA</v>
      </c>
      <c r="L535" s="2" t="str">
        <f t="array" ref="L535">IF($C535="","",IF(INDEX(SchedZone,$C535,MAP!$B$14)="Neutral","N",IF($B535="HOME","H","A")))</f>
        <v>H</v>
      </c>
      <c r="M535" s="2" t="str">
        <f t="array" ref="M535">IF($C535="","",IF(INDEX(SchedZone,$C535,MAP!$B$13)="","",INDEX(SchedZone,$C535,MAP!$B$13)))</f>
        <v/>
      </c>
      <c r="N535" s="2" t="str">
        <f t="array" ref="N535">IF($C535="","",IF(INDEX(SchedZone,$C535,MAP!$B$11)="","",INDEX(SchedZone,$C535,MAP!$B$11)))</f>
        <v/>
      </c>
      <c r="O535" s="2">
        <f t="array" ref="O535">IF($C535="","",INDEX(SchedZone,$C535,MAP!$B$16))</f>
        <v>7</v>
      </c>
      <c r="P535" s="2" t="str">
        <f>IF($C535="","",IFERROR(MATCH($E535&amp;"|"&amp;$G535&amp;"|"&amp;$I535,StatsKey,0),""))</f>
        <v/>
      </c>
      <c r="Q535" s="2">
        <f t="array" ref="Q535">IF($P535="",0,INDEX(StatsZone,$P535,MAP!$E$9)+INDEX(StatsZone,$P535,MAP!$E$10)+INDEX(StatsZone,$P535,MAP!$E$11))</f>
        <v>0</v>
      </c>
      <c r="R535" s="2">
        <f t="array" ref="R535">IF($P535="",0,INDEX(StatsZone,$P535,MAP!$E$12))</f>
        <v>0</v>
      </c>
      <c r="S535" s="2">
        <f t="array" ref="S535">IF($P535="",0,INDEX(StatsZone,$P535,MAP!$E$13))</f>
        <v>0</v>
      </c>
      <c r="T535" s="2">
        <f t="shared" si="1"/>
        <v>0</v>
      </c>
      <c r="U535" s="2">
        <f t="array" ref="U535">IF($P535="",0,INDEX(StatsZone,$P535,MAP!$E$14)+INDEX(StatsZone,$P535,MAP!$E$15)+INDEX(StatsZone,$P535,MAP!$E$16))</f>
        <v>0</v>
      </c>
      <c r="V535" s="2">
        <f t="shared" si="2"/>
        <v>0</v>
      </c>
      <c r="W535" s="2">
        <f t="shared" si="3"/>
        <v>0</v>
      </c>
      <c r="X535" s="2">
        <f t="shared" si="4"/>
        <v>0</v>
      </c>
      <c r="Y535" s="2">
        <f t="shared" si="5"/>
        <v>0</v>
      </c>
      <c r="Z535" s="2">
        <f t="shared" si="6"/>
        <v>0</v>
      </c>
      <c r="AA535" s="2">
        <f t="shared" si="7"/>
        <v>1</v>
      </c>
      <c r="AB535" s="2">
        <f>IF(OR($M535="",$N535=""),0,MEDIAN(-MarginCap,MarginCap,($M535-$N535)-$AA535*HFA_Base))</f>
        <v>0</v>
      </c>
      <c r="AC535" s="2">
        <f t="array" ref="AC535">IF(OR($P535="",INDEX($P$3:$P$722,(ROW()+IF(MOD(ROW()-3,2)=0,1,-1))-3+1)=""),0,MEDIAN(-MarginCap,MarginCap,($T535-$W535)-$AA535*HFA_Base))</f>
        <v>0</v>
      </c>
      <c r="AD535" s="2">
        <f t="shared" si="8"/>
        <v>0</v>
      </c>
      <c r="AE535" s="2">
        <f>IF(OR($M535="",$N535=""),0,IF(AND(WEpa&gt;0,$AD535=1),(1-WEpa)*$AB535+WEpa*$AC535,$AB535))</f>
        <v>0</v>
      </c>
      <c r="AF535" s="2">
        <f>IF(AND($C535&lt;&gt;"",$E535=CurrentSeason,$F535="REG",ISNUMBER($G535),$G535&lt;CurrentWeek,AND($M535&lt;&gt;"",$N535&lt;&gt;"")),1,0)</f>
        <v>0</v>
      </c>
      <c r="AG535" s="2">
        <f>IF($AF535=0,0,IF($G535&gt;=CurrentWeek-RecencyWin,RecencyMult,1))</f>
        <v>0</v>
      </c>
      <c r="AH535" s="2">
        <f>IF(AND($C535&lt;&gt;"",$E535=CurrentSeason,$F535="REG",ISNUMBER($G535),$G535&lt;CurrentWeek-1,AND($M535&lt;&gt;"",$N535&lt;&gt;"")),1,0)</f>
        <v>0</v>
      </c>
      <c r="AI535" s="2">
        <f>IF($AH535=0,0,IF($G535&gt;=CurrentWeek-1-RecencyWin,RecencyMult,1))</f>
        <v>0</v>
      </c>
      <c r="AJ535" s="2">
        <f>IF($AF535=0,0,IF($G535&gt;=CurrentWeek-RecencyWin,TotRecency,1))</f>
        <v>0</v>
      </c>
      <c r="AK535" s="2">
        <f t="shared" si="9"/>
        <v>0</v>
      </c>
      <c r="AL535" s="2">
        <f t="shared" si="10"/>
        <v>0</v>
      </c>
      <c r="AM535" s="2" t="str">
        <f t="array" ref="AM535">IF($K535="",0,IFERROR(INDEX(CALC!$F$2:$F$33,MATCH($K535,CALC!$A$2:$A$33,0)),0))</f>
        <v/>
      </c>
      <c r="AN535" s="2" t="str">
        <f t="array" ref="AN535">IF($K535="",0,IFERROR(INDEX(CALC!$I$2:$I$33,MATCH($K535,CALC!$A$2:$A$33,0)),0))</f>
        <v/>
      </c>
      <c r="AO535" s="2" t="str">
        <f t="array" ref="AO535">IF($K535="",0,IFERROR(INDEX(CALC!$L$2:$L$33,MATCH($K535,CALC!$A$2:$A$33,0)),0))</f>
        <v/>
      </c>
      <c r="AP535" s="2" t="str">
        <f t="array" ref="AP535">IF($K535="",0,IFERROR(INDEX(CALC!$T$2:$T$33,MATCH($K535,CALC!$A$2:$A$33,0)),0))</f>
        <v/>
      </c>
      <c r="AQ535" s="2" t="str">
        <f t="array" ref="AQ535">IF($K535="",0,IFERROR(INDEX(CALC!$W$2:$W$33,MATCH($K535,CALC!$A$2:$A$33,0)),0))</f>
        <v/>
      </c>
      <c r="AR535" s="2" t="str">
        <f t="array" ref="AR535">IF($K535="",0,IFERROR(INDEX(CALC!$Z$2:$Z$33,MATCH($K535,CALC!$A$2:$A$33,0)),0))</f>
        <v/>
      </c>
      <c r="AS535" s="2" t="str">
        <f t="array" ref="AS535">IF($K535="",0,IFERROR(INDEX(CALC!$AJ$2:$AJ$33,MATCH($K535,CALC!$A$2:$A$33,0)),0))</f>
        <v/>
      </c>
      <c r="AT535" s="2" t="str">
        <f t="array" ref="AT535">IF($K535="",0,IFERROR(INDEX(CALC!$AI$2:$AI$33,MATCH($K535,CALC!$A$2:$A$33,0)),0))</f>
        <v/>
      </c>
      <c r="AU535" s="2">
        <f t="shared" si="11"/>
        <v>0</v>
      </c>
      <c r="AV535" s="2">
        <f t="shared" si="12"/>
        <v>0</v>
      </c>
    </row>
    <row r="536" ht="15.0" customHeight="1">
      <c r="A536" s="2">
        <v>267.0</v>
      </c>
      <c r="B536" s="2" t="s">
        <v>2366</v>
      </c>
      <c r="C536" s="2">
        <f>IFERROR(MATCH($A536,SchedSeq,0),"")</f>
        <v>552</v>
      </c>
      <c r="D536" s="2" t="str">
        <f t="array" ref="D536">IF($C536="","",INDEX(SchedZone,$C536,MAP!$B$6))</f>
        <v>2026_18_SEA_LA</v>
      </c>
      <c r="E536" s="2">
        <f t="array" ref="E536">IF($C536="","",INDEX(SchedZone,$C536,MAP!$B$3))</f>
        <v>2026</v>
      </c>
      <c r="F536" s="2" t="str">
        <f t="array" ref="F536">IF($C536="","",INDEX(SchedZone,$C536,MAP!$B$5))</f>
        <v>REG</v>
      </c>
      <c r="G536" s="2">
        <f t="array" ref="G536">IF($C536="","",INDEX(SchedZone,$C536,MAP!$B$4))</f>
        <v>18</v>
      </c>
      <c r="H536" s="2" t="str">
        <f t="array" ref="H536">IF($C536="","",INDEX(SchedZone,$C536,MAP!$B$10))</f>
        <v>SEA</v>
      </c>
      <c r="I536" s="2" t="str">
        <f t="array" ref="I536">IF($H536="","",IF(COUNTIF(Teams,$H536)&gt;0,$H536,IFERROR(INDEX(LISTS!$D$2:$D$12,MATCH($H536,LISTS!$C$2:$C$12,0)),"⚠ "&amp;$H536)))</f>
        <v>SEA</v>
      </c>
      <c r="J536" s="2" t="str">
        <f t="array" ref="J536">IF($C536="","",INDEX(SchedZone,$C536,MAP!$B$12))</f>
        <v>LA</v>
      </c>
      <c r="K536" s="2" t="str">
        <f t="array" ref="K536">IF($J536="","",IF(COUNTIF(Teams,$J536)&gt;0,$J536,IFERROR(INDEX(LISTS!$D$2:$D$12,MATCH($J536,LISTS!$C$2:$C$12,0)),"⚠ "&amp;$J536)))</f>
        <v>LA</v>
      </c>
      <c r="L536" s="2" t="str">
        <f t="array" ref="L536">IF($C536="","",IF(INDEX(SchedZone,$C536,MAP!$B$14)="Neutral","N",IF($B536="HOME","H","A")))</f>
        <v>A</v>
      </c>
      <c r="M536" s="2" t="str">
        <f t="array" ref="M536">IF($C536="","",IF(INDEX(SchedZone,$C536,MAP!$B$11)="","",INDEX(SchedZone,$C536,MAP!$B$11)))</f>
        <v/>
      </c>
      <c r="N536" s="2" t="str">
        <f t="array" ref="N536">IF($C536="","",IF(INDEX(SchedZone,$C536,MAP!$B$13)="","",INDEX(SchedZone,$C536,MAP!$B$13)))</f>
        <v/>
      </c>
      <c r="O536" s="2">
        <f t="array" ref="O536">IF($C536="","",INDEX(SchedZone,$C536,MAP!$B$15))</f>
        <v>7</v>
      </c>
      <c r="P536" s="2" t="str">
        <f>IF($C536="","",IFERROR(MATCH($E536&amp;"|"&amp;$G536&amp;"|"&amp;$I536,StatsKey,0),""))</f>
        <v/>
      </c>
      <c r="Q536" s="2">
        <f t="array" ref="Q536">IF($P536="",0,INDEX(StatsZone,$P536,MAP!$E$9)+INDEX(StatsZone,$P536,MAP!$E$10)+INDEX(StatsZone,$P536,MAP!$E$11))</f>
        <v>0</v>
      </c>
      <c r="R536" s="2">
        <f t="array" ref="R536">IF($P536="",0,INDEX(StatsZone,$P536,MAP!$E$12))</f>
        <v>0</v>
      </c>
      <c r="S536" s="2">
        <f t="array" ref="S536">IF($P536="",0,INDEX(StatsZone,$P536,MAP!$E$13))</f>
        <v>0</v>
      </c>
      <c r="T536" s="2">
        <f t="shared" si="1"/>
        <v>0</v>
      </c>
      <c r="U536" s="2">
        <f t="array" ref="U536">IF($P536="",0,INDEX(StatsZone,$P536,MAP!$E$14)+INDEX(StatsZone,$P536,MAP!$E$15)+INDEX(StatsZone,$P536,MAP!$E$16))</f>
        <v>0</v>
      </c>
      <c r="V536" s="2">
        <f t="shared" si="2"/>
        <v>0</v>
      </c>
      <c r="W536" s="2">
        <f t="shared" si="3"/>
        <v>0</v>
      </c>
      <c r="X536" s="2">
        <f t="shared" si="4"/>
        <v>0</v>
      </c>
      <c r="Y536" s="2">
        <f t="shared" si="5"/>
        <v>0</v>
      </c>
      <c r="Z536" s="2">
        <f t="shared" si="6"/>
        <v>0</v>
      </c>
      <c r="AA536" s="2">
        <f t="shared" si="7"/>
        <v>-1</v>
      </c>
      <c r="AB536" s="2">
        <f>IF(OR($M536="",$N536=""),0,MEDIAN(-MarginCap,MarginCap,($M536-$N536)-$AA536*HFA_Base))</f>
        <v>0</v>
      </c>
      <c r="AC536" s="2">
        <f t="array" ref="AC536">IF(OR($P536="",INDEX($P$3:$P$722,(ROW()+IF(MOD(ROW()-3,2)=0,1,-1))-3+1)=""),0,MEDIAN(-MarginCap,MarginCap,($T536-$W536)-$AA536*HFA_Base))</f>
        <v>0</v>
      </c>
      <c r="AD536" s="2">
        <f t="shared" si="8"/>
        <v>0</v>
      </c>
      <c r="AE536" s="2">
        <f>IF(OR($M536="",$N536=""),0,IF(AND(WEpa&gt;0,$AD536=1),(1-WEpa)*$AB536+WEpa*$AC536,$AB536))</f>
        <v>0</v>
      </c>
      <c r="AF536" s="2">
        <f>IF(AND($C536&lt;&gt;"",$E536=CurrentSeason,$F536="REG",ISNUMBER($G536),$G536&lt;CurrentWeek,AND($M536&lt;&gt;"",$N536&lt;&gt;"")),1,0)</f>
        <v>0</v>
      </c>
      <c r="AG536" s="2">
        <f>IF($AF536=0,0,IF($G536&gt;=CurrentWeek-RecencyWin,RecencyMult,1))</f>
        <v>0</v>
      </c>
      <c r="AH536" s="2">
        <f>IF(AND($C536&lt;&gt;"",$E536=CurrentSeason,$F536="REG",ISNUMBER($G536),$G536&lt;CurrentWeek-1,AND($M536&lt;&gt;"",$N536&lt;&gt;"")),1,0)</f>
        <v>0</v>
      </c>
      <c r="AI536" s="2">
        <f>IF($AH536=0,0,IF($G536&gt;=CurrentWeek-1-RecencyWin,RecencyMult,1))</f>
        <v>0</v>
      </c>
      <c r="AJ536" s="2">
        <f>IF($AF536=0,0,IF($G536&gt;=CurrentWeek-RecencyWin,TotRecency,1))</f>
        <v>0</v>
      </c>
      <c r="AK536" s="2">
        <f t="shared" si="9"/>
        <v>0</v>
      </c>
      <c r="AL536" s="2">
        <f t="shared" si="10"/>
        <v>0</v>
      </c>
      <c r="AM536" s="2" t="str">
        <f t="array" ref="AM536">IF($K536="",0,IFERROR(INDEX(CALC!$F$2:$F$33,MATCH($K536,CALC!$A$2:$A$33,0)),0))</f>
        <v/>
      </c>
      <c r="AN536" s="2" t="str">
        <f t="array" ref="AN536">IF($K536="",0,IFERROR(INDEX(CALC!$I$2:$I$33,MATCH($K536,CALC!$A$2:$A$33,0)),0))</f>
        <v/>
      </c>
      <c r="AO536" s="2" t="str">
        <f t="array" ref="AO536">IF($K536="",0,IFERROR(INDEX(CALC!$L$2:$L$33,MATCH($K536,CALC!$A$2:$A$33,0)),0))</f>
        <v/>
      </c>
      <c r="AP536" s="2" t="str">
        <f t="array" ref="AP536">IF($K536="",0,IFERROR(INDEX(CALC!$T$2:$T$33,MATCH($K536,CALC!$A$2:$A$33,0)),0))</f>
        <v/>
      </c>
      <c r="AQ536" s="2" t="str">
        <f t="array" ref="AQ536">IF($K536="",0,IFERROR(INDEX(CALC!$W$2:$W$33,MATCH($K536,CALC!$A$2:$A$33,0)),0))</f>
        <v/>
      </c>
      <c r="AR536" s="2" t="str">
        <f t="array" ref="AR536">IF($K536="",0,IFERROR(INDEX(CALC!$Z$2:$Z$33,MATCH($K536,CALC!$A$2:$A$33,0)),0))</f>
        <v/>
      </c>
      <c r="AS536" s="2" t="str">
        <f t="array" ref="AS536">IF($K536="",0,IFERROR(INDEX(CALC!$AJ$2:$AJ$33,MATCH($K536,CALC!$A$2:$A$33,0)),0))</f>
        <v/>
      </c>
      <c r="AT536" s="2" t="str">
        <f t="array" ref="AT536">IF($K536="",0,IFERROR(INDEX(CALC!$AI$2:$AI$33,MATCH($K536,CALC!$A$2:$A$33,0)),0))</f>
        <v/>
      </c>
      <c r="AU536" s="2">
        <f t="shared" si="11"/>
        <v>0</v>
      </c>
      <c r="AV536" s="2">
        <f t="shared" si="12"/>
        <v>0</v>
      </c>
    </row>
    <row r="537" ht="15.0" customHeight="1">
      <c r="A537" s="2">
        <v>268.0</v>
      </c>
      <c r="B537" s="2" t="s">
        <v>2365</v>
      </c>
      <c r="C537" s="2">
        <f>IFERROR(MATCH($A537,SchedSeq,0),"")</f>
        <v>553</v>
      </c>
      <c r="D537" s="2" t="str">
        <f t="array" ref="D537">IF($C537="","",INDEX(SchedZone,$C537,MAP!$B$6))</f>
        <v>2026_18_CHI_MIN</v>
      </c>
      <c r="E537" s="2">
        <f t="array" ref="E537">IF($C537="","",INDEX(SchedZone,$C537,MAP!$B$3))</f>
        <v>2026</v>
      </c>
      <c r="F537" s="2" t="str">
        <f t="array" ref="F537">IF($C537="","",INDEX(SchedZone,$C537,MAP!$B$5))</f>
        <v>REG</v>
      </c>
      <c r="G537" s="2">
        <f t="array" ref="G537">IF($C537="","",INDEX(SchedZone,$C537,MAP!$B$4))</f>
        <v>18</v>
      </c>
      <c r="H537" s="2" t="str">
        <f t="array" ref="H537">IF($C537="","",INDEX(SchedZone,$C537,MAP!$B$12))</f>
        <v>MIN</v>
      </c>
      <c r="I537" s="2" t="str">
        <f t="array" ref="I537">IF($H537="","",IF(COUNTIF(Teams,$H537)&gt;0,$H537,IFERROR(INDEX(LISTS!$D$2:$D$12,MATCH($H537,LISTS!$C$2:$C$12,0)),"⚠ "&amp;$H537)))</f>
        <v>MIN</v>
      </c>
      <c r="J537" s="2" t="str">
        <f t="array" ref="J537">IF($C537="","",INDEX(SchedZone,$C537,MAP!$B$10))</f>
        <v>CHI</v>
      </c>
      <c r="K537" s="2" t="str">
        <f t="array" ref="K537">IF($J537="","",IF(COUNTIF(Teams,$J537)&gt;0,$J537,IFERROR(INDEX(LISTS!$D$2:$D$12,MATCH($J537,LISTS!$C$2:$C$12,0)),"⚠ "&amp;$J537)))</f>
        <v>CHI</v>
      </c>
      <c r="L537" s="2" t="str">
        <f t="array" ref="L537">IF($C537="","",IF(INDEX(SchedZone,$C537,MAP!$B$14)="Neutral","N",IF($B537="HOME","H","A")))</f>
        <v>H</v>
      </c>
      <c r="M537" s="2" t="str">
        <f t="array" ref="M537">IF($C537="","",IF(INDEX(SchedZone,$C537,MAP!$B$13)="","",INDEX(SchedZone,$C537,MAP!$B$13)))</f>
        <v/>
      </c>
      <c r="N537" s="2" t="str">
        <f t="array" ref="N537">IF($C537="","",IF(INDEX(SchedZone,$C537,MAP!$B$11)="","",INDEX(SchedZone,$C537,MAP!$B$11)))</f>
        <v/>
      </c>
      <c r="O537" s="2">
        <f t="array" ref="O537">IF($C537="","",INDEX(SchedZone,$C537,MAP!$B$16))</f>
        <v>7</v>
      </c>
      <c r="P537" s="2" t="str">
        <f>IF($C537="","",IFERROR(MATCH($E537&amp;"|"&amp;$G537&amp;"|"&amp;$I537,StatsKey,0),""))</f>
        <v/>
      </c>
      <c r="Q537" s="2">
        <f t="array" ref="Q537">IF($P537="",0,INDEX(StatsZone,$P537,MAP!$E$9)+INDEX(StatsZone,$P537,MAP!$E$10)+INDEX(StatsZone,$P537,MAP!$E$11))</f>
        <v>0</v>
      </c>
      <c r="R537" s="2">
        <f t="array" ref="R537">IF($P537="",0,INDEX(StatsZone,$P537,MAP!$E$12))</f>
        <v>0</v>
      </c>
      <c r="S537" s="2">
        <f t="array" ref="S537">IF($P537="",0,INDEX(StatsZone,$P537,MAP!$E$13))</f>
        <v>0</v>
      </c>
      <c r="T537" s="2">
        <f t="shared" si="1"/>
        <v>0</v>
      </c>
      <c r="U537" s="2">
        <f t="array" ref="U537">IF($P537="",0,INDEX(StatsZone,$P537,MAP!$E$14)+INDEX(StatsZone,$P537,MAP!$E$15)+INDEX(StatsZone,$P537,MAP!$E$16))</f>
        <v>0</v>
      </c>
      <c r="V537" s="2">
        <f t="shared" si="2"/>
        <v>0</v>
      </c>
      <c r="W537" s="2">
        <f t="shared" si="3"/>
        <v>0</v>
      </c>
      <c r="X537" s="2">
        <f t="shared" si="4"/>
        <v>0</v>
      </c>
      <c r="Y537" s="2">
        <f t="shared" si="5"/>
        <v>0</v>
      </c>
      <c r="Z537" s="2">
        <f t="shared" si="6"/>
        <v>0</v>
      </c>
      <c r="AA537" s="2">
        <f t="shared" si="7"/>
        <v>1</v>
      </c>
      <c r="AB537" s="2">
        <f>IF(OR($M537="",$N537=""),0,MEDIAN(-MarginCap,MarginCap,($M537-$N537)-$AA537*HFA_Base))</f>
        <v>0</v>
      </c>
      <c r="AC537" s="2">
        <f t="array" ref="AC537">IF(OR($P537="",INDEX($P$3:$P$722,(ROW()+IF(MOD(ROW()-3,2)=0,1,-1))-3+1)=""),0,MEDIAN(-MarginCap,MarginCap,($T537-$W537)-$AA537*HFA_Base))</f>
        <v>0</v>
      </c>
      <c r="AD537" s="2">
        <f t="shared" si="8"/>
        <v>0</v>
      </c>
      <c r="AE537" s="2">
        <f>IF(OR($M537="",$N537=""),0,IF(AND(WEpa&gt;0,$AD537=1),(1-WEpa)*$AB537+WEpa*$AC537,$AB537))</f>
        <v>0</v>
      </c>
      <c r="AF537" s="2">
        <f>IF(AND($C537&lt;&gt;"",$E537=CurrentSeason,$F537="REG",ISNUMBER($G537),$G537&lt;CurrentWeek,AND($M537&lt;&gt;"",$N537&lt;&gt;"")),1,0)</f>
        <v>0</v>
      </c>
      <c r="AG537" s="2">
        <f>IF($AF537=0,0,IF($G537&gt;=CurrentWeek-RecencyWin,RecencyMult,1))</f>
        <v>0</v>
      </c>
      <c r="AH537" s="2">
        <f>IF(AND($C537&lt;&gt;"",$E537=CurrentSeason,$F537="REG",ISNUMBER($G537),$G537&lt;CurrentWeek-1,AND($M537&lt;&gt;"",$N537&lt;&gt;"")),1,0)</f>
        <v>0</v>
      </c>
      <c r="AI537" s="2">
        <f>IF($AH537=0,0,IF($G537&gt;=CurrentWeek-1-RecencyWin,RecencyMult,1))</f>
        <v>0</v>
      </c>
      <c r="AJ537" s="2">
        <f>IF($AF537=0,0,IF($G537&gt;=CurrentWeek-RecencyWin,TotRecency,1))</f>
        <v>0</v>
      </c>
      <c r="AK537" s="2">
        <f t="shared" si="9"/>
        <v>0</v>
      </c>
      <c r="AL537" s="2">
        <f t="shared" si="10"/>
        <v>0</v>
      </c>
      <c r="AM537" s="2" t="str">
        <f t="array" ref="AM537">IF($K537="",0,IFERROR(INDEX(CALC!$F$2:$F$33,MATCH($K537,CALC!$A$2:$A$33,0)),0))</f>
        <v/>
      </c>
      <c r="AN537" s="2" t="str">
        <f t="array" ref="AN537">IF($K537="",0,IFERROR(INDEX(CALC!$I$2:$I$33,MATCH($K537,CALC!$A$2:$A$33,0)),0))</f>
        <v/>
      </c>
      <c r="AO537" s="2" t="str">
        <f t="array" ref="AO537">IF($K537="",0,IFERROR(INDEX(CALC!$L$2:$L$33,MATCH($K537,CALC!$A$2:$A$33,0)),0))</f>
        <v/>
      </c>
      <c r="AP537" s="2" t="str">
        <f t="array" ref="AP537">IF($K537="",0,IFERROR(INDEX(CALC!$T$2:$T$33,MATCH($K537,CALC!$A$2:$A$33,0)),0))</f>
        <v/>
      </c>
      <c r="AQ537" s="2" t="str">
        <f t="array" ref="AQ537">IF($K537="",0,IFERROR(INDEX(CALC!$W$2:$W$33,MATCH($K537,CALC!$A$2:$A$33,0)),0))</f>
        <v/>
      </c>
      <c r="AR537" s="2" t="str">
        <f t="array" ref="AR537">IF($K537="",0,IFERROR(INDEX(CALC!$Z$2:$Z$33,MATCH($K537,CALC!$A$2:$A$33,0)),0))</f>
        <v/>
      </c>
      <c r="AS537" s="2" t="str">
        <f t="array" ref="AS537">IF($K537="",0,IFERROR(INDEX(CALC!$AJ$2:$AJ$33,MATCH($K537,CALC!$A$2:$A$33,0)),0))</f>
        <v/>
      </c>
      <c r="AT537" s="2" t="str">
        <f t="array" ref="AT537">IF($K537="",0,IFERROR(INDEX(CALC!$AI$2:$AI$33,MATCH($K537,CALC!$A$2:$A$33,0)),0))</f>
        <v/>
      </c>
      <c r="AU537" s="2">
        <f t="shared" si="11"/>
        <v>0</v>
      </c>
      <c r="AV537" s="2">
        <f t="shared" si="12"/>
        <v>0</v>
      </c>
    </row>
    <row r="538" ht="15.0" customHeight="1">
      <c r="A538" s="2">
        <v>268.0</v>
      </c>
      <c r="B538" s="2" t="s">
        <v>2366</v>
      </c>
      <c r="C538" s="2">
        <f>IFERROR(MATCH($A538,SchedSeq,0),"")</f>
        <v>553</v>
      </c>
      <c r="D538" s="2" t="str">
        <f t="array" ref="D538">IF($C538="","",INDEX(SchedZone,$C538,MAP!$B$6))</f>
        <v>2026_18_CHI_MIN</v>
      </c>
      <c r="E538" s="2">
        <f t="array" ref="E538">IF($C538="","",INDEX(SchedZone,$C538,MAP!$B$3))</f>
        <v>2026</v>
      </c>
      <c r="F538" s="2" t="str">
        <f t="array" ref="F538">IF($C538="","",INDEX(SchedZone,$C538,MAP!$B$5))</f>
        <v>REG</v>
      </c>
      <c r="G538" s="2">
        <f t="array" ref="G538">IF($C538="","",INDEX(SchedZone,$C538,MAP!$B$4))</f>
        <v>18</v>
      </c>
      <c r="H538" s="2" t="str">
        <f t="array" ref="H538">IF($C538="","",INDEX(SchedZone,$C538,MAP!$B$10))</f>
        <v>CHI</v>
      </c>
      <c r="I538" s="2" t="str">
        <f t="array" ref="I538">IF($H538="","",IF(COUNTIF(Teams,$H538)&gt;0,$H538,IFERROR(INDEX(LISTS!$D$2:$D$12,MATCH($H538,LISTS!$C$2:$C$12,0)),"⚠ "&amp;$H538)))</f>
        <v>CHI</v>
      </c>
      <c r="J538" s="2" t="str">
        <f t="array" ref="J538">IF($C538="","",INDEX(SchedZone,$C538,MAP!$B$12))</f>
        <v>MIN</v>
      </c>
      <c r="K538" s="2" t="str">
        <f t="array" ref="K538">IF($J538="","",IF(COUNTIF(Teams,$J538)&gt;0,$J538,IFERROR(INDEX(LISTS!$D$2:$D$12,MATCH($J538,LISTS!$C$2:$C$12,0)),"⚠ "&amp;$J538)))</f>
        <v>MIN</v>
      </c>
      <c r="L538" s="2" t="str">
        <f t="array" ref="L538">IF($C538="","",IF(INDEX(SchedZone,$C538,MAP!$B$14)="Neutral","N",IF($B538="HOME","H","A")))</f>
        <v>A</v>
      </c>
      <c r="M538" s="2" t="str">
        <f t="array" ref="M538">IF($C538="","",IF(INDEX(SchedZone,$C538,MAP!$B$11)="","",INDEX(SchedZone,$C538,MAP!$B$11)))</f>
        <v/>
      </c>
      <c r="N538" s="2" t="str">
        <f t="array" ref="N538">IF($C538="","",IF(INDEX(SchedZone,$C538,MAP!$B$13)="","",INDEX(SchedZone,$C538,MAP!$B$13)))</f>
        <v/>
      </c>
      <c r="O538" s="2">
        <f t="array" ref="O538">IF($C538="","",INDEX(SchedZone,$C538,MAP!$B$15))</f>
        <v>7</v>
      </c>
      <c r="P538" s="2" t="str">
        <f>IF($C538="","",IFERROR(MATCH($E538&amp;"|"&amp;$G538&amp;"|"&amp;$I538,StatsKey,0),""))</f>
        <v/>
      </c>
      <c r="Q538" s="2">
        <f t="array" ref="Q538">IF($P538="",0,INDEX(StatsZone,$P538,MAP!$E$9)+INDEX(StatsZone,$P538,MAP!$E$10)+INDEX(StatsZone,$P538,MAP!$E$11))</f>
        <v>0</v>
      </c>
      <c r="R538" s="2">
        <f t="array" ref="R538">IF($P538="",0,INDEX(StatsZone,$P538,MAP!$E$12))</f>
        <v>0</v>
      </c>
      <c r="S538" s="2">
        <f t="array" ref="S538">IF($P538="",0,INDEX(StatsZone,$P538,MAP!$E$13))</f>
        <v>0</v>
      </c>
      <c r="T538" s="2">
        <f t="shared" si="1"/>
        <v>0</v>
      </c>
      <c r="U538" s="2">
        <f t="array" ref="U538">IF($P538="",0,INDEX(StatsZone,$P538,MAP!$E$14)+INDEX(StatsZone,$P538,MAP!$E$15)+INDEX(StatsZone,$P538,MAP!$E$16))</f>
        <v>0</v>
      </c>
      <c r="V538" s="2">
        <f t="shared" si="2"/>
        <v>0</v>
      </c>
      <c r="W538" s="2">
        <f t="shared" si="3"/>
        <v>0</v>
      </c>
      <c r="X538" s="2">
        <f t="shared" si="4"/>
        <v>0</v>
      </c>
      <c r="Y538" s="2">
        <f t="shared" si="5"/>
        <v>0</v>
      </c>
      <c r="Z538" s="2">
        <f t="shared" si="6"/>
        <v>0</v>
      </c>
      <c r="AA538" s="2">
        <f t="shared" si="7"/>
        <v>-1</v>
      </c>
      <c r="AB538" s="2">
        <f>IF(OR($M538="",$N538=""),0,MEDIAN(-MarginCap,MarginCap,($M538-$N538)-$AA538*HFA_Base))</f>
        <v>0</v>
      </c>
      <c r="AC538" s="2">
        <f t="array" ref="AC538">IF(OR($P538="",INDEX($P$3:$P$722,(ROW()+IF(MOD(ROW()-3,2)=0,1,-1))-3+1)=""),0,MEDIAN(-MarginCap,MarginCap,($T538-$W538)-$AA538*HFA_Base))</f>
        <v>0</v>
      </c>
      <c r="AD538" s="2">
        <f t="shared" si="8"/>
        <v>0</v>
      </c>
      <c r="AE538" s="2">
        <f>IF(OR($M538="",$N538=""),0,IF(AND(WEpa&gt;0,$AD538=1),(1-WEpa)*$AB538+WEpa*$AC538,$AB538))</f>
        <v>0</v>
      </c>
      <c r="AF538" s="2">
        <f>IF(AND($C538&lt;&gt;"",$E538=CurrentSeason,$F538="REG",ISNUMBER($G538),$G538&lt;CurrentWeek,AND($M538&lt;&gt;"",$N538&lt;&gt;"")),1,0)</f>
        <v>0</v>
      </c>
      <c r="AG538" s="2">
        <f>IF($AF538=0,0,IF($G538&gt;=CurrentWeek-RecencyWin,RecencyMult,1))</f>
        <v>0</v>
      </c>
      <c r="AH538" s="2">
        <f>IF(AND($C538&lt;&gt;"",$E538=CurrentSeason,$F538="REG",ISNUMBER($G538),$G538&lt;CurrentWeek-1,AND($M538&lt;&gt;"",$N538&lt;&gt;"")),1,0)</f>
        <v>0</v>
      </c>
      <c r="AI538" s="2">
        <f>IF($AH538=0,0,IF($G538&gt;=CurrentWeek-1-RecencyWin,RecencyMult,1))</f>
        <v>0</v>
      </c>
      <c r="AJ538" s="2">
        <f>IF($AF538=0,0,IF($G538&gt;=CurrentWeek-RecencyWin,TotRecency,1))</f>
        <v>0</v>
      </c>
      <c r="AK538" s="2">
        <f t="shared" si="9"/>
        <v>0</v>
      </c>
      <c r="AL538" s="2">
        <f t="shared" si="10"/>
        <v>0</v>
      </c>
      <c r="AM538" s="2" t="str">
        <f t="array" ref="AM538">IF($K538="",0,IFERROR(INDEX(CALC!$F$2:$F$33,MATCH($K538,CALC!$A$2:$A$33,0)),0))</f>
        <v/>
      </c>
      <c r="AN538" s="2" t="str">
        <f t="array" ref="AN538">IF($K538="",0,IFERROR(INDEX(CALC!$I$2:$I$33,MATCH($K538,CALC!$A$2:$A$33,0)),0))</f>
        <v/>
      </c>
      <c r="AO538" s="2" t="str">
        <f t="array" ref="AO538">IF($K538="",0,IFERROR(INDEX(CALC!$L$2:$L$33,MATCH($K538,CALC!$A$2:$A$33,0)),0))</f>
        <v/>
      </c>
      <c r="AP538" s="2" t="str">
        <f t="array" ref="AP538">IF($K538="",0,IFERROR(INDEX(CALC!$T$2:$T$33,MATCH($K538,CALC!$A$2:$A$33,0)),0))</f>
        <v/>
      </c>
      <c r="AQ538" s="2" t="str">
        <f t="array" ref="AQ538">IF($K538="",0,IFERROR(INDEX(CALC!$W$2:$W$33,MATCH($K538,CALC!$A$2:$A$33,0)),0))</f>
        <v/>
      </c>
      <c r="AR538" s="2" t="str">
        <f t="array" ref="AR538">IF($K538="",0,IFERROR(INDEX(CALC!$Z$2:$Z$33,MATCH($K538,CALC!$A$2:$A$33,0)),0))</f>
        <v/>
      </c>
      <c r="AS538" s="2" t="str">
        <f t="array" ref="AS538">IF($K538="",0,IFERROR(INDEX(CALC!$AJ$2:$AJ$33,MATCH($K538,CALC!$A$2:$A$33,0)),0))</f>
        <v/>
      </c>
      <c r="AT538" s="2" t="str">
        <f t="array" ref="AT538">IF($K538="",0,IFERROR(INDEX(CALC!$AI$2:$AI$33,MATCH($K538,CALC!$A$2:$A$33,0)),0))</f>
        <v/>
      </c>
      <c r="AU538" s="2">
        <f t="shared" si="11"/>
        <v>0</v>
      </c>
      <c r="AV538" s="2">
        <f t="shared" si="12"/>
        <v>0</v>
      </c>
    </row>
    <row r="539" ht="15.0" customHeight="1">
      <c r="A539" s="2">
        <v>269.0</v>
      </c>
      <c r="B539" s="2" t="s">
        <v>2365</v>
      </c>
      <c r="C539" s="2">
        <f>IFERROR(MATCH($A539,SchedSeq,0),"")</f>
        <v>554</v>
      </c>
      <c r="D539" s="2" t="str">
        <f t="array" ref="D539">IF($C539="","",INDEX(SchedZone,$C539,MAP!$B$6))</f>
        <v>2026_18_MIA_NE</v>
      </c>
      <c r="E539" s="2">
        <f t="array" ref="E539">IF($C539="","",INDEX(SchedZone,$C539,MAP!$B$3))</f>
        <v>2026</v>
      </c>
      <c r="F539" s="2" t="str">
        <f t="array" ref="F539">IF($C539="","",INDEX(SchedZone,$C539,MAP!$B$5))</f>
        <v>REG</v>
      </c>
      <c r="G539" s="2">
        <f t="array" ref="G539">IF($C539="","",INDEX(SchedZone,$C539,MAP!$B$4))</f>
        <v>18</v>
      </c>
      <c r="H539" s="2" t="str">
        <f t="array" ref="H539">IF($C539="","",INDEX(SchedZone,$C539,MAP!$B$12))</f>
        <v>NE</v>
      </c>
      <c r="I539" s="2" t="str">
        <f t="array" ref="I539">IF($H539="","",IF(COUNTIF(Teams,$H539)&gt;0,$H539,IFERROR(INDEX(LISTS!$D$2:$D$12,MATCH($H539,LISTS!$C$2:$C$12,0)),"⚠ "&amp;$H539)))</f>
        <v>NE</v>
      </c>
      <c r="J539" s="2" t="str">
        <f t="array" ref="J539">IF($C539="","",INDEX(SchedZone,$C539,MAP!$B$10))</f>
        <v>MIA</v>
      </c>
      <c r="K539" s="2" t="str">
        <f t="array" ref="K539">IF($J539="","",IF(COUNTIF(Teams,$J539)&gt;0,$J539,IFERROR(INDEX(LISTS!$D$2:$D$12,MATCH($J539,LISTS!$C$2:$C$12,0)),"⚠ "&amp;$J539)))</f>
        <v>MIA</v>
      </c>
      <c r="L539" s="2" t="str">
        <f t="array" ref="L539">IF($C539="","",IF(INDEX(SchedZone,$C539,MAP!$B$14)="Neutral","N",IF($B539="HOME","H","A")))</f>
        <v>H</v>
      </c>
      <c r="M539" s="2" t="str">
        <f t="array" ref="M539">IF($C539="","",IF(INDEX(SchedZone,$C539,MAP!$B$13)="","",INDEX(SchedZone,$C539,MAP!$B$13)))</f>
        <v/>
      </c>
      <c r="N539" s="2" t="str">
        <f t="array" ref="N539">IF($C539="","",IF(INDEX(SchedZone,$C539,MAP!$B$11)="","",INDEX(SchedZone,$C539,MAP!$B$11)))</f>
        <v/>
      </c>
      <c r="O539" s="2">
        <f t="array" ref="O539">IF($C539="","",INDEX(SchedZone,$C539,MAP!$B$16))</f>
        <v>7</v>
      </c>
      <c r="P539" s="2" t="str">
        <f>IF($C539="","",IFERROR(MATCH($E539&amp;"|"&amp;$G539&amp;"|"&amp;$I539,StatsKey,0),""))</f>
        <v/>
      </c>
      <c r="Q539" s="2">
        <f t="array" ref="Q539">IF($P539="",0,INDEX(StatsZone,$P539,MAP!$E$9)+INDEX(StatsZone,$P539,MAP!$E$10)+INDEX(StatsZone,$P539,MAP!$E$11))</f>
        <v>0</v>
      </c>
      <c r="R539" s="2">
        <f t="array" ref="R539">IF($P539="",0,INDEX(StatsZone,$P539,MAP!$E$12))</f>
        <v>0</v>
      </c>
      <c r="S539" s="2">
        <f t="array" ref="S539">IF($P539="",0,INDEX(StatsZone,$P539,MAP!$E$13))</f>
        <v>0</v>
      </c>
      <c r="T539" s="2">
        <f t="shared" si="1"/>
        <v>0</v>
      </c>
      <c r="U539" s="2">
        <f t="array" ref="U539">IF($P539="",0,INDEX(StatsZone,$P539,MAP!$E$14)+INDEX(StatsZone,$P539,MAP!$E$15)+INDEX(StatsZone,$P539,MAP!$E$16))</f>
        <v>0</v>
      </c>
      <c r="V539" s="2">
        <f t="shared" si="2"/>
        <v>0</v>
      </c>
      <c r="W539" s="2">
        <f t="shared" si="3"/>
        <v>0</v>
      </c>
      <c r="X539" s="2">
        <f t="shared" si="4"/>
        <v>0</v>
      </c>
      <c r="Y539" s="2">
        <f t="shared" si="5"/>
        <v>0</v>
      </c>
      <c r="Z539" s="2">
        <f t="shared" si="6"/>
        <v>0</v>
      </c>
      <c r="AA539" s="2">
        <f t="shared" si="7"/>
        <v>1</v>
      </c>
      <c r="AB539" s="2">
        <f>IF(OR($M539="",$N539=""),0,MEDIAN(-MarginCap,MarginCap,($M539-$N539)-$AA539*HFA_Base))</f>
        <v>0</v>
      </c>
      <c r="AC539" s="2">
        <f t="array" ref="AC539">IF(OR($P539="",INDEX($P$3:$P$722,(ROW()+IF(MOD(ROW()-3,2)=0,1,-1))-3+1)=""),0,MEDIAN(-MarginCap,MarginCap,($T539-$W539)-$AA539*HFA_Base))</f>
        <v>0</v>
      </c>
      <c r="AD539" s="2">
        <f t="shared" si="8"/>
        <v>0</v>
      </c>
      <c r="AE539" s="2">
        <f>IF(OR($M539="",$N539=""),0,IF(AND(WEpa&gt;0,$AD539=1),(1-WEpa)*$AB539+WEpa*$AC539,$AB539))</f>
        <v>0</v>
      </c>
      <c r="AF539" s="2">
        <f>IF(AND($C539&lt;&gt;"",$E539=CurrentSeason,$F539="REG",ISNUMBER($G539),$G539&lt;CurrentWeek,AND($M539&lt;&gt;"",$N539&lt;&gt;"")),1,0)</f>
        <v>0</v>
      </c>
      <c r="AG539" s="2">
        <f>IF($AF539=0,0,IF($G539&gt;=CurrentWeek-RecencyWin,RecencyMult,1))</f>
        <v>0</v>
      </c>
      <c r="AH539" s="2">
        <f>IF(AND($C539&lt;&gt;"",$E539=CurrentSeason,$F539="REG",ISNUMBER($G539),$G539&lt;CurrentWeek-1,AND($M539&lt;&gt;"",$N539&lt;&gt;"")),1,0)</f>
        <v>0</v>
      </c>
      <c r="AI539" s="2">
        <f>IF($AH539=0,0,IF($G539&gt;=CurrentWeek-1-RecencyWin,RecencyMult,1))</f>
        <v>0</v>
      </c>
      <c r="AJ539" s="2">
        <f>IF($AF539=0,0,IF($G539&gt;=CurrentWeek-RecencyWin,TotRecency,1))</f>
        <v>0</v>
      </c>
      <c r="AK539" s="2">
        <f t="shared" si="9"/>
        <v>0</v>
      </c>
      <c r="AL539" s="2">
        <f t="shared" si="10"/>
        <v>0</v>
      </c>
      <c r="AM539" s="2" t="str">
        <f t="array" ref="AM539">IF($K539="",0,IFERROR(INDEX(CALC!$F$2:$F$33,MATCH($K539,CALC!$A$2:$A$33,0)),0))</f>
        <v/>
      </c>
      <c r="AN539" s="2" t="str">
        <f t="array" ref="AN539">IF($K539="",0,IFERROR(INDEX(CALC!$I$2:$I$33,MATCH($K539,CALC!$A$2:$A$33,0)),0))</f>
        <v/>
      </c>
      <c r="AO539" s="2" t="str">
        <f t="array" ref="AO539">IF($K539="",0,IFERROR(INDEX(CALC!$L$2:$L$33,MATCH($K539,CALC!$A$2:$A$33,0)),0))</f>
        <v/>
      </c>
      <c r="AP539" s="2" t="str">
        <f t="array" ref="AP539">IF($K539="",0,IFERROR(INDEX(CALC!$T$2:$T$33,MATCH($K539,CALC!$A$2:$A$33,0)),0))</f>
        <v/>
      </c>
      <c r="AQ539" s="2" t="str">
        <f t="array" ref="AQ539">IF($K539="",0,IFERROR(INDEX(CALC!$W$2:$W$33,MATCH($K539,CALC!$A$2:$A$33,0)),0))</f>
        <v/>
      </c>
      <c r="AR539" s="2" t="str">
        <f t="array" ref="AR539">IF($K539="",0,IFERROR(INDEX(CALC!$Z$2:$Z$33,MATCH($K539,CALC!$A$2:$A$33,0)),0))</f>
        <v/>
      </c>
      <c r="AS539" s="2" t="str">
        <f t="array" ref="AS539">IF($K539="",0,IFERROR(INDEX(CALC!$AJ$2:$AJ$33,MATCH($K539,CALC!$A$2:$A$33,0)),0))</f>
        <v/>
      </c>
      <c r="AT539" s="2" t="str">
        <f t="array" ref="AT539">IF($K539="",0,IFERROR(INDEX(CALC!$AI$2:$AI$33,MATCH($K539,CALC!$A$2:$A$33,0)),0))</f>
        <v/>
      </c>
      <c r="AU539" s="2">
        <f t="shared" si="11"/>
        <v>0</v>
      </c>
      <c r="AV539" s="2">
        <f t="shared" si="12"/>
        <v>0</v>
      </c>
    </row>
    <row r="540" ht="15.0" customHeight="1">
      <c r="A540" s="2">
        <v>269.0</v>
      </c>
      <c r="B540" s="2" t="s">
        <v>2366</v>
      </c>
      <c r="C540" s="2">
        <f>IFERROR(MATCH($A540,SchedSeq,0),"")</f>
        <v>554</v>
      </c>
      <c r="D540" s="2" t="str">
        <f t="array" ref="D540">IF($C540="","",INDEX(SchedZone,$C540,MAP!$B$6))</f>
        <v>2026_18_MIA_NE</v>
      </c>
      <c r="E540" s="2">
        <f t="array" ref="E540">IF($C540="","",INDEX(SchedZone,$C540,MAP!$B$3))</f>
        <v>2026</v>
      </c>
      <c r="F540" s="2" t="str">
        <f t="array" ref="F540">IF($C540="","",INDEX(SchedZone,$C540,MAP!$B$5))</f>
        <v>REG</v>
      </c>
      <c r="G540" s="2">
        <f t="array" ref="G540">IF($C540="","",INDEX(SchedZone,$C540,MAP!$B$4))</f>
        <v>18</v>
      </c>
      <c r="H540" s="2" t="str">
        <f t="array" ref="H540">IF($C540="","",INDEX(SchedZone,$C540,MAP!$B$10))</f>
        <v>MIA</v>
      </c>
      <c r="I540" s="2" t="str">
        <f t="array" ref="I540">IF($H540="","",IF(COUNTIF(Teams,$H540)&gt;0,$H540,IFERROR(INDEX(LISTS!$D$2:$D$12,MATCH($H540,LISTS!$C$2:$C$12,0)),"⚠ "&amp;$H540)))</f>
        <v>MIA</v>
      </c>
      <c r="J540" s="2" t="str">
        <f t="array" ref="J540">IF($C540="","",INDEX(SchedZone,$C540,MAP!$B$12))</f>
        <v>NE</v>
      </c>
      <c r="K540" s="2" t="str">
        <f t="array" ref="K540">IF($J540="","",IF(COUNTIF(Teams,$J540)&gt;0,$J540,IFERROR(INDEX(LISTS!$D$2:$D$12,MATCH($J540,LISTS!$C$2:$C$12,0)),"⚠ "&amp;$J540)))</f>
        <v>NE</v>
      </c>
      <c r="L540" s="2" t="str">
        <f t="array" ref="L540">IF($C540="","",IF(INDEX(SchedZone,$C540,MAP!$B$14)="Neutral","N",IF($B540="HOME","H","A")))</f>
        <v>A</v>
      </c>
      <c r="M540" s="2" t="str">
        <f t="array" ref="M540">IF($C540="","",IF(INDEX(SchedZone,$C540,MAP!$B$11)="","",INDEX(SchedZone,$C540,MAP!$B$11)))</f>
        <v/>
      </c>
      <c r="N540" s="2" t="str">
        <f t="array" ref="N540">IF($C540="","",IF(INDEX(SchedZone,$C540,MAP!$B$13)="","",INDEX(SchedZone,$C540,MAP!$B$13)))</f>
        <v/>
      </c>
      <c r="O540" s="2">
        <f t="array" ref="O540">IF($C540="","",INDEX(SchedZone,$C540,MAP!$B$15))</f>
        <v>7</v>
      </c>
      <c r="P540" s="2" t="str">
        <f>IF($C540="","",IFERROR(MATCH($E540&amp;"|"&amp;$G540&amp;"|"&amp;$I540,StatsKey,0),""))</f>
        <v/>
      </c>
      <c r="Q540" s="2">
        <f t="array" ref="Q540">IF($P540="",0,INDEX(StatsZone,$P540,MAP!$E$9)+INDEX(StatsZone,$P540,MAP!$E$10)+INDEX(StatsZone,$P540,MAP!$E$11))</f>
        <v>0</v>
      </c>
      <c r="R540" s="2">
        <f t="array" ref="R540">IF($P540="",0,INDEX(StatsZone,$P540,MAP!$E$12))</f>
        <v>0</v>
      </c>
      <c r="S540" s="2">
        <f t="array" ref="S540">IF($P540="",0,INDEX(StatsZone,$P540,MAP!$E$13))</f>
        <v>0</v>
      </c>
      <c r="T540" s="2">
        <f t="shared" si="1"/>
        <v>0</v>
      </c>
      <c r="U540" s="2">
        <f t="array" ref="U540">IF($P540="",0,INDEX(StatsZone,$P540,MAP!$E$14)+INDEX(StatsZone,$P540,MAP!$E$15)+INDEX(StatsZone,$P540,MAP!$E$16))</f>
        <v>0</v>
      </c>
      <c r="V540" s="2">
        <f t="shared" si="2"/>
        <v>0</v>
      </c>
      <c r="W540" s="2">
        <f t="shared" si="3"/>
        <v>0</v>
      </c>
      <c r="X540" s="2">
        <f t="shared" si="4"/>
        <v>0</v>
      </c>
      <c r="Y540" s="2">
        <f t="shared" si="5"/>
        <v>0</v>
      </c>
      <c r="Z540" s="2">
        <f t="shared" si="6"/>
        <v>0</v>
      </c>
      <c r="AA540" s="2">
        <f t="shared" si="7"/>
        <v>-1</v>
      </c>
      <c r="AB540" s="2">
        <f>IF(OR($M540="",$N540=""),0,MEDIAN(-MarginCap,MarginCap,($M540-$N540)-$AA540*HFA_Base))</f>
        <v>0</v>
      </c>
      <c r="AC540" s="2">
        <f t="array" ref="AC540">IF(OR($P540="",INDEX($P$3:$P$722,(ROW()+IF(MOD(ROW()-3,2)=0,1,-1))-3+1)=""),0,MEDIAN(-MarginCap,MarginCap,($T540-$W540)-$AA540*HFA_Base))</f>
        <v>0</v>
      </c>
      <c r="AD540" s="2">
        <f t="shared" si="8"/>
        <v>0</v>
      </c>
      <c r="AE540" s="2">
        <f>IF(OR($M540="",$N540=""),0,IF(AND(WEpa&gt;0,$AD540=1),(1-WEpa)*$AB540+WEpa*$AC540,$AB540))</f>
        <v>0</v>
      </c>
      <c r="AF540" s="2">
        <f>IF(AND($C540&lt;&gt;"",$E540=CurrentSeason,$F540="REG",ISNUMBER($G540),$G540&lt;CurrentWeek,AND($M540&lt;&gt;"",$N540&lt;&gt;"")),1,0)</f>
        <v>0</v>
      </c>
      <c r="AG540" s="2">
        <f>IF($AF540=0,0,IF($G540&gt;=CurrentWeek-RecencyWin,RecencyMult,1))</f>
        <v>0</v>
      </c>
      <c r="AH540" s="2">
        <f>IF(AND($C540&lt;&gt;"",$E540=CurrentSeason,$F540="REG",ISNUMBER($G540),$G540&lt;CurrentWeek-1,AND($M540&lt;&gt;"",$N540&lt;&gt;"")),1,0)</f>
        <v>0</v>
      </c>
      <c r="AI540" s="2">
        <f>IF($AH540=0,0,IF($G540&gt;=CurrentWeek-1-RecencyWin,RecencyMult,1))</f>
        <v>0</v>
      </c>
      <c r="AJ540" s="2">
        <f>IF($AF540=0,0,IF($G540&gt;=CurrentWeek-RecencyWin,TotRecency,1))</f>
        <v>0</v>
      </c>
      <c r="AK540" s="2">
        <f t="shared" si="9"/>
        <v>0</v>
      </c>
      <c r="AL540" s="2">
        <f t="shared" si="10"/>
        <v>0</v>
      </c>
      <c r="AM540" s="2" t="str">
        <f t="array" ref="AM540">IF($K540="",0,IFERROR(INDEX(CALC!$F$2:$F$33,MATCH($K540,CALC!$A$2:$A$33,0)),0))</f>
        <v/>
      </c>
      <c r="AN540" s="2" t="str">
        <f t="array" ref="AN540">IF($K540="",0,IFERROR(INDEX(CALC!$I$2:$I$33,MATCH($K540,CALC!$A$2:$A$33,0)),0))</f>
        <v/>
      </c>
      <c r="AO540" s="2" t="str">
        <f t="array" ref="AO540">IF($K540="",0,IFERROR(INDEX(CALC!$L$2:$L$33,MATCH($K540,CALC!$A$2:$A$33,0)),0))</f>
        <v/>
      </c>
      <c r="AP540" s="2" t="str">
        <f t="array" ref="AP540">IF($K540="",0,IFERROR(INDEX(CALC!$T$2:$T$33,MATCH($K540,CALC!$A$2:$A$33,0)),0))</f>
        <v/>
      </c>
      <c r="AQ540" s="2" t="str">
        <f t="array" ref="AQ540">IF($K540="",0,IFERROR(INDEX(CALC!$W$2:$W$33,MATCH($K540,CALC!$A$2:$A$33,0)),0))</f>
        <v/>
      </c>
      <c r="AR540" s="2" t="str">
        <f t="array" ref="AR540">IF($K540="",0,IFERROR(INDEX(CALC!$Z$2:$Z$33,MATCH($K540,CALC!$A$2:$A$33,0)),0))</f>
        <v/>
      </c>
      <c r="AS540" s="2" t="str">
        <f t="array" ref="AS540">IF($K540="",0,IFERROR(INDEX(CALC!$AJ$2:$AJ$33,MATCH($K540,CALC!$A$2:$A$33,0)),0))</f>
        <v/>
      </c>
      <c r="AT540" s="2" t="str">
        <f t="array" ref="AT540">IF($K540="",0,IFERROR(INDEX(CALC!$AI$2:$AI$33,MATCH($K540,CALC!$A$2:$A$33,0)),0))</f>
        <v/>
      </c>
      <c r="AU540" s="2">
        <f t="shared" si="11"/>
        <v>0</v>
      </c>
      <c r="AV540" s="2">
        <f t="shared" si="12"/>
        <v>0</v>
      </c>
    </row>
    <row r="541" ht="15.0" customHeight="1">
      <c r="A541" s="2">
        <v>270.0</v>
      </c>
      <c r="B541" s="2" t="s">
        <v>2365</v>
      </c>
      <c r="C541" s="2">
        <f>IFERROR(MATCH($A541,SchedSeq,0),"")</f>
        <v>555</v>
      </c>
      <c r="D541" s="2" t="str">
        <f t="array" ref="D541">IF($C541="","",INDEX(SchedZone,$C541,MAP!$B$6))</f>
        <v>2026_18_TB_NO</v>
      </c>
      <c r="E541" s="2">
        <f t="array" ref="E541">IF($C541="","",INDEX(SchedZone,$C541,MAP!$B$3))</f>
        <v>2026</v>
      </c>
      <c r="F541" s="2" t="str">
        <f t="array" ref="F541">IF($C541="","",INDEX(SchedZone,$C541,MAP!$B$5))</f>
        <v>REG</v>
      </c>
      <c r="G541" s="2">
        <f t="array" ref="G541">IF($C541="","",INDEX(SchedZone,$C541,MAP!$B$4))</f>
        <v>18</v>
      </c>
      <c r="H541" s="2" t="str">
        <f t="array" ref="H541">IF($C541="","",INDEX(SchedZone,$C541,MAP!$B$12))</f>
        <v>NO</v>
      </c>
      <c r="I541" s="2" t="str">
        <f t="array" ref="I541">IF($H541="","",IF(COUNTIF(Teams,$H541)&gt;0,$H541,IFERROR(INDEX(LISTS!$D$2:$D$12,MATCH($H541,LISTS!$C$2:$C$12,0)),"⚠ "&amp;$H541)))</f>
        <v>NO</v>
      </c>
      <c r="J541" s="2" t="str">
        <f t="array" ref="J541">IF($C541="","",INDEX(SchedZone,$C541,MAP!$B$10))</f>
        <v>TB</v>
      </c>
      <c r="K541" s="2" t="str">
        <f t="array" ref="K541">IF($J541="","",IF(COUNTIF(Teams,$J541)&gt;0,$J541,IFERROR(INDEX(LISTS!$D$2:$D$12,MATCH($J541,LISTS!$C$2:$C$12,0)),"⚠ "&amp;$J541)))</f>
        <v>TB</v>
      </c>
      <c r="L541" s="2" t="str">
        <f t="array" ref="L541">IF($C541="","",IF(INDEX(SchedZone,$C541,MAP!$B$14)="Neutral","N",IF($B541="HOME","H","A")))</f>
        <v>H</v>
      </c>
      <c r="M541" s="2" t="str">
        <f t="array" ref="M541">IF($C541="","",IF(INDEX(SchedZone,$C541,MAP!$B$13)="","",INDEX(SchedZone,$C541,MAP!$B$13)))</f>
        <v/>
      </c>
      <c r="N541" s="2" t="str">
        <f t="array" ref="N541">IF($C541="","",IF(INDEX(SchedZone,$C541,MAP!$B$11)="","",INDEX(SchedZone,$C541,MAP!$B$11)))</f>
        <v/>
      </c>
      <c r="O541" s="2">
        <f t="array" ref="O541">IF($C541="","",INDEX(SchedZone,$C541,MAP!$B$16))</f>
        <v>7</v>
      </c>
      <c r="P541" s="2" t="str">
        <f>IF($C541="","",IFERROR(MATCH($E541&amp;"|"&amp;$G541&amp;"|"&amp;$I541,StatsKey,0),""))</f>
        <v/>
      </c>
      <c r="Q541" s="2">
        <f t="array" ref="Q541">IF($P541="",0,INDEX(StatsZone,$P541,MAP!$E$9)+INDEX(StatsZone,$P541,MAP!$E$10)+INDEX(StatsZone,$P541,MAP!$E$11))</f>
        <v>0</v>
      </c>
      <c r="R541" s="2">
        <f t="array" ref="R541">IF($P541="",0,INDEX(StatsZone,$P541,MAP!$E$12))</f>
        <v>0</v>
      </c>
      <c r="S541" s="2">
        <f t="array" ref="S541">IF($P541="",0,INDEX(StatsZone,$P541,MAP!$E$13))</f>
        <v>0</v>
      </c>
      <c r="T541" s="2">
        <f t="shared" si="1"/>
        <v>0</v>
      </c>
      <c r="U541" s="2">
        <f t="array" ref="U541">IF($P541="",0,INDEX(StatsZone,$P541,MAP!$E$14)+INDEX(StatsZone,$P541,MAP!$E$15)+INDEX(StatsZone,$P541,MAP!$E$16))</f>
        <v>0</v>
      </c>
      <c r="V541" s="2">
        <f t="shared" si="2"/>
        <v>0</v>
      </c>
      <c r="W541" s="2">
        <f t="shared" si="3"/>
        <v>0</v>
      </c>
      <c r="X541" s="2">
        <f t="shared" si="4"/>
        <v>0</v>
      </c>
      <c r="Y541" s="2">
        <f t="shared" si="5"/>
        <v>0</v>
      </c>
      <c r="Z541" s="2">
        <f t="shared" si="6"/>
        <v>0</v>
      </c>
      <c r="AA541" s="2">
        <f t="shared" si="7"/>
        <v>1</v>
      </c>
      <c r="AB541" s="2">
        <f>IF(OR($M541="",$N541=""),0,MEDIAN(-MarginCap,MarginCap,($M541-$N541)-$AA541*HFA_Base))</f>
        <v>0</v>
      </c>
      <c r="AC541" s="2">
        <f t="array" ref="AC541">IF(OR($P541="",INDEX($P$3:$P$722,(ROW()+IF(MOD(ROW()-3,2)=0,1,-1))-3+1)=""),0,MEDIAN(-MarginCap,MarginCap,($T541-$W541)-$AA541*HFA_Base))</f>
        <v>0</v>
      </c>
      <c r="AD541" s="2">
        <f t="shared" si="8"/>
        <v>0</v>
      </c>
      <c r="AE541" s="2">
        <f>IF(OR($M541="",$N541=""),0,IF(AND(WEpa&gt;0,$AD541=1),(1-WEpa)*$AB541+WEpa*$AC541,$AB541))</f>
        <v>0</v>
      </c>
      <c r="AF541" s="2">
        <f>IF(AND($C541&lt;&gt;"",$E541=CurrentSeason,$F541="REG",ISNUMBER($G541),$G541&lt;CurrentWeek,AND($M541&lt;&gt;"",$N541&lt;&gt;"")),1,0)</f>
        <v>0</v>
      </c>
      <c r="AG541" s="2">
        <f>IF($AF541=0,0,IF($G541&gt;=CurrentWeek-RecencyWin,RecencyMult,1))</f>
        <v>0</v>
      </c>
      <c r="AH541" s="2">
        <f>IF(AND($C541&lt;&gt;"",$E541=CurrentSeason,$F541="REG",ISNUMBER($G541),$G541&lt;CurrentWeek-1,AND($M541&lt;&gt;"",$N541&lt;&gt;"")),1,0)</f>
        <v>0</v>
      </c>
      <c r="AI541" s="2">
        <f>IF($AH541=0,0,IF($G541&gt;=CurrentWeek-1-RecencyWin,RecencyMult,1))</f>
        <v>0</v>
      </c>
      <c r="AJ541" s="2">
        <f>IF($AF541=0,0,IF($G541&gt;=CurrentWeek-RecencyWin,TotRecency,1))</f>
        <v>0</v>
      </c>
      <c r="AK541" s="2">
        <f t="shared" si="9"/>
        <v>0</v>
      </c>
      <c r="AL541" s="2">
        <f t="shared" si="10"/>
        <v>0</v>
      </c>
      <c r="AM541" s="2" t="str">
        <f t="array" ref="AM541">IF($K541="",0,IFERROR(INDEX(CALC!$F$2:$F$33,MATCH($K541,CALC!$A$2:$A$33,0)),0))</f>
        <v/>
      </c>
      <c r="AN541" s="2" t="str">
        <f t="array" ref="AN541">IF($K541="",0,IFERROR(INDEX(CALC!$I$2:$I$33,MATCH($K541,CALC!$A$2:$A$33,0)),0))</f>
        <v/>
      </c>
      <c r="AO541" s="2" t="str">
        <f t="array" ref="AO541">IF($K541="",0,IFERROR(INDEX(CALC!$L$2:$L$33,MATCH($K541,CALC!$A$2:$A$33,0)),0))</f>
        <v/>
      </c>
      <c r="AP541" s="2" t="str">
        <f t="array" ref="AP541">IF($K541="",0,IFERROR(INDEX(CALC!$T$2:$T$33,MATCH($K541,CALC!$A$2:$A$33,0)),0))</f>
        <v/>
      </c>
      <c r="AQ541" s="2" t="str">
        <f t="array" ref="AQ541">IF($K541="",0,IFERROR(INDEX(CALC!$W$2:$W$33,MATCH($K541,CALC!$A$2:$A$33,0)),0))</f>
        <v/>
      </c>
      <c r="AR541" s="2" t="str">
        <f t="array" ref="AR541">IF($K541="",0,IFERROR(INDEX(CALC!$Z$2:$Z$33,MATCH($K541,CALC!$A$2:$A$33,0)),0))</f>
        <v/>
      </c>
      <c r="AS541" s="2" t="str">
        <f t="array" ref="AS541">IF($K541="",0,IFERROR(INDEX(CALC!$AJ$2:$AJ$33,MATCH($K541,CALC!$A$2:$A$33,0)),0))</f>
        <v/>
      </c>
      <c r="AT541" s="2" t="str">
        <f t="array" ref="AT541">IF($K541="",0,IFERROR(INDEX(CALC!$AI$2:$AI$33,MATCH($K541,CALC!$A$2:$A$33,0)),0))</f>
        <v/>
      </c>
      <c r="AU541" s="2">
        <f t="shared" si="11"/>
        <v>0</v>
      </c>
      <c r="AV541" s="2">
        <f t="shared" si="12"/>
        <v>0</v>
      </c>
    </row>
    <row r="542" ht="15.0" customHeight="1">
      <c r="A542" s="2">
        <v>270.0</v>
      </c>
      <c r="B542" s="2" t="s">
        <v>2366</v>
      </c>
      <c r="C542" s="2">
        <f>IFERROR(MATCH($A542,SchedSeq,0),"")</f>
        <v>555</v>
      </c>
      <c r="D542" s="2" t="str">
        <f t="array" ref="D542">IF($C542="","",INDEX(SchedZone,$C542,MAP!$B$6))</f>
        <v>2026_18_TB_NO</v>
      </c>
      <c r="E542" s="2">
        <f t="array" ref="E542">IF($C542="","",INDEX(SchedZone,$C542,MAP!$B$3))</f>
        <v>2026</v>
      </c>
      <c r="F542" s="2" t="str">
        <f t="array" ref="F542">IF($C542="","",INDEX(SchedZone,$C542,MAP!$B$5))</f>
        <v>REG</v>
      </c>
      <c r="G542" s="2">
        <f t="array" ref="G542">IF($C542="","",INDEX(SchedZone,$C542,MAP!$B$4))</f>
        <v>18</v>
      </c>
      <c r="H542" s="2" t="str">
        <f t="array" ref="H542">IF($C542="","",INDEX(SchedZone,$C542,MAP!$B$10))</f>
        <v>TB</v>
      </c>
      <c r="I542" s="2" t="str">
        <f t="array" ref="I542">IF($H542="","",IF(COUNTIF(Teams,$H542)&gt;0,$H542,IFERROR(INDEX(LISTS!$D$2:$D$12,MATCH($H542,LISTS!$C$2:$C$12,0)),"⚠ "&amp;$H542)))</f>
        <v>TB</v>
      </c>
      <c r="J542" s="2" t="str">
        <f t="array" ref="J542">IF($C542="","",INDEX(SchedZone,$C542,MAP!$B$12))</f>
        <v>NO</v>
      </c>
      <c r="K542" s="2" t="str">
        <f t="array" ref="K542">IF($J542="","",IF(COUNTIF(Teams,$J542)&gt;0,$J542,IFERROR(INDEX(LISTS!$D$2:$D$12,MATCH($J542,LISTS!$C$2:$C$12,0)),"⚠ "&amp;$J542)))</f>
        <v>NO</v>
      </c>
      <c r="L542" s="2" t="str">
        <f t="array" ref="L542">IF($C542="","",IF(INDEX(SchedZone,$C542,MAP!$B$14)="Neutral","N",IF($B542="HOME","H","A")))</f>
        <v>A</v>
      </c>
      <c r="M542" s="2" t="str">
        <f t="array" ref="M542">IF($C542="","",IF(INDEX(SchedZone,$C542,MAP!$B$11)="","",INDEX(SchedZone,$C542,MAP!$B$11)))</f>
        <v/>
      </c>
      <c r="N542" s="2" t="str">
        <f t="array" ref="N542">IF($C542="","",IF(INDEX(SchedZone,$C542,MAP!$B$13)="","",INDEX(SchedZone,$C542,MAP!$B$13)))</f>
        <v/>
      </c>
      <c r="O542" s="2">
        <f t="array" ref="O542">IF($C542="","",INDEX(SchedZone,$C542,MAP!$B$15))</f>
        <v>7</v>
      </c>
      <c r="P542" s="2" t="str">
        <f>IF($C542="","",IFERROR(MATCH($E542&amp;"|"&amp;$G542&amp;"|"&amp;$I542,StatsKey,0),""))</f>
        <v/>
      </c>
      <c r="Q542" s="2">
        <f t="array" ref="Q542">IF($P542="",0,INDEX(StatsZone,$P542,MAP!$E$9)+INDEX(StatsZone,$P542,MAP!$E$10)+INDEX(StatsZone,$P542,MAP!$E$11))</f>
        <v>0</v>
      </c>
      <c r="R542" s="2">
        <f t="array" ref="R542">IF($P542="",0,INDEX(StatsZone,$P542,MAP!$E$12))</f>
        <v>0</v>
      </c>
      <c r="S542" s="2">
        <f t="array" ref="S542">IF($P542="",0,INDEX(StatsZone,$P542,MAP!$E$13))</f>
        <v>0</v>
      </c>
      <c r="T542" s="2">
        <f t="shared" si="1"/>
        <v>0</v>
      </c>
      <c r="U542" s="2">
        <f t="array" ref="U542">IF($P542="",0,INDEX(StatsZone,$P542,MAP!$E$14)+INDEX(StatsZone,$P542,MAP!$E$15)+INDEX(StatsZone,$P542,MAP!$E$16))</f>
        <v>0</v>
      </c>
      <c r="V542" s="2">
        <f t="shared" si="2"/>
        <v>0</v>
      </c>
      <c r="W542" s="2">
        <f t="shared" si="3"/>
        <v>0</v>
      </c>
      <c r="X542" s="2">
        <f t="shared" si="4"/>
        <v>0</v>
      </c>
      <c r="Y542" s="2">
        <f t="shared" si="5"/>
        <v>0</v>
      </c>
      <c r="Z542" s="2">
        <f t="shared" si="6"/>
        <v>0</v>
      </c>
      <c r="AA542" s="2">
        <f t="shared" si="7"/>
        <v>-1</v>
      </c>
      <c r="AB542" s="2">
        <f>IF(OR($M542="",$N542=""),0,MEDIAN(-MarginCap,MarginCap,($M542-$N542)-$AA542*HFA_Base))</f>
        <v>0</v>
      </c>
      <c r="AC542" s="2">
        <f t="array" ref="AC542">IF(OR($P542="",INDEX($P$3:$P$722,(ROW()+IF(MOD(ROW()-3,2)=0,1,-1))-3+1)=""),0,MEDIAN(-MarginCap,MarginCap,($T542-$W542)-$AA542*HFA_Base))</f>
        <v>0</v>
      </c>
      <c r="AD542" s="2">
        <f t="shared" si="8"/>
        <v>0</v>
      </c>
      <c r="AE542" s="2">
        <f>IF(OR($M542="",$N542=""),0,IF(AND(WEpa&gt;0,$AD542=1),(1-WEpa)*$AB542+WEpa*$AC542,$AB542))</f>
        <v>0</v>
      </c>
      <c r="AF542" s="2">
        <f>IF(AND($C542&lt;&gt;"",$E542=CurrentSeason,$F542="REG",ISNUMBER($G542),$G542&lt;CurrentWeek,AND($M542&lt;&gt;"",$N542&lt;&gt;"")),1,0)</f>
        <v>0</v>
      </c>
      <c r="AG542" s="2">
        <f>IF($AF542=0,0,IF($G542&gt;=CurrentWeek-RecencyWin,RecencyMult,1))</f>
        <v>0</v>
      </c>
      <c r="AH542" s="2">
        <f>IF(AND($C542&lt;&gt;"",$E542=CurrentSeason,$F542="REG",ISNUMBER($G542),$G542&lt;CurrentWeek-1,AND($M542&lt;&gt;"",$N542&lt;&gt;"")),1,0)</f>
        <v>0</v>
      </c>
      <c r="AI542" s="2">
        <f>IF($AH542=0,0,IF($G542&gt;=CurrentWeek-1-RecencyWin,RecencyMult,1))</f>
        <v>0</v>
      </c>
      <c r="AJ542" s="2">
        <f>IF($AF542=0,0,IF($G542&gt;=CurrentWeek-RecencyWin,TotRecency,1))</f>
        <v>0</v>
      </c>
      <c r="AK542" s="2">
        <f t="shared" si="9"/>
        <v>0</v>
      </c>
      <c r="AL542" s="2">
        <f t="shared" si="10"/>
        <v>0</v>
      </c>
      <c r="AM542" s="2" t="str">
        <f t="array" ref="AM542">IF($K542="",0,IFERROR(INDEX(CALC!$F$2:$F$33,MATCH($K542,CALC!$A$2:$A$33,0)),0))</f>
        <v/>
      </c>
      <c r="AN542" s="2" t="str">
        <f t="array" ref="AN542">IF($K542="",0,IFERROR(INDEX(CALC!$I$2:$I$33,MATCH($K542,CALC!$A$2:$A$33,0)),0))</f>
        <v/>
      </c>
      <c r="AO542" s="2" t="str">
        <f t="array" ref="AO542">IF($K542="",0,IFERROR(INDEX(CALC!$L$2:$L$33,MATCH($K542,CALC!$A$2:$A$33,0)),0))</f>
        <v/>
      </c>
      <c r="AP542" s="2" t="str">
        <f t="array" ref="AP542">IF($K542="",0,IFERROR(INDEX(CALC!$T$2:$T$33,MATCH($K542,CALC!$A$2:$A$33,0)),0))</f>
        <v/>
      </c>
      <c r="AQ542" s="2" t="str">
        <f t="array" ref="AQ542">IF($K542="",0,IFERROR(INDEX(CALC!$W$2:$W$33,MATCH($K542,CALC!$A$2:$A$33,0)),0))</f>
        <v/>
      </c>
      <c r="AR542" s="2" t="str">
        <f t="array" ref="AR542">IF($K542="",0,IFERROR(INDEX(CALC!$Z$2:$Z$33,MATCH($K542,CALC!$A$2:$A$33,0)),0))</f>
        <v/>
      </c>
      <c r="AS542" s="2" t="str">
        <f t="array" ref="AS542">IF($K542="",0,IFERROR(INDEX(CALC!$AJ$2:$AJ$33,MATCH($K542,CALC!$A$2:$A$33,0)),0))</f>
        <v/>
      </c>
      <c r="AT542" s="2" t="str">
        <f t="array" ref="AT542">IF($K542="",0,IFERROR(INDEX(CALC!$AI$2:$AI$33,MATCH($K542,CALC!$A$2:$A$33,0)),0))</f>
        <v/>
      </c>
      <c r="AU542" s="2">
        <f t="shared" si="11"/>
        <v>0</v>
      </c>
      <c r="AV542" s="2">
        <f t="shared" si="12"/>
        <v>0</v>
      </c>
    </row>
    <row r="543" ht="15.0" customHeight="1">
      <c r="A543" s="2">
        <v>271.0</v>
      </c>
      <c r="B543" s="2" t="s">
        <v>2365</v>
      </c>
      <c r="C543" s="2">
        <f>IFERROR(MATCH($A543,SchedSeq,0),"")</f>
        <v>556</v>
      </c>
      <c r="D543" s="2" t="str">
        <f t="array" ref="D543">IF($C543="","",INDEX(SchedZone,$C543,MAP!$B$6))</f>
        <v>2026_18_PHI_NYG</v>
      </c>
      <c r="E543" s="2">
        <f t="array" ref="E543">IF($C543="","",INDEX(SchedZone,$C543,MAP!$B$3))</f>
        <v>2026</v>
      </c>
      <c r="F543" s="2" t="str">
        <f t="array" ref="F543">IF($C543="","",INDEX(SchedZone,$C543,MAP!$B$5))</f>
        <v>REG</v>
      </c>
      <c r="G543" s="2">
        <f t="array" ref="G543">IF($C543="","",INDEX(SchedZone,$C543,MAP!$B$4))</f>
        <v>18</v>
      </c>
      <c r="H543" s="2" t="str">
        <f t="array" ref="H543">IF($C543="","",INDEX(SchedZone,$C543,MAP!$B$12))</f>
        <v>NYG</v>
      </c>
      <c r="I543" s="2" t="str">
        <f t="array" ref="I543">IF($H543="","",IF(COUNTIF(Teams,$H543)&gt;0,$H543,IFERROR(INDEX(LISTS!$D$2:$D$12,MATCH($H543,LISTS!$C$2:$C$12,0)),"⚠ "&amp;$H543)))</f>
        <v>NYG</v>
      </c>
      <c r="J543" s="2" t="str">
        <f t="array" ref="J543">IF($C543="","",INDEX(SchedZone,$C543,MAP!$B$10))</f>
        <v>PHI</v>
      </c>
      <c r="K543" s="2" t="str">
        <f t="array" ref="K543">IF($J543="","",IF(COUNTIF(Teams,$J543)&gt;0,$J543,IFERROR(INDEX(LISTS!$D$2:$D$12,MATCH($J543,LISTS!$C$2:$C$12,0)),"⚠ "&amp;$J543)))</f>
        <v>PHI</v>
      </c>
      <c r="L543" s="2" t="str">
        <f t="array" ref="L543">IF($C543="","",IF(INDEX(SchedZone,$C543,MAP!$B$14)="Neutral","N",IF($B543="HOME","H","A")))</f>
        <v>H</v>
      </c>
      <c r="M543" s="2" t="str">
        <f t="array" ref="M543">IF($C543="","",IF(INDEX(SchedZone,$C543,MAP!$B$13)="","",INDEX(SchedZone,$C543,MAP!$B$13)))</f>
        <v/>
      </c>
      <c r="N543" s="2" t="str">
        <f t="array" ref="N543">IF($C543="","",IF(INDEX(SchedZone,$C543,MAP!$B$11)="","",INDEX(SchedZone,$C543,MAP!$B$11)))</f>
        <v/>
      </c>
      <c r="O543" s="2">
        <f t="array" ref="O543">IF($C543="","",INDEX(SchedZone,$C543,MAP!$B$16))</f>
        <v>7</v>
      </c>
      <c r="P543" s="2" t="str">
        <f>IF($C543="","",IFERROR(MATCH($E543&amp;"|"&amp;$G543&amp;"|"&amp;$I543,StatsKey,0),""))</f>
        <v/>
      </c>
      <c r="Q543" s="2">
        <f t="array" ref="Q543">IF($P543="",0,INDEX(StatsZone,$P543,MAP!$E$9)+INDEX(StatsZone,$P543,MAP!$E$10)+INDEX(StatsZone,$P543,MAP!$E$11))</f>
        <v>0</v>
      </c>
      <c r="R543" s="2">
        <f t="array" ref="R543">IF($P543="",0,INDEX(StatsZone,$P543,MAP!$E$12))</f>
        <v>0</v>
      </c>
      <c r="S543" s="2">
        <f t="array" ref="S543">IF($P543="",0,INDEX(StatsZone,$P543,MAP!$E$13))</f>
        <v>0</v>
      </c>
      <c r="T543" s="2">
        <f t="shared" si="1"/>
        <v>0</v>
      </c>
      <c r="U543" s="2">
        <f t="array" ref="U543">IF($P543="",0,INDEX(StatsZone,$P543,MAP!$E$14)+INDEX(StatsZone,$P543,MAP!$E$15)+INDEX(StatsZone,$P543,MAP!$E$16))</f>
        <v>0</v>
      </c>
      <c r="V543" s="2">
        <f t="shared" si="2"/>
        <v>0</v>
      </c>
      <c r="W543" s="2">
        <f t="shared" si="3"/>
        <v>0</v>
      </c>
      <c r="X543" s="2">
        <f t="shared" si="4"/>
        <v>0</v>
      </c>
      <c r="Y543" s="2">
        <f t="shared" si="5"/>
        <v>0</v>
      </c>
      <c r="Z543" s="2">
        <f t="shared" si="6"/>
        <v>0</v>
      </c>
      <c r="AA543" s="2">
        <f t="shared" si="7"/>
        <v>1</v>
      </c>
      <c r="AB543" s="2">
        <f>IF(OR($M543="",$N543=""),0,MEDIAN(-MarginCap,MarginCap,($M543-$N543)-$AA543*HFA_Base))</f>
        <v>0</v>
      </c>
      <c r="AC543" s="2">
        <f t="array" ref="AC543">IF(OR($P543="",INDEX($P$3:$P$722,(ROW()+IF(MOD(ROW()-3,2)=0,1,-1))-3+1)=""),0,MEDIAN(-MarginCap,MarginCap,($T543-$W543)-$AA543*HFA_Base))</f>
        <v>0</v>
      </c>
      <c r="AD543" s="2">
        <f t="shared" si="8"/>
        <v>0</v>
      </c>
      <c r="AE543" s="2">
        <f>IF(OR($M543="",$N543=""),0,IF(AND(WEpa&gt;0,$AD543=1),(1-WEpa)*$AB543+WEpa*$AC543,$AB543))</f>
        <v>0</v>
      </c>
      <c r="AF543" s="2">
        <f>IF(AND($C543&lt;&gt;"",$E543=CurrentSeason,$F543="REG",ISNUMBER($G543),$G543&lt;CurrentWeek,AND($M543&lt;&gt;"",$N543&lt;&gt;"")),1,0)</f>
        <v>0</v>
      </c>
      <c r="AG543" s="2">
        <f>IF($AF543=0,0,IF($G543&gt;=CurrentWeek-RecencyWin,RecencyMult,1))</f>
        <v>0</v>
      </c>
      <c r="AH543" s="2">
        <f>IF(AND($C543&lt;&gt;"",$E543=CurrentSeason,$F543="REG",ISNUMBER($G543),$G543&lt;CurrentWeek-1,AND($M543&lt;&gt;"",$N543&lt;&gt;"")),1,0)</f>
        <v>0</v>
      </c>
      <c r="AI543" s="2">
        <f>IF($AH543=0,0,IF($G543&gt;=CurrentWeek-1-RecencyWin,RecencyMult,1))</f>
        <v>0</v>
      </c>
      <c r="AJ543" s="2">
        <f>IF($AF543=0,0,IF($G543&gt;=CurrentWeek-RecencyWin,TotRecency,1))</f>
        <v>0</v>
      </c>
      <c r="AK543" s="2">
        <f t="shared" si="9"/>
        <v>0</v>
      </c>
      <c r="AL543" s="2">
        <f t="shared" si="10"/>
        <v>0</v>
      </c>
      <c r="AM543" s="2" t="str">
        <f t="array" ref="AM543">IF($K543="",0,IFERROR(INDEX(CALC!$F$2:$F$33,MATCH($K543,CALC!$A$2:$A$33,0)),0))</f>
        <v/>
      </c>
      <c r="AN543" s="2" t="str">
        <f t="array" ref="AN543">IF($K543="",0,IFERROR(INDEX(CALC!$I$2:$I$33,MATCH($K543,CALC!$A$2:$A$33,0)),0))</f>
        <v/>
      </c>
      <c r="AO543" s="2" t="str">
        <f t="array" ref="AO543">IF($K543="",0,IFERROR(INDEX(CALC!$L$2:$L$33,MATCH($K543,CALC!$A$2:$A$33,0)),0))</f>
        <v/>
      </c>
      <c r="AP543" s="2" t="str">
        <f t="array" ref="AP543">IF($K543="",0,IFERROR(INDEX(CALC!$T$2:$T$33,MATCH($K543,CALC!$A$2:$A$33,0)),0))</f>
        <v/>
      </c>
      <c r="AQ543" s="2" t="str">
        <f t="array" ref="AQ543">IF($K543="",0,IFERROR(INDEX(CALC!$W$2:$W$33,MATCH($K543,CALC!$A$2:$A$33,0)),0))</f>
        <v/>
      </c>
      <c r="AR543" s="2" t="str">
        <f t="array" ref="AR543">IF($K543="",0,IFERROR(INDEX(CALC!$Z$2:$Z$33,MATCH($K543,CALC!$A$2:$A$33,0)),0))</f>
        <v/>
      </c>
      <c r="AS543" s="2" t="str">
        <f t="array" ref="AS543">IF($K543="",0,IFERROR(INDEX(CALC!$AJ$2:$AJ$33,MATCH($K543,CALC!$A$2:$A$33,0)),0))</f>
        <v/>
      </c>
      <c r="AT543" s="2" t="str">
        <f t="array" ref="AT543">IF($K543="",0,IFERROR(INDEX(CALC!$AI$2:$AI$33,MATCH($K543,CALC!$A$2:$A$33,0)),0))</f>
        <v/>
      </c>
      <c r="AU543" s="2">
        <f t="shared" si="11"/>
        <v>0</v>
      </c>
      <c r="AV543" s="2">
        <f t="shared" si="12"/>
        <v>0</v>
      </c>
    </row>
    <row r="544" ht="15.0" customHeight="1">
      <c r="A544" s="2">
        <v>271.0</v>
      </c>
      <c r="B544" s="2" t="s">
        <v>2366</v>
      </c>
      <c r="C544" s="2">
        <f>IFERROR(MATCH($A544,SchedSeq,0),"")</f>
        <v>556</v>
      </c>
      <c r="D544" s="2" t="str">
        <f t="array" ref="D544">IF($C544="","",INDEX(SchedZone,$C544,MAP!$B$6))</f>
        <v>2026_18_PHI_NYG</v>
      </c>
      <c r="E544" s="2">
        <f t="array" ref="E544">IF($C544="","",INDEX(SchedZone,$C544,MAP!$B$3))</f>
        <v>2026</v>
      </c>
      <c r="F544" s="2" t="str">
        <f t="array" ref="F544">IF($C544="","",INDEX(SchedZone,$C544,MAP!$B$5))</f>
        <v>REG</v>
      </c>
      <c r="G544" s="2">
        <f t="array" ref="G544">IF($C544="","",INDEX(SchedZone,$C544,MAP!$B$4))</f>
        <v>18</v>
      </c>
      <c r="H544" s="2" t="str">
        <f t="array" ref="H544">IF($C544="","",INDEX(SchedZone,$C544,MAP!$B$10))</f>
        <v>PHI</v>
      </c>
      <c r="I544" s="2" t="str">
        <f t="array" ref="I544">IF($H544="","",IF(COUNTIF(Teams,$H544)&gt;0,$H544,IFERROR(INDEX(LISTS!$D$2:$D$12,MATCH($H544,LISTS!$C$2:$C$12,0)),"⚠ "&amp;$H544)))</f>
        <v>PHI</v>
      </c>
      <c r="J544" s="2" t="str">
        <f t="array" ref="J544">IF($C544="","",INDEX(SchedZone,$C544,MAP!$B$12))</f>
        <v>NYG</v>
      </c>
      <c r="K544" s="2" t="str">
        <f t="array" ref="K544">IF($J544="","",IF(COUNTIF(Teams,$J544)&gt;0,$J544,IFERROR(INDEX(LISTS!$D$2:$D$12,MATCH($J544,LISTS!$C$2:$C$12,0)),"⚠ "&amp;$J544)))</f>
        <v>NYG</v>
      </c>
      <c r="L544" s="2" t="str">
        <f t="array" ref="L544">IF($C544="","",IF(INDEX(SchedZone,$C544,MAP!$B$14)="Neutral","N",IF($B544="HOME","H","A")))</f>
        <v>A</v>
      </c>
      <c r="M544" s="2" t="str">
        <f t="array" ref="M544">IF($C544="","",IF(INDEX(SchedZone,$C544,MAP!$B$11)="","",INDEX(SchedZone,$C544,MAP!$B$11)))</f>
        <v/>
      </c>
      <c r="N544" s="2" t="str">
        <f t="array" ref="N544">IF($C544="","",IF(INDEX(SchedZone,$C544,MAP!$B$13)="","",INDEX(SchedZone,$C544,MAP!$B$13)))</f>
        <v/>
      </c>
      <c r="O544" s="2">
        <f t="array" ref="O544">IF($C544="","",INDEX(SchedZone,$C544,MAP!$B$15))</f>
        <v>7</v>
      </c>
      <c r="P544" s="2" t="str">
        <f>IF($C544="","",IFERROR(MATCH($E544&amp;"|"&amp;$G544&amp;"|"&amp;$I544,StatsKey,0),""))</f>
        <v/>
      </c>
      <c r="Q544" s="2">
        <f t="array" ref="Q544">IF($P544="",0,INDEX(StatsZone,$P544,MAP!$E$9)+INDEX(StatsZone,$P544,MAP!$E$10)+INDEX(StatsZone,$P544,MAP!$E$11))</f>
        <v>0</v>
      </c>
      <c r="R544" s="2">
        <f t="array" ref="R544">IF($P544="",0,INDEX(StatsZone,$P544,MAP!$E$12))</f>
        <v>0</v>
      </c>
      <c r="S544" s="2">
        <f t="array" ref="S544">IF($P544="",0,INDEX(StatsZone,$P544,MAP!$E$13))</f>
        <v>0</v>
      </c>
      <c r="T544" s="2">
        <f t="shared" si="1"/>
        <v>0</v>
      </c>
      <c r="U544" s="2">
        <f t="array" ref="U544">IF($P544="",0,INDEX(StatsZone,$P544,MAP!$E$14)+INDEX(StatsZone,$P544,MAP!$E$15)+INDEX(StatsZone,$P544,MAP!$E$16))</f>
        <v>0</v>
      </c>
      <c r="V544" s="2">
        <f t="shared" si="2"/>
        <v>0</v>
      </c>
      <c r="W544" s="2">
        <f t="shared" si="3"/>
        <v>0</v>
      </c>
      <c r="X544" s="2">
        <f t="shared" si="4"/>
        <v>0</v>
      </c>
      <c r="Y544" s="2">
        <f t="shared" si="5"/>
        <v>0</v>
      </c>
      <c r="Z544" s="2">
        <f t="shared" si="6"/>
        <v>0</v>
      </c>
      <c r="AA544" s="2">
        <f t="shared" si="7"/>
        <v>-1</v>
      </c>
      <c r="AB544" s="2">
        <f>IF(OR($M544="",$N544=""),0,MEDIAN(-MarginCap,MarginCap,($M544-$N544)-$AA544*HFA_Base))</f>
        <v>0</v>
      </c>
      <c r="AC544" s="2">
        <f t="array" ref="AC544">IF(OR($P544="",INDEX($P$3:$P$722,(ROW()+IF(MOD(ROW()-3,2)=0,1,-1))-3+1)=""),0,MEDIAN(-MarginCap,MarginCap,($T544-$W544)-$AA544*HFA_Base))</f>
        <v>0</v>
      </c>
      <c r="AD544" s="2">
        <f t="shared" si="8"/>
        <v>0</v>
      </c>
      <c r="AE544" s="2">
        <f>IF(OR($M544="",$N544=""),0,IF(AND(WEpa&gt;0,$AD544=1),(1-WEpa)*$AB544+WEpa*$AC544,$AB544))</f>
        <v>0</v>
      </c>
      <c r="AF544" s="2">
        <f>IF(AND($C544&lt;&gt;"",$E544=CurrentSeason,$F544="REG",ISNUMBER($G544),$G544&lt;CurrentWeek,AND($M544&lt;&gt;"",$N544&lt;&gt;"")),1,0)</f>
        <v>0</v>
      </c>
      <c r="AG544" s="2">
        <f>IF($AF544=0,0,IF($G544&gt;=CurrentWeek-RecencyWin,RecencyMult,1))</f>
        <v>0</v>
      </c>
      <c r="AH544" s="2">
        <f>IF(AND($C544&lt;&gt;"",$E544=CurrentSeason,$F544="REG",ISNUMBER($G544),$G544&lt;CurrentWeek-1,AND($M544&lt;&gt;"",$N544&lt;&gt;"")),1,0)</f>
        <v>0</v>
      </c>
      <c r="AI544" s="2">
        <f>IF($AH544=0,0,IF($G544&gt;=CurrentWeek-1-RecencyWin,RecencyMult,1))</f>
        <v>0</v>
      </c>
      <c r="AJ544" s="2">
        <f>IF($AF544=0,0,IF($G544&gt;=CurrentWeek-RecencyWin,TotRecency,1))</f>
        <v>0</v>
      </c>
      <c r="AK544" s="2">
        <f t="shared" si="9"/>
        <v>0</v>
      </c>
      <c r="AL544" s="2">
        <f t="shared" si="10"/>
        <v>0</v>
      </c>
      <c r="AM544" s="2" t="str">
        <f t="array" ref="AM544">IF($K544="",0,IFERROR(INDEX(CALC!$F$2:$F$33,MATCH($K544,CALC!$A$2:$A$33,0)),0))</f>
        <v/>
      </c>
      <c r="AN544" s="2" t="str">
        <f t="array" ref="AN544">IF($K544="",0,IFERROR(INDEX(CALC!$I$2:$I$33,MATCH($K544,CALC!$A$2:$A$33,0)),0))</f>
        <v/>
      </c>
      <c r="AO544" s="2" t="str">
        <f t="array" ref="AO544">IF($K544="",0,IFERROR(INDEX(CALC!$L$2:$L$33,MATCH($K544,CALC!$A$2:$A$33,0)),0))</f>
        <v/>
      </c>
      <c r="AP544" s="2" t="str">
        <f t="array" ref="AP544">IF($K544="",0,IFERROR(INDEX(CALC!$T$2:$T$33,MATCH($K544,CALC!$A$2:$A$33,0)),0))</f>
        <v/>
      </c>
      <c r="AQ544" s="2" t="str">
        <f t="array" ref="AQ544">IF($K544="",0,IFERROR(INDEX(CALC!$W$2:$W$33,MATCH($K544,CALC!$A$2:$A$33,0)),0))</f>
        <v/>
      </c>
      <c r="AR544" s="2" t="str">
        <f t="array" ref="AR544">IF($K544="",0,IFERROR(INDEX(CALC!$Z$2:$Z$33,MATCH($K544,CALC!$A$2:$A$33,0)),0))</f>
        <v/>
      </c>
      <c r="AS544" s="2" t="str">
        <f t="array" ref="AS544">IF($K544="",0,IFERROR(INDEX(CALC!$AJ$2:$AJ$33,MATCH($K544,CALC!$A$2:$A$33,0)),0))</f>
        <v/>
      </c>
      <c r="AT544" s="2" t="str">
        <f t="array" ref="AT544">IF($K544="",0,IFERROR(INDEX(CALC!$AI$2:$AI$33,MATCH($K544,CALC!$A$2:$A$33,0)),0))</f>
        <v/>
      </c>
      <c r="AU544" s="2">
        <f t="shared" si="11"/>
        <v>0</v>
      </c>
      <c r="AV544" s="2">
        <f t="shared" si="12"/>
        <v>0</v>
      </c>
    </row>
    <row r="545" ht="15.0" customHeight="1">
      <c r="A545" s="2">
        <v>272.0</v>
      </c>
      <c r="B545" s="2" t="s">
        <v>2365</v>
      </c>
      <c r="C545" s="2">
        <f>IFERROR(MATCH($A545,SchedSeq,0),"")</f>
        <v>557</v>
      </c>
      <c r="D545" s="2" t="str">
        <f t="array" ref="D545">IF($C545="","",INDEX(SchedZone,$C545,MAP!$B$6))</f>
        <v>2026_18_DAL_WAS</v>
      </c>
      <c r="E545" s="2">
        <f t="array" ref="E545">IF($C545="","",INDEX(SchedZone,$C545,MAP!$B$3))</f>
        <v>2026</v>
      </c>
      <c r="F545" s="2" t="str">
        <f t="array" ref="F545">IF($C545="","",INDEX(SchedZone,$C545,MAP!$B$5))</f>
        <v>REG</v>
      </c>
      <c r="G545" s="2">
        <f t="array" ref="G545">IF($C545="","",INDEX(SchedZone,$C545,MAP!$B$4))</f>
        <v>18</v>
      </c>
      <c r="H545" s="2" t="str">
        <f t="array" ref="H545">IF($C545="","",INDEX(SchedZone,$C545,MAP!$B$12))</f>
        <v>WAS</v>
      </c>
      <c r="I545" s="2" t="str">
        <f t="array" ref="I545">IF($H545="","",IF(COUNTIF(Teams,$H545)&gt;0,$H545,IFERROR(INDEX(LISTS!$D$2:$D$12,MATCH($H545,LISTS!$C$2:$C$12,0)),"⚠ "&amp;$H545)))</f>
        <v>WAS</v>
      </c>
      <c r="J545" s="2" t="str">
        <f t="array" ref="J545">IF($C545="","",INDEX(SchedZone,$C545,MAP!$B$10))</f>
        <v>DAL</v>
      </c>
      <c r="K545" s="2" t="str">
        <f t="array" ref="K545">IF($J545="","",IF(COUNTIF(Teams,$J545)&gt;0,$J545,IFERROR(INDEX(LISTS!$D$2:$D$12,MATCH($J545,LISTS!$C$2:$C$12,0)),"⚠ "&amp;$J545)))</f>
        <v>DAL</v>
      </c>
      <c r="L545" s="2" t="str">
        <f t="array" ref="L545">IF($C545="","",IF(INDEX(SchedZone,$C545,MAP!$B$14)="Neutral","N",IF($B545="HOME","H","A")))</f>
        <v>H</v>
      </c>
      <c r="M545" s="2" t="str">
        <f t="array" ref="M545">IF($C545="","",IF(INDEX(SchedZone,$C545,MAP!$B$13)="","",INDEX(SchedZone,$C545,MAP!$B$13)))</f>
        <v/>
      </c>
      <c r="N545" s="2" t="str">
        <f t="array" ref="N545">IF($C545="","",IF(INDEX(SchedZone,$C545,MAP!$B$11)="","",INDEX(SchedZone,$C545,MAP!$B$11)))</f>
        <v/>
      </c>
      <c r="O545" s="2">
        <f t="array" ref="O545">IF($C545="","",INDEX(SchedZone,$C545,MAP!$B$16))</f>
        <v>7</v>
      </c>
      <c r="P545" s="2" t="str">
        <f>IF($C545="","",IFERROR(MATCH($E545&amp;"|"&amp;$G545&amp;"|"&amp;$I545,StatsKey,0),""))</f>
        <v/>
      </c>
      <c r="Q545" s="2">
        <f t="array" ref="Q545">IF($P545="",0,INDEX(StatsZone,$P545,MAP!$E$9)+INDEX(StatsZone,$P545,MAP!$E$10)+INDEX(StatsZone,$P545,MAP!$E$11))</f>
        <v>0</v>
      </c>
      <c r="R545" s="2">
        <f t="array" ref="R545">IF($P545="",0,INDEX(StatsZone,$P545,MAP!$E$12))</f>
        <v>0</v>
      </c>
      <c r="S545" s="2">
        <f t="array" ref="S545">IF($P545="",0,INDEX(StatsZone,$P545,MAP!$E$13))</f>
        <v>0</v>
      </c>
      <c r="T545" s="2">
        <f t="shared" si="1"/>
        <v>0</v>
      </c>
      <c r="U545" s="2">
        <f t="array" ref="U545">IF($P545="",0,INDEX(StatsZone,$P545,MAP!$E$14)+INDEX(StatsZone,$P545,MAP!$E$15)+INDEX(StatsZone,$P545,MAP!$E$16))</f>
        <v>0</v>
      </c>
      <c r="V545" s="2">
        <f t="shared" si="2"/>
        <v>0</v>
      </c>
      <c r="W545" s="2">
        <f t="shared" si="3"/>
        <v>0</v>
      </c>
      <c r="X545" s="2">
        <f t="shared" si="4"/>
        <v>0</v>
      </c>
      <c r="Y545" s="2">
        <f t="shared" si="5"/>
        <v>0</v>
      </c>
      <c r="Z545" s="2">
        <f t="shared" si="6"/>
        <v>0</v>
      </c>
      <c r="AA545" s="2">
        <f t="shared" si="7"/>
        <v>1</v>
      </c>
      <c r="AB545" s="2">
        <f>IF(OR($M545="",$N545=""),0,MEDIAN(-MarginCap,MarginCap,($M545-$N545)-$AA545*HFA_Base))</f>
        <v>0</v>
      </c>
      <c r="AC545" s="2">
        <f t="array" ref="AC545">IF(OR($P545="",INDEX($P$3:$P$722,(ROW()+IF(MOD(ROW()-3,2)=0,1,-1))-3+1)=""),0,MEDIAN(-MarginCap,MarginCap,($T545-$W545)-$AA545*HFA_Base))</f>
        <v>0</v>
      </c>
      <c r="AD545" s="2">
        <f t="shared" si="8"/>
        <v>0</v>
      </c>
      <c r="AE545" s="2">
        <f>IF(OR($M545="",$N545=""),0,IF(AND(WEpa&gt;0,$AD545=1),(1-WEpa)*$AB545+WEpa*$AC545,$AB545))</f>
        <v>0</v>
      </c>
      <c r="AF545" s="2">
        <f>IF(AND($C545&lt;&gt;"",$E545=CurrentSeason,$F545="REG",ISNUMBER($G545),$G545&lt;CurrentWeek,AND($M545&lt;&gt;"",$N545&lt;&gt;"")),1,0)</f>
        <v>0</v>
      </c>
      <c r="AG545" s="2">
        <f>IF($AF545=0,0,IF($G545&gt;=CurrentWeek-RecencyWin,RecencyMult,1))</f>
        <v>0</v>
      </c>
      <c r="AH545" s="2">
        <f>IF(AND($C545&lt;&gt;"",$E545=CurrentSeason,$F545="REG",ISNUMBER($G545),$G545&lt;CurrentWeek-1,AND($M545&lt;&gt;"",$N545&lt;&gt;"")),1,0)</f>
        <v>0</v>
      </c>
      <c r="AI545" s="2">
        <f>IF($AH545=0,0,IF($G545&gt;=CurrentWeek-1-RecencyWin,RecencyMult,1))</f>
        <v>0</v>
      </c>
      <c r="AJ545" s="2">
        <f>IF($AF545=0,0,IF($G545&gt;=CurrentWeek-RecencyWin,TotRecency,1))</f>
        <v>0</v>
      </c>
      <c r="AK545" s="2">
        <f t="shared" si="9"/>
        <v>0</v>
      </c>
      <c r="AL545" s="2">
        <f t="shared" si="10"/>
        <v>0</v>
      </c>
      <c r="AM545" s="2" t="str">
        <f t="array" ref="AM545">IF($K545="",0,IFERROR(INDEX(CALC!$F$2:$F$33,MATCH($K545,CALC!$A$2:$A$33,0)),0))</f>
        <v/>
      </c>
      <c r="AN545" s="2" t="str">
        <f t="array" ref="AN545">IF($K545="",0,IFERROR(INDEX(CALC!$I$2:$I$33,MATCH($K545,CALC!$A$2:$A$33,0)),0))</f>
        <v/>
      </c>
      <c r="AO545" s="2" t="str">
        <f t="array" ref="AO545">IF($K545="",0,IFERROR(INDEX(CALC!$L$2:$L$33,MATCH($K545,CALC!$A$2:$A$33,0)),0))</f>
        <v/>
      </c>
      <c r="AP545" s="2" t="str">
        <f t="array" ref="AP545">IF($K545="",0,IFERROR(INDEX(CALC!$T$2:$T$33,MATCH($K545,CALC!$A$2:$A$33,0)),0))</f>
        <v/>
      </c>
      <c r="AQ545" s="2" t="str">
        <f t="array" ref="AQ545">IF($K545="",0,IFERROR(INDEX(CALC!$W$2:$W$33,MATCH($K545,CALC!$A$2:$A$33,0)),0))</f>
        <v/>
      </c>
      <c r="AR545" s="2" t="str">
        <f t="array" ref="AR545">IF($K545="",0,IFERROR(INDEX(CALC!$Z$2:$Z$33,MATCH($K545,CALC!$A$2:$A$33,0)),0))</f>
        <v/>
      </c>
      <c r="AS545" s="2" t="str">
        <f t="array" ref="AS545">IF($K545="",0,IFERROR(INDEX(CALC!$AJ$2:$AJ$33,MATCH($K545,CALC!$A$2:$A$33,0)),0))</f>
        <v/>
      </c>
      <c r="AT545" s="2" t="str">
        <f t="array" ref="AT545">IF($K545="",0,IFERROR(INDEX(CALC!$AI$2:$AI$33,MATCH($K545,CALC!$A$2:$A$33,0)),0))</f>
        <v/>
      </c>
      <c r="AU545" s="2">
        <f t="shared" si="11"/>
        <v>0</v>
      </c>
      <c r="AV545" s="2">
        <f t="shared" si="12"/>
        <v>0</v>
      </c>
    </row>
    <row r="546" ht="15.0" customHeight="1">
      <c r="A546" s="2">
        <v>272.0</v>
      </c>
      <c r="B546" s="2" t="s">
        <v>2366</v>
      </c>
      <c r="C546" s="2">
        <f>IFERROR(MATCH($A546,SchedSeq,0),"")</f>
        <v>557</v>
      </c>
      <c r="D546" s="2" t="str">
        <f t="array" ref="D546">IF($C546="","",INDEX(SchedZone,$C546,MAP!$B$6))</f>
        <v>2026_18_DAL_WAS</v>
      </c>
      <c r="E546" s="2">
        <f t="array" ref="E546">IF($C546="","",INDEX(SchedZone,$C546,MAP!$B$3))</f>
        <v>2026</v>
      </c>
      <c r="F546" s="2" t="str">
        <f t="array" ref="F546">IF($C546="","",INDEX(SchedZone,$C546,MAP!$B$5))</f>
        <v>REG</v>
      </c>
      <c r="G546" s="2">
        <f t="array" ref="G546">IF($C546="","",INDEX(SchedZone,$C546,MAP!$B$4))</f>
        <v>18</v>
      </c>
      <c r="H546" s="2" t="str">
        <f t="array" ref="H546">IF($C546="","",INDEX(SchedZone,$C546,MAP!$B$10))</f>
        <v>DAL</v>
      </c>
      <c r="I546" s="2" t="str">
        <f t="array" ref="I546">IF($H546="","",IF(COUNTIF(Teams,$H546)&gt;0,$H546,IFERROR(INDEX(LISTS!$D$2:$D$12,MATCH($H546,LISTS!$C$2:$C$12,0)),"⚠ "&amp;$H546)))</f>
        <v>DAL</v>
      </c>
      <c r="J546" s="2" t="str">
        <f t="array" ref="J546">IF($C546="","",INDEX(SchedZone,$C546,MAP!$B$12))</f>
        <v>WAS</v>
      </c>
      <c r="K546" s="2" t="str">
        <f t="array" ref="K546">IF($J546="","",IF(COUNTIF(Teams,$J546)&gt;0,$J546,IFERROR(INDEX(LISTS!$D$2:$D$12,MATCH($J546,LISTS!$C$2:$C$12,0)),"⚠ "&amp;$J546)))</f>
        <v>WAS</v>
      </c>
      <c r="L546" s="2" t="str">
        <f t="array" ref="L546">IF($C546="","",IF(INDEX(SchedZone,$C546,MAP!$B$14)="Neutral","N",IF($B546="HOME","H","A")))</f>
        <v>A</v>
      </c>
      <c r="M546" s="2" t="str">
        <f t="array" ref="M546">IF($C546="","",IF(INDEX(SchedZone,$C546,MAP!$B$11)="","",INDEX(SchedZone,$C546,MAP!$B$11)))</f>
        <v/>
      </c>
      <c r="N546" s="2" t="str">
        <f t="array" ref="N546">IF($C546="","",IF(INDEX(SchedZone,$C546,MAP!$B$13)="","",INDEX(SchedZone,$C546,MAP!$B$13)))</f>
        <v/>
      </c>
      <c r="O546" s="2">
        <f t="array" ref="O546">IF($C546="","",INDEX(SchedZone,$C546,MAP!$B$15))</f>
        <v>7</v>
      </c>
      <c r="P546" s="2" t="str">
        <f>IF($C546="","",IFERROR(MATCH($E546&amp;"|"&amp;$G546&amp;"|"&amp;$I546,StatsKey,0),""))</f>
        <v/>
      </c>
      <c r="Q546" s="2">
        <f t="array" ref="Q546">IF($P546="",0,INDEX(StatsZone,$P546,MAP!$E$9)+INDEX(StatsZone,$P546,MAP!$E$10)+INDEX(StatsZone,$P546,MAP!$E$11))</f>
        <v>0</v>
      </c>
      <c r="R546" s="2">
        <f t="array" ref="R546">IF($P546="",0,INDEX(StatsZone,$P546,MAP!$E$12))</f>
        <v>0</v>
      </c>
      <c r="S546" s="2">
        <f t="array" ref="S546">IF($P546="",0,INDEX(StatsZone,$P546,MAP!$E$13))</f>
        <v>0</v>
      </c>
      <c r="T546" s="2">
        <f t="shared" si="1"/>
        <v>0</v>
      </c>
      <c r="U546" s="2">
        <f t="array" ref="U546">IF($P546="",0,INDEX(StatsZone,$P546,MAP!$E$14)+INDEX(StatsZone,$P546,MAP!$E$15)+INDEX(StatsZone,$P546,MAP!$E$16))</f>
        <v>0</v>
      </c>
      <c r="V546" s="2">
        <f t="shared" si="2"/>
        <v>0</v>
      </c>
      <c r="W546" s="2">
        <f t="shared" si="3"/>
        <v>0</v>
      </c>
      <c r="X546" s="2">
        <f t="shared" si="4"/>
        <v>0</v>
      </c>
      <c r="Y546" s="2">
        <f t="shared" si="5"/>
        <v>0</v>
      </c>
      <c r="Z546" s="2">
        <f t="shared" si="6"/>
        <v>0</v>
      </c>
      <c r="AA546" s="2">
        <f t="shared" si="7"/>
        <v>-1</v>
      </c>
      <c r="AB546" s="2">
        <f>IF(OR($M546="",$N546=""),0,MEDIAN(-MarginCap,MarginCap,($M546-$N546)-$AA546*HFA_Base))</f>
        <v>0</v>
      </c>
      <c r="AC546" s="2">
        <f t="array" ref="AC546">IF(OR($P546="",INDEX($P$3:$P$722,(ROW()+IF(MOD(ROW()-3,2)=0,1,-1))-3+1)=""),0,MEDIAN(-MarginCap,MarginCap,($T546-$W546)-$AA546*HFA_Base))</f>
        <v>0</v>
      </c>
      <c r="AD546" s="2">
        <f t="shared" si="8"/>
        <v>0</v>
      </c>
      <c r="AE546" s="2">
        <f>IF(OR($M546="",$N546=""),0,IF(AND(WEpa&gt;0,$AD546=1),(1-WEpa)*$AB546+WEpa*$AC546,$AB546))</f>
        <v>0</v>
      </c>
      <c r="AF546" s="2">
        <f>IF(AND($C546&lt;&gt;"",$E546=CurrentSeason,$F546="REG",ISNUMBER($G546),$G546&lt;CurrentWeek,AND($M546&lt;&gt;"",$N546&lt;&gt;"")),1,0)</f>
        <v>0</v>
      </c>
      <c r="AG546" s="2">
        <f>IF($AF546=0,0,IF($G546&gt;=CurrentWeek-RecencyWin,RecencyMult,1))</f>
        <v>0</v>
      </c>
      <c r="AH546" s="2">
        <f>IF(AND($C546&lt;&gt;"",$E546=CurrentSeason,$F546="REG",ISNUMBER($G546),$G546&lt;CurrentWeek-1,AND($M546&lt;&gt;"",$N546&lt;&gt;"")),1,0)</f>
        <v>0</v>
      </c>
      <c r="AI546" s="2">
        <f>IF($AH546=0,0,IF($G546&gt;=CurrentWeek-1-RecencyWin,RecencyMult,1))</f>
        <v>0</v>
      </c>
      <c r="AJ546" s="2">
        <f>IF($AF546=0,0,IF($G546&gt;=CurrentWeek-RecencyWin,TotRecency,1))</f>
        <v>0</v>
      </c>
      <c r="AK546" s="2">
        <f t="shared" si="9"/>
        <v>0</v>
      </c>
      <c r="AL546" s="2">
        <f t="shared" si="10"/>
        <v>0</v>
      </c>
      <c r="AM546" s="2" t="str">
        <f t="array" ref="AM546">IF($K546="",0,IFERROR(INDEX(CALC!$F$2:$F$33,MATCH($K546,CALC!$A$2:$A$33,0)),0))</f>
        <v/>
      </c>
      <c r="AN546" s="2" t="str">
        <f t="array" ref="AN546">IF($K546="",0,IFERROR(INDEX(CALC!$I$2:$I$33,MATCH($K546,CALC!$A$2:$A$33,0)),0))</f>
        <v/>
      </c>
      <c r="AO546" s="2" t="str">
        <f t="array" ref="AO546">IF($K546="",0,IFERROR(INDEX(CALC!$L$2:$L$33,MATCH($K546,CALC!$A$2:$A$33,0)),0))</f>
        <v/>
      </c>
      <c r="AP546" s="2" t="str">
        <f t="array" ref="AP546">IF($K546="",0,IFERROR(INDEX(CALC!$T$2:$T$33,MATCH($K546,CALC!$A$2:$A$33,0)),0))</f>
        <v/>
      </c>
      <c r="AQ546" s="2" t="str">
        <f t="array" ref="AQ546">IF($K546="",0,IFERROR(INDEX(CALC!$W$2:$W$33,MATCH($K546,CALC!$A$2:$A$33,0)),0))</f>
        <v/>
      </c>
      <c r="AR546" s="2" t="str">
        <f t="array" ref="AR546">IF($K546="",0,IFERROR(INDEX(CALC!$Z$2:$Z$33,MATCH($K546,CALC!$A$2:$A$33,0)),0))</f>
        <v/>
      </c>
      <c r="AS546" s="2" t="str">
        <f t="array" ref="AS546">IF($K546="",0,IFERROR(INDEX(CALC!$AJ$2:$AJ$33,MATCH($K546,CALC!$A$2:$A$33,0)),0))</f>
        <v/>
      </c>
      <c r="AT546" s="2" t="str">
        <f t="array" ref="AT546">IF($K546="",0,IFERROR(INDEX(CALC!$AI$2:$AI$33,MATCH($K546,CALC!$A$2:$A$33,0)),0))</f>
        <v/>
      </c>
      <c r="AU546" s="2">
        <f t="shared" si="11"/>
        <v>0</v>
      </c>
      <c r="AV546" s="2">
        <f t="shared" si="12"/>
        <v>0</v>
      </c>
    </row>
    <row r="547" ht="15.0" customHeight="1">
      <c r="A547" s="2">
        <v>273.0</v>
      </c>
      <c r="B547" s="2" t="s">
        <v>2365</v>
      </c>
      <c r="C547" s="2" t="str">
        <f>IFERROR(MATCH($A547,SchedSeq,0),"")</f>
        <v/>
      </c>
      <c r="D547" s="2" t="str">
        <f t="array" ref="D547">IF($C547="","",INDEX(SchedZone,$C547,MAP!$B$6))</f>
        <v/>
      </c>
      <c r="E547" s="2" t="str">
        <f t="array" ref="E547">IF($C547="","",INDEX(SchedZone,$C547,MAP!$B$3))</f>
        <v/>
      </c>
      <c r="F547" s="2" t="str">
        <f t="array" ref="F547">IF($C547="","",INDEX(SchedZone,$C547,MAP!$B$5))</f>
        <v/>
      </c>
      <c r="G547" s="2" t="str">
        <f t="array" ref="G547">IF($C547="","",INDEX(SchedZone,$C547,MAP!$B$4))</f>
        <v/>
      </c>
      <c r="H547" s="2" t="str">
        <f t="array" ref="H547">IF($C547="","",INDEX(SchedZone,$C547,MAP!$B$12))</f>
        <v/>
      </c>
      <c r="I547" s="2" t="str">
        <f t="array" ref="I547">IF($H547="","",IF(COUNTIF(Teams,$H547)&gt;0,$H547,IFERROR(INDEX(LISTS!$D$2:$D$12,MATCH($H547,LISTS!$C$2:$C$12,0)),"⚠ "&amp;$H547)))</f>
        <v/>
      </c>
      <c r="J547" s="2" t="str">
        <f t="array" ref="J547">IF($C547="","",INDEX(SchedZone,$C547,MAP!$B$10))</f>
        <v/>
      </c>
      <c r="K547" s="2" t="str">
        <f t="array" ref="K547">IF($J547="","",IF(COUNTIF(Teams,$J547)&gt;0,$J547,IFERROR(INDEX(LISTS!$D$2:$D$12,MATCH($J547,LISTS!$C$2:$C$12,0)),"⚠ "&amp;$J547)))</f>
        <v/>
      </c>
      <c r="L547" s="2" t="str">
        <f t="array" ref="L547">IF($C547="","",IF(INDEX(SchedZone,$C547,MAP!$B$14)="Neutral","N",IF($B547="HOME","H","A")))</f>
        <v/>
      </c>
      <c r="M547" s="2" t="str">
        <f t="array" ref="M547">IF($C547="","",IF(INDEX(SchedZone,$C547,MAP!$B$13)="","",INDEX(SchedZone,$C547,MAP!$B$13)))</f>
        <v/>
      </c>
      <c r="N547" s="2" t="str">
        <f t="array" ref="N547">IF($C547="","",IF(INDEX(SchedZone,$C547,MAP!$B$11)="","",INDEX(SchedZone,$C547,MAP!$B$11)))</f>
        <v/>
      </c>
      <c r="O547" s="2" t="str">
        <f t="array" ref="O547">IF($C547="","",INDEX(SchedZone,$C547,MAP!$B$16))</f>
        <v/>
      </c>
      <c r="P547" s="2" t="str">
        <f>IF($C547="","",IFERROR(MATCH($E547&amp;"|"&amp;$G547&amp;"|"&amp;$I547,StatsKey,0),""))</f>
        <v/>
      </c>
      <c r="Q547" s="2">
        <f t="array" ref="Q547">IF($P547="",0,INDEX(StatsZone,$P547,MAP!$E$9)+INDEX(StatsZone,$P547,MAP!$E$10)+INDEX(StatsZone,$P547,MAP!$E$11))</f>
        <v>0</v>
      </c>
      <c r="R547" s="2">
        <f t="array" ref="R547">IF($P547="",0,INDEX(StatsZone,$P547,MAP!$E$12))</f>
        <v>0</v>
      </c>
      <c r="S547" s="2">
        <f t="array" ref="S547">IF($P547="",0,INDEX(StatsZone,$P547,MAP!$E$13))</f>
        <v>0</v>
      </c>
      <c r="T547" s="2">
        <f t="shared" si="1"/>
        <v>0</v>
      </c>
      <c r="U547" s="2">
        <f t="array" ref="U547">IF($P547="",0,INDEX(StatsZone,$P547,MAP!$E$14)+INDEX(StatsZone,$P547,MAP!$E$15)+INDEX(StatsZone,$P547,MAP!$E$16))</f>
        <v>0</v>
      </c>
      <c r="V547" s="2">
        <f t="shared" si="2"/>
        <v>0</v>
      </c>
      <c r="W547" s="2">
        <f t="shared" si="3"/>
        <v>0</v>
      </c>
      <c r="X547" s="2">
        <f t="shared" si="4"/>
        <v>0</v>
      </c>
      <c r="Y547" s="2">
        <f t="shared" si="5"/>
        <v>0</v>
      </c>
      <c r="Z547" s="2">
        <f t="shared" si="6"/>
        <v>0</v>
      </c>
      <c r="AA547" s="2">
        <f t="shared" si="7"/>
        <v>0</v>
      </c>
      <c r="AB547" s="2">
        <f>IF(OR($M547="",$N547=""),0,MEDIAN(-MarginCap,MarginCap,($M547-$N547)-$AA547*HFA_Base))</f>
        <v>0</v>
      </c>
      <c r="AC547" s="2">
        <f t="array" ref="AC547">IF(OR($P547="",INDEX($P$3:$P$722,(ROW()+IF(MOD(ROW()-3,2)=0,1,-1))-3+1)=""),0,MEDIAN(-MarginCap,MarginCap,($T547-$W547)-$AA547*HFA_Base))</f>
        <v>0</v>
      </c>
      <c r="AD547" s="2">
        <f t="shared" si="8"/>
        <v>0</v>
      </c>
      <c r="AE547" s="2">
        <f>IF(OR($M547="",$N547=""),0,IF(AND(WEpa&gt;0,$AD547=1),(1-WEpa)*$AB547+WEpa*$AC547,$AB547))</f>
        <v>0</v>
      </c>
      <c r="AF547" s="2">
        <f>IF(AND($C547&lt;&gt;"",$E547=CurrentSeason,$F547="REG",ISNUMBER($G547),$G547&lt;CurrentWeek,AND($M547&lt;&gt;"",$N547&lt;&gt;"")),1,0)</f>
        <v>0</v>
      </c>
      <c r="AG547" s="2">
        <f>IF($AF547=0,0,IF($G547&gt;=CurrentWeek-RecencyWin,RecencyMult,1))</f>
        <v>0</v>
      </c>
      <c r="AH547" s="2">
        <f>IF(AND($C547&lt;&gt;"",$E547=CurrentSeason,$F547="REG",ISNUMBER($G547),$G547&lt;CurrentWeek-1,AND($M547&lt;&gt;"",$N547&lt;&gt;"")),1,0)</f>
        <v>0</v>
      </c>
      <c r="AI547" s="2">
        <f>IF($AH547=0,0,IF($G547&gt;=CurrentWeek-1-RecencyWin,RecencyMult,1))</f>
        <v>0</v>
      </c>
      <c r="AJ547" s="2">
        <f>IF($AF547=0,0,IF($G547&gt;=CurrentWeek-RecencyWin,TotRecency,1))</f>
        <v>0</v>
      </c>
      <c r="AK547" s="2">
        <f t="shared" si="9"/>
        <v>0</v>
      </c>
      <c r="AL547" s="2">
        <f t="shared" si="10"/>
        <v>0</v>
      </c>
      <c r="AM547" s="2">
        <f t="array" ref="AM547">IF($K547="",0,IFERROR(INDEX(CALC!$F$2:$F$33,MATCH($K547,CALC!$A$2:$A$33,0)),0))</f>
        <v>0</v>
      </c>
      <c r="AN547" s="2">
        <f t="array" ref="AN547">IF($K547="",0,IFERROR(INDEX(CALC!$I$2:$I$33,MATCH($K547,CALC!$A$2:$A$33,0)),0))</f>
        <v>0</v>
      </c>
      <c r="AO547" s="2">
        <f t="array" ref="AO547">IF($K547="",0,IFERROR(INDEX(CALC!$L$2:$L$33,MATCH($K547,CALC!$A$2:$A$33,0)),0))</f>
        <v>0</v>
      </c>
      <c r="AP547" s="2">
        <f t="array" ref="AP547">IF($K547="",0,IFERROR(INDEX(CALC!$T$2:$T$33,MATCH($K547,CALC!$A$2:$A$33,0)),0))</f>
        <v>0</v>
      </c>
      <c r="AQ547" s="2">
        <f t="array" ref="AQ547">IF($K547="",0,IFERROR(INDEX(CALC!$W$2:$W$33,MATCH($K547,CALC!$A$2:$A$33,0)),0))</f>
        <v>0</v>
      </c>
      <c r="AR547" s="2">
        <f t="array" ref="AR547">IF($K547="",0,IFERROR(INDEX(CALC!$Z$2:$Z$33,MATCH($K547,CALC!$A$2:$A$33,0)),0))</f>
        <v>0</v>
      </c>
      <c r="AS547" s="2">
        <f t="array" ref="AS547">IF($K547="",0,IFERROR(INDEX(CALC!$AJ$2:$AJ$33,MATCH($K547,CALC!$A$2:$A$33,0)),0))</f>
        <v>0</v>
      </c>
      <c r="AT547" s="2">
        <f t="array" ref="AT547">IF($K547="",0,IFERROR(INDEX(CALC!$AI$2:$AI$33,MATCH($K547,CALC!$A$2:$A$33,0)),0))</f>
        <v>0</v>
      </c>
      <c r="AU547" s="2">
        <f t="shared" si="11"/>
        <v>0</v>
      </c>
      <c r="AV547" s="2">
        <f t="shared" si="12"/>
        <v>0</v>
      </c>
    </row>
    <row r="548" ht="15.0" customHeight="1">
      <c r="A548" s="2">
        <v>273.0</v>
      </c>
      <c r="B548" s="2" t="s">
        <v>2366</v>
      </c>
      <c r="C548" s="2" t="str">
        <f>IFERROR(MATCH($A548,SchedSeq,0),"")</f>
        <v/>
      </c>
      <c r="D548" s="2" t="str">
        <f t="array" ref="D548">IF($C548="","",INDEX(SchedZone,$C548,MAP!$B$6))</f>
        <v/>
      </c>
      <c r="E548" s="2" t="str">
        <f t="array" ref="E548">IF($C548="","",INDEX(SchedZone,$C548,MAP!$B$3))</f>
        <v/>
      </c>
      <c r="F548" s="2" t="str">
        <f t="array" ref="F548">IF($C548="","",INDEX(SchedZone,$C548,MAP!$B$5))</f>
        <v/>
      </c>
      <c r="G548" s="2" t="str">
        <f t="array" ref="G548">IF($C548="","",INDEX(SchedZone,$C548,MAP!$B$4))</f>
        <v/>
      </c>
      <c r="H548" s="2" t="str">
        <f t="array" ref="H548">IF($C548="","",INDEX(SchedZone,$C548,MAP!$B$10))</f>
        <v/>
      </c>
      <c r="I548" s="2" t="str">
        <f t="array" ref="I548">IF($H548="","",IF(COUNTIF(Teams,$H548)&gt;0,$H548,IFERROR(INDEX(LISTS!$D$2:$D$12,MATCH($H548,LISTS!$C$2:$C$12,0)),"⚠ "&amp;$H548)))</f>
        <v/>
      </c>
      <c r="J548" s="2" t="str">
        <f t="array" ref="J548">IF($C548="","",INDEX(SchedZone,$C548,MAP!$B$12))</f>
        <v/>
      </c>
      <c r="K548" s="2" t="str">
        <f t="array" ref="K548">IF($J548="","",IF(COUNTIF(Teams,$J548)&gt;0,$J548,IFERROR(INDEX(LISTS!$D$2:$D$12,MATCH($J548,LISTS!$C$2:$C$12,0)),"⚠ "&amp;$J548)))</f>
        <v/>
      </c>
      <c r="L548" s="2" t="str">
        <f t="array" ref="L548">IF($C548="","",IF(INDEX(SchedZone,$C548,MAP!$B$14)="Neutral","N",IF($B548="HOME","H","A")))</f>
        <v/>
      </c>
      <c r="M548" s="2" t="str">
        <f t="array" ref="M548">IF($C548="","",IF(INDEX(SchedZone,$C548,MAP!$B$11)="","",INDEX(SchedZone,$C548,MAP!$B$11)))</f>
        <v/>
      </c>
      <c r="N548" s="2" t="str">
        <f t="array" ref="N548">IF($C548="","",IF(INDEX(SchedZone,$C548,MAP!$B$13)="","",INDEX(SchedZone,$C548,MAP!$B$13)))</f>
        <v/>
      </c>
      <c r="O548" s="2" t="str">
        <f t="array" ref="O548">IF($C548="","",INDEX(SchedZone,$C548,MAP!$B$15))</f>
        <v/>
      </c>
      <c r="P548" s="2" t="str">
        <f>IF($C548="","",IFERROR(MATCH($E548&amp;"|"&amp;$G548&amp;"|"&amp;$I548,StatsKey,0),""))</f>
        <v/>
      </c>
      <c r="Q548" s="2">
        <f t="array" ref="Q548">IF($P548="",0,INDEX(StatsZone,$P548,MAP!$E$9)+INDEX(StatsZone,$P548,MAP!$E$10)+INDEX(StatsZone,$P548,MAP!$E$11))</f>
        <v>0</v>
      </c>
      <c r="R548" s="2">
        <f t="array" ref="R548">IF($P548="",0,INDEX(StatsZone,$P548,MAP!$E$12))</f>
        <v>0</v>
      </c>
      <c r="S548" s="2">
        <f t="array" ref="S548">IF($P548="",0,INDEX(StatsZone,$P548,MAP!$E$13))</f>
        <v>0</v>
      </c>
      <c r="T548" s="2">
        <f t="shared" si="1"/>
        <v>0</v>
      </c>
      <c r="U548" s="2">
        <f t="array" ref="U548">IF($P548="",0,INDEX(StatsZone,$P548,MAP!$E$14)+INDEX(StatsZone,$P548,MAP!$E$15)+INDEX(StatsZone,$P548,MAP!$E$16))</f>
        <v>0</v>
      </c>
      <c r="V548" s="2">
        <f t="shared" si="2"/>
        <v>0</v>
      </c>
      <c r="W548" s="2">
        <f t="shared" si="3"/>
        <v>0</v>
      </c>
      <c r="X548" s="2">
        <f t="shared" si="4"/>
        <v>0</v>
      </c>
      <c r="Y548" s="2">
        <f t="shared" si="5"/>
        <v>0</v>
      </c>
      <c r="Z548" s="2">
        <f t="shared" si="6"/>
        <v>0</v>
      </c>
      <c r="AA548" s="2">
        <f t="shared" si="7"/>
        <v>0</v>
      </c>
      <c r="AB548" s="2">
        <f>IF(OR($M548="",$N548=""),0,MEDIAN(-MarginCap,MarginCap,($M548-$N548)-$AA548*HFA_Base))</f>
        <v>0</v>
      </c>
      <c r="AC548" s="2">
        <f t="array" ref="AC548">IF(OR($P548="",INDEX($P$3:$P$722,(ROW()+IF(MOD(ROW()-3,2)=0,1,-1))-3+1)=""),0,MEDIAN(-MarginCap,MarginCap,($T548-$W548)-$AA548*HFA_Base))</f>
        <v>0</v>
      </c>
      <c r="AD548" s="2">
        <f t="shared" si="8"/>
        <v>0</v>
      </c>
      <c r="AE548" s="2">
        <f>IF(OR($M548="",$N548=""),0,IF(AND(WEpa&gt;0,$AD548=1),(1-WEpa)*$AB548+WEpa*$AC548,$AB548))</f>
        <v>0</v>
      </c>
      <c r="AF548" s="2">
        <f>IF(AND($C548&lt;&gt;"",$E548=CurrentSeason,$F548="REG",ISNUMBER($G548),$G548&lt;CurrentWeek,AND($M548&lt;&gt;"",$N548&lt;&gt;"")),1,0)</f>
        <v>0</v>
      </c>
      <c r="AG548" s="2">
        <f>IF($AF548=0,0,IF($G548&gt;=CurrentWeek-RecencyWin,RecencyMult,1))</f>
        <v>0</v>
      </c>
      <c r="AH548" s="2">
        <f>IF(AND($C548&lt;&gt;"",$E548=CurrentSeason,$F548="REG",ISNUMBER($G548),$G548&lt;CurrentWeek-1,AND($M548&lt;&gt;"",$N548&lt;&gt;"")),1,0)</f>
        <v>0</v>
      </c>
      <c r="AI548" s="2">
        <f>IF($AH548=0,0,IF($G548&gt;=CurrentWeek-1-RecencyWin,RecencyMult,1))</f>
        <v>0</v>
      </c>
      <c r="AJ548" s="2">
        <f>IF($AF548=0,0,IF($G548&gt;=CurrentWeek-RecencyWin,TotRecency,1))</f>
        <v>0</v>
      </c>
      <c r="AK548" s="2">
        <f t="shared" si="9"/>
        <v>0</v>
      </c>
      <c r="AL548" s="2">
        <f t="shared" si="10"/>
        <v>0</v>
      </c>
      <c r="AM548" s="2">
        <f t="array" ref="AM548">IF($K548="",0,IFERROR(INDEX(CALC!$F$2:$F$33,MATCH($K548,CALC!$A$2:$A$33,0)),0))</f>
        <v>0</v>
      </c>
      <c r="AN548" s="2">
        <f t="array" ref="AN548">IF($K548="",0,IFERROR(INDEX(CALC!$I$2:$I$33,MATCH($K548,CALC!$A$2:$A$33,0)),0))</f>
        <v>0</v>
      </c>
      <c r="AO548" s="2">
        <f t="array" ref="AO548">IF($K548="",0,IFERROR(INDEX(CALC!$L$2:$L$33,MATCH($K548,CALC!$A$2:$A$33,0)),0))</f>
        <v>0</v>
      </c>
      <c r="AP548" s="2">
        <f t="array" ref="AP548">IF($K548="",0,IFERROR(INDEX(CALC!$T$2:$T$33,MATCH($K548,CALC!$A$2:$A$33,0)),0))</f>
        <v>0</v>
      </c>
      <c r="AQ548" s="2">
        <f t="array" ref="AQ548">IF($K548="",0,IFERROR(INDEX(CALC!$W$2:$W$33,MATCH($K548,CALC!$A$2:$A$33,0)),0))</f>
        <v>0</v>
      </c>
      <c r="AR548" s="2">
        <f t="array" ref="AR548">IF($K548="",0,IFERROR(INDEX(CALC!$Z$2:$Z$33,MATCH($K548,CALC!$A$2:$A$33,0)),0))</f>
        <v>0</v>
      </c>
      <c r="AS548" s="2">
        <f t="array" ref="AS548">IF($K548="",0,IFERROR(INDEX(CALC!$AJ$2:$AJ$33,MATCH($K548,CALC!$A$2:$A$33,0)),0))</f>
        <v>0</v>
      </c>
      <c r="AT548" s="2">
        <f t="array" ref="AT548">IF($K548="",0,IFERROR(INDEX(CALC!$AI$2:$AI$33,MATCH($K548,CALC!$A$2:$A$33,0)),0))</f>
        <v>0</v>
      </c>
      <c r="AU548" s="2">
        <f t="shared" si="11"/>
        <v>0</v>
      </c>
      <c r="AV548" s="2">
        <f t="shared" si="12"/>
        <v>0</v>
      </c>
    </row>
    <row r="549" ht="15.0" customHeight="1">
      <c r="A549" s="2">
        <v>274.0</v>
      </c>
      <c r="B549" s="2" t="s">
        <v>2365</v>
      </c>
      <c r="C549" s="2" t="str">
        <f>IFERROR(MATCH($A549,SchedSeq,0),"")</f>
        <v/>
      </c>
      <c r="D549" s="2" t="str">
        <f t="array" ref="D549">IF($C549="","",INDEX(SchedZone,$C549,MAP!$B$6))</f>
        <v/>
      </c>
      <c r="E549" s="2" t="str">
        <f t="array" ref="E549">IF($C549="","",INDEX(SchedZone,$C549,MAP!$B$3))</f>
        <v/>
      </c>
      <c r="F549" s="2" t="str">
        <f t="array" ref="F549">IF($C549="","",INDEX(SchedZone,$C549,MAP!$B$5))</f>
        <v/>
      </c>
      <c r="G549" s="2" t="str">
        <f t="array" ref="G549">IF($C549="","",INDEX(SchedZone,$C549,MAP!$B$4))</f>
        <v/>
      </c>
      <c r="H549" s="2" t="str">
        <f t="array" ref="H549">IF($C549="","",INDEX(SchedZone,$C549,MAP!$B$12))</f>
        <v/>
      </c>
      <c r="I549" s="2" t="str">
        <f t="array" ref="I549">IF($H549="","",IF(COUNTIF(Teams,$H549)&gt;0,$H549,IFERROR(INDEX(LISTS!$D$2:$D$12,MATCH($H549,LISTS!$C$2:$C$12,0)),"⚠ "&amp;$H549)))</f>
        <v/>
      </c>
      <c r="J549" s="2" t="str">
        <f t="array" ref="J549">IF($C549="","",INDEX(SchedZone,$C549,MAP!$B$10))</f>
        <v/>
      </c>
      <c r="K549" s="2" t="str">
        <f t="array" ref="K549">IF($J549="","",IF(COUNTIF(Teams,$J549)&gt;0,$J549,IFERROR(INDEX(LISTS!$D$2:$D$12,MATCH($J549,LISTS!$C$2:$C$12,0)),"⚠ "&amp;$J549)))</f>
        <v/>
      </c>
      <c r="L549" s="2" t="str">
        <f t="array" ref="L549">IF($C549="","",IF(INDEX(SchedZone,$C549,MAP!$B$14)="Neutral","N",IF($B549="HOME","H","A")))</f>
        <v/>
      </c>
      <c r="M549" s="2" t="str">
        <f t="array" ref="M549">IF($C549="","",IF(INDEX(SchedZone,$C549,MAP!$B$13)="","",INDEX(SchedZone,$C549,MAP!$B$13)))</f>
        <v/>
      </c>
      <c r="N549" s="2" t="str">
        <f t="array" ref="N549">IF($C549="","",IF(INDEX(SchedZone,$C549,MAP!$B$11)="","",INDEX(SchedZone,$C549,MAP!$B$11)))</f>
        <v/>
      </c>
      <c r="O549" s="2" t="str">
        <f t="array" ref="O549">IF($C549="","",INDEX(SchedZone,$C549,MAP!$B$16))</f>
        <v/>
      </c>
      <c r="P549" s="2" t="str">
        <f>IF($C549="","",IFERROR(MATCH($E549&amp;"|"&amp;$G549&amp;"|"&amp;$I549,StatsKey,0),""))</f>
        <v/>
      </c>
      <c r="Q549" s="2">
        <f t="array" ref="Q549">IF($P549="",0,INDEX(StatsZone,$P549,MAP!$E$9)+INDEX(StatsZone,$P549,MAP!$E$10)+INDEX(StatsZone,$P549,MAP!$E$11))</f>
        <v>0</v>
      </c>
      <c r="R549" s="2">
        <f t="array" ref="R549">IF($P549="",0,INDEX(StatsZone,$P549,MAP!$E$12))</f>
        <v>0</v>
      </c>
      <c r="S549" s="2">
        <f t="array" ref="S549">IF($P549="",0,INDEX(StatsZone,$P549,MAP!$E$13))</f>
        <v>0</v>
      </c>
      <c r="T549" s="2">
        <f t="shared" si="1"/>
        <v>0</v>
      </c>
      <c r="U549" s="2">
        <f t="array" ref="U549">IF($P549="",0,INDEX(StatsZone,$P549,MAP!$E$14)+INDEX(StatsZone,$P549,MAP!$E$15)+INDEX(StatsZone,$P549,MAP!$E$16))</f>
        <v>0</v>
      </c>
      <c r="V549" s="2">
        <f t="shared" si="2"/>
        <v>0</v>
      </c>
      <c r="W549" s="2">
        <f t="shared" si="3"/>
        <v>0</v>
      </c>
      <c r="X549" s="2">
        <f t="shared" si="4"/>
        <v>0</v>
      </c>
      <c r="Y549" s="2">
        <f t="shared" si="5"/>
        <v>0</v>
      </c>
      <c r="Z549" s="2">
        <f t="shared" si="6"/>
        <v>0</v>
      </c>
      <c r="AA549" s="2">
        <f t="shared" si="7"/>
        <v>0</v>
      </c>
      <c r="AB549" s="2">
        <f>IF(OR($M549="",$N549=""),0,MEDIAN(-MarginCap,MarginCap,($M549-$N549)-$AA549*HFA_Base))</f>
        <v>0</v>
      </c>
      <c r="AC549" s="2">
        <f t="array" ref="AC549">IF(OR($P549="",INDEX($P$3:$P$722,(ROW()+IF(MOD(ROW()-3,2)=0,1,-1))-3+1)=""),0,MEDIAN(-MarginCap,MarginCap,($T549-$W549)-$AA549*HFA_Base))</f>
        <v>0</v>
      </c>
      <c r="AD549" s="2">
        <f t="shared" si="8"/>
        <v>0</v>
      </c>
      <c r="AE549" s="2">
        <f>IF(OR($M549="",$N549=""),0,IF(AND(WEpa&gt;0,$AD549=1),(1-WEpa)*$AB549+WEpa*$AC549,$AB549))</f>
        <v>0</v>
      </c>
      <c r="AF549" s="2">
        <f>IF(AND($C549&lt;&gt;"",$E549=CurrentSeason,$F549="REG",ISNUMBER($G549),$G549&lt;CurrentWeek,AND($M549&lt;&gt;"",$N549&lt;&gt;"")),1,0)</f>
        <v>0</v>
      </c>
      <c r="AG549" s="2">
        <f>IF($AF549=0,0,IF($G549&gt;=CurrentWeek-RecencyWin,RecencyMult,1))</f>
        <v>0</v>
      </c>
      <c r="AH549" s="2">
        <f>IF(AND($C549&lt;&gt;"",$E549=CurrentSeason,$F549="REG",ISNUMBER($G549),$G549&lt;CurrentWeek-1,AND($M549&lt;&gt;"",$N549&lt;&gt;"")),1,0)</f>
        <v>0</v>
      </c>
      <c r="AI549" s="2">
        <f>IF($AH549=0,0,IF($G549&gt;=CurrentWeek-1-RecencyWin,RecencyMult,1))</f>
        <v>0</v>
      </c>
      <c r="AJ549" s="2">
        <f>IF($AF549=0,0,IF($G549&gt;=CurrentWeek-RecencyWin,TotRecency,1))</f>
        <v>0</v>
      </c>
      <c r="AK549" s="2">
        <f t="shared" si="9"/>
        <v>0</v>
      </c>
      <c r="AL549" s="2">
        <f t="shared" si="10"/>
        <v>0</v>
      </c>
      <c r="AM549" s="2">
        <f t="array" ref="AM549">IF($K549="",0,IFERROR(INDEX(CALC!$F$2:$F$33,MATCH($K549,CALC!$A$2:$A$33,0)),0))</f>
        <v>0</v>
      </c>
      <c r="AN549" s="2">
        <f t="array" ref="AN549">IF($K549="",0,IFERROR(INDEX(CALC!$I$2:$I$33,MATCH($K549,CALC!$A$2:$A$33,0)),0))</f>
        <v>0</v>
      </c>
      <c r="AO549" s="2">
        <f t="array" ref="AO549">IF($K549="",0,IFERROR(INDEX(CALC!$L$2:$L$33,MATCH($K549,CALC!$A$2:$A$33,0)),0))</f>
        <v>0</v>
      </c>
      <c r="AP549" s="2">
        <f t="array" ref="AP549">IF($K549="",0,IFERROR(INDEX(CALC!$T$2:$T$33,MATCH($K549,CALC!$A$2:$A$33,0)),0))</f>
        <v>0</v>
      </c>
      <c r="AQ549" s="2">
        <f t="array" ref="AQ549">IF($K549="",0,IFERROR(INDEX(CALC!$W$2:$W$33,MATCH($K549,CALC!$A$2:$A$33,0)),0))</f>
        <v>0</v>
      </c>
      <c r="AR549" s="2">
        <f t="array" ref="AR549">IF($K549="",0,IFERROR(INDEX(CALC!$Z$2:$Z$33,MATCH($K549,CALC!$A$2:$A$33,0)),0))</f>
        <v>0</v>
      </c>
      <c r="AS549" s="2">
        <f t="array" ref="AS549">IF($K549="",0,IFERROR(INDEX(CALC!$AJ$2:$AJ$33,MATCH($K549,CALC!$A$2:$A$33,0)),0))</f>
        <v>0</v>
      </c>
      <c r="AT549" s="2">
        <f t="array" ref="AT549">IF($K549="",0,IFERROR(INDEX(CALC!$AI$2:$AI$33,MATCH($K549,CALC!$A$2:$A$33,0)),0))</f>
        <v>0</v>
      </c>
      <c r="AU549" s="2">
        <f t="shared" si="11"/>
        <v>0</v>
      </c>
      <c r="AV549" s="2">
        <f t="shared" si="12"/>
        <v>0</v>
      </c>
    </row>
    <row r="550" ht="15.0" customHeight="1">
      <c r="A550" s="2">
        <v>274.0</v>
      </c>
      <c r="B550" s="2" t="s">
        <v>2366</v>
      </c>
      <c r="C550" s="2" t="str">
        <f>IFERROR(MATCH($A550,SchedSeq,0),"")</f>
        <v/>
      </c>
      <c r="D550" s="2" t="str">
        <f t="array" ref="D550">IF($C550="","",INDEX(SchedZone,$C550,MAP!$B$6))</f>
        <v/>
      </c>
      <c r="E550" s="2" t="str">
        <f t="array" ref="E550">IF($C550="","",INDEX(SchedZone,$C550,MAP!$B$3))</f>
        <v/>
      </c>
      <c r="F550" s="2" t="str">
        <f t="array" ref="F550">IF($C550="","",INDEX(SchedZone,$C550,MAP!$B$5))</f>
        <v/>
      </c>
      <c r="G550" s="2" t="str">
        <f t="array" ref="G550">IF($C550="","",INDEX(SchedZone,$C550,MAP!$B$4))</f>
        <v/>
      </c>
      <c r="H550" s="2" t="str">
        <f t="array" ref="H550">IF($C550="","",INDEX(SchedZone,$C550,MAP!$B$10))</f>
        <v/>
      </c>
      <c r="I550" s="2" t="str">
        <f t="array" ref="I550">IF($H550="","",IF(COUNTIF(Teams,$H550)&gt;0,$H550,IFERROR(INDEX(LISTS!$D$2:$D$12,MATCH($H550,LISTS!$C$2:$C$12,0)),"⚠ "&amp;$H550)))</f>
        <v/>
      </c>
      <c r="J550" s="2" t="str">
        <f t="array" ref="J550">IF($C550="","",INDEX(SchedZone,$C550,MAP!$B$12))</f>
        <v/>
      </c>
      <c r="K550" s="2" t="str">
        <f t="array" ref="K550">IF($J550="","",IF(COUNTIF(Teams,$J550)&gt;0,$J550,IFERROR(INDEX(LISTS!$D$2:$D$12,MATCH($J550,LISTS!$C$2:$C$12,0)),"⚠ "&amp;$J550)))</f>
        <v/>
      </c>
      <c r="L550" s="2" t="str">
        <f t="array" ref="L550">IF($C550="","",IF(INDEX(SchedZone,$C550,MAP!$B$14)="Neutral","N",IF($B550="HOME","H","A")))</f>
        <v/>
      </c>
      <c r="M550" s="2" t="str">
        <f t="array" ref="M550">IF($C550="","",IF(INDEX(SchedZone,$C550,MAP!$B$11)="","",INDEX(SchedZone,$C550,MAP!$B$11)))</f>
        <v/>
      </c>
      <c r="N550" s="2" t="str">
        <f t="array" ref="N550">IF($C550="","",IF(INDEX(SchedZone,$C550,MAP!$B$13)="","",INDEX(SchedZone,$C550,MAP!$B$13)))</f>
        <v/>
      </c>
      <c r="O550" s="2" t="str">
        <f t="array" ref="O550">IF($C550="","",INDEX(SchedZone,$C550,MAP!$B$15))</f>
        <v/>
      </c>
      <c r="P550" s="2" t="str">
        <f>IF($C550="","",IFERROR(MATCH($E550&amp;"|"&amp;$G550&amp;"|"&amp;$I550,StatsKey,0),""))</f>
        <v/>
      </c>
      <c r="Q550" s="2">
        <f t="array" ref="Q550">IF($P550="",0,INDEX(StatsZone,$P550,MAP!$E$9)+INDEX(StatsZone,$P550,MAP!$E$10)+INDEX(StatsZone,$P550,MAP!$E$11))</f>
        <v>0</v>
      </c>
      <c r="R550" s="2">
        <f t="array" ref="R550">IF($P550="",0,INDEX(StatsZone,$P550,MAP!$E$12))</f>
        <v>0</v>
      </c>
      <c r="S550" s="2">
        <f t="array" ref="S550">IF($P550="",0,INDEX(StatsZone,$P550,MAP!$E$13))</f>
        <v>0</v>
      </c>
      <c r="T550" s="2">
        <f t="shared" si="1"/>
        <v>0</v>
      </c>
      <c r="U550" s="2">
        <f t="array" ref="U550">IF($P550="",0,INDEX(StatsZone,$P550,MAP!$E$14)+INDEX(StatsZone,$P550,MAP!$E$15)+INDEX(StatsZone,$P550,MAP!$E$16))</f>
        <v>0</v>
      </c>
      <c r="V550" s="2">
        <f t="shared" si="2"/>
        <v>0</v>
      </c>
      <c r="W550" s="2">
        <f t="shared" si="3"/>
        <v>0</v>
      </c>
      <c r="X550" s="2">
        <f t="shared" si="4"/>
        <v>0</v>
      </c>
      <c r="Y550" s="2">
        <f t="shared" si="5"/>
        <v>0</v>
      </c>
      <c r="Z550" s="2">
        <f t="shared" si="6"/>
        <v>0</v>
      </c>
      <c r="AA550" s="2">
        <f t="shared" si="7"/>
        <v>0</v>
      </c>
      <c r="AB550" s="2">
        <f>IF(OR($M550="",$N550=""),0,MEDIAN(-MarginCap,MarginCap,($M550-$N550)-$AA550*HFA_Base))</f>
        <v>0</v>
      </c>
      <c r="AC550" s="2">
        <f t="array" ref="AC550">IF(OR($P550="",INDEX($P$3:$P$722,(ROW()+IF(MOD(ROW()-3,2)=0,1,-1))-3+1)=""),0,MEDIAN(-MarginCap,MarginCap,($T550-$W550)-$AA550*HFA_Base))</f>
        <v>0</v>
      </c>
      <c r="AD550" s="2">
        <f t="shared" si="8"/>
        <v>0</v>
      </c>
      <c r="AE550" s="2">
        <f>IF(OR($M550="",$N550=""),0,IF(AND(WEpa&gt;0,$AD550=1),(1-WEpa)*$AB550+WEpa*$AC550,$AB550))</f>
        <v>0</v>
      </c>
      <c r="AF550" s="2">
        <f>IF(AND($C550&lt;&gt;"",$E550=CurrentSeason,$F550="REG",ISNUMBER($G550),$G550&lt;CurrentWeek,AND($M550&lt;&gt;"",$N550&lt;&gt;"")),1,0)</f>
        <v>0</v>
      </c>
      <c r="AG550" s="2">
        <f>IF($AF550=0,0,IF($G550&gt;=CurrentWeek-RecencyWin,RecencyMult,1))</f>
        <v>0</v>
      </c>
      <c r="AH550" s="2">
        <f>IF(AND($C550&lt;&gt;"",$E550=CurrentSeason,$F550="REG",ISNUMBER($G550),$G550&lt;CurrentWeek-1,AND($M550&lt;&gt;"",$N550&lt;&gt;"")),1,0)</f>
        <v>0</v>
      </c>
      <c r="AI550" s="2">
        <f>IF($AH550=0,0,IF($G550&gt;=CurrentWeek-1-RecencyWin,RecencyMult,1))</f>
        <v>0</v>
      </c>
      <c r="AJ550" s="2">
        <f>IF($AF550=0,0,IF($G550&gt;=CurrentWeek-RecencyWin,TotRecency,1))</f>
        <v>0</v>
      </c>
      <c r="AK550" s="2">
        <f t="shared" si="9"/>
        <v>0</v>
      </c>
      <c r="AL550" s="2">
        <f t="shared" si="10"/>
        <v>0</v>
      </c>
      <c r="AM550" s="2">
        <f t="array" ref="AM550">IF($K550="",0,IFERROR(INDEX(CALC!$F$2:$F$33,MATCH($K550,CALC!$A$2:$A$33,0)),0))</f>
        <v>0</v>
      </c>
      <c r="AN550" s="2">
        <f t="array" ref="AN550">IF($K550="",0,IFERROR(INDEX(CALC!$I$2:$I$33,MATCH($K550,CALC!$A$2:$A$33,0)),0))</f>
        <v>0</v>
      </c>
      <c r="AO550" s="2">
        <f t="array" ref="AO550">IF($K550="",0,IFERROR(INDEX(CALC!$L$2:$L$33,MATCH($K550,CALC!$A$2:$A$33,0)),0))</f>
        <v>0</v>
      </c>
      <c r="AP550" s="2">
        <f t="array" ref="AP550">IF($K550="",0,IFERROR(INDEX(CALC!$T$2:$T$33,MATCH($K550,CALC!$A$2:$A$33,0)),0))</f>
        <v>0</v>
      </c>
      <c r="AQ550" s="2">
        <f t="array" ref="AQ550">IF($K550="",0,IFERROR(INDEX(CALC!$W$2:$W$33,MATCH($K550,CALC!$A$2:$A$33,0)),0))</f>
        <v>0</v>
      </c>
      <c r="AR550" s="2">
        <f t="array" ref="AR550">IF($K550="",0,IFERROR(INDEX(CALC!$Z$2:$Z$33,MATCH($K550,CALC!$A$2:$A$33,0)),0))</f>
        <v>0</v>
      </c>
      <c r="AS550" s="2">
        <f t="array" ref="AS550">IF($K550="",0,IFERROR(INDEX(CALC!$AJ$2:$AJ$33,MATCH($K550,CALC!$A$2:$A$33,0)),0))</f>
        <v>0</v>
      </c>
      <c r="AT550" s="2">
        <f t="array" ref="AT550">IF($K550="",0,IFERROR(INDEX(CALC!$AI$2:$AI$33,MATCH($K550,CALC!$A$2:$A$33,0)),0))</f>
        <v>0</v>
      </c>
      <c r="AU550" s="2">
        <f t="shared" si="11"/>
        <v>0</v>
      </c>
      <c r="AV550" s="2">
        <f t="shared" si="12"/>
        <v>0</v>
      </c>
    </row>
    <row r="551" ht="15.0" customHeight="1">
      <c r="A551" s="2">
        <v>275.0</v>
      </c>
      <c r="B551" s="2" t="s">
        <v>2365</v>
      </c>
      <c r="C551" s="2" t="str">
        <f>IFERROR(MATCH($A551,SchedSeq,0),"")</f>
        <v/>
      </c>
      <c r="D551" s="2" t="str">
        <f t="array" ref="D551">IF($C551="","",INDEX(SchedZone,$C551,MAP!$B$6))</f>
        <v/>
      </c>
      <c r="E551" s="2" t="str">
        <f t="array" ref="E551">IF($C551="","",INDEX(SchedZone,$C551,MAP!$B$3))</f>
        <v/>
      </c>
      <c r="F551" s="2" t="str">
        <f t="array" ref="F551">IF($C551="","",INDEX(SchedZone,$C551,MAP!$B$5))</f>
        <v/>
      </c>
      <c r="G551" s="2" t="str">
        <f t="array" ref="G551">IF($C551="","",INDEX(SchedZone,$C551,MAP!$B$4))</f>
        <v/>
      </c>
      <c r="H551" s="2" t="str">
        <f t="array" ref="H551">IF($C551="","",INDEX(SchedZone,$C551,MAP!$B$12))</f>
        <v/>
      </c>
      <c r="I551" s="2" t="str">
        <f t="array" ref="I551">IF($H551="","",IF(COUNTIF(Teams,$H551)&gt;0,$H551,IFERROR(INDEX(LISTS!$D$2:$D$12,MATCH($H551,LISTS!$C$2:$C$12,0)),"⚠ "&amp;$H551)))</f>
        <v/>
      </c>
      <c r="J551" s="2" t="str">
        <f t="array" ref="J551">IF($C551="","",INDEX(SchedZone,$C551,MAP!$B$10))</f>
        <v/>
      </c>
      <c r="K551" s="2" t="str">
        <f t="array" ref="K551">IF($J551="","",IF(COUNTIF(Teams,$J551)&gt;0,$J551,IFERROR(INDEX(LISTS!$D$2:$D$12,MATCH($J551,LISTS!$C$2:$C$12,0)),"⚠ "&amp;$J551)))</f>
        <v/>
      </c>
      <c r="L551" s="2" t="str">
        <f t="array" ref="L551">IF($C551="","",IF(INDEX(SchedZone,$C551,MAP!$B$14)="Neutral","N",IF($B551="HOME","H","A")))</f>
        <v/>
      </c>
      <c r="M551" s="2" t="str">
        <f t="array" ref="M551">IF($C551="","",IF(INDEX(SchedZone,$C551,MAP!$B$13)="","",INDEX(SchedZone,$C551,MAP!$B$13)))</f>
        <v/>
      </c>
      <c r="N551" s="2" t="str">
        <f t="array" ref="N551">IF($C551="","",IF(INDEX(SchedZone,$C551,MAP!$B$11)="","",INDEX(SchedZone,$C551,MAP!$B$11)))</f>
        <v/>
      </c>
      <c r="O551" s="2" t="str">
        <f t="array" ref="O551">IF($C551="","",INDEX(SchedZone,$C551,MAP!$B$16))</f>
        <v/>
      </c>
      <c r="P551" s="2" t="str">
        <f>IF($C551="","",IFERROR(MATCH($E551&amp;"|"&amp;$G551&amp;"|"&amp;$I551,StatsKey,0),""))</f>
        <v/>
      </c>
      <c r="Q551" s="2">
        <f t="array" ref="Q551">IF($P551="",0,INDEX(StatsZone,$P551,MAP!$E$9)+INDEX(StatsZone,$P551,MAP!$E$10)+INDEX(StatsZone,$P551,MAP!$E$11))</f>
        <v>0</v>
      </c>
      <c r="R551" s="2">
        <f t="array" ref="R551">IF($P551="",0,INDEX(StatsZone,$P551,MAP!$E$12))</f>
        <v>0</v>
      </c>
      <c r="S551" s="2">
        <f t="array" ref="S551">IF($P551="",0,INDEX(StatsZone,$P551,MAP!$E$13))</f>
        <v>0</v>
      </c>
      <c r="T551" s="2">
        <f t="shared" si="1"/>
        <v>0</v>
      </c>
      <c r="U551" s="2">
        <f t="array" ref="U551">IF($P551="",0,INDEX(StatsZone,$P551,MAP!$E$14)+INDEX(StatsZone,$P551,MAP!$E$15)+INDEX(StatsZone,$P551,MAP!$E$16))</f>
        <v>0</v>
      </c>
      <c r="V551" s="2">
        <f t="shared" si="2"/>
        <v>0</v>
      </c>
      <c r="W551" s="2">
        <f t="shared" si="3"/>
        <v>0</v>
      </c>
      <c r="X551" s="2">
        <f t="shared" si="4"/>
        <v>0</v>
      </c>
      <c r="Y551" s="2">
        <f t="shared" si="5"/>
        <v>0</v>
      </c>
      <c r="Z551" s="2">
        <f t="shared" si="6"/>
        <v>0</v>
      </c>
      <c r="AA551" s="2">
        <f t="shared" si="7"/>
        <v>0</v>
      </c>
      <c r="AB551" s="2">
        <f>IF(OR($M551="",$N551=""),0,MEDIAN(-MarginCap,MarginCap,($M551-$N551)-$AA551*HFA_Base))</f>
        <v>0</v>
      </c>
      <c r="AC551" s="2">
        <f t="array" ref="AC551">IF(OR($P551="",INDEX($P$3:$P$722,(ROW()+IF(MOD(ROW()-3,2)=0,1,-1))-3+1)=""),0,MEDIAN(-MarginCap,MarginCap,($T551-$W551)-$AA551*HFA_Base))</f>
        <v>0</v>
      </c>
      <c r="AD551" s="2">
        <f t="shared" si="8"/>
        <v>0</v>
      </c>
      <c r="AE551" s="2">
        <f>IF(OR($M551="",$N551=""),0,IF(AND(WEpa&gt;0,$AD551=1),(1-WEpa)*$AB551+WEpa*$AC551,$AB551))</f>
        <v>0</v>
      </c>
      <c r="AF551" s="2">
        <f>IF(AND($C551&lt;&gt;"",$E551=CurrentSeason,$F551="REG",ISNUMBER($G551),$G551&lt;CurrentWeek,AND($M551&lt;&gt;"",$N551&lt;&gt;"")),1,0)</f>
        <v>0</v>
      </c>
      <c r="AG551" s="2">
        <f>IF($AF551=0,0,IF($G551&gt;=CurrentWeek-RecencyWin,RecencyMult,1))</f>
        <v>0</v>
      </c>
      <c r="AH551" s="2">
        <f>IF(AND($C551&lt;&gt;"",$E551=CurrentSeason,$F551="REG",ISNUMBER($G551),$G551&lt;CurrentWeek-1,AND($M551&lt;&gt;"",$N551&lt;&gt;"")),1,0)</f>
        <v>0</v>
      </c>
      <c r="AI551" s="2">
        <f>IF($AH551=0,0,IF($G551&gt;=CurrentWeek-1-RecencyWin,RecencyMult,1))</f>
        <v>0</v>
      </c>
      <c r="AJ551" s="2">
        <f>IF($AF551=0,0,IF($G551&gt;=CurrentWeek-RecencyWin,TotRecency,1))</f>
        <v>0</v>
      </c>
      <c r="AK551" s="2">
        <f t="shared" si="9"/>
        <v>0</v>
      </c>
      <c r="AL551" s="2">
        <f t="shared" si="10"/>
        <v>0</v>
      </c>
      <c r="AM551" s="2">
        <f t="array" ref="AM551">IF($K551="",0,IFERROR(INDEX(CALC!$F$2:$F$33,MATCH($K551,CALC!$A$2:$A$33,0)),0))</f>
        <v>0</v>
      </c>
      <c r="AN551" s="2">
        <f t="array" ref="AN551">IF($K551="",0,IFERROR(INDEX(CALC!$I$2:$I$33,MATCH($K551,CALC!$A$2:$A$33,0)),0))</f>
        <v>0</v>
      </c>
      <c r="AO551" s="2">
        <f t="array" ref="AO551">IF($K551="",0,IFERROR(INDEX(CALC!$L$2:$L$33,MATCH($K551,CALC!$A$2:$A$33,0)),0))</f>
        <v>0</v>
      </c>
      <c r="AP551" s="2">
        <f t="array" ref="AP551">IF($K551="",0,IFERROR(INDEX(CALC!$T$2:$T$33,MATCH($K551,CALC!$A$2:$A$33,0)),0))</f>
        <v>0</v>
      </c>
      <c r="AQ551" s="2">
        <f t="array" ref="AQ551">IF($K551="",0,IFERROR(INDEX(CALC!$W$2:$W$33,MATCH($K551,CALC!$A$2:$A$33,0)),0))</f>
        <v>0</v>
      </c>
      <c r="AR551" s="2">
        <f t="array" ref="AR551">IF($K551="",0,IFERROR(INDEX(CALC!$Z$2:$Z$33,MATCH($K551,CALC!$A$2:$A$33,0)),0))</f>
        <v>0</v>
      </c>
      <c r="AS551" s="2">
        <f t="array" ref="AS551">IF($K551="",0,IFERROR(INDEX(CALC!$AJ$2:$AJ$33,MATCH($K551,CALC!$A$2:$A$33,0)),0))</f>
        <v>0</v>
      </c>
      <c r="AT551" s="2">
        <f t="array" ref="AT551">IF($K551="",0,IFERROR(INDEX(CALC!$AI$2:$AI$33,MATCH($K551,CALC!$A$2:$A$33,0)),0))</f>
        <v>0</v>
      </c>
      <c r="AU551" s="2">
        <f t="shared" si="11"/>
        <v>0</v>
      </c>
      <c r="AV551" s="2">
        <f t="shared" si="12"/>
        <v>0</v>
      </c>
    </row>
    <row r="552" ht="15.0" customHeight="1">
      <c r="A552" s="2">
        <v>275.0</v>
      </c>
      <c r="B552" s="2" t="s">
        <v>2366</v>
      </c>
      <c r="C552" s="2" t="str">
        <f>IFERROR(MATCH($A552,SchedSeq,0),"")</f>
        <v/>
      </c>
      <c r="D552" s="2" t="str">
        <f t="array" ref="D552">IF($C552="","",INDEX(SchedZone,$C552,MAP!$B$6))</f>
        <v/>
      </c>
      <c r="E552" s="2" t="str">
        <f t="array" ref="E552">IF($C552="","",INDEX(SchedZone,$C552,MAP!$B$3))</f>
        <v/>
      </c>
      <c r="F552" s="2" t="str">
        <f t="array" ref="F552">IF($C552="","",INDEX(SchedZone,$C552,MAP!$B$5))</f>
        <v/>
      </c>
      <c r="G552" s="2" t="str">
        <f t="array" ref="G552">IF($C552="","",INDEX(SchedZone,$C552,MAP!$B$4))</f>
        <v/>
      </c>
      <c r="H552" s="2" t="str">
        <f t="array" ref="H552">IF($C552="","",INDEX(SchedZone,$C552,MAP!$B$10))</f>
        <v/>
      </c>
      <c r="I552" s="2" t="str">
        <f t="array" ref="I552">IF($H552="","",IF(COUNTIF(Teams,$H552)&gt;0,$H552,IFERROR(INDEX(LISTS!$D$2:$D$12,MATCH($H552,LISTS!$C$2:$C$12,0)),"⚠ "&amp;$H552)))</f>
        <v/>
      </c>
      <c r="J552" s="2" t="str">
        <f t="array" ref="J552">IF($C552="","",INDEX(SchedZone,$C552,MAP!$B$12))</f>
        <v/>
      </c>
      <c r="K552" s="2" t="str">
        <f t="array" ref="K552">IF($J552="","",IF(COUNTIF(Teams,$J552)&gt;0,$J552,IFERROR(INDEX(LISTS!$D$2:$D$12,MATCH($J552,LISTS!$C$2:$C$12,0)),"⚠ "&amp;$J552)))</f>
        <v/>
      </c>
      <c r="L552" s="2" t="str">
        <f t="array" ref="L552">IF($C552="","",IF(INDEX(SchedZone,$C552,MAP!$B$14)="Neutral","N",IF($B552="HOME","H","A")))</f>
        <v/>
      </c>
      <c r="M552" s="2" t="str">
        <f t="array" ref="M552">IF($C552="","",IF(INDEX(SchedZone,$C552,MAP!$B$11)="","",INDEX(SchedZone,$C552,MAP!$B$11)))</f>
        <v/>
      </c>
      <c r="N552" s="2" t="str">
        <f t="array" ref="N552">IF($C552="","",IF(INDEX(SchedZone,$C552,MAP!$B$13)="","",INDEX(SchedZone,$C552,MAP!$B$13)))</f>
        <v/>
      </c>
      <c r="O552" s="2" t="str">
        <f t="array" ref="O552">IF($C552="","",INDEX(SchedZone,$C552,MAP!$B$15))</f>
        <v/>
      </c>
      <c r="P552" s="2" t="str">
        <f>IF($C552="","",IFERROR(MATCH($E552&amp;"|"&amp;$G552&amp;"|"&amp;$I552,StatsKey,0),""))</f>
        <v/>
      </c>
      <c r="Q552" s="2">
        <f t="array" ref="Q552">IF($P552="",0,INDEX(StatsZone,$P552,MAP!$E$9)+INDEX(StatsZone,$P552,MAP!$E$10)+INDEX(StatsZone,$P552,MAP!$E$11))</f>
        <v>0</v>
      </c>
      <c r="R552" s="2">
        <f t="array" ref="R552">IF($P552="",0,INDEX(StatsZone,$P552,MAP!$E$12))</f>
        <v>0</v>
      </c>
      <c r="S552" s="2">
        <f t="array" ref="S552">IF($P552="",0,INDEX(StatsZone,$P552,MAP!$E$13))</f>
        <v>0</v>
      </c>
      <c r="T552" s="2">
        <f t="shared" si="1"/>
        <v>0</v>
      </c>
      <c r="U552" s="2">
        <f t="array" ref="U552">IF($P552="",0,INDEX(StatsZone,$P552,MAP!$E$14)+INDEX(StatsZone,$P552,MAP!$E$15)+INDEX(StatsZone,$P552,MAP!$E$16))</f>
        <v>0</v>
      </c>
      <c r="V552" s="2">
        <f t="shared" si="2"/>
        <v>0</v>
      </c>
      <c r="W552" s="2">
        <f t="shared" si="3"/>
        <v>0</v>
      </c>
      <c r="X552" s="2">
        <f t="shared" si="4"/>
        <v>0</v>
      </c>
      <c r="Y552" s="2">
        <f t="shared" si="5"/>
        <v>0</v>
      </c>
      <c r="Z552" s="2">
        <f t="shared" si="6"/>
        <v>0</v>
      </c>
      <c r="AA552" s="2">
        <f t="shared" si="7"/>
        <v>0</v>
      </c>
      <c r="AB552" s="2">
        <f>IF(OR($M552="",$N552=""),0,MEDIAN(-MarginCap,MarginCap,($M552-$N552)-$AA552*HFA_Base))</f>
        <v>0</v>
      </c>
      <c r="AC552" s="2">
        <f t="array" ref="AC552">IF(OR($P552="",INDEX($P$3:$P$722,(ROW()+IF(MOD(ROW()-3,2)=0,1,-1))-3+1)=""),0,MEDIAN(-MarginCap,MarginCap,($T552-$W552)-$AA552*HFA_Base))</f>
        <v>0</v>
      </c>
      <c r="AD552" s="2">
        <f t="shared" si="8"/>
        <v>0</v>
      </c>
      <c r="AE552" s="2">
        <f>IF(OR($M552="",$N552=""),0,IF(AND(WEpa&gt;0,$AD552=1),(1-WEpa)*$AB552+WEpa*$AC552,$AB552))</f>
        <v>0</v>
      </c>
      <c r="AF552" s="2">
        <f>IF(AND($C552&lt;&gt;"",$E552=CurrentSeason,$F552="REG",ISNUMBER($G552),$G552&lt;CurrentWeek,AND($M552&lt;&gt;"",$N552&lt;&gt;"")),1,0)</f>
        <v>0</v>
      </c>
      <c r="AG552" s="2">
        <f>IF($AF552=0,0,IF($G552&gt;=CurrentWeek-RecencyWin,RecencyMult,1))</f>
        <v>0</v>
      </c>
      <c r="AH552" s="2">
        <f>IF(AND($C552&lt;&gt;"",$E552=CurrentSeason,$F552="REG",ISNUMBER($G552),$G552&lt;CurrentWeek-1,AND($M552&lt;&gt;"",$N552&lt;&gt;"")),1,0)</f>
        <v>0</v>
      </c>
      <c r="AI552" s="2">
        <f>IF($AH552=0,0,IF($G552&gt;=CurrentWeek-1-RecencyWin,RecencyMult,1))</f>
        <v>0</v>
      </c>
      <c r="AJ552" s="2">
        <f>IF($AF552=0,0,IF($G552&gt;=CurrentWeek-RecencyWin,TotRecency,1))</f>
        <v>0</v>
      </c>
      <c r="AK552" s="2">
        <f t="shared" si="9"/>
        <v>0</v>
      </c>
      <c r="AL552" s="2">
        <f t="shared" si="10"/>
        <v>0</v>
      </c>
      <c r="AM552" s="2">
        <f t="array" ref="AM552">IF($K552="",0,IFERROR(INDEX(CALC!$F$2:$F$33,MATCH($K552,CALC!$A$2:$A$33,0)),0))</f>
        <v>0</v>
      </c>
      <c r="AN552" s="2">
        <f t="array" ref="AN552">IF($K552="",0,IFERROR(INDEX(CALC!$I$2:$I$33,MATCH($K552,CALC!$A$2:$A$33,0)),0))</f>
        <v>0</v>
      </c>
      <c r="AO552" s="2">
        <f t="array" ref="AO552">IF($K552="",0,IFERROR(INDEX(CALC!$L$2:$L$33,MATCH($K552,CALC!$A$2:$A$33,0)),0))</f>
        <v>0</v>
      </c>
      <c r="AP552" s="2">
        <f t="array" ref="AP552">IF($K552="",0,IFERROR(INDEX(CALC!$T$2:$T$33,MATCH($K552,CALC!$A$2:$A$33,0)),0))</f>
        <v>0</v>
      </c>
      <c r="AQ552" s="2">
        <f t="array" ref="AQ552">IF($K552="",0,IFERROR(INDEX(CALC!$W$2:$W$33,MATCH($K552,CALC!$A$2:$A$33,0)),0))</f>
        <v>0</v>
      </c>
      <c r="AR552" s="2">
        <f t="array" ref="AR552">IF($K552="",0,IFERROR(INDEX(CALC!$Z$2:$Z$33,MATCH($K552,CALC!$A$2:$A$33,0)),0))</f>
        <v>0</v>
      </c>
      <c r="AS552" s="2">
        <f t="array" ref="AS552">IF($K552="",0,IFERROR(INDEX(CALC!$AJ$2:$AJ$33,MATCH($K552,CALC!$A$2:$A$33,0)),0))</f>
        <v>0</v>
      </c>
      <c r="AT552" s="2">
        <f t="array" ref="AT552">IF($K552="",0,IFERROR(INDEX(CALC!$AI$2:$AI$33,MATCH($K552,CALC!$A$2:$A$33,0)),0))</f>
        <v>0</v>
      </c>
      <c r="AU552" s="2">
        <f t="shared" si="11"/>
        <v>0</v>
      </c>
      <c r="AV552" s="2">
        <f t="shared" si="12"/>
        <v>0</v>
      </c>
    </row>
    <row r="553" ht="15.0" customHeight="1">
      <c r="A553" s="2">
        <v>276.0</v>
      </c>
      <c r="B553" s="2" t="s">
        <v>2365</v>
      </c>
      <c r="C553" s="2" t="str">
        <f>IFERROR(MATCH($A553,SchedSeq,0),"")</f>
        <v/>
      </c>
      <c r="D553" s="2" t="str">
        <f t="array" ref="D553">IF($C553="","",INDEX(SchedZone,$C553,MAP!$B$6))</f>
        <v/>
      </c>
      <c r="E553" s="2" t="str">
        <f t="array" ref="E553">IF($C553="","",INDEX(SchedZone,$C553,MAP!$B$3))</f>
        <v/>
      </c>
      <c r="F553" s="2" t="str">
        <f t="array" ref="F553">IF($C553="","",INDEX(SchedZone,$C553,MAP!$B$5))</f>
        <v/>
      </c>
      <c r="G553" s="2" t="str">
        <f t="array" ref="G553">IF($C553="","",INDEX(SchedZone,$C553,MAP!$B$4))</f>
        <v/>
      </c>
      <c r="H553" s="2" t="str">
        <f t="array" ref="H553">IF($C553="","",INDEX(SchedZone,$C553,MAP!$B$12))</f>
        <v/>
      </c>
      <c r="I553" s="2" t="str">
        <f t="array" ref="I553">IF($H553="","",IF(COUNTIF(Teams,$H553)&gt;0,$H553,IFERROR(INDEX(LISTS!$D$2:$D$12,MATCH($H553,LISTS!$C$2:$C$12,0)),"⚠ "&amp;$H553)))</f>
        <v/>
      </c>
      <c r="J553" s="2" t="str">
        <f t="array" ref="J553">IF($C553="","",INDEX(SchedZone,$C553,MAP!$B$10))</f>
        <v/>
      </c>
      <c r="K553" s="2" t="str">
        <f t="array" ref="K553">IF($J553="","",IF(COUNTIF(Teams,$J553)&gt;0,$J553,IFERROR(INDEX(LISTS!$D$2:$D$12,MATCH($J553,LISTS!$C$2:$C$12,0)),"⚠ "&amp;$J553)))</f>
        <v/>
      </c>
      <c r="L553" s="2" t="str">
        <f t="array" ref="L553">IF($C553="","",IF(INDEX(SchedZone,$C553,MAP!$B$14)="Neutral","N",IF($B553="HOME","H","A")))</f>
        <v/>
      </c>
      <c r="M553" s="2" t="str">
        <f t="array" ref="M553">IF($C553="","",IF(INDEX(SchedZone,$C553,MAP!$B$13)="","",INDEX(SchedZone,$C553,MAP!$B$13)))</f>
        <v/>
      </c>
      <c r="N553" s="2" t="str">
        <f t="array" ref="N553">IF($C553="","",IF(INDEX(SchedZone,$C553,MAP!$B$11)="","",INDEX(SchedZone,$C553,MAP!$B$11)))</f>
        <v/>
      </c>
      <c r="O553" s="2" t="str">
        <f t="array" ref="O553">IF($C553="","",INDEX(SchedZone,$C553,MAP!$B$16))</f>
        <v/>
      </c>
      <c r="P553" s="2" t="str">
        <f>IF($C553="","",IFERROR(MATCH($E553&amp;"|"&amp;$G553&amp;"|"&amp;$I553,StatsKey,0),""))</f>
        <v/>
      </c>
      <c r="Q553" s="2">
        <f t="array" ref="Q553">IF($P553="",0,INDEX(StatsZone,$P553,MAP!$E$9)+INDEX(StatsZone,$P553,MAP!$E$10)+INDEX(StatsZone,$P553,MAP!$E$11))</f>
        <v>0</v>
      </c>
      <c r="R553" s="2">
        <f t="array" ref="R553">IF($P553="",0,INDEX(StatsZone,$P553,MAP!$E$12))</f>
        <v>0</v>
      </c>
      <c r="S553" s="2">
        <f t="array" ref="S553">IF($P553="",0,INDEX(StatsZone,$P553,MAP!$E$13))</f>
        <v>0</v>
      </c>
      <c r="T553" s="2">
        <f t="shared" si="1"/>
        <v>0</v>
      </c>
      <c r="U553" s="2">
        <f t="array" ref="U553">IF($P553="",0,INDEX(StatsZone,$P553,MAP!$E$14)+INDEX(StatsZone,$P553,MAP!$E$15)+INDEX(StatsZone,$P553,MAP!$E$16))</f>
        <v>0</v>
      </c>
      <c r="V553" s="2">
        <f t="shared" si="2"/>
        <v>0</v>
      </c>
      <c r="W553" s="2">
        <f t="shared" si="3"/>
        <v>0</v>
      </c>
      <c r="X553" s="2">
        <f t="shared" si="4"/>
        <v>0</v>
      </c>
      <c r="Y553" s="2">
        <f t="shared" si="5"/>
        <v>0</v>
      </c>
      <c r="Z553" s="2">
        <f t="shared" si="6"/>
        <v>0</v>
      </c>
      <c r="AA553" s="2">
        <f t="shared" si="7"/>
        <v>0</v>
      </c>
      <c r="AB553" s="2">
        <f>IF(OR($M553="",$N553=""),0,MEDIAN(-MarginCap,MarginCap,($M553-$N553)-$AA553*HFA_Base))</f>
        <v>0</v>
      </c>
      <c r="AC553" s="2">
        <f t="array" ref="AC553">IF(OR($P553="",INDEX($P$3:$P$722,(ROW()+IF(MOD(ROW()-3,2)=0,1,-1))-3+1)=""),0,MEDIAN(-MarginCap,MarginCap,($T553-$W553)-$AA553*HFA_Base))</f>
        <v>0</v>
      </c>
      <c r="AD553" s="2">
        <f t="shared" si="8"/>
        <v>0</v>
      </c>
      <c r="AE553" s="2">
        <f>IF(OR($M553="",$N553=""),0,IF(AND(WEpa&gt;0,$AD553=1),(1-WEpa)*$AB553+WEpa*$AC553,$AB553))</f>
        <v>0</v>
      </c>
      <c r="AF553" s="2">
        <f>IF(AND($C553&lt;&gt;"",$E553=CurrentSeason,$F553="REG",ISNUMBER($G553),$G553&lt;CurrentWeek,AND($M553&lt;&gt;"",$N553&lt;&gt;"")),1,0)</f>
        <v>0</v>
      </c>
      <c r="AG553" s="2">
        <f>IF($AF553=0,0,IF($G553&gt;=CurrentWeek-RecencyWin,RecencyMult,1))</f>
        <v>0</v>
      </c>
      <c r="AH553" s="2">
        <f>IF(AND($C553&lt;&gt;"",$E553=CurrentSeason,$F553="REG",ISNUMBER($G553),$G553&lt;CurrentWeek-1,AND($M553&lt;&gt;"",$N553&lt;&gt;"")),1,0)</f>
        <v>0</v>
      </c>
      <c r="AI553" s="2">
        <f>IF($AH553=0,0,IF($G553&gt;=CurrentWeek-1-RecencyWin,RecencyMult,1))</f>
        <v>0</v>
      </c>
      <c r="AJ553" s="2">
        <f>IF($AF553=0,0,IF($G553&gt;=CurrentWeek-RecencyWin,TotRecency,1))</f>
        <v>0</v>
      </c>
      <c r="AK553" s="2">
        <f t="shared" si="9"/>
        <v>0</v>
      </c>
      <c r="AL553" s="2">
        <f t="shared" si="10"/>
        <v>0</v>
      </c>
      <c r="AM553" s="2">
        <f t="array" ref="AM553">IF($K553="",0,IFERROR(INDEX(CALC!$F$2:$F$33,MATCH($K553,CALC!$A$2:$A$33,0)),0))</f>
        <v>0</v>
      </c>
      <c r="AN553" s="2">
        <f t="array" ref="AN553">IF($K553="",0,IFERROR(INDEX(CALC!$I$2:$I$33,MATCH($K553,CALC!$A$2:$A$33,0)),0))</f>
        <v>0</v>
      </c>
      <c r="AO553" s="2">
        <f t="array" ref="AO553">IF($K553="",0,IFERROR(INDEX(CALC!$L$2:$L$33,MATCH($K553,CALC!$A$2:$A$33,0)),0))</f>
        <v>0</v>
      </c>
      <c r="AP553" s="2">
        <f t="array" ref="AP553">IF($K553="",0,IFERROR(INDEX(CALC!$T$2:$T$33,MATCH($K553,CALC!$A$2:$A$33,0)),0))</f>
        <v>0</v>
      </c>
      <c r="AQ553" s="2">
        <f t="array" ref="AQ553">IF($K553="",0,IFERROR(INDEX(CALC!$W$2:$W$33,MATCH($K553,CALC!$A$2:$A$33,0)),0))</f>
        <v>0</v>
      </c>
      <c r="AR553" s="2">
        <f t="array" ref="AR553">IF($K553="",0,IFERROR(INDEX(CALC!$Z$2:$Z$33,MATCH($K553,CALC!$A$2:$A$33,0)),0))</f>
        <v>0</v>
      </c>
      <c r="AS553" s="2">
        <f t="array" ref="AS553">IF($K553="",0,IFERROR(INDEX(CALC!$AJ$2:$AJ$33,MATCH($K553,CALC!$A$2:$A$33,0)),0))</f>
        <v>0</v>
      </c>
      <c r="AT553" s="2">
        <f t="array" ref="AT553">IF($K553="",0,IFERROR(INDEX(CALC!$AI$2:$AI$33,MATCH($K553,CALC!$A$2:$A$33,0)),0))</f>
        <v>0</v>
      </c>
      <c r="AU553" s="2">
        <f t="shared" si="11"/>
        <v>0</v>
      </c>
      <c r="AV553" s="2">
        <f t="shared" si="12"/>
        <v>0</v>
      </c>
    </row>
    <row r="554" ht="15.0" customHeight="1">
      <c r="A554" s="2">
        <v>276.0</v>
      </c>
      <c r="B554" s="2" t="s">
        <v>2366</v>
      </c>
      <c r="C554" s="2" t="str">
        <f>IFERROR(MATCH($A554,SchedSeq,0),"")</f>
        <v/>
      </c>
      <c r="D554" s="2" t="str">
        <f t="array" ref="D554">IF($C554="","",INDEX(SchedZone,$C554,MAP!$B$6))</f>
        <v/>
      </c>
      <c r="E554" s="2" t="str">
        <f t="array" ref="E554">IF($C554="","",INDEX(SchedZone,$C554,MAP!$B$3))</f>
        <v/>
      </c>
      <c r="F554" s="2" t="str">
        <f t="array" ref="F554">IF($C554="","",INDEX(SchedZone,$C554,MAP!$B$5))</f>
        <v/>
      </c>
      <c r="G554" s="2" t="str">
        <f t="array" ref="G554">IF($C554="","",INDEX(SchedZone,$C554,MAP!$B$4))</f>
        <v/>
      </c>
      <c r="H554" s="2" t="str">
        <f t="array" ref="H554">IF($C554="","",INDEX(SchedZone,$C554,MAP!$B$10))</f>
        <v/>
      </c>
      <c r="I554" s="2" t="str">
        <f t="array" ref="I554">IF($H554="","",IF(COUNTIF(Teams,$H554)&gt;0,$H554,IFERROR(INDEX(LISTS!$D$2:$D$12,MATCH($H554,LISTS!$C$2:$C$12,0)),"⚠ "&amp;$H554)))</f>
        <v/>
      </c>
      <c r="J554" s="2" t="str">
        <f t="array" ref="J554">IF($C554="","",INDEX(SchedZone,$C554,MAP!$B$12))</f>
        <v/>
      </c>
      <c r="K554" s="2" t="str">
        <f t="array" ref="K554">IF($J554="","",IF(COUNTIF(Teams,$J554)&gt;0,$J554,IFERROR(INDEX(LISTS!$D$2:$D$12,MATCH($J554,LISTS!$C$2:$C$12,0)),"⚠ "&amp;$J554)))</f>
        <v/>
      </c>
      <c r="L554" s="2" t="str">
        <f t="array" ref="L554">IF($C554="","",IF(INDEX(SchedZone,$C554,MAP!$B$14)="Neutral","N",IF($B554="HOME","H","A")))</f>
        <v/>
      </c>
      <c r="M554" s="2" t="str">
        <f t="array" ref="M554">IF($C554="","",IF(INDEX(SchedZone,$C554,MAP!$B$11)="","",INDEX(SchedZone,$C554,MAP!$B$11)))</f>
        <v/>
      </c>
      <c r="N554" s="2" t="str">
        <f t="array" ref="N554">IF($C554="","",IF(INDEX(SchedZone,$C554,MAP!$B$13)="","",INDEX(SchedZone,$C554,MAP!$B$13)))</f>
        <v/>
      </c>
      <c r="O554" s="2" t="str">
        <f t="array" ref="O554">IF($C554="","",INDEX(SchedZone,$C554,MAP!$B$15))</f>
        <v/>
      </c>
      <c r="P554" s="2" t="str">
        <f>IF($C554="","",IFERROR(MATCH($E554&amp;"|"&amp;$G554&amp;"|"&amp;$I554,StatsKey,0),""))</f>
        <v/>
      </c>
      <c r="Q554" s="2">
        <f t="array" ref="Q554">IF($P554="",0,INDEX(StatsZone,$P554,MAP!$E$9)+INDEX(StatsZone,$P554,MAP!$E$10)+INDEX(StatsZone,$P554,MAP!$E$11))</f>
        <v>0</v>
      </c>
      <c r="R554" s="2">
        <f t="array" ref="R554">IF($P554="",0,INDEX(StatsZone,$P554,MAP!$E$12))</f>
        <v>0</v>
      </c>
      <c r="S554" s="2">
        <f t="array" ref="S554">IF($P554="",0,INDEX(StatsZone,$P554,MAP!$E$13))</f>
        <v>0</v>
      </c>
      <c r="T554" s="2">
        <f t="shared" si="1"/>
        <v>0</v>
      </c>
      <c r="U554" s="2">
        <f t="array" ref="U554">IF($P554="",0,INDEX(StatsZone,$P554,MAP!$E$14)+INDEX(StatsZone,$P554,MAP!$E$15)+INDEX(StatsZone,$P554,MAP!$E$16))</f>
        <v>0</v>
      </c>
      <c r="V554" s="2">
        <f t="shared" si="2"/>
        <v>0</v>
      </c>
      <c r="W554" s="2">
        <f t="shared" si="3"/>
        <v>0</v>
      </c>
      <c r="X554" s="2">
        <f t="shared" si="4"/>
        <v>0</v>
      </c>
      <c r="Y554" s="2">
        <f t="shared" si="5"/>
        <v>0</v>
      </c>
      <c r="Z554" s="2">
        <f t="shared" si="6"/>
        <v>0</v>
      </c>
      <c r="AA554" s="2">
        <f t="shared" si="7"/>
        <v>0</v>
      </c>
      <c r="AB554" s="2">
        <f>IF(OR($M554="",$N554=""),0,MEDIAN(-MarginCap,MarginCap,($M554-$N554)-$AA554*HFA_Base))</f>
        <v>0</v>
      </c>
      <c r="AC554" s="2">
        <f t="array" ref="AC554">IF(OR($P554="",INDEX($P$3:$P$722,(ROW()+IF(MOD(ROW()-3,2)=0,1,-1))-3+1)=""),0,MEDIAN(-MarginCap,MarginCap,($T554-$W554)-$AA554*HFA_Base))</f>
        <v>0</v>
      </c>
      <c r="AD554" s="2">
        <f t="shared" si="8"/>
        <v>0</v>
      </c>
      <c r="AE554" s="2">
        <f>IF(OR($M554="",$N554=""),0,IF(AND(WEpa&gt;0,$AD554=1),(1-WEpa)*$AB554+WEpa*$AC554,$AB554))</f>
        <v>0</v>
      </c>
      <c r="AF554" s="2">
        <f>IF(AND($C554&lt;&gt;"",$E554=CurrentSeason,$F554="REG",ISNUMBER($G554),$G554&lt;CurrentWeek,AND($M554&lt;&gt;"",$N554&lt;&gt;"")),1,0)</f>
        <v>0</v>
      </c>
      <c r="AG554" s="2">
        <f>IF($AF554=0,0,IF($G554&gt;=CurrentWeek-RecencyWin,RecencyMult,1))</f>
        <v>0</v>
      </c>
      <c r="AH554" s="2">
        <f>IF(AND($C554&lt;&gt;"",$E554=CurrentSeason,$F554="REG",ISNUMBER($G554),$G554&lt;CurrentWeek-1,AND($M554&lt;&gt;"",$N554&lt;&gt;"")),1,0)</f>
        <v>0</v>
      </c>
      <c r="AI554" s="2">
        <f>IF($AH554=0,0,IF($G554&gt;=CurrentWeek-1-RecencyWin,RecencyMult,1))</f>
        <v>0</v>
      </c>
      <c r="AJ554" s="2">
        <f>IF($AF554=0,0,IF($G554&gt;=CurrentWeek-RecencyWin,TotRecency,1))</f>
        <v>0</v>
      </c>
      <c r="AK554" s="2">
        <f t="shared" si="9"/>
        <v>0</v>
      </c>
      <c r="AL554" s="2">
        <f t="shared" si="10"/>
        <v>0</v>
      </c>
      <c r="AM554" s="2">
        <f t="array" ref="AM554">IF($K554="",0,IFERROR(INDEX(CALC!$F$2:$F$33,MATCH($K554,CALC!$A$2:$A$33,0)),0))</f>
        <v>0</v>
      </c>
      <c r="AN554" s="2">
        <f t="array" ref="AN554">IF($K554="",0,IFERROR(INDEX(CALC!$I$2:$I$33,MATCH($K554,CALC!$A$2:$A$33,0)),0))</f>
        <v>0</v>
      </c>
      <c r="AO554" s="2">
        <f t="array" ref="AO554">IF($K554="",0,IFERROR(INDEX(CALC!$L$2:$L$33,MATCH($K554,CALC!$A$2:$A$33,0)),0))</f>
        <v>0</v>
      </c>
      <c r="AP554" s="2">
        <f t="array" ref="AP554">IF($K554="",0,IFERROR(INDEX(CALC!$T$2:$T$33,MATCH($K554,CALC!$A$2:$A$33,0)),0))</f>
        <v>0</v>
      </c>
      <c r="AQ554" s="2">
        <f t="array" ref="AQ554">IF($K554="",0,IFERROR(INDEX(CALC!$W$2:$W$33,MATCH($K554,CALC!$A$2:$A$33,0)),0))</f>
        <v>0</v>
      </c>
      <c r="AR554" s="2">
        <f t="array" ref="AR554">IF($K554="",0,IFERROR(INDEX(CALC!$Z$2:$Z$33,MATCH($K554,CALC!$A$2:$A$33,0)),0))</f>
        <v>0</v>
      </c>
      <c r="AS554" s="2">
        <f t="array" ref="AS554">IF($K554="",0,IFERROR(INDEX(CALC!$AJ$2:$AJ$33,MATCH($K554,CALC!$A$2:$A$33,0)),0))</f>
        <v>0</v>
      </c>
      <c r="AT554" s="2">
        <f t="array" ref="AT554">IF($K554="",0,IFERROR(INDEX(CALC!$AI$2:$AI$33,MATCH($K554,CALC!$A$2:$A$33,0)),0))</f>
        <v>0</v>
      </c>
      <c r="AU554" s="2">
        <f t="shared" si="11"/>
        <v>0</v>
      </c>
      <c r="AV554" s="2">
        <f t="shared" si="12"/>
        <v>0</v>
      </c>
    </row>
    <row r="555" ht="15.0" customHeight="1">
      <c r="A555" s="2">
        <v>277.0</v>
      </c>
      <c r="B555" s="2" t="s">
        <v>2365</v>
      </c>
      <c r="C555" s="2" t="str">
        <f>IFERROR(MATCH($A555,SchedSeq,0),"")</f>
        <v/>
      </c>
      <c r="D555" s="2" t="str">
        <f t="array" ref="D555">IF($C555="","",INDEX(SchedZone,$C555,MAP!$B$6))</f>
        <v/>
      </c>
      <c r="E555" s="2" t="str">
        <f t="array" ref="E555">IF($C555="","",INDEX(SchedZone,$C555,MAP!$B$3))</f>
        <v/>
      </c>
      <c r="F555" s="2" t="str">
        <f t="array" ref="F555">IF($C555="","",INDEX(SchedZone,$C555,MAP!$B$5))</f>
        <v/>
      </c>
      <c r="G555" s="2" t="str">
        <f t="array" ref="G555">IF($C555="","",INDEX(SchedZone,$C555,MAP!$B$4))</f>
        <v/>
      </c>
      <c r="H555" s="2" t="str">
        <f t="array" ref="H555">IF($C555="","",INDEX(SchedZone,$C555,MAP!$B$12))</f>
        <v/>
      </c>
      <c r="I555" s="2" t="str">
        <f t="array" ref="I555">IF($H555="","",IF(COUNTIF(Teams,$H555)&gt;0,$H555,IFERROR(INDEX(LISTS!$D$2:$D$12,MATCH($H555,LISTS!$C$2:$C$12,0)),"⚠ "&amp;$H555)))</f>
        <v/>
      </c>
      <c r="J555" s="2" t="str">
        <f t="array" ref="J555">IF($C555="","",INDEX(SchedZone,$C555,MAP!$B$10))</f>
        <v/>
      </c>
      <c r="K555" s="2" t="str">
        <f t="array" ref="K555">IF($J555="","",IF(COUNTIF(Teams,$J555)&gt;0,$J555,IFERROR(INDEX(LISTS!$D$2:$D$12,MATCH($J555,LISTS!$C$2:$C$12,0)),"⚠ "&amp;$J555)))</f>
        <v/>
      </c>
      <c r="L555" s="2" t="str">
        <f t="array" ref="L555">IF($C555="","",IF(INDEX(SchedZone,$C555,MAP!$B$14)="Neutral","N",IF($B555="HOME","H","A")))</f>
        <v/>
      </c>
      <c r="M555" s="2" t="str">
        <f t="array" ref="M555">IF($C555="","",IF(INDEX(SchedZone,$C555,MAP!$B$13)="","",INDEX(SchedZone,$C555,MAP!$B$13)))</f>
        <v/>
      </c>
      <c r="N555" s="2" t="str">
        <f t="array" ref="N555">IF($C555="","",IF(INDEX(SchedZone,$C555,MAP!$B$11)="","",INDEX(SchedZone,$C555,MAP!$B$11)))</f>
        <v/>
      </c>
      <c r="O555" s="2" t="str">
        <f t="array" ref="O555">IF($C555="","",INDEX(SchedZone,$C555,MAP!$B$16))</f>
        <v/>
      </c>
      <c r="P555" s="2" t="str">
        <f>IF($C555="","",IFERROR(MATCH($E555&amp;"|"&amp;$G555&amp;"|"&amp;$I555,StatsKey,0),""))</f>
        <v/>
      </c>
      <c r="Q555" s="2">
        <f t="array" ref="Q555">IF($P555="",0,INDEX(StatsZone,$P555,MAP!$E$9)+INDEX(StatsZone,$P555,MAP!$E$10)+INDEX(StatsZone,$P555,MAP!$E$11))</f>
        <v>0</v>
      </c>
      <c r="R555" s="2">
        <f t="array" ref="R555">IF($P555="",0,INDEX(StatsZone,$P555,MAP!$E$12))</f>
        <v>0</v>
      </c>
      <c r="S555" s="2">
        <f t="array" ref="S555">IF($P555="",0,INDEX(StatsZone,$P555,MAP!$E$13))</f>
        <v>0</v>
      </c>
      <c r="T555" s="2">
        <f t="shared" si="1"/>
        <v>0</v>
      </c>
      <c r="U555" s="2">
        <f t="array" ref="U555">IF($P555="",0,INDEX(StatsZone,$P555,MAP!$E$14)+INDEX(StatsZone,$P555,MAP!$E$15)+INDEX(StatsZone,$P555,MAP!$E$16))</f>
        <v>0</v>
      </c>
      <c r="V555" s="2">
        <f t="shared" si="2"/>
        <v>0</v>
      </c>
      <c r="W555" s="2">
        <f t="shared" si="3"/>
        <v>0</v>
      </c>
      <c r="X555" s="2">
        <f t="shared" si="4"/>
        <v>0</v>
      </c>
      <c r="Y555" s="2">
        <f t="shared" si="5"/>
        <v>0</v>
      </c>
      <c r="Z555" s="2">
        <f t="shared" si="6"/>
        <v>0</v>
      </c>
      <c r="AA555" s="2">
        <f t="shared" si="7"/>
        <v>0</v>
      </c>
      <c r="AB555" s="2">
        <f>IF(OR($M555="",$N555=""),0,MEDIAN(-MarginCap,MarginCap,($M555-$N555)-$AA555*HFA_Base))</f>
        <v>0</v>
      </c>
      <c r="AC555" s="2">
        <f t="array" ref="AC555">IF(OR($P555="",INDEX($P$3:$P$722,(ROW()+IF(MOD(ROW()-3,2)=0,1,-1))-3+1)=""),0,MEDIAN(-MarginCap,MarginCap,($T555-$W555)-$AA555*HFA_Base))</f>
        <v>0</v>
      </c>
      <c r="AD555" s="2">
        <f t="shared" si="8"/>
        <v>0</v>
      </c>
      <c r="AE555" s="2">
        <f>IF(OR($M555="",$N555=""),0,IF(AND(WEpa&gt;0,$AD555=1),(1-WEpa)*$AB555+WEpa*$AC555,$AB555))</f>
        <v>0</v>
      </c>
      <c r="AF555" s="2">
        <f>IF(AND($C555&lt;&gt;"",$E555=CurrentSeason,$F555="REG",ISNUMBER($G555),$G555&lt;CurrentWeek,AND($M555&lt;&gt;"",$N555&lt;&gt;"")),1,0)</f>
        <v>0</v>
      </c>
      <c r="AG555" s="2">
        <f>IF($AF555=0,0,IF($G555&gt;=CurrentWeek-RecencyWin,RecencyMult,1))</f>
        <v>0</v>
      </c>
      <c r="AH555" s="2">
        <f>IF(AND($C555&lt;&gt;"",$E555=CurrentSeason,$F555="REG",ISNUMBER($G555),$G555&lt;CurrentWeek-1,AND($M555&lt;&gt;"",$N555&lt;&gt;"")),1,0)</f>
        <v>0</v>
      </c>
      <c r="AI555" s="2">
        <f>IF($AH555=0,0,IF($G555&gt;=CurrentWeek-1-RecencyWin,RecencyMult,1))</f>
        <v>0</v>
      </c>
      <c r="AJ555" s="2">
        <f>IF($AF555=0,0,IF($G555&gt;=CurrentWeek-RecencyWin,TotRecency,1))</f>
        <v>0</v>
      </c>
      <c r="AK555" s="2">
        <f t="shared" si="9"/>
        <v>0</v>
      </c>
      <c r="AL555" s="2">
        <f t="shared" si="10"/>
        <v>0</v>
      </c>
      <c r="AM555" s="2">
        <f t="array" ref="AM555">IF($K555="",0,IFERROR(INDEX(CALC!$F$2:$F$33,MATCH($K555,CALC!$A$2:$A$33,0)),0))</f>
        <v>0</v>
      </c>
      <c r="AN555" s="2">
        <f t="array" ref="AN555">IF($K555="",0,IFERROR(INDEX(CALC!$I$2:$I$33,MATCH($K555,CALC!$A$2:$A$33,0)),0))</f>
        <v>0</v>
      </c>
      <c r="AO555" s="2">
        <f t="array" ref="AO555">IF($K555="",0,IFERROR(INDEX(CALC!$L$2:$L$33,MATCH($K555,CALC!$A$2:$A$33,0)),0))</f>
        <v>0</v>
      </c>
      <c r="AP555" s="2">
        <f t="array" ref="AP555">IF($K555="",0,IFERROR(INDEX(CALC!$T$2:$T$33,MATCH($K555,CALC!$A$2:$A$33,0)),0))</f>
        <v>0</v>
      </c>
      <c r="AQ555" s="2">
        <f t="array" ref="AQ555">IF($K555="",0,IFERROR(INDEX(CALC!$W$2:$W$33,MATCH($K555,CALC!$A$2:$A$33,0)),0))</f>
        <v>0</v>
      </c>
      <c r="AR555" s="2">
        <f t="array" ref="AR555">IF($K555="",0,IFERROR(INDEX(CALC!$Z$2:$Z$33,MATCH($K555,CALC!$A$2:$A$33,0)),0))</f>
        <v>0</v>
      </c>
      <c r="AS555" s="2">
        <f t="array" ref="AS555">IF($K555="",0,IFERROR(INDEX(CALC!$AJ$2:$AJ$33,MATCH($K555,CALC!$A$2:$A$33,0)),0))</f>
        <v>0</v>
      </c>
      <c r="AT555" s="2">
        <f t="array" ref="AT555">IF($K555="",0,IFERROR(INDEX(CALC!$AI$2:$AI$33,MATCH($K555,CALC!$A$2:$A$33,0)),0))</f>
        <v>0</v>
      </c>
      <c r="AU555" s="2">
        <f t="shared" si="11"/>
        <v>0</v>
      </c>
      <c r="AV555" s="2">
        <f t="shared" si="12"/>
        <v>0</v>
      </c>
    </row>
    <row r="556" ht="15.0" customHeight="1">
      <c r="A556" s="2">
        <v>277.0</v>
      </c>
      <c r="B556" s="2" t="s">
        <v>2366</v>
      </c>
      <c r="C556" s="2" t="str">
        <f>IFERROR(MATCH($A556,SchedSeq,0),"")</f>
        <v/>
      </c>
      <c r="D556" s="2" t="str">
        <f t="array" ref="D556">IF($C556="","",INDEX(SchedZone,$C556,MAP!$B$6))</f>
        <v/>
      </c>
      <c r="E556" s="2" t="str">
        <f t="array" ref="E556">IF($C556="","",INDEX(SchedZone,$C556,MAP!$B$3))</f>
        <v/>
      </c>
      <c r="F556" s="2" t="str">
        <f t="array" ref="F556">IF($C556="","",INDEX(SchedZone,$C556,MAP!$B$5))</f>
        <v/>
      </c>
      <c r="G556" s="2" t="str">
        <f t="array" ref="G556">IF($C556="","",INDEX(SchedZone,$C556,MAP!$B$4))</f>
        <v/>
      </c>
      <c r="H556" s="2" t="str">
        <f t="array" ref="H556">IF($C556="","",INDEX(SchedZone,$C556,MAP!$B$10))</f>
        <v/>
      </c>
      <c r="I556" s="2" t="str">
        <f t="array" ref="I556">IF($H556="","",IF(COUNTIF(Teams,$H556)&gt;0,$H556,IFERROR(INDEX(LISTS!$D$2:$D$12,MATCH($H556,LISTS!$C$2:$C$12,0)),"⚠ "&amp;$H556)))</f>
        <v/>
      </c>
      <c r="J556" s="2" t="str">
        <f t="array" ref="J556">IF($C556="","",INDEX(SchedZone,$C556,MAP!$B$12))</f>
        <v/>
      </c>
      <c r="K556" s="2" t="str">
        <f t="array" ref="K556">IF($J556="","",IF(COUNTIF(Teams,$J556)&gt;0,$J556,IFERROR(INDEX(LISTS!$D$2:$D$12,MATCH($J556,LISTS!$C$2:$C$12,0)),"⚠ "&amp;$J556)))</f>
        <v/>
      </c>
      <c r="L556" s="2" t="str">
        <f t="array" ref="L556">IF($C556="","",IF(INDEX(SchedZone,$C556,MAP!$B$14)="Neutral","N",IF($B556="HOME","H","A")))</f>
        <v/>
      </c>
      <c r="M556" s="2" t="str">
        <f t="array" ref="M556">IF($C556="","",IF(INDEX(SchedZone,$C556,MAP!$B$11)="","",INDEX(SchedZone,$C556,MAP!$B$11)))</f>
        <v/>
      </c>
      <c r="N556" s="2" t="str">
        <f t="array" ref="N556">IF($C556="","",IF(INDEX(SchedZone,$C556,MAP!$B$13)="","",INDEX(SchedZone,$C556,MAP!$B$13)))</f>
        <v/>
      </c>
      <c r="O556" s="2" t="str">
        <f t="array" ref="O556">IF($C556="","",INDEX(SchedZone,$C556,MAP!$B$15))</f>
        <v/>
      </c>
      <c r="P556" s="2" t="str">
        <f>IF($C556="","",IFERROR(MATCH($E556&amp;"|"&amp;$G556&amp;"|"&amp;$I556,StatsKey,0),""))</f>
        <v/>
      </c>
      <c r="Q556" s="2">
        <f t="array" ref="Q556">IF($P556="",0,INDEX(StatsZone,$P556,MAP!$E$9)+INDEX(StatsZone,$P556,MAP!$E$10)+INDEX(StatsZone,$P556,MAP!$E$11))</f>
        <v>0</v>
      </c>
      <c r="R556" s="2">
        <f t="array" ref="R556">IF($P556="",0,INDEX(StatsZone,$P556,MAP!$E$12))</f>
        <v>0</v>
      </c>
      <c r="S556" s="2">
        <f t="array" ref="S556">IF($P556="",0,INDEX(StatsZone,$P556,MAP!$E$13))</f>
        <v>0</v>
      </c>
      <c r="T556" s="2">
        <f t="shared" si="1"/>
        <v>0</v>
      </c>
      <c r="U556" s="2">
        <f t="array" ref="U556">IF($P556="",0,INDEX(StatsZone,$P556,MAP!$E$14)+INDEX(StatsZone,$P556,MAP!$E$15)+INDEX(StatsZone,$P556,MAP!$E$16))</f>
        <v>0</v>
      </c>
      <c r="V556" s="2">
        <f t="shared" si="2"/>
        <v>0</v>
      </c>
      <c r="W556" s="2">
        <f t="shared" si="3"/>
        <v>0</v>
      </c>
      <c r="X556" s="2">
        <f t="shared" si="4"/>
        <v>0</v>
      </c>
      <c r="Y556" s="2">
        <f t="shared" si="5"/>
        <v>0</v>
      </c>
      <c r="Z556" s="2">
        <f t="shared" si="6"/>
        <v>0</v>
      </c>
      <c r="AA556" s="2">
        <f t="shared" si="7"/>
        <v>0</v>
      </c>
      <c r="AB556" s="2">
        <f>IF(OR($M556="",$N556=""),0,MEDIAN(-MarginCap,MarginCap,($M556-$N556)-$AA556*HFA_Base))</f>
        <v>0</v>
      </c>
      <c r="AC556" s="2">
        <f t="array" ref="AC556">IF(OR($P556="",INDEX($P$3:$P$722,(ROW()+IF(MOD(ROW()-3,2)=0,1,-1))-3+1)=""),0,MEDIAN(-MarginCap,MarginCap,($T556-$W556)-$AA556*HFA_Base))</f>
        <v>0</v>
      </c>
      <c r="AD556" s="2">
        <f t="shared" si="8"/>
        <v>0</v>
      </c>
      <c r="AE556" s="2">
        <f>IF(OR($M556="",$N556=""),0,IF(AND(WEpa&gt;0,$AD556=1),(1-WEpa)*$AB556+WEpa*$AC556,$AB556))</f>
        <v>0</v>
      </c>
      <c r="AF556" s="2">
        <f>IF(AND($C556&lt;&gt;"",$E556=CurrentSeason,$F556="REG",ISNUMBER($G556),$G556&lt;CurrentWeek,AND($M556&lt;&gt;"",$N556&lt;&gt;"")),1,0)</f>
        <v>0</v>
      </c>
      <c r="AG556" s="2">
        <f>IF($AF556=0,0,IF($G556&gt;=CurrentWeek-RecencyWin,RecencyMult,1))</f>
        <v>0</v>
      </c>
      <c r="AH556" s="2">
        <f>IF(AND($C556&lt;&gt;"",$E556=CurrentSeason,$F556="REG",ISNUMBER($G556),$G556&lt;CurrentWeek-1,AND($M556&lt;&gt;"",$N556&lt;&gt;"")),1,0)</f>
        <v>0</v>
      </c>
      <c r="AI556" s="2">
        <f>IF($AH556=0,0,IF($G556&gt;=CurrentWeek-1-RecencyWin,RecencyMult,1))</f>
        <v>0</v>
      </c>
      <c r="AJ556" s="2">
        <f>IF($AF556=0,0,IF($G556&gt;=CurrentWeek-RecencyWin,TotRecency,1))</f>
        <v>0</v>
      </c>
      <c r="AK556" s="2">
        <f t="shared" si="9"/>
        <v>0</v>
      </c>
      <c r="AL556" s="2">
        <f t="shared" si="10"/>
        <v>0</v>
      </c>
      <c r="AM556" s="2">
        <f t="array" ref="AM556">IF($K556="",0,IFERROR(INDEX(CALC!$F$2:$F$33,MATCH($K556,CALC!$A$2:$A$33,0)),0))</f>
        <v>0</v>
      </c>
      <c r="AN556" s="2">
        <f t="array" ref="AN556">IF($K556="",0,IFERROR(INDEX(CALC!$I$2:$I$33,MATCH($K556,CALC!$A$2:$A$33,0)),0))</f>
        <v>0</v>
      </c>
      <c r="AO556" s="2">
        <f t="array" ref="AO556">IF($K556="",0,IFERROR(INDEX(CALC!$L$2:$L$33,MATCH($K556,CALC!$A$2:$A$33,0)),0))</f>
        <v>0</v>
      </c>
      <c r="AP556" s="2">
        <f t="array" ref="AP556">IF($K556="",0,IFERROR(INDEX(CALC!$T$2:$T$33,MATCH($K556,CALC!$A$2:$A$33,0)),0))</f>
        <v>0</v>
      </c>
      <c r="AQ556" s="2">
        <f t="array" ref="AQ556">IF($K556="",0,IFERROR(INDEX(CALC!$W$2:$W$33,MATCH($K556,CALC!$A$2:$A$33,0)),0))</f>
        <v>0</v>
      </c>
      <c r="AR556" s="2">
        <f t="array" ref="AR556">IF($K556="",0,IFERROR(INDEX(CALC!$Z$2:$Z$33,MATCH($K556,CALC!$A$2:$A$33,0)),0))</f>
        <v>0</v>
      </c>
      <c r="AS556" s="2">
        <f t="array" ref="AS556">IF($K556="",0,IFERROR(INDEX(CALC!$AJ$2:$AJ$33,MATCH($K556,CALC!$A$2:$A$33,0)),0))</f>
        <v>0</v>
      </c>
      <c r="AT556" s="2">
        <f t="array" ref="AT556">IF($K556="",0,IFERROR(INDEX(CALC!$AI$2:$AI$33,MATCH($K556,CALC!$A$2:$A$33,0)),0))</f>
        <v>0</v>
      </c>
      <c r="AU556" s="2">
        <f t="shared" si="11"/>
        <v>0</v>
      </c>
      <c r="AV556" s="2">
        <f t="shared" si="12"/>
        <v>0</v>
      </c>
    </row>
    <row r="557" ht="15.0" customHeight="1">
      <c r="A557" s="2">
        <v>278.0</v>
      </c>
      <c r="B557" s="2" t="s">
        <v>2365</v>
      </c>
      <c r="C557" s="2" t="str">
        <f>IFERROR(MATCH($A557,SchedSeq,0),"")</f>
        <v/>
      </c>
      <c r="D557" s="2" t="str">
        <f t="array" ref="D557">IF($C557="","",INDEX(SchedZone,$C557,MAP!$B$6))</f>
        <v/>
      </c>
      <c r="E557" s="2" t="str">
        <f t="array" ref="E557">IF($C557="","",INDEX(SchedZone,$C557,MAP!$B$3))</f>
        <v/>
      </c>
      <c r="F557" s="2" t="str">
        <f t="array" ref="F557">IF($C557="","",INDEX(SchedZone,$C557,MAP!$B$5))</f>
        <v/>
      </c>
      <c r="G557" s="2" t="str">
        <f t="array" ref="G557">IF($C557="","",INDEX(SchedZone,$C557,MAP!$B$4))</f>
        <v/>
      </c>
      <c r="H557" s="2" t="str">
        <f t="array" ref="H557">IF($C557="","",INDEX(SchedZone,$C557,MAP!$B$12))</f>
        <v/>
      </c>
      <c r="I557" s="2" t="str">
        <f t="array" ref="I557">IF($H557="","",IF(COUNTIF(Teams,$H557)&gt;0,$H557,IFERROR(INDEX(LISTS!$D$2:$D$12,MATCH($H557,LISTS!$C$2:$C$12,0)),"⚠ "&amp;$H557)))</f>
        <v/>
      </c>
      <c r="J557" s="2" t="str">
        <f t="array" ref="J557">IF($C557="","",INDEX(SchedZone,$C557,MAP!$B$10))</f>
        <v/>
      </c>
      <c r="K557" s="2" t="str">
        <f t="array" ref="K557">IF($J557="","",IF(COUNTIF(Teams,$J557)&gt;0,$J557,IFERROR(INDEX(LISTS!$D$2:$D$12,MATCH($J557,LISTS!$C$2:$C$12,0)),"⚠ "&amp;$J557)))</f>
        <v/>
      </c>
      <c r="L557" s="2" t="str">
        <f t="array" ref="L557">IF($C557="","",IF(INDEX(SchedZone,$C557,MAP!$B$14)="Neutral","N",IF($B557="HOME","H","A")))</f>
        <v/>
      </c>
      <c r="M557" s="2" t="str">
        <f t="array" ref="M557">IF($C557="","",IF(INDEX(SchedZone,$C557,MAP!$B$13)="","",INDEX(SchedZone,$C557,MAP!$B$13)))</f>
        <v/>
      </c>
      <c r="N557" s="2" t="str">
        <f t="array" ref="N557">IF($C557="","",IF(INDEX(SchedZone,$C557,MAP!$B$11)="","",INDEX(SchedZone,$C557,MAP!$B$11)))</f>
        <v/>
      </c>
      <c r="O557" s="2" t="str">
        <f t="array" ref="O557">IF($C557="","",INDEX(SchedZone,$C557,MAP!$B$16))</f>
        <v/>
      </c>
      <c r="P557" s="2" t="str">
        <f>IF($C557="","",IFERROR(MATCH($E557&amp;"|"&amp;$G557&amp;"|"&amp;$I557,StatsKey,0),""))</f>
        <v/>
      </c>
      <c r="Q557" s="2">
        <f t="array" ref="Q557">IF($P557="",0,INDEX(StatsZone,$P557,MAP!$E$9)+INDEX(StatsZone,$P557,MAP!$E$10)+INDEX(StatsZone,$P557,MAP!$E$11))</f>
        <v>0</v>
      </c>
      <c r="R557" s="2">
        <f t="array" ref="R557">IF($P557="",0,INDEX(StatsZone,$P557,MAP!$E$12))</f>
        <v>0</v>
      </c>
      <c r="S557" s="2">
        <f t="array" ref="S557">IF($P557="",0,INDEX(StatsZone,$P557,MAP!$E$13))</f>
        <v>0</v>
      </c>
      <c r="T557" s="2">
        <f t="shared" si="1"/>
        <v>0</v>
      </c>
      <c r="U557" s="2">
        <f t="array" ref="U557">IF($P557="",0,INDEX(StatsZone,$P557,MAP!$E$14)+INDEX(StatsZone,$P557,MAP!$E$15)+INDEX(StatsZone,$P557,MAP!$E$16))</f>
        <v>0</v>
      </c>
      <c r="V557" s="2">
        <f t="shared" si="2"/>
        <v>0</v>
      </c>
      <c r="W557" s="2">
        <f t="shared" si="3"/>
        <v>0</v>
      </c>
      <c r="X557" s="2">
        <f t="shared" si="4"/>
        <v>0</v>
      </c>
      <c r="Y557" s="2">
        <f t="shared" si="5"/>
        <v>0</v>
      </c>
      <c r="Z557" s="2">
        <f t="shared" si="6"/>
        <v>0</v>
      </c>
      <c r="AA557" s="2">
        <f t="shared" si="7"/>
        <v>0</v>
      </c>
      <c r="AB557" s="2">
        <f>IF(OR($M557="",$N557=""),0,MEDIAN(-MarginCap,MarginCap,($M557-$N557)-$AA557*HFA_Base))</f>
        <v>0</v>
      </c>
      <c r="AC557" s="2">
        <f t="array" ref="AC557">IF(OR($P557="",INDEX($P$3:$P$722,(ROW()+IF(MOD(ROW()-3,2)=0,1,-1))-3+1)=""),0,MEDIAN(-MarginCap,MarginCap,($T557-$W557)-$AA557*HFA_Base))</f>
        <v>0</v>
      </c>
      <c r="AD557" s="2">
        <f t="shared" si="8"/>
        <v>0</v>
      </c>
      <c r="AE557" s="2">
        <f>IF(OR($M557="",$N557=""),0,IF(AND(WEpa&gt;0,$AD557=1),(1-WEpa)*$AB557+WEpa*$AC557,$AB557))</f>
        <v>0</v>
      </c>
      <c r="AF557" s="2">
        <f>IF(AND($C557&lt;&gt;"",$E557=CurrentSeason,$F557="REG",ISNUMBER($G557),$G557&lt;CurrentWeek,AND($M557&lt;&gt;"",$N557&lt;&gt;"")),1,0)</f>
        <v>0</v>
      </c>
      <c r="AG557" s="2">
        <f>IF($AF557=0,0,IF($G557&gt;=CurrentWeek-RecencyWin,RecencyMult,1))</f>
        <v>0</v>
      </c>
      <c r="AH557" s="2">
        <f>IF(AND($C557&lt;&gt;"",$E557=CurrentSeason,$F557="REG",ISNUMBER($G557),$G557&lt;CurrentWeek-1,AND($M557&lt;&gt;"",$N557&lt;&gt;"")),1,0)</f>
        <v>0</v>
      </c>
      <c r="AI557" s="2">
        <f>IF($AH557=0,0,IF($G557&gt;=CurrentWeek-1-RecencyWin,RecencyMult,1))</f>
        <v>0</v>
      </c>
      <c r="AJ557" s="2">
        <f>IF($AF557=0,0,IF($G557&gt;=CurrentWeek-RecencyWin,TotRecency,1))</f>
        <v>0</v>
      </c>
      <c r="AK557" s="2">
        <f t="shared" si="9"/>
        <v>0</v>
      </c>
      <c r="AL557" s="2">
        <f t="shared" si="10"/>
        <v>0</v>
      </c>
      <c r="AM557" s="2">
        <f t="array" ref="AM557">IF($K557="",0,IFERROR(INDEX(CALC!$F$2:$F$33,MATCH($K557,CALC!$A$2:$A$33,0)),0))</f>
        <v>0</v>
      </c>
      <c r="AN557" s="2">
        <f t="array" ref="AN557">IF($K557="",0,IFERROR(INDEX(CALC!$I$2:$I$33,MATCH($K557,CALC!$A$2:$A$33,0)),0))</f>
        <v>0</v>
      </c>
      <c r="AO557" s="2">
        <f t="array" ref="AO557">IF($K557="",0,IFERROR(INDEX(CALC!$L$2:$L$33,MATCH($K557,CALC!$A$2:$A$33,0)),0))</f>
        <v>0</v>
      </c>
      <c r="AP557" s="2">
        <f t="array" ref="AP557">IF($K557="",0,IFERROR(INDEX(CALC!$T$2:$T$33,MATCH($K557,CALC!$A$2:$A$33,0)),0))</f>
        <v>0</v>
      </c>
      <c r="AQ557" s="2">
        <f t="array" ref="AQ557">IF($K557="",0,IFERROR(INDEX(CALC!$W$2:$W$33,MATCH($K557,CALC!$A$2:$A$33,0)),0))</f>
        <v>0</v>
      </c>
      <c r="AR557" s="2">
        <f t="array" ref="AR557">IF($K557="",0,IFERROR(INDEX(CALC!$Z$2:$Z$33,MATCH($K557,CALC!$A$2:$A$33,0)),0))</f>
        <v>0</v>
      </c>
      <c r="AS557" s="2">
        <f t="array" ref="AS557">IF($K557="",0,IFERROR(INDEX(CALC!$AJ$2:$AJ$33,MATCH($K557,CALC!$A$2:$A$33,0)),0))</f>
        <v>0</v>
      </c>
      <c r="AT557" s="2">
        <f t="array" ref="AT557">IF($K557="",0,IFERROR(INDEX(CALC!$AI$2:$AI$33,MATCH($K557,CALC!$A$2:$A$33,0)),0))</f>
        <v>0</v>
      </c>
      <c r="AU557" s="2">
        <f t="shared" si="11"/>
        <v>0</v>
      </c>
      <c r="AV557" s="2">
        <f t="shared" si="12"/>
        <v>0</v>
      </c>
    </row>
    <row r="558" ht="15.0" customHeight="1">
      <c r="A558" s="2">
        <v>278.0</v>
      </c>
      <c r="B558" s="2" t="s">
        <v>2366</v>
      </c>
      <c r="C558" s="2" t="str">
        <f>IFERROR(MATCH($A558,SchedSeq,0),"")</f>
        <v/>
      </c>
      <c r="D558" s="2" t="str">
        <f t="array" ref="D558">IF($C558="","",INDEX(SchedZone,$C558,MAP!$B$6))</f>
        <v/>
      </c>
      <c r="E558" s="2" t="str">
        <f t="array" ref="E558">IF($C558="","",INDEX(SchedZone,$C558,MAP!$B$3))</f>
        <v/>
      </c>
      <c r="F558" s="2" t="str">
        <f t="array" ref="F558">IF($C558="","",INDEX(SchedZone,$C558,MAP!$B$5))</f>
        <v/>
      </c>
      <c r="G558" s="2" t="str">
        <f t="array" ref="G558">IF($C558="","",INDEX(SchedZone,$C558,MAP!$B$4))</f>
        <v/>
      </c>
      <c r="H558" s="2" t="str">
        <f t="array" ref="H558">IF($C558="","",INDEX(SchedZone,$C558,MAP!$B$10))</f>
        <v/>
      </c>
      <c r="I558" s="2" t="str">
        <f t="array" ref="I558">IF($H558="","",IF(COUNTIF(Teams,$H558)&gt;0,$H558,IFERROR(INDEX(LISTS!$D$2:$D$12,MATCH($H558,LISTS!$C$2:$C$12,0)),"⚠ "&amp;$H558)))</f>
        <v/>
      </c>
      <c r="J558" s="2" t="str">
        <f t="array" ref="J558">IF($C558="","",INDEX(SchedZone,$C558,MAP!$B$12))</f>
        <v/>
      </c>
      <c r="K558" s="2" t="str">
        <f t="array" ref="K558">IF($J558="","",IF(COUNTIF(Teams,$J558)&gt;0,$J558,IFERROR(INDEX(LISTS!$D$2:$D$12,MATCH($J558,LISTS!$C$2:$C$12,0)),"⚠ "&amp;$J558)))</f>
        <v/>
      </c>
      <c r="L558" s="2" t="str">
        <f t="array" ref="L558">IF($C558="","",IF(INDEX(SchedZone,$C558,MAP!$B$14)="Neutral","N",IF($B558="HOME","H","A")))</f>
        <v/>
      </c>
      <c r="M558" s="2" t="str">
        <f t="array" ref="M558">IF($C558="","",IF(INDEX(SchedZone,$C558,MAP!$B$11)="","",INDEX(SchedZone,$C558,MAP!$B$11)))</f>
        <v/>
      </c>
      <c r="N558" s="2" t="str">
        <f t="array" ref="N558">IF($C558="","",IF(INDEX(SchedZone,$C558,MAP!$B$13)="","",INDEX(SchedZone,$C558,MAP!$B$13)))</f>
        <v/>
      </c>
      <c r="O558" s="2" t="str">
        <f t="array" ref="O558">IF($C558="","",INDEX(SchedZone,$C558,MAP!$B$15))</f>
        <v/>
      </c>
      <c r="P558" s="2" t="str">
        <f>IF($C558="","",IFERROR(MATCH($E558&amp;"|"&amp;$G558&amp;"|"&amp;$I558,StatsKey,0),""))</f>
        <v/>
      </c>
      <c r="Q558" s="2">
        <f t="array" ref="Q558">IF($P558="",0,INDEX(StatsZone,$P558,MAP!$E$9)+INDEX(StatsZone,$P558,MAP!$E$10)+INDEX(StatsZone,$P558,MAP!$E$11))</f>
        <v>0</v>
      </c>
      <c r="R558" s="2">
        <f t="array" ref="R558">IF($P558="",0,INDEX(StatsZone,$P558,MAP!$E$12))</f>
        <v>0</v>
      </c>
      <c r="S558" s="2">
        <f t="array" ref="S558">IF($P558="",0,INDEX(StatsZone,$P558,MAP!$E$13))</f>
        <v>0</v>
      </c>
      <c r="T558" s="2">
        <f t="shared" si="1"/>
        <v>0</v>
      </c>
      <c r="U558" s="2">
        <f t="array" ref="U558">IF($P558="",0,INDEX(StatsZone,$P558,MAP!$E$14)+INDEX(StatsZone,$P558,MAP!$E$15)+INDEX(StatsZone,$P558,MAP!$E$16))</f>
        <v>0</v>
      </c>
      <c r="V558" s="2">
        <f t="shared" si="2"/>
        <v>0</v>
      </c>
      <c r="W558" s="2">
        <f t="shared" si="3"/>
        <v>0</v>
      </c>
      <c r="X558" s="2">
        <f t="shared" si="4"/>
        <v>0</v>
      </c>
      <c r="Y558" s="2">
        <f t="shared" si="5"/>
        <v>0</v>
      </c>
      <c r="Z558" s="2">
        <f t="shared" si="6"/>
        <v>0</v>
      </c>
      <c r="AA558" s="2">
        <f t="shared" si="7"/>
        <v>0</v>
      </c>
      <c r="AB558" s="2">
        <f>IF(OR($M558="",$N558=""),0,MEDIAN(-MarginCap,MarginCap,($M558-$N558)-$AA558*HFA_Base))</f>
        <v>0</v>
      </c>
      <c r="AC558" s="2">
        <f t="array" ref="AC558">IF(OR($P558="",INDEX($P$3:$P$722,(ROW()+IF(MOD(ROW()-3,2)=0,1,-1))-3+1)=""),0,MEDIAN(-MarginCap,MarginCap,($T558-$W558)-$AA558*HFA_Base))</f>
        <v>0</v>
      </c>
      <c r="AD558" s="2">
        <f t="shared" si="8"/>
        <v>0</v>
      </c>
      <c r="AE558" s="2">
        <f>IF(OR($M558="",$N558=""),0,IF(AND(WEpa&gt;0,$AD558=1),(1-WEpa)*$AB558+WEpa*$AC558,$AB558))</f>
        <v>0</v>
      </c>
      <c r="AF558" s="2">
        <f>IF(AND($C558&lt;&gt;"",$E558=CurrentSeason,$F558="REG",ISNUMBER($G558),$G558&lt;CurrentWeek,AND($M558&lt;&gt;"",$N558&lt;&gt;"")),1,0)</f>
        <v>0</v>
      </c>
      <c r="AG558" s="2">
        <f>IF($AF558=0,0,IF($G558&gt;=CurrentWeek-RecencyWin,RecencyMult,1))</f>
        <v>0</v>
      </c>
      <c r="AH558" s="2">
        <f>IF(AND($C558&lt;&gt;"",$E558=CurrentSeason,$F558="REG",ISNUMBER($G558),$G558&lt;CurrentWeek-1,AND($M558&lt;&gt;"",$N558&lt;&gt;"")),1,0)</f>
        <v>0</v>
      </c>
      <c r="AI558" s="2">
        <f>IF($AH558=0,0,IF($G558&gt;=CurrentWeek-1-RecencyWin,RecencyMult,1))</f>
        <v>0</v>
      </c>
      <c r="AJ558" s="2">
        <f>IF($AF558=0,0,IF($G558&gt;=CurrentWeek-RecencyWin,TotRecency,1))</f>
        <v>0</v>
      </c>
      <c r="AK558" s="2">
        <f t="shared" si="9"/>
        <v>0</v>
      </c>
      <c r="AL558" s="2">
        <f t="shared" si="10"/>
        <v>0</v>
      </c>
      <c r="AM558" s="2">
        <f t="array" ref="AM558">IF($K558="",0,IFERROR(INDEX(CALC!$F$2:$F$33,MATCH($K558,CALC!$A$2:$A$33,0)),0))</f>
        <v>0</v>
      </c>
      <c r="AN558" s="2">
        <f t="array" ref="AN558">IF($K558="",0,IFERROR(INDEX(CALC!$I$2:$I$33,MATCH($K558,CALC!$A$2:$A$33,0)),0))</f>
        <v>0</v>
      </c>
      <c r="AO558" s="2">
        <f t="array" ref="AO558">IF($K558="",0,IFERROR(INDEX(CALC!$L$2:$L$33,MATCH($K558,CALC!$A$2:$A$33,0)),0))</f>
        <v>0</v>
      </c>
      <c r="AP558" s="2">
        <f t="array" ref="AP558">IF($K558="",0,IFERROR(INDEX(CALC!$T$2:$T$33,MATCH($K558,CALC!$A$2:$A$33,0)),0))</f>
        <v>0</v>
      </c>
      <c r="AQ558" s="2">
        <f t="array" ref="AQ558">IF($K558="",0,IFERROR(INDEX(CALC!$W$2:$W$33,MATCH($K558,CALC!$A$2:$A$33,0)),0))</f>
        <v>0</v>
      </c>
      <c r="AR558" s="2">
        <f t="array" ref="AR558">IF($K558="",0,IFERROR(INDEX(CALC!$Z$2:$Z$33,MATCH($K558,CALC!$A$2:$A$33,0)),0))</f>
        <v>0</v>
      </c>
      <c r="AS558" s="2">
        <f t="array" ref="AS558">IF($K558="",0,IFERROR(INDEX(CALC!$AJ$2:$AJ$33,MATCH($K558,CALC!$A$2:$A$33,0)),0))</f>
        <v>0</v>
      </c>
      <c r="AT558" s="2">
        <f t="array" ref="AT558">IF($K558="",0,IFERROR(INDEX(CALC!$AI$2:$AI$33,MATCH($K558,CALC!$A$2:$A$33,0)),0))</f>
        <v>0</v>
      </c>
      <c r="AU558" s="2">
        <f t="shared" si="11"/>
        <v>0</v>
      </c>
      <c r="AV558" s="2">
        <f t="shared" si="12"/>
        <v>0</v>
      </c>
    </row>
    <row r="559" ht="15.0" customHeight="1">
      <c r="A559" s="2">
        <v>279.0</v>
      </c>
      <c r="B559" s="2" t="s">
        <v>2365</v>
      </c>
      <c r="C559" s="2" t="str">
        <f>IFERROR(MATCH($A559,SchedSeq,0),"")</f>
        <v/>
      </c>
      <c r="D559" s="2" t="str">
        <f t="array" ref="D559">IF($C559="","",INDEX(SchedZone,$C559,MAP!$B$6))</f>
        <v/>
      </c>
      <c r="E559" s="2" t="str">
        <f t="array" ref="E559">IF($C559="","",INDEX(SchedZone,$C559,MAP!$B$3))</f>
        <v/>
      </c>
      <c r="F559" s="2" t="str">
        <f t="array" ref="F559">IF($C559="","",INDEX(SchedZone,$C559,MAP!$B$5))</f>
        <v/>
      </c>
      <c r="G559" s="2" t="str">
        <f t="array" ref="G559">IF($C559="","",INDEX(SchedZone,$C559,MAP!$B$4))</f>
        <v/>
      </c>
      <c r="H559" s="2" t="str">
        <f t="array" ref="H559">IF($C559="","",INDEX(SchedZone,$C559,MAP!$B$12))</f>
        <v/>
      </c>
      <c r="I559" s="2" t="str">
        <f t="array" ref="I559">IF($H559="","",IF(COUNTIF(Teams,$H559)&gt;0,$H559,IFERROR(INDEX(LISTS!$D$2:$D$12,MATCH($H559,LISTS!$C$2:$C$12,0)),"⚠ "&amp;$H559)))</f>
        <v/>
      </c>
      <c r="J559" s="2" t="str">
        <f t="array" ref="J559">IF($C559="","",INDEX(SchedZone,$C559,MAP!$B$10))</f>
        <v/>
      </c>
      <c r="K559" s="2" t="str">
        <f t="array" ref="K559">IF($J559="","",IF(COUNTIF(Teams,$J559)&gt;0,$J559,IFERROR(INDEX(LISTS!$D$2:$D$12,MATCH($J559,LISTS!$C$2:$C$12,0)),"⚠ "&amp;$J559)))</f>
        <v/>
      </c>
      <c r="L559" s="2" t="str">
        <f t="array" ref="L559">IF($C559="","",IF(INDEX(SchedZone,$C559,MAP!$B$14)="Neutral","N",IF($B559="HOME","H","A")))</f>
        <v/>
      </c>
      <c r="M559" s="2" t="str">
        <f t="array" ref="M559">IF($C559="","",IF(INDEX(SchedZone,$C559,MAP!$B$13)="","",INDEX(SchedZone,$C559,MAP!$B$13)))</f>
        <v/>
      </c>
      <c r="N559" s="2" t="str">
        <f t="array" ref="N559">IF($C559="","",IF(INDEX(SchedZone,$C559,MAP!$B$11)="","",INDEX(SchedZone,$C559,MAP!$B$11)))</f>
        <v/>
      </c>
      <c r="O559" s="2" t="str">
        <f t="array" ref="O559">IF($C559="","",INDEX(SchedZone,$C559,MAP!$B$16))</f>
        <v/>
      </c>
      <c r="P559" s="2" t="str">
        <f>IF($C559="","",IFERROR(MATCH($E559&amp;"|"&amp;$G559&amp;"|"&amp;$I559,StatsKey,0),""))</f>
        <v/>
      </c>
      <c r="Q559" s="2">
        <f t="array" ref="Q559">IF($P559="",0,INDEX(StatsZone,$P559,MAP!$E$9)+INDEX(StatsZone,$P559,MAP!$E$10)+INDEX(StatsZone,$P559,MAP!$E$11))</f>
        <v>0</v>
      </c>
      <c r="R559" s="2">
        <f t="array" ref="R559">IF($P559="",0,INDEX(StatsZone,$P559,MAP!$E$12))</f>
        <v>0</v>
      </c>
      <c r="S559" s="2">
        <f t="array" ref="S559">IF($P559="",0,INDEX(StatsZone,$P559,MAP!$E$13))</f>
        <v>0</v>
      </c>
      <c r="T559" s="2">
        <f t="shared" si="1"/>
        <v>0</v>
      </c>
      <c r="U559" s="2">
        <f t="array" ref="U559">IF($P559="",0,INDEX(StatsZone,$P559,MAP!$E$14)+INDEX(StatsZone,$P559,MAP!$E$15)+INDEX(StatsZone,$P559,MAP!$E$16))</f>
        <v>0</v>
      </c>
      <c r="V559" s="2">
        <f t="shared" si="2"/>
        <v>0</v>
      </c>
      <c r="W559" s="2">
        <f t="shared" si="3"/>
        <v>0</v>
      </c>
      <c r="X559" s="2">
        <f t="shared" si="4"/>
        <v>0</v>
      </c>
      <c r="Y559" s="2">
        <f t="shared" si="5"/>
        <v>0</v>
      </c>
      <c r="Z559" s="2">
        <f t="shared" si="6"/>
        <v>0</v>
      </c>
      <c r="AA559" s="2">
        <f t="shared" si="7"/>
        <v>0</v>
      </c>
      <c r="AB559" s="2">
        <f>IF(OR($M559="",$N559=""),0,MEDIAN(-MarginCap,MarginCap,($M559-$N559)-$AA559*HFA_Base))</f>
        <v>0</v>
      </c>
      <c r="AC559" s="2">
        <f t="array" ref="AC559">IF(OR($P559="",INDEX($P$3:$P$722,(ROW()+IF(MOD(ROW()-3,2)=0,1,-1))-3+1)=""),0,MEDIAN(-MarginCap,MarginCap,($T559-$W559)-$AA559*HFA_Base))</f>
        <v>0</v>
      </c>
      <c r="AD559" s="2">
        <f t="shared" si="8"/>
        <v>0</v>
      </c>
      <c r="AE559" s="2">
        <f>IF(OR($M559="",$N559=""),0,IF(AND(WEpa&gt;0,$AD559=1),(1-WEpa)*$AB559+WEpa*$AC559,$AB559))</f>
        <v>0</v>
      </c>
      <c r="AF559" s="2">
        <f>IF(AND($C559&lt;&gt;"",$E559=CurrentSeason,$F559="REG",ISNUMBER($G559),$G559&lt;CurrentWeek,AND($M559&lt;&gt;"",$N559&lt;&gt;"")),1,0)</f>
        <v>0</v>
      </c>
      <c r="AG559" s="2">
        <f>IF($AF559=0,0,IF($G559&gt;=CurrentWeek-RecencyWin,RecencyMult,1))</f>
        <v>0</v>
      </c>
      <c r="AH559" s="2">
        <f>IF(AND($C559&lt;&gt;"",$E559=CurrentSeason,$F559="REG",ISNUMBER($G559),$G559&lt;CurrentWeek-1,AND($M559&lt;&gt;"",$N559&lt;&gt;"")),1,0)</f>
        <v>0</v>
      </c>
      <c r="AI559" s="2">
        <f>IF($AH559=0,0,IF($G559&gt;=CurrentWeek-1-RecencyWin,RecencyMult,1))</f>
        <v>0</v>
      </c>
      <c r="AJ559" s="2">
        <f>IF($AF559=0,0,IF($G559&gt;=CurrentWeek-RecencyWin,TotRecency,1))</f>
        <v>0</v>
      </c>
      <c r="AK559" s="2">
        <f t="shared" si="9"/>
        <v>0</v>
      </c>
      <c r="AL559" s="2">
        <f t="shared" si="10"/>
        <v>0</v>
      </c>
      <c r="AM559" s="2">
        <f t="array" ref="AM559">IF($K559="",0,IFERROR(INDEX(CALC!$F$2:$F$33,MATCH($K559,CALC!$A$2:$A$33,0)),0))</f>
        <v>0</v>
      </c>
      <c r="AN559" s="2">
        <f t="array" ref="AN559">IF($K559="",0,IFERROR(INDEX(CALC!$I$2:$I$33,MATCH($K559,CALC!$A$2:$A$33,0)),0))</f>
        <v>0</v>
      </c>
      <c r="AO559" s="2">
        <f t="array" ref="AO559">IF($K559="",0,IFERROR(INDEX(CALC!$L$2:$L$33,MATCH($K559,CALC!$A$2:$A$33,0)),0))</f>
        <v>0</v>
      </c>
      <c r="AP559" s="2">
        <f t="array" ref="AP559">IF($K559="",0,IFERROR(INDEX(CALC!$T$2:$T$33,MATCH($K559,CALC!$A$2:$A$33,0)),0))</f>
        <v>0</v>
      </c>
      <c r="AQ559" s="2">
        <f t="array" ref="AQ559">IF($K559="",0,IFERROR(INDEX(CALC!$W$2:$W$33,MATCH($K559,CALC!$A$2:$A$33,0)),0))</f>
        <v>0</v>
      </c>
      <c r="AR559" s="2">
        <f t="array" ref="AR559">IF($K559="",0,IFERROR(INDEX(CALC!$Z$2:$Z$33,MATCH($K559,CALC!$A$2:$A$33,0)),0))</f>
        <v>0</v>
      </c>
      <c r="AS559" s="2">
        <f t="array" ref="AS559">IF($K559="",0,IFERROR(INDEX(CALC!$AJ$2:$AJ$33,MATCH($K559,CALC!$A$2:$A$33,0)),0))</f>
        <v>0</v>
      </c>
      <c r="AT559" s="2">
        <f t="array" ref="AT559">IF($K559="",0,IFERROR(INDEX(CALC!$AI$2:$AI$33,MATCH($K559,CALC!$A$2:$A$33,0)),0))</f>
        <v>0</v>
      </c>
      <c r="AU559" s="2">
        <f t="shared" si="11"/>
        <v>0</v>
      </c>
      <c r="AV559" s="2">
        <f t="shared" si="12"/>
        <v>0</v>
      </c>
    </row>
    <row r="560" ht="15.0" customHeight="1">
      <c r="A560" s="2">
        <v>279.0</v>
      </c>
      <c r="B560" s="2" t="s">
        <v>2366</v>
      </c>
      <c r="C560" s="2" t="str">
        <f>IFERROR(MATCH($A560,SchedSeq,0),"")</f>
        <v/>
      </c>
      <c r="D560" s="2" t="str">
        <f t="array" ref="D560">IF($C560="","",INDEX(SchedZone,$C560,MAP!$B$6))</f>
        <v/>
      </c>
      <c r="E560" s="2" t="str">
        <f t="array" ref="E560">IF($C560="","",INDEX(SchedZone,$C560,MAP!$B$3))</f>
        <v/>
      </c>
      <c r="F560" s="2" t="str">
        <f t="array" ref="F560">IF($C560="","",INDEX(SchedZone,$C560,MAP!$B$5))</f>
        <v/>
      </c>
      <c r="G560" s="2" t="str">
        <f t="array" ref="G560">IF($C560="","",INDEX(SchedZone,$C560,MAP!$B$4))</f>
        <v/>
      </c>
      <c r="H560" s="2" t="str">
        <f t="array" ref="H560">IF($C560="","",INDEX(SchedZone,$C560,MAP!$B$10))</f>
        <v/>
      </c>
      <c r="I560" s="2" t="str">
        <f t="array" ref="I560">IF($H560="","",IF(COUNTIF(Teams,$H560)&gt;0,$H560,IFERROR(INDEX(LISTS!$D$2:$D$12,MATCH($H560,LISTS!$C$2:$C$12,0)),"⚠ "&amp;$H560)))</f>
        <v/>
      </c>
      <c r="J560" s="2" t="str">
        <f t="array" ref="J560">IF($C560="","",INDEX(SchedZone,$C560,MAP!$B$12))</f>
        <v/>
      </c>
      <c r="K560" s="2" t="str">
        <f t="array" ref="K560">IF($J560="","",IF(COUNTIF(Teams,$J560)&gt;0,$J560,IFERROR(INDEX(LISTS!$D$2:$D$12,MATCH($J560,LISTS!$C$2:$C$12,0)),"⚠ "&amp;$J560)))</f>
        <v/>
      </c>
      <c r="L560" s="2" t="str">
        <f t="array" ref="L560">IF($C560="","",IF(INDEX(SchedZone,$C560,MAP!$B$14)="Neutral","N",IF($B560="HOME","H","A")))</f>
        <v/>
      </c>
      <c r="M560" s="2" t="str">
        <f t="array" ref="M560">IF($C560="","",IF(INDEX(SchedZone,$C560,MAP!$B$11)="","",INDEX(SchedZone,$C560,MAP!$B$11)))</f>
        <v/>
      </c>
      <c r="N560" s="2" t="str">
        <f t="array" ref="N560">IF($C560="","",IF(INDEX(SchedZone,$C560,MAP!$B$13)="","",INDEX(SchedZone,$C560,MAP!$B$13)))</f>
        <v/>
      </c>
      <c r="O560" s="2" t="str">
        <f t="array" ref="O560">IF($C560="","",INDEX(SchedZone,$C560,MAP!$B$15))</f>
        <v/>
      </c>
      <c r="P560" s="2" t="str">
        <f>IF($C560="","",IFERROR(MATCH($E560&amp;"|"&amp;$G560&amp;"|"&amp;$I560,StatsKey,0),""))</f>
        <v/>
      </c>
      <c r="Q560" s="2">
        <f t="array" ref="Q560">IF($P560="",0,INDEX(StatsZone,$P560,MAP!$E$9)+INDEX(StatsZone,$P560,MAP!$E$10)+INDEX(StatsZone,$P560,MAP!$E$11))</f>
        <v>0</v>
      </c>
      <c r="R560" s="2">
        <f t="array" ref="R560">IF($P560="",0,INDEX(StatsZone,$P560,MAP!$E$12))</f>
        <v>0</v>
      </c>
      <c r="S560" s="2">
        <f t="array" ref="S560">IF($P560="",0,INDEX(StatsZone,$P560,MAP!$E$13))</f>
        <v>0</v>
      </c>
      <c r="T560" s="2">
        <f t="shared" si="1"/>
        <v>0</v>
      </c>
      <c r="U560" s="2">
        <f t="array" ref="U560">IF($P560="",0,INDEX(StatsZone,$P560,MAP!$E$14)+INDEX(StatsZone,$P560,MAP!$E$15)+INDEX(StatsZone,$P560,MAP!$E$16))</f>
        <v>0</v>
      </c>
      <c r="V560" s="2">
        <f t="shared" si="2"/>
        <v>0</v>
      </c>
      <c r="W560" s="2">
        <f t="shared" si="3"/>
        <v>0</v>
      </c>
      <c r="X560" s="2">
        <f t="shared" si="4"/>
        <v>0</v>
      </c>
      <c r="Y560" s="2">
        <f t="shared" si="5"/>
        <v>0</v>
      </c>
      <c r="Z560" s="2">
        <f t="shared" si="6"/>
        <v>0</v>
      </c>
      <c r="AA560" s="2">
        <f t="shared" si="7"/>
        <v>0</v>
      </c>
      <c r="AB560" s="2">
        <f>IF(OR($M560="",$N560=""),0,MEDIAN(-MarginCap,MarginCap,($M560-$N560)-$AA560*HFA_Base))</f>
        <v>0</v>
      </c>
      <c r="AC560" s="2">
        <f t="array" ref="AC560">IF(OR($P560="",INDEX($P$3:$P$722,(ROW()+IF(MOD(ROW()-3,2)=0,1,-1))-3+1)=""),0,MEDIAN(-MarginCap,MarginCap,($T560-$W560)-$AA560*HFA_Base))</f>
        <v>0</v>
      </c>
      <c r="AD560" s="2">
        <f t="shared" si="8"/>
        <v>0</v>
      </c>
      <c r="AE560" s="2">
        <f>IF(OR($M560="",$N560=""),0,IF(AND(WEpa&gt;0,$AD560=1),(1-WEpa)*$AB560+WEpa*$AC560,$AB560))</f>
        <v>0</v>
      </c>
      <c r="AF560" s="2">
        <f>IF(AND($C560&lt;&gt;"",$E560=CurrentSeason,$F560="REG",ISNUMBER($G560),$G560&lt;CurrentWeek,AND($M560&lt;&gt;"",$N560&lt;&gt;"")),1,0)</f>
        <v>0</v>
      </c>
      <c r="AG560" s="2">
        <f>IF($AF560=0,0,IF($G560&gt;=CurrentWeek-RecencyWin,RecencyMult,1))</f>
        <v>0</v>
      </c>
      <c r="AH560" s="2">
        <f>IF(AND($C560&lt;&gt;"",$E560=CurrentSeason,$F560="REG",ISNUMBER($G560),$G560&lt;CurrentWeek-1,AND($M560&lt;&gt;"",$N560&lt;&gt;"")),1,0)</f>
        <v>0</v>
      </c>
      <c r="AI560" s="2">
        <f>IF($AH560=0,0,IF($G560&gt;=CurrentWeek-1-RecencyWin,RecencyMult,1))</f>
        <v>0</v>
      </c>
      <c r="AJ560" s="2">
        <f>IF($AF560=0,0,IF($G560&gt;=CurrentWeek-RecencyWin,TotRecency,1))</f>
        <v>0</v>
      </c>
      <c r="AK560" s="2">
        <f t="shared" si="9"/>
        <v>0</v>
      </c>
      <c r="AL560" s="2">
        <f t="shared" si="10"/>
        <v>0</v>
      </c>
      <c r="AM560" s="2">
        <f t="array" ref="AM560">IF($K560="",0,IFERROR(INDEX(CALC!$F$2:$F$33,MATCH($K560,CALC!$A$2:$A$33,0)),0))</f>
        <v>0</v>
      </c>
      <c r="AN560" s="2">
        <f t="array" ref="AN560">IF($K560="",0,IFERROR(INDEX(CALC!$I$2:$I$33,MATCH($K560,CALC!$A$2:$A$33,0)),0))</f>
        <v>0</v>
      </c>
      <c r="AO560" s="2">
        <f t="array" ref="AO560">IF($K560="",0,IFERROR(INDEX(CALC!$L$2:$L$33,MATCH($K560,CALC!$A$2:$A$33,0)),0))</f>
        <v>0</v>
      </c>
      <c r="AP560" s="2">
        <f t="array" ref="AP560">IF($K560="",0,IFERROR(INDEX(CALC!$T$2:$T$33,MATCH($K560,CALC!$A$2:$A$33,0)),0))</f>
        <v>0</v>
      </c>
      <c r="AQ560" s="2">
        <f t="array" ref="AQ560">IF($K560="",0,IFERROR(INDEX(CALC!$W$2:$W$33,MATCH($K560,CALC!$A$2:$A$33,0)),0))</f>
        <v>0</v>
      </c>
      <c r="AR560" s="2">
        <f t="array" ref="AR560">IF($K560="",0,IFERROR(INDEX(CALC!$Z$2:$Z$33,MATCH($K560,CALC!$A$2:$A$33,0)),0))</f>
        <v>0</v>
      </c>
      <c r="AS560" s="2">
        <f t="array" ref="AS560">IF($K560="",0,IFERROR(INDEX(CALC!$AJ$2:$AJ$33,MATCH($K560,CALC!$A$2:$A$33,0)),0))</f>
        <v>0</v>
      </c>
      <c r="AT560" s="2">
        <f t="array" ref="AT560">IF($K560="",0,IFERROR(INDEX(CALC!$AI$2:$AI$33,MATCH($K560,CALC!$A$2:$A$33,0)),0))</f>
        <v>0</v>
      </c>
      <c r="AU560" s="2">
        <f t="shared" si="11"/>
        <v>0</v>
      </c>
      <c r="AV560" s="2">
        <f t="shared" si="12"/>
        <v>0</v>
      </c>
    </row>
    <row r="561" ht="15.0" customHeight="1">
      <c r="A561" s="2">
        <v>280.0</v>
      </c>
      <c r="B561" s="2" t="s">
        <v>2365</v>
      </c>
      <c r="C561" s="2" t="str">
        <f>IFERROR(MATCH($A561,SchedSeq,0),"")</f>
        <v/>
      </c>
      <c r="D561" s="2" t="str">
        <f t="array" ref="D561">IF($C561="","",INDEX(SchedZone,$C561,MAP!$B$6))</f>
        <v/>
      </c>
      <c r="E561" s="2" t="str">
        <f t="array" ref="E561">IF($C561="","",INDEX(SchedZone,$C561,MAP!$B$3))</f>
        <v/>
      </c>
      <c r="F561" s="2" t="str">
        <f t="array" ref="F561">IF($C561="","",INDEX(SchedZone,$C561,MAP!$B$5))</f>
        <v/>
      </c>
      <c r="G561" s="2" t="str">
        <f t="array" ref="G561">IF($C561="","",INDEX(SchedZone,$C561,MAP!$B$4))</f>
        <v/>
      </c>
      <c r="H561" s="2" t="str">
        <f t="array" ref="H561">IF($C561="","",INDEX(SchedZone,$C561,MAP!$B$12))</f>
        <v/>
      </c>
      <c r="I561" s="2" t="str">
        <f t="array" ref="I561">IF($H561="","",IF(COUNTIF(Teams,$H561)&gt;0,$H561,IFERROR(INDEX(LISTS!$D$2:$D$12,MATCH($H561,LISTS!$C$2:$C$12,0)),"⚠ "&amp;$H561)))</f>
        <v/>
      </c>
      <c r="J561" s="2" t="str">
        <f t="array" ref="J561">IF($C561="","",INDEX(SchedZone,$C561,MAP!$B$10))</f>
        <v/>
      </c>
      <c r="K561" s="2" t="str">
        <f t="array" ref="K561">IF($J561="","",IF(COUNTIF(Teams,$J561)&gt;0,$J561,IFERROR(INDEX(LISTS!$D$2:$D$12,MATCH($J561,LISTS!$C$2:$C$12,0)),"⚠ "&amp;$J561)))</f>
        <v/>
      </c>
      <c r="L561" s="2" t="str">
        <f t="array" ref="L561">IF($C561="","",IF(INDEX(SchedZone,$C561,MAP!$B$14)="Neutral","N",IF($B561="HOME","H","A")))</f>
        <v/>
      </c>
      <c r="M561" s="2" t="str">
        <f t="array" ref="M561">IF($C561="","",IF(INDEX(SchedZone,$C561,MAP!$B$13)="","",INDEX(SchedZone,$C561,MAP!$B$13)))</f>
        <v/>
      </c>
      <c r="N561" s="2" t="str">
        <f t="array" ref="N561">IF($C561="","",IF(INDEX(SchedZone,$C561,MAP!$B$11)="","",INDEX(SchedZone,$C561,MAP!$B$11)))</f>
        <v/>
      </c>
      <c r="O561" s="2" t="str">
        <f t="array" ref="O561">IF($C561="","",INDEX(SchedZone,$C561,MAP!$B$16))</f>
        <v/>
      </c>
      <c r="P561" s="2" t="str">
        <f>IF($C561="","",IFERROR(MATCH($E561&amp;"|"&amp;$G561&amp;"|"&amp;$I561,StatsKey,0),""))</f>
        <v/>
      </c>
      <c r="Q561" s="2">
        <f t="array" ref="Q561">IF($P561="",0,INDEX(StatsZone,$P561,MAP!$E$9)+INDEX(StatsZone,$P561,MAP!$E$10)+INDEX(StatsZone,$P561,MAP!$E$11))</f>
        <v>0</v>
      </c>
      <c r="R561" s="2">
        <f t="array" ref="R561">IF($P561="",0,INDEX(StatsZone,$P561,MAP!$E$12))</f>
        <v>0</v>
      </c>
      <c r="S561" s="2">
        <f t="array" ref="S561">IF($P561="",0,INDEX(StatsZone,$P561,MAP!$E$13))</f>
        <v>0</v>
      </c>
      <c r="T561" s="2">
        <f t="shared" si="1"/>
        <v>0</v>
      </c>
      <c r="U561" s="2">
        <f t="array" ref="U561">IF($P561="",0,INDEX(StatsZone,$P561,MAP!$E$14)+INDEX(StatsZone,$P561,MAP!$E$15)+INDEX(StatsZone,$P561,MAP!$E$16))</f>
        <v>0</v>
      </c>
      <c r="V561" s="2">
        <f t="shared" si="2"/>
        <v>0</v>
      </c>
      <c r="W561" s="2">
        <f t="shared" si="3"/>
        <v>0</v>
      </c>
      <c r="X561" s="2">
        <f t="shared" si="4"/>
        <v>0</v>
      </c>
      <c r="Y561" s="2">
        <f t="shared" si="5"/>
        <v>0</v>
      </c>
      <c r="Z561" s="2">
        <f t="shared" si="6"/>
        <v>0</v>
      </c>
      <c r="AA561" s="2">
        <f t="shared" si="7"/>
        <v>0</v>
      </c>
      <c r="AB561" s="2">
        <f>IF(OR($M561="",$N561=""),0,MEDIAN(-MarginCap,MarginCap,($M561-$N561)-$AA561*HFA_Base))</f>
        <v>0</v>
      </c>
      <c r="AC561" s="2">
        <f t="array" ref="AC561">IF(OR($P561="",INDEX($P$3:$P$722,(ROW()+IF(MOD(ROW()-3,2)=0,1,-1))-3+1)=""),0,MEDIAN(-MarginCap,MarginCap,($T561-$W561)-$AA561*HFA_Base))</f>
        <v>0</v>
      </c>
      <c r="AD561" s="2">
        <f t="shared" si="8"/>
        <v>0</v>
      </c>
      <c r="AE561" s="2">
        <f>IF(OR($M561="",$N561=""),0,IF(AND(WEpa&gt;0,$AD561=1),(1-WEpa)*$AB561+WEpa*$AC561,$AB561))</f>
        <v>0</v>
      </c>
      <c r="AF561" s="2">
        <f>IF(AND($C561&lt;&gt;"",$E561=CurrentSeason,$F561="REG",ISNUMBER($G561),$G561&lt;CurrentWeek,AND($M561&lt;&gt;"",$N561&lt;&gt;"")),1,0)</f>
        <v>0</v>
      </c>
      <c r="AG561" s="2">
        <f>IF($AF561=0,0,IF($G561&gt;=CurrentWeek-RecencyWin,RecencyMult,1))</f>
        <v>0</v>
      </c>
      <c r="AH561" s="2">
        <f>IF(AND($C561&lt;&gt;"",$E561=CurrentSeason,$F561="REG",ISNUMBER($G561),$G561&lt;CurrentWeek-1,AND($M561&lt;&gt;"",$N561&lt;&gt;"")),1,0)</f>
        <v>0</v>
      </c>
      <c r="AI561" s="2">
        <f>IF($AH561=0,0,IF($G561&gt;=CurrentWeek-1-RecencyWin,RecencyMult,1))</f>
        <v>0</v>
      </c>
      <c r="AJ561" s="2">
        <f>IF($AF561=0,0,IF($G561&gt;=CurrentWeek-RecencyWin,TotRecency,1))</f>
        <v>0</v>
      </c>
      <c r="AK561" s="2">
        <f t="shared" si="9"/>
        <v>0</v>
      </c>
      <c r="AL561" s="2">
        <f t="shared" si="10"/>
        <v>0</v>
      </c>
      <c r="AM561" s="2">
        <f t="array" ref="AM561">IF($K561="",0,IFERROR(INDEX(CALC!$F$2:$F$33,MATCH($K561,CALC!$A$2:$A$33,0)),0))</f>
        <v>0</v>
      </c>
      <c r="AN561" s="2">
        <f t="array" ref="AN561">IF($K561="",0,IFERROR(INDEX(CALC!$I$2:$I$33,MATCH($K561,CALC!$A$2:$A$33,0)),0))</f>
        <v>0</v>
      </c>
      <c r="AO561" s="2">
        <f t="array" ref="AO561">IF($K561="",0,IFERROR(INDEX(CALC!$L$2:$L$33,MATCH($K561,CALC!$A$2:$A$33,0)),0))</f>
        <v>0</v>
      </c>
      <c r="AP561" s="2">
        <f t="array" ref="AP561">IF($K561="",0,IFERROR(INDEX(CALC!$T$2:$T$33,MATCH($K561,CALC!$A$2:$A$33,0)),0))</f>
        <v>0</v>
      </c>
      <c r="AQ561" s="2">
        <f t="array" ref="AQ561">IF($K561="",0,IFERROR(INDEX(CALC!$W$2:$W$33,MATCH($K561,CALC!$A$2:$A$33,0)),0))</f>
        <v>0</v>
      </c>
      <c r="AR561" s="2">
        <f t="array" ref="AR561">IF($K561="",0,IFERROR(INDEX(CALC!$Z$2:$Z$33,MATCH($K561,CALC!$A$2:$A$33,0)),0))</f>
        <v>0</v>
      </c>
      <c r="AS561" s="2">
        <f t="array" ref="AS561">IF($K561="",0,IFERROR(INDEX(CALC!$AJ$2:$AJ$33,MATCH($K561,CALC!$A$2:$A$33,0)),0))</f>
        <v>0</v>
      </c>
      <c r="AT561" s="2">
        <f t="array" ref="AT561">IF($K561="",0,IFERROR(INDEX(CALC!$AI$2:$AI$33,MATCH($K561,CALC!$A$2:$A$33,0)),0))</f>
        <v>0</v>
      </c>
      <c r="AU561" s="2">
        <f t="shared" si="11"/>
        <v>0</v>
      </c>
      <c r="AV561" s="2">
        <f t="shared" si="12"/>
        <v>0</v>
      </c>
    </row>
    <row r="562" ht="15.0" customHeight="1">
      <c r="A562" s="2">
        <v>280.0</v>
      </c>
      <c r="B562" s="2" t="s">
        <v>2366</v>
      </c>
      <c r="C562" s="2" t="str">
        <f>IFERROR(MATCH($A562,SchedSeq,0),"")</f>
        <v/>
      </c>
      <c r="D562" s="2" t="str">
        <f t="array" ref="D562">IF($C562="","",INDEX(SchedZone,$C562,MAP!$B$6))</f>
        <v/>
      </c>
      <c r="E562" s="2" t="str">
        <f t="array" ref="E562">IF($C562="","",INDEX(SchedZone,$C562,MAP!$B$3))</f>
        <v/>
      </c>
      <c r="F562" s="2" t="str">
        <f t="array" ref="F562">IF($C562="","",INDEX(SchedZone,$C562,MAP!$B$5))</f>
        <v/>
      </c>
      <c r="G562" s="2" t="str">
        <f t="array" ref="G562">IF($C562="","",INDEX(SchedZone,$C562,MAP!$B$4))</f>
        <v/>
      </c>
      <c r="H562" s="2" t="str">
        <f t="array" ref="H562">IF($C562="","",INDEX(SchedZone,$C562,MAP!$B$10))</f>
        <v/>
      </c>
      <c r="I562" s="2" t="str">
        <f t="array" ref="I562">IF($H562="","",IF(COUNTIF(Teams,$H562)&gt;0,$H562,IFERROR(INDEX(LISTS!$D$2:$D$12,MATCH($H562,LISTS!$C$2:$C$12,0)),"⚠ "&amp;$H562)))</f>
        <v/>
      </c>
      <c r="J562" s="2" t="str">
        <f t="array" ref="J562">IF($C562="","",INDEX(SchedZone,$C562,MAP!$B$12))</f>
        <v/>
      </c>
      <c r="K562" s="2" t="str">
        <f t="array" ref="K562">IF($J562="","",IF(COUNTIF(Teams,$J562)&gt;0,$J562,IFERROR(INDEX(LISTS!$D$2:$D$12,MATCH($J562,LISTS!$C$2:$C$12,0)),"⚠ "&amp;$J562)))</f>
        <v/>
      </c>
      <c r="L562" s="2" t="str">
        <f t="array" ref="L562">IF($C562="","",IF(INDEX(SchedZone,$C562,MAP!$B$14)="Neutral","N",IF($B562="HOME","H","A")))</f>
        <v/>
      </c>
      <c r="M562" s="2" t="str">
        <f t="array" ref="M562">IF($C562="","",IF(INDEX(SchedZone,$C562,MAP!$B$11)="","",INDEX(SchedZone,$C562,MAP!$B$11)))</f>
        <v/>
      </c>
      <c r="N562" s="2" t="str">
        <f t="array" ref="N562">IF($C562="","",IF(INDEX(SchedZone,$C562,MAP!$B$13)="","",INDEX(SchedZone,$C562,MAP!$B$13)))</f>
        <v/>
      </c>
      <c r="O562" s="2" t="str">
        <f t="array" ref="O562">IF($C562="","",INDEX(SchedZone,$C562,MAP!$B$15))</f>
        <v/>
      </c>
      <c r="P562" s="2" t="str">
        <f>IF($C562="","",IFERROR(MATCH($E562&amp;"|"&amp;$G562&amp;"|"&amp;$I562,StatsKey,0),""))</f>
        <v/>
      </c>
      <c r="Q562" s="2">
        <f t="array" ref="Q562">IF($P562="",0,INDEX(StatsZone,$P562,MAP!$E$9)+INDEX(StatsZone,$P562,MAP!$E$10)+INDEX(StatsZone,$P562,MAP!$E$11))</f>
        <v>0</v>
      </c>
      <c r="R562" s="2">
        <f t="array" ref="R562">IF($P562="",0,INDEX(StatsZone,$P562,MAP!$E$12))</f>
        <v>0</v>
      </c>
      <c r="S562" s="2">
        <f t="array" ref="S562">IF($P562="",0,INDEX(StatsZone,$P562,MAP!$E$13))</f>
        <v>0</v>
      </c>
      <c r="T562" s="2">
        <f t="shared" si="1"/>
        <v>0</v>
      </c>
      <c r="U562" s="2">
        <f t="array" ref="U562">IF($P562="",0,INDEX(StatsZone,$P562,MAP!$E$14)+INDEX(StatsZone,$P562,MAP!$E$15)+INDEX(StatsZone,$P562,MAP!$E$16))</f>
        <v>0</v>
      </c>
      <c r="V562" s="2">
        <f t="shared" si="2"/>
        <v>0</v>
      </c>
      <c r="W562" s="2">
        <f t="shared" si="3"/>
        <v>0</v>
      </c>
      <c r="X562" s="2">
        <f t="shared" si="4"/>
        <v>0</v>
      </c>
      <c r="Y562" s="2">
        <f t="shared" si="5"/>
        <v>0</v>
      </c>
      <c r="Z562" s="2">
        <f t="shared" si="6"/>
        <v>0</v>
      </c>
      <c r="AA562" s="2">
        <f t="shared" si="7"/>
        <v>0</v>
      </c>
      <c r="AB562" s="2">
        <f>IF(OR($M562="",$N562=""),0,MEDIAN(-MarginCap,MarginCap,($M562-$N562)-$AA562*HFA_Base))</f>
        <v>0</v>
      </c>
      <c r="AC562" s="2">
        <f t="array" ref="AC562">IF(OR($P562="",INDEX($P$3:$P$722,(ROW()+IF(MOD(ROW()-3,2)=0,1,-1))-3+1)=""),0,MEDIAN(-MarginCap,MarginCap,($T562-$W562)-$AA562*HFA_Base))</f>
        <v>0</v>
      </c>
      <c r="AD562" s="2">
        <f t="shared" si="8"/>
        <v>0</v>
      </c>
      <c r="AE562" s="2">
        <f>IF(OR($M562="",$N562=""),0,IF(AND(WEpa&gt;0,$AD562=1),(1-WEpa)*$AB562+WEpa*$AC562,$AB562))</f>
        <v>0</v>
      </c>
      <c r="AF562" s="2">
        <f>IF(AND($C562&lt;&gt;"",$E562=CurrentSeason,$F562="REG",ISNUMBER($G562),$G562&lt;CurrentWeek,AND($M562&lt;&gt;"",$N562&lt;&gt;"")),1,0)</f>
        <v>0</v>
      </c>
      <c r="AG562" s="2">
        <f>IF($AF562=0,0,IF($G562&gt;=CurrentWeek-RecencyWin,RecencyMult,1))</f>
        <v>0</v>
      </c>
      <c r="AH562" s="2">
        <f>IF(AND($C562&lt;&gt;"",$E562=CurrentSeason,$F562="REG",ISNUMBER($G562),$G562&lt;CurrentWeek-1,AND($M562&lt;&gt;"",$N562&lt;&gt;"")),1,0)</f>
        <v>0</v>
      </c>
      <c r="AI562" s="2">
        <f>IF($AH562=0,0,IF($G562&gt;=CurrentWeek-1-RecencyWin,RecencyMult,1))</f>
        <v>0</v>
      </c>
      <c r="AJ562" s="2">
        <f>IF($AF562=0,0,IF($G562&gt;=CurrentWeek-RecencyWin,TotRecency,1))</f>
        <v>0</v>
      </c>
      <c r="AK562" s="2">
        <f t="shared" si="9"/>
        <v>0</v>
      </c>
      <c r="AL562" s="2">
        <f t="shared" si="10"/>
        <v>0</v>
      </c>
      <c r="AM562" s="2">
        <f t="array" ref="AM562">IF($K562="",0,IFERROR(INDEX(CALC!$F$2:$F$33,MATCH($K562,CALC!$A$2:$A$33,0)),0))</f>
        <v>0</v>
      </c>
      <c r="AN562" s="2">
        <f t="array" ref="AN562">IF($K562="",0,IFERROR(INDEX(CALC!$I$2:$I$33,MATCH($K562,CALC!$A$2:$A$33,0)),0))</f>
        <v>0</v>
      </c>
      <c r="AO562" s="2">
        <f t="array" ref="AO562">IF($K562="",0,IFERROR(INDEX(CALC!$L$2:$L$33,MATCH($K562,CALC!$A$2:$A$33,0)),0))</f>
        <v>0</v>
      </c>
      <c r="AP562" s="2">
        <f t="array" ref="AP562">IF($K562="",0,IFERROR(INDEX(CALC!$T$2:$T$33,MATCH($K562,CALC!$A$2:$A$33,0)),0))</f>
        <v>0</v>
      </c>
      <c r="AQ562" s="2">
        <f t="array" ref="AQ562">IF($K562="",0,IFERROR(INDEX(CALC!$W$2:$W$33,MATCH($K562,CALC!$A$2:$A$33,0)),0))</f>
        <v>0</v>
      </c>
      <c r="AR562" s="2">
        <f t="array" ref="AR562">IF($K562="",0,IFERROR(INDEX(CALC!$Z$2:$Z$33,MATCH($K562,CALC!$A$2:$A$33,0)),0))</f>
        <v>0</v>
      </c>
      <c r="AS562" s="2">
        <f t="array" ref="AS562">IF($K562="",0,IFERROR(INDEX(CALC!$AJ$2:$AJ$33,MATCH($K562,CALC!$A$2:$A$33,0)),0))</f>
        <v>0</v>
      </c>
      <c r="AT562" s="2">
        <f t="array" ref="AT562">IF($K562="",0,IFERROR(INDEX(CALC!$AI$2:$AI$33,MATCH($K562,CALC!$A$2:$A$33,0)),0))</f>
        <v>0</v>
      </c>
      <c r="AU562" s="2">
        <f t="shared" si="11"/>
        <v>0</v>
      </c>
      <c r="AV562" s="2">
        <f t="shared" si="12"/>
        <v>0</v>
      </c>
    </row>
    <row r="563" ht="15.0" customHeight="1">
      <c r="A563" s="2">
        <v>281.0</v>
      </c>
      <c r="B563" s="2" t="s">
        <v>2365</v>
      </c>
      <c r="C563" s="2" t="str">
        <f>IFERROR(MATCH($A563,SchedSeq,0),"")</f>
        <v/>
      </c>
      <c r="D563" s="2" t="str">
        <f t="array" ref="D563">IF($C563="","",INDEX(SchedZone,$C563,MAP!$B$6))</f>
        <v/>
      </c>
      <c r="E563" s="2" t="str">
        <f t="array" ref="E563">IF($C563="","",INDEX(SchedZone,$C563,MAP!$B$3))</f>
        <v/>
      </c>
      <c r="F563" s="2" t="str">
        <f t="array" ref="F563">IF($C563="","",INDEX(SchedZone,$C563,MAP!$B$5))</f>
        <v/>
      </c>
      <c r="G563" s="2" t="str">
        <f t="array" ref="G563">IF($C563="","",INDEX(SchedZone,$C563,MAP!$B$4))</f>
        <v/>
      </c>
      <c r="H563" s="2" t="str">
        <f t="array" ref="H563">IF($C563="","",INDEX(SchedZone,$C563,MAP!$B$12))</f>
        <v/>
      </c>
      <c r="I563" s="2" t="str">
        <f t="array" ref="I563">IF($H563="","",IF(COUNTIF(Teams,$H563)&gt;0,$H563,IFERROR(INDEX(LISTS!$D$2:$D$12,MATCH($H563,LISTS!$C$2:$C$12,0)),"⚠ "&amp;$H563)))</f>
        <v/>
      </c>
      <c r="J563" s="2" t="str">
        <f t="array" ref="J563">IF($C563="","",INDEX(SchedZone,$C563,MAP!$B$10))</f>
        <v/>
      </c>
      <c r="K563" s="2" t="str">
        <f t="array" ref="K563">IF($J563="","",IF(COUNTIF(Teams,$J563)&gt;0,$J563,IFERROR(INDEX(LISTS!$D$2:$D$12,MATCH($J563,LISTS!$C$2:$C$12,0)),"⚠ "&amp;$J563)))</f>
        <v/>
      </c>
      <c r="L563" s="2" t="str">
        <f t="array" ref="L563">IF($C563="","",IF(INDEX(SchedZone,$C563,MAP!$B$14)="Neutral","N",IF($B563="HOME","H","A")))</f>
        <v/>
      </c>
      <c r="M563" s="2" t="str">
        <f t="array" ref="M563">IF($C563="","",IF(INDEX(SchedZone,$C563,MAP!$B$13)="","",INDEX(SchedZone,$C563,MAP!$B$13)))</f>
        <v/>
      </c>
      <c r="N563" s="2" t="str">
        <f t="array" ref="N563">IF($C563="","",IF(INDEX(SchedZone,$C563,MAP!$B$11)="","",INDEX(SchedZone,$C563,MAP!$B$11)))</f>
        <v/>
      </c>
      <c r="O563" s="2" t="str">
        <f t="array" ref="O563">IF($C563="","",INDEX(SchedZone,$C563,MAP!$B$16))</f>
        <v/>
      </c>
      <c r="P563" s="2" t="str">
        <f>IF($C563="","",IFERROR(MATCH($E563&amp;"|"&amp;$G563&amp;"|"&amp;$I563,StatsKey,0),""))</f>
        <v/>
      </c>
      <c r="Q563" s="2">
        <f t="array" ref="Q563">IF($P563="",0,INDEX(StatsZone,$P563,MAP!$E$9)+INDEX(StatsZone,$P563,MAP!$E$10)+INDEX(StatsZone,$P563,MAP!$E$11))</f>
        <v>0</v>
      </c>
      <c r="R563" s="2">
        <f t="array" ref="R563">IF($P563="",0,INDEX(StatsZone,$P563,MAP!$E$12))</f>
        <v>0</v>
      </c>
      <c r="S563" s="2">
        <f t="array" ref="S563">IF($P563="",0,INDEX(StatsZone,$P563,MAP!$E$13))</f>
        <v>0</v>
      </c>
      <c r="T563" s="2">
        <f t="shared" si="1"/>
        <v>0</v>
      </c>
      <c r="U563" s="2">
        <f t="array" ref="U563">IF($P563="",0,INDEX(StatsZone,$P563,MAP!$E$14)+INDEX(StatsZone,$P563,MAP!$E$15)+INDEX(StatsZone,$P563,MAP!$E$16))</f>
        <v>0</v>
      </c>
      <c r="V563" s="2">
        <f t="shared" si="2"/>
        <v>0</v>
      </c>
      <c r="W563" s="2">
        <f t="shared" si="3"/>
        <v>0</v>
      </c>
      <c r="X563" s="2">
        <f t="shared" si="4"/>
        <v>0</v>
      </c>
      <c r="Y563" s="2">
        <f t="shared" si="5"/>
        <v>0</v>
      </c>
      <c r="Z563" s="2">
        <f t="shared" si="6"/>
        <v>0</v>
      </c>
      <c r="AA563" s="2">
        <f t="shared" si="7"/>
        <v>0</v>
      </c>
      <c r="AB563" s="2">
        <f>IF(OR($M563="",$N563=""),0,MEDIAN(-MarginCap,MarginCap,($M563-$N563)-$AA563*HFA_Base))</f>
        <v>0</v>
      </c>
      <c r="AC563" s="2">
        <f t="array" ref="AC563">IF(OR($P563="",INDEX($P$3:$P$722,(ROW()+IF(MOD(ROW()-3,2)=0,1,-1))-3+1)=""),0,MEDIAN(-MarginCap,MarginCap,($T563-$W563)-$AA563*HFA_Base))</f>
        <v>0</v>
      </c>
      <c r="AD563" s="2">
        <f t="shared" si="8"/>
        <v>0</v>
      </c>
      <c r="AE563" s="2">
        <f>IF(OR($M563="",$N563=""),0,IF(AND(WEpa&gt;0,$AD563=1),(1-WEpa)*$AB563+WEpa*$AC563,$AB563))</f>
        <v>0</v>
      </c>
      <c r="AF563" s="2">
        <f>IF(AND($C563&lt;&gt;"",$E563=CurrentSeason,$F563="REG",ISNUMBER($G563),$G563&lt;CurrentWeek,AND($M563&lt;&gt;"",$N563&lt;&gt;"")),1,0)</f>
        <v>0</v>
      </c>
      <c r="AG563" s="2">
        <f>IF($AF563=0,0,IF($G563&gt;=CurrentWeek-RecencyWin,RecencyMult,1))</f>
        <v>0</v>
      </c>
      <c r="AH563" s="2">
        <f>IF(AND($C563&lt;&gt;"",$E563=CurrentSeason,$F563="REG",ISNUMBER($G563),$G563&lt;CurrentWeek-1,AND($M563&lt;&gt;"",$N563&lt;&gt;"")),1,0)</f>
        <v>0</v>
      </c>
      <c r="AI563" s="2">
        <f>IF($AH563=0,0,IF($G563&gt;=CurrentWeek-1-RecencyWin,RecencyMult,1))</f>
        <v>0</v>
      </c>
      <c r="AJ563" s="2">
        <f>IF($AF563=0,0,IF($G563&gt;=CurrentWeek-RecencyWin,TotRecency,1))</f>
        <v>0</v>
      </c>
      <c r="AK563" s="2">
        <f t="shared" si="9"/>
        <v>0</v>
      </c>
      <c r="AL563" s="2">
        <f t="shared" si="10"/>
        <v>0</v>
      </c>
      <c r="AM563" s="2">
        <f t="array" ref="AM563">IF($K563="",0,IFERROR(INDEX(CALC!$F$2:$F$33,MATCH($K563,CALC!$A$2:$A$33,0)),0))</f>
        <v>0</v>
      </c>
      <c r="AN563" s="2">
        <f t="array" ref="AN563">IF($K563="",0,IFERROR(INDEX(CALC!$I$2:$I$33,MATCH($K563,CALC!$A$2:$A$33,0)),0))</f>
        <v>0</v>
      </c>
      <c r="AO563" s="2">
        <f t="array" ref="AO563">IF($K563="",0,IFERROR(INDEX(CALC!$L$2:$L$33,MATCH($K563,CALC!$A$2:$A$33,0)),0))</f>
        <v>0</v>
      </c>
      <c r="AP563" s="2">
        <f t="array" ref="AP563">IF($K563="",0,IFERROR(INDEX(CALC!$T$2:$T$33,MATCH($K563,CALC!$A$2:$A$33,0)),0))</f>
        <v>0</v>
      </c>
      <c r="AQ563" s="2">
        <f t="array" ref="AQ563">IF($K563="",0,IFERROR(INDEX(CALC!$W$2:$W$33,MATCH($K563,CALC!$A$2:$A$33,0)),0))</f>
        <v>0</v>
      </c>
      <c r="AR563" s="2">
        <f t="array" ref="AR563">IF($K563="",0,IFERROR(INDEX(CALC!$Z$2:$Z$33,MATCH($K563,CALC!$A$2:$A$33,0)),0))</f>
        <v>0</v>
      </c>
      <c r="AS563" s="2">
        <f t="array" ref="AS563">IF($K563="",0,IFERROR(INDEX(CALC!$AJ$2:$AJ$33,MATCH($K563,CALC!$A$2:$A$33,0)),0))</f>
        <v>0</v>
      </c>
      <c r="AT563" s="2">
        <f t="array" ref="AT563">IF($K563="",0,IFERROR(INDEX(CALC!$AI$2:$AI$33,MATCH($K563,CALC!$A$2:$A$33,0)),0))</f>
        <v>0</v>
      </c>
      <c r="AU563" s="2">
        <f t="shared" si="11"/>
        <v>0</v>
      </c>
      <c r="AV563" s="2">
        <f t="shared" si="12"/>
        <v>0</v>
      </c>
    </row>
    <row r="564" ht="15.0" customHeight="1">
      <c r="A564" s="2">
        <v>281.0</v>
      </c>
      <c r="B564" s="2" t="s">
        <v>2366</v>
      </c>
      <c r="C564" s="2" t="str">
        <f>IFERROR(MATCH($A564,SchedSeq,0),"")</f>
        <v/>
      </c>
      <c r="D564" s="2" t="str">
        <f t="array" ref="D564">IF($C564="","",INDEX(SchedZone,$C564,MAP!$B$6))</f>
        <v/>
      </c>
      <c r="E564" s="2" t="str">
        <f t="array" ref="E564">IF($C564="","",INDEX(SchedZone,$C564,MAP!$B$3))</f>
        <v/>
      </c>
      <c r="F564" s="2" t="str">
        <f t="array" ref="F564">IF($C564="","",INDEX(SchedZone,$C564,MAP!$B$5))</f>
        <v/>
      </c>
      <c r="G564" s="2" t="str">
        <f t="array" ref="G564">IF($C564="","",INDEX(SchedZone,$C564,MAP!$B$4))</f>
        <v/>
      </c>
      <c r="H564" s="2" t="str">
        <f t="array" ref="H564">IF($C564="","",INDEX(SchedZone,$C564,MAP!$B$10))</f>
        <v/>
      </c>
      <c r="I564" s="2" t="str">
        <f t="array" ref="I564">IF($H564="","",IF(COUNTIF(Teams,$H564)&gt;0,$H564,IFERROR(INDEX(LISTS!$D$2:$D$12,MATCH($H564,LISTS!$C$2:$C$12,0)),"⚠ "&amp;$H564)))</f>
        <v/>
      </c>
      <c r="J564" s="2" t="str">
        <f t="array" ref="J564">IF($C564="","",INDEX(SchedZone,$C564,MAP!$B$12))</f>
        <v/>
      </c>
      <c r="K564" s="2" t="str">
        <f t="array" ref="K564">IF($J564="","",IF(COUNTIF(Teams,$J564)&gt;0,$J564,IFERROR(INDEX(LISTS!$D$2:$D$12,MATCH($J564,LISTS!$C$2:$C$12,0)),"⚠ "&amp;$J564)))</f>
        <v/>
      </c>
      <c r="L564" s="2" t="str">
        <f t="array" ref="L564">IF($C564="","",IF(INDEX(SchedZone,$C564,MAP!$B$14)="Neutral","N",IF($B564="HOME","H","A")))</f>
        <v/>
      </c>
      <c r="M564" s="2" t="str">
        <f t="array" ref="M564">IF($C564="","",IF(INDEX(SchedZone,$C564,MAP!$B$11)="","",INDEX(SchedZone,$C564,MAP!$B$11)))</f>
        <v/>
      </c>
      <c r="N564" s="2" t="str">
        <f t="array" ref="N564">IF($C564="","",IF(INDEX(SchedZone,$C564,MAP!$B$13)="","",INDEX(SchedZone,$C564,MAP!$B$13)))</f>
        <v/>
      </c>
      <c r="O564" s="2" t="str">
        <f t="array" ref="O564">IF($C564="","",INDEX(SchedZone,$C564,MAP!$B$15))</f>
        <v/>
      </c>
      <c r="P564" s="2" t="str">
        <f>IF($C564="","",IFERROR(MATCH($E564&amp;"|"&amp;$G564&amp;"|"&amp;$I564,StatsKey,0),""))</f>
        <v/>
      </c>
      <c r="Q564" s="2">
        <f t="array" ref="Q564">IF($P564="",0,INDEX(StatsZone,$P564,MAP!$E$9)+INDEX(StatsZone,$P564,MAP!$E$10)+INDEX(StatsZone,$P564,MAP!$E$11))</f>
        <v>0</v>
      </c>
      <c r="R564" s="2">
        <f t="array" ref="R564">IF($P564="",0,INDEX(StatsZone,$P564,MAP!$E$12))</f>
        <v>0</v>
      </c>
      <c r="S564" s="2">
        <f t="array" ref="S564">IF($P564="",0,INDEX(StatsZone,$P564,MAP!$E$13))</f>
        <v>0</v>
      </c>
      <c r="T564" s="2">
        <f t="shared" si="1"/>
        <v>0</v>
      </c>
      <c r="U564" s="2">
        <f t="array" ref="U564">IF($P564="",0,INDEX(StatsZone,$P564,MAP!$E$14)+INDEX(StatsZone,$P564,MAP!$E$15)+INDEX(StatsZone,$P564,MAP!$E$16))</f>
        <v>0</v>
      </c>
      <c r="V564" s="2">
        <f t="shared" si="2"/>
        <v>0</v>
      </c>
      <c r="W564" s="2">
        <f t="shared" si="3"/>
        <v>0</v>
      </c>
      <c r="X564" s="2">
        <f t="shared" si="4"/>
        <v>0</v>
      </c>
      <c r="Y564" s="2">
        <f t="shared" si="5"/>
        <v>0</v>
      </c>
      <c r="Z564" s="2">
        <f t="shared" si="6"/>
        <v>0</v>
      </c>
      <c r="AA564" s="2">
        <f t="shared" si="7"/>
        <v>0</v>
      </c>
      <c r="AB564" s="2">
        <f>IF(OR($M564="",$N564=""),0,MEDIAN(-MarginCap,MarginCap,($M564-$N564)-$AA564*HFA_Base))</f>
        <v>0</v>
      </c>
      <c r="AC564" s="2">
        <f t="array" ref="AC564">IF(OR($P564="",INDEX($P$3:$P$722,(ROW()+IF(MOD(ROW()-3,2)=0,1,-1))-3+1)=""),0,MEDIAN(-MarginCap,MarginCap,($T564-$W564)-$AA564*HFA_Base))</f>
        <v>0</v>
      </c>
      <c r="AD564" s="2">
        <f t="shared" si="8"/>
        <v>0</v>
      </c>
      <c r="AE564" s="2">
        <f>IF(OR($M564="",$N564=""),0,IF(AND(WEpa&gt;0,$AD564=1),(1-WEpa)*$AB564+WEpa*$AC564,$AB564))</f>
        <v>0</v>
      </c>
      <c r="AF564" s="2">
        <f>IF(AND($C564&lt;&gt;"",$E564=CurrentSeason,$F564="REG",ISNUMBER($G564),$G564&lt;CurrentWeek,AND($M564&lt;&gt;"",$N564&lt;&gt;"")),1,0)</f>
        <v>0</v>
      </c>
      <c r="AG564" s="2">
        <f>IF($AF564=0,0,IF($G564&gt;=CurrentWeek-RecencyWin,RecencyMult,1))</f>
        <v>0</v>
      </c>
      <c r="AH564" s="2">
        <f>IF(AND($C564&lt;&gt;"",$E564=CurrentSeason,$F564="REG",ISNUMBER($G564),$G564&lt;CurrentWeek-1,AND($M564&lt;&gt;"",$N564&lt;&gt;"")),1,0)</f>
        <v>0</v>
      </c>
      <c r="AI564" s="2">
        <f>IF($AH564=0,0,IF($G564&gt;=CurrentWeek-1-RecencyWin,RecencyMult,1))</f>
        <v>0</v>
      </c>
      <c r="AJ564" s="2">
        <f>IF($AF564=0,0,IF($G564&gt;=CurrentWeek-RecencyWin,TotRecency,1))</f>
        <v>0</v>
      </c>
      <c r="AK564" s="2">
        <f t="shared" si="9"/>
        <v>0</v>
      </c>
      <c r="AL564" s="2">
        <f t="shared" si="10"/>
        <v>0</v>
      </c>
      <c r="AM564" s="2">
        <f t="array" ref="AM564">IF($K564="",0,IFERROR(INDEX(CALC!$F$2:$F$33,MATCH($K564,CALC!$A$2:$A$33,0)),0))</f>
        <v>0</v>
      </c>
      <c r="AN564" s="2">
        <f t="array" ref="AN564">IF($K564="",0,IFERROR(INDEX(CALC!$I$2:$I$33,MATCH($K564,CALC!$A$2:$A$33,0)),0))</f>
        <v>0</v>
      </c>
      <c r="AO564" s="2">
        <f t="array" ref="AO564">IF($K564="",0,IFERROR(INDEX(CALC!$L$2:$L$33,MATCH($K564,CALC!$A$2:$A$33,0)),0))</f>
        <v>0</v>
      </c>
      <c r="AP564" s="2">
        <f t="array" ref="AP564">IF($K564="",0,IFERROR(INDEX(CALC!$T$2:$T$33,MATCH($K564,CALC!$A$2:$A$33,0)),0))</f>
        <v>0</v>
      </c>
      <c r="AQ564" s="2">
        <f t="array" ref="AQ564">IF($K564="",0,IFERROR(INDEX(CALC!$W$2:$W$33,MATCH($K564,CALC!$A$2:$A$33,0)),0))</f>
        <v>0</v>
      </c>
      <c r="AR564" s="2">
        <f t="array" ref="AR564">IF($K564="",0,IFERROR(INDEX(CALC!$Z$2:$Z$33,MATCH($K564,CALC!$A$2:$A$33,0)),0))</f>
        <v>0</v>
      </c>
      <c r="AS564" s="2">
        <f t="array" ref="AS564">IF($K564="",0,IFERROR(INDEX(CALC!$AJ$2:$AJ$33,MATCH($K564,CALC!$A$2:$A$33,0)),0))</f>
        <v>0</v>
      </c>
      <c r="AT564" s="2">
        <f t="array" ref="AT564">IF($K564="",0,IFERROR(INDEX(CALC!$AI$2:$AI$33,MATCH($K564,CALC!$A$2:$A$33,0)),0))</f>
        <v>0</v>
      </c>
      <c r="AU564" s="2">
        <f t="shared" si="11"/>
        <v>0</v>
      </c>
      <c r="AV564" s="2">
        <f t="shared" si="12"/>
        <v>0</v>
      </c>
    </row>
    <row r="565" ht="15.0" customHeight="1">
      <c r="A565" s="2">
        <v>282.0</v>
      </c>
      <c r="B565" s="2" t="s">
        <v>2365</v>
      </c>
      <c r="C565" s="2" t="str">
        <f>IFERROR(MATCH($A565,SchedSeq,0),"")</f>
        <v/>
      </c>
      <c r="D565" s="2" t="str">
        <f t="array" ref="D565">IF($C565="","",INDEX(SchedZone,$C565,MAP!$B$6))</f>
        <v/>
      </c>
      <c r="E565" s="2" t="str">
        <f t="array" ref="E565">IF($C565="","",INDEX(SchedZone,$C565,MAP!$B$3))</f>
        <v/>
      </c>
      <c r="F565" s="2" t="str">
        <f t="array" ref="F565">IF($C565="","",INDEX(SchedZone,$C565,MAP!$B$5))</f>
        <v/>
      </c>
      <c r="G565" s="2" t="str">
        <f t="array" ref="G565">IF($C565="","",INDEX(SchedZone,$C565,MAP!$B$4))</f>
        <v/>
      </c>
      <c r="H565" s="2" t="str">
        <f t="array" ref="H565">IF($C565="","",INDEX(SchedZone,$C565,MAP!$B$12))</f>
        <v/>
      </c>
      <c r="I565" s="2" t="str">
        <f t="array" ref="I565">IF($H565="","",IF(COUNTIF(Teams,$H565)&gt;0,$H565,IFERROR(INDEX(LISTS!$D$2:$D$12,MATCH($H565,LISTS!$C$2:$C$12,0)),"⚠ "&amp;$H565)))</f>
        <v/>
      </c>
      <c r="J565" s="2" t="str">
        <f t="array" ref="J565">IF($C565="","",INDEX(SchedZone,$C565,MAP!$B$10))</f>
        <v/>
      </c>
      <c r="K565" s="2" t="str">
        <f t="array" ref="K565">IF($J565="","",IF(COUNTIF(Teams,$J565)&gt;0,$J565,IFERROR(INDEX(LISTS!$D$2:$D$12,MATCH($J565,LISTS!$C$2:$C$12,0)),"⚠ "&amp;$J565)))</f>
        <v/>
      </c>
      <c r="L565" s="2" t="str">
        <f t="array" ref="L565">IF($C565="","",IF(INDEX(SchedZone,$C565,MAP!$B$14)="Neutral","N",IF($B565="HOME","H","A")))</f>
        <v/>
      </c>
      <c r="M565" s="2" t="str">
        <f t="array" ref="M565">IF($C565="","",IF(INDEX(SchedZone,$C565,MAP!$B$13)="","",INDEX(SchedZone,$C565,MAP!$B$13)))</f>
        <v/>
      </c>
      <c r="N565" s="2" t="str">
        <f t="array" ref="N565">IF($C565="","",IF(INDEX(SchedZone,$C565,MAP!$B$11)="","",INDEX(SchedZone,$C565,MAP!$B$11)))</f>
        <v/>
      </c>
      <c r="O565" s="2" t="str">
        <f t="array" ref="O565">IF($C565="","",INDEX(SchedZone,$C565,MAP!$B$16))</f>
        <v/>
      </c>
      <c r="P565" s="2" t="str">
        <f>IF($C565="","",IFERROR(MATCH($E565&amp;"|"&amp;$G565&amp;"|"&amp;$I565,StatsKey,0),""))</f>
        <v/>
      </c>
      <c r="Q565" s="2">
        <f t="array" ref="Q565">IF($P565="",0,INDEX(StatsZone,$P565,MAP!$E$9)+INDEX(StatsZone,$P565,MAP!$E$10)+INDEX(StatsZone,$P565,MAP!$E$11))</f>
        <v>0</v>
      </c>
      <c r="R565" s="2">
        <f t="array" ref="R565">IF($P565="",0,INDEX(StatsZone,$P565,MAP!$E$12))</f>
        <v>0</v>
      </c>
      <c r="S565" s="2">
        <f t="array" ref="S565">IF($P565="",0,INDEX(StatsZone,$P565,MAP!$E$13))</f>
        <v>0</v>
      </c>
      <c r="T565" s="2">
        <f t="shared" si="1"/>
        <v>0</v>
      </c>
      <c r="U565" s="2">
        <f t="array" ref="U565">IF($P565="",0,INDEX(StatsZone,$P565,MAP!$E$14)+INDEX(StatsZone,$P565,MAP!$E$15)+INDEX(StatsZone,$P565,MAP!$E$16))</f>
        <v>0</v>
      </c>
      <c r="V565" s="2">
        <f t="shared" si="2"/>
        <v>0</v>
      </c>
      <c r="W565" s="2">
        <f t="shared" si="3"/>
        <v>0</v>
      </c>
      <c r="X565" s="2">
        <f t="shared" si="4"/>
        <v>0</v>
      </c>
      <c r="Y565" s="2">
        <f t="shared" si="5"/>
        <v>0</v>
      </c>
      <c r="Z565" s="2">
        <f t="shared" si="6"/>
        <v>0</v>
      </c>
      <c r="AA565" s="2">
        <f t="shared" si="7"/>
        <v>0</v>
      </c>
      <c r="AB565" s="2">
        <f>IF(OR($M565="",$N565=""),0,MEDIAN(-MarginCap,MarginCap,($M565-$N565)-$AA565*HFA_Base))</f>
        <v>0</v>
      </c>
      <c r="AC565" s="2">
        <f t="array" ref="AC565">IF(OR($P565="",INDEX($P$3:$P$722,(ROW()+IF(MOD(ROW()-3,2)=0,1,-1))-3+1)=""),0,MEDIAN(-MarginCap,MarginCap,($T565-$W565)-$AA565*HFA_Base))</f>
        <v>0</v>
      </c>
      <c r="AD565" s="2">
        <f t="shared" si="8"/>
        <v>0</v>
      </c>
      <c r="AE565" s="2">
        <f>IF(OR($M565="",$N565=""),0,IF(AND(WEpa&gt;0,$AD565=1),(1-WEpa)*$AB565+WEpa*$AC565,$AB565))</f>
        <v>0</v>
      </c>
      <c r="AF565" s="2">
        <f>IF(AND($C565&lt;&gt;"",$E565=CurrentSeason,$F565="REG",ISNUMBER($G565),$G565&lt;CurrentWeek,AND($M565&lt;&gt;"",$N565&lt;&gt;"")),1,0)</f>
        <v>0</v>
      </c>
      <c r="AG565" s="2">
        <f>IF($AF565=0,0,IF($G565&gt;=CurrentWeek-RecencyWin,RecencyMult,1))</f>
        <v>0</v>
      </c>
      <c r="AH565" s="2">
        <f>IF(AND($C565&lt;&gt;"",$E565=CurrentSeason,$F565="REG",ISNUMBER($G565),$G565&lt;CurrentWeek-1,AND($M565&lt;&gt;"",$N565&lt;&gt;"")),1,0)</f>
        <v>0</v>
      </c>
      <c r="AI565" s="2">
        <f>IF($AH565=0,0,IF($G565&gt;=CurrentWeek-1-RecencyWin,RecencyMult,1))</f>
        <v>0</v>
      </c>
      <c r="AJ565" s="2">
        <f>IF($AF565=0,0,IF($G565&gt;=CurrentWeek-RecencyWin,TotRecency,1))</f>
        <v>0</v>
      </c>
      <c r="AK565" s="2">
        <f t="shared" si="9"/>
        <v>0</v>
      </c>
      <c r="AL565" s="2">
        <f t="shared" si="10"/>
        <v>0</v>
      </c>
      <c r="AM565" s="2">
        <f t="array" ref="AM565">IF($K565="",0,IFERROR(INDEX(CALC!$F$2:$F$33,MATCH($K565,CALC!$A$2:$A$33,0)),0))</f>
        <v>0</v>
      </c>
      <c r="AN565" s="2">
        <f t="array" ref="AN565">IF($K565="",0,IFERROR(INDEX(CALC!$I$2:$I$33,MATCH($K565,CALC!$A$2:$A$33,0)),0))</f>
        <v>0</v>
      </c>
      <c r="AO565" s="2">
        <f t="array" ref="AO565">IF($K565="",0,IFERROR(INDEX(CALC!$L$2:$L$33,MATCH($K565,CALC!$A$2:$A$33,0)),0))</f>
        <v>0</v>
      </c>
      <c r="AP565" s="2">
        <f t="array" ref="AP565">IF($K565="",0,IFERROR(INDEX(CALC!$T$2:$T$33,MATCH($K565,CALC!$A$2:$A$33,0)),0))</f>
        <v>0</v>
      </c>
      <c r="AQ565" s="2">
        <f t="array" ref="AQ565">IF($K565="",0,IFERROR(INDEX(CALC!$W$2:$W$33,MATCH($K565,CALC!$A$2:$A$33,0)),0))</f>
        <v>0</v>
      </c>
      <c r="AR565" s="2">
        <f t="array" ref="AR565">IF($K565="",0,IFERROR(INDEX(CALC!$Z$2:$Z$33,MATCH($K565,CALC!$A$2:$A$33,0)),0))</f>
        <v>0</v>
      </c>
      <c r="AS565" s="2">
        <f t="array" ref="AS565">IF($K565="",0,IFERROR(INDEX(CALC!$AJ$2:$AJ$33,MATCH($K565,CALC!$A$2:$A$33,0)),0))</f>
        <v>0</v>
      </c>
      <c r="AT565" s="2">
        <f t="array" ref="AT565">IF($K565="",0,IFERROR(INDEX(CALC!$AI$2:$AI$33,MATCH($K565,CALC!$A$2:$A$33,0)),0))</f>
        <v>0</v>
      </c>
      <c r="AU565" s="2">
        <f t="shared" si="11"/>
        <v>0</v>
      </c>
      <c r="AV565" s="2">
        <f t="shared" si="12"/>
        <v>0</v>
      </c>
    </row>
    <row r="566" ht="15.0" customHeight="1">
      <c r="A566" s="2">
        <v>282.0</v>
      </c>
      <c r="B566" s="2" t="s">
        <v>2366</v>
      </c>
      <c r="C566" s="2" t="str">
        <f>IFERROR(MATCH($A566,SchedSeq,0),"")</f>
        <v/>
      </c>
      <c r="D566" s="2" t="str">
        <f t="array" ref="D566">IF($C566="","",INDEX(SchedZone,$C566,MAP!$B$6))</f>
        <v/>
      </c>
      <c r="E566" s="2" t="str">
        <f t="array" ref="E566">IF($C566="","",INDEX(SchedZone,$C566,MAP!$B$3))</f>
        <v/>
      </c>
      <c r="F566" s="2" t="str">
        <f t="array" ref="F566">IF($C566="","",INDEX(SchedZone,$C566,MAP!$B$5))</f>
        <v/>
      </c>
      <c r="G566" s="2" t="str">
        <f t="array" ref="G566">IF($C566="","",INDEX(SchedZone,$C566,MAP!$B$4))</f>
        <v/>
      </c>
      <c r="H566" s="2" t="str">
        <f t="array" ref="H566">IF($C566="","",INDEX(SchedZone,$C566,MAP!$B$10))</f>
        <v/>
      </c>
      <c r="I566" s="2" t="str">
        <f t="array" ref="I566">IF($H566="","",IF(COUNTIF(Teams,$H566)&gt;0,$H566,IFERROR(INDEX(LISTS!$D$2:$D$12,MATCH($H566,LISTS!$C$2:$C$12,0)),"⚠ "&amp;$H566)))</f>
        <v/>
      </c>
      <c r="J566" s="2" t="str">
        <f t="array" ref="J566">IF($C566="","",INDEX(SchedZone,$C566,MAP!$B$12))</f>
        <v/>
      </c>
      <c r="K566" s="2" t="str">
        <f t="array" ref="K566">IF($J566="","",IF(COUNTIF(Teams,$J566)&gt;0,$J566,IFERROR(INDEX(LISTS!$D$2:$D$12,MATCH($J566,LISTS!$C$2:$C$12,0)),"⚠ "&amp;$J566)))</f>
        <v/>
      </c>
      <c r="L566" s="2" t="str">
        <f t="array" ref="L566">IF($C566="","",IF(INDEX(SchedZone,$C566,MAP!$B$14)="Neutral","N",IF($B566="HOME","H","A")))</f>
        <v/>
      </c>
      <c r="M566" s="2" t="str">
        <f t="array" ref="M566">IF($C566="","",IF(INDEX(SchedZone,$C566,MAP!$B$11)="","",INDEX(SchedZone,$C566,MAP!$B$11)))</f>
        <v/>
      </c>
      <c r="N566" s="2" t="str">
        <f t="array" ref="N566">IF($C566="","",IF(INDEX(SchedZone,$C566,MAP!$B$13)="","",INDEX(SchedZone,$C566,MAP!$B$13)))</f>
        <v/>
      </c>
      <c r="O566" s="2" t="str">
        <f t="array" ref="O566">IF($C566="","",INDEX(SchedZone,$C566,MAP!$B$15))</f>
        <v/>
      </c>
      <c r="P566" s="2" t="str">
        <f>IF($C566="","",IFERROR(MATCH($E566&amp;"|"&amp;$G566&amp;"|"&amp;$I566,StatsKey,0),""))</f>
        <v/>
      </c>
      <c r="Q566" s="2">
        <f t="array" ref="Q566">IF($P566="",0,INDEX(StatsZone,$P566,MAP!$E$9)+INDEX(StatsZone,$P566,MAP!$E$10)+INDEX(StatsZone,$P566,MAP!$E$11))</f>
        <v>0</v>
      </c>
      <c r="R566" s="2">
        <f t="array" ref="R566">IF($P566="",0,INDEX(StatsZone,$P566,MAP!$E$12))</f>
        <v>0</v>
      </c>
      <c r="S566" s="2">
        <f t="array" ref="S566">IF($P566="",0,INDEX(StatsZone,$P566,MAP!$E$13))</f>
        <v>0</v>
      </c>
      <c r="T566" s="2">
        <f t="shared" si="1"/>
        <v>0</v>
      </c>
      <c r="U566" s="2">
        <f t="array" ref="U566">IF($P566="",0,INDEX(StatsZone,$P566,MAP!$E$14)+INDEX(StatsZone,$P566,MAP!$E$15)+INDEX(StatsZone,$P566,MAP!$E$16))</f>
        <v>0</v>
      </c>
      <c r="V566" s="2">
        <f t="shared" si="2"/>
        <v>0</v>
      </c>
      <c r="W566" s="2">
        <f t="shared" si="3"/>
        <v>0</v>
      </c>
      <c r="X566" s="2">
        <f t="shared" si="4"/>
        <v>0</v>
      </c>
      <c r="Y566" s="2">
        <f t="shared" si="5"/>
        <v>0</v>
      </c>
      <c r="Z566" s="2">
        <f t="shared" si="6"/>
        <v>0</v>
      </c>
      <c r="AA566" s="2">
        <f t="shared" si="7"/>
        <v>0</v>
      </c>
      <c r="AB566" s="2">
        <f>IF(OR($M566="",$N566=""),0,MEDIAN(-MarginCap,MarginCap,($M566-$N566)-$AA566*HFA_Base))</f>
        <v>0</v>
      </c>
      <c r="AC566" s="2">
        <f t="array" ref="AC566">IF(OR($P566="",INDEX($P$3:$P$722,(ROW()+IF(MOD(ROW()-3,2)=0,1,-1))-3+1)=""),0,MEDIAN(-MarginCap,MarginCap,($T566-$W566)-$AA566*HFA_Base))</f>
        <v>0</v>
      </c>
      <c r="AD566" s="2">
        <f t="shared" si="8"/>
        <v>0</v>
      </c>
      <c r="AE566" s="2">
        <f>IF(OR($M566="",$N566=""),0,IF(AND(WEpa&gt;0,$AD566=1),(1-WEpa)*$AB566+WEpa*$AC566,$AB566))</f>
        <v>0</v>
      </c>
      <c r="AF566" s="2">
        <f>IF(AND($C566&lt;&gt;"",$E566=CurrentSeason,$F566="REG",ISNUMBER($G566),$G566&lt;CurrentWeek,AND($M566&lt;&gt;"",$N566&lt;&gt;"")),1,0)</f>
        <v>0</v>
      </c>
      <c r="AG566" s="2">
        <f>IF($AF566=0,0,IF($G566&gt;=CurrentWeek-RecencyWin,RecencyMult,1))</f>
        <v>0</v>
      </c>
      <c r="AH566" s="2">
        <f>IF(AND($C566&lt;&gt;"",$E566=CurrentSeason,$F566="REG",ISNUMBER($G566),$G566&lt;CurrentWeek-1,AND($M566&lt;&gt;"",$N566&lt;&gt;"")),1,0)</f>
        <v>0</v>
      </c>
      <c r="AI566" s="2">
        <f>IF($AH566=0,0,IF($G566&gt;=CurrentWeek-1-RecencyWin,RecencyMult,1))</f>
        <v>0</v>
      </c>
      <c r="AJ566" s="2">
        <f>IF($AF566=0,0,IF($G566&gt;=CurrentWeek-RecencyWin,TotRecency,1))</f>
        <v>0</v>
      </c>
      <c r="AK566" s="2">
        <f t="shared" si="9"/>
        <v>0</v>
      </c>
      <c r="AL566" s="2">
        <f t="shared" si="10"/>
        <v>0</v>
      </c>
      <c r="AM566" s="2">
        <f t="array" ref="AM566">IF($K566="",0,IFERROR(INDEX(CALC!$F$2:$F$33,MATCH($K566,CALC!$A$2:$A$33,0)),0))</f>
        <v>0</v>
      </c>
      <c r="AN566" s="2">
        <f t="array" ref="AN566">IF($K566="",0,IFERROR(INDEX(CALC!$I$2:$I$33,MATCH($K566,CALC!$A$2:$A$33,0)),0))</f>
        <v>0</v>
      </c>
      <c r="AO566" s="2">
        <f t="array" ref="AO566">IF($K566="",0,IFERROR(INDEX(CALC!$L$2:$L$33,MATCH($K566,CALC!$A$2:$A$33,0)),0))</f>
        <v>0</v>
      </c>
      <c r="AP566" s="2">
        <f t="array" ref="AP566">IF($K566="",0,IFERROR(INDEX(CALC!$T$2:$T$33,MATCH($K566,CALC!$A$2:$A$33,0)),0))</f>
        <v>0</v>
      </c>
      <c r="AQ566" s="2">
        <f t="array" ref="AQ566">IF($K566="",0,IFERROR(INDEX(CALC!$W$2:$W$33,MATCH($K566,CALC!$A$2:$A$33,0)),0))</f>
        <v>0</v>
      </c>
      <c r="AR566" s="2">
        <f t="array" ref="AR566">IF($K566="",0,IFERROR(INDEX(CALC!$Z$2:$Z$33,MATCH($K566,CALC!$A$2:$A$33,0)),0))</f>
        <v>0</v>
      </c>
      <c r="AS566" s="2">
        <f t="array" ref="AS566">IF($K566="",0,IFERROR(INDEX(CALC!$AJ$2:$AJ$33,MATCH($K566,CALC!$A$2:$A$33,0)),0))</f>
        <v>0</v>
      </c>
      <c r="AT566" s="2">
        <f t="array" ref="AT566">IF($K566="",0,IFERROR(INDEX(CALC!$AI$2:$AI$33,MATCH($K566,CALC!$A$2:$A$33,0)),0))</f>
        <v>0</v>
      </c>
      <c r="AU566" s="2">
        <f t="shared" si="11"/>
        <v>0</v>
      </c>
      <c r="AV566" s="2">
        <f t="shared" si="12"/>
        <v>0</v>
      </c>
    </row>
    <row r="567" ht="15.0" customHeight="1">
      <c r="A567" s="2">
        <v>283.0</v>
      </c>
      <c r="B567" s="2" t="s">
        <v>2365</v>
      </c>
      <c r="C567" s="2" t="str">
        <f>IFERROR(MATCH($A567,SchedSeq,0),"")</f>
        <v/>
      </c>
      <c r="D567" s="2" t="str">
        <f t="array" ref="D567">IF($C567="","",INDEX(SchedZone,$C567,MAP!$B$6))</f>
        <v/>
      </c>
      <c r="E567" s="2" t="str">
        <f t="array" ref="E567">IF($C567="","",INDEX(SchedZone,$C567,MAP!$B$3))</f>
        <v/>
      </c>
      <c r="F567" s="2" t="str">
        <f t="array" ref="F567">IF($C567="","",INDEX(SchedZone,$C567,MAP!$B$5))</f>
        <v/>
      </c>
      <c r="G567" s="2" t="str">
        <f t="array" ref="G567">IF($C567="","",INDEX(SchedZone,$C567,MAP!$B$4))</f>
        <v/>
      </c>
      <c r="H567" s="2" t="str">
        <f t="array" ref="H567">IF($C567="","",INDEX(SchedZone,$C567,MAP!$B$12))</f>
        <v/>
      </c>
      <c r="I567" s="2" t="str">
        <f t="array" ref="I567">IF($H567="","",IF(COUNTIF(Teams,$H567)&gt;0,$H567,IFERROR(INDEX(LISTS!$D$2:$D$12,MATCH($H567,LISTS!$C$2:$C$12,0)),"⚠ "&amp;$H567)))</f>
        <v/>
      </c>
      <c r="J567" s="2" t="str">
        <f t="array" ref="J567">IF($C567="","",INDEX(SchedZone,$C567,MAP!$B$10))</f>
        <v/>
      </c>
      <c r="K567" s="2" t="str">
        <f t="array" ref="K567">IF($J567="","",IF(COUNTIF(Teams,$J567)&gt;0,$J567,IFERROR(INDEX(LISTS!$D$2:$D$12,MATCH($J567,LISTS!$C$2:$C$12,0)),"⚠ "&amp;$J567)))</f>
        <v/>
      </c>
      <c r="L567" s="2" t="str">
        <f t="array" ref="L567">IF($C567="","",IF(INDEX(SchedZone,$C567,MAP!$B$14)="Neutral","N",IF($B567="HOME","H","A")))</f>
        <v/>
      </c>
      <c r="M567" s="2" t="str">
        <f t="array" ref="M567">IF($C567="","",IF(INDEX(SchedZone,$C567,MAP!$B$13)="","",INDEX(SchedZone,$C567,MAP!$B$13)))</f>
        <v/>
      </c>
      <c r="N567" s="2" t="str">
        <f t="array" ref="N567">IF($C567="","",IF(INDEX(SchedZone,$C567,MAP!$B$11)="","",INDEX(SchedZone,$C567,MAP!$B$11)))</f>
        <v/>
      </c>
      <c r="O567" s="2" t="str">
        <f t="array" ref="O567">IF($C567="","",INDEX(SchedZone,$C567,MAP!$B$16))</f>
        <v/>
      </c>
      <c r="P567" s="2" t="str">
        <f>IF($C567="","",IFERROR(MATCH($E567&amp;"|"&amp;$G567&amp;"|"&amp;$I567,StatsKey,0),""))</f>
        <v/>
      </c>
      <c r="Q567" s="2">
        <f t="array" ref="Q567">IF($P567="",0,INDEX(StatsZone,$P567,MAP!$E$9)+INDEX(StatsZone,$P567,MAP!$E$10)+INDEX(StatsZone,$P567,MAP!$E$11))</f>
        <v>0</v>
      </c>
      <c r="R567" s="2">
        <f t="array" ref="R567">IF($P567="",0,INDEX(StatsZone,$P567,MAP!$E$12))</f>
        <v>0</v>
      </c>
      <c r="S567" s="2">
        <f t="array" ref="S567">IF($P567="",0,INDEX(StatsZone,$P567,MAP!$E$13))</f>
        <v>0</v>
      </c>
      <c r="T567" s="2">
        <f t="shared" si="1"/>
        <v>0</v>
      </c>
      <c r="U567" s="2">
        <f t="array" ref="U567">IF($P567="",0,INDEX(StatsZone,$P567,MAP!$E$14)+INDEX(StatsZone,$P567,MAP!$E$15)+INDEX(StatsZone,$P567,MAP!$E$16))</f>
        <v>0</v>
      </c>
      <c r="V567" s="2">
        <f t="shared" si="2"/>
        <v>0</v>
      </c>
      <c r="W567" s="2">
        <f t="shared" si="3"/>
        <v>0</v>
      </c>
      <c r="X567" s="2">
        <f t="shared" si="4"/>
        <v>0</v>
      </c>
      <c r="Y567" s="2">
        <f t="shared" si="5"/>
        <v>0</v>
      </c>
      <c r="Z567" s="2">
        <f t="shared" si="6"/>
        <v>0</v>
      </c>
      <c r="AA567" s="2">
        <f t="shared" si="7"/>
        <v>0</v>
      </c>
      <c r="AB567" s="2">
        <f>IF(OR($M567="",$N567=""),0,MEDIAN(-MarginCap,MarginCap,($M567-$N567)-$AA567*HFA_Base))</f>
        <v>0</v>
      </c>
      <c r="AC567" s="2">
        <f t="array" ref="AC567">IF(OR($P567="",INDEX($P$3:$P$722,(ROW()+IF(MOD(ROW()-3,2)=0,1,-1))-3+1)=""),0,MEDIAN(-MarginCap,MarginCap,($T567-$W567)-$AA567*HFA_Base))</f>
        <v>0</v>
      </c>
      <c r="AD567" s="2">
        <f t="shared" si="8"/>
        <v>0</v>
      </c>
      <c r="AE567" s="2">
        <f>IF(OR($M567="",$N567=""),0,IF(AND(WEpa&gt;0,$AD567=1),(1-WEpa)*$AB567+WEpa*$AC567,$AB567))</f>
        <v>0</v>
      </c>
      <c r="AF567" s="2">
        <f>IF(AND($C567&lt;&gt;"",$E567=CurrentSeason,$F567="REG",ISNUMBER($G567),$G567&lt;CurrentWeek,AND($M567&lt;&gt;"",$N567&lt;&gt;"")),1,0)</f>
        <v>0</v>
      </c>
      <c r="AG567" s="2">
        <f>IF($AF567=0,0,IF($G567&gt;=CurrentWeek-RecencyWin,RecencyMult,1))</f>
        <v>0</v>
      </c>
      <c r="AH567" s="2">
        <f>IF(AND($C567&lt;&gt;"",$E567=CurrentSeason,$F567="REG",ISNUMBER($G567),$G567&lt;CurrentWeek-1,AND($M567&lt;&gt;"",$N567&lt;&gt;"")),1,0)</f>
        <v>0</v>
      </c>
      <c r="AI567" s="2">
        <f>IF($AH567=0,0,IF($G567&gt;=CurrentWeek-1-RecencyWin,RecencyMult,1))</f>
        <v>0</v>
      </c>
      <c r="AJ567" s="2">
        <f>IF($AF567=0,0,IF($G567&gt;=CurrentWeek-RecencyWin,TotRecency,1))</f>
        <v>0</v>
      </c>
      <c r="AK567" s="2">
        <f t="shared" si="9"/>
        <v>0</v>
      </c>
      <c r="AL567" s="2">
        <f t="shared" si="10"/>
        <v>0</v>
      </c>
      <c r="AM567" s="2">
        <f t="array" ref="AM567">IF($K567="",0,IFERROR(INDEX(CALC!$F$2:$F$33,MATCH($K567,CALC!$A$2:$A$33,0)),0))</f>
        <v>0</v>
      </c>
      <c r="AN567" s="2">
        <f t="array" ref="AN567">IF($K567="",0,IFERROR(INDEX(CALC!$I$2:$I$33,MATCH($K567,CALC!$A$2:$A$33,0)),0))</f>
        <v>0</v>
      </c>
      <c r="AO567" s="2">
        <f t="array" ref="AO567">IF($K567="",0,IFERROR(INDEX(CALC!$L$2:$L$33,MATCH($K567,CALC!$A$2:$A$33,0)),0))</f>
        <v>0</v>
      </c>
      <c r="AP567" s="2">
        <f t="array" ref="AP567">IF($K567="",0,IFERROR(INDEX(CALC!$T$2:$T$33,MATCH($K567,CALC!$A$2:$A$33,0)),0))</f>
        <v>0</v>
      </c>
      <c r="AQ567" s="2">
        <f t="array" ref="AQ567">IF($K567="",0,IFERROR(INDEX(CALC!$W$2:$W$33,MATCH($K567,CALC!$A$2:$A$33,0)),0))</f>
        <v>0</v>
      </c>
      <c r="AR567" s="2">
        <f t="array" ref="AR567">IF($K567="",0,IFERROR(INDEX(CALC!$Z$2:$Z$33,MATCH($K567,CALC!$A$2:$A$33,0)),0))</f>
        <v>0</v>
      </c>
      <c r="AS567" s="2">
        <f t="array" ref="AS567">IF($K567="",0,IFERROR(INDEX(CALC!$AJ$2:$AJ$33,MATCH($K567,CALC!$A$2:$A$33,0)),0))</f>
        <v>0</v>
      </c>
      <c r="AT567" s="2">
        <f t="array" ref="AT567">IF($K567="",0,IFERROR(INDEX(CALC!$AI$2:$AI$33,MATCH($K567,CALC!$A$2:$A$33,0)),0))</f>
        <v>0</v>
      </c>
      <c r="AU567" s="2">
        <f t="shared" si="11"/>
        <v>0</v>
      </c>
      <c r="AV567" s="2">
        <f t="shared" si="12"/>
        <v>0</v>
      </c>
    </row>
    <row r="568" ht="15.0" customHeight="1">
      <c r="A568" s="2">
        <v>283.0</v>
      </c>
      <c r="B568" s="2" t="s">
        <v>2366</v>
      </c>
      <c r="C568" s="2" t="str">
        <f>IFERROR(MATCH($A568,SchedSeq,0),"")</f>
        <v/>
      </c>
      <c r="D568" s="2" t="str">
        <f t="array" ref="D568">IF($C568="","",INDEX(SchedZone,$C568,MAP!$B$6))</f>
        <v/>
      </c>
      <c r="E568" s="2" t="str">
        <f t="array" ref="E568">IF($C568="","",INDEX(SchedZone,$C568,MAP!$B$3))</f>
        <v/>
      </c>
      <c r="F568" s="2" t="str">
        <f t="array" ref="F568">IF($C568="","",INDEX(SchedZone,$C568,MAP!$B$5))</f>
        <v/>
      </c>
      <c r="G568" s="2" t="str">
        <f t="array" ref="G568">IF($C568="","",INDEX(SchedZone,$C568,MAP!$B$4))</f>
        <v/>
      </c>
      <c r="H568" s="2" t="str">
        <f t="array" ref="H568">IF($C568="","",INDEX(SchedZone,$C568,MAP!$B$10))</f>
        <v/>
      </c>
      <c r="I568" s="2" t="str">
        <f t="array" ref="I568">IF($H568="","",IF(COUNTIF(Teams,$H568)&gt;0,$H568,IFERROR(INDEX(LISTS!$D$2:$D$12,MATCH($H568,LISTS!$C$2:$C$12,0)),"⚠ "&amp;$H568)))</f>
        <v/>
      </c>
      <c r="J568" s="2" t="str">
        <f t="array" ref="J568">IF($C568="","",INDEX(SchedZone,$C568,MAP!$B$12))</f>
        <v/>
      </c>
      <c r="K568" s="2" t="str">
        <f t="array" ref="K568">IF($J568="","",IF(COUNTIF(Teams,$J568)&gt;0,$J568,IFERROR(INDEX(LISTS!$D$2:$D$12,MATCH($J568,LISTS!$C$2:$C$12,0)),"⚠ "&amp;$J568)))</f>
        <v/>
      </c>
      <c r="L568" s="2" t="str">
        <f t="array" ref="L568">IF($C568="","",IF(INDEX(SchedZone,$C568,MAP!$B$14)="Neutral","N",IF($B568="HOME","H","A")))</f>
        <v/>
      </c>
      <c r="M568" s="2" t="str">
        <f t="array" ref="M568">IF($C568="","",IF(INDEX(SchedZone,$C568,MAP!$B$11)="","",INDEX(SchedZone,$C568,MAP!$B$11)))</f>
        <v/>
      </c>
      <c r="N568" s="2" t="str">
        <f t="array" ref="N568">IF($C568="","",IF(INDEX(SchedZone,$C568,MAP!$B$13)="","",INDEX(SchedZone,$C568,MAP!$B$13)))</f>
        <v/>
      </c>
      <c r="O568" s="2" t="str">
        <f t="array" ref="O568">IF($C568="","",INDEX(SchedZone,$C568,MAP!$B$15))</f>
        <v/>
      </c>
      <c r="P568" s="2" t="str">
        <f>IF($C568="","",IFERROR(MATCH($E568&amp;"|"&amp;$G568&amp;"|"&amp;$I568,StatsKey,0),""))</f>
        <v/>
      </c>
      <c r="Q568" s="2">
        <f t="array" ref="Q568">IF($P568="",0,INDEX(StatsZone,$P568,MAP!$E$9)+INDEX(StatsZone,$P568,MAP!$E$10)+INDEX(StatsZone,$P568,MAP!$E$11))</f>
        <v>0</v>
      </c>
      <c r="R568" s="2">
        <f t="array" ref="R568">IF($P568="",0,INDEX(StatsZone,$P568,MAP!$E$12))</f>
        <v>0</v>
      </c>
      <c r="S568" s="2">
        <f t="array" ref="S568">IF($P568="",0,INDEX(StatsZone,$P568,MAP!$E$13))</f>
        <v>0</v>
      </c>
      <c r="T568" s="2">
        <f t="shared" si="1"/>
        <v>0</v>
      </c>
      <c r="U568" s="2">
        <f t="array" ref="U568">IF($P568="",0,INDEX(StatsZone,$P568,MAP!$E$14)+INDEX(StatsZone,$P568,MAP!$E$15)+INDEX(StatsZone,$P568,MAP!$E$16))</f>
        <v>0</v>
      </c>
      <c r="V568" s="2">
        <f t="shared" si="2"/>
        <v>0</v>
      </c>
      <c r="W568" s="2">
        <f t="shared" si="3"/>
        <v>0</v>
      </c>
      <c r="X568" s="2">
        <f t="shared" si="4"/>
        <v>0</v>
      </c>
      <c r="Y568" s="2">
        <f t="shared" si="5"/>
        <v>0</v>
      </c>
      <c r="Z568" s="2">
        <f t="shared" si="6"/>
        <v>0</v>
      </c>
      <c r="AA568" s="2">
        <f t="shared" si="7"/>
        <v>0</v>
      </c>
      <c r="AB568" s="2">
        <f>IF(OR($M568="",$N568=""),0,MEDIAN(-MarginCap,MarginCap,($M568-$N568)-$AA568*HFA_Base))</f>
        <v>0</v>
      </c>
      <c r="AC568" s="2">
        <f t="array" ref="AC568">IF(OR($P568="",INDEX($P$3:$P$722,(ROW()+IF(MOD(ROW()-3,2)=0,1,-1))-3+1)=""),0,MEDIAN(-MarginCap,MarginCap,($T568-$W568)-$AA568*HFA_Base))</f>
        <v>0</v>
      </c>
      <c r="AD568" s="2">
        <f t="shared" si="8"/>
        <v>0</v>
      </c>
      <c r="AE568" s="2">
        <f>IF(OR($M568="",$N568=""),0,IF(AND(WEpa&gt;0,$AD568=1),(1-WEpa)*$AB568+WEpa*$AC568,$AB568))</f>
        <v>0</v>
      </c>
      <c r="AF568" s="2">
        <f>IF(AND($C568&lt;&gt;"",$E568=CurrentSeason,$F568="REG",ISNUMBER($G568),$G568&lt;CurrentWeek,AND($M568&lt;&gt;"",$N568&lt;&gt;"")),1,0)</f>
        <v>0</v>
      </c>
      <c r="AG568" s="2">
        <f>IF($AF568=0,0,IF($G568&gt;=CurrentWeek-RecencyWin,RecencyMult,1))</f>
        <v>0</v>
      </c>
      <c r="AH568" s="2">
        <f>IF(AND($C568&lt;&gt;"",$E568=CurrentSeason,$F568="REG",ISNUMBER($G568),$G568&lt;CurrentWeek-1,AND($M568&lt;&gt;"",$N568&lt;&gt;"")),1,0)</f>
        <v>0</v>
      </c>
      <c r="AI568" s="2">
        <f>IF($AH568=0,0,IF($G568&gt;=CurrentWeek-1-RecencyWin,RecencyMult,1))</f>
        <v>0</v>
      </c>
      <c r="AJ568" s="2">
        <f>IF($AF568=0,0,IF($G568&gt;=CurrentWeek-RecencyWin,TotRecency,1))</f>
        <v>0</v>
      </c>
      <c r="AK568" s="2">
        <f t="shared" si="9"/>
        <v>0</v>
      </c>
      <c r="AL568" s="2">
        <f t="shared" si="10"/>
        <v>0</v>
      </c>
      <c r="AM568" s="2">
        <f t="array" ref="AM568">IF($K568="",0,IFERROR(INDEX(CALC!$F$2:$F$33,MATCH($K568,CALC!$A$2:$A$33,0)),0))</f>
        <v>0</v>
      </c>
      <c r="AN568" s="2">
        <f t="array" ref="AN568">IF($K568="",0,IFERROR(INDEX(CALC!$I$2:$I$33,MATCH($K568,CALC!$A$2:$A$33,0)),0))</f>
        <v>0</v>
      </c>
      <c r="AO568" s="2">
        <f t="array" ref="AO568">IF($K568="",0,IFERROR(INDEX(CALC!$L$2:$L$33,MATCH($K568,CALC!$A$2:$A$33,0)),0))</f>
        <v>0</v>
      </c>
      <c r="AP568" s="2">
        <f t="array" ref="AP568">IF($K568="",0,IFERROR(INDEX(CALC!$T$2:$T$33,MATCH($K568,CALC!$A$2:$A$33,0)),0))</f>
        <v>0</v>
      </c>
      <c r="AQ568" s="2">
        <f t="array" ref="AQ568">IF($K568="",0,IFERROR(INDEX(CALC!$W$2:$W$33,MATCH($K568,CALC!$A$2:$A$33,0)),0))</f>
        <v>0</v>
      </c>
      <c r="AR568" s="2">
        <f t="array" ref="AR568">IF($K568="",0,IFERROR(INDEX(CALC!$Z$2:$Z$33,MATCH($K568,CALC!$A$2:$A$33,0)),0))</f>
        <v>0</v>
      </c>
      <c r="AS568" s="2">
        <f t="array" ref="AS568">IF($K568="",0,IFERROR(INDEX(CALC!$AJ$2:$AJ$33,MATCH($K568,CALC!$A$2:$A$33,0)),0))</f>
        <v>0</v>
      </c>
      <c r="AT568" s="2">
        <f t="array" ref="AT568">IF($K568="",0,IFERROR(INDEX(CALC!$AI$2:$AI$33,MATCH($K568,CALC!$A$2:$A$33,0)),0))</f>
        <v>0</v>
      </c>
      <c r="AU568" s="2">
        <f t="shared" si="11"/>
        <v>0</v>
      </c>
      <c r="AV568" s="2">
        <f t="shared" si="12"/>
        <v>0</v>
      </c>
    </row>
    <row r="569" ht="15.0" customHeight="1">
      <c r="A569" s="2">
        <v>284.0</v>
      </c>
      <c r="B569" s="2" t="s">
        <v>2365</v>
      </c>
      <c r="C569" s="2" t="str">
        <f>IFERROR(MATCH($A569,SchedSeq,0),"")</f>
        <v/>
      </c>
      <c r="D569" s="2" t="str">
        <f t="array" ref="D569">IF($C569="","",INDEX(SchedZone,$C569,MAP!$B$6))</f>
        <v/>
      </c>
      <c r="E569" s="2" t="str">
        <f t="array" ref="E569">IF($C569="","",INDEX(SchedZone,$C569,MAP!$B$3))</f>
        <v/>
      </c>
      <c r="F569" s="2" t="str">
        <f t="array" ref="F569">IF($C569="","",INDEX(SchedZone,$C569,MAP!$B$5))</f>
        <v/>
      </c>
      <c r="G569" s="2" t="str">
        <f t="array" ref="G569">IF($C569="","",INDEX(SchedZone,$C569,MAP!$B$4))</f>
        <v/>
      </c>
      <c r="H569" s="2" t="str">
        <f t="array" ref="H569">IF($C569="","",INDEX(SchedZone,$C569,MAP!$B$12))</f>
        <v/>
      </c>
      <c r="I569" s="2" t="str">
        <f t="array" ref="I569">IF($H569="","",IF(COUNTIF(Teams,$H569)&gt;0,$H569,IFERROR(INDEX(LISTS!$D$2:$D$12,MATCH($H569,LISTS!$C$2:$C$12,0)),"⚠ "&amp;$H569)))</f>
        <v/>
      </c>
      <c r="J569" s="2" t="str">
        <f t="array" ref="J569">IF($C569="","",INDEX(SchedZone,$C569,MAP!$B$10))</f>
        <v/>
      </c>
      <c r="K569" s="2" t="str">
        <f t="array" ref="K569">IF($J569="","",IF(COUNTIF(Teams,$J569)&gt;0,$J569,IFERROR(INDEX(LISTS!$D$2:$D$12,MATCH($J569,LISTS!$C$2:$C$12,0)),"⚠ "&amp;$J569)))</f>
        <v/>
      </c>
      <c r="L569" s="2" t="str">
        <f t="array" ref="L569">IF($C569="","",IF(INDEX(SchedZone,$C569,MAP!$B$14)="Neutral","N",IF($B569="HOME","H","A")))</f>
        <v/>
      </c>
      <c r="M569" s="2" t="str">
        <f t="array" ref="M569">IF($C569="","",IF(INDEX(SchedZone,$C569,MAP!$B$13)="","",INDEX(SchedZone,$C569,MAP!$B$13)))</f>
        <v/>
      </c>
      <c r="N569" s="2" t="str">
        <f t="array" ref="N569">IF($C569="","",IF(INDEX(SchedZone,$C569,MAP!$B$11)="","",INDEX(SchedZone,$C569,MAP!$B$11)))</f>
        <v/>
      </c>
      <c r="O569" s="2" t="str">
        <f t="array" ref="O569">IF($C569="","",INDEX(SchedZone,$C569,MAP!$B$16))</f>
        <v/>
      </c>
      <c r="P569" s="2" t="str">
        <f>IF($C569="","",IFERROR(MATCH($E569&amp;"|"&amp;$G569&amp;"|"&amp;$I569,StatsKey,0),""))</f>
        <v/>
      </c>
      <c r="Q569" s="2">
        <f t="array" ref="Q569">IF($P569="",0,INDEX(StatsZone,$P569,MAP!$E$9)+INDEX(StatsZone,$P569,MAP!$E$10)+INDEX(StatsZone,$P569,MAP!$E$11))</f>
        <v>0</v>
      </c>
      <c r="R569" s="2">
        <f t="array" ref="R569">IF($P569="",0,INDEX(StatsZone,$P569,MAP!$E$12))</f>
        <v>0</v>
      </c>
      <c r="S569" s="2">
        <f t="array" ref="S569">IF($P569="",0,INDEX(StatsZone,$P569,MAP!$E$13))</f>
        <v>0</v>
      </c>
      <c r="T569" s="2">
        <f t="shared" si="1"/>
        <v>0</v>
      </c>
      <c r="U569" s="2">
        <f t="array" ref="U569">IF($P569="",0,INDEX(StatsZone,$P569,MAP!$E$14)+INDEX(StatsZone,$P569,MAP!$E$15)+INDEX(StatsZone,$P569,MAP!$E$16))</f>
        <v>0</v>
      </c>
      <c r="V569" s="2">
        <f t="shared" si="2"/>
        <v>0</v>
      </c>
      <c r="W569" s="2">
        <f t="shared" si="3"/>
        <v>0</v>
      </c>
      <c r="X569" s="2">
        <f t="shared" si="4"/>
        <v>0</v>
      </c>
      <c r="Y569" s="2">
        <f t="shared" si="5"/>
        <v>0</v>
      </c>
      <c r="Z569" s="2">
        <f t="shared" si="6"/>
        <v>0</v>
      </c>
      <c r="AA569" s="2">
        <f t="shared" si="7"/>
        <v>0</v>
      </c>
      <c r="AB569" s="2">
        <f>IF(OR($M569="",$N569=""),0,MEDIAN(-MarginCap,MarginCap,($M569-$N569)-$AA569*HFA_Base))</f>
        <v>0</v>
      </c>
      <c r="AC569" s="2">
        <f t="array" ref="AC569">IF(OR($P569="",INDEX($P$3:$P$722,(ROW()+IF(MOD(ROW()-3,2)=0,1,-1))-3+1)=""),0,MEDIAN(-MarginCap,MarginCap,($T569-$W569)-$AA569*HFA_Base))</f>
        <v>0</v>
      </c>
      <c r="AD569" s="2">
        <f t="shared" si="8"/>
        <v>0</v>
      </c>
      <c r="AE569" s="2">
        <f>IF(OR($M569="",$N569=""),0,IF(AND(WEpa&gt;0,$AD569=1),(1-WEpa)*$AB569+WEpa*$AC569,$AB569))</f>
        <v>0</v>
      </c>
      <c r="AF569" s="2">
        <f>IF(AND($C569&lt;&gt;"",$E569=CurrentSeason,$F569="REG",ISNUMBER($G569),$G569&lt;CurrentWeek,AND($M569&lt;&gt;"",$N569&lt;&gt;"")),1,0)</f>
        <v>0</v>
      </c>
      <c r="AG569" s="2">
        <f>IF($AF569=0,0,IF($G569&gt;=CurrentWeek-RecencyWin,RecencyMult,1))</f>
        <v>0</v>
      </c>
      <c r="AH569" s="2">
        <f>IF(AND($C569&lt;&gt;"",$E569=CurrentSeason,$F569="REG",ISNUMBER($G569),$G569&lt;CurrentWeek-1,AND($M569&lt;&gt;"",$N569&lt;&gt;"")),1,0)</f>
        <v>0</v>
      </c>
      <c r="AI569" s="2">
        <f>IF($AH569=0,0,IF($G569&gt;=CurrentWeek-1-RecencyWin,RecencyMult,1))</f>
        <v>0</v>
      </c>
      <c r="AJ569" s="2">
        <f>IF($AF569=0,0,IF($G569&gt;=CurrentWeek-RecencyWin,TotRecency,1))</f>
        <v>0</v>
      </c>
      <c r="AK569" s="2">
        <f t="shared" si="9"/>
        <v>0</v>
      </c>
      <c r="AL569" s="2">
        <f t="shared" si="10"/>
        <v>0</v>
      </c>
      <c r="AM569" s="2">
        <f t="array" ref="AM569">IF($K569="",0,IFERROR(INDEX(CALC!$F$2:$F$33,MATCH($K569,CALC!$A$2:$A$33,0)),0))</f>
        <v>0</v>
      </c>
      <c r="AN569" s="2">
        <f t="array" ref="AN569">IF($K569="",0,IFERROR(INDEX(CALC!$I$2:$I$33,MATCH($K569,CALC!$A$2:$A$33,0)),0))</f>
        <v>0</v>
      </c>
      <c r="AO569" s="2">
        <f t="array" ref="AO569">IF($K569="",0,IFERROR(INDEX(CALC!$L$2:$L$33,MATCH($K569,CALC!$A$2:$A$33,0)),0))</f>
        <v>0</v>
      </c>
      <c r="AP569" s="2">
        <f t="array" ref="AP569">IF($K569="",0,IFERROR(INDEX(CALC!$T$2:$T$33,MATCH($K569,CALC!$A$2:$A$33,0)),0))</f>
        <v>0</v>
      </c>
      <c r="AQ569" s="2">
        <f t="array" ref="AQ569">IF($K569="",0,IFERROR(INDEX(CALC!$W$2:$W$33,MATCH($K569,CALC!$A$2:$A$33,0)),0))</f>
        <v>0</v>
      </c>
      <c r="AR569" s="2">
        <f t="array" ref="AR569">IF($K569="",0,IFERROR(INDEX(CALC!$Z$2:$Z$33,MATCH($K569,CALC!$A$2:$A$33,0)),0))</f>
        <v>0</v>
      </c>
      <c r="AS569" s="2">
        <f t="array" ref="AS569">IF($K569="",0,IFERROR(INDEX(CALC!$AJ$2:$AJ$33,MATCH($K569,CALC!$A$2:$A$33,0)),0))</f>
        <v>0</v>
      </c>
      <c r="AT569" s="2">
        <f t="array" ref="AT569">IF($K569="",0,IFERROR(INDEX(CALC!$AI$2:$AI$33,MATCH($K569,CALC!$A$2:$A$33,0)),0))</f>
        <v>0</v>
      </c>
      <c r="AU569" s="2">
        <f t="shared" si="11"/>
        <v>0</v>
      </c>
      <c r="AV569" s="2">
        <f t="shared" si="12"/>
        <v>0</v>
      </c>
    </row>
    <row r="570" ht="15.0" customHeight="1">
      <c r="A570" s="2">
        <v>284.0</v>
      </c>
      <c r="B570" s="2" t="s">
        <v>2366</v>
      </c>
      <c r="C570" s="2" t="str">
        <f>IFERROR(MATCH($A570,SchedSeq,0),"")</f>
        <v/>
      </c>
      <c r="D570" s="2" t="str">
        <f t="array" ref="D570">IF($C570="","",INDEX(SchedZone,$C570,MAP!$B$6))</f>
        <v/>
      </c>
      <c r="E570" s="2" t="str">
        <f t="array" ref="E570">IF($C570="","",INDEX(SchedZone,$C570,MAP!$B$3))</f>
        <v/>
      </c>
      <c r="F570" s="2" t="str">
        <f t="array" ref="F570">IF($C570="","",INDEX(SchedZone,$C570,MAP!$B$5))</f>
        <v/>
      </c>
      <c r="G570" s="2" t="str">
        <f t="array" ref="G570">IF($C570="","",INDEX(SchedZone,$C570,MAP!$B$4))</f>
        <v/>
      </c>
      <c r="H570" s="2" t="str">
        <f t="array" ref="H570">IF($C570="","",INDEX(SchedZone,$C570,MAP!$B$10))</f>
        <v/>
      </c>
      <c r="I570" s="2" t="str">
        <f t="array" ref="I570">IF($H570="","",IF(COUNTIF(Teams,$H570)&gt;0,$H570,IFERROR(INDEX(LISTS!$D$2:$D$12,MATCH($H570,LISTS!$C$2:$C$12,0)),"⚠ "&amp;$H570)))</f>
        <v/>
      </c>
      <c r="J570" s="2" t="str">
        <f t="array" ref="J570">IF($C570="","",INDEX(SchedZone,$C570,MAP!$B$12))</f>
        <v/>
      </c>
      <c r="K570" s="2" t="str">
        <f t="array" ref="K570">IF($J570="","",IF(COUNTIF(Teams,$J570)&gt;0,$J570,IFERROR(INDEX(LISTS!$D$2:$D$12,MATCH($J570,LISTS!$C$2:$C$12,0)),"⚠ "&amp;$J570)))</f>
        <v/>
      </c>
      <c r="L570" s="2" t="str">
        <f t="array" ref="L570">IF($C570="","",IF(INDEX(SchedZone,$C570,MAP!$B$14)="Neutral","N",IF($B570="HOME","H","A")))</f>
        <v/>
      </c>
      <c r="M570" s="2" t="str">
        <f t="array" ref="M570">IF($C570="","",IF(INDEX(SchedZone,$C570,MAP!$B$11)="","",INDEX(SchedZone,$C570,MAP!$B$11)))</f>
        <v/>
      </c>
      <c r="N570" s="2" t="str">
        <f t="array" ref="N570">IF($C570="","",IF(INDEX(SchedZone,$C570,MAP!$B$13)="","",INDEX(SchedZone,$C570,MAP!$B$13)))</f>
        <v/>
      </c>
      <c r="O570" s="2" t="str">
        <f t="array" ref="O570">IF($C570="","",INDEX(SchedZone,$C570,MAP!$B$15))</f>
        <v/>
      </c>
      <c r="P570" s="2" t="str">
        <f>IF($C570="","",IFERROR(MATCH($E570&amp;"|"&amp;$G570&amp;"|"&amp;$I570,StatsKey,0),""))</f>
        <v/>
      </c>
      <c r="Q570" s="2">
        <f t="array" ref="Q570">IF($P570="",0,INDEX(StatsZone,$P570,MAP!$E$9)+INDEX(StatsZone,$P570,MAP!$E$10)+INDEX(StatsZone,$P570,MAP!$E$11))</f>
        <v>0</v>
      </c>
      <c r="R570" s="2">
        <f t="array" ref="R570">IF($P570="",0,INDEX(StatsZone,$P570,MAP!$E$12))</f>
        <v>0</v>
      </c>
      <c r="S570" s="2">
        <f t="array" ref="S570">IF($P570="",0,INDEX(StatsZone,$P570,MAP!$E$13))</f>
        <v>0</v>
      </c>
      <c r="T570" s="2">
        <f t="shared" si="1"/>
        <v>0</v>
      </c>
      <c r="U570" s="2">
        <f t="array" ref="U570">IF($P570="",0,INDEX(StatsZone,$P570,MAP!$E$14)+INDEX(StatsZone,$P570,MAP!$E$15)+INDEX(StatsZone,$P570,MAP!$E$16))</f>
        <v>0</v>
      </c>
      <c r="V570" s="2">
        <f t="shared" si="2"/>
        <v>0</v>
      </c>
      <c r="W570" s="2">
        <f t="shared" si="3"/>
        <v>0</v>
      </c>
      <c r="X570" s="2">
        <f t="shared" si="4"/>
        <v>0</v>
      </c>
      <c r="Y570" s="2">
        <f t="shared" si="5"/>
        <v>0</v>
      </c>
      <c r="Z570" s="2">
        <f t="shared" si="6"/>
        <v>0</v>
      </c>
      <c r="AA570" s="2">
        <f t="shared" si="7"/>
        <v>0</v>
      </c>
      <c r="AB570" s="2">
        <f>IF(OR($M570="",$N570=""),0,MEDIAN(-MarginCap,MarginCap,($M570-$N570)-$AA570*HFA_Base))</f>
        <v>0</v>
      </c>
      <c r="AC570" s="2">
        <f t="array" ref="AC570">IF(OR($P570="",INDEX($P$3:$P$722,(ROW()+IF(MOD(ROW()-3,2)=0,1,-1))-3+1)=""),0,MEDIAN(-MarginCap,MarginCap,($T570-$W570)-$AA570*HFA_Base))</f>
        <v>0</v>
      </c>
      <c r="AD570" s="2">
        <f t="shared" si="8"/>
        <v>0</v>
      </c>
      <c r="AE570" s="2">
        <f>IF(OR($M570="",$N570=""),0,IF(AND(WEpa&gt;0,$AD570=1),(1-WEpa)*$AB570+WEpa*$AC570,$AB570))</f>
        <v>0</v>
      </c>
      <c r="AF570" s="2">
        <f>IF(AND($C570&lt;&gt;"",$E570=CurrentSeason,$F570="REG",ISNUMBER($G570),$G570&lt;CurrentWeek,AND($M570&lt;&gt;"",$N570&lt;&gt;"")),1,0)</f>
        <v>0</v>
      </c>
      <c r="AG570" s="2">
        <f>IF($AF570=0,0,IF($G570&gt;=CurrentWeek-RecencyWin,RecencyMult,1))</f>
        <v>0</v>
      </c>
      <c r="AH570" s="2">
        <f>IF(AND($C570&lt;&gt;"",$E570=CurrentSeason,$F570="REG",ISNUMBER($G570),$G570&lt;CurrentWeek-1,AND($M570&lt;&gt;"",$N570&lt;&gt;"")),1,0)</f>
        <v>0</v>
      </c>
      <c r="AI570" s="2">
        <f>IF($AH570=0,0,IF($G570&gt;=CurrentWeek-1-RecencyWin,RecencyMult,1))</f>
        <v>0</v>
      </c>
      <c r="AJ570" s="2">
        <f>IF($AF570=0,0,IF($G570&gt;=CurrentWeek-RecencyWin,TotRecency,1))</f>
        <v>0</v>
      </c>
      <c r="AK570" s="2">
        <f t="shared" si="9"/>
        <v>0</v>
      </c>
      <c r="AL570" s="2">
        <f t="shared" si="10"/>
        <v>0</v>
      </c>
      <c r="AM570" s="2">
        <f t="array" ref="AM570">IF($K570="",0,IFERROR(INDEX(CALC!$F$2:$F$33,MATCH($K570,CALC!$A$2:$A$33,0)),0))</f>
        <v>0</v>
      </c>
      <c r="AN570" s="2">
        <f t="array" ref="AN570">IF($K570="",0,IFERROR(INDEX(CALC!$I$2:$I$33,MATCH($K570,CALC!$A$2:$A$33,0)),0))</f>
        <v>0</v>
      </c>
      <c r="AO570" s="2">
        <f t="array" ref="AO570">IF($K570="",0,IFERROR(INDEX(CALC!$L$2:$L$33,MATCH($K570,CALC!$A$2:$A$33,0)),0))</f>
        <v>0</v>
      </c>
      <c r="AP570" s="2">
        <f t="array" ref="AP570">IF($K570="",0,IFERROR(INDEX(CALC!$T$2:$T$33,MATCH($K570,CALC!$A$2:$A$33,0)),0))</f>
        <v>0</v>
      </c>
      <c r="AQ570" s="2">
        <f t="array" ref="AQ570">IF($K570="",0,IFERROR(INDEX(CALC!$W$2:$W$33,MATCH($K570,CALC!$A$2:$A$33,0)),0))</f>
        <v>0</v>
      </c>
      <c r="AR570" s="2">
        <f t="array" ref="AR570">IF($K570="",0,IFERROR(INDEX(CALC!$Z$2:$Z$33,MATCH($K570,CALC!$A$2:$A$33,0)),0))</f>
        <v>0</v>
      </c>
      <c r="AS570" s="2">
        <f t="array" ref="AS570">IF($K570="",0,IFERROR(INDEX(CALC!$AJ$2:$AJ$33,MATCH($K570,CALC!$A$2:$A$33,0)),0))</f>
        <v>0</v>
      </c>
      <c r="AT570" s="2">
        <f t="array" ref="AT570">IF($K570="",0,IFERROR(INDEX(CALC!$AI$2:$AI$33,MATCH($K570,CALC!$A$2:$A$33,0)),0))</f>
        <v>0</v>
      </c>
      <c r="AU570" s="2">
        <f t="shared" si="11"/>
        <v>0</v>
      </c>
      <c r="AV570" s="2">
        <f t="shared" si="12"/>
        <v>0</v>
      </c>
    </row>
    <row r="571" ht="15.0" customHeight="1">
      <c r="A571" s="2">
        <v>285.0</v>
      </c>
      <c r="B571" s="2" t="s">
        <v>2365</v>
      </c>
      <c r="C571" s="2" t="str">
        <f>IFERROR(MATCH($A571,SchedSeq,0),"")</f>
        <v/>
      </c>
      <c r="D571" s="2" t="str">
        <f t="array" ref="D571">IF($C571="","",INDEX(SchedZone,$C571,MAP!$B$6))</f>
        <v/>
      </c>
      <c r="E571" s="2" t="str">
        <f t="array" ref="E571">IF($C571="","",INDEX(SchedZone,$C571,MAP!$B$3))</f>
        <v/>
      </c>
      <c r="F571" s="2" t="str">
        <f t="array" ref="F571">IF($C571="","",INDEX(SchedZone,$C571,MAP!$B$5))</f>
        <v/>
      </c>
      <c r="G571" s="2" t="str">
        <f t="array" ref="G571">IF($C571="","",INDEX(SchedZone,$C571,MAP!$B$4))</f>
        <v/>
      </c>
      <c r="H571" s="2" t="str">
        <f t="array" ref="H571">IF($C571="","",INDEX(SchedZone,$C571,MAP!$B$12))</f>
        <v/>
      </c>
      <c r="I571" s="2" t="str">
        <f t="array" ref="I571">IF($H571="","",IF(COUNTIF(Teams,$H571)&gt;0,$H571,IFERROR(INDEX(LISTS!$D$2:$D$12,MATCH($H571,LISTS!$C$2:$C$12,0)),"⚠ "&amp;$H571)))</f>
        <v/>
      </c>
      <c r="J571" s="2" t="str">
        <f t="array" ref="J571">IF($C571="","",INDEX(SchedZone,$C571,MAP!$B$10))</f>
        <v/>
      </c>
      <c r="K571" s="2" t="str">
        <f t="array" ref="K571">IF($J571="","",IF(COUNTIF(Teams,$J571)&gt;0,$J571,IFERROR(INDEX(LISTS!$D$2:$D$12,MATCH($J571,LISTS!$C$2:$C$12,0)),"⚠ "&amp;$J571)))</f>
        <v/>
      </c>
      <c r="L571" s="2" t="str">
        <f t="array" ref="L571">IF($C571="","",IF(INDEX(SchedZone,$C571,MAP!$B$14)="Neutral","N",IF($B571="HOME","H","A")))</f>
        <v/>
      </c>
      <c r="M571" s="2" t="str">
        <f t="array" ref="M571">IF($C571="","",IF(INDEX(SchedZone,$C571,MAP!$B$13)="","",INDEX(SchedZone,$C571,MAP!$B$13)))</f>
        <v/>
      </c>
      <c r="N571" s="2" t="str">
        <f t="array" ref="N571">IF($C571="","",IF(INDEX(SchedZone,$C571,MAP!$B$11)="","",INDEX(SchedZone,$C571,MAP!$B$11)))</f>
        <v/>
      </c>
      <c r="O571" s="2" t="str">
        <f t="array" ref="O571">IF($C571="","",INDEX(SchedZone,$C571,MAP!$B$16))</f>
        <v/>
      </c>
      <c r="P571" s="2" t="str">
        <f>IF($C571="","",IFERROR(MATCH($E571&amp;"|"&amp;$G571&amp;"|"&amp;$I571,StatsKey,0),""))</f>
        <v/>
      </c>
      <c r="Q571" s="2">
        <f t="array" ref="Q571">IF($P571="",0,INDEX(StatsZone,$P571,MAP!$E$9)+INDEX(StatsZone,$P571,MAP!$E$10)+INDEX(StatsZone,$P571,MAP!$E$11))</f>
        <v>0</v>
      </c>
      <c r="R571" s="2">
        <f t="array" ref="R571">IF($P571="",0,INDEX(StatsZone,$P571,MAP!$E$12))</f>
        <v>0</v>
      </c>
      <c r="S571" s="2">
        <f t="array" ref="S571">IF($P571="",0,INDEX(StatsZone,$P571,MAP!$E$13))</f>
        <v>0</v>
      </c>
      <c r="T571" s="2">
        <f t="shared" si="1"/>
        <v>0</v>
      </c>
      <c r="U571" s="2">
        <f t="array" ref="U571">IF($P571="",0,INDEX(StatsZone,$P571,MAP!$E$14)+INDEX(StatsZone,$P571,MAP!$E$15)+INDEX(StatsZone,$P571,MAP!$E$16))</f>
        <v>0</v>
      </c>
      <c r="V571" s="2">
        <f t="shared" si="2"/>
        <v>0</v>
      </c>
      <c r="W571" s="2">
        <f t="shared" si="3"/>
        <v>0</v>
      </c>
      <c r="X571" s="2">
        <f t="shared" si="4"/>
        <v>0</v>
      </c>
      <c r="Y571" s="2">
        <f t="shared" si="5"/>
        <v>0</v>
      </c>
      <c r="Z571" s="2">
        <f t="shared" si="6"/>
        <v>0</v>
      </c>
      <c r="AA571" s="2">
        <f t="shared" si="7"/>
        <v>0</v>
      </c>
      <c r="AB571" s="2">
        <f>IF(OR($M571="",$N571=""),0,MEDIAN(-MarginCap,MarginCap,($M571-$N571)-$AA571*HFA_Base))</f>
        <v>0</v>
      </c>
      <c r="AC571" s="2">
        <f t="array" ref="AC571">IF(OR($P571="",INDEX($P$3:$P$722,(ROW()+IF(MOD(ROW()-3,2)=0,1,-1))-3+1)=""),0,MEDIAN(-MarginCap,MarginCap,($T571-$W571)-$AA571*HFA_Base))</f>
        <v>0</v>
      </c>
      <c r="AD571" s="2">
        <f t="shared" si="8"/>
        <v>0</v>
      </c>
      <c r="AE571" s="2">
        <f>IF(OR($M571="",$N571=""),0,IF(AND(WEpa&gt;0,$AD571=1),(1-WEpa)*$AB571+WEpa*$AC571,$AB571))</f>
        <v>0</v>
      </c>
      <c r="AF571" s="2">
        <f>IF(AND($C571&lt;&gt;"",$E571=CurrentSeason,$F571="REG",ISNUMBER($G571),$G571&lt;CurrentWeek,AND($M571&lt;&gt;"",$N571&lt;&gt;"")),1,0)</f>
        <v>0</v>
      </c>
      <c r="AG571" s="2">
        <f>IF($AF571=0,0,IF($G571&gt;=CurrentWeek-RecencyWin,RecencyMult,1))</f>
        <v>0</v>
      </c>
      <c r="AH571" s="2">
        <f>IF(AND($C571&lt;&gt;"",$E571=CurrentSeason,$F571="REG",ISNUMBER($G571),$G571&lt;CurrentWeek-1,AND($M571&lt;&gt;"",$N571&lt;&gt;"")),1,0)</f>
        <v>0</v>
      </c>
      <c r="AI571" s="2">
        <f>IF($AH571=0,0,IF($G571&gt;=CurrentWeek-1-RecencyWin,RecencyMult,1))</f>
        <v>0</v>
      </c>
      <c r="AJ571" s="2">
        <f>IF($AF571=0,0,IF($G571&gt;=CurrentWeek-RecencyWin,TotRecency,1))</f>
        <v>0</v>
      </c>
      <c r="AK571" s="2">
        <f t="shared" si="9"/>
        <v>0</v>
      </c>
      <c r="AL571" s="2">
        <f t="shared" si="10"/>
        <v>0</v>
      </c>
      <c r="AM571" s="2">
        <f t="array" ref="AM571">IF($K571="",0,IFERROR(INDEX(CALC!$F$2:$F$33,MATCH($K571,CALC!$A$2:$A$33,0)),0))</f>
        <v>0</v>
      </c>
      <c r="AN571" s="2">
        <f t="array" ref="AN571">IF($K571="",0,IFERROR(INDEX(CALC!$I$2:$I$33,MATCH($K571,CALC!$A$2:$A$33,0)),0))</f>
        <v>0</v>
      </c>
      <c r="AO571" s="2">
        <f t="array" ref="AO571">IF($K571="",0,IFERROR(INDEX(CALC!$L$2:$L$33,MATCH($K571,CALC!$A$2:$A$33,0)),0))</f>
        <v>0</v>
      </c>
      <c r="AP571" s="2">
        <f t="array" ref="AP571">IF($K571="",0,IFERROR(INDEX(CALC!$T$2:$T$33,MATCH($K571,CALC!$A$2:$A$33,0)),0))</f>
        <v>0</v>
      </c>
      <c r="AQ571" s="2">
        <f t="array" ref="AQ571">IF($K571="",0,IFERROR(INDEX(CALC!$W$2:$W$33,MATCH($K571,CALC!$A$2:$A$33,0)),0))</f>
        <v>0</v>
      </c>
      <c r="AR571" s="2">
        <f t="array" ref="AR571">IF($K571="",0,IFERROR(INDEX(CALC!$Z$2:$Z$33,MATCH($K571,CALC!$A$2:$A$33,0)),0))</f>
        <v>0</v>
      </c>
      <c r="AS571" s="2">
        <f t="array" ref="AS571">IF($K571="",0,IFERROR(INDEX(CALC!$AJ$2:$AJ$33,MATCH($K571,CALC!$A$2:$A$33,0)),0))</f>
        <v>0</v>
      </c>
      <c r="AT571" s="2">
        <f t="array" ref="AT571">IF($K571="",0,IFERROR(INDEX(CALC!$AI$2:$AI$33,MATCH($K571,CALC!$A$2:$A$33,0)),0))</f>
        <v>0</v>
      </c>
      <c r="AU571" s="2">
        <f t="shared" si="11"/>
        <v>0</v>
      </c>
      <c r="AV571" s="2">
        <f t="shared" si="12"/>
        <v>0</v>
      </c>
    </row>
    <row r="572" ht="15.0" customHeight="1">
      <c r="A572" s="2">
        <v>285.0</v>
      </c>
      <c r="B572" s="2" t="s">
        <v>2366</v>
      </c>
      <c r="C572" s="2" t="str">
        <f>IFERROR(MATCH($A572,SchedSeq,0),"")</f>
        <v/>
      </c>
      <c r="D572" s="2" t="str">
        <f t="array" ref="D572">IF($C572="","",INDEX(SchedZone,$C572,MAP!$B$6))</f>
        <v/>
      </c>
      <c r="E572" s="2" t="str">
        <f t="array" ref="E572">IF($C572="","",INDEX(SchedZone,$C572,MAP!$B$3))</f>
        <v/>
      </c>
      <c r="F572" s="2" t="str">
        <f t="array" ref="F572">IF($C572="","",INDEX(SchedZone,$C572,MAP!$B$5))</f>
        <v/>
      </c>
      <c r="G572" s="2" t="str">
        <f t="array" ref="G572">IF($C572="","",INDEX(SchedZone,$C572,MAP!$B$4))</f>
        <v/>
      </c>
      <c r="H572" s="2" t="str">
        <f t="array" ref="H572">IF($C572="","",INDEX(SchedZone,$C572,MAP!$B$10))</f>
        <v/>
      </c>
      <c r="I572" s="2" t="str">
        <f t="array" ref="I572">IF($H572="","",IF(COUNTIF(Teams,$H572)&gt;0,$H572,IFERROR(INDEX(LISTS!$D$2:$D$12,MATCH($H572,LISTS!$C$2:$C$12,0)),"⚠ "&amp;$H572)))</f>
        <v/>
      </c>
      <c r="J572" s="2" t="str">
        <f t="array" ref="J572">IF($C572="","",INDEX(SchedZone,$C572,MAP!$B$12))</f>
        <v/>
      </c>
      <c r="K572" s="2" t="str">
        <f t="array" ref="K572">IF($J572="","",IF(COUNTIF(Teams,$J572)&gt;0,$J572,IFERROR(INDEX(LISTS!$D$2:$D$12,MATCH($J572,LISTS!$C$2:$C$12,0)),"⚠ "&amp;$J572)))</f>
        <v/>
      </c>
      <c r="L572" s="2" t="str">
        <f t="array" ref="L572">IF($C572="","",IF(INDEX(SchedZone,$C572,MAP!$B$14)="Neutral","N",IF($B572="HOME","H","A")))</f>
        <v/>
      </c>
      <c r="M572" s="2" t="str">
        <f t="array" ref="M572">IF($C572="","",IF(INDEX(SchedZone,$C572,MAP!$B$11)="","",INDEX(SchedZone,$C572,MAP!$B$11)))</f>
        <v/>
      </c>
      <c r="N572" s="2" t="str">
        <f t="array" ref="N572">IF($C572="","",IF(INDEX(SchedZone,$C572,MAP!$B$13)="","",INDEX(SchedZone,$C572,MAP!$B$13)))</f>
        <v/>
      </c>
      <c r="O572" s="2" t="str">
        <f t="array" ref="O572">IF($C572="","",INDEX(SchedZone,$C572,MAP!$B$15))</f>
        <v/>
      </c>
      <c r="P572" s="2" t="str">
        <f>IF($C572="","",IFERROR(MATCH($E572&amp;"|"&amp;$G572&amp;"|"&amp;$I572,StatsKey,0),""))</f>
        <v/>
      </c>
      <c r="Q572" s="2">
        <f t="array" ref="Q572">IF($P572="",0,INDEX(StatsZone,$P572,MAP!$E$9)+INDEX(StatsZone,$P572,MAP!$E$10)+INDEX(StatsZone,$P572,MAP!$E$11))</f>
        <v>0</v>
      </c>
      <c r="R572" s="2">
        <f t="array" ref="R572">IF($P572="",0,INDEX(StatsZone,$P572,MAP!$E$12))</f>
        <v>0</v>
      </c>
      <c r="S572" s="2">
        <f t="array" ref="S572">IF($P572="",0,INDEX(StatsZone,$P572,MAP!$E$13))</f>
        <v>0</v>
      </c>
      <c r="T572" s="2">
        <f t="shared" si="1"/>
        <v>0</v>
      </c>
      <c r="U572" s="2">
        <f t="array" ref="U572">IF($P572="",0,INDEX(StatsZone,$P572,MAP!$E$14)+INDEX(StatsZone,$P572,MAP!$E$15)+INDEX(StatsZone,$P572,MAP!$E$16))</f>
        <v>0</v>
      </c>
      <c r="V572" s="2">
        <f t="shared" si="2"/>
        <v>0</v>
      </c>
      <c r="W572" s="2">
        <f t="shared" si="3"/>
        <v>0</v>
      </c>
      <c r="X572" s="2">
        <f t="shared" si="4"/>
        <v>0</v>
      </c>
      <c r="Y572" s="2">
        <f t="shared" si="5"/>
        <v>0</v>
      </c>
      <c r="Z572" s="2">
        <f t="shared" si="6"/>
        <v>0</v>
      </c>
      <c r="AA572" s="2">
        <f t="shared" si="7"/>
        <v>0</v>
      </c>
      <c r="AB572" s="2">
        <f>IF(OR($M572="",$N572=""),0,MEDIAN(-MarginCap,MarginCap,($M572-$N572)-$AA572*HFA_Base))</f>
        <v>0</v>
      </c>
      <c r="AC572" s="2">
        <f t="array" ref="AC572">IF(OR($P572="",INDEX($P$3:$P$722,(ROW()+IF(MOD(ROW()-3,2)=0,1,-1))-3+1)=""),0,MEDIAN(-MarginCap,MarginCap,($T572-$W572)-$AA572*HFA_Base))</f>
        <v>0</v>
      </c>
      <c r="AD572" s="2">
        <f t="shared" si="8"/>
        <v>0</v>
      </c>
      <c r="AE572" s="2">
        <f>IF(OR($M572="",$N572=""),0,IF(AND(WEpa&gt;0,$AD572=1),(1-WEpa)*$AB572+WEpa*$AC572,$AB572))</f>
        <v>0</v>
      </c>
      <c r="AF572" s="2">
        <f>IF(AND($C572&lt;&gt;"",$E572=CurrentSeason,$F572="REG",ISNUMBER($G572),$G572&lt;CurrentWeek,AND($M572&lt;&gt;"",$N572&lt;&gt;"")),1,0)</f>
        <v>0</v>
      </c>
      <c r="AG572" s="2">
        <f>IF($AF572=0,0,IF($G572&gt;=CurrentWeek-RecencyWin,RecencyMult,1))</f>
        <v>0</v>
      </c>
      <c r="AH572" s="2">
        <f>IF(AND($C572&lt;&gt;"",$E572=CurrentSeason,$F572="REG",ISNUMBER($G572),$G572&lt;CurrentWeek-1,AND($M572&lt;&gt;"",$N572&lt;&gt;"")),1,0)</f>
        <v>0</v>
      </c>
      <c r="AI572" s="2">
        <f>IF($AH572=0,0,IF($G572&gt;=CurrentWeek-1-RecencyWin,RecencyMult,1))</f>
        <v>0</v>
      </c>
      <c r="AJ572" s="2">
        <f>IF($AF572=0,0,IF($G572&gt;=CurrentWeek-RecencyWin,TotRecency,1))</f>
        <v>0</v>
      </c>
      <c r="AK572" s="2">
        <f t="shared" si="9"/>
        <v>0</v>
      </c>
      <c r="AL572" s="2">
        <f t="shared" si="10"/>
        <v>0</v>
      </c>
      <c r="AM572" s="2">
        <f t="array" ref="AM572">IF($K572="",0,IFERROR(INDEX(CALC!$F$2:$F$33,MATCH($K572,CALC!$A$2:$A$33,0)),0))</f>
        <v>0</v>
      </c>
      <c r="AN572" s="2">
        <f t="array" ref="AN572">IF($K572="",0,IFERROR(INDEX(CALC!$I$2:$I$33,MATCH($K572,CALC!$A$2:$A$33,0)),0))</f>
        <v>0</v>
      </c>
      <c r="AO572" s="2">
        <f t="array" ref="AO572">IF($K572="",0,IFERROR(INDEX(CALC!$L$2:$L$33,MATCH($K572,CALC!$A$2:$A$33,0)),0))</f>
        <v>0</v>
      </c>
      <c r="AP572" s="2">
        <f t="array" ref="AP572">IF($K572="",0,IFERROR(INDEX(CALC!$T$2:$T$33,MATCH($K572,CALC!$A$2:$A$33,0)),0))</f>
        <v>0</v>
      </c>
      <c r="AQ572" s="2">
        <f t="array" ref="AQ572">IF($K572="",0,IFERROR(INDEX(CALC!$W$2:$W$33,MATCH($K572,CALC!$A$2:$A$33,0)),0))</f>
        <v>0</v>
      </c>
      <c r="AR572" s="2">
        <f t="array" ref="AR572">IF($K572="",0,IFERROR(INDEX(CALC!$Z$2:$Z$33,MATCH($K572,CALC!$A$2:$A$33,0)),0))</f>
        <v>0</v>
      </c>
      <c r="AS572" s="2">
        <f t="array" ref="AS572">IF($K572="",0,IFERROR(INDEX(CALC!$AJ$2:$AJ$33,MATCH($K572,CALC!$A$2:$A$33,0)),0))</f>
        <v>0</v>
      </c>
      <c r="AT572" s="2">
        <f t="array" ref="AT572">IF($K572="",0,IFERROR(INDEX(CALC!$AI$2:$AI$33,MATCH($K572,CALC!$A$2:$A$33,0)),0))</f>
        <v>0</v>
      </c>
      <c r="AU572" s="2">
        <f t="shared" si="11"/>
        <v>0</v>
      </c>
      <c r="AV572" s="2">
        <f t="shared" si="12"/>
        <v>0</v>
      </c>
    </row>
    <row r="573" ht="15.0" customHeight="1">
      <c r="A573" s="2">
        <v>286.0</v>
      </c>
      <c r="B573" s="2" t="s">
        <v>2365</v>
      </c>
      <c r="C573" s="2" t="str">
        <f>IFERROR(MATCH($A573,SchedSeq,0),"")</f>
        <v/>
      </c>
      <c r="D573" s="2" t="str">
        <f t="array" ref="D573">IF($C573="","",INDEX(SchedZone,$C573,MAP!$B$6))</f>
        <v/>
      </c>
      <c r="E573" s="2" t="str">
        <f t="array" ref="E573">IF($C573="","",INDEX(SchedZone,$C573,MAP!$B$3))</f>
        <v/>
      </c>
      <c r="F573" s="2" t="str">
        <f t="array" ref="F573">IF($C573="","",INDEX(SchedZone,$C573,MAP!$B$5))</f>
        <v/>
      </c>
      <c r="G573" s="2" t="str">
        <f t="array" ref="G573">IF($C573="","",INDEX(SchedZone,$C573,MAP!$B$4))</f>
        <v/>
      </c>
      <c r="H573" s="2" t="str">
        <f t="array" ref="H573">IF($C573="","",INDEX(SchedZone,$C573,MAP!$B$12))</f>
        <v/>
      </c>
      <c r="I573" s="2" t="str">
        <f t="array" ref="I573">IF($H573="","",IF(COUNTIF(Teams,$H573)&gt;0,$H573,IFERROR(INDEX(LISTS!$D$2:$D$12,MATCH($H573,LISTS!$C$2:$C$12,0)),"⚠ "&amp;$H573)))</f>
        <v/>
      </c>
      <c r="J573" s="2" t="str">
        <f t="array" ref="J573">IF($C573="","",INDEX(SchedZone,$C573,MAP!$B$10))</f>
        <v/>
      </c>
      <c r="K573" s="2" t="str">
        <f t="array" ref="K573">IF($J573="","",IF(COUNTIF(Teams,$J573)&gt;0,$J573,IFERROR(INDEX(LISTS!$D$2:$D$12,MATCH($J573,LISTS!$C$2:$C$12,0)),"⚠ "&amp;$J573)))</f>
        <v/>
      </c>
      <c r="L573" s="2" t="str">
        <f t="array" ref="L573">IF($C573="","",IF(INDEX(SchedZone,$C573,MAP!$B$14)="Neutral","N",IF($B573="HOME","H","A")))</f>
        <v/>
      </c>
      <c r="M573" s="2" t="str">
        <f t="array" ref="M573">IF($C573="","",IF(INDEX(SchedZone,$C573,MAP!$B$13)="","",INDEX(SchedZone,$C573,MAP!$B$13)))</f>
        <v/>
      </c>
      <c r="N573" s="2" t="str">
        <f t="array" ref="N573">IF($C573="","",IF(INDEX(SchedZone,$C573,MAP!$B$11)="","",INDEX(SchedZone,$C573,MAP!$B$11)))</f>
        <v/>
      </c>
      <c r="O573" s="2" t="str">
        <f t="array" ref="O573">IF($C573="","",INDEX(SchedZone,$C573,MAP!$B$16))</f>
        <v/>
      </c>
      <c r="P573" s="2" t="str">
        <f>IF($C573="","",IFERROR(MATCH($E573&amp;"|"&amp;$G573&amp;"|"&amp;$I573,StatsKey,0),""))</f>
        <v/>
      </c>
      <c r="Q573" s="2">
        <f t="array" ref="Q573">IF($P573="",0,INDEX(StatsZone,$P573,MAP!$E$9)+INDEX(StatsZone,$P573,MAP!$E$10)+INDEX(StatsZone,$P573,MAP!$E$11))</f>
        <v>0</v>
      </c>
      <c r="R573" s="2">
        <f t="array" ref="R573">IF($P573="",0,INDEX(StatsZone,$P573,MAP!$E$12))</f>
        <v>0</v>
      </c>
      <c r="S573" s="2">
        <f t="array" ref="S573">IF($P573="",0,INDEX(StatsZone,$P573,MAP!$E$13))</f>
        <v>0</v>
      </c>
      <c r="T573" s="2">
        <f t="shared" si="1"/>
        <v>0</v>
      </c>
      <c r="U573" s="2">
        <f t="array" ref="U573">IF($P573="",0,INDEX(StatsZone,$P573,MAP!$E$14)+INDEX(StatsZone,$P573,MAP!$E$15)+INDEX(StatsZone,$P573,MAP!$E$16))</f>
        <v>0</v>
      </c>
      <c r="V573" s="2">
        <f t="shared" si="2"/>
        <v>0</v>
      </c>
      <c r="W573" s="2">
        <f t="shared" si="3"/>
        <v>0</v>
      </c>
      <c r="X573" s="2">
        <f t="shared" si="4"/>
        <v>0</v>
      </c>
      <c r="Y573" s="2">
        <f t="shared" si="5"/>
        <v>0</v>
      </c>
      <c r="Z573" s="2">
        <f t="shared" si="6"/>
        <v>0</v>
      </c>
      <c r="AA573" s="2">
        <f t="shared" si="7"/>
        <v>0</v>
      </c>
      <c r="AB573" s="2">
        <f>IF(OR($M573="",$N573=""),0,MEDIAN(-MarginCap,MarginCap,($M573-$N573)-$AA573*HFA_Base))</f>
        <v>0</v>
      </c>
      <c r="AC573" s="2">
        <f t="array" ref="AC573">IF(OR($P573="",INDEX($P$3:$P$722,(ROW()+IF(MOD(ROW()-3,2)=0,1,-1))-3+1)=""),0,MEDIAN(-MarginCap,MarginCap,($T573-$W573)-$AA573*HFA_Base))</f>
        <v>0</v>
      </c>
      <c r="AD573" s="2">
        <f t="shared" si="8"/>
        <v>0</v>
      </c>
      <c r="AE573" s="2">
        <f>IF(OR($M573="",$N573=""),0,IF(AND(WEpa&gt;0,$AD573=1),(1-WEpa)*$AB573+WEpa*$AC573,$AB573))</f>
        <v>0</v>
      </c>
      <c r="AF573" s="2">
        <f>IF(AND($C573&lt;&gt;"",$E573=CurrentSeason,$F573="REG",ISNUMBER($G573),$G573&lt;CurrentWeek,AND($M573&lt;&gt;"",$N573&lt;&gt;"")),1,0)</f>
        <v>0</v>
      </c>
      <c r="AG573" s="2">
        <f>IF($AF573=0,0,IF($G573&gt;=CurrentWeek-RecencyWin,RecencyMult,1))</f>
        <v>0</v>
      </c>
      <c r="AH573" s="2">
        <f>IF(AND($C573&lt;&gt;"",$E573=CurrentSeason,$F573="REG",ISNUMBER($G573),$G573&lt;CurrentWeek-1,AND($M573&lt;&gt;"",$N573&lt;&gt;"")),1,0)</f>
        <v>0</v>
      </c>
      <c r="AI573" s="2">
        <f>IF($AH573=0,0,IF($G573&gt;=CurrentWeek-1-RecencyWin,RecencyMult,1))</f>
        <v>0</v>
      </c>
      <c r="AJ573" s="2">
        <f>IF($AF573=0,0,IF($G573&gt;=CurrentWeek-RecencyWin,TotRecency,1))</f>
        <v>0</v>
      </c>
      <c r="AK573" s="2">
        <f t="shared" si="9"/>
        <v>0</v>
      </c>
      <c r="AL573" s="2">
        <f t="shared" si="10"/>
        <v>0</v>
      </c>
      <c r="AM573" s="2">
        <f t="array" ref="AM573">IF($K573="",0,IFERROR(INDEX(CALC!$F$2:$F$33,MATCH($K573,CALC!$A$2:$A$33,0)),0))</f>
        <v>0</v>
      </c>
      <c r="AN573" s="2">
        <f t="array" ref="AN573">IF($K573="",0,IFERROR(INDEX(CALC!$I$2:$I$33,MATCH($K573,CALC!$A$2:$A$33,0)),0))</f>
        <v>0</v>
      </c>
      <c r="AO573" s="2">
        <f t="array" ref="AO573">IF($K573="",0,IFERROR(INDEX(CALC!$L$2:$L$33,MATCH($K573,CALC!$A$2:$A$33,0)),0))</f>
        <v>0</v>
      </c>
      <c r="AP573" s="2">
        <f t="array" ref="AP573">IF($K573="",0,IFERROR(INDEX(CALC!$T$2:$T$33,MATCH($K573,CALC!$A$2:$A$33,0)),0))</f>
        <v>0</v>
      </c>
      <c r="AQ573" s="2">
        <f t="array" ref="AQ573">IF($K573="",0,IFERROR(INDEX(CALC!$W$2:$W$33,MATCH($K573,CALC!$A$2:$A$33,0)),0))</f>
        <v>0</v>
      </c>
      <c r="AR573" s="2">
        <f t="array" ref="AR573">IF($K573="",0,IFERROR(INDEX(CALC!$Z$2:$Z$33,MATCH($K573,CALC!$A$2:$A$33,0)),0))</f>
        <v>0</v>
      </c>
      <c r="AS573" s="2">
        <f t="array" ref="AS573">IF($K573="",0,IFERROR(INDEX(CALC!$AJ$2:$AJ$33,MATCH($K573,CALC!$A$2:$A$33,0)),0))</f>
        <v>0</v>
      </c>
      <c r="AT573" s="2">
        <f t="array" ref="AT573">IF($K573="",0,IFERROR(INDEX(CALC!$AI$2:$AI$33,MATCH($K573,CALC!$A$2:$A$33,0)),0))</f>
        <v>0</v>
      </c>
      <c r="AU573" s="2">
        <f t="shared" si="11"/>
        <v>0</v>
      </c>
      <c r="AV573" s="2">
        <f t="shared" si="12"/>
        <v>0</v>
      </c>
    </row>
    <row r="574" ht="15.0" customHeight="1">
      <c r="A574" s="2">
        <v>286.0</v>
      </c>
      <c r="B574" s="2" t="s">
        <v>2366</v>
      </c>
      <c r="C574" s="2" t="str">
        <f>IFERROR(MATCH($A574,SchedSeq,0),"")</f>
        <v/>
      </c>
      <c r="D574" s="2" t="str">
        <f t="array" ref="D574">IF($C574="","",INDEX(SchedZone,$C574,MAP!$B$6))</f>
        <v/>
      </c>
      <c r="E574" s="2" t="str">
        <f t="array" ref="E574">IF($C574="","",INDEX(SchedZone,$C574,MAP!$B$3))</f>
        <v/>
      </c>
      <c r="F574" s="2" t="str">
        <f t="array" ref="F574">IF($C574="","",INDEX(SchedZone,$C574,MAP!$B$5))</f>
        <v/>
      </c>
      <c r="G574" s="2" t="str">
        <f t="array" ref="G574">IF($C574="","",INDEX(SchedZone,$C574,MAP!$B$4))</f>
        <v/>
      </c>
      <c r="H574" s="2" t="str">
        <f t="array" ref="H574">IF($C574="","",INDEX(SchedZone,$C574,MAP!$B$10))</f>
        <v/>
      </c>
      <c r="I574" s="2" t="str">
        <f t="array" ref="I574">IF($H574="","",IF(COUNTIF(Teams,$H574)&gt;0,$H574,IFERROR(INDEX(LISTS!$D$2:$D$12,MATCH($H574,LISTS!$C$2:$C$12,0)),"⚠ "&amp;$H574)))</f>
        <v/>
      </c>
      <c r="J574" s="2" t="str">
        <f t="array" ref="J574">IF($C574="","",INDEX(SchedZone,$C574,MAP!$B$12))</f>
        <v/>
      </c>
      <c r="K574" s="2" t="str">
        <f t="array" ref="K574">IF($J574="","",IF(COUNTIF(Teams,$J574)&gt;0,$J574,IFERROR(INDEX(LISTS!$D$2:$D$12,MATCH($J574,LISTS!$C$2:$C$12,0)),"⚠ "&amp;$J574)))</f>
        <v/>
      </c>
      <c r="L574" s="2" t="str">
        <f t="array" ref="L574">IF($C574="","",IF(INDEX(SchedZone,$C574,MAP!$B$14)="Neutral","N",IF($B574="HOME","H","A")))</f>
        <v/>
      </c>
      <c r="M574" s="2" t="str">
        <f t="array" ref="M574">IF($C574="","",IF(INDEX(SchedZone,$C574,MAP!$B$11)="","",INDEX(SchedZone,$C574,MAP!$B$11)))</f>
        <v/>
      </c>
      <c r="N574" s="2" t="str">
        <f t="array" ref="N574">IF($C574="","",IF(INDEX(SchedZone,$C574,MAP!$B$13)="","",INDEX(SchedZone,$C574,MAP!$B$13)))</f>
        <v/>
      </c>
      <c r="O574" s="2" t="str">
        <f t="array" ref="O574">IF($C574="","",INDEX(SchedZone,$C574,MAP!$B$15))</f>
        <v/>
      </c>
      <c r="P574" s="2" t="str">
        <f>IF($C574="","",IFERROR(MATCH($E574&amp;"|"&amp;$G574&amp;"|"&amp;$I574,StatsKey,0),""))</f>
        <v/>
      </c>
      <c r="Q574" s="2">
        <f t="array" ref="Q574">IF($P574="",0,INDEX(StatsZone,$P574,MAP!$E$9)+INDEX(StatsZone,$P574,MAP!$E$10)+INDEX(StatsZone,$P574,MAP!$E$11))</f>
        <v>0</v>
      </c>
      <c r="R574" s="2">
        <f t="array" ref="R574">IF($P574="",0,INDEX(StatsZone,$P574,MAP!$E$12))</f>
        <v>0</v>
      </c>
      <c r="S574" s="2">
        <f t="array" ref="S574">IF($P574="",0,INDEX(StatsZone,$P574,MAP!$E$13))</f>
        <v>0</v>
      </c>
      <c r="T574" s="2">
        <f t="shared" si="1"/>
        <v>0</v>
      </c>
      <c r="U574" s="2">
        <f t="array" ref="U574">IF($P574="",0,INDEX(StatsZone,$P574,MAP!$E$14)+INDEX(StatsZone,$P574,MAP!$E$15)+INDEX(StatsZone,$P574,MAP!$E$16))</f>
        <v>0</v>
      </c>
      <c r="V574" s="2">
        <f t="shared" si="2"/>
        <v>0</v>
      </c>
      <c r="W574" s="2">
        <f t="shared" si="3"/>
        <v>0</v>
      </c>
      <c r="X574" s="2">
        <f t="shared" si="4"/>
        <v>0</v>
      </c>
      <c r="Y574" s="2">
        <f t="shared" si="5"/>
        <v>0</v>
      </c>
      <c r="Z574" s="2">
        <f t="shared" si="6"/>
        <v>0</v>
      </c>
      <c r="AA574" s="2">
        <f t="shared" si="7"/>
        <v>0</v>
      </c>
      <c r="AB574" s="2">
        <f>IF(OR($M574="",$N574=""),0,MEDIAN(-MarginCap,MarginCap,($M574-$N574)-$AA574*HFA_Base))</f>
        <v>0</v>
      </c>
      <c r="AC574" s="2">
        <f t="array" ref="AC574">IF(OR($P574="",INDEX($P$3:$P$722,(ROW()+IF(MOD(ROW()-3,2)=0,1,-1))-3+1)=""),0,MEDIAN(-MarginCap,MarginCap,($T574-$W574)-$AA574*HFA_Base))</f>
        <v>0</v>
      </c>
      <c r="AD574" s="2">
        <f t="shared" si="8"/>
        <v>0</v>
      </c>
      <c r="AE574" s="2">
        <f>IF(OR($M574="",$N574=""),0,IF(AND(WEpa&gt;0,$AD574=1),(1-WEpa)*$AB574+WEpa*$AC574,$AB574))</f>
        <v>0</v>
      </c>
      <c r="AF574" s="2">
        <f>IF(AND($C574&lt;&gt;"",$E574=CurrentSeason,$F574="REG",ISNUMBER($G574),$G574&lt;CurrentWeek,AND($M574&lt;&gt;"",$N574&lt;&gt;"")),1,0)</f>
        <v>0</v>
      </c>
      <c r="AG574" s="2">
        <f>IF($AF574=0,0,IF($G574&gt;=CurrentWeek-RecencyWin,RecencyMult,1))</f>
        <v>0</v>
      </c>
      <c r="AH574" s="2">
        <f>IF(AND($C574&lt;&gt;"",$E574=CurrentSeason,$F574="REG",ISNUMBER($G574),$G574&lt;CurrentWeek-1,AND($M574&lt;&gt;"",$N574&lt;&gt;"")),1,0)</f>
        <v>0</v>
      </c>
      <c r="AI574" s="2">
        <f>IF($AH574=0,0,IF($G574&gt;=CurrentWeek-1-RecencyWin,RecencyMult,1))</f>
        <v>0</v>
      </c>
      <c r="AJ574" s="2">
        <f>IF($AF574=0,0,IF($G574&gt;=CurrentWeek-RecencyWin,TotRecency,1))</f>
        <v>0</v>
      </c>
      <c r="AK574" s="2">
        <f t="shared" si="9"/>
        <v>0</v>
      </c>
      <c r="AL574" s="2">
        <f t="shared" si="10"/>
        <v>0</v>
      </c>
      <c r="AM574" s="2">
        <f t="array" ref="AM574">IF($K574="",0,IFERROR(INDEX(CALC!$F$2:$F$33,MATCH($K574,CALC!$A$2:$A$33,0)),0))</f>
        <v>0</v>
      </c>
      <c r="AN574" s="2">
        <f t="array" ref="AN574">IF($K574="",0,IFERROR(INDEX(CALC!$I$2:$I$33,MATCH($K574,CALC!$A$2:$A$33,0)),0))</f>
        <v>0</v>
      </c>
      <c r="AO574" s="2">
        <f t="array" ref="AO574">IF($K574="",0,IFERROR(INDEX(CALC!$L$2:$L$33,MATCH($K574,CALC!$A$2:$A$33,0)),0))</f>
        <v>0</v>
      </c>
      <c r="AP574" s="2">
        <f t="array" ref="AP574">IF($K574="",0,IFERROR(INDEX(CALC!$T$2:$T$33,MATCH($K574,CALC!$A$2:$A$33,0)),0))</f>
        <v>0</v>
      </c>
      <c r="AQ574" s="2">
        <f t="array" ref="AQ574">IF($K574="",0,IFERROR(INDEX(CALC!$W$2:$W$33,MATCH($K574,CALC!$A$2:$A$33,0)),0))</f>
        <v>0</v>
      </c>
      <c r="AR574" s="2">
        <f t="array" ref="AR574">IF($K574="",0,IFERROR(INDEX(CALC!$Z$2:$Z$33,MATCH($K574,CALC!$A$2:$A$33,0)),0))</f>
        <v>0</v>
      </c>
      <c r="AS574" s="2">
        <f t="array" ref="AS574">IF($K574="",0,IFERROR(INDEX(CALC!$AJ$2:$AJ$33,MATCH($K574,CALC!$A$2:$A$33,0)),0))</f>
        <v>0</v>
      </c>
      <c r="AT574" s="2">
        <f t="array" ref="AT574">IF($K574="",0,IFERROR(INDEX(CALC!$AI$2:$AI$33,MATCH($K574,CALC!$A$2:$A$33,0)),0))</f>
        <v>0</v>
      </c>
      <c r="AU574" s="2">
        <f t="shared" si="11"/>
        <v>0</v>
      </c>
      <c r="AV574" s="2">
        <f t="shared" si="12"/>
        <v>0</v>
      </c>
    </row>
    <row r="575" ht="15.0" customHeight="1">
      <c r="A575" s="2">
        <v>287.0</v>
      </c>
      <c r="B575" s="2" t="s">
        <v>2365</v>
      </c>
      <c r="C575" s="2" t="str">
        <f>IFERROR(MATCH($A575,SchedSeq,0),"")</f>
        <v/>
      </c>
      <c r="D575" s="2" t="str">
        <f t="array" ref="D575">IF($C575="","",INDEX(SchedZone,$C575,MAP!$B$6))</f>
        <v/>
      </c>
      <c r="E575" s="2" t="str">
        <f t="array" ref="E575">IF($C575="","",INDEX(SchedZone,$C575,MAP!$B$3))</f>
        <v/>
      </c>
      <c r="F575" s="2" t="str">
        <f t="array" ref="F575">IF($C575="","",INDEX(SchedZone,$C575,MAP!$B$5))</f>
        <v/>
      </c>
      <c r="G575" s="2" t="str">
        <f t="array" ref="G575">IF($C575="","",INDEX(SchedZone,$C575,MAP!$B$4))</f>
        <v/>
      </c>
      <c r="H575" s="2" t="str">
        <f t="array" ref="H575">IF($C575="","",INDEX(SchedZone,$C575,MAP!$B$12))</f>
        <v/>
      </c>
      <c r="I575" s="2" t="str">
        <f t="array" ref="I575">IF($H575="","",IF(COUNTIF(Teams,$H575)&gt;0,$H575,IFERROR(INDEX(LISTS!$D$2:$D$12,MATCH($H575,LISTS!$C$2:$C$12,0)),"⚠ "&amp;$H575)))</f>
        <v/>
      </c>
      <c r="J575" s="2" t="str">
        <f t="array" ref="J575">IF($C575="","",INDEX(SchedZone,$C575,MAP!$B$10))</f>
        <v/>
      </c>
      <c r="K575" s="2" t="str">
        <f t="array" ref="K575">IF($J575="","",IF(COUNTIF(Teams,$J575)&gt;0,$J575,IFERROR(INDEX(LISTS!$D$2:$D$12,MATCH($J575,LISTS!$C$2:$C$12,0)),"⚠ "&amp;$J575)))</f>
        <v/>
      </c>
      <c r="L575" s="2" t="str">
        <f t="array" ref="L575">IF($C575="","",IF(INDEX(SchedZone,$C575,MAP!$B$14)="Neutral","N",IF($B575="HOME","H","A")))</f>
        <v/>
      </c>
      <c r="M575" s="2" t="str">
        <f t="array" ref="M575">IF($C575="","",IF(INDEX(SchedZone,$C575,MAP!$B$13)="","",INDEX(SchedZone,$C575,MAP!$B$13)))</f>
        <v/>
      </c>
      <c r="N575" s="2" t="str">
        <f t="array" ref="N575">IF($C575="","",IF(INDEX(SchedZone,$C575,MAP!$B$11)="","",INDEX(SchedZone,$C575,MAP!$B$11)))</f>
        <v/>
      </c>
      <c r="O575" s="2" t="str">
        <f t="array" ref="O575">IF($C575="","",INDEX(SchedZone,$C575,MAP!$B$16))</f>
        <v/>
      </c>
      <c r="P575" s="2" t="str">
        <f>IF($C575="","",IFERROR(MATCH($E575&amp;"|"&amp;$G575&amp;"|"&amp;$I575,StatsKey,0),""))</f>
        <v/>
      </c>
      <c r="Q575" s="2">
        <f t="array" ref="Q575">IF($P575="",0,INDEX(StatsZone,$P575,MAP!$E$9)+INDEX(StatsZone,$P575,MAP!$E$10)+INDEX(StatsZone,$P575,MAP!$E$11))</f>
        <v>0</v>
      </c>
      <c r="R575" s="2">
        <f t="array" ref="R575">IF($P575="",0,INDEX(StatsZone,$P575,MAP!$E$12))</f>
        <v>0</v>
      </c>
      <c r="S575" s="2">
        <f t="array" ref="S575">IF($P575="",0,INDEX(StatsZone,$P575,MAP!$E$13))</f>
        <v>0</v>
      </c>
      <c r="T575" s="2">
        <f t="shared" si="1"/>
        <v>0</v>
      </c>
      <c r="U575" s="2">
        <f t="array" ref="U575">IF($P575="",0,INDEX(StatsZone,$P575,MAP!$E$14)+INDEX(StatsZone,$P575,MAP!$E$15)+INDEX(StatsZone,$P575,MAP!$E$16))</f>
        <v>0</v>
      </c>
      <c r="V575" s="2">
        <f t="shared" si="2"/>
        <v>0</v>
      </c>
      <c r="W575" s="2">
        <f t="shared" si="3"/>
        <v>0</v>
      </c>
      <c r="X575" s="2">
        <f t="shared" si="4"/>
        <v>0</v>
      </c>
      <c r="Y575" s="2">
        <f t="shared" si="5"/>
        <v>0</v>
      </c>
      <c r="Z575" s="2">
        <f t="shared" si="6"/>
        <v>0</v>
      </c>
      <c r="AA575" s="2">
        <f t="shared" si="7"/>
        <v>0</v>
      </c>
      <c r="AB575" s="2">
        <f>IF(OR($M575="",$N575=""),0,MEDIAN(-MarginCap,MarginCap,($M575-$N575)-$AA575*HFA_Base))</f>
        <v>0</v>
      </c>
      <c r="AC575" s="2">
        <f t="array" ref="AC575">IF(OR($P575="",INDEX($P$3:$P$722,(ROW()+IF(MOD(ROW()-3,2)=0,1,-1))-3+1)=""),0,MEDIAN(-MarginCap,MarginCap,($T575-$W575)-$AA575*HFA_Base))</f>
        <v>0</v>
      </c>
      <c r="AD575" s="2">
        <f t="shared" si="8"/>
        <v>0</v>
      </c>
      <c r="AE575" s="2">
        <f>IF(OR($M575="",$N575=""),0,IF(AND(WEpa&gt;0,$AD575=1),(1-WEpa)*$AB575+WEpa*$AC575,$AB575))</f>
        <v>0</v>
      </c>
      <c r="AF575" s="2">
        <f>IF(AND($C575&lt;&gt;"",$E575=CurrentSeason,$F575="REG",ISNUMBER($G575),$G575&lt;CurrentWeek,AND($M575&lt;&gt;"",$N575&lt;&gt;"")),1,0)</f>
        <v>0</v>
      </c>
      <c r="AG575" s="2">
        <f>IF($AF575=0,0,IF($G575&gt;=CurrentWeek-RecencyWin,RecencyMult,1))</f>
        <v>0</v>
      </c>
      <c r="AH575" s="2">
        <f>IF(AND($C575&lt;&gt;"",$E575=CurrentSeason,$F575="REG",ISNUMBER($G575),$G575&lt;CurrentWeek-1,AND($M575&lt;&gt;"",$N575&lt;&gt;"")),1,0)</f>
        <v>0</v>
      </c>
      <c r="AI575" s="2">
        <f>IF($AH575=0,0,IF($G575&gt;=CurrentWeek-1-RecencyWin,RecencyMult,1))</f>
        <v>0</v>
      </c>
      <c r="AJ575" s="2">
        <f>IF($AF575=0,0,IF($G575&gt;=CurrentWeek-RecencyWin,TotRecency,1))</f>
        <v>0</v>
      </c>
      <c r="AK575" s="2">
        <f t="shared" si="9"/>
        <v>0</v>
      </c>
      <c r="AL575" s="2">
        <f t="shared" si="10"/>
        <v>0</v>
      </c>
      <c r="AM575" s="2">
        <f t="array" ref="AM575">IF($K575="",0,IFERROR(INDEX(CALC!$F$2:$F$33,MATCH($K575,CALC!$A$2:$A$33,0)),0))</f>
        <v>0</v>
      </c>
      <c r="AN575" s="2">
        <f t="array" ref="AN575">IF($K575="",0,IFERROR(INDEX(CALC!$I$2:$I$33,MATCH($K575,CALC!$A$2:$A$33,0)),0))</f>
        <v>0</v>
      </c>
      <c r="AO575" s="2">
        <f t="array" ref="AO575">IF($K575="",0,IFERROR(INDEX(CALC!$L$2:$L$33,MATCH($K575,CALC!$A$2:$A$33,0)),0))</f>
        <v>0</v>
      </c>
      <c r="AP575" s="2">
        <f t="array" ref="AP575">IF($K575="",0,IFERROR(INDEX(CALC!$T$2:$T$33,MATCH($K575,CALC!$A$2:$A$33,0)),0))</f>
        <v>0</v>
      </c>
      <c r="AQ575" s="2">
        <f t="array" ref="AQ575">IF($K575="",0,IFERROR(INDEX(CALC!$W$2:$W$33,MATCH($K575,CALC!$A$2:$A$33,0)),0))</f>
        <v>0</v>
      </c>
      <c r="AR575" s="2">
        <f t="array" ref="AR575">IF($K575="",0,IFERROR(INDEX(CALC!$Z$2:$Z$33,MATCH($K575,CALC!$A$2:$A$33,0)),0))</f>
        <v>0</v>
      </c>
      <c r="AS575" s="2">
        <f t="array" ref="AS575">IF($K575="",0,IFERROR(INDEX(CALC!$AJ$2:$AJ$33,MATCH($K575,CALC!$A$2:$A$33,0)),0))</f>
        <v>0</v>
      </c>
      <c r="AT575" s="2">
        <f t="array" ref="AT575">IF($K575="",0,IFERROR(INDEX(CALC!$AI$2:$AI$33,MATCH($K575,CALC!$A$2:$A$33,0)),0))</f>
        <v>0</v>
      </c>
      <c r="AU575" s="2">
        <f t="shared" si="11"/>
        <v>0</v>
      </c>
      <c r="AV575" s="2">
        <f t="shared" si="12"/>
        <v>0</v>
      </c>
    </row>
    <row r="576" ht="15.0" customHeight="1">
      <c r="A576" s="2">
        <v>287.0</v>
      </c>
      <c r="B576" s="2" t="s">
        <v>2366</v>
      </c>
      <c r="C576" s="2" t="str">
        <f>IFERROR(MATCH($A576,SchedSeq,0),"")</f>
        <v/>
      </c>
      <c r="D576" s="2" t="str">
        <f t="array" ref="D576">IF($C576="","",INDEX(SchedZone,$C576,MAP!$B$6))</f>
        <v/>
      </c>
      <c r="E576" s="2" t="str">
        <f t="array" ref="E576">IF($C576="","",INDEX(SchedZone,$C576,MAP!$B$3))</f>
        <v/>
      </c>
      <c r="F576" s="2" t="str">
        <f t="array" ref="F576">IF($C576="","",INDEX(SchedZone,$C576,MAP!$B$5))</f>
        <v/>
      </c>
      <c r="G576" s="2" t="str">
        <f t="array" ref="G576">IF($C576="","",INDEX(SchedZone,$C576,MAP!$B$4))</f>
        <v/>
      </c>
      <c r="H576" s="2" t="str">
        <f t="array" ref="H576">IF($C576="","",INDEX(SchedZone,$C576,MAP!$B$10))</f>
        <v/>
      </c>
      <c r="I576" s="2" t="str">
        <f t="array" ref="I576">IF($H576="","",IF(COUNTIF(Teams,$H576)&gt;0,$H576,IFERROR(INDEX(LISTS!$D$2:$D$12,MATCH($H576,LISTS!$C$2:$C$12,0)),"⚠ "&amp;$H576)))</f>
        <v/>
      </c>
      <c r="J576" s="2" t="str">
        <f t="array" ref="J576">IF($C576="","",INDEX(SchedZone,$C576,MAP!$B$12))</f>
        <v/>
      </c>
      <c r="K576" s="2" t="str">
        <f t="array" ref="K576">IF($J576="","",IF(COUNTIF(Teams,$J576)&gt;0,$J576,IFERROR(INDEX(LISTS!$D$2:$D$12,MATCH($J576,LISTS!$C$2:$C$12,0)),"⚠ "&amp;$J576)))</f>
        <v/>
      </c>
      <c r="L576" s="2" t="str">
        <f t="array" ref="L576">IF($C576="","",IF(INDEX(SchedZone,$C576,MAP!$B$14)="Neutral","N",IF($B576="HOME","H","A")))</f>
        <v/>
      </c>
      <c r="M576" s="2" t="str">
        <f t="array" ref="M576">IF($C576="","",IF(INDEX(SchedZone,$C576,MAP!$B$11)="","",INDEX(SchedZone,$C576,MAP!$B$11)))</f>
        <v/>
      </c>
      <c r="N576" s="2" t="str">
        <f t="array" ref="N576">IF($C576="","",IF(INDEX(SchedZone,$C576,MAP!$B$13)="","",INDEX(SchedZone,$C576,MAP!$B$13)))</f>
        <v/>
      </c>
      <c r="O576" s="2" t="str">
        <f t="array" ref="O576">IF($C576="","",INDEX(SchedZone,$C576,MAP!$B$15))</f>
        <v/>
      </c>
      <c r="P576" s="2" t="str">
        <f>IF($C576="","",IFERROR(MATCH($E576&amp;"|"&amp;$G576&amp;"|"&amp;$I576,StatsKey,0),""))</f>
        <v/>
      </c>
      <c r="Q576" s="2">
        <f t="array" ref="Q576">IF($P576="",0,INDEX(StatsZone,$P576,MAP!$E$9)+INDEX(StatsZone,$P576,MAP!$E$10)+INDEX(StatsZone,$P576,MAP!$E$11))</f>
        <v>0</v>
      </c>
      <c r="R576" s="2">
        <f t="array" ref="R576">IF($P576="",0,INDEX(StatsZone,$P576,MAP!$E$12))</f>
        <v>0</v>
      </c>
      <c r="S576" s="2">
        <f t="array" ref="S576">IF($P576="",0,INDEX(StatsZone,$P576,MAP!$E$13))</f>
        <v>0</v>
      </c>
      <c r="T576" s="2">
        <f t="shared" si="1"/>
        <v>0</v>
      </c>
      <c r="U576" s="2">
        <f t="array" ref="U576">IF($P576="",0,INDEX(StatsZone,$P576,MAP!$E$14)+INDEX(StatsZone,$P576,MAP!$E$15)+INDEX(StatsZone,$P576,MAP!$E$16))</f>
        <v>0</v>
      </c>
      <c r="V576" s="2">
        <f t="shared" si="2"/>
        <v>0</v>
      </c>
      <c r="W576" s="2">
        <f t="shared" si="3"/>
        <v>0</v>
      </c>
      <c r="X576" s="2">
        <f t="shared" si="4"/>
        <v>0</v>
      </c>
      <c r="Y576" s="2">
        <f t="shared" si="5"/>
        <v>0</v>
      </c>
      <c r="Z576" s="2">
        <f t="shared" si="6"/>
        <v>0</v>
      </c>
      <c r="AA576" s="2">
        <f t="shared" si="7"/>
        <v>0</v>
      </c>
      <c r="AB576" s="2">
        <f>IF(OR($M576="",$N576=""),0,MEDIAN(-MarginCap,MarginCap,($M576-$N576)-$AA576*HFA_Base))</f>
        <v>0</v>
      </c>
      <c r="AC576" s="2">
        <f t="array" ref="AC576">IF(OR($P576="",INDEX($P$3:$P$722,(ROW()+IF(MOD(ROW()-3,2)=0,1,-1))-3+1)=""),0,MEDIAN(-MarginCap,MarginCap,($T576-$W576)-$AA576*HFA_Base))</f>
        <v>0</v>
      </c>
      <c r="AD576" s="2">
        <f t="shared" si="8"/>
        <v>0</v>
      </c>
      <c r="AE576" s="2">
        <f>IF(OR($M576="",$N576=""),0,IF(AND(WEpa&gt;0,$AD576=1),(1-WEpa)*$AB576+WEpa*$AC576,$AB576))</f>
        <v>0</v>
      </c>
      <c r="AF576" s="2">
        <f>IF(AND($C576&lt;&gt;"",$E576=CurrentSeason,$F576="REG",ISNUMBER($G576),$G576&lt;CurrentWeek,AND($M576&lt;&gt;"",$N576&lt;&gt;"")),1,0)</f>
        <v>0</v>
      </c>
      <c r="AG576" s="2">
        <f>IF($AF576=0,0,IF($G576&gt;=CurrentWeek-RecencyWin,RecencyMult,1))</f>
        <v>0</v>
      </c>
      <c r="AH576" s="2">
        <f>IF(AND($C576&lt;&gt;"",$E576=CurrentSeason,$F576="REG",ISNUMBER($G576),$G576&lt;CurrentWeek-1,AND($M576&lt;&gt;"",$N576&lt;&gt;"")),1,0)</f>
        <v>0</v>
      </c>
      <c r="AI576" s="2">
        <f>IF($AH576=0,0,IF($G576&gt;=CurrentWeek-1-RecencyWin,RecencyMult,1))</f>
        <v>0</v>
      </c>
      <c r="AJ576" s="2">
        <f>IF($AF576=0,0,IF($G576&gt;=CurrentWeek-RecencyWin,TotRecency,1))</f>
        <v>0</v>
      </c>
      <c r="AK576" s="2">
        <f t="shared" si="9"/>
        <v>0</v>
      </c>
      <c r="AL576" s="2">
        <f t="shared" si="10"/>
        <v>0</v>
      </c>
      <c r="AM576" s="2">
        <f t="array" ref="AM576">IF($K576="",0,IFERROR(INDEX(CALC!$F$2:$F$33,MATCH($K576,CALC!$A$2:$A$33,0)),0))</f>
        <v>0</v>
      </c>
      <c r="AN576" s="2">
        <f t="array" ref="AN576">IF($K576="",0,IFERROR(INDEX(CALC!$I$2:$I$33,MATCH($K576,CALC!$A$2:$A$33,0)),0))</f>
        <v>0</v>
      </c>
      <c r="AO576" s="2">
        <f t="array" ref="AO576">IF($K576="",0,IFERROR(INDEX(CALC!$L$2:$L$33,MATCH($K576,CALC!$A$2:$A$33,0)),0))</f>
        <v>0</v>
      </c>
      <c r="AP576" s="2">
        <f t="array" ref="AP576">IF($K576="",0,IFERROR(INDEX(CALC!$T$2:$T$33,MATCH($K576,CALC!$A$2:$A$33,0)),0))</f>
        <v>0</v>
      </c>
      <c r="AQ576" s="2">
        <f t="array" ref="AQ576">IF($K576="",0,IFERROR(INDEX(CALC!$W$2:$W$33,MATCH($K576,CALC!$A$2:$A$33,0)),0))</f>
        <v>0</v>
      </c>
      <c r="AR576" s="2">
        <f t="array" ref="AR576">IF($K576="",0,IFERROR(INDEX(CALC!$Z$2:$Z$33,MATCH($K576,CALC!$A$2:$A$33,0)),0))</f>
        <v>0</v>
      </c>
      <c r="AS576" s="2">
        <f t="array" ref="AS576">IF($K576="",0,IFERROR(INDEX(CALC!$AJ$2:$AJ$33,MATCH($K576,CALC!$A$2:$A$33,0)),0))</f>
        <v>0</v>
      </c>
      <c r="AT576" s="2">
        <f t="array" ref="AT576">IF($K576="",0,IFERROR(INDEX(CALC!$AI$2:$AI$33,MATCH($K576,CALC!$A$2:$A$33,0)),0))</f>
        <v>0</v>
      </c>
      <c r="AU576" s="2">
        <f t="shared" si="11"/>
        <v>0</v>
      </c>
      <c r="AV576" s="2">
        <f t="shared" si="12"/>
        <v>0</v>
      </c>
    </row>
    <row r="577" ht="15.0" customHeight="1">
      <c r="A577" s="2">
        <v>288.0</v>
      </c>
      <c r="B577" s="2" t="s">
        <v>2365</v>
      </c>
      <c r="C577" s="2" t="str">
        <f>IFERROR(MATCH($A577,SchedSeq,0),"")</f>
        <v/>
      </c>
      <c r="D577" s="2" t="str">
        <f t="array" ref="D577">IF($C577="","",INDEX(SchedZone,$C577,MAP!$B$6))</f>
        <v/>
      </c>
      <c r="E577" s="2" t="str">
        <f t="array" ref="E577">IF($C577="","",INDEX(SchedZone,$C577,MAP!$B$3))</f>
        <v/>
      </c>
      <c r="F577" s="2" t="str">
        <f t="array" ref="F577">IF($C577="","",INDEX(SchedZone,$C577,MAP!$B$5))</f>
        <v/>
      </c>
      <c r="G577" s="2" t="str">
        <f t="array" ref="G577">IF($C577="","",INDEX(SchedZone,$C577,MAP!$B$4))</f>
        <v/>
      </c>
      <c r="H577" s="2" t="str">
        <f t="array" ref="H577">IF($C577="","",INDEX(SchedZone,$C577,MAP!$B$12))</f>
        <v/>
      </c>
      <c r="I577" s="2" t="str">
        <f t="array" ref="I577">IF($H577="","",IF(COUNTIF(Teams,$H577)&gt;0,$H577,IFERROR(INDEX(LISTS!$D$2:$D$12,MATCH($H577,LISTS!$C$2:$C$12,0)),"⚠ "&amp;$H577)))</f>
        <v/>
      </c>
      <c r="J577" s="2" t="str">
        <f t="array" ref="J577">IF($C577="","",INDEX(SchedZone,$C577,MAP!$B$10))</f>
        <v/>
      </c>
      <c r="K577" s="2" t="str">
        <f t="array" ref="K577">IF($J577="","",IF(COUNTIF(Teams,$J577)&gt;0,$J577,IFERROR(INDEX(LISTS!$D$2:$D$12,MATCH($J577,LISTS!$C$2:$C$12,0)),"⚠ "&amp;$J577)))</f>
        <v/>
      </c>
      <c r="L577" s="2" t="str">
        <f t="array" ref="L577">IF($C577="","",IF(INDEX(SchedZone,$C577,MAP!$B$14)="Neutral","N",IF($B577="HOME","H","A")))</f>
        <v/>
      </c>
      <c r="M577" s="2" t="str">
        <f t="array" ref="M577">IF($C577="","",IF(INDEX(SchedZone,$C577,MAP!$B$13)="","",INDEX(SchedZone,$C577,MAP!$B$13)))</f>
        <v/>
      </c>
      <c r="N577" s="2" t="str">
        <f t="array" ref="N577">IF($C577="","",IF(INDEX(SchedZone,$C577,MAP!$B$11)="","",INDEX(SchedZone,$C577,MAP!$B$11)))</f>
        <v/>
      </c>
      <c r="O577" s="2" t="str">
        <f t="array" ref="O577">IF($C577="","",INDEX(SchedZone,$C577,MAP!$B$16))</f>
        <v/>
      </c>
      <c r="P577" s="2" t="str">
        <f>IF($C577="","",IFERROR(MATCH($E577&amp;"|"&amp;$G577&amp;"|"&amp;$I577,StatsKey,0),""))</f>
        <v/>
      </c>
      <c r="Q577" s="2">
        <f t="array" ref="Q577">IF($P577="",0,INDEX(StatsZone,$P577,MAP!$E$9)+INDEX(StatsZone,$P577,MAP!$E$10)+INDEX(StatsZone,$P577,MAP!$E$11))</f>
        <v>0</v>
      </c>
      <c r="R577" s="2">
        <f t="array" ref="R577">IF($P577="",0,INDEX(StatsZone,$P577,MAP!$E$12))</f>
        <v>0</v>
      </c>
      <c r="S577" s="2">
        <f t="array" ref="S577">IF($P577="",0,INDEX(StatsZone,$P577,MAP!$E$13))</f>
        <v>0</v>
      </c>
      <c r="T577" s="2">
        <f t="shared" si="1"/>
        <v>0</v>
      </c>
      <c r="U577" s="2">
        <f t="array" ref="U577">IF($P577="",0,INDEX(StatsZone,$P577,MAP!$E$14)+INDEX(StatsZone,$P577,MAP!$E$15)+INDEX(StatsZone,$P577,MAP!$E$16))</f>
        <v>0</v>
      </c>
      <c r="V577" s="2">
        <f t="shared" si="2"/>
        <v>0</v>
      </c>
      <c r="W577" s="2">
        <f t="shared" si="3"/>
        <v>0</v>
      </c>
      <c r="X577" s="2">
        <f t="shared" si="4"/>
        <v>0</v>
      </c>
      <c r="Y577" s="2">
        <f t="shared" si="5"/>
        <v>0</v>
      </c>
      <c r="Z577" s="2">
        <f t="shared" si="6"/>
        <v>0</v>
      </c>
      <c r="AA577" s="2">
        <f t="shared" si="7"/>
        <v>0</v>
      </c>
      <c r="AB577" s="2">
        <f>IF(OR($M577="",$N577=""),0,MEDIAN(-MarginCap,MarginCap,($M577-$N577)-$AA577*HFA_Base))</f>
        <v>0</v>
      </c>
      <c r="AC577" s="2">
        <f t="array" ref="AC577">IF(OR($P577="",INDEX($P$3:$P$722,(ROW()+IF(MOD(ROW()-3,2)=0,1,-1))-3+1)=""),0,MEDIAN(-MarginCap,MarginCap,($T577-$W577)-$AA577*HFA_Base))</f>
        <v>0</v>
      </c>
      <c r="AD577" s="2">
        <f t="shared" si="8"/>
        <v>0</v>
      </c>
      <c r="AE577" s="2">
        <f>IF(OR($M577="",$N577=""),0,IF(AND(WEpa&gt;0,$AD577=1),(1-WEpa)*$AB577+WEpa*$AC577,$AB577))</f>
        <v>0</v>
      </c>
      <c r="AF577" s="2">
        <f>IF(AND($C577&lt;&gt;"",$E577=CurrentSeason,$F577="REG",ISNUMBER($G577),$G577&lt;CurrentWeek,AND($M577&lt;&gt;"",$N577&lt;&gt;"")),1,0)</f>
        <v>0</v>
      </c>
      <c r="AG577" s="2">
        <f>IF($AF577=0,0,IF($G577&gt;=CurrentWeek-RecencyWin,RecencyMult,1))</f>
        <v>0</v>
      </c>
      <c r="AH577" s="2">
        <f>IF(AND($C577&lt;&gt;"",$E577=CurrentSeason,$F577="REG",ISNUMBER($G577),$G577&lt;CurrentWeek-1,AND($M577&lt;&gt;"",$N577&lt;&gt;"")),1,0)</f>
        <v>0</v>
      </c>
      <c r="AI577" s="2">
        <f>IF($AH577=0,0,IF($G577&gt;=CurrentWeek-1-RecencyWin,RecencyMult,1))</f>
        <v>0</v>
      </c>
      <c r="AJ577" s="2">
        <f>IF($AF577=0,0,IF($G577&gt;=CurrentWeek-RecencyWin,TotRecency,1))</f>
        <v>0</v>
      </c>
      <c r="AK577" s="2">
        <f t="shared" si="9"/>
        <v>0</v>
      </c>
      <c r="AL577" s="2">
        <f t="shared" si="10"/>
        <v>0</v>
      </c>
      <c r="AM577" s="2">
        <f t="array" ref="AM577">IF($K577="",0,IFERROR(INDEX(CALC!$F$2:$F$33,MATCH($K577,CALC!$A$2:$A$33,0)),0))</f>
        <v>0</v>
      </c>
      <c r="AN577" s="2">
        <f t="array" ref="AN577">IF($K577="",0,IFERROR(INDEX(CALC!$I$2:$I$33,MATCH($K577,CALC!$A$2:$A$33,0)),0))</f>
        <v>0</v>
      </c>
      <c r="AO577" s="2">
        <f t="array" ref="AO577">IF($K577="",0,IFERROR(INDEX(CALC!$L$2:$L$33,MATCH($K577,CALC!$A$2:$A$33,0)),0))</f>
        <v>0</v>
      </c>
      <c r="AP577" s="2">
        <f t="array" ref="AP577">IF($K577="",0,IFERROR(INDEX(CALC!$T$2:$T$33,MATCH($K577,CALC!$A$2:$A$33,0)),0))</f>
        <v>0</v>
      </c>
      <c r="AQ577" s="2">
        <f t="array" ref="AQ577">IF($K577="",0,IFERROR(INDEX(CALC!$W$2:$W$33,MATCH($K577,CALC!$A$2:$A$33,0)),0))</f>
        <v>0</v>
      </c>
      <c r="AR577" s="2">
        <f t="array" ref="AR577">IF($K577="",0,IFERROR(INDEX(CALC!$Z$2:$Z$33,MATCH($K577,CALC!$A$2:$A$33,0)),0))</f>
        <v>0</v>
      </c>
      <c r="AS577" s="2">
        <f t="array" ref="AS577">IF($K577="",0,IFERROR(INDEX(CALC!$AJ$2:$AJ$33,MATCH($K577,CALC!$A$2:$A$33,0)),0))</f>
        <v>0</v>
      </c>
      <c r="AT577" s="2">
        <f t="array" ref="AT577">IF($K577="",0,IFERROR(INDEX(CALC!$AI$2:$AI$33,MATCH($K577,CALC!$A$2:$A$33,0)),0))</f>
        <v>0</v>
      </c>
      <c r="AU577" s="2">
        <f t="shared" si="11"/>
        <v>0</v>
      </c>
      <c r="AV577" s="2">
        <f t="shared" si="12"/>
        <v>0</v>
      </c>
    </row>
    <row r="578" ht="15.0" customHeight="1">
      <c r="A578" s="2">
        <v>288.0</v>
      </c>
      <c r="B578" s="2" t="s">
        <v>2366</v>
      </c>
      <c r="C578" s="2" t="str">
        <f>IFERROR(MATCH($A578,SchedSeq,0),"")</f>
        <v/>
      </c>
      <c r="D578" s="2" t="str">
        <f t="array" ref="D578">IF($C578="","",INDEX(SchedZone,$C578,MAP!$B$6))</f>
        <v/>
      </c>
      <c r="E578" s="2" t="str">
        <f t="array" ref="E578">IF($C578="","",INDEX(SchedZone,$C578,MAP!$B$3))</f>
        <v/>
      </c>
      <c r="F578" s="2" t="str">
        <f t="array" ref="F578">IF($C578="","",INDEX(SchedZone,$C578,MAP!$B$5))</f>
        <v/>
      </c>
      <c r="G578" s="2" t="str">
        <f t="array" ref="G578">IF($C578="","",INDEX(SchedZone,$C578,MAP!$B$4))</f>
        <v/>
      </c>
      <c r="H578" s="2" t="str">
        <f t="array" ref="H578">IF($C578="","",INDEX(SchedZone,$C578,MAP!$B$10))</f>
        <v/>
      </c>
      <c r="I578" s="2" t="str">
        <f t="array" ref="I578">IF($H578="","",IF(COUNTIF(Teams,$H578)&gt;0,$H578,IFERROR(INDEX(LISTS!$D$2:$D$12,MATCH($H578,LISTS!$C$2:$C$12,0)),"⚠ "&amp;$H578)))</f>
        <v/>
      </c>
      <c r="J578" s="2" t="str">
        <f t="array" ref="J578">IF($C578="","",INDEX(SchedZone,$C578,MAP!$B$12))</f>
        <v/>
      </c>
      <c r="K578" s="2" t="str">
        <f t="array" ref="K578">IF($J578="","",IF(COUNTIF(Teams,$J578)&gt;0,$J578,IFERROR(INDEX(LISTS!$D$2:$D$12,MATCH($J578,LISTS!$C$2:$C$12,0)),"⚠ "&amp;$J578)))</f>
        <v/>
      </c>
      <c r="L578" s="2" t="str">
        <f t="array" ref="L578">IF($C578="","",IF(INDEX(SchedZone,$C578,MAP!$B$14)="Neutral","N",IF($B578="HOME","H","A")))</f>
        <v/>
      </c>
      <c r="M578" s="2" t="str">
        <f t="array" ref="M578">IF($C578="","",IF(INDEX(SchedZone,$C578,MAP!$B$11)="","",INDEX(SchedZone,$C578,MAP!$B$11)))</f>
        <v/>
      </c>
      <c r="N578" s="2" t="str">
        <f t="array" ref="N578">IF($C578="","",IF(INDEX(SchedZone,$C578,MAP!$B$13)="","",INDEX(SchedZone,$C578,MAP!$B$13)))</f>
        <v/>
      </c>
      <c r="O578" s="2" t="str">
        <f t="array" ref="O578">IF($C578="","",INDEX(SchedZone,$C578,MAP!$B$15))</f>
        <v/>
      </c>
      <c r="P578" s="2" t="str">
        <f>IF($C578="","",IFERROR(MATCH($E578&amp;"|"&amp;$G578&amp;"|"&amp;$I578,StatsKey,0),""))</f>
        <v/>
      </c>
      <c r="Q578" s="2">
        <f t="array" ref="Q578">IF($P578="",0,INDEX(StatsZone,$P578,MAP!$E$9)+INDEX(StatsZone,$P578,MAP!$E$10)+INDEX(StatsZone,$P578,MAP!$E$11))</f>
        <v>0</v>
      </c>
      <c r="R578" s="2">
        <f t="array" ref="R578">IF($P578="",0,INDEX(StatsZone,$P578,MAP!$E$12))</f>
        <v>0</v>
      </c>
      <c r="S578" s="2">
        <f t="array" ref="S578">IF($P578="",0,INDEX(StatsZone,$P578,MAP!$E$13))</f>
        <v>0</v>
      </c>
      <c r="T578" s="2">
        <f t="shared" si="1"/>
        <v>0</v>
      </c>
      <c r="U578" s="2">
        <f t="array" ref="U578">IF($P578="",0,INDEX(StatsZone,$P578,MAP!$E$14)+INDEX(StatsZone,$P578,MAP!$E$15)+INDEX(StatsZone,$P578,MAP!$E$16))</f>
        <v>0</v>
      </c>
      <c r="V578" s="2">
        <f t="shared" si="2"/>
        <v>0</v>
      </c>
      <c r="W578" s="2">
        <f t="shared" si="3"/>
        <v>0</v>
      </c>
      <c r="X578" s="2">
        <f t="shared" si="4"/>
        <v>0</v>
      </c>
      <c r="Y578" s="2">
        <f t="shared" si="5"/>
        <v>0</v>
      </c>
      <c r="Z578" s="2">
        <f t="shared" si="6"/>
        <v>0</v>
      </c>
      <c r="AA578" s="2">
        <f t="shared" si="7"/>
        <v>0</v>
      </c>
      <c r="AB578" s="2">
        <f>IF(OR($M578="",$N578=""),0,MEDIAN(-MarginCap,MarginCap,($M578-$N578)-$AA578*HFA_Base))</f>
        <v>0</v>
      </c>
      <c r="AC578" s="2">
        <f t="array" ref="AC578">IF(OR($P578="",INDEX($P$3:$P$722,(ROW()+IF(MOD(ROW()-3,2)=0,1,-1))-3+1)=""),0,MEDIAN(-MarginCap,MarginCap,($T578-$W578)-$AA578*HFA_Base))</f>
        <v>0</v>
      </c>
      <c r="AD578" s="2">
        <f t="shared" si="8"/>
        <v>0</v>
      </c>
      <c r="AE578" s="2">
        <f>IF(OR($M578="",$N578=""),0,IF(AND(WEpa&gt;0,$AD578=1),(1-WEpa)*$AB578+WEpa*$AC578,$AB578))</f>
        <v>0</v>
      </c>
      <c r="AF578" s="2">
        <f>IF(AND($C578&lt;&gt;"",$E578=CurrentSeason,$F578="REG",ISNUMBER($G578),$G578&lt;CurrentWeek,AND($M578&lt;&gt;"",$N578&lt;&gt;"")),1,0)</f>
        <v>0</v>
      </c>
      <c r="AG578" s="2">
        <f>IF($AF578=0,0,IF($G578&gt;=CurrentWeek-RecencyWin,RecencyMult,1))</f>
        <v>0</v>
      </c>
      <c r="AH578" s="2">
        <f>IF(AND($C578&lt;&gt;"",$E578=CurrentSeason,$F578="REG",ISNUMBER($G578),$G578&lt;CurrentWeek-1,AND($M578&lt;&gt;"",$N578&lt;&gt;"")),1,0)</f>
        <v>0</v>
      </c>
      <c r="AI578" s="2">
        <f>IF($AH578=0,0,IF($G578&gt;=CurrentWeek-1-RecencyWin,RecencyMult,1))</f>
        <v>0</v>
      </c>
      <c r="AJ578" s="2">
        <f>IF($AF578=0,0,IF($G578&gt;=CurrentWeek-RecencyWin,TotRecency,1))</f>
        <v>0</v>
      </c>
      <c r="AK578" s="2">
        <f t="shared" si="9"/>
        <v>0</v>
      </c>
      <c r="AL578" s="2">
        <f t="shared" si="10"/>
        <v>0</v>
      </c>
      <c r="AM578" s="2">
        <f t="array" ref="AM578">IF($K578="",0,IFERROR(INDEX(CALC!$F$2:$F$33,MATCH($K578,CALC!$A$2:$A$33,0)),0))</f>
        <v>0</v>
      </c>
      <c r="AN578" s="2">
        <f t="array" ref="AN578">IF($K578="",0,IFERROR(INDEX(CALC!$I$2:$I$33,MATCH($K578,CALC!$A$2:$A$33,0)),0))</f>
        <v>0</v>
      </c>
      <c r="AO578" s="2">
        <f t="array" ref="AO578">IF($K578="",0,IFERROR(INDEX(CALC!$L$2:$L$33,MATCH($K578,CALC!$A$2:$A$33,0)),0))</f>
        <v>0</v>
      </c>
      <c r="AP578" s="2">
        <f t="array" ref="AP578">IF($K578="",0,IFERROR(INDEX(CALC!$T$2:$T$33,MATCH($K578,CALC!$A$2:$A$33,0)),0))</f>
        <v>0</v>
      </c>
      <c r="AQ578" s="2">
        <f t="array" ref="AQ578">IF($K578="",0,IFERROR(INDEX(CALC!$W$2:$W$33,MATCH($K578,CALC!$A$2:$A$33,0)),0))</f>
        <v>0</v>
      </c>
      <c r="AR578" s="2">
        <f t="array" ref="AR578">IF($K578="",0,IFERROR(INDEX(CALC!$Z$2:$Z$33,MATCH($K578,CALC!$A$2:$A$33,0)),0))</f>
        <v>0</v>
      </c>
      <c r="AS578" s="2">
        <f t="array" ref="AS578">IF($K578="",0,IFERROR(INDEX(CALC!$AJ$2:$AJ$33,MATCH($K578,CALC!$A$2:$A$33,0)),0))</f>
        <v>0</v>
      </c>
      <c r="AT578" s="2">
        <f t="array" ref="AT578">IF($K578="",0,IFERROR(INDEX(CALC!$AI$2:$AI$33,MATCH($K578,CALC!$A$2:$A$33,0)),0))</f>
        <v>0</v>
      </c>
      <c r="AU578" s="2">
        <f t="shared" si="11"/>
        <v>0</v>
      </c>
      <c r="AV578" s="2">
        <f t="shared" si="12"/>
        <v>0</v>
      </c>
    </row>
    <row r="579" ht="15.0" customHeight="1">
      <c r="A579" s="2">
        <v>289.0</v>
      </c>
      <c r="B579" s="2" t="s">
        <v>2365</v>
      </c>
      <c r="C579" s="2" t="str">
        <f>IFERROR(MATCH($A579,SchedSeq,0),"")</f>
        <v/>
      </c>
      <c r="D579" s="2" t="str">
        <f t="array" ref="D579">IF($C579="","",INDEX(SchedZone,$C579,MAP!$B$6))</f>
        <v/>
      </c>
      <c r="E579" s="2" t="str">
        <f t="array" ref="E579">IF($C579="","",INDEX(SchedZone,$C579,MAP!$B$3))</f>
        <v/>
      </c>
      <c r="F579" s="2" t="str">
        <f t="array" ref="F579">IF($C579="","",INDEX(SchedZone,$C579,MAP!$B$5))</f>
        <v/>
      </c>
      <c r="G579" s="2" t="str">
        <f t="array" ref="G579">IF($C579="","",INDEX(SchedZone,$C579,MAP!$B$4))</f>
        <v/>
      </c>
      <c r="H579" s="2" t="str">
        <f t="array" ref="H579">IF($C579="","",INDEX(SchedZone,$C579,MAP!$B$12))</f>
        <v/>
      </c>
      <c r="I579" s="2" t="str">
        <f t="array" ref="I579">IF($H579="","",IF(COUNTIF(Teams,$H579)&gt;0,$H579,IFERROR(INDEX(LISTS!$D$2:$D$12,MATCH($H579,LISTS!$C$2:$C$12,0)),"⚠ "&amp;$H579)))</f>
        <v/>
      </c>
      <c r="J579" s="2" t="str">
        <f t="array" ref="J579">IF($C579="","",INDEX(SchedZone,$C579,MAP!$B$10))</f>
        <v/>
      </c>
      <c r="K579" s="2" t="str">
        <f t="array" ref="K579">IF($J579="","",IF(COUNTIF(Teams,$J579)&gt;0,$J579,IFERROR(INDEX(LISTS!$D$2:$D$12,MATCH($J579,LISTS!$C$2:$C$12,0)),"⚠ "&amp;$J579)))</f>
        <v/>
      </c>
      <c r="L579" s="2" t="str">
        <f t="array" ref="L579">IF($C579="","",IF(INDEX(SchedZone,$C579,MAP!$B$14)="Neutral","N",IF($B579="HOME","H","A")))</f>
        <v/>
      </c>
      <c r="M579" s="2" t="str">
        <f t="array" ref="M579">IF($C579="","",IF(INDEX(SchedZone,$C579,MAP!$B$13)="","",INDEX(SchedZone,$C579,MAP!$B$13)))</f>
        <v/>
      </c>
      <c r="N579" s="2" t="str">
        <f t="array" ref="N579">IF($C579="","",IF(INDEX(SchedZone,$C579,MAP!$B$11)="","",INDEX(SchedZone,$C579,MAP!$B$11)))</f>
        <v/>
      </c>
      <c r="O579" s="2" t="str">
        <f t="array" ref="O579">IF($C579="","",INDEX(SchedZone,$C579,MAP!$B$16))</f>
        <v/>
      </c>
      <c r="P579" s="2" t="str">
        <f>IF($C579="","",IFERROR(MATCH($E579&amp;"|"&amp;$G579&amp;"|"&amp;$I579,StatsKey,0),""))</f>
        <v/>
      </c>
      <c r="Q579" s="2">
        <f t="array" ref="Q579">IF($P579="",0,INDEX(StatsZone,$P579,MAP!$E$9)+INDEX(StatsZone,$P579,MAP!$E$10)+INDEX(StatsZone,$P579,MAP!$E$11))</f>
        <v>0</v>
      </c>
      <c r="R579" s="2">
        <f t="array" ref="R579">IF($P579="",0,INDEX(StatsZone,$P579,MAP!$E$12))</f>
        <v>0</v>
      </c>
      <c r="S579" s="2">
        <f t="array" ref="S579">IF($P579="",0,INDEX(StatsZone,$P579,MAP!$E$13))</f>
        <v>0</v>
      </c>
      <c r="T579" s="2">
        <f t="shared" si="1"/>
        <v>0</v>
      </c>
      <c r="U579" s="2">
        <f t="array" ref="U579">IF($P579="",0,INDEX(StatsZone,$P579,MAP!$E$14)+INDEX(StatsZone,$P579,MAP!$E$15)+INDEX(StatsZone,$P579,MAP!$E$16))</f>
        <v>0</v>
      </c>
      <c r="V579" s="2">
        <f t="shared" si="2"/>
        <v>0</v>
      </c>
      <c r="W579" s="2">
        <f t="shared" si="3"/>
        <v>0</v>
      </c>
      <c r="X579" s="2">
        <f t="shared" si="4"/>
        <v>0</v>
      </c>
      <c r="Y579" s="2">
        <f t="shared" si="5"/>
        <v>0</v>
      </c>
      <c r="Z579" s="2">
        <f t="shared" si="6"/>
        <v>0</v>
      </c>
      <c r="AA579" s="2">
        <f t="shared" si="7"/>
        <v>0</v>
      </c>
      <c r="AB579" s="2">
        <f>IF(OR($M579="",$N579=""),0,MEDIAN(-MarginCap,MarginCap,($M579-$N579)-$AA579*HFA_Base))</f>
        <v>0</v>
      </c>
      <c r="AC579" s="2">
        <f t="array" ref="AC579">IF(OR($P579="",INDEX($P$3:$P$722,(ROW()+IF(MOD(ROW()-3,2)=0,1,-1))-3+1)=""),0,MEDIAN(-MarginCap,MarginCap,($T579-$W579)-$AA579*HFA_Base))</f>
        <v>0</v>
      </c>
      <c r="AD579" s="2">
        <f t="shared" si="8"/>
        <v>0</v>
      </c>
      <c r="AE579" s="2">
        <f>IF(OR($M579="",$N579=""),0,IF(AND(WEpa&gt;0,$AD579=1),(1-WEpa)*$AB579+WEpa*$AC579,$AB579))</f>
        <v>0</v>
      </c>
      <c r="AF579" s="2">
        <f>IF(AND($C579&lt;&gt;"",$E579=CurrentSeason,$F579="REG",ISNUMBER($G579),$G579&lt;CurrentWeek,AND($M579&lt;&gt;"",$N579&lt;&gt;"")),1,0)</f>
        <v>0</v>
      </c>
      <c r="AG579" s="2">
        <f>IF($AF579=0,0,IF($G579&gt;=CurrentWeek-RecencyWin,RecencyMult,1))</f>
        <v>0</v>
      </c>
      <c r="AH579" s="2">
        <f>IF(AND($C579&lt;&gt;"",$E579=CurrentSeason,$F579="REG",ISNUMBER($G579),$G579&lt;CurrentWeek-1,AND($M579&lt;&gt;"",$N579&lt;&gt;"")),1,0)</f>
        <v>0</v>
      </c>
      <c r="AI579" s="2">
        <f>IF($AH579=0,0,IF($G579&gt;=CurrentWeek-1-RecencyWin,RecencyMult,1))</f>
        <v>0</v>
      </c>
      <c r="AJ579" s="2">
        <f>IF($AF579=0,0,IF($G579&gt;=CurrentWeek-RecencyWin,TotRecency,1))</f>
        <v>0</v>
      </c>
      <c r="AK579" s="2">
        <f t="shared" si="9"/>
        <v>0</v>
      </c>
      <c r="AL579" s="2">
        <f t="shared" si="10"/>
        <v>0</v>
      </c>
      <c r="AM579" s="2">
        <f t="array" ref="AM579">IF($K579="",0,IFERROR(INDEX(CALC!$F$2:$F$33,MATCH($K579,CALC!$A$2:$A$33,0)),0))</f>
        <v>0</v>
      </c>
      <c r="AN579" s="2">
        <f t="array" ref="AN579">IF($K579="",0,IFERROR(INDEX(CALC!$I$2:$I$33,MATCH($K579,CALC!$A$2:$A$33,0)),0))</f>
        <v>0</v>
      </c>
      <c r="AO579" s="2">
        <f t="array" ref="AO579">IF($K579="",0,IFERROR(INDEX(CALC!$L$2:$L$33,MATCH($K579,CALC!$A$2:$A$33,0)),0))</f>
        <v>0</v>
      </c>
      <c r="AP579" s="2">
        <f t="array" ref="AP579">IF($K579="",0,IFERROR(INDEX(CALC!$T$2:$T$33,MATCH($K579,CALC!$A$2:$A$33,0)),0))</f>
        <v>0</v>
      </c>
      <c r="AQ579" s="2">
        <f t="array" ref="AQ579">IF($K579="",0,IFERROR(INDEX(CALC!$W$2:$W$33,MATCH($K579,CALC!$A$2:$A$33,0)),0))</f>
        <v>0</v>
      </c>
      <c r="AR579" s="2">
        <f t="array" ref="AR579">IF($K579="",0,IFERROR(INDEX(CALC!$Z$2:$Z$33,MATCH($K579,CALC!$A$2:$A$33,0)),0))</f>
        <v>0</v>
      </c>
      <c r="AS579" s="2">
        <f t="array" ref="AS579">IF($K579="",0,IFERROR(INDEX(CALC!$AJ$2:$AJ$33,MATCH($K579,CALC!$A$2:$A$33,0)),0))</f>
        <v>0</v>
      </c>
      <c r="AT579" s="2">
        <f t="array" ref="AT579">IF($K579="",0,IFERROR(INDEX(CALC!$AI$2:$AI$33,MATCH($K579,CALC!$A$2:$A$33,0)),0))</f>
        <v>0</v>
      </c>
      <c r="AU579" s="2">
        <f t="shared" si="11"/>
        <v>0</v>
      </c>
      <c r="AV579" s="2">
        <f t="shared" si="12"/>
        <v>0</v>
      </c>
    </row>
    <row r="580" ht="15.0" customHeight="1">
      <c r="A580" s="2">
        <v>289.0</v>
      </c>
      <c r="B580" s="2" t="s">
        <v>2366</v>
      </c>
      <c r="C580" s="2" t="str">
        <f>IFERROR(MATCH($A580,SchedSeq,0),"")</f>
        <v/>
      </c>
      <c r="D580" s="2" t="str">
        <f t="array" ref="D580">IF($C580="","",INDEX(SchedZone,$C580,MAP!$B$6))</f>
        <v/>
      </c>
      <c r="E580" s="2" t="str">
        <f t="array" ref="E580">IF($C580="","",INDEX(SchedZone,$C580,MAP!$B$3))</f>
        <v/>
      </c>
      <c r="F580" s="2" t="str">
        <f t="array" ref="F580">IF($C580="","",INDEX(SchedZone,$C580,MAP!$B$5))</f>
        <v/>
      </c>
      <c r="G580" s="2" t="str">
        <f t="array" ref="G580">IF($C580="","",INDEX(SchedZone,$C580,MAP!$B$4))</f>
        <v/>
      </c>
      <c r="H580" s="2" t="str">
        <f t="array" ref="H580">IF($C580="","",INDEX(SchedZone,$C580,MAP!$B$10))</f>
        <v/>
      </c>
      <c r="I580" s="2" t="str">
        <f t="array" ref="I580">IF($H580="","",IF(COUNTIF(Teams,$H580)&gt;0,$H580,IFERROR(INDEX(LISTS!$D$2:$D$12,MATCH($H580,LISTS!$C$2:$C$12,0)),"⚠ "&amp;$H580)))</f>
        <v/>
      </c>
      <c r="J580" s="2" t="str">
        <f t="array" ref="J580">IF($C580="","",INDEX(SchedZone,$C580,MAP!$B$12))</f>
        <v/>
      </c>
      <c r="K580" s="2" t="str">
        <f t="array" ref="K580">IF($J580="","",IF(COUNTIF(Teams,$J580)&gt;0,$J580,IFERROR(INDEX(LISTS!$D$2:$D$12,MATCH($J580,LISTS!$C$2:$C$12,0)),"⚠ "&amp;$J580)))</f>
        <v/>
      </c>
      <c r="L580" s="2" t="str">
        <f t="array" ref="L580">IF($C580="","",IF(INDEX(SchedZone,$C580,MAP!$B$14)="Neutral","N",IF($B580="HOME","H","A")))</f>
        <v/>
      </c>
      <c r="M580" s="2" t="str">
        <f t="array" ref="M580">IF($C580="","",IF(INDEX(SchedZone,$C580,MAP!$B$11)="","",INDEX(SchedZone,$C580,MAP!$B$11)))</f>
        <v/>
      </c>
      <c r="N580" s="2" t="str">
        <f t="array" ref="N580">IF($C580="","",IF(INDEX(SchedZone,$C580,MAP!$B$13)="","",INDEX(SchedZone,$C580,MAP!$B$13)))</f>
        <v/>
      </c>
      <c r="O580" s="2" t="str">
        <f t="array" ref="O580">IF($C580="","",INDEX(SchedZone,$C580,MAP!$B$15))</f>
        <v/>
      </c>
      <c r="P580" s="2" t="str">
        <f>IF($C580="","",IFERROR(MATCH($E580&amp;"|"&amp;$G580&amp;"|"&amp;$I580,StatsKey,0),""))</f>
        <v/>
      </c>
      <c r="Q580" s="2">
        <f t="array" ref="Q580">IF($P580="",0,INDEX(StatsZone,$P580,MAP!$E$9)+INDEX(StatsZone,$P580,MAP!$E$10)+INDEX(StatsZone,$P580,MAP!$E$11))</f>
        <v>0</v>
      </c>
      <c r="R580" s="2">
        <f t="array" ref="R580">IF($P580="",0,INDEX(StatsZone,$P580,MAP!$E$12))</f>
        <v>0</v>
      </c>
      <c r="S580" s="2">
        <f t="array" ref="S580">IF($P580="",0,INDEX(StatsZone,$P580,MAP!$E$13))</f>
        <v>0</v>
      </c>
      <c r="T580" s="2">
        <f t="shared" si="1"/>
        <v>0</v>
      </c>
      <c r="U580" s="2">
        <f t="array" ref="U580">IF($P580="",0,INDEX(StatsZone,$P580,MAP!$E$14)+INDEX(StatsZone,$P580,MAP!$E$15)+INDEX(StatsZone,$P580,MAP!$E$16))</f>
        <v>0</v>
      </c>
      <c r="V580" s="2">
        <f t="shared" si="2"/>
        <v>0</v>
      </c>
      <c r="W580" s="2">
        <f t="shared" si="3"/>
        <v>0</v>
      </c>
      <c r="X580" s="2">
        <f t="shared" si="4"/>
        <v>0</v>
      </c>
      <c r="Y580" s="2">
        <f t="shared" si="5"/>
        <v>0</v>
      </c>
      <c r="Z580" s="2">
        <f t="shared" si="6"/>
        <v>0</v>
      </c>
      <c r="AA580" s="2">
        <f t="shared" si="7"/>
        <v>0</v>
      </c>
      <c r="AB580" s="2">
        <f>IF(OR($M580="",$N580=""),0,MEDIAN(-MarginCap,MarginCap,($M580-$N580)-$AA580*HFA_Base))</f>
        <v>0</v>
      </c>
      <c r="AC580" s="2">
        <f t="array" ref="AC580">IF(OR($P580="",INDEX($P$3:$P$722,(ROW()+IF(MOD(ROW()-3,2)=0,1,-1))-3+1)=""),0,MEDIAN(-MarginCap,MarginCap,($T580-$W580)-$AA580*HFA_Base))</f>
        <v>0</v>
      </c>
      <c r="AD580" s="2">
        <f t="shared" si="8"/>
        <v>0</v>
      </c>
      <c r="AE580" s="2">
        <f>IF(OR($M580="",$N580=""),0,IF(AND(WEpa&gt;0,$AD580=1),(1-WEpa)*$AB580+WEpa*$AC580,$AB580))</f>
        <v>0</v>
      </c>
      <c r="AF580" s="2">
        <f>IF(AND($C580&lt;&gt;"",$E580=CurrentSeason,$F580="REG",ISNUMBER($G580),$G580&lt;CurrentWeek,AND($M580&lt;&gt;"",$N580&lt;&gt;"")),1,0)</f>
        <v>0</v>
      </c>
      <c r="AG580" s="2">
        <f>IF($AF580=0,0,IF($G580&gt;=CurrentWeek-RecencyWin,RecencyMult,1))</f>
        <v>0</v>
      </c>
      <c r="AH580" s="2">
        <f>IF(AND($C580&lt;&gt;"",$E580=CurrentSeason,$F580="REG",ISNUMBER($G580),$G580&lt;CurrentWeek-1,AND($M580&lt;&gt;"",$N580&lt;&gt;"")),1,0)</f>
        <v>0</v>
      </c>
      <c r="AI580" s="2">
        <f>IF($AH580=0,0,IF($G580&gt;=CurrentWeek-1-RecencyWin,RecencyMult,1))</f>
        <v>0</v>
      </c>
      <c r="AJ580" s="2">
        <f>IF($AF580=0,0,IF($G580&gt;=CurrentWeek-RecencyWin,TotRecency,1))</f>
        <v>0</v>
      </c>
      <c r="AK580" s="2">
        <f t="shared" si="9"/>
        <v>0</v>
      </c>
      <c r="AL580" s="2">
        <f t="shared" si="10"/>
        <v>0</v>
      </c>
      <c r="AM580" s="2">
        <f t="array" ref="AM580">IF($K580="",0,IFERROR(INDEX(CALC!$F$2:$F$33,MATCH($K580,CALC!$A$2:$A$33,0)),0))</f>
        <v>0</v>
      </c>
      <c r="AN580" s="2">
        <f t="array" ref="AN580">IF($K580="",0,IFERROR(INDEX(CALC!$I$2:$I$33,MATCH($K580,CALC!$A$2:$A$33,0)),0))</f>
        <v>0</v>
      </c>
      <c r="AO580" s="2">
        <f t="array" ref="AO580">IF($K580="",0,IFERROR(INDEX(CALC!$L$2:$L$33,MATCH($K580,CALC!$A$2:$A$33,0)),0))</f>
        <v>0</v>
      </c>
      <c r="AP580" s="2">
        <f t="array" ref="AP580">IF($K580="",0,IFERROR(INDEX(CALC!$T$2:$T$33,MATCH($K580,CALC!$A$2:$A$33,0)),0))</f>
        <v>0</v>
      </c>
      <c r="AQ580" s="2">
        <f t="array" ref="AQ580">IF($K580="",0,IFERROR(INDEX(CALC!$W$2:$W$33,MATCH($K580,CALC!$A$2:$A$33,0)),0))</f>
        <v>0</v>
      </c>
      <c r="AR580" s="2">
        <f t="array" ref="AR580">IF($K580="",0,IFERROR(INDEX(CALC!$Z$2:$Z$33,MATCH($K580,CALC!$A$2:$A$33,0)),0))</f>
        <v>0</v>
      </c>
      <c r="AS580" s="2">
        <f t="array" ref="AS580">IF($K580="",0,IFERROR(INDEX(CALC!$AJ$2:$AJ$33,MATCH($K580,CALC!$A$2:$A$33,0)),0))</f>
        <v>0</v>
      </c>
      <c r="AT580" s="2">
        <f t="array" ref="AT580">IF($K580="",0,IFERROR(INDEX(CALC!$AI$2:$AI$33,MATCH($K580,CALC!$A$2:$A$33,0)),0))</f>
        <v>0</v>
      </c>
      <c r="AU580" s="2">
        <f t="shared" si="11"/>
        <v>0</v>
      </c>
      <c r="AV580" s="2">
        <f t="shared" si="12"/>
        <v>0</v>
      </c>
    </row>
    <row r="581" ht="15.0" customHeight="1">
      <c r="A581" s="2">
        <v>290.0</v>
      </c>
      <c r="B581" s="2" t="s">
        <v>2365</v>
      </c>
      <c r="C581" s="2" t="str">
        <f>IFERROR(MATCH($A581,SchedSeq,0),"")</f>
        <v/>
      </c>
      <c r="D581" s="2" t="str">
        <f t="array" ref="D581">IF($C581="","",INDEX(SchedZone,$C581,MAP!$B$6))</f>
        <v/>
      </c>
      <c r="E581" s="2" t="str">
        <f t="array" ref="E581">IF($C581="","",INDEX(SchedZone,$C581,MAP!$B$3))</f>
        <v/>
      </c>
      <c r="F581" s="2" t="str">
        <f t="array" ref="F581">IF($C581="","",INDEX(SchedZone,$C581,MAP!$B$5))</f>
        <v/>
      </c>
      <c r="G581" s="2" t="str">
        <f t="array" ref="G581">IF($C581="","",INDEX(SchedZone,$C581,MAP!$B$4))</f>
        <v/>
      </c>
      <c r="H581" s="2" t="str">
        <f t="array" ref="H581">IF($C581="","",INDEX(SchedZone,$C581,MAP!$B$12))</f>
        <v/>
      </c>
      <c r="I581" s="2" t="str">
        <f t="array" ref="I581">IF($H581="","",IF(COUNTIF(Teams,$H581)&gt;0,$H581,IFERROR(INDEX(LISTS!$D$2:$D$12,MATCH($H581,LISTS!$C$2:$C$12,0)),"⚠ "&amp;$H581)))</f>
        <v/>
      </c>
      <c r="J581" s="2" t="str">
        <f t="array" ref="J581">IF($C581="","",INDEX(SchedZone,$C581,MAP!$B$10))</f>
        <v/>
      </c>
      <c r="K581" s="2" t="str">
        <f t="array" ref="K581">IF($J581="","",IF(COUNTIF(Teams,$J581)&gt;0,$J581,IFERROR(INDEX(LISTS!$D$2:$D$12,MATCH($J581,LISTS!$C$2:$C$12,0)),"⚠ "&amp;$J581)))</f>
        <v/>
      </c>
      <c r="L581" s="2" t="str">
        <f t="array" ref="L581">IF($C581="","",IF(INDEX(SchedZone,$C581,MAP!$B$14)="Neutral","N",IF($B581="HOME","H","A")))</f>
        <v/>
      </c>
      <c r="M581" s="2" t="str">
        <f t="array" ref="M581">IF($C581="","",IF(INDEX(SchedZone,$C581,MAP!$B$13)="","",INDEX(SchedZone,$C581,MAP!$B$13)))</f>
        <v/>
      </c>
      <c r="N581" s="2" t="str">
        <f t="array" ref="N581">IF($C581="","",IF(INDEX(SchedZone,$C581,MAP!$B$11)="","",INDEX(SchedZone,$C581,MAP!$B$11)))</f>
        <v/>
      </c>
      <c r="O581" s="2" t="str">
        <f t="array" ref="O581">IF($C581="","",INDEX(SchedZone,$C581,MAP!$B$16))</f>
        <v/>
      </c>
      <c r="P581" s="2" t="str">
        <f>IF($C581="","",IFERROR(MATCH($E581&amp;"|"&amp;$G581&amp;"|"&amp;$I581,StatsKey,0),""))</f>
        <v/>
      </c>
      <c r="Q581" s="2">
        <f t="array" ref="Q581">IF($P581="",0,INDEX(StatsZone,$P581,MAP!$E$9)+INDEX(StatsZone,$P581,MAP!$E$10)+INDEX(StatsZone,$P581,MAP!$E$11))</f>
        <v>0</v>
      </c>
      <c r="R581" s="2">
        <f t="array" ref="R581">IF($P581="",0,INDEX(StatsZone,$P581,MAP!$E$12))</f>
        <v>0</v>
      </c>
      <c r="S581" s="2">
        <f t="array" ref="S581">IF($P581="",0,INDEX(StatsZone,$P581,MAP!$E$13))</f>
        <v>0</v>
      </c>
      <c r="T581" s="2">
        <f t="shared" si="1"/>
        <v>0</v>
      </c>
      <c r="U581" s="2">
        <f t="array" ref="U581">IF($P581="",0,INDEX(StatsZone,$P581,MAP!$E$14)+INDEX(StatsZone,$P581,MAP!$E$15)+INDEX(StatsZone,$P581,MAP!$E$16))</f>
        <v>0</v>
      </c>
      <c r="V581" s="2">
        <f t="shared" si="2"/>
        <v>0</v>
      </c>
      <c r="W581" s="2">
        <f t="shared" si="3"/>
        <v>0</v>
      </c>
      <c r="X581" s="2">
        <f t="shared" si="4"/>
        <v>0</v>
      </c>
      <c r="Y581" s="2">
        <f t="shared" si="5"/>
        <v>0</v>
      </c>
      <c r="Z581" s="2">
        <f t="shared" si="6"/>
        <v>0</v>
      </c>
      <c r="AA581" s="2">
        <f t="shared" si="7"/>
        <v>0</v>
      </c>
      <c r="AB581" s="2">
        <f>IF(OR($M581="",$N581=""),0,MEDIAN(-MarginCap,MarginCap,($M581-$N581)-$AA581*HFA_Base))</f>
        <v>0</v>
      </c>
      <c r="AC581" s="2">
        <f t="array" ref="AC581">IF(OR($P581="",INDEX($P$3:$P$722,(ROW()+IF(MOD(ROW()-3,2)=0,1,-1))-3+1)=""),0,MEDIAN(-MarginCap,MarginCap,($T581-$W581)-$AA581*HFA_Base))</f>
        <v>0</v>
      </c>
      <c r="AD581" s="2">
        <f t="shared" si="8"/>
        <v>0</v>
      </c>
      <c r="AE581" s="2">
        <f>IF(OR($M581="",$N581=""),0,IF(AND(WEpa&gt;0,$AD581=1),(1-WEpa)*$AB581+WEpa*$AC581,$AB581))</f>
        <v>0</v>
      </c>
      <c r="AF581" s="2">
        <f>IF(AND($C581&lt;&gt;"",$E581=CurrentSeason,$F581="REG",ISNUMBER($G581),$G581&lt;CurrentWeek,AND($M581&lt;&gt;"",$N581&lt;&gt;"")),1,0)</f>
        <v>0</v>
      </c>
      <c r="AG581" s="2">
        <f>IF($AF581=0,0,IF($G581&gt;=CurrentWeek-RecencyWin,RecencyMult,1))</f>
        <v>0</v>
      </c>
      <c r="AH581" s="2">
        <f>IF(AND($C581&lt;&gt;"",$E581=CurrentSeason,$F581="REG",ISNUMBER($G581),$G581&lt;CurrentWeek-1,AND($M581&lt;&gt;"",$N581&lt;&gt;"")),1,0)</f>
        <v>0</v>
      </c>
      <c r="AI581" s="2">
        <f>IF($AH581=0,0,IF($G581&gt;=CurrentWeek-1-RecencyWin,RecencyMult,1))</f>
        <v>0</v>
      </c>
      <c r="AJ581" s="2">
        <f>IF($AF581=0,0,IF($G581&gt;=CurrentWeek-RecencyWin,TotRecency,1))</f>
        <v>0</v>
      </c>
      <c r="AK581" s="2">
        <f t="shared" si="9"/>
        <v>0</v>
      </c>
      <c r="AL581" s="2">
        <f t="shared" si="10"/>
        <v>0</v>
      </c>
      <c r="AM581" s="2">
        <f t="array" ref="AM581">IF($K581="",0,IFERROR(INDEX(CALC!$F$2:$F$33,MATCH($K581,CALC!$A$2:$A$33,0)),0))</f>
        <v>0</v>
      </c>
      <c r="AN581" s="2">
        <f t="array" ref="AN581">IF($K581="",0,IFERROR(INDEX(CALC!$I$2:$I$33,MATCH($K581,CALC!$A$2:$A$33,0)),0))</f>
        <v>0</v>
      </c>
      <c r="AO581" s="2">
        <f t="array" ref="AO581">IF($K581="",0,IFERROR(INDEX(CALC!$L$2:$L$33,MATCH($K581,CALC!$A$2:$A$33,0)),0))</f>
        <v>0</v>
      </c>
      <c r="AP581" s="2">
        <f t="array" ref="AP581">IF($K581="",0,IFERROR(INDEX(CALC!$T$2:$T$33,MATCH($K581,CALC!$A$2:$A$33,0)),0))</f>
        <v>0</v>
      </c>
      <c r="AQ581" s="2">
        <f t="array" ref="AQ581">IF($K581="",0,IFERROR(INDEX(CALC!$W$2:$W$33,MATCH($K581,CALC!$A$2:$A$33,0)),0))</f>
        <v>0</v>
      </c>
      <c r="AR581" s="2">
        <f t="array" ref="AR581">IF($K581="",0,IFERROR(INDEX(CALC!$Z$2:$Z$33,MATCH($K581,CALC!$A$2:$A$33,0)),0))</f>
        <v>0</v>
      </c>
      <c r="AS581" s="2">
        <f t="array" ref="AS581">IF($K581="",0,IFERROR(INDEX(CALC!$AJ$2:$AJ$33,MATCH($K581,CALC!$A$2:$A$33,0)),0))</f>
        <v>0</v>
      </c>
      <c r="AT581" s="2">
        <f t="array" ref="AT581">IF($K581="",0,IFERROR(INDEX(CALC!$AI$2:$AI$33,MATCH($K581,CALC!$A$2:$A$33,0)),0))</f>
        <v>0</v>
      </c>
      <c r="AU581" s="2">
        <f t="shared" si="11"/>
        <v>0</v>
      </c>
      <c r="AV581" s="2">
        <f t="shared" si="12"/>
        <v>0</v>
      </c>
    </row>
    <row r="582" ht="15.0" customHeight="1">
      <c r="A582" s="2">
        <v>290.0</v>
      </c>
      <c r="B582" s="2" t="s">
        <v>2366</v>
      </c>
      <c r="C582" s="2" t="str">
        <f>IFERROR(MATCH($A582,SchedSeq,0),"")</f>
        <v/>
      </c>
      <c r="D582" s="2" t="str">
        <f t="array" ref="D582">IF($C582="","",INDEX(SchedZone,$C582,MAP!$B$6))</f>
        <v/>
      </c>
      <c r="E582" s="2" t="str">
        <f t="array" ref="E582">IF($C582="","",INDEX(SchedZone,$C582,MAP!$B$3))</f>
        <v/>
      </c>
      <c r="F582" s="2" t="str">
        <f t="array" ref="F582">IF($C582="","",INDEX(SchedZone,$C582,MAP!$B$5))</f>
        <v/>
      </c>
      <c r="G582" s="2" t="str">
        <f t="array" ref="G582">IF($C582="","",INDEX(SchedZone,$C582,MAP!$B$4))</f>
        <v/>
      </c>
      <c r="H582" s="2" t="str">
        <f t="array" ref="H582">IF($C582="","",INDEX(SchedZone,$C582,MAP!$B$10))</f>
        <v/>
      </c>
      <c r="I582" s="2" t="str">
        <f t="array" ref="I582">IF($H582="","",IF(COUNTIF(Teams,$H582)&gt;0,$H582,IFERROR(INDEX(LISTS!$D$2:$D$12,MATCH($H582,LISTS!$C$2:$C$12,0)),"⚠ "&amp;$H582)))</f>
        <v/>
      </c>
      <c r="J582" s="2" t="str">
        <f t="array" ref="J582">IF($C582="","",INDEX(SchedZone,$C582,MAP!$B$12))</f>
        <v/>
      </c>
      <c r="K582" s="2" t="str">
        <f t="array" ref="K582">IF($J582="","",IF(COUNTIF(Teams,$J582)&gt;0,$J582,IFERROR(INDEX(LISTS!$D$2:$D$12,MATCH($J582,LISTS!$C$2:$C$12,0)),"⚠ "&amp;$J582)))</f>
        <v/>
      </c>
      <c r="L582" s="2" t="str">
        <f t="array" ref="L582">IF($C582="","",IF(INDEX(SchedZone,$C582,MAP!$B$14)="Neutral","N",IF($B582="HOME","H","A")))</f>
        <v/>
      </c>
      <c r="M582" s="2" t="str">
        <f t="array" ref="M582">IF($C582="","",IF(INDEX(SchedZone,$C582,MAP!$B$11)="","",INDEX(SchedZone,$C582,MAP!$B$11)))</f>
        <v/>
      </c>
      <c r="N582" s="2" t="str">
        <f t="array" ref="N582">IF($C582="","",IF(INDEX(SchedZone,$C582,MAP!$B$13)="","",INDEX(SchedZone,$C582,MAP!$B$13)))</f>
        <v/>
      </c>
      <c r="O582" s="2" t="str">
        <f t="array" ref="O582">IF($C582="","",INDEX(SchedZone,$C582,MAP!$B$15))</f>
        <v/>
      </c>
      <c r="P582" s="2" t="str">
        <f>IF($C582="","",IFERROR(MATCH($E582&amp;"|"&amp;$G582&amp;"|"&amp;$I582,StatsKey,0),""))</f>
        <v/>
      </c>
      <c r="Q582" s="2">
        <f t="array" ref="Q582">IF($P582="",0,INDEX(StatsZone,$P582,MAP!$E$9)+INDEX(StatsZone,$P582,MAP!$E$10)+INDEX(StatsZone,$P582,MAP!$E$11))</f>
        <v>0</v>
      </c>
      <c r="R582" s="2">
        <f t="array" ref="R582">IF($P582="",0,INDEX(StatsZone,$P582,MAP!$E$12))</f>
        <v>0</v>
      </c>
      <c r="S582" s="2">
        <f t="array" ref="S582">IF($P582="",0,INDEX(StatsZone,$P582,MAP!$E$13))</f>
        <v>0</v>
      </c>
      <c r="T582" s="2">
        <f t="shared" si="1"/>
        <v>0</v>
      </c>
      <c r="U582" s="2">
        <f t="array" ref="U582">IF($P582="",0,INDEX(StatsZone,$P582,MAP!$E$14)+INDEX(StatsZone,$P582,MAP!$E$15)+INDEX(StatsZone,$P582,MAP!$E$16))</f>
        <v>0</v>
      </c>
      <c r="V582" s="2">
        <f t="shared" si="2"/>
        <v>0</v>
      </c>
      <c r="W582" s="2">
        <f t="shared" si="3"/>
        <v>0</v>
      </c>
      <c r="X582" s="2">
        <f t="shared" si="4"/>
        <v>0</v>
      </c>
      <c r="Y582" s="2">
        <f t="shared" si="5"/>
        <v>0</v>
      </c>
      <c r="Z582" s="2">
        <f t="shared" si="6"/>
        <v>0</v>
      </c>
      <c r="AA582" s="2">
        <f t="shared" si="7"/>
        <v>0</v>
      </c>
      <c r="AB582" s="2">
        <f>IF(OR($M582="",$N582=""),0,MEDIAN(-MarginCap,MarginCap,($M582-$N582)-$AA582*HFA_Base))</f>
        <v>0</v>
      </c>
      <c r="AC582" s="2">
        <f t="array" ref="AC582">IF(OR($P582="",INDEX($P$3:$P$722,(ROW()+IF(MOD(ROW()-3,2)=0,1,-1))-3+1)=""),0,MEDIAN(-MarginCap,MarginCap,($T582-$W582)-$AA582*HFA_Base))</f>
        <v>0</v>
      </c>
      <c r="AD582" s="2">
        <f t="shared" si="8"/>
        <v>0</v>
      </c>
      <c r="AE582" s="2">
        <f>IF(OR($M582="",$N582=""),0,IF(AND(WEpa&gt;0,$AD582=1),(1-WEpa)*$AB582+WEpa*$AC582,$AB582))</f>
        <v>0</v>
      </c>
      <c r="AF582" s="2">
        <f>IF(AND($C582&lt;&gt;"",$E582=CurrentSeason,$F582="REG",ISNUMBER($G582),$G582&lt;CurrentWeek,AND($M582&lt;&gt;"",$N582&lt;&gt;"")),1,0)</f>
        <v>0</v>
      </c>
      <c r="AG582" s="2">
        <f>IF($AF582=0,0,IF($G582&gt;=CurrentWeek-RecencyWin,RecencyMult,1))</f>
        <v>0</v>
      </c>
      <c r="AH582" s="2">
        <f>IF(AND($C582&lt;&gt;"",$E582=CurrentSeason,$F582="REG",ISNUMBER($G582),$G582&lt;CurrentWeek-1,AND($M582&lt;&gt;"",$N582&lt;&gt;"")),1,0)</f>
        <v>0</v>
      </c>
      <c r="AI582" s="2">
        <f>IF($AH582=0,0,IF($G582&gt;=CurrentWeek-1-RecencyWin,RecencyMult,1))</f>
        <v>0</v>
      </c>
      <c r="AJ582" s="2">
        <f>IF($AF582=0,0,IF($G582&gt;=CurrentWeek-RecencyWin,TotRecency,1))</f>
        <v>0</v>
      </c>
      <c r="AK582" s="2">
        <f t="shared" si="9"/>
        <v>0</v>
      </c>
      <c r="AL582" s="2">
        <f t="shared" si="10"/>
        <v>0</v>
      </c>
      <c r="AM582" s="2">
        <f t="array" ref="AM582">IF($K582="",0,IFERROR(INDEX(CALC!$F$2:$F$33,MATCH($K582,CALC!$A$2:$A$33,0)),0))</f>
        <v>0</v>
      </c>
      <c r="AN582" s="2">
        <f t="array" ref="AN582">IF($K582="",0,IFERROR(INDEX(CALC!$I$2:$I$33,MATCH($K582,CALC!$A$2:$A$33,0)),0))</f>
        <v>0</v>
      </c>
      <c r="AO582" s="2">
        <f t="array" ref="AO582">IF($K582="",0,IFERROR(INDEX(CALC!$L$2:$L$33,MATCH($K582,CALC!$A$2:$A$33,0)),0))</f>
        <v>0</v>
      </c>
      <c r="AP582" s="2">
        <f t="array" ref="AP582">IF($K582="",0,IFERROR(INDEX(CALC!$T$2:$T$33,MATCH($K582,CALC!$A$2:$A$33,0)),0))</f>
        <v>0</v>
      </c>
      <c r="AQ582" s="2">
        <f t="array" ref="AQ582">IF($K582="",0,IFERROR(INDEX(CALC!$W$2:$W$33,MATCH($K582,CALC!$A$2:$A$33,0)),0))</f>
        <v>0</v>
      </c>
      <c r="AR582" s="2">
        <f t="array" ref="AR582">IF($K582="",0,IFERROR(INDEX(CALC!$Z$2:$Z$33,MATCH($K582,CALC!$A$2:$A$33,0)),0))</f>
        <v>0</v>
      </c>
      <c r="AS582" s="2">
        <f t="array" ref="AS582">IF($K582="",0,IFERROR(INDEX(CALC!$AJ$2:$AJ$33,MATCH($K582,CALC!$A$2:$A$33,0)),0))</f>
        <v>0</v>
      </c>
      <c r="AT582" s="2">
        <f t="array" ref="AT582">IF($K582="",0,IFERROR(INDEX(CALC!$AI$2:$AI$33,MATCH($K582,CALC!$A$2:$A$33,0)),0))</f>
        <v>0</v>
      </c>
      <c r="AU582" s="2">
        <f t="shared" si="11"/>
        <v>0</v>
      </c>
      <c r="AV582" s="2">
        <f t="shared" si="12"/>
        <v>0</v>
      </c>
    </row>
    <row r="583" ht="15.0" customHeight="1">
      <c r="A583" s="2">
        <v>291.0</v>
      </c>
      <c r="B583" s="2" t="s">
        <v>2365</v>
      </c>
      <c r="C583" s="2" t="str">
        <f>IFERROR(MATCH($A583,SchedSeq,0),"")</f>
        <v/>
      </c>
      <c r="D583" s="2" t="str">
        <f t="array" ref="D583">IF($C583="","",INDEX(SchedZone,$C583,MAP!$B$6))</f>
        <v/>
      </c>
      <c r="E583" s="2" t="str">
        <f t="array" ref="E583">IF($C583="","",INDEX(SchedZone,$C583,MAP!$B$3))</f>
        <v/>
      </c>
      <c r="F583" s="2" t="str">
        <f t="array" ref="F583">IF($C583="","",INDEX(SchedZone,$C583,MAP!$B$5))</f>
        <v/>
      </c>
      <c r="G583" s="2" t="str">
        <f t="array" ref="G583">IF($C583="","",INDEX(SchedZone,$C583,MAP!$B$4))</f>
        <v/>
      </c>
      <c r="H583" s="2" t="str">
        <f t="array" ref="H583">IF($C583="","",INDEX(SchedZone,$C583,MAP!$B$12))</f>
        <v/>
      </c>
      <c r="I583" s="2" t="str">
        <f t="array" ref="I583">IF($H583="","",IF(COUNTIF(Teams,$H583)&gt;0,$H583,IFERROR(INDEX(LISTS!$D$2:$D$12,MATCH($H583,LISTS!$C$2:$C$12,0)),"⚠ "&amp;$H583)))</f>
        <v/>
      </c>
      <c r="J583" s="2" t="str">
        <f t="array" ref="J583">IF($C583="","",INDEX(SchedZone,$C583,MAP!$B$10))</f>
        <v/>
      </c>
      <c r="K583" s="2" t="str">
        <f t="array" ref="K583">IF($J583="","",IF(COUNTIF(Teams,$J583)&gt;0,$J583,IFERROR(INDEX(LISTS!$D$2:$D$12,MATCH($J583,LISTS!$C$2:$C$12,0)),"⚠ "&amp;$J583)))</f>
        <v/>
      </c>
      <c r="L583" s="2" t="str">
        <f t="array" ref="L583">IF($C583="","",IF(INDEX(SchedZone,$C583,MAP!$B$14)="Neutral","N",IF($B583="HOME","H","A")))</f>
        <v/>
      </c>
      <c r="M583" s="2" t="str">
        <f t="array" ref="M583">IF($C583="","",IF(INDEX(SchedZone,$C583,MAP!$B$13)="","",INDEX(SchedZone,$C583,MAP!$B$13)))</f>
        <v/>
      </c>
      <c r="N583" s="2" t="str">
        <f t="array" ref="N583">IF($C583="","",IF(INDEX(SchedZone,$C583,MAP!$B$11)="","",INDEX(SchedZone,$C583,MAP!$B$11)))</f>
        <v/>
      </c>
      <c r="O583" s="2" t="str">
        <f t="array" ref="O583">IF($C583="","",INDEX(SchedZone,$C583,MAP!$B$16))</f>
        <v/>
      </c>
      <c r="P583" s="2" t="str">
        <f>IF($C583="","",IFERROR(MATCH($E583&amp;"|"&amp;$G583&amp;"|"&amp;$I583,StatsKey,0),""))</f>
        <v/>
      </c>
      <c r="Q583" s="2">
        <f t="array" ref="Q583">IF($P583="",0,INDEX(StatsZone,$P583,MAP!$E$9)+INDEX(StatsZone,$P583,MAP!$E$10)+INDEX(StatsZone,$P583,MAP!$E$11))</f>
        <v>0</v>
      </c>
      <c r="R583" s="2">
        <f t="array" ref="R583">IF($P583="",0,INDEX(StatsZone,$P583,MAP!$E$12))</f>
        <v>0</v>
      </c>
      <c r="S583" s="2">
        <f t="array" ref="S583">IF($P583="",0,INDEX(StatsZone,$P583,MAP!$E$13))</f>
        <v>0</v>
      </c>
      <c r="T583" s="2">
        <f t="shared" si="1"/>
        <v>0</v>
      </c>
      <c r="U583" s="2">
        <f t="array" ref="U583">IF($P583="",0,INDEX(StatsZone,$P583,MAP!$E$14)+INDEX(StatsZone,$P583,MAP!$E$15)+INDEX(StatsZone,$P583,MAP!$E$16))</f>
        <v>0</v>
      </c>
      <c r="V583" s="2">
        <f t="shared" si="2"/>
        <v>0</v>
      </c>
      <c r="W583" s="2">
        <f t="shared" si="3"/>
        <v>0</v>
      </c>
      <c r="X583" s="2">
        <f t="shared" si="4"/>
        <v>0</v>
      </c>
      <c r="Y583" s="2">
        <f t="shared" si="5"/>
        <v>0</v>
      </c>
      <c r="Z583" s="2">
        <f t="shared" si="6"/>
        <v>0</v>
      </c>
      <c r="AA583" s="2">
        <f t="shared" si="7"/>
        <v>0</v>
      </c>
      <c r="AB583" s="2">
        <f>IF(OR($M583="",$N583=""),0,MEDIAN(-MarginCap,MarginCap,($M583-$N583)-$AA583*HFA_Base))</f>
        <v>0</v>
      </c>
      <c r="AC583" s="2">
        <f t="array" ref="AC583">IF(OR($P583="",INDEX($P$3:$P$722,(ROW()+IF(MOD(ROW()-3,2)=0,1,-1))-3+1)=""),0,MEDIAN(-MarginCap,MarginCap,($T583-$W583)-$AA583*HFA_Base))</f>
        <v>0</v>
      </c>
      <c r="AD583" s="2">
        <f t="shared" si="8"/>
        <v>0</v>
      </c>
      <c r="AE583" s="2">
        <f>IF(OR($M583="",$N583=""),0,IF(AND(WEpa&gt;0,$AD583=1),(1-WEpa)*$AB583+WEpa*$AC583,$AB583))</f>
        <v>0</v>
      </c>
      <c r="AF583" s="2">
        <f>IF(AND($C583&lt;&gt;"",$E583=CurrentSeason,$F583="REG",ISNUMBER($G583),$G583&lt;CurrentWeek,AND($M583&lt;&gt;"",$N583&lt;&gt;"")),1,0)</f>
        <v>0</v>
      </c>
      <c r="AG583" s="2">
        <f>IF($AF583=0,0,IF($G583&gt;=CurrentWeek-RecencyWin,RecencyMult,1))</f>
        <v>0</v>
      </c>
      <c r="AH583" s="2">
        <f>IF(AND($C583&lt;&gt;"",$E583=CurrentSeason,$F583="REG",ISNUMBER($G583),$G583&lt;CurrentWeek-1,AND($M583&lt;&gt;"",$N583&lt;&gt;"")),1,0)</f>
        <v>0</v>
      </c>
      <c r="AI583" s="2">
        <f>IF($AH583=0,0,IF($G583&gt;=CurrentWeek-1-RecencyWin,RecencyMult,1))</f>
        <v>0</v>
      </c>
      <c r="AJ583" s="2">
        <f>IF($AF583=0,0,IF($G583&gt;=CurrentWeek-RecencyWin,TotRecency,1))</f>
        <v>0</v>
      </c>
      <c r="AK583" s="2">
        <f t="shared" si="9"/>
        <v>0</v>
      </c>
      <c r="AL583" s="2">
        <f t="shared" si="10"/>
        <v>0</v>
      </c>
      <c r="AM583" s="2">
        <f t="array" ref="AM583">IF($K583="",0,IFERROR(INDEX(CALC!$F$2:$F$33,MATCH($K583,CALC!$A$2:$A$33,0)),0))</f>
        <v>0</v>
      </c>
      <c r="AN583" s="2">
        <f t="array" ref="AN583">IF($K583="",0,IFERROR(INDEX(CALC!$I$2:$I$33,MATCH($K583,CALC!$A$2:$A$33,0)),0))</f>
        <v>0</v>
      </c>
      <c r="AO583" s="2">
        <f t="array" ref="AO583">IF($K583="",0,IFERROR(INDEX(CALC!$L$2:$L$33,MATCH($K583,CALC!$A$2:$A$33,0)),0))</f>
        <v>0</v>
      </c>
      <c r="AP583" s="2">
        <f t="array" ref="AP583">IF($K583="",0,IFERROR(INDEX(CALC!$T$2:$T$33,MATCH($K583,CALC!$A$2:$A$33,0)),0))</f>
        <v>0</v>
      </c>
      <c r="AQ583" s="2">
        <f t="array" ref="AQ583">IF($K583="",0,IFERROR(INDEX(CALC!$W$2:$W$33,MATCH($K583,CALC!$A$2:$A$33,0)),0))</f>
        <v>0</v>
      </c>
      <c r="AR583" s="2">
        <f t="array" ref="AR583">IF($K583="",0,IFERROR(INDEX(CALC!$Z$2:$Z$33,MATCH($K583,CALC!$A$2:$A$33,0)),0))</f>
        <v>0</v>
      </c>
      <c r="AS583" s="2">
        <f t="array" ref="AS583">IF($K583="",0,IFERROR(INDEX(CALC!$AJ$2:$AJ$33,MATCH($K583,CALC!$A$2:$A$33,0)),0))</f>
        <v>0</v>
      </c>
      <c r="AT583" s="2">
        <f t="array" ref="AT583">IF($K583="",0,IFERROR(INDEX(CALC!$AI$2:$AI$33,MATCH($K583,CALC!$A$2:$A$33,0)),0))</f>
        <v>0</v>
      </c>
      <c r="AU583" s="2">
        <f t="shared" si="11"/>
        <v>0</v>
      </c>
      <c r="AV583" s="2">
        <f t="shared" si="12"/>
        <v>0</v>
      </c>
    </row>
    <row r="584" ht="15.0" customHeight="1">
      <c r="A584" s="2">
        <v>291.0</v>
      </c>
      <c r="B584" s="2" t="s">
        <v>2366</v>
      </c>
      <c r="C584" s="2" t="str">
        <f>IFERROR(MATCH($A584,SchedSeq,0),"")</f>
        <v/>
      </c>
      <c r="D584" s="2" t="str">
        <f t="array" ref="D584">IF($C584="","",INDEX(SchedZone,$C584,MAP!$B$6))</f>
        <v/>
      </c>
      <c r="E584" s="2" t="str">
        <f t="array" ref="E584">IF($C584="","",INDEX(SchedZone,$C584,MAP!$B$3))</f>
        <v/>
      </c>
      <c r="F584" s="2" t="str">
        <f t="array" ref="F584">IF($C584="","",INDEX(SchedZone,$C584,MAP!$B$5))</f>
        <v/>
      </c>
      <c r="G584" s="2" t="str">
        <f t="array" ref="G584">IF($C584="","",INDEX(SchedZone,$C584,MAP!$B$4))</f>
        <v/>
      </c>
      <c r="H584" s="2" t="str">
        <f t="array" ref="H584">IF($C584="","",INDEX(SchedZone,$C584,MAP!$B$10))</f>
        <v/>
      </c>
      <c r="I584" s="2" t="str">
        <f t="array" ref="I584">IF($H584="","",IF(COUNTIF(Teams,$H584)&gt;0,$H584,IFERROR(INDEX(LISTS!$D$2:$D$12,MATCH($H584,LISTS!$C$2:$C$12,0)),"⚠ "&amp;$H584)))</f>
        <v/>
      </c>
      <c r="J584" s="2" t="str">
        <f t="array" ref="J584">IF($C584="","",INDEX(SchedZone,$C584,MAP!$B$12))</f>
        <v/>
      </c>
      <c r="K584" s="2" t="str">
        <f t="array" ref="K584">IF($J584="","",IF(COUNTIF(Teams,$J584)&gt;0,$J584,IFERROR(INDEX(LISTS!$D$2:$D$12,MATCH($J584,LISTS!$C$2:$C$12,0)),"⚠ "&amp;$J584)))</f>
        <v/>
      </c>
      <c r="L584" s="2" t="str">
        <f t="array" ref="L584">IF($C584="","",IF(INDEX(SchedZone,$C584,MAP!$B$14)="Neutral","N",IF($B584="HOME","H","A")))</f>
        <v/>
      </c>
      <c r="M584" s="2" t="str">
        <f t="array" ref="M584">IF($C584="","",IF(INDEX(SchedZone,$C584,MAP!$B$11)="","",INDEX(SchedZone,$C584,MAP!$B$11)))</f>
        <v/>
      </c>
      <c r="N584" s="2" t="str">
        <f t="array" ref="N584">IF($C584="","",IF(INDEX(SchedZone,$C584,MAP!$B$13)="","",INDEX(SchedZone,$C584,MAP!$B$13)))</f>
        <v/>
      </c>
      <c r="O584" s="2" t="str">
        <f t="array" ref="O584">IF($C584="","",INDEX(SchedZone,$C584,MAP!$B$15))</f>
        <v/>
      </c>
      <c r="P584" s="2" t="str">
        <f>IF($C584="","",IFERROR(MATCH($E584&amp;"|"&amp;$G584&amp;"|"&amp;$I584,StatsKey,0),""))</f>
        <v/>
      </c>
      <c r="Q584" s="2">
        <f t="array" ref="Q584">IF($P584="",0,INDEX(StatsZone,$P584,MAP!$E$9)+INDEX(StatsZone,$P584,MAP!$E$10)+INDEX(StatsZone,$P584,MAP!$E$11))</f>
        <v>0</v>
      </c>
      <c r="R584" s="2">
        <f t="array" ref="R584">IF($P584="",0,INDEX(StatsZone,$P584,MAP!$E$12))</f>
        <v>0</v>
      </c>
      <c r="S584" s="2">
        <f t="array" ref="S584">IF($P584="",0,INDEX(StatsZone,$P584,MAP!$E$13))</f>
        <v>0</v>
      </c>
      <c r="T584" s="2">
        <f t="shared" si="1"/>
        <v>0</v>
      </c>
      <c r="U584" s="2">
        <f t="array" ref="U584">IF($P584="",0,INDEX(StatsZone,$P584,MAP!$E$14)+INDEX(StatsZone,$P584,MAP!$E$15)+INDEX(StatsZone,$P584,MAP!$E$16))</f>
        <v>0</v>
      </c>
      <c r="V584" s="2">
        <f t="shared" si="2"/>
        <v>0</v>
      </c>
      <c r="W584" s="2">
        <f t="shared" si="3"/>
        <v>0</v>
      </c>
      <c r="X584" s="2">
        <f t="shared" si="4"/>
        <v>0</v>
      </c>
      <c r="Y584" s="2">
        <f t="shared" si="5"/>
        <v>0</v>
      </c>
      <c r="Z584" s="2">
        <f t="shared" si="6"/>
        <v>0</v>
      </c>
      <c r="AA584" s="2">
        <f t="shared" si="7"/>
        <v>0</v>
      </c>
      <c r="AB584" s="2">
        <f>IF(OR($M584="",$N584=""),0,MEDIAN(-MarginCap,MarginCap,($M584-$N584)-$AA584*HFA_Base))</f>
        <v>0</v>
      </c>
      <c r="AC584" s="2">
        <f t="array" ref="AC584">IF(OR($P584="",INDEX($P$3:$P$722,(ROW()+IF(MOD(ROW()-3,2)=0,1,-1))-3+1)=""),0,MEDIAN(-MarginCap,MarginCap,($T584-$W584)-$AA584*HFA_Base))</f>
        <v>0</v>
      </c>
      <c r="AD584" s="2">
        <f t="shared" si="8"/>
        <v>0</v>
      </c>
      <c r="AE584" s="2">
        <f>IF(OR($M584="",$N584=""),0,IF(AND(WEpa&gt;0,$AD584=1),(1-WEpa)*$AB584+WEpa*$AC584,$AB584))</f>
        <v>0</v>
      </c>
      <c r="AF584" s="2">
        <f>IF(AND($C584&lt;&gt;"",$E584=CurrentSeason,$F584="REG",ISNUMBER($G584),$G584&lt;CurrentWeek,AND($M584&lt;&gt;"",$N584&lt;&gt;"")),1,0)</f>
        <v>0</v>
      </c>
      <c r="AG584" s="2">
        <f>IF($AF584=0,0,IF($G584&gt;=CurrentWeek-RecencyWin,RecencyMult,1))</f>
        <v>0</v>
      </c>
      <c r="AH584" s="2">
        <f>IF(AND($C584&lt;&gt;"",$E584=CurrentSeason,$F584="REG",ISNUMBER($G584),$G584&lt;CurrentWeek-1,AND($M584&lt;&gt;"",$N584&lt;&gt;"")),1,0)</f>
        <v>0</v>
      </c>
      <c r="AI584" s="2">
        <f>IF($AH584=0,0,IF($G584&gt;=CurrentWeek-1-RecencyWin,RecencyMult,1))</f>
        <v>0</v>
      </c>
      <c r="AJ584" s="2">
        <f>IF($AF584=0,0,IF($G584&gt;=CurrentWeek-RecencyWin,TotRecency,1))</f>
        <v>0</v>
      </c>
      <c r="AK584" s="2">
        <f t="shared" si="9"/>
        <v>0</v>
      </c>
      <c r="AL584" s="2">
        <f t="shared" si="10"/>
        <v>0</v>
      </c>
      <c r="AM584" s="2">
        <f t="array" ref="AM584">IF($K584="",0,IFERROR(INDEX(CALC!$F$2:$F$33,MATCH($K584,CALC!$A$2:$A$33,0)),0))</f>
        <v>0</v>
      </c>
      <c r="AN584" s="2">
        <f t="array" ref="AN584">IF($K584="",0,IFERROR(INDEX(CALC!$I$2:$I$33,MATCH($K584,CALC!$A$2:$A$33,0)),0))</f>
        <v>0</v>
      </c>
      <c r="AO584" s="2">
        <f t="array" ref="AO584">IF($K584="",0,IFERROR(INDEX(CALC!$L$2:$L$33,MATCH($K584,CALC!$A$2:$A$33,0)),0))</f>
        <v>0</v>
      </c>
      <c r="AP584" s="2">
        <f t="array" ref="AP584">IF($K584="",0,IFERROR(INDEX(CALC!$T$2:$T$33,MATCH($K584,CALC!$A$2:$A$33,0)),0))</f>
        <v>0</v>
      </c>
      <c r="AQ584" s="2">
        <f t="array" ref="AQ584">IF($K584="",0,IFERROR(INDEX(CALC!$W$2:$W$33,MATCH($K584,CALC!$A$2:$A$33,0)),0))</f>
        <v>0</v>
      </c>
      <c r="AR584" s="2">
        <f t="array" ref="AR584">IF($K584="",0,IFERROR(INDEX(CALC!$Z$2:$Z$33,MATCH($K584,CALC!$A$2:$A$33,0)),0))</f>
        <v>0</v>
      </c>
      <c r="AS584" s="2">
        <f t="array" ref="AS584">IF($K584="",0,IFERROR(INDEX(CALC!$AJ$2:$AJ$33,MATCH($K584,CALC!$A$2:$A$33,0)),0))</f>
        <v>0</v>
      </c>
      <c r="AT584" s="2">
        <f t="array" ref="AT584">IF($K584="",0,IFERROR(INDEX(CALC!$AI$2:$AI$33,MATCH($K584,CALC!$A$2:$A$33,0)),0))</f>
        <v>0</v>
      </c>
      <c r="AU584" s="2">
        <f t="shared" si="11"/>
        <v>0</v>
      </c>
      <c r="AV584" s="2">
        <f t="shared" si="12"/>
        <v>0</v>
      </c>
    </row>
    <row r="585" ht="15.0" customHeight="1">
      <c r="A585" s="2">
        <v>292.0</v>
      </c>
      <c r="B585" s="2" t="s">
        <v>2365</v>
      </c>
      <c r="C585" s="2" t="str">
        <f>IFERROR(MATCH($A585,SchedSeq,0),"")</f>
        <v/>
      </c>
      <c r="D585" s="2" t="str">
        <f t="array" ref="D585">IF($C585="","",INDEX(SchedZone,$C585,MAP!$B$6))</f>
        <v/>
      </c>
      <c r="E585" s="2" t="str">
        <f t="array" ref="E585">IF($C585="","",INDEX(SchedZone,$C585,MAP!$B$3))</f>
        <v/>
      </c>
      <c r="F585" s="2" t="str">
        <f t="array" ref="F585">IF($C585="","",INDEX(SchedZone,$C585,MAP!$B$5))</f>
        <v/>
      </c>
      <c r="G585" s="2" t="str">
        <f t="array" ref="G585">IF($C585="","",INDEX(SchedZone,$C585,MAP!$B$4))</f>
        <v/>
      </c>
      <c r="H585" s="2" t="str">
        <f t="array" ref="H585">IF($C585="","",INDEX(SchedZone,$C585,MAP!$B$12))</f>
        <v/>
      </c>
      <c r="I585" s="2" t="str">
        <f t="array" ref="I585">IF($H585="","",IF(COUNTIF(Teams,$H585)&gt;0,$H585,IFERROR(INDEX(LISTS!$D$2:$D$12,MATCH($H585,LISTS!$C$2:$C$12,0)),"⚠ "&amp;$H585)))</f>
        <v/>
      </c>
      <c r="J585" s="2" t="str">
        <f t="array" ref="J585">IF($C585="","",INDEX(SchedZone,$C585,MAP!$B$10))</f>
        <v/>
      </c>
      <c r="K585" s="2" t="str">
        <f t="array" ref="K585">IF($J585="","",IF(COUNTIF(Teams,$J585)&gt;0,$J585,IFERROR(INDEX(LISTS!$D$2:$D$12,MATCH($J585,LISTS!$C$2:$C$12,0)),"⚠ "&amp;$J585)))</f>
        <v/>
      </c>
      <c r="L585" s="2" t="str">
        <f t="array" ref="L585">IF($C585="","",IF(INDEX(SchedZone,$C585,MAP!$B$14)="Neutral","N",IF($B585="HOME","H","A")))</f>
        <v/>
      </c>
      <c r="M585" s="2" t="str">
        <f t="array" ref="M585">IF($C585="","",IF(INDEX(SchedZone,$C585,MAP!$B$13)="","",INDEX(SchedZone,$C585,MAP!$B$13)))</f>
        <v/>
      </c>
      <c r="N585" s="2" t="str">
        <f t="array" ref="N585">IF($C585="","",IF(INDEX(SchedZone,$C585,MAP!$B$11)="","",INDEX(SchedZone,$C585,MAP!$B$11)))</f>
        <v/>
      </c>
      <c r="O585" s="2" t="str">
        <f t="array" ref="O585">IF($C585="","",INDEX(SchedZone,$C585,MAP!$B$16))</f>
        <v/>
      </c>
      <c r="P585" s="2" t="str">
        <f>IF($C585="","",IFERROR(MATCH($E585&amp;"|"&amp;$G585&amp;"|"&amp;$I585,StatsKey,0),""))</f>
        <v/>
      </c>
      <c r="Q585" s="2">
        <f t="array" ref="Q585">IF($P585="",0,INDEX(StatsZone,$P585,MAP!$E$9)+INDEX(StatsZone,$P585,MAP!$E$10)+INDEX(StatsZone,$P585,MAP!$E$11))</f>
        <v>0</v>
      </c>
      <c r="R585" s="2">
        <f t="array" ref="R585">IF($P585="",0,INDEX(StatsZone,$P585,MAP!$E$12))</f>
        <v>0</v>
      </c>
      <c r="S585" s="2">
        <f t="array" ref="S585">IF($P585="",0,INDEX(StatsZone,$P585,MAP!$E$13))</f>
        <v>0</v>
      </c>
      <c r="T585" s="2">
        <f t="shared" si="1"/>
        <v>0</v>
      </c>
      <c r="U585" s="2">
        <f t="array" ref="U585">IF($P585="",0,INDEX(StatsZone,$P585,MAP!$E$14)+INDEX(StatsZone,$P585,MAP!$E$15)+INDEX(StatsZone,$P585,MAP!$E$16))</f>
        <v>0</v>
      </c>
      <c r="V585" s="2">
        <f t="shared" si="2"/>
        <v>0</v>
      </c>
      <c r="W585" s="2">
        <f t="shared" si="3"/>
        <v>0</v>
      </c>
      <c r="X585" s="2">
        <f t="shared" si="4"/>
        <v>0</v>
      </c>
      <c r="Y585" s="2">
        <f t="shared" si="5"/>
        <v>0</v>
      </c>
      <c r="Z585" s="2">
        <f t="shared" si="6"/>
        <v>0</v>
      </c>
      <c r="AA585" s="2">
        <f t="shared" si="7"/>
        <v>0</v>
      </c>
      <c r="AB585" s="2">
        <f>IF(OR($M585="",$N585=""),0,MEDIAN(-MarginCap,MarginCap,($M585-$N585)-$AA585*HFA_Base))</f>
        <v>0</v>
      </c>
      <c r="AC585" s="2">
        <f t="array" ref="AC585">IF(OR($P585="",INDEX($P$3:$P$722,(ROW()+IF(MOD(ROW()-3,2)=0,1,-1))-3+1)=""),0,MEDIAN(-MarginCap,MarginCap,($T585-$W585)-$AA585*HFA_Base))</f>
        <v>0</v>
      </c>
      <c r="AD585" s="2">
        <f t="shared" si="8"/>
        <v>0</v>
      </c>
      <c r="AE585" s="2">
        <f>IF(OR($M585="",$N585=""),0,IF(AND(WEpa&gt;0,$AD585=1),(1-WEpa)*$AB585+WEpa*$AC585,$AB585))</f>
        <v>0</v>
      </c>
      <c r="AF585" s="2">
        <f>IF(AND($C585&lt;&gt;"",$E585=CurrentSeason,$F585="REG",ISNUMBER($G585),$G585&lt;CurrentWeek,AND($M585&lt;&gt;"",$N585&lt;&gt;"")),1,0)</f>
        <v>0</v>
      </c>
      <c r="AG585" s="2">
        <f>IF($AF585=0,0,IF($G585&gt;=CurrentWeek-RecencyWin,RecencyMult,1))</f>
        <v>0</v>
      </c>
      <c r="AH585" s="2">
        <f>IF(AND($C585&lt;&gt;"",$E585=CurrentSeason,$F585="REG",ISNUMBER($G585),$G585&lt;CurrentWeek-1,AND($M585&lt;&gt;"",$N585&lt;&gt;"")),1,0)</f>
        <v>0</v>
      </c>
      <c r="AI585" s="2">
        <f>IF($AH585=0,0,IF($G585&gt;=CurrentWeek-1-RecencyWin,RecencyMult,1))</f>
        <v>0</v>
      </c>
      <c r="AJ585" s="2">
        <f>IF($AF585=0,0,IF($G585&gt;=CurrentWeek-RecencyWin,TotRecency,1))</f>
        <v>0</v>
      </c>
      <c r="AK585" s="2">
        <f t="shared" si="9"/>
        <v>0</v>
      </c>
      <c r="AL585" s="2">
        <f t="shared" si="10"/>
        <v>0</v>
      </c>
      <c r="AM585" s="2">
        <f t="array" ref="AM585">IF($K585="",0,IFERROR(INDEX(CALC!$F$2:$F$33,MATCH($K585,CALC!$A$2:$A$33,0)),0))</f>
        <v>0</v>
      </c>
      <c r="AN585" s="2">
        <f t="array" ref="AN585">IF($K585="",0,IFERROR(INDEX(CALC!$I$2:$I$33,MATCH($K585,CALC!$A$2:$A$33,0)),0))</f>
        <v>0</v>
      </c>
      <c r="AO585" s="2">
        <f t="array" ref="AO585">IF($K585="",0,IFERROR(INDEX(CALC!$L$2:$L$33,MATCH($K585,CALC!$A$2:$A$33,0)),0))</f>
        <v>0</v>
      </c>
      <c r="AP585" s="2">
        <f t="array" ref="AP585">IF($K585="",0,IFERROR(INDEX(CALC!$T$2:$T$33,MATCH($K585,CALC!$A$2:$A$33,0)),0))</f>
        <v>0</v>
      </c>
      <c r="AQ585" s="2">
        <f t="array" ref="AQ585">IF($K585="",0,IFERROR(INDEX(CALC!$W$2:$W$33,MATCH($K585,CALC!$A$2:$A$33,0)),0))</f>
        <v>0</v>
      </c>
      <c r="AR585" s="2">
        <f t="array" ref="AR585">IF($K585="",0,IFERROR(INDEX(CALC!$Z$2:$Z$33,MATCH($K585,CALC!$A$2:$A$33,0)),0))</f>
        <v>0</v>
      </c>
      <c r="AS585" s="2">
        <f t="array" ref="AS585">IF($K585="",0,IFERROR(INDEX(CALC!$AJ$2:$AJ$33,MATCH($K585,CALC!$A$2:$A$33,0)),0))</f>
        <v>0</v>
      </c>
      <c r="AT585" s="2">
        <f t="array" ref="AT585">IF($K585="",0,IFERROR(INDEX(CALC!$AI$2:$AI$33,MATCH($K585,CALC!$A$2:$A$33,0)),0))</f>
        <v>0</v>
      </c>
      <c r="AU585" s="2">
        <f t="shared" si="11"/>
        <v>0</v>
      </c>
      <c r="AV585" s="2">
        <f t="shared" si="12"/>
        <v>0</v>
      </c>
    </row>
    <row r="586" ht="15.0" customHeight="1">
      <c r="A586" s="2">
        <v>292.0</v>
      </c>
      <c r="B586" s="2" t="s">
        <v>2366</v>
      </c>
      <c r="C586" s="2" t="str">
        <f>IFERROR(MATCH($A586,SchedSeq,0),"")</f>
        <v/>
      </c>
      <c r="D586" s="2" t="str">
        <f t="array" ref="D586">IF($C586="","",INDEX(SchedZone,$C586,MAP!$B$6))</f>
        <v/>
      </c>
      <c r="E586" s="2" t="str">
        <f t="array" ref="E586">IF($C586="","",INDEX(SchedZone,$C586,MAP!$B$3))</f>
        <v/>
      </c>
      <c r="F586" s="2" t="str">
        <f t="array" ref="F586">IF($C586="","",INDEX(SchedZone,$C586,MAP!$B$5))</f>
        <v/>
      </c>
      <c r="G586" s="2" t="str">
        <f t="array" ref="G586">IF($C586="","",INDEX(SchedZone,$C586,MAP!$B$4))</f>
        <v/>
      </c>
      <c r="H586" s="2" t="str">
        <f t="array" ref="H586">IF($C586="","",INDEX(SchedZone,$C586,MAP!$B$10))</f>
        <v/>
      </c>
      <c r="I586" s="2" t="str">
        <f t="array" ref="I586">IF($H586="","",IF(COUNTIF(Teams,$H586)&gt;0,$H586,IFERROR(INDEX(LISTS!$D$2:$D$12,MATCH($H586,LISTS!$C$2:$C$12,0)),"⚠ "&amp;$H586)))</f>
        <v/>
      </c>
      <c r="J586" s="2" t="str">
        <f t="array" ref="J586">IF($C586="","",INDEX(SchedZone,$C586,MAP!$B$12))</f>
        <v/>
      </c>
      <c r="K586" s="2" t="str">
        <f t="array" ref="K586">IF($J586="","",IF(COUNTIF(Teams,$J586)&gt;0,$J586,IFERROR(INDEX(LISTS!$D$2:$D$12,MATCH($J586,LISTS!$C$2:$C$12,0)),"⚠ "&amp;$J586)))</f>
        <v/>
      </c>
      <c r="L586" s="2" t="str">
        <f t="array" ref="L586">IF($C586="","",IF(INDEX(SchedZone,$C586,MAP!$B$14)="Neutral","N",IF($B586="HOME","H","A")))</f>
        <v/>
      </c>
      <c r="M586" s="2" t="str">
        <f t="array" ref="M586">IF($C586="","",IF(INDEX(SchedZone,$C586,MAP!$B$11)="","",INDEX(SchedZone,$C586,MAP!$B$11)))</f>
        <v/>
      </c>
      <c r="N586" s="2" t="str">
        <f t="array" ref="N586">IF($C586="","",IF(INDEX(SchedZone,$C586,MAP!$B$13)="","",INDEX(SchedZone,$C586,MAP!$B$13)))</f>
        <v/>
      </c>
      <c r="O586" s="2" t="str">
        <f t="array" ref="O586">IF($C586="","",INDEX(SchedZone,$C586,MAP!$B$15))</f>
        <v/>
      </c>
      <c r="P586" s="2" t="str">
        <f>IF($C586="","",IFERROR(MATCH($E586&amp;"|"&amp;$G586&amp;"|"&amp;$I586,StatsKey,0),""))</f>
        <v/>
      </c>
      <c r="Q586" s="2">
        <f t="array" ref="Q586">IF($P586="",0,INDEX(StatsZone,$P586,MAP!$E$9)+INDEX(StatsZone,$P586,MAP!$E$10)+INDEX(StatsZone,$P586,MAP!$E$11))</f>
        <v>0</v>
      </c>
      <c r="R586" s="2">
        <f t="array" ref="R586">IF($P586="",0,INDEX(StatsZone,$P586,MAP!$E$12))</f>
        <v>0</v>
      </c>
      <c r="S586" s="2">
        <f t="array" ref="S586">IF($P586="",0,INDEX(StatsZone,$P586,MAP!$E$13))</f>
        <v>0</v>
      </c>
      <c r="T586" s="2">
        <f t="shared" si="1"/>
        <v>0</v>
      </c>
      <c r="U586" s="2">
        <f t="array" ref="U586">IF($P586="",0,INDEX(StatsZone,$P586,MAP!$E$14)+INDEX(StatsZone,$P586,MAP!$E$15)+INDEX(StatsZone,$P586,MAP!$E$16))</f>
        <v>0</v>
      </c>
      <c r="V586" s="2">
        <f t="shared" si="2"/>
        <v>0</v>
      </c>
      <c r="W586" s="2">
        <f t="shared" si="3"/>
        <v>0</v>
      </c>
      <c r="X586" s="2">
        <f t="shared" si="4"/>
        <v>0</v>
      </c>
      <c r="Y586" s="2">
        <f t="shared" si="5"/>
        <v>0</v>
      </c>
      <c r="Z586" s="2">
        <f t="shared" si="6"/>
        <v>0</v>
      </c>
      <c r="AA586" s="2">
        <f t="shared" si="7"/>
        <v>0</v>
      </c>
      <c r="AB586" s="2">
        <f>IF(OR($M586="",$N586=""),0,MEDIAN(-MarginCap,MarginCap,($M586-$N586)-$AA586*HFA_Base))</f>
        <v>0</v>
      </c>
      <c r="AC586" s="2">
        <f t="array" ref="AC586">IF(OR($P586="",INDEX($P$3:$P$722,(ROW()+IF(MOD(ROW()-3,2)=0,1,-1))-3+1)=""),0,MEDIAN(-MarginCap,MarginCap,($T586-$W586)-$AA586*HFA_Base))</f>
        <v>0</v>
      </c>
      <c r="AD586" s="2">
        <f t="shared" si="8"/>
        <v>0</v>
      </c>
      <c r="AE586" s="2">
        <f>IF(OR($M586="",$N586=""),0,IF(AND(WEpa&gt;0,$AD586=1),(1-WEpa)*$AB586+WEpa*$AC586,$AB586))</f>
        <v>0</v>
      </c>
      <c r="AF586" s="2">
        <f>IF(AND($C586&lt;&gt;"",$E586=CurrentSeason,$F586="REG",ISNUMBER($G586),$G586&lt;CurrentWeek,AND($M586&lt;&gt;"",$N586&lt;&gt;"")),1,0)</f>
        <v>0</v>
      </c>
      <c r="AG586" s="2">
        <f>IF($AF586=0,0,IF($G586&gt;=CurrentWeek-RecencyWin,RecencyMult,1))</f>
        <v>0</v>
      </c>
      <c r="AH586" s="2">
        <f>IF(AND($C586&lt;&gt;"",$E586=CurrentSeason,$F586="REG",ISNUMBER($G586),$G586&lt;CurrentWeek-1,AND($M586&lt;&gt;"",$N586&lt;&gt;"")),1,0)</f>
        <v>0</v>
      </c>
      <c r="AI586" s="2">
        <f>IF($AH586=0,0,IF($G586&gt;=CurrentWeek-1-RecencyWin,RecencyMult,1))</f>
        <v>0</v>
      </c>
      <c r="AJ586" s="2">
        <f>IF($AF586=0,0,IF($G586&gt;=CurrentWeek-RecencyWin,TotRecency,1))</f>
        <v>0</v>
      </c>
      <c r="AK586" s="2">
        <f t="shared" si="9"/>
        <v>0</v>
      </c>
      <c r="AL586" s="2">
        <f t="shared" si="10"/>
        <v>0</v>
      </c>
      <c r="AM586" s="2">
        <f t="array" ref="AM586">IF($K586="",0,IFERROR(INDEX(CALC!$F$2:$F$33,MATCH($K586,CALC!$A$2:$A$33,0)),0))</f>
        <v>0</v>
      </c>
      <c r="AN586" s="2">
        <f t="array" ref="AN586">IF($K586="",0,IFERROR(INDEX(CALC!$I$2:$I$33,MATCH($K586,CALC!$A$2:$A$33,0)),0))</f>
        <v>0</v>
      </c>
      <c r="AO586" s="2">
        <f t="array" ref="AO586">IF($K586="",0,IFERROR(INDEX(CALC!$L$2:$L$33,MATCH($K586,CALC!$A$2:$A$33,0)),0))</f>
        <v>0</v>
      </c>
      <c r="AP586" s="2">
        <f t="array" ref="AP586">IF($K586="",0,IFERROR(INDEX(CALC!$T$2:$T$33,MATCH($K586,CALC!$A$2:$A$33,0)),0))</f>
        <v>0</v>
      </c>
      <c r="AQ586" s="2">
        <f t="array" ref="AQ586">IF($K586="",0,IFERROR(INDEX(CALC!$W$2:$W$33,MATCH($K586,CALC!$A$2:$A$33,0)),0))</f>
        <v>0</v>
      </c>
      <c r="AR586" s="2">
        <f t="array" ref="AR586">IF($K586="",0,IFERROR(INDEX(CALC!$Z$2:$Z$33,MATCH($K586,CALC!$A$2:$A$33,0)),0))</f>
        <v>0</v>
      </c>
      <c r="AS586" s="2">
        <f t="array" ref="AS586">IF($K586="",0,IFERROR(INDEX(CALC!$AJ$2:$AJ$33,MATCH($K586,CALC!$A$2:$A$33,0)),0))</f>
        <v>0</v>
      </c>
      <c r="AT586" s="2">
        <f t="array" ref="AT586">IF($K586="",0,IFERROR(INDEX(CALC!$AI$2:$AI$33,MATCH($K586,CALC!$A$2:$A$33,0)),0))</f>
        <v>0</v>
      </c>
      <c r="AU586" s="2">
        <f t="shared" si="11"/>
        <v>0</v>
      </c>
      <c r="AV586" s="2">
        <f t="shared" si="12"/>
        <v>0</v>
      </c>
    </row>
    <row r="587" ht="15.0" customHeight="1">
      <c r="A587" s="2">
        <v>293.0</v>
      </c>
      <c r="B587" s="2" t="s">
        <v>2365</v>
      </c>
      <c r="C587" s="2" t="str">
        <f>IFERROR(MATCH($A587,SchedSeq,0),"")</f>
        <v/>
      </c>
      <c r="D587" s="2" t="str">
        <f t="array" ref="D587">IF($C587="","",INDEX(SchedZone,$C587,MAP!$B$6))</f>
        <v/>
      </c>
      <c r="E587" s="2" t="str">
        <f t="array" ref="E587">IF($C587="","",INDEX(SchedZone,$C587,MAP!$B$3))</f>
        <v/>
      </c>
      <c r="F587" s="2" t="str">
        <f t="array" ref="F587">IF($C587="","",INDEX(SchedZone,$C587,MAP!$B$5))</f>
        <v/>
      </c>
      <c r="G587" s="2" t="str">
        <f t="array" ref="G587">IF($C587="","",INDEX(SchedZone,$C587,MAP!$B$4))</f>
        <v/>
      </c>
      <c r="H587" s="2" t="str">
        <f t="array" ref="H587">IF($C587="","",INDEX(SchedZone,$C587,MAP!$B$12))</f>
        <v/>
      </c>
      <c r="I587" s="2" t="str">
        <f t="array" ref="I587">IF($H587="","",IF(COUNTIF(Teams,$H587)&gt;0,$H587,IFERROR(INDEX(LISTS!$D$2:$D$12,MATCH($H587,LISTS!$C$2:$C$12,0)),"⚠ "&amp;$H587)))</f>
        <v/>
      </c>
      <c r="J587" s="2" t="str">
        <f t="array" ref="J587">IF($C587="","",INDEX(SchedZone,$C587,MAP!$B$10))</f>
        <v/>
      </c>
      <c r="K587" s="2" t="str">
        <f t="array" ref="K587">IF($J587="","",IF(COUNTIF(Teams,$J587)&gt;0,$J587,IFERROR(INDEX(LISTS!$D$2:$D$12,MATCH($J587,LISTS!$C$2:$C$12,0)),"⚠ "&amp;$J587)))</f>
        <v/>
      </c>
      <c r="L587" s="2" t="str">
        <f t="array" ref="L587">IF($C587="","",IF(INDEX(SchedZone,$C587,MAP!$B$14)="Neutral","N",IF($B587="HOME","H","A")))</f>
        <v/>
      </c>
      <c r="M587" s="2" t="str">
        <f t="array" ref="M587">IF($C587="","",IF(INDEX(SchedZone,$C587,MAP!$B$13)="","",INDEX(SchedZone,$C587,MAP!$B$13)))</f>
        <v/>
      </c>
      <c r="N587" s="2" t="str">
        <f t="array" ref="N587">IF($C587="","",IF(INDEX(SchedZone,$C587,MAP!$B$11)="","",INDEX(SchedZone,$C587,MAP!$B$11)))</f>
        <v/>
      </c>
      <c r="O587" s="2" t="str">
        <f t="array" ref="O587">IF($C587="","",INDEX(SchedZone,$C587,MAP!$B$16))</f>
        <v/>
      </c>
      <c r="P587" s="2" t="str">
        <f>IF($C587="","",IFERROR(MATCH($E587&amp;"|"&amp;$G587&amp;"|"&amp;$I587,StatsKey,0),""))</f>
        <v/>
      </c>
      <c r="Q587" s="2">
        <f t="array" ref="Q587">IF($P587="",0,INDEX(StatsZone,$P587,MAP!$E$9)+INDEX(StatsZone,$P587,MAP!$E$10)+INDEX(StatsZone,$P587,MAP!$E$11))</f>
        <v>0</v>
      </c>
      <c r="R587" s="2">
        <f t="array" ref="R587">IF($P587="",0,INDEX(StatsZone,$P587,MAP!$E$12))</f>
        <v>0</v>
      </c>
      <c r="S587" s="2">
        <f t="array" ref="S587">IF($P587="",0,INDEX(StatsZone,$P587,MAP!$E$13))</f>
        <v>0</v>
      </c>
      <c r="T587" s="2">
        <f t="shared" si="1"/>
        <v>0</v>
      </c>
      <c r="U587" s="2">
        <f t="array" ref="U587">IF($P587="",0,INDEX(StatsZone,$P587,MAP!$E$14)+INDEX(StatsZone,$P587,MAP!$E$15)+INDEX(StatsZone,$P587,MAP!$E$16))</f>
        <v>0</v>
      </c>
      <c r="V587" s="2">
        <f t="shared" si="2"/>
        <v>0</v>
      </c>
      <c r="W587" s="2">
        <f t="shared" si="3"/>
        <v>0</v>
      </c>
      <c r="X587" s="2">
        <f t="shared" si="4"/>
        <v>0</v>
      </c>
      <c r="Y587" s="2">
        <f t="shared" si="5"/>
        <v>0</v>
      </c>
      <c r="Z587" s="2">
        <f t="shared" si="6"/>
        <v>0</v>
      </c>
      <c r="AA587" s="2">
        <f t="shared" si="7"/>
        <v>0</v>
      </c>
      <c r="AB587" s="2">
        <f>IF(OR($M587="",$N587=""),0,MEDIAN(-MarginCap,MarginCap,($M587-$N587)-$AA587*HFA_Base))</f>
        <v>0</v>
      </c>
      <c r="AC587" s="2">
        <f t="array" ref="AC587">IF(OR($P587="",INDEX($P$3:$P$722,(ROW()+IF(MOD(ROW()-3,2)=0,1,-1))-3+1)=""),0,MEDIAN(-MarginCap,MarginCap,($T587-$W587)-$AA587*HFA_Base))</f>
        <v>0</v>
      </c>
      <c r="AD587" s="2">
        <f t="shared" si="8"/>
        <v>0</v>
      </c>
      <c r="AE587" s="2">
        <f>IF(OR($M587="",$N587=""),0,IF(AND(WEpa&gt;0,$AD587=1),(1-WEpa)*$AB587+WEpa*$AC587,$AB587))</f>
        <v>0</v>
      </c>
      <c r="AF587" s="2">
        <f>IF(AND($C587&lt;&gt;"",$E587=CurrentSeason,$F587="REG",ISNUMBER($G587),$G587&lt;CurrentWeek,AND($M587&lt;&gt;"",$N587&lt;&gt;"")),1,0)</f>
        <v>0</v>
      </c>
      <c r="AG587" s="2">
        <f>IF($AF587=0,0,IF($G587&gt;=CurrentWeek-RecencyWin,RecencyMult,1))</f>
        <v>0</v>
      </c>
      <c r="AH587" s="2">
        <f>IF(AND($C587&lt;&gt;"",$E587=CurrentSeason,$F587="REG",ISNUMBER($G587),$G587&lt;CurrentWeek-1,AND($M587&lt;&gt;"",$N587&lt;&gt;"")),1,0)</f>
        <v>0</v>
      </c>
      <c r="AI587" s="2">
        <f>IF($AH587=0,0,IF($G587&gt;=CurrentWeek-1-RecencyWin,RecencyMult,1))</f>
        <v>0</v>
      </c>
      <c r="AJ587" s="2">
        <f>IF($AF587=0,0,IF($G587&gt;=CurrentWeek-RecencyWin,TotRecency,1))</f>
        <v>0</v>
      </c>
      <c r="AK587" s="2">
        <f t="shared" si="9"/>
        <v>0</v>
      </c>
      <c r="AL587" s="2">
        <f t="shared" si="10"/>
        <v>0</v>
      </c>
      <c r="AM587" s="2">
        <f t="array" ref="AM587">IF($K587="",0,IFERROR(INDEX(CALC!$F$2:$F$33,MATCH($K587,CALC!$A$2:$A$33,0)),0))</f>
        <v>0</v>
      </c>
      <c r="AN587" s="2">
        <f t="array" ref="AN587">IF($K587="",0,IFERROR(INDEX(CALC!$I$2:$I$33,MATCH($K587,CALC!$A$2:$A$33,0)),0))</f>
        <v>0</v>
      </c>
      <c r="AO587" s="2">
        <f t="array" ref="AO587">IF($K587="",0,IFERROR(INDEX(CALC!$L$2:$L$33,MATCH($K587,CALC!$A$2:$A$33,0)),0))</f>
        <v>0</v>
      </c>
      <c r="AP587" s="2">
        <f t="array" ref="AP587">IF($K587="",0,IFERROR(INDEX(CALC!$T$2:$T$33,MATCH($K587,CALC!$A$2:$A$33,0)),0))</f>
        <v>0</v>
      </c>
      <c r="AQ587" s="2">
        <f t="array" ref="AQ587">IF($K587="",0,IFERROR(INDEX(CALC!$W$2:$W$33,MATCH($K587,CALC!$A$2:$A$33,0)),0))</f>
        <v>0</v>
      </c>
      <c r="AR587" s="2">
        <f t="array" ref="AR587">IF($K587="",0,IFERROR(INDEX(CALC!$Z$2:$Z$33,MATCH($K587,CALC!$A$2:$A$33,0)),0))</f>
        <v>0</v>
      </c>
      <c r="AS587" s="2">
        <f t="array" ref="AS587">IF($K587="",0,IFERROR(INDEX(CALC!$AJ$2:$AJ$33,MATCH($K587,CALC!$A$2:$A$33,0)),0))</f>
        <v>0</v>
      </c>
      <c r="AT587" s="2">
        <f t="array" ref="AT587">IF($K587="",0,IFERROR(INDEX(CALC!$AI$2:$AI$33,MATCH($K587,CALC!$A$2:$A$33,0)),0))</f>
        <v>0</v>
      </c>
      <c r="AU587" s="2">
        <f t="shared" si="11"/>
        <v>0</v>
      </c>
      <c r="AV587" s="2">
        <f t="shared" si="12"/>
        <v>0</v>
      </c>
    </row>
    <row r="588" ht="15.0" customHeight="1">
      <c r="A588" s="2">
        <v>293.0</v>
      </c>
      <c r="B588" s="2" t="s">
        <v>2366</v>
      </c>
      <c r="C588" s="2" t="str">
        <f>IFERROR(MATCH($A588,SchedSeq,0),"")</f>
        <v/>
      </c>
      <c r="D588" s="2" t="str">
        <f t="array" ref="D588">IF($C588="","",INDEX(SchedZone,$C588,MAP!$B$6))</f>
        <v/>
      </c>
      <c r="E588" s="2" t="str">
        <f t="array" ref="E588">IF($C588="","",INDEX(SchedZone,$C588,MAP!$B$3))</f>
        <v/>
      </c>
      <c r="F588" s="2" t="str">
        <f t="array" ref="F588">IF($C588="","",INDEX(SchedZone,$C588,MAP!$B$5))</f>
        <v/>
      </c>
      <c r="G588" s="2" t="str">
        <f t="array" ref="G588">IF($C588="","",INDEX(SchedZone,$C588,MAP!$B$4))</f>
        <v/>
      </c>
      <c r="H588" s="2" t="str">
        <f t="array" ref="H588">IF($C588="","",INDEX(SchedZone,$C588,MAP!$B$10))</f>
        <v/>
      </c>
      <c r="I588" s="2" t="str">
        <f t="array" ref="I588">IF($H588="","",IF(COUNTIF(Teams,$H588)&gt;0,$H588,IFERROR(INDEX(LISTS!$D$2:$D$12,MATCH($H588,LISTS!$C$2:$C$12,0)),"⚠ "&amp;$H588)))</f>
        <v/>
      </c>
      <c r="J588" s="2" t="str">
        <f t="array" ref="J588">IF($C588="","",INDEX(SchedZone,$C588,MAP!$B$12))</f>
        <v/>
      </c>
      <c r="K588" s="2" t="str">
        <f t="array" ref="K588">IF($J588="","",IF(COUNTIF(Teams,$J588)&gt;0,$J588,IFERROR(INDEX(LISTS!$D$2:$D$12,MATCH($J588,LISTS!$C$2:$C$12,0)),"⚠ "&amp;$J588)))</f>
        <v/>
      </c>
      <c r="L588" s="2" t="str">
        <f t="array" ref="L588">IF($C588="","",IF(INDEX(SchedZone,$C588,MAP!$B$14)="Neutral","N",IF($B588="HOME","H","A")))</f>
        <v/>
      </c>
      <c r="M588" s="2" t="str">
        <f t="array" ref="M588">IF($C588="","",IF(INDEX(SchedZone,$C588,MAP!$B$11)="","",INDEX(SchedZone,$C588,MAP!$B$11)))</f>
        <v/>
      </c>
      <c r="N588" s="2" t="str">
        <f t="array" ref="N588">IF($C588="","",IF(INDEX(SchedZone,$C588,MAP!$B$13)="","",INDEX(SchedZone,$C588,MAP!$B$13)))</f>
        <v/>
      </c>
      <c r="O588" s="2" t="str">
        <f t="array" ref="O588">IF($C588="","",INDEX(SchedZone,$C588,MAP!$B$15))</f>
        <v/>
      </c>
      <c r="P588" s="2" t="str">
        <f>IF($C588="","",IFERROR(MATCH($E588&amp;"|"&amp;$G588&amp;"|"&amp;$I588,StatsKey,0),""))</f>
        <v/>
      </c>
      <c r="Q588" s="2">
        <f t="array" ref="Q588">IF($P588="",0,INDEX(StatsZone,$P588,MAP!$E$9)+INDEX(StatsZone,$P588,MAP!$E$10)+INDEX(StatsZone,$P588,MAP!$E$11))</f>
        <v>0</v>
      </c>
      <c r="R588" s="2">
        <f t="array" ref="R588">IF($P588="",0,INDEX(StatsZone,$P588,MAP!$E$12))</f>
        <v>0</v>
      </c>
      <c r="S588" s="2">
        <f t="array" ref="S588">IF($P588="",0,INDEX(StatsZone,$P588,MAP!$E$13))</f>
        <v>0</v>
      </c>
      <c r="T588" s="2">
        <f t="shared" si="1"/>
        <v>0</v>
      </c>
      <c r="U588" s="2">
        <f t="array" ref="U588">IF($P588="",0,INDEX(StatsZone,$P588,MAP!$E$14)+INDEX(StatsZone,$P588,MAP!$E$15)+INDEX(StatsZone,$P588,MAP!$E$16))</f>
        <v>0</v>
      </c>
      <c r="V588" s="2">
        <f t="shared" si="2"/>
        <v>0</v>
      </c>
      <c r="W588" s="2">
        <f t="shared" si="3"/>
        <v>0</v>
      </c>
      <c r="X588" s="2">
        <f t="shared" si="4"/>
        <v>0</v>
      </c>
      <c r="Y588" s="2">
        <f t="shared" si="5"/>
        <v>0</v>
      </c>
      <c r="Z588" s="2">
        <f t="shared" si="6"/>
        <v>0</v>
      </c>
      <c r="AA588" s="2">
        <f t="shared" si="7"/>
        <v>0</v>
      </c>
      <c r="AB588" s="2">
        <f>IF(OR($M588="",$N588=""),0,MEDIAN(-MarginCap,MarginCap,($M588-$N588)-$AA588*HFA_Base))</f>
        <v>0</v>
      </c>
      <c r="AC588" s="2">
        <f t="array" ref="AC588">IF(OR($P588="",INDEX($P$3:$P$722,(ROW()+IF(MOD(ROW()-3,2)=0,1,-1))-3+1)=""),0,MEDIAN(-MarginCap,MarginCap,($T588-$W588)-$AA588*HFA_Base))</f>
        <v>0</v>
      </c>
      <c r="AD588" s="2">
        <f t="shared" si="8"/>
        <v>0</v>
      </c>
      <c r="AE588" s="2">
        <f>IF(OR($M588="",$N588=""),0,IF(AND(WEpa&gt;0,$AD588=1),(1-WEpa)*$AB588+WEpa*$AC588,$AB588))</f>
        <v>0</v>
      </c>
      <c r="AF588" s="2">
        <f>IF(AND($C588&lt;&gt;"",$E588=CurrentSeason,$F588="REG",ISNUMBER($G588),$G588&lt;CurrentWeek,AND($M588&lt;&gt;"",$N588&lt;&gt;"")),1,0)</f>
        <v>0</v>
      </c>
      <c r="AG588" s="2">
        <f>IF($AF588=0,0,IF($G588&gt;=CurrentWeek-RecencyWin,RecencyMult,1))</f>
        <v>0</v>
      </c>
      <c r="AH588" s="2">
        <f>IF(AND($C588&lt;&gt;"",$E588=CurrentSeason,$F588="REG",ISNUMBER($G588),$G588&lt;CurrentWeek-1,AND($M588&lt;&gt;"",$N588&lt;&gt;"")),1,0)</f>
        <v>0</v>
      </c>
      <c r="AI588" s="2">
        <f>IF($AH588=0,0,IF($G588&gt;=CurrentWeek-1-RecencyWin,RecencyMult,1))</f>
        <v>0</v>
      </c>
      <c r="AJ588" s="2">
        <f>IF($AF588=0,0,IF($G588&gt;=CurrentWeek-RecencyWin,TotRecency,1))</f>
        <v>0</v>
      </c>
      <c r="AK588" s="2">
        <f t="shared" si="9"/>
        <v>0</v>
      </c>
      <c r="AL588" s="2">
        <f t="shared" si="10"/>
        <v>0</v>
      </c>
      <c r="AM588" s="2">
        <f t="array" ref="AM588">IF($K588="",0,IFERROR(INDEX(CALC!$F$2:$F$33,MATCH($K588,CALC!$A$2:$A$33,0)),0))</f>
        <v>0</v>
      </c>
      <c r="AN588" s="2">
        <f t="array" ref="AN588">IF($K588="",0,IFERROR(INDEX(CALC!$I$2:$I$33,MATCH($K588,CALC!$A$2:$A$33,0)),0))</f>
        <v>0</v>
      </c>
      <c r="AO588" s="2">
        <f t="array" ref="AO588">IF($K588="",0,IFERROR(INDEX(CALC!$L$2:$L$33,MATCH($K588,CALC!$A$2:$A$33,0)),0))</f>
        <v>0</v>
      </c>
      <c r="AP588" s="2">
        <f t="array" ref="AP588">IF($K588="",0,IFERROR(INDEX(CALC!$T$2:$T$33,MATCH($K588,CALC!$A$2:$A$33,0)),0))</f>
        <v>0</v>
      </c>
      <c r="AQ588" s="2">
        <f t="array" ref="AQ588">IF($K588="",0,IFERROR(INDEX(CALC!$W$2:$W$33,MATCH($K588,CALC!$A$2:$A$33,0)),0))</f>
        <v>0</v>
      </c>
      <c r="AR588" s="2">
        <f t="array" ref="AR588">IF($K588="",0,IFERROR(INDEX(CALC!$Z$2:$Z$33,MATCH($K588,CALC!$A$2:$A$33,0)),0))</f>
        <v>0</v>
      </c>
      <c r="AS588" s="2">
        <f t="array" ref="AS588">IF($K588="",0,IFERROR(INDEX(CALC!$AJ$2:$AJ$33,MATCH($K588,CALC!$A$2:$A$33,0)),0))</f>
        <v>0</v>
      </c>
      <c r="AT588" s="2">
        <f t="array" ref="AT588">IF($K588="",0,IFERROR(INDEX(CALC!$AI$2:$AI$33,MATCH($K588,CALC!$A$2:$A$33,0)),0))</f>
        <v>0</v>
      </c>
      <c r="AU588" s="2">
        <f t="shared" si="11"/>
        <v>0</v>
      </c>
      <c r="AV588" s="2">
        <f t="shared" si="12"/>
        <v>0</v>
      </c>
    </row>
    <row r="589" ht="15.0" customHeight="1">
      <c r="A589" s="2">
        <v>294.0</v>
      </c>
      <c r="B589" s="2" t="s">
        <v>2365</v>
      </c>
      <c r="C589" s="2" t="str">
        <f>IFERROR(MATCH($A589,SchedSeq,0),"")</f>
        <v/>
      </c>
      <c r="D589" s="2" t="str">
        <f t="array" ref="D589">IF($C589="","",INDEX(SchedZone,$C589,MAP!$B$6))</f>
        <v/>
      </c>
      <c r="E589" s="2" t="str">
        <f t="array" ref="E589">IF($C589="","",INDEX(SchedZone,$C589,MAP!$B$3))</f>
        <v/>
      </c>
      <c r="F589" s="2" t="str">
        <f t="array" ref="F589">IF($C589="","",INDEX(SchedZone,$C589,MAP!$B$5))</f>
        <v/>
      </c>
      <c r="G589" s="2" t="str">
        <f t="array" ref="G589">IF($C589="","",INDEX(SchedZone,$C589,MAP!$B$4))</f>
        <v/>
      </c>
      <c r="H589" s="2" t="str">
        <f t="array" ref="H589">IF($C589="","",INDEX(SchedZone,$C589,MAP!$B$12))</f>
        <v/>
      </c>
      <c r="I589" s="2" t="str">
        <f t="array" ref="I589">IF($H589="","",IF(COUNTIF(Teams,$H589)&gt;0,$H589,IFERROR(INDEX(LISTS!$D$2:$D$12,MATCH($H589,LISTS!$C$2:$C$12,0)),"⚠ "&amp;$H589)))</f>
        <v/>
      </c>
      <c r="J589" s="2" t="str">
        <f t="array" ref="J589">IF($C589="","",INDEX(SchedZone,$C589,MAP!$B$10))</f>
        <v/>
      </c>
      <c r="K589" s="2" t="str">
        <f t="array" ref="K589">IF($J589="","",IF(COUNTIF(Teams,$J589)&gt;0,$J589,IFERROR(INDEX(LISTS!$D$2:$D$12,MATCH($J589,LISTS!$C$2:$C$12,0)),"⚠ "&amp;$J589)))</f>
        <v/>
      </c>
      <c r="L589" s="2" t="str">
        <f t="array" ref="L589">IF($C589="","",IF(INDEX(SchedZone,$C589,MAP!$B$14)="Neutral","N",IF($B589="HOME","H","A")))</f>
        <v/>
      </c>
      <c r="M589" s="2" t="str">
        <f t="array" ref="M589">IF($C589="","",IF(INDEX(SchedZone,$C589,MAP!$B$13)="","",INDEX(SchedZone,$C589,MAP!$B$13)))</f>
        <v/>
      </c>
      <c r="N589" s="2" t="str">
        <f t="array" ref="N589">IF($C589="","",IF(INDEX(SchedZone,$C589,MAP!$B$11)="","",INDEX(SchedZone,$C589,MAP!$B$11)))</f>
        <v/>
      </c>
      <c r="O589" s="2" t="str">
        <f t="array" ref="O589">IF($C589="","",INDEX(SchedZone,$C589,MAP!$B$16))</f>
        <v/>
      </c>
      <c r="P589" s="2" t="str">
        <f>IF($C589="","",IFERROR(MATCH($E589&amp;"|"&amp;$G589&amp;"|"&amp;$I589,StatsKey,0),""))</f>
        <v/>
      </c>
      <c r="Q589" s="2">
        <f t="array" ref="Q589">IF($P589="",0,INDEX(StatsZone,$P589,MAP!$E$9)+INDEX(StatsZone,$P589,MAP!$E$10)+INDEX(StatsZone,$P589,MAP!$E$11))</f>
        <v>0</v>
      </c>
      <c r="R589" s="2">
        <f t="array" ref="R589">IF($P589="",0,INDEX(StatsZone,$P589,MAP!$E$12))</f>
        <v>0</v>
      </c>
      <c r="S589" s="2">
        <f t="array" ref="S589">IF($P589="",0,INDEX(StatsZone,$P589,MAP!$E$13))</f>
        <v>0</v>
      </c>
      <c r="T589" s="2">
        <f t="shared" si="1"/>
        <v>0</v>
      </c>
      <c r="U589" s="2">
        <f t="array" ref="U589">IF($P589="",0,INDEX(StatsZone,$P589,MAP!$E$14)+INDEX(StatsZone,$P589,MAP!$E$15)+INDEX(StatsZone,$P589,MAP!$E$16))</f>
        <v>0</v>
      </c>
      <c r="V589" s="2">
        <f t="shared" si="2"/>
        <v>0</v>
      </c>
      <c r="W589" s="2">
        <f t="shared" si="3"/>
        <v>0</v>
      </c>
      <c r="X589" s="2">
        <f t="shared" si="4"/>
        <v>0</v>
      </c>
      <c r="Y589" s="2">
        <f t="shared" si="5"/>
        <v>0</v>
      </c>
      <c r="Z589" s="2">
        <f t="shared" si="6"/>
        <v>0</v>
      </c>
      <c r="AA589" s="2">
        <f t="shared" si="7"/>
        <v>0</v>
      </c>
      <c r="AB589" s="2">
        <f>IF(OR($M589="",$N589=""),0,MEDIAN(-MarginCap,MarginCap,($M589-$N589)-$AA589*HFA_Base))</f>
        <v>0</v>
      </c>
      <c r="AC589" s="2">
        <f t="array" ref="AC589">IF(OR($P589="",INDEX($P$3:$P$722,(ROW()+IF(MOD(ROW()-3,2)=0,1,-1))-3+1)=""),0,MEDIAN(-MarginCap,MarginCap,($T589-$W589)-$AA589*HFA_Base))</f>
        <v>0</v>
      </c>
      <c r="AD589" s="2">
        <f t="shared" si="8"/>
        <v>0</v>
      </c>
      <c r="AE589" s="2">
        <f>IF(OR($M589="",$N589=""),0,IF(AND(WEpa&gt;0,$AD589=1),(1-WEpa)*$AB589+WEpa*$AC589,$AB589))</f>
        <v>0</v>
      </c>
      <c r="AF589" s="2">
        <f>IF(AND($C589&lt;&gt;"",$E589=CurrentSeason,$F589="REG",ISNUMBER($G589),$G589&lt;CurrentWeek,AND($M589&lt;&gt;"",$N589&lt;&gt;"")),1,0)</f>
        <v>0</v>
      </c>
      <c r="AG589" s="2">
        <f>IF($AF589=0,0,IF($G589&gt;=CurrentWeek-RecencyWin,RecencyMult,1))</f>
        <v>0</v>
      </c>
      <c r="AH589" s="2">
        <f>IF(AND($C589&lt;&gt;"",$E589=CurrentSeason,$F589="REG",ISNUMBER($G589),$G589&lt;CurrentWeek-1,AND($M589&lt;&gt;"",$N589&lt;&gt;"")),1,0)</f>
        <v>0</v>
      </c>
      <c r="AI589" s="2">
        <f>IF($AH589=0,0,IF($G589&gt;=CurrentWeek-1-RecencyWin,RecencyMult,1))</f>
        <v>0</v>
      </c>
      <c r="AJ589" s="2">
        <f>IF($AF589=0,0,IF($G589&gt;=CurrentWeek-RecencyWin,TotRecency,1))</f>
        <v>0</v>
      </c>
      <c r="AK589" s="2">
        <f t="shared" si="9"/>
        <v>0</v>
      </c>
      <c r="AL589" s="2">
        <f t="shared" si="10"/>
        <v>0</v>
      </c>
      <c r="AM589" s="2">
        <f t="array" ref="AM589">IF($K589="",0,IFERROR(INDEX(CALC!$F$2:$F$33,MATCH($K589,CALC!$A$2:$A$33,0)),0))</f>
        <v>0</v>
      </c>
      <c r="AN589" s="2">
        <f t="array" ref="AN589">IF($K589="",0,IFERROR(INDEX(CALC!$I$2:$I$33,MATCH($K589,CALC!$A$2:$A$33,0)),0))</f>
        <v>0</v>
      </c>
      <c r="AO589" s="2">
        <f t="array" ref="AO589">IF($K589="",0,IFERROR(INDEX(CALC!$L$2:$L$33,MATCH($K589,CALC!$A$2:$A$33,0)),0))</f>
        <v>0</v>
      </c>
      <c r="AP589" s="2">
        <f t="array" ref="AP589">IF($K589="",0,IFERROR(INDEX(CALC!$T$2:$T$33,MATCH($K589,CALC!$A$2:$A$33,0)),0))</f>
        <v>0</v>
      </c>
      <c r="AQ589" s="2">
        <f t="array" ref="AQ589">IF($K589="",0,IFERROR(INDEX(CALC!$W$2:$W$33,MATCH($K589,CALC!$A$2:$A$33,0)),0))</f>
        <v>0</v>
      </c>
      <c r="AR589" s="2">
        <f t="array" ref="AR589">IF($K589="",0,IFERROR(INDEX(CALC!$Z$2:$Z$33,MATCH($K589,CALC!$A$2:$A$33,0)),0))</f>
        <v>0</v>
      </c>
      <c r="AS589" s="2">
        <f t="array" ref="AS589">IF($K589="",0,IFERROR(INDEX(CALC!$AJ$2:$AJ$33,MATCH($K589,CALC!$A$2:$A$33,0)),0))</f>
        <v>0</v>
      </c>
      <c r="AT589" s="2">
        <f t="array" ref="AT589">IF($K589="",0,IFERROR(INDEX(CALC!$AI$2:$AI$33,MATCH($K589,CALC!$A$2:$A$33,0)),0))</f>
        <v>0</v>
      </c>
      <c r="AU589" s="2">
        <f t="shared" si="11"/>
        <v>0</v>
      </c>
      <c r="AV589" s="2">
        <f t="shared" si="12"/>
        <v>0</v>
      </c>
    </row>
    <row r="590" ht="15.0" customHeight="1">
      <c r="A590" s="2">
        <v>294.0</v>
      </c>
      <c r="B590" s="2" t="s">
        <v>2366</v>
      </c>
      <c r="C590" s="2" t="str">
        <f>IFERROR(MATCH($A590,SchedSeq,0),"")</f>
        <v/>
      </c>
      <c r="D590" s="2" t="str">
        <f t="array" ref="D590">IF($C590="","",INDEX(SchedZone,$C590,MAP!$B$6))</f>
        <v/>
      </c>
      <c r="E590" s="2" t="str">
        <f t="array" ref="E590">IF($C590="","",INDEX(SchedZone,$C590,MAP!$B$3))</f>
        <v/>
      </c>
      <c r="F590" s="2" t="str">
        <f t="array" ref="F590">IF($C590="","",INDEX(SchedZone,$C590,MAP!$B$5))</f>
        <v/>
      </c>
      <c r="G590" s="2" t="str">
        <f t="array" ref="G590">IF($C590="","",INDEX(SchedZone,$C590,MAP!$B$4))</f>
        <v/>
      </c>
      <c r="H590" s="2" t="str">
        <f t="array" ref="H590">IF($C590="","",INDEX(SchedZone,$C590,MAP!$B$10))</f>
        <v/>
      </c>
      <c r="I590" s="2" t="str">
        <f t="array" ref="I590">IF($H590="","",IF(COUNTIF(Teams,$H590)&gt;0,$H590,IFERROR(INDEX(LISTS!$D$2:$D$12,MATCH($H590,LISTS!$C$2:$C$12,0)),"⚠ "&amp;$H590)))</f>
        <v/>
      </c>
      <c r="J590" s="2" t="str">
        <f t="array" ref="J590">IF($C590="","",INDEX(SchedZone,$C590,MAP!$B$12))</f>
        <v/>
      </c>
      <c r="K590" s="2" t="str">
        <f t="array" ref="K590">IF($J590="","",IF(COUNTIF(Teams,$J590)&gt;0,$J590,IFERROR(INDEX(LISTS!$D$2:$D$12,MATCH($J590,LISTS!$C$2:$C$12,0)),"⚠ "&amp;$J590)))</f>
        <v/>
      </c>
      <c r="L590" s="2" t="str">
        <f t="array" ref="L590">IF($C590="","",IF(INDEX(SchedZone,$C590,MAP!$B$14)="Neutral","N",IF($B590="HOME","H","A")))</f>
        <v/>
      </c>
      <c r="M590" s="2" t="str">
        <f t="array" ref="M590">IF($C590="","",IF(INDEX(SchedZone,$C590,MAP!$B$11)="","",INDEX(SchedZone,$C590,MAP!$B$11)))</f>
        <v/>
      </c>
      <c r="N590" s="2" t="str">
        <f t="array" ref="N590">IF($C590="","",IF(INDEX(SchedZone,$C590,MAP!$B$13)="","",INDEX(SchedZone,$C590,MAP!$B$13)))</f>
        <v/>
      </c>
      <c r="O590" s="2" t="str">
        <f t="array" ref="O590">IF($C590="","",INDEX(SchedZone,$C590,MAP!$B$15))</f>
        <v/>
      </c>
      <c r="P590" s="2" t="str">
        <f>IF($C590="","",IFERROR(MATCH($E590&amp;"|"&amp;$G590&amp;"|"&amp;$I590,StatsKey,0),""))</f>
        <v/>
      </c>
      <c r="Q590" s="2">
        <f t="array" ref="Q590">IF($P590="",0,INDEX(StatsZone,$P590,MAP!$E$9)+INDEX(StatsZone,$P590,MAP!$E$10)+INDEX(StatsZone,$P590,MAP!$E$11))</f>
        <v>0</v>
      </c>
      <c r="R590" s="2">
        <f t="array" ref="R590">IF($P590="",0,INDEX(StatsZone,$P590,MAP!$E$12))</f>
        <v>0</v>
      </c>
      <c r="S590" s="2">
        <f t="array" ref="S590">IF($P590="",0,INDEX(StatsZone,$P590,MAP!$E$13))</f>
        <v>0</v>
      </c>
      <c r="T590" s="2">
        <f t="shared" si="1"/>
        <v>0</v>
      </c>
      <c r="U590" s="2">
        <f t="array" ref="U590">IF($P590="",0,INDEX(StatsZone,$P590,MAP!$E$14)+INDEX(StatsZone,$P590,MAP!$E$15)+INDEX(StatsZone,$P590,MAP!$E$16))</f>
        <v>0</v>
      </c>
      <c r="V590" s="2">
        <f t="shared" si="2"/>
        <v>0</v>
      </c>
      <c r="W590" s="2">
        <f t="shared" si="3"/>
        <v>0</v>
      </c>
      <c r="X590" s="2">
        <f t="shared" si="4"/>
        <v>0</v>
      </c>
      <c r="Y590" s="2">
        <f t="shared" si="5"/>
        <v>0</v>
      </c>
      <c r="Z590" s="2">
        <f t="shared" si="6"/>
        <v>0</v>
      </c>
      <c r="AA590" s="2">
        <f t="shared" si="7"/>
        <v>0</v>
      </c>
      <c r="AB590" s="2">
        <f>IF(OR($M590="",$N590=""),0,MEDIAN(-MarginCap,MarginCap,($M590-$N590)-$AA590*HFA_Base))</f>
        <v>0</v>
      </c>
      <c r="AC590" s="2">
        <f t="array" ref="AC590">IF(OR($P590="",INDEX($P$3:$P$722,(ROW()+IF(MOD(ROW()-3,2)=0,1,-1))-3+1)=""),0,MEDIAN(-MarginCap,MarginCap,($T590-$W590)-$AA590*HFA_Base))</f>
        <v>0</v>
      </c>
      <c r="AD590" s="2">
        <f t="shared" si="8"/>
        <v>0</v>
      </c>
      <c r="AE590" s="2">
        <f>IF(OR($M590="",$N590=""),0,IF(AND(WEpa&gt;0,$AD590=1),(1-WEpa)*$AB590+WEpa*$AC590,$AB590))</f>
        <v>0</v>
      </c>
      <c r="AF590" s="2">
        <f>IF(AND($C590&lt;&gt;"",$E590=CurrentSeason,$F590="REG",ISNUMBER($G590),$G590&lt;CurrentWeek,AND($M590&lt;&gt;"",$N590&lt;&gt;"")),1,0)</f>
        <v>0</v>
      </c>
      <c r="AG590" s="2">
        <f>IF($AF590=0,0,IF($G590&gt;=CurrentWeek-RecencyWin,RecencyMult,1))</f>
        <v>0</v>
      </c>
      <c r="AH590" s="2">
        <f>IF(AND($C590&lt;&gt;"",$E590=CurrentSeason,$F590="REG",ISNUMBER($G590),$G590&lt;CurrentWeek-1,AND($M590&lt;&gt;"",$N590&lt;&gt;"")),1,0)</f>
        <v>0</v>
      </c>
      <c r="AI590" s="2">
        <f>IF($AH590=0,0,IF($G590&gt;=CurrentWeek-1-RecencyWin,RecencyMult,1))</f>
        <v>0</v>
      </c>
      <c r="AJ590" s="2">
        <f>IF($AF590=0,0,IF($G590&gt;=CurrentWeek-RecencyWin,TotRecency,1))</f>
        <v>0</v>
      </c>
      <c r="AK590" s="2">
        <f t="shared" si="9"/>
        <v>0</v>
      </c>
      <c r="AL590" s="2">
        <f t="shared" si="10"/>
        <v>0</v>
      </c>
      <c r="AM590" s="2">
        <f t="array" ref="AM590">IF($K590="",0,IFERROR(INDEX(CALC!$F$2:$F$33,MATCH($K590,CALC!$A$2:$A$33,0)),0))</f>
        <v>0</v>
      </c>
      <c r="AN590" s="2">
        <f t="array" ref="AN590">IF($K590="",0,IFERROR(INDEX(CALC!$I$2:$I$33,MATCH($K590,CALC!$A$2:$A$33,0)),0))</f>
        <v>0</v>
      </c>
      <c r="AO590" s="2">
        <f t="array" ref="AO590">IF($K590="",0,IFERROR(INDEX(CALC!$L$2:$L$33,MATCH($K590,CALC!$A$2:$A$33,0)),0))</f>
        <v>0</v>
      </c>
      <c r="AP590" s="2">
        <f t="array" ref="AP590">IF($K590="",0,IFERROR(INDEX(CALC!$T$2:$T$33,MATCH($K590,CALC!$A$2:$A$33,0)),0))</f>
        <v>0</v>
      </c>
      <c r="AQ590" s="2">
        <f t="array" ref="AQ590">IF($K590="",0,IFERROR(INDEX(CALC!$W$2:$W$33,MATCH($K590,CALC!$A$2:$A$33,0)),0))</f>
        <v>0</v>
      </c>
      <c r="AR590" s="2">
        <f t="array" ref="AR590">IF($K590="",0,IFERROR(INDEX(CALC!$Z$2:$Z$33,MATCH($K590,CALC!$A$2:$A$33,0)),0))</f>
        <v>0</v>
      </c>
      <c r="AS590" s="2">
        <f t="array" ref="AS590">IF($K590="",0,IFERROR(INDEX(CALC!$AJ$2:$AJ$33,MATCH($K590,CALC!$A$2:$A$33,0)),0))</f>
        <v>0</v>
      </c>
      <c r="AT590" s="2">
        <f t="array" ref="AT590">IF($K590="",0,IFERROR(INDEX(CALC!$AI$2:$AI$33,MATCH($K590,CALC!$A$2:$A$33,0)),0))</f>
        <v>0</v>
      </c>
      <c r="AU590" s="2">
        <f t="shared" si="11"/>
        <v>0</v>
      </c>
      <c r="AV590" s="2">
        <f t="shared" si="12"/>
        <v>0</v>
      </c>
    </row>
    <row r="591" ht="15.0" customHeight="1">
      <c r="A591" s="2">
        <v>295.0</v>
      </c>
      <c r="B591" s="2" t="s">
        <v>2365</v>
      </c>
      <c r="C591" s="2" t="str">
        <f>IFERROR(MATCH($A591,SchedSeq,0),"")</f>
        <v/>
      </c>
      <c r="D591" s="2" t="str">
        <f t="array" ref="D591">IF($C591="","",INDEX(SchedZone,$C591,MAP!$B$6))</f>
        <v/>
      </c>
      <c r="E591" s="2" t="str">
        <f t="array" ref="E591">IF($C591="","",INDEX(SchedZone,$C591,MAP!$B$3))</f>
        <v/>
      </c>
      <c r="F591" s="2" t="str">
        <f t="array" ref="F591">IF($C591="","",INDEX(SchedZone,$C591,MAP!$B$5))</f>
        <v/>
      </c>
      <c r="G591" s="2" t="str">
        <f t="array" ref="G591">IF($C591="","",INDEX(SchedZone,$C591,MAP!$B$4))</f>
        <v/>
      </c>
      <c r="H591" s="2" t="str">
        <f t="array" ref="H591">IF($C591="","",INDEX(SchedZone,$C591,MAP!$B$12))</f>
        <v/>
      </c>
      <c r="I591" s="2" t="str">
        <f t="array" ref="I591">IF($H591="","",IF(COUNTIF(Teams,$H591)&gt;0,$H591,IFERROR(INDEX(LISTS!$D$2:$D$12,MATCH($H591,LISTS!$C$2:$C$12,0)),"⚠ "&amp;$H591)))</f>
        <v/>
      </c>
      <c r="J591" s="2" t="str">
        <f t="array" ref="J591">IF($C591="","",INDEX(SchedZone,$C591,MAP!$B$10))</f>
        <v/>
      </c>
      <c r="K591" s="2" t="str">
        <f t="array" ref="K591">IF($J591="","",IF(COUNTIF(Teams,$J591)&gt;0,$J591,IFERROR(INDEX(LISTS!$D$2:$D$12,MATCH($J591,LISTS!$C$2:$C$12,0)),"⚠ "&amp;$J591)))</f>
        <v/>
      </c>
      <c r="L591" s="2" t="str">
        <f t="array" ref="L591">IF($C591="","",IF(INDEX(SchedZone,$C591,MAP!$B$14)="Neutral","N",IF($B591="HOME","H","A")))</f>
        <v/>
      </c>
      <c r="M591" s="2" t="str">
        <f t="array" ref="M591">IF($C591="","",IF(INDEX(SchedZone,$C591,MAP!$B$13)="","",INDEX(SchedZone,$C591,MAP!$B$13)))</f>
        <v/>
      </c>
      <c r="N591" s="2" t="str">
        <f t="array" ref="N591">IF($C591="","",IF(INDEX(SchedZone,$C591,MAP!$B$11)="","",INDEX(SchedZone,$C591,MAP!$B$11)))</f>
        <v/>
      </c>
      <c r="O591" s="2" t="str">
        <f t="array" ref="O591">IF($C591="","",INDEX(SchedZone,$C591,MAP!$B$16))</f>
        <v/>
      </c>
      <c r="P591" s="2" t="str">
        <f>IF($C591="","",IFERROR(MATCH($E591&amp;"|"&amp;$G591&amp;"|"&amp;$I591,StatsKey,0),""))</f>
        <v/>
      </c>
      <c r="Q591" s="2">
        <f t="array" ref="Q591">IF($P591="",0,INDEX(StatsZone,$P591,MAP!$E$9)+INDEX(StatsZone,$P591,MAP!$E$10)+INDEX(StatsZone,$P591,MAP!$E$11))</f>
        <v>0</v>
      </c>
      <c r="R591" s="2">
        <f t="array" ref="R591">IF($P591="",0,INDEX(StatsZone,$P591,MAP!$E$12))</f>
        <v>0</v>
      </c>
      <c r="S591" s="2">
        <f t="array" ref="S591">IF($P591="",0,INDEX(StatsZone,$P591,MAP!$E$13))</f>
        <v>0</v>
      </c>
      <c r="T591" s="2">
        <f t="shared" si="1"/>
        <v>0</v>
      </c>
      <c r="U591" s="2">
        <f t="array" ref="U591">IF($P591="",0,INDEX(StatsZone,$P591,MAP!$E$14)+INDEX(StatsZone,$P591,MAP!$E$15)+INDEX(StatsZone,$P591,MAP!$E$16))</f>
        <v>0</v>
      </c>
      <c r="V591" s="2">
        <f t="shared" si="2"/>
        <v>0</v>
      </c>
      <c r="W591" s="2">
        <f t="shared" si="3"/>
        <v>0</v>
      </c>
      <c r="X591" s="2">
        <f t="shared" si="4"/>
        <v>0</v>
      </c>
      <c r="Y591" s="2">
        <f t="shared" si="5"/>
        <v>0</v>
      </c>
      <c r="Z591" s="2">
        <f t="shared" si="6"/>
        <v>0</v>
      </c>
      <c r="AA591" s="2">
        <f t="shared" si="7"/>
        <v>0</v>
      </c>
      <c r="AB591" s="2">
        <f>IF(OR($M591="",$N591=""),0,MEDIAN(-MarginCap,MarginCap,($M591-$N591)-$AA591*HFA_Base))</f>
        <v>0</v>
      </c>
      <c r="AC591" s="2">
        <f t="array" ref="AC591">IF(OR($P591="",INDEX($P$3:$P$722,(ROW()+IF(MOD(ROW()-3,2)=0,1,-1))-3+1)=""),0,MEDIAN(-MarginCap,MarginCap,($T591-$W591)-$AA591*HFA_Base))</f>
        <v>0</v>
      </c>
      <c r="AD591" s="2">
        <f t="shared" si="8"/>
        <v>0</v>
      </c>
      <c r="AE591" s="2">
        <f>IF(OR($M591="",$N591=""),0,IF(AND(WEpa&gt;0,$AD591=1),(1-WEpa)*$AB591+WEpa*$AC591,$AB591))</f>
        <v>0</v>
      </c>
      <c r="AF591" s="2">
        <f>IF(AND($C591&lt;&gt;"",$E591=CurrentSeason,$F591="REG",ISNUMBER($G591),$G591&lt;CurrentWeek,AND($M591&lt;&gt;"",$N591&lt;&gt;"")),1,0)</f>
        <v>0</v>
      </c>
      <c r="AG591" s="2">
        <f>IF($AF591=0,0,IF($G591&gt;=CurrentWeek-RecencyWin,RecencyMult,1))</f>
        <v>0</v>
      </c>
      <c r="AH591" s="2">
        <f>IF(AND($C591&lt;&gt;"",$E591=CurrentSeason,$F591="REG",ISNUMBER($G591),$G591&lt;CurrentWeek-1,AND($M591&lt;&gt;"",$N591&lt;&gt;"")),1,0)</f>
        <v>0</v>
      </c>
      <c r="AI591" s="2">
        <f>IF($AH591=0,0,IF($G591&gt;=CurrentWeek-1-RecencyWin,RecencyMult,1))</f>
        <v>0</v>
      </c>
      <c r="AJ591" s="2">
        <f>IF($AF591=0,0,IF($G591&gt;=CurrentWeek-RecencyWin,TotRecency,1))</f>
        <v>0</v>
      </c>
      <c r="AK591" s="2">
        <f t="shared" si="9"/>
        <v>0</v>
      </c>
      <c r="AL591" s="2">
        <f t="shared" si="10"/>
        <v>0</v>
      </c>
      <c r="AM591" s="2">
        <f t="array" ref="AM591">IF($K591="",0,IFERROR(INDEX(CALC!$F$2:$F$33,MATCH($K591,CALC!$A$2:$A$33,0)),0))</f>
        <v>0</v>
      </c>
      <c r="AN591" s="2">
        <f t="array" ref="AN591">IF($K591="",0,IFERROR(INDEX(CALC!$I$2:$I$33,MATCH($K591,CALC!$A$2:$A$33,0)),0))</f>
        <v>0</v>
      </c>
      <c r="AO591" s="2">
        <f t="array" ref="AO591">IF($K591="",0,IFERROR(INDEX(CALC!$L$2:$L$33,MATCH($K591,CALC!$A$2:$A$33,0)),0))</f>
        <v>0</v>
      </c>
      <c r="AP591" s="2">
        <f t="array" ref="AP591">IF($K591="",0,IFERROR(INDEX(CALC!$T$2:$T$33,MATCH($K591,CALC!$A$2:$A$33,0)),0))</f>
        <v>0</v>
      </c>
      <c r="AQ591" s="2">
        <f t="array" ref="AQ591">IF($K591="",0,IFERROR(INDEX(CALC!$W$2:$W$33,MATCH($K591,CALC!$A$2:$A$33,0)),0))</f>
        <v>0</v>
      </c>
      <c r="AR591" s="2">
        <f t="array" ref="AR591">IF($K591="",0,IFERROR(INDEX(CALC!$Z$2:$Z$33,MATCH($K591,CALC!$A$2:$A$33,0)),0))</f>
        <v>0</v>
      </c>
      <c r="AS591" s="2">
        <f t="array" ref="AS591">IF($K591="",0,IFERROR(INDEX(CALC!$AJ$2:$AJ$33,MATCH($K591,CALC!$A$2:$A$33,0)),0))</f>
        <v>0</v>
      </c>
      <c r="AT591" s="2">
        <f t="array" ref="AT591">IF($K591="",0,IFERROR(INDEX(CALC!$AI$2:$AI$33,MATCH($K591,CALC!$A$2:$A$33,0)),0))</f>
        <v>0</v>
      </c>
      <c r="AU591" s="2">
        <f t="shared" si="11"/>
        <v>0</v>
      </c>
      <c r="AV591" s="2">
        <f t="shared" si="12"/>
        <v>0</v>
      </c>
    </row>
    <row r="592" ht="15.0" customHeight="1">
      <c r="A592" s="2">
        <v>295.0</v>
      </c>
      <c r="B592" s="2" t="s">
        <v>2366</v>
      </c>
      <c r="C592" s="2" t="str">
        <f>IFERROR(MATCH($A592,SchedSeq,0),"")</f>
        <v/>
      </c>
      <c r="D592" s="2" t="str">
        <f t="array" ref="D592">IF($C592="","",INDEX(SchedZone,$C592,MAP!$B$6))</f>
        <v/>
      </c>
      <c r="E592" s="2" t="str">
        <f t="array" ref="E592">IF($C592="","",INDEX(SchedZone,$C592,MAP!$B$3))</f>
        <v/>
      </c>
      <c r="F592" s="2" t="str">
        <f t="array" ref="F592">IF($C592="","",INDEX(SchedZone,$C592,MAP!$B$5))</f>
        <v/>
      </c>
      <c r="G592" s="2" t="str">
        <f t="array" ref="G592">IF($C592="","",INDEX(SchedZone,$C592,MAP!$B$4))</f>
        <v/>
      </c>
      <c r="H592" s="2" t="str">
        <f t="array" ref="H592">IF($C592="","",INDEX(SchedZone,$C592,MAP!$B$10))</f>
        <v/>
      </c>
      <c r="I592" s="2" t="str">
        <f t="array" ref="I592">IF($H592="","",IF(COUNTIF(Teams,$H592)&gt;0,$H592,IFERROR(INDEX(LISTS!$D$2:$D$12,MATCH($H592,LISTS!$C$2:$C$12,0)),"⚠ "&amp;$H592)))</f>
        <v/>
      </c>
      <c r="J592" s="2" t="str">
        <f t="array" ref="J592">IF($C592="","",INDEX(SchedZone,$C592,MAP!$B$12))</f>
        <v/>
      </c>
      <c r="K592" s="2" t="str">
        <f t="array" ref="K592">IF($J592="","",IF(COUNTIF(Teams,$J592)&gt;0,$J592,IFERROR(INDEX(LISTS!$D$2:$D$12,MATCH($J592,LISTS!$C$2:$C$12,0)),"⚠ "&amp;$J592)))</f>
        <v/>
      </c>
      <c r="L592" s="2" t="str">
        <f t="array" ref="L592">IF($C592="","",IF(INDEX(SchedZone,$C592,MAP!$B$14)="Neutral","N",IF($B592="HOME","H","A")))</f>
        <v/>
      </c>
      <c r="M592" s="2" t="str">
        <f t="array" ref="M592">IF($C592="","",IF(INDEX(SchedZone,$C592,MAP!$B$11)="","",INDEX(SchedZone,$C592,MAP!$B$11)))</f>
        <v/>
      </c>
      <c r="N592" s="2" t="str">
        <f t="array" ref="N592">IF($C592="","",IF(INDEX(SchedZone,$C592,MAP!$B$13)="","",INDEX(SchedZone,$C592,MAP!$B$13)))</f>
        <v/>
      </c>
      <c r="O592" s="2" t="str">
        <f t="array" ref="O592">IF($C592="","",INDEX(SchedZone,$C592,MAP!$B$15))</f>
        <v/>
      </c>
      <c r="P592" s="2" t="str">
        <f>IF($C592="","",IFERROR(MATCH($E592&amp;"|"&amp;$G592&amp;"|"&amp;$I592,StatsKey,0),""))</f>
        <v/>
      </c>
      <c r="Q592" s="2">
        <f t="array" ref="Q592">IF($P592="",0,INDEX(StatsZone,$P592,MAP!$E$9)+INDEX(StatsZone,$P592,MAP!$E$10)+INDEX(StatsZone,$P592,MAP!$E$11))</f>
        <v>0</v>
      </c>
      <c r="R592" s="2">
        <f t="array" ref="R592">IF($P592="",0,INDEX(StatsZone,$P592,MAP!$E$12))</f>
        <v>0</v>
      </c>
      <c r="S592" s="2">
        <f t="array" ref="S592">IF($P592="",0,INDEX(StatsZone,$P592,MAP!$E$13))</f>
        <v>0</v>
      </c>
      <c r="T592" s="2">
        <f t="shared" si="1"/>
        <v>0</v>
      </c>
      <c r="U592" s="2">
        <f t="array" ref="U592">IF($P592="",0,INDEX(StatsZone,$P592,MAP!$E$14)+INDEX(StatsZone,$P592,MAP!$E$15)+INDEX(StatsZone,$P592,MAP!$E$16))</f>
        <v>0</v>
      </c>
      <c r="V592" s="2">
        <f t="shared" si="2"/>
        <v>0</v>
      </c>
      <c r="W592" s="2">
        <f t="shared" si="3"/>
        <v>0</v>
      </c>
      <c r="X592" s="2">
        <f t="shared" si="4"/>
        <v>0</v>
      </c>
      <c r="Y592" s="2">
        <f t="shared" si="5"/>
        <v>0</v>
      </c>
      <c r="Z592" s="2">
        <f t="shared" si="6"/>
        <v>0</v>
      </c>
      <c r="AA592" s="2">
        <f t="shared" si="7"/>
        <v>0</v>
      </c>
      <c r="AB592" s="2">
        <f>IF(OR($M592="",$N592=""),0,MEDIAN(-MarginCap,MarginCap,($M592-$N592)-$AA592*HFA_Base))</f>
        <v>0</v>
      </c>
      <c r="AC592" s="2">
        <f t="array" ref="AC592">IF(OR($P592="",INDEX($P$3:$P$722,(ROW()+IF(MOD(ROW()-3,2)=0,1,-1))-3+1)=""),0,MEDIAN(-MarginCap,MarginCap,($T592-$W592)-$AA592*HFA_Base))</f>
        <v>0</v>
      </c>
      <c r="AD592" s="2">
        <f t="shared" si="8"/>
        <v>0</v>
      </c>
      <c r="AE592" s="2">
        <f>IF(OR($M592="",$N592=""),0,IF(AND(WEpa&gt;0,$AD592=1),(1-WEpa)*$AB592+WEpa*$AC592,$AB592))</f>
        <v>0</v>
      </c>
      <c r="AF592" s="2">
        <f>IF(AND($C592&lt;&gt;"",$E592=CurrentSeason,$F592="REG",ISNUMBER($G592),$G592&lt;CurrentWeek,AND($M592&lt;&gt;"",$N592&lt;&gt;"")),1,0)</f>
        <v>0</v>
      </c>
      <c r="AG592" s="2">
        <f>IF($AF592=0,0,IF($G592&gt;=CurrentWeek-RecencyWin,RecencyMult,1))</f>
        <v>0</v>
      </c>
      <c r="AH592" s="2">
        <f>IF(AND($C592&lt;&gt;"",$E592=CurrentSeason,$F592="REG",ISNUMBER($G592),$G592&lt;CurrentWeek-1,AND($M592&lt;&gt;"",$N592&lt;&gt;"")),1,0)</f>
        <v>0</v>
      </c>
      <c r="AI592" s="2">
        <f>IF($AH592=0,0,IF($G592&gt;=CurrentWeek-1-RecencyWin,RecencyMult,1))</f>
        <v>0</v>
      </c>
      <c r="AJ592" s="2">
        <f>IF($AF592=0,0,IF($G592&gt;=CurrentWeek-RecencyWin,TotRecency,1))</f>
        <v>0</v>
      </c>
      <c r="AK592" s="2">
        <f t="shared" si="9"/>
        <v>0</v>
      </c>
      <c r="AL592" s="2">
        <f t="shared" si="10"/>
        <v>0</v>
      </c>
      <c r="AM592" s="2">
        <f t="array" ref="AM592">IF($K592="",0,IFERROR(INDEX(CALC!$F$2:$F$33,MATCH($K592,CALC!$A$2:$A$33,0)),0))</f>
        <v>0</v>
      </c>
      <c r="AN592" s="2">
        <f t="array" ref="AN592">IF($K592="",0,IFERROR(INDEX(CALC!$I$2:$I$33,MATCH($K592,CALC!$A$2:$A$33,0)),0))</f>
        <v>0</v>
      </c>
      <c r="AO592" s="2">
        <f t="array" ref="AO592">IF($K592="",0,IFERROR(INDEX(CALC!$L$2:$L$33,MATCH($K592,CALC!$A$2:$A$33,0)),0))</f>
        <v>0</v>
      </c>
      <c r="AP592" s="2">
        <f t="array" ref="AP592">IF($K592="",0,IFERROR(INDEX(CALC!$T$2:$T$33,MATCH($K592,CALC!$A$2:$A$33,0)),0))</f>
        <v>0</v>
      </c>
      <c r="AQ592" s="2">
        <f t="array" ref="AQ592">IF($K592="",0,IFERROR(INDEX(CALC!$W$2:$W$33,MATCH($K592,CALC!$A$2:$A$33,0)),0))</f>
        <v>0</v>
      </c>
      <c r="AR592" s="2">
        <f t="array" ref="AR592">IF($K592="",0,IFERROR(INDEX(CALC!$Z$2:$Z$33,MATCH($K592,CALC!$A$2:$A$33,0)),0))</f>
        <v>0</v>
      </c>
      <c r="AS592" s="2">
        <f t="array" ref="AS592">IF($K592="",0,IFERROR(INDEX(CALC!$AJ$2:$AJ$33,MATCH($K592,CALC!$A$2:$A$33,0)),0))</f>
        <v>0</v>
      </c>
      <c r="AT592" s="2">
        <f t="array" ref="AT592">IF($K592="",0,IFERROR(INDEX(CALC!$AI$2:$AI$33,MATCH($K592,CALC!$A$2:$A$33,0)),0))</f>
        <v>0</v>
      </c>
      <c r="AU592" s="2">
        <f t="shared" si="11"/>
        <v>0</v>
      </c>
      <c r="AV592" s="2">
        <f t="shared" si="12"/>
        <v>0</v>
      </c>
    </row>
    <row r="593" ht="15.0" customHeight="1">
      <c r="A593" s="2">
        <v>296.0</v>
      </c>
      <c r="B593" s="2" t="s">
        <v>2365</v>
      </c>
      <c r="C593" s="2" t="str">
        <f>IFERROR(MATCH($A593,SchedSeq,0),"")</f>
        <v/>
      </c>
      <c r="D593" s="2" t="str">
        <f t="array" ref="D593">IF($C593="","",INDEX(SchedZone,$C593,MAP!$B$6))</f>
        <v/>
      </c>
      <c r="E593" s="2" t="str">
        <f t="array" ref="E593">IF($C593="","",INDEX(SchedZone,$C593,MAP!$B$3))</f>
        <v/>
      </c>
      <c r="F593" s="2" t="str">
        <f t="array" ref="F593">IF($C593="","",INDEX(SchedZone,$C593,MAP!$B$5))</f>
        <v/>
      </c>
      <c r="G593" s="2" t="str">
        <f t="array" ref="G593">IF($C593="","",INDEX(SchedZone,$C593,MAP!$B$4))</f>
        <v/>
      </c>
      <c r="H593" s="2" t="str">
        <f t="array" ref="H593">IF($C593="","",INDEX(SchedZone,$C593,MAP!$B$12))</f>
        <v/>
      </c>
      <c r="I593" s="2" t="str">
        <f t="array" ref="I593">IF($H593="","",IF(COUNTIF(Teams,$H593)&gt;0,$H593,IFERROR(INDEX(LISTS!$D$2:$D$12,MATCH($H593,LISTS!$C$2:$C$12,0)),"⚠ "&amp;$H593)))</f>
        <v/>
      </c>
      <c r="J593" s="2" t="str">
        <f t="array" ref="J593">IF($C593="","",INDEX(SchedZone,$C593,MAP!$B$10))</f>
        <v/>
      </c>
      <c r="K593" s="2" t="str">
        <f t="array" ref="K593">IF($J593="","",IF(COUNTIF(Teams,$J593)&gt;0,$J593,IFERROR(INDEX(LISTS!$D$2:$D$12,MATCH($J593,LISTS!$C$2:$C$12,0)),"⚠ "&amp;$J593)))</f>
        <v/>
      </c>
      <c r="L593" s="2" t="str">
        <f t="array" ref="L593">IF($C593="","",IF(INDEX(SchedZone,$C593,MAP!$B$14)="Neutral","N",IF($B593="HOME","H","A")))</f>
        <v/>
      </c>
      <c r="M593" s="2" t="str">
        <f t="array" ref="M593">IF($C593="","",IF(INDEX(SchedZone,$C593,MAP!$B$13)="","",INDEX(SchedZone,$C593,MAP!$B$13)))</f>
        <v/>
      </c>
      <c r="N593" s="2" t="str">
        <f t="array" ref="N593">IF($C593="","",IF(INDEX(SchedZone,$C593,MAP!$B$11)="","",INDEX(SchedZone,$C593,MAP!$B$11)))</f>
        <v/>
      </c>
      <c r="O593" s="2" t="str">
        <f t="array" ref="O593">IF($C593="","",INDEX(SchedZone,$C593,MAP!$B$16))</f>
        <v/>
      </c>
      <c r="P593" s="2" t="str">
        <f>IF($C593="","",IFERROR(MATCH($E593&amp;"|"&amp;$G593&amp;"|"&amp;$I593,StatsKey,0),""))</f>
        <v/>
      </c>
      <c r="Q593" s="2">
        <f t="array" ref="Q593">IF($P593="",0,INDEX(StatsZone,$P593,MAP!$E$9)+INDEX(StatsZone,$P593,MAP!$E$10)+INDEX(StatsZone,$P593,MAP!$E$11))</f>
        <v>0</v>
      </c>
      <c r="R593" s="2">
        <f t="array" ref="R593">IF($P593="",0,INDEX(StatsZone,$P593,MAP!$E$12))</f>
        <v>0</v>
      </c>
      <c r="S593" s="2">
        <f t="array" ref="S593">IF($P593="",0,INDEX(StatsZone,$P593,MAP!$E$13))</f>
        <v>0</v>
      </c>
      <c r="T593" s="2">
        <f t="shared" si="1"/>
        <v>0</v>
      </c>
      <c r="U593" s="2">
        <f t="array" ref="U593">IF($P593="",0,INDEX(StatsZone,$P593,MAP!$E$14)+INDEX(StatsZone,$P593,MAP!$E$15)+INDEX(StatsZone,$P593,MAP!$E$16))</f>
        <v>0</v>
      </c>
      <c r="V593" s="2">
        <f t="shared" si="2"/>
        <v>0</v>
      </c>
      <c r="W593" s="2">
        <f t="shared" si="3"/>
        <v>0</v>
      </c>
      <c r="X593" s="2">
        <f t="shared" si="4"/>
        <v>0</v>
      </c>
      <c r="Y593" s="2">
        <f t="shared" si="5"/>
        <v>0</v>
      </c>
      <c r="Z593" s="2">
        <f t="shared" si="6"/>
        <v>0</v>
      </c>
      <c r="AA593" s="2">
        <f t="shared" si="7"/>
        <v>0</v>
      </c>
      <c r="AB593" s="2">
        <f>IF(OR($M593="",$N593=""),0,MEDIAN(-MarginCap,MarginCap,($M593-$N593)-$AA593*HFA_Base))</f>
        <v>0</v>
      </c>
      <c r="AC593" s="2">
        <f t="array" ref="AC593">IF(OR($P593="",INDEX($P$3:$P$722,(ROW()+IF(MOD(ROW()-3,2)=0,1,-1))-3+1)=""),0,MEDIAN(-MarginCap,MarginCap,($T593-$W593)-$AA593*HFA_Base))</f>
        <v>0</v>
      </c>
      <c r="AD593" s="2">
        <f t="shared" si="8"/>
        <v>0</v>
      </c>
      <c r="AE593" s="2">
        <f>IF(OR($M593="",$N593=""),0,IF(AND(WEpa&gt;0,$AD593=1),(1-WEpa)*$AB593+WEpa*$AC593,$AB593))</f>
        <v>0</v>
      </c>
      <c r="AF593" s="2">
        <f>IF(AND($C593&lt;&gt;"",$E593=CurrentSeason,$F593="REG",ISNUMBER($G593),$G593&lt;CurrentWeek,AND($M593&lt;&gt;"",$N593&lt;&gt;"")),1,0)</f>
        <v>0</v>
      </c>
      <c r="AG593" s="2">
        <f>IF($AF593=0,0,IF($G593&gt;=CurrentWeek-RecencyWin,RecencyMult,1))</f>
        <v>0</v>
      </c>
      <c r="AH593" s="2">
        <f>IF(AND($C593&lt;&gt;"",$E593=CurrentSeason,$F593="REG",ISNUMBER($G593),$G593&lt;CurrentWeek-1,AND($M593&lt;&gt;"",$N593&lt;&gt;"")),1,0)</f>
        <v>0</v>
      </c>
      <c r="AI593" s="2">
        <f>IF($AH593=0,0,IF($G593&gt;=CurrentWeek-1-RecencyWin,RecencyMult,1))</f>
        <v>0</v>
      </c>
      <c r="AJ593" s="2">
        <f>IF($AF593=0,0,IF($G593&gt;=CurrentWeek-RecencyWin,TotRecency,1))</f>
        <v>0</v>
      </c>
      <c r="AK593" s="2">
        <f t="shared" si="9"/>
        <v>0</v>
      </c>
      <c r="AL593" s="2">
        <f t="shared" si="10"/>
        <v>0</v>
      </c>
      <c r="AM593" s="2">
        <f t="array" ref="AM593">IF($K593="",0,IFERROR(INDEX(CALC!$F$2:$F$33,MATCH($K593,CALC!$A$2:$A$33,0)),0))</f>
        <v>0</v>
      </c>
      <c r="AN593" s="2">
        <f t="array" ref="AN593">IF($K593="",0,IFERROR(INDEX(CALC!$I$2:$I$33,MATCH($K593,CALC!$A$2:$A$33,0)),0))</f>
        <v>0</v>
      </c>
      <c r="AO593" s="2">
        <f t="array" ref="AO593">IF($K593="",0,IFERROR(INDEX(CALC!$L$2:$L$33,MATCH($K593,CALC!$A$2:$A$33,0)),0))</f>
        <v>0</v>
      </c>
      <c r="AP593" s="2">
        <f t="array" ref="AP593">IF($K593="",0,IFERROR(INDEX(CALC!$T$2:$T$33,MATCH($K593,CALC!$A$2:$A$33,0)),0))</f>
        <v>0</v>
      </c>
      <c r="AQ593" s="2">
        <f t="array" ref="AQ593">IF($K593="",0,IFERROR(INDEX(CALC!$W$2:$W$33,MATCH($K593,CALC!$A$2:$A$33,0)),0))</f>
        <v>0</v>
      </c>
      <c r="AR593" s="2">
        <f t="array" ref="AR593">IF($K593="",0,IFERROR(INDEX(CALC!$Z$2:$Z$33,MATCH($K593,CALC!$A$2:$A$33,0)),0))</f>
        <v>0</v>
      </c>
      <c r="AS593" s="2">
        <f t="array" ref="AS593">IF($K593="",0,IFERROR(INDEX(CALC!$AJ$2:$AJ$33,MATCH($K593,CALC!$A$2:$A$33,0)),0))</f>
        <v>0</v>
      </c>
      <c r="AT593" s="2">
        <f t="array" ref="AT593">IF($K593="",0,IFERROR(INDEX(CALC!$AI$2:$AI$33,MATCH($K593,CALC!$A$2:$A$33,0)),0))</f>
        <v>0</v>
      </c>
      <c r="AU593" s="2">
        <f t="shared" si="11"/>
        <v>0</v>
      </c>
      <c r="AV593" s="2">
        <f t="shared" si="12"/>
        <v>0</v>
      </c>
    </row>
    <row r="594" ht="15.0" customHeight="1">
      <c r="A594" s="2">
        <v>296.0</v>
      </c>
      <c r="B594" s="2" t="s">
        <v>2366</v>
      </c>
      <c r="C594" s="2" t="str">
        <f>IFERROR(MATCH($A594,SchedSeq,0),"")</f>
        <v/>
      </c>
      <c r="D594" s="2" t="str">
        <f t="array" ref="D594">IF($C594="","",INDEX(SchedZone,$C594,MAP!$B$6))</f>
        <v/>
      </c>
      <c r="E594" s="2" t="str">
        <f t="array" ref="E594">IF($C594="","",INDEX(SchedZone,$C594,MAP!$B$3))</f>
        <v/>
      </c>
      <c r="F594" s="2" t="str">
        <f t="array" ref="F594">IF($C594="","",INDEX(SchedZone,$C594,MAP!$B$5))</f>
        <v/>
      </c>
      <c r="G594" s="2" t="str">
        <f t="array" ref="G594">IF($C594="","",INDEX(SchedZone,$C594,MAP!$B$4))</f>
        <v/>
      </c>
      <c r="H594" s="2" t="str">
        <f t="array" ref="H594">IF($C594="","",INDEX(SchedZone,$C594,MAP!$B$10))</f>
        <v/>
      </c>
      <c r="I594" s="2" t="str">
        <f t="array" ref="I594">IF($H594="","",IF(COUNTIF(Teams,$H594)&gt;0,$H594,IFERROR(INDEX(LISTS!$D$2:$D$12,MATCH($H594,LISTS!$C$2:$C$12,0)),"⚠ "&amp;$H594)))</f>
        <v/>
      </c>
      <c r="J594" s="2" t="str">
        <f t="array" ref="J594">IF($C594="","",INDEX(SchedZone,$C594,MAP!$B$12))</f>
        <v/>
      </c>
      <c r="K594" s="2" t="str">
        <f t="array" ref="K594">IF($J594="","",IF(COUNTIF(Teams,$J594)&gt;0,$J594,IFERROR(INDEX(LISTS!$D$2:$D$12,MATCH($J594,LISTS!$C$2:$C$12,0)),"⚠ "&amp;$J594)))</f>
        <v/>
      </c>
      <c r="L594" s="2" t="str">
        <f t="array" ref="L594">IF($C594="","",IF(INDEX(SchedZone,$C594,MAP!$B$14)="Neutral","N",IF($B594="HOME","H","A")))</f>
        <v/>
      </c>
      <c r="M594" s="2" t="str">
        <f t="array" ref="M594">IF($C594="","",IF(INDEX(SchedZone,$C594,MAP!$B$11)="","",INDEX(SchedZone,$C594,MAP!$B$11)))</f>
        <v/>
      </c>
      <c r="N594" s="2" t="str">
        <f t="array" ref="N594">IF($C594="","",IF(INDEX(SchedZone,$C594,MAP!$B$13)="","",INDEX(SchedZone,$C594,MAP!$B$13)))</f>
        <v/>
      </c>
      <c r="O594" s="2" t="str">
        <f t="array" ref="O594">IF($C594="","",INDEX(SchedZone,$C594,MAP!$B$15))</f>
        <v/>
      </c>
      <c r="P594" s="2" t="str">
        <f>IF($C594="","",IFERROR(MATCH($E594&amp;"|"&amp;$G594&amp;"|"&amp;$I594,StatsKey,0),""))</f>
        <v/>
      </c>
      <c r="Q594" s="2">
        <f t="array" ref="Q594">IF($P594="",0,INDEX(StatsZone,$P594,MAP!$E$9)+INDEX(StatsZone,$P594,MAP!$E$10)+INDEX(StatsZone,$P594,MAP!$E$11))</f>
        <v>0</v>
      </c>
      <c r="R594" s="2">
        <f t="array" ref="R594">IF($P594="",0,INDEX(StatsZone,$P594,MAP!$E$12))</f>
        <v>0</v>
      </c>
      <c r="S594" s="2">
        <f t="array" ref="S594">IF($P594="",0,INDEX(StatsZone,$P594,MAP!$E$13))</f>
        <v>0</v>
      </c>
      <c r="T594" s="2">
        <f t="shared" si="1"/>
        <v>0</v>
      </c>
      <c r="U594" s="2">
        <f t="array" ref="U594">IF($P594="",0,INDEX(StatsZone,$P594,MAP!$E$14)+INDEX(StatsZone,$P594,MAP!$E$15)+INDEX(StatsZone,$P594,MAP!$E$16))</f>
        <v>0</v>
      </c>
      <c r="V594" s="2">
        <f t="shared" si="2"/>
        <v>0</v>
      </c>
      <c r="W594" s="2">
        <f t="shared" si="3"/>
        <v>0</v>
      </c>
      <c r="X594" s="2">
        <f t="shared" si="4"/>
        <v>0</v>
      </c>
      <c r="Y594" s="2">
        <f t="shared" si="5"/>
        <v>0</v>
      </c>
      <c r="Z594" s="2">
        <f t="shared" si="6"/>
        <v>0</v>
      </c>
      <c r="AA594" s="2">
        <f t="shared" si="7"/>
        <v>0</v>
      </c>
      <c r="AB594" s="2">
        <f>IF(OR($M594="",$N594=""),0,MEDIAN(-MarginCap,MarginCap,($M594-$N594)-$AA594*HFA_Base))</f>
        <v>0</v>
      </c>
      <c r="AC594" s="2">
        <f t="array" ref="AC594">IF(OR($P594="",INDEX($P$3:$P$722,(ROW()+IF(MOD(ROW()-3,2)=0,1,-1))-3+1)=""),0,MEDIAN(-MarginCap,MarginCap,($T594-$W594)-$AA594*HFA_Base))</f>
        <v>0</v>
      </c>
      <c r="AD594" s="2">
        <f t="shared" si="8"/>
        <v>0</v>
      </c>
      <c r="AE594" s="2">
        <f>IF(OR($M594="",$N594=""),0,IF(AND(WEpa&gt;0,$AD594=1),(1-WEpa)*$AB594+WEpa*$AC594,$AB594))</f>
        <v>0</v>
      </c>
      <c r="AF594" s="2">
        <f>IF(AND($C594&lt;&gt;"",$E594=CurrentSeason,$F594="REG",ISNUMBER($G594),$G594&lt;CurrentWeek,AND($M594&lt;&gt;"",$N594&lt;&gt;"")),1,0)</f>
        <v>0</v>
      </c>
      <c r="AG594" s="2">
        <f>IF($AF594=0,0,IF($G594&gt;=CurrentWeek-RecencyWin,RecencyMult,1))</f>
        <v>0</v>
      </c>
      <c r="AH594" s="2">
        <f>IF(AND($C594&lt;&gt;"",$E594=CurrentSeason,$F594="REG",ISNUMBER($G594),$G594&lt;CurrentWeek-1,AND($M594&lt;&gt;"",$N594&lt;&gt;"")),1,0)</f>
        <v>0</v>
      </c>
      <c r="AI594" s="2">
        <f>IF($AH594=0,0,IF($G594&gt;=CurrentWeek-1-RecencyWin,RecencyMult,1))</f>
        <v>0</v>
      </c>
      <c r="AJ594" s="2">
        <f>IF($AF594=0,0,IF($G594&gt;=CurrentWeek-RecencyWin,TotRecency,1))</f>
        <v>0</v>
      </c>
      <c r="AK594" s="2">
        <f t="shared" si="9"/>
        <v>0</v>
      </c>
      <c r="AL594" s="2">
        <f t="shared" si="10"/>
        <v>0</v>
      </c>
      <c r="AM594" s="2">
        <f t="array" ref="AM594">IF($K594="",0,IFERROR(INDEX(CALC!$F$2:$F$33,MATCH($K594,CALC!$A$2:$A$33,0)),0))</f>
        <v>0</v>
      </c>
      <c r="AN594" s="2">
        <f t="array" ref="AN594">IF($K594="",0,IFERROR(INDEX(CALC!$I$2:$I$33,MATCH($K594,CALC!$A$2:$A$33,0)),0))</f>
        <v>0</v>
      </c>
      <c r="AO594" s="2">
        <f t="array" ref="AO594">IF($K594="",0,IFERROR(INDEX(CALC!$L$2:$L$33,MATCH($K594,CALC!$A$2:$A$33,0)),0))</f>
        <v>0</v>
      </c>
      <c r="AP594" s="2">
        <f t="array" ref="AP594">IF($K594="",0,IFERROR(INDEX(CALC!$T$2:$T$33,MATCH($K594,CALC!$A$2:$A$33,0)),0))</f>
        <v>0</v>
      </c>
      <c r="AQ594" s="2">
        <f t="array" ref="AQ594">IF($K594="",0,IFERROR(INDEX(CALC!$W$2:$W$33,MATCH($K594,CALC!$A$2:$A$33,0)),0))</f>
        <v>0</v>
      </c>
      <c r="AR594" s="2">
        <f t="array" ref="AR594">IF($K594="",0,IFERROR(INDEX(CALC!$Z$2:$Z$33,MATCH($K594,CALC!$A$2:$A$33,0)),0))</f>
        <v>0</v>
      </c>
      <c r="AS594" s="2">
        <f t="array" ref="AS594">IF($K594="",0,IFERROR(INDEX(CALC!$AJ$2:$AJ$33,MATCH($K594,CALC!$A$2:$A$33,0)),0))</f>
        <v>0</v>
      </c>
      <c r="AT594" s="2">
        <f t="array" ref="AT594">IF($K594="",0,IFERROR(INDEX(CALC!$AI$2:$AI$33,MATCH($K594,CALC!$A$2:$A$33,0)),0))</f>
        <v>0</v>
      </c>
      <c r="AU594" s="2">
        <f t="shared" si="11"/>
        <v>0</v>
      </c>
      <c r="AV594" s="2">
        <f t="shared" si="12"/>
        <v>0</v>
      </c>
    </row>
    <row r="595" ht="15.0" customHeight="1">
      <c r="A595" s="2">
        <v>297.0</v>
      </c>
      <c r="B595" s="2" t="s">
        <v>2365</v>
      </c>
      <c r="C595" s="2" t="str">
        <f>IFERROR(MATCH($A595,SchedSeq,0),"")</f>
        <v/>
      </c>
      <c r="D595" s="2" t="str">
        <f t="array" ref="D595">IF($C595="","",INDEX(SchedZone,$C595,MAP!$B$6))</f>
        <v/>
      </c>
      <c r="E595" s="2" t="str">
        <f t="array" ref="E595">IF($C595="","",INDEX(SchedZone,$C595,MAP!$B$3))</f>
        <v/>
      </c>
      <c r="F595" s="2" t="str">
        <f t="array" ref="F595">IF($C595="","",INDEX(SchedZone,$C595,MAP!$B$5))</f>
        <v/>
      </c>
      <c r="G595" s="2" t="str">
        <f t="array" ref="G595">IF($C595="","",INDEX(SchedZone,$C595,MAP!$B$4))</f>
        <v/>
      </c>
      <c r="H595" s="2" t="str">
        <f t="array" ref="H595">IF($C595="","",INDEX(SchedZone,$C595,MAP!$B$12))</f>
        <v/>
      </c>
      <c r="I595" s="2" t="str">
        <f t="array" ref="I595">IF($H595="","",IF(COUNTIF(Teams,$H595)&gt;0,$H595,IFERROR(INDEX(LISTS!$D$2:$D$12,MATCH($H595,LISTS!$C$2:$C$12,0)),"⚠ "&amp;$H595)))</f>
        <v/>
      </c>
      <c r="J595" s="2" t="str">
        <f t="array" ref="J595">IF($C595="","",INDEX(SchedZone,$C595,MAP!$B$10))</f>
        <v/>
      </c>
      <c r="K595" s="2" t="str">
        <f t="array" ref="K595">IF($J595="","",IF(COUNTIF(Teams,$J595)&gt;0,$J595,IFERROR(INDEX(LISTS!$D$2:$D$12,MATCH($J595,LISTS!$C$2:$C$12,0)),"⚠ "&amp;$J595)))</f>
        <v/>
      </c>
      <c r="L595" s="2" t="str">
        <f t="array" ref="L595">IF($C595="","",IF(INDEX(SchedZone,$C595,MAP!$B$14)="Neutral","N",IF($B595="HOME","H","A")))</f>
        <v/>
      </c>
      <c r="M595" s="2" t="str">
        <f t="array" ref="M595">IF($C595="","",IF(INDEX(SchedZone,$C595,MAP!$B$13)="","",INDEX(SchedZone,$C595,MAP!$B$13)))</f>
        <v/>
      </c>
      <c r="N595" s="2" t="str">
        <f t="array" ref="N595">IF($C595="","",IF(INDEX(SchedZone,$C595,MAP!$B$11)="","",INDEX(SchedZone,$C595,MAP!$B$11)))</f>
        <v/>
      </c>
      <c r="O595" s="2" t="str">
        <f t="array" ref="O595">IF($C595="","",INDEX(SchedZone,$C595,MAP!$B$16))</f>
        <v/>
      </c>
      <c r="P595" s="2" t="str">
        <f>IF($C595="","",IFERROR(MATCH($E595&amp;"|"&amp;$G595&amp;"|"&amp;$I595,StatsKey,0),""))</f>
        <v/>
      </c>
      <c r="Q595" s="2">
        <f t="array" ref="Q595">IF($P595="",0,INDEX(StatsZone,$P595,MAP!$E$9)+INDEX(StatsZone,$P595,MAP!$E$10)+INDEX(StatsZone,$P595,MAP!$E$11))</f>
        <v>0</v>
      </c>
      <c r="R595" s="2">
        <f t="array" ref="R595">IF($P595="",0,INDEX(StatsZone,$P595,MAP!$E$12))</f>
        <v>0</v>
      </c>
      <c r="S595" s="2">
        <f t="array" ref="S595">IF($P595="",0,INDEX(StatsZone,$P595,MAP!$E$13))</f>
        <v>0</v>
      </c>
      <c r="T595" s="2">
        <f t="shared" si="1"/>
        <v>0</v>
      </c>
      <c r="U595" s="2">
        <f t="array" ref="U595">IF($P595="",0,INDEX(StatsZone,$P595,MAP!$E$14)+INDEX(StatsZone,$P595,MAP!$E$15)+INDEX(StatsZone,$P595,MAP!$E$16))</f>
        <v>0</v>
      </c>
      <c r="V595" s="2">
        <f t="shared" si="2"/>
        <v>0</v>
      </c>
      <c r="W595" s="2">
        <f t="shared" si="3"/>
        <v>0</v>
      </c>
      <c r="X595" s="2">
        <f t="shared" si="4"/>
        <v>0</v>
      </c>
      <c r="Y595" s="2">
        <f t="shared" si="5"/>
        <v>0</v>
      </c>
      <c r="Z595" s="2">
        <f t="shared" si="6"/>
        <v>0</v>
      </c>
      <c r="AA595" s="2">
        <f t="shared" si="7"/>
        <v>0</v>
      </c>
      <c r="AB595" s="2">
        <f>IF(OR($M595="",$N595=""),0,MEDIAN(-MarginCap,MarginCap,($M595-$N595)-$AA595*HFA_Base))</f>
        <v>0</v>
      </c>
      <c r="AC595" s="2">
        <f t="array" ref="AC595">IF(OR($P595="",INDEX($P$3:$P$722,(ROW()+IF(MOD(ROW()-3,2)=0,1,-1))-3+1)=""),0,MEDIAN(-MarginCap,MarginCap,($T595-$W595)-$AA595*HFA_Base))</f>
        <v>0</v>
      </c>
      <c r="AD595" s="2">
        <f t="shared" si="8"/>
        <v>0</v>
      </c>
      <c r="AE595" s="2">
        <f>IF(OR($M595="",$N595=""),0,IF(AND(WEpa&gt;0,$AD595=1),(1-WEpa)*$AB595+WEpa*$AC595,$AB595))</f>
        <v>0</v>
      </c>
      <c r="AF595" s="2">
        <f>IF(AND($C595&lt;&gt;"",$E595=CurrentSeason,$F595="REG",ISNUMBER($G595),$G595&lt;CurrentWeek,AND($M595&lt;&gt;"",$N595&lt;&gt;"")),1,0)</f>
        <v>0</v>
      </c>
      <c r="AG595" s="2">
        <f>IF($AF595=0,0,IF($G595&gt;=CurrentWeek-RecencyWin,RecencyMult,1))</f>
        <v>0</v>
      </c>
      <c r="AH595" s="2">
        <f>IF(AND($C595&lt;&gt;"",$E595=CurrentSeason,$F595="REG",ISNUMBER($G595),$G595&lt;CurrentWeek-1,AND($M595&lt;&gt;"",$N595&lt;&gt;"")),1,0)</f>
        <v>0</v>
      </c>
      <c r="AI595" s="2">
        <f>IF($AH595=0,0,IF($G595&gt;=CurrentWeek-1-RecencyWin,RecencyMult,1))</f>
        <v>0</v>
      </c>
      <c r="AJ595" s="2">
        <f>IF($AF595=0,0,IF($G595&gt;=CurrentWeek-RecencyWin,TotRecency,1))</f>
        <v>0</v>
      </c>
      <c r="AK595" s="2">
        <f t="shared" si="9"/>
        <v>0</v>
      </c>
      <c r="AL595" s="2">
        <f t="shared" si="10"/>
        <v>0</v>
      </c>
      <c r="AM595" s="2">
        <f t="array" ref="AM595">IF($K595="",0,IFERROR(INDEX(CALC!$F$2:$F$33,MATCH($K595,CALC!$A$2:$A$33,0)),0))</f>
        <v>0</v>
      </c>
      <c r="AN595" s="2">
        <f t="array" ref="AN595">IF($K595="",0,IFERROR(INDEX(CALC!$I$2:$I$33,MATCH($K595,CALC!$A$2:$A$33,0)),0))</f>
        <v>0</v>
      </c>
      <c r="AO595" s="2">
        <f t="array" ref="AO595">IF($K595="",0,IFERROR(INDEX(CALC!$L$2:$L$33,MATCH($K595,CALC!$A$2:$A$33,0)),0))</f>
        <v>0</v>
      </c>
      <c r="AP595" s="2">
        <f t="array" ref="AP595">IF($K595="",0,IFERROR(INDEX(CALC!$T$2:$T$33,MATCH($K595,CALC!$A$2:$A$33,0)),0))</f>
        <v>0</v>
      </c>
      <c r="AQ595" s="2">
        <f t="array" ref="AQ595">IF($K595="",0,IFERROR(INDEX(CALC!$W$2:$W$33,MATCH($K595,CALC!$A$2:$A$33,0)),0))</f>
        <v>0</v>
      </c>
      <c r="AR595" s="2">
        <f t="array" ref="AR595">IF($K595="",0,IFERROR(INDEX(CALC!$Z$2:$Z$33,MATCH($K595,CALC!$A$2:$A$33,0)),0))</f>
        <v>0</v>
      </c>
      <c r="AS595" s="2">
        <f t="array" ref="AS595">IF($K595="",0,IFERROR(INDEX(CALC!$AJ$2:$AJ$33,MATCH($K595,CALC!$A$2:$A$33,0)),0))</f>
        <v>0</v>
      </c>
      <c r="AT595" s="2">
        <f t="array" ref="AT595">IF($K595="",0,IFERROR(INDEX(CALC!$AI$2:$AI$33,MATCH($K595,CALC!$A$2:$A$33,0)),0))</f>
        <v>0</v>
      </c>
      <c r="AU595" s="2">
        <f t="shared" si="11"/>
        <v>0</v>
      </c>
      <c r="AV595" s="2">
        <f t="shared" si="12"/>
        <v>0</v>
      </c>
    </row>
    <row r="596" ht="15.0" customHeight="1">
      <c r="A596" s="2">
        <v>297.0</v>
      </c>
      <c r="B596" s="2" t="s">
        <v>2366</v>
      </c>
      <c r="C596" s="2" t="str">
        <f>IFERROR(MATCH($A596,SchedSeq,0),"")</f>
        <v/>
      </c>
      <c r="D596" s="2" t="str">
        <f t="array" ref="D596">IF($C596="","",INDEX(SchedZone,$C596,MAP!$B$6))</f>
        <v/>
      </c>
      <c r="E596" s="2" t="str">
        <f t="array" ref="E596">IF($C596="","",INDEX(SchedZone,$C596,MAP!$B$3))</f>
        <v/>
      </c>
      <c r="F596" s="2" t="str">
        <f t="array" ref="F596">IF($C596="","",INDEX(SchedZone,$C596,MAP!$B$5))</f>
        <v/>
      </c>
      <c r="G596" s="2" t="str">
        <f t="array" ref="G596">IF($C596="","",INDEX(SchedZone,$C596,MAP!$B$4))</f>
        <v/>
      </c>
      <c r="H596" s="2" t="str">
        <f t="array" ref="H596">IF($C596="","",INDEX(SchedZone,$C596,MAP!$B$10))</f>
        <v/>
      </c>
      <c r="I596" s="2" t="str">
        <f t="array" ref="I596">IF($H596="","",IF(COUNTIF(Teams,$H596)&gt;0,$H596,IFERROR(INDEX(LISTS!$D$2:$D$12,MATCH($H596,LISTS!$C$2:$C$12,0)),"⚠ "&amp;$H596)))</f>
        <v/>
      </c>
      <c r="J596" s="2" t="str">
        <f t="array" ref="J596">IF($C596="","",INDEX(SchedZone,$C596,MAP!$B$12))</f>
        <v/>
      </c>
      <c r="K596" s="2" t="str">
        <f t="array" ref="K596">IF($J596="","",IF(COUNTIF(Teams,$J596)&gt;0,$J596,IFERROR(INDEX(LISTS!$D$2:$D$12,MATCH($J596,LISTS!$C$2:$C$12,0)),"⚠ "&amp;$J596)))</f>
        <v/>
      </c>
      <c r="L596" s="2" t="str">
        <f t="array" ref="L596">IF($C596="","",IF(INDEX(SchedZone,$C596,MAP!$B$14)="Neutral","N",IF($B596="HOME","H","A")))</f>
        <v/>
      </c>
      <c r="M596" s="2" t="str">
        <f t="array" ref="M596">IF($C596="","",IF(INDEX(SchedZone,$C596,MAP!$B$11)="","",INDEX(SchedZone,$C596,MAP!$B$11)))</f>
        <v/>
      </c>
      <c r="N596" s="2" t="str">
        <f t="array" ref="N596">IF($C596="","",IF(INDEX(SchedZone,$C596,MAP!$B$13)="","",INDEX(SchedZone,$C596,MAP!$B$13)))</f>
        <v/>
      </c>
      <c r="O596" s="2" t="str">
        <f t="array" ref="O596">IF($C596="","",INDEX(SchedZone,$C596,MAP!$B$15))</f>
        <v/>
      </c>
      <c r="P596" s="2" t="str">
        <f>IF($C596="","",IFERROR(MATCH($E596&amp;"|"&amp;$G596&amp;"|"&amp;$I596,StatsKey,0),""))</f>
        <v/>
      </c>
      <c r="Q596" s="2">
        <f t="array" ref="Q596">IF($P596="",0,INDEX(StatsZone,$P596,MAP!$E$9)+INDEX(StatsZone,$P596,MAP!$E$10)+INDEX(StatsZone,$P596,MAP!$E$11))</f>
        <v>0</v>
      </c>
      <c r="R596" s="2">
        <f t="array" ref="R596">IF($P596="",0,INDEX(StatsZone,$P596,MAP!$E$12))</f>
        <v>0</v>
      </c>
      <c r="S596" s="2">
        <f t="array" ref="S596">IF($P596="",0,INDEX(StatsZone,$P596,MAP!$E$13))</f>
        <v>0</v>
      </c>
      <c r="T596" s="2">
        <f t="shared" si="1"/>
        <v>0</v>
      </c>
      <c r="U596" s="2">
        <f t="array" ref="U596">IF($P596="",0,INDEX(StatsZone,$P596,MAP!$E$14)+INDEX(StatsZone,$P596,MAP!$E$15)+INDEX(StatsZone,$P596,MAP!$E$16))</f>
        <v>0</v>
      </c>
      <c r="V596" s="2">
        <f t="shared" si="2"/>
        <v>0</v>
      </c>
      <c r="W596" s="2">
        <f t="shared" si="3"/>
        <v>0</v>
      </c>
      <c r="X596" s="2">
        <f t="shared" si="4"/>
        <v>0</v>
      </c>
      <c r="Y596" s="2">
        <f t="shared" si="5"/>
        <v>0</v>
      </c>
      <c r="Z596" s="2">
        <f t="shared" si="6"/>
        <v>0</v>
      </c>
      <c r="AA596" s="2">
        <f t="shared" si="7"/>
        <v>0</v>
      </c>
      <c r="AB596" s="2">
        <f>IF(OR($M596="",$N596=""),0,MEDIAN(-MarginCap,MarginCap,($M596-$N596)-$AA596*HFA_Base))</f>
        <v>0</v>
      </c>
      <c r="AC596" s="2">
        <f t="array" ref="AC596">IF(OR($P596="",INDEX($P$3:$P$722,(ROW()+IF(MOD(ROW()-3,2)=0,1,-1))-3+1)=""),0,MEDIAN(-MarginCap,MarginCap,($T596-$W596)-$AA596*HFA_Base))</f>
        <v>0</v>
      </c>
      <c r="AD596" s="2">
        <f t="shared" si="8"/>
        <v>0</v>
      </c>
      <c r="AE596" s="2">
        <f>IF(OR($M596="",$N596=""),0,IF(AND(WEpa&gt;0,$AD596=1),(1-WEpa)*$AB596+WEpa*$AC596,$AB596))</f>
        <v>0</v>
      </c>
      <c r="AF596" s="2">
        <f>IF(AND($C596&lt;&gt;"",$E596=CurrentSeason,$F596="REG",ISNUMBER($G596),$G596&lt;CurrentWeek,AND($M596&lt;&gt;"",$N596&lt;&gt;"")),1,0)</f>
        <v>0</v>
      </c>
      <c r="AG596" s="2">
        <f>IF($AF596=0,0,IF($G596&gt;=CurrentWeek-RecencyWin,RecencyMult,1))</f>
        <v>0</v>
      </c>
      <c r="AH596" s="2">
        <f>IF(AND($C596&lt;&gt;"",$E596=CurrentSeason,$F596="REG",ISNUMBER($G596),$G596&lt;CurrentWeek-1,AND($M596&lt;&gt;"",$N596&lt;&gt;"")),1,0)</f>
        <v>0</v>
      </c>
      <c r="AI596" s="2">
        <f>IF($AH596=0,0,IF($G596&gt;=CurrentWeek-1-RecencyWin,RecencyMult,1))</f>
        <v>0</v>
      </c>
      <c r="AJ596" s="2">
        <f>IF($AF596=0,0,IF($G596&gt;=CurrentWeek-RecencyWin,TotRecency,1))</f>
        <v>0</v>
      </c>
      <c r="AK596" s="2">
        <f t="shared" si="9"/>
        <v>0</v>
      </c>
      <c r="AL596" s="2">
        <f t="shared" si="10"/>
        <v>0</v>
      </c>
      <c r="AM596" s="2">
        <f t="array" ref="AM596">IF($K596="",0,IFERROR(INDEX(CALC!$F$2:$F$33,MATCH($K596,CALC!$A$2:$A$33,0)),0))</f>
        <v>0</v>
      </c>
      <c r="AN596" s="2">
        <f t="array" ref="AN596">IF($K596="",0,IFERROR(INDEX(CALC!$I$2:$I$33,MATCH($K596,CALC!$A$2:$A$33,0)),0))</f>
        <v>0</v>
      </c>
      <c r="AO596" s="2">
        <f t="array" ref="AO596">IF($K596="",0,IFERROR(INDEX(CALC!$L$2:$L$33,MATCH($K596,CALC!$A$2:$A$33,0)),0))</f>
        <v>0</v>
      </c>
      <c r="AP596" s="2">
        <f t="array" ref="AP596">IF($K596="",0,IFERROR(INDEX(CALC!$T$2:$T$33,MATCH($K596,CALC!$A$2:$A$33,0)),0))</f>
        <v>0</v>
      </c>
      <c r="AQ596" s="2">
        <f t="array" ref="AQ596">IF($K596="",0,IFERROR(INDEX(CALC!$W$2:$W$33,MATCH($K596,CALC!$A$2:$A$33,0)),0))</f>
        <v>0</v>
      </c>
      <c r="AR596" s="2">
        <f t="array" ref="AR596">IF($K596="",0,IFERROR(INDEX(CALC!$Z$2:$Z$33,MATCH($K596,CALC!$A$2:$A$33,0)),0))</f>
        <v>0</v>
      </c>
      <c r="AS596" s="2">
        <f t="array" ref="AS596">IF($K596="",0,IFERROR(INDEX(CALC!$AJ$2:$AJ$33,MATCH($K596,CALC!$A$2:$A$33,0)),0))</f>
        <v>0</v>
      </c>
      <c r="AT596" s="2">
        <f t="array" ref="AT596">IF($K596="",0,IFERROR(INDEX(CALC!$AI$2:$AI$33,MATCH($K596,CALC!$A$2:$A$33,0)),0))</f>
        <v>0</v>
      </c>
      <c r="AU596" s="2">
        <f t="shared" si="11"/>
        <v>0</v>
      </c>
      <c r="AV596" s="2">
        <f t="shared" si="12"/>
        <v>0</v>
      </c>
    </row>
    <row r="597" ht="15.0" customHeight="1">
      <c r="A597" s="2">
        <v>298.0</v>
      </c>
      <c r="B597" s="2" t="s">
        <v>2365</v>
      </c>
      <c r="C597" s="2" t="str">
        <f>IFERROR(MATCH($A597,SchedSeq,0),"")</f>
        <v/>
      </c>
      <c r="D597" s="2" t="str">
        <f t="array" ref="D597">IF($C597="","",INDEX(SchedZone,$C597,MAP!$B$6))</f>
        <v/>
      </c>
      <c r="E597" s="2" t="str">
        <f t="array" ref="E597">IF($C597="","",INDEX(SchedZone,$C597,MAP!$B$3))</f>
        <v/>
      </c>
      <c r="F597" s="2" t="str">
        <f t="array" ref="F597">IF($C597="","",INDEX(SchedZone,$C597,MAP!$B$5))</f>
        <v/>
      </c>
      <c r="G597" s="2" t="str">
        <f t="array" ref="G597">IF($C597="","",INDEX(SchedZone,$C597,MAP!$B$4))</f>
        <v/>
      </c>
      <c r="H597" s="2" t="str">
        <f t="array" ref="H597">IF($C597="","",INDEX(SchedZone,$C597,MAP!$B$12))</f>
        <v/>
      </c>
      <c r="I597" s="2" t="str">
        <f t="array" ref="I597">IF($H597="","",IF(COUNTIF(Teams,$H597)&gt;0,$H597,IFERROR(INDEX(LISTS!$D$2:$D$12,MATCH($H597,LISTS!$C$2:$C$12,0)),"⚠ "&amp;$H597)))</f>
        <v/>
      </c>
      <c r="J597" s="2" t="str">
        <f t="array" ref="J597">IF($C597="","",INDEX(SchedZone,$C597,MAP!$B$10))</f>
        <v/>
      </c>
      <c r="K597" s="2" t="str">
        <f t="array" ref="K597">IF($J597="","",IF(COUNTIF(Teams,$J597)&gt;0,$J597,IFERROR(INDEX(LISTS!$D$2:$D$12,MATCH($J597,LISTS!$C$2:$C$12,0)),"⚠ "&amp;$J597)))</f>
        <v/>
      </c>
      <c r="L597" s="2" t="str">
        <f t="array" ref="L597">IF($C597="","",IF(INDEX(SchedZone,$C597,MAP!$B$14)="Neutral","N",IF($B597="HOME","H","A")))</f>
        <v/>
      </c>
      <c r="M597" s="2" t="str">
        <f t="array" ref="M597">IF($C597="","",IF(INDEX(SchedZone,$C597,MAP!$B$13)="","",INDEX(SchedZone,$C597,MAP!$B$13)))</f>
        <v/>
      </c>
      <c r="N597" s="2" t="str">
        <f t="array" ref="N597">IF($C597="","",IF(INDEX(SchedZone,$C597,MAP!$B$11)="","",INDEX(SchedZone,$C597,MAP!$B$11)))</f>
        <v/>
      </c>
      <c r="O597" s="2" t="str">
        <f t="array" ref="O597">IF($C597="","",INDEX(SchedZone,$C597,MAP!$B$16))</f>
        <v/>
      </c>
      <c r="P597" s="2" t="str">
        <f>IF($C597="","",IFERROR(MATCH($E597&amp;"|"&amp;$G597&amp;"|"&amp;$I597,StatsKey,0),""))</f>
        <v/>
      </c>
      <c r="Q597" s="2">
        <f t="array" ref="Q597">IF($P597="",0,INDEX(StatsZone,$P597,MAP!$E$9)+INDEX(StatsZone,$P597,MAP!$E$10)+INDEX(StatsZone,$P597,MAP!$E$11))</f>
        <v>0</v>
      </c>
      <c r="R597" s="2">
        <f t="array" ref="R597">IF($P597="",0,INDEX(StatsZone,$P597,MAP!$E$12))</f>
        <v>0</v>
      </c>
      <c r="S597" s="2">
        <f t="array" ref="S597">IF($P597="",0,INDEX(StatsZone,$P597,MAP!$E$13))</f>
        <v>0</v>
      </c>
      <c r="T597" s="2">
        <f t="shared" si="1"/>
        <v>0</v>
      </c>
      <c r="U597" s="2">
        <f t="array" ref="U597">IF($P597="",0,INDEX(StatsZone,$P597,MAP!$E$14)+INDEX(StatsZone,$P597,MAP!$E$15)+INDEX(StatsZone,$P597,MAP!$E$16))</f>
        <v>0</v>
      </c>
      <c r="V597" s="2">
        <f t="shared" si="2"/>
        <v>0</v>
      </c>
      <c r="W597" s="2">
        <f t="shared" si="3"/>
        <v>0</v>
      </c>
      <c r="X597" s="2">
        <f t="shared" si="4"/>
        <v>0</v>
      </c>
      <c r="Y597" s="2">
        <f t="shared" si="5"/>
        <v>0</v>
      </c>
      <c r="Z597" s="2">
        <f t="shared" si="6"/>
        <v>0</v>
      </c>
      <c r="AA597" s="2">
        <f t="shared" si="7"/>
        <v>0</v>
      </c>
      <c r="AB597" s="2">
        <f>IF(OR($M597="",$N597=""),0,MEDIAN(-MarginCap,MarginCap,($M597-$N597)-$AA597*HFA_Base))</f>
        <v>0</v>
      </c>
      <c r="AC597" s="2">
        <f t="array" ref="AC597">IF(OR($P597="",INDEX($P$3:$P$722,(ROW()+IF(MOD(ROW()-3,2)=0,1,-1))-3+1)=""),0,MEDIAN(-MarginCap,MarginCap,($T597-$W597)-$AA597*HFA_Base))</f>
        <v>0</v>
      </c>
      <c r="AD597" s="2">
        <f t="shared" si="8"/>
        <v>0</v>
      </c>
      <c r="AE597" s="2">
        <f>IF(OR($M597="",$N597=""),0,IF(AND(WEpa&gt;0,$AD597=1),(1-WEpa)*$AB597+WEpa*$AC597,$AB597))</f>
        <v>0</v>
      </c>
      <c r="AF597" s="2">
        <f>IF(AND($C597&lt;&gt;"",$E597=CurrentSeason,$F597="REG",ISNUMBER($G597),$G597&lt;CurrentWeek,AND($M597&lt;&gt;"",$N597&lt;&gt;"")),1,0)</f>
        <v>0</v>
      </c>
      <c r="AG597" s="2">
        <f>IF($AF597=0,0,IF($G597&gt;=CurrentWeek-RecencyWin,RecencyMult,1))</f>
        <v>0</v>
      </c>
      <c r="AH597" s="2">
        <f>IF(AND($C597&lt;&gt;"",$E597=CurrentSeason,$F597="REG",ISNUMBER($G597),$G597&lt;CurrentWeek-1,AND($M597&lt;&gt;"",$N597&lt;&gt;"")),1,0)</f>
        <v>0</v>
      </c>
      <c r="AI597" s="2">
        <f>IF($AH597=0,0,IF($G597&gt;=CurrentWeek-1-RecencyWin,RecencyMult,1))</f>
        <v>0</v>
      </c>
      <c r="AJ597" s="2">
        <f>IF($AF597=0,0,IF($G597&gt;=CurrentWeek-RecencyWin,TotRecency,1))</f>
        <v>0</v>
      </c>
      <c r="AK597" s="2">
        <f t="shared" si="9"/>
        <v>0</v>
      </c>
      <c r="AL597" s="2">
        <f t="shared" si="10"/>
        <v>0</v>
      </c>
      <c r="AM597" s="2">
        <f t="array" ref="AM597">IF($K597="",0,IFERROR(INDEX(CALC!$F$2:$F$33,MATCH($K597,CALC!$A$2:$A$33,0)),0))</f>
        <v>0</v>
      </c>
      <c r="AN597" s="2">
        <f t="array" ref="AN597">IF($K597="",0,IFERROR(INDEX(CALC!$I$2:$I$33,MATCH($K597,CALC!$A$2:$A$33,0)),0))</f>
        <v>0</v>
      </c>
      <c r="AO597" s="2">
        <f t="array" ref="AO597">IF($K597="",0,IFERROR(INDEX(CALC!$L$2:$L$33,MATCH($K597,CALC!$A$2:$A$33,0)),0))</f>
        <v>0</v>
      </c>
      <c r="AP597" s="2">
        <f t="array" ref="AP597">IF($K597="",0,IFERROR(INDEX(CALC!$T$2:$T$33,MATCH($K597,CALC!$A$2:$A$33,0)),0))</f>
        <v>0</v>
      </c>
      <c r="AQ597" s="2">
        <f t="array" ref="AQ597">IF($K597="",0,IFERROR(INDEX(CALC!$W$2:$W$33,MATCH($K597,CALC!$A$2:$A$33,0)),0))</f>
        <v>0</v>
      </c>
      <c r="AR597" s="2">
        <f t="array" ref="AR597">IF($K597="",0,IFERROR(INDEX(CALC!$Z$2:$Z$33,MATCH($K597,CALC!$A$2:$A$33,0)),0))</f>
        <v>0</v>
      </c>
      <c r="AS597" s="2">
        <f t="array" ref="AS597">IF($K597="",0,IFERROR(INDEX(CALC!$AJ$2:$AJ$33,MATCH($K597,CALC!$A$2:$A$33,0)),0))</f>
        <v>0</v>
      </c>
      <c r="AT597" s="2">
        <f t="array" ref="AT597">IF($K597="",0,IFERROR(INDEX(CALC!$AI$2:$AI$33,MATCH($K597,CALC!$A$2:$A$33,0)),0))</f>
        <v>0</v>
      </c>
      <c r="AU597" s="2">
        <f t="shared" si="11"/>
        <v>0</v>
      </c>
      <c r="AV597" s="2">
        <f t="shared" si="12"/>
        <v>0</v>
      </c>
    </row>
    <row r="598" ht="15.0" customHeight="1">
      <c r="A598" s="2">
        <v>298.0</v>
      </c>
      <c r="B598" s="2" t="s">
        <v>2366</v>
      </c>
      <c r="C598" s="2" t="str">
        <f>IFERROR(MATCH($A598,SchedSeq,0),"")</f>
        <v/>
      </c>
      <c r="D598" s="2" t="str">
        <f t="array" ref="D598">IF($C598="","",INDEX(SchedZone,$C598,MAP!$B$6))</f>
        <v/>
      </c>
      <c r="E598" s="2" t="str">
        <f t="array" ref="E598">IF($C598="","",INDEX(SchedZone,$C598,MAP!$B$3))</f>
        <v/>
      </c>
      <c r="F598" s="2" t="str">
        <f t="array" ref="F598">IF($C598="","",INDEX(SchedZone,$C598,MAP!$B$5))</f>
        <v/>
      </c>
      <c r="G598" s="2" t="str">
        <f t="array" ref="G598">IF($C598="","",INDEX(SchedZone,$C598,MAP!$B$4))</f>
        <v/>
      </c>
      <c r="H598" s="2" t="str">
        <f t="array" ref="H598">IF($C598="","",INDEX(SchedZone,$C598,MAP!$B$10))</f>
        <v/>
      </c>
      <c r="I598" s="2" t="str">
        <f t="array" ref="I598">IF($H598="","",IF(COUNTIF(Teams,$H598)&gt;0,$H598,IFERROR(INDEX(LISTS!$D$2:$D$12,MATCH($H598,LISTS!$C$2:$C$12,0)),"⚠ "&amp;$H598)))</f>
        <v/>
      </c>
      <c r="J598" s="2" t="str">
        <f t="array" ref="J598">IF($C598="","",INDEX(SchedZone,$C598,MAP!$B$12))</f>
        <v/>
      </c>
      <c r="K598" s="2" t="str">
        <f t="array" ref="K598">IF($J598="","",IF(COUNTIF(Teams,$J598)&gt;0,$J598,IFERROR(INDEX(LISTS!$D$2:$D$12,MATCH($J598,LISTS!$C$2:$C$12,0)),"⚠ "&amp;$J598)))</f>
        <v/>
      </c>
      <c r="L598" s="2" t="str">
        <f t="array" ref="L598">IF($C598="","",IF(INDEX(SchedZone,$C598,MAP!$B$14)="Neutral","N",IF($B598="HOME","H","A")))</f>
        <v/>
      </c>
      <c r="M598" s="2" t="str">
        <f t="array" ref="M598">IF($C598="","",IF(INDEX(SchedZone,$C598,MAP!$B$11)="","",INDEX(SchedZone,$C598,MAP!$B$11)))</f>
        <v/>
      </c>
      <c r="N598" s="2" t="str">
        <f t="array" ref="N598">IF($C598="","",IF(INDEX(SchedZone,$C598,MAP!$B$13)="","",INDEX(SchedZone,$C598,MAP!$B$13)))</f>
        <v/>
      </c>
      <c r="O598" s="2" t="str">
        <f t="array" ref="O598">IF($C598="","",INDEX(SchedZone,$C598,MAP!$B$15))</f>
        <v/>
      </c>
      <c r="P598" s="2" t="str">
        <f>IF($C598="","",IFERROR(MATCH($E598&amp;"|"&amp;$G598&amp;"|"&amp;$I598,StatsKey,0),""))</f>
        <v/>
      </c>
      <c r="Q598" s="2">
        <f t="array" ref="Q598">IF($P598="",0,INDEX(StatsZone,$P598,MAP!$E$9)+INDEX(StatsZone,$P598,MAP!$E$10)+INDEX(StatsZone,$P598,MAP!$E$11))</f>
        <v>0</v>
      </c>
      <c r="R598" s="2">
        <f t="array" ref="R598">IF($P598="",0,INDEX(StatsZone,$P598,MAP!$E$12))</f>
        <v>0</v>
      </c>
      <c r="S598" s="2">
        <f t="array" ref="S598">IF($P598="",0,INDEX(StatsZone,$P598,MAP!$E$13))</f>
        <v>0</v>
      </c>
      <c r="T598" s="2">
        <f t="shared" si="1"/>
        <v>0</v>
      </c>
      <c r="U598" s="2">
        <f t="array" ref="U598">IF($P598="",0,INDEX(StatsZone,$P598,MAP!$E$14)+INDEX(StatsZone,$P598,MAP!$E$15)+INDEX(StatsZone,$P598,MAP!$E$16))</f>
        <v>0</v>
      </c>
      <c r="V598" s="2">
        <f t="shared" si="2"/>
        <v>0</v>
      </c>
      <c r="W598" s="2">
        <f t="shared" si="3"/>
        <v>0</v>
      </c>
      <c r="X598" s="2">
        <f t="shared" si="4"/>
        <v>0</v>
      </c>
      <c r="Y598" s="2">
        <f t="shared" si="5"/>
        <v>0</v>
      </c>
      <c r="Z598" s="2">
        <f t="shared" si="6"/>
        <v>0</v>
      </c>
      <c r="AA598" s="2">
        <f t="shared" si="7"/>
        <v>0</v>
      </c>
      <c r="AB598" s="2">
        <f>IF(OR($M598="",$N598=""),0,MEDIAN(-MarginCap,MarginCap,($M598-$N598)-$AA598*HFA_Base))</f>
        <v>0</v>
      </c>
      <c r="AC598" s="2">
        <f t="array" ref="AC598">IF(OR($P598="",INDEX($P$3:$P$722,(ROW()+IF(MOD(ROW()-3,2)=0,1,-1))-3+1)=""),0,MEDIAN(-MarginCap,MarginCap,($T598-$W598)-$AA598*HFA_Base))</f>
        <v>0</v>
      </c>
      <c r="AD598" s="2">
        <f t="shared" si="8"/>
        <v>0</v>
      </c>
      <c r="AE598" s="2">
        <f>IF(OR($M598="",$N598=""),0,IF(AND(WEpa&gt;0,$AD598=1),(1-WEpa)*$AB598+WEpa*$AC598,$AB598))</f>
        <v>0</v>
      </c>
      <c r="AF598" s="2">
        <f>IF(AND($C598&lt;&gt;"",$E598=CurrentSeason,$F598="REG",ISNUMBER($G598),$G598&lt;CurrentWeek,AND($M598&lt;&gt;"",$N598&lt;&gt;"")),1,0)</f>
        <v>0</v>
      </c>
      <c r="AG598" s="2">
        <f>IF($AF598=0,0,IF($G598&gt;=CurrentWeek-RecencyWin,RecencyMult,1))</f>
        <v>0</v>
      </c>
      <c r="AH598" s="2">
        <f>IF(AND($C598&lt;&gt;"",$E598=CurrentSeason,$F598="REG",ISNUMBER($G598),$G598&lt;CurrentWeek-1,AND($M598&lt;&gt;"",$N598&lt;&gt;"")),1,0)</f>
        <v>0</v>
      </c>
      <c r="AI598" s="2">
        <f>IF($AH598=0,0,IF($G598&gt;=CurrentWeek-1-RecencyWin,RecencyMult,1))</f>
        <v>0</v>
      </c>
      <c r="AJ598" s="2">
        <f>IF($AF598=0,0,IF($G598&gt;=CurrentWeek-RecencyWin,TotRecency,1))</f>
        <v>0</v>
      </c>
      <c r="AK598" s="2">
        <f t="shared" si="9"/>
        <v>0</v>
      </c>
      <c r="AL598" s="2">
        <f t="shared" si="10"/>
        <v>0</v>
      </c>
      <c r="AM598" s="2">
        <f t="array" ref="AM598">IF($K598="",0,IFERROR(INDEX(CALC!$F$2:$F$33,MATCH($K598,CALC!$A$2:$A$33,0)),0))</f>
        <v>0</v>
      </c>
      <c r="AN598" s="2">
        <f t="array" ref="AN598">IF($K598="",0,IFERROR(INDEX(CALC!$I$2:$I$33,MATCH($K598,CALC!$A$2:$A$33,0)),0))</f>
        <v>0</v>
      </c>
      <c r="AO598" s="2">
        <f t="array" ref="AO598">IF($K598="",0,IFERROR(INDEX(CALC!$L$2:$L$33,MATCH($K598,CALC!$A$2:$A$33,0)),0))</f>
        <v>0</v>
      </c>
      <c r="AP598" s="2">
        <f t="array" ref="AP598">IF($K598="",0,IFERROR(INDEX(CALC!$T$2:$T$33,MATCH($K598,CALC!$A$2:$A$33,0)),0))</f>
        <v>0</v>
      </c>
      <c r="AQ598" s="2">
        <f t="array" ref="AQ598">IF($K598="",0,IFERROR(INDEX(CALC!$W$2:$W$33,MATCH($K598,CALC!$A$2:$A$33,0)),0))</f>
        <v>0</v>
      </c>
      <c r="AR598" s="2">
        <f t="array" ref="AR598">IF($K598="",0,IFERROR(INDEX(CALC!$Z$2:$Z$33,MATCH($K598,CALC!$A$2:$A$33,0)),0))</f>
        <v>0</v>
      </c>
      <c r="AS598" s="2">
        <f t="array" ref="AS598">IF($K598="",0,IFERROR(INDEX(CALC!$AJ$2:$AJ$33,MATCH($K598,CALC!$A$2:$A$33,0)),0))</f>
        <v>0</v>
      </c>
      <c r="AT598" s="2">
        <f t="array" ref="AT598">IF($K598="",0,IFERROR(INDEX(CALC!$AI$2:$AI$33,MATCH($K598,CALC!$A$2:$A$33,0)),0))</f>
        <v>0</v>
      </c>
      <c r="AU598" s="2">
        <f t="shared" si="11"/>
        <v>0</v>
      </c>
      <c r="AV598" s="2">
        <f t="shared" si="12"/>
        <v>0</v>
      </c>
    </row>
    <row r="599" ht="15.0" customHeight="1">
      <c r="A599" s="2">
        <v>299.0</v>
      </c>
      <c r="B599" s="2" t="s">
        <v>2365</v>
      </c>
      <c r="C599" s="2" t="str">
        <f>IFERROR(MATCH($A599,SchedSeq,0),"")</f>
        <v/>
      </c>
      <c r="D599" s="2" t="str">
        <f t="array" ref="D599">IF($C599="","",INDEX(SchedZone,$C599,MAP!$B$6))</f>
        <v/>
      </c>
      <c r="E599" s="2" t="str">
        <f t="array" ref="E599">IF($C599="","",INDEX(SchedZone,$C599,MAP!$B$3))</f>
        <v/>
      </c>
      <c r="F599" s="2" t="str">
        <f t="array" ref="F599">IF($C599="","",INDEX(SchedZone,$C599,MAP!$B$5))</f>
        <v/>
      </c>
      <c r="G599" s="2" t="str">
        <f t="array" ref="G599">IF($C599="","",INDEX(SchedZone,$C599,MAP!$B$4))</f>
        <v/>
      </c>
      <c r="H599" s="2" t="str">
        <f t="array" ref="H599">IF($C599="","",INDEX(SchedZone,$C599,MAP!$B$12))</f>
        <v/>
      </c>
      <c r="I599" s="2" t="str">
        <f t="array" ref="I599">IF($H599="","",IF(COUNTIF(Teams,$H599)&gt;0,$H599,IFERROR(INDEX(LISTS!$D$2:$D$12,MATCH($H599,LISTS!$C$2:$C$12,0)),"⚠ "&amp;$H599)))</f>
        <v/>
      </c>
      <c r="J599" s="2" t="str">
        <f t="array" ref="J599">IF($C599="","",INDEX(SchedZone,$C599,MAP!$B$10))</f>
        <v/>
      </c>
      <c r="K599" s="2" t="str">
        <f t="array" ref="K599">IF($J599="","",IF(COUNTIF(Teams,$J599)&gt;0,$J599,IFERROR(INDEX(LISTS!$D$2:$D$12,MATCH($J599,LISTS!$C$2:$C$12,0)),"⚠ "&amp;$J599)))</f>
        <v/>
      </c>
      <c r="L599" s="2" t="str">
        <f t="array" ref="L599">IF($C599="","",IF(INDEX(SchedZone,$C599,MAP!$B$14)="Neutral","N",IF($B599="HOME","H","A")))</f>
        <v/>
      </c>
      <c r="M599" s="2" t="str">
        <f t="array" ref="M599">IF($C599="","",IF(INDEX(SchedZone,$C599,MAP!$B$13)="","",INDEX(SchedZone,$C599,MAP!$B$13)))</f>
        <v/>
      </c>
      <c r="N599" s="2" t="str">
        <f t="array" ref="N599">IF($C599="","",IF(INDEX(SchedZone,$C599,MAP!$B$11)="","",INDEX(SchedZone,$C599,MAP!$B$11)))</f>
        <v/>
      </c>
      <c r="O599" s="2" t="str">
        <f t="array" ref="O599">IF($C599="","",INDEX(SchedZone,$C599,MAP!$B$16))</f>
        <v/>
      </c>
      <c r="P599" s="2" t="str">
        <f>IF($C599="","",IFERROR(MATCH($E599&amp;"|"&amp;$G599&amp;"|"&amp;$I599,StatsKey,0),""))</f>
        <v/>
      </c>
      <c r="Q599" s="2">
        <f t="array" ref="Q599">IF($P599="",0,INDEX(StatsZone,$P599,MAP!$E$9)+INDEX(StatsZone,$P599,MAP!$E$10)+INDEX(StatsZone,$P599,MAP!$E$11))</f>
        <v>0</v>
      </c>
      <c r="R599" s="2">
        <f t="array" ref="R599">IF($P599="",0,INDEX(StatsZone,$P599,MAP!$E$12))</f>
        <v>0</v>
      </c>
      <c r="S599" s="2">
        <f t="array" ref="S599">IF($P599="",0,INDEX(StatsZone,$P599,MAP!$E$13))</f>
        <v>0</v>
      </c>
      <c r="T599" s="2">
        <f t="shared" si="1"/>
        <v>0</v>
      </c>
      <c r="U599" s="2">
        <f t="array" ref="U599">IF($P599="",0,INDEX(StatsZone,$P599,MAP!$E$14)+INDEX(StatsZone,$P599,MAP!$E$15)+INDEX(StatsZone,$P599,MAP!$E$16))</f>
        <v>0</v>
      </c>
      <c r="V599" s="2">
        <f t="shared" si="2"/>
        <v>0</v>
      </c>
      <c r="W599" s="2">
        <f t="shared" si="3"/>
        <v>0</v>
      </c>
      <c r="X599" s="2">
        <f t="shared" si="4"/>
        <v>0</v>
      </c>
      <c r="Y599" s="2">
        <f t="shared" si="5"/>
        <v>0</v>
      </c>
      <c r="Z599" s="2">
        <f t="shared" si="6"/>
        <v>0</v>
      </c>
      <c r="AA599" s="2">
        <f t="shared" si="7"/>
        <v>0</v>
      </c>
      <c r="AB599" s="2">
        <f>IF(OR($M599="",$N599=""),0,MEDIAN(-MarginCap,MarginCap,($M599-$N599)-$AA599*HFA_Base))</f>
        <v>0</v>
      </c>
      <c r="AC599" s="2">
        <f t="array" ref="AC599">IF(OR($P599="",INDEX($P$3:$P$722,(ROW()+IF(MOD(ROW()-3,2)=0,1,-1))-3+1)=""),0,MEDIAN(-MarginCap,MarginCap,($T599-$W599)-$AA599*HFA_Base))</f>
        <v>0</v>
      </c>
      <c r="AD599" s="2">
        <f t="shared" si="8"/>
        <v>0</v>
      </c>
      <c r="AE599" s="2">
        <f>IF(OR($M599="",$N599=""),0,IF(AND(WEpa&gt;0,$AD599=1),(1-WEpa)*$AB599+WEpa*$AC599,$AB599))</f>
        <v>0</v>
      </c>
      <c r="AF599" s="2">
        <f>IF(AND($C599&lt;&gt;"",$E599=CurrentSeason,$F599="REG",ISNUMBER($G599),$G599&lt;CurrentWeek,AND($M599&lt;&gt;"",$N599&lt;&gt;"")),1,0)</f>
        <v>0</v>
      </c>
      <c r="AG599" s="2">
        <f>IF($AF599=0,0,IF($G599&gt;=CurrentWeek-RecencyWin,RecencyMult,1))</f>
        <v>0</v>
      </c>
      <c r="AH599" s="2">
        <f>IF(AND($C599&lt;&gt;"",$E599=CurrentSeason,$F599="REG",ISNUMBER($G599),$G599&lt;CurrentWeek-1,AND($M599&lt;&gt;"",$N599&lt;&gt;"")),1,0)</f>
        <v>0</v>
      </c>
      <c r="AI599" s="2">
        <f>IF($AH599=0,0,IF($G599&gt;=CurrentWeek-1-RecencyWin,RecencyMult,1))</f>
        <v>0</v>
      </c>
      <c r="AJ599" s="2">
        <f>IF($AF599=0,0,IF($G599&gt;=CurrentWeek-RecencyWin,TotRecency,1))</f>
        <v>0</v>
      </c>
      <c r="AK599" s="2">
        <f t="shared" si="9"/>
        <v>0</v>
      </c>
      <c r="AL599" s="2">
        <f t="shared" si="10"/>
        <v>0</v>
      </c>
      <c r="AM599" s="2">
        <f t="array" ref="AM599">IF($K599="",0,IFERROR(INDEX(CALC!$F$2:$F$33,MATCH($K599,CALC!$A$2:$A$33,0)),0))</f>
        <v>0</v>
      </c>
      <c r="AN599" s="2">
        <f t="array" ref="AN599">IF($K599="",0,IFERROR(INDEX(CALC!$I$2:$I$33,MATCH($K599,CALC!$A$2:$A$33,0)),0))</f>
        <v>0</v>
      </c>
      <c r="AO599" s="2">
        <f t="array" ref="AO599">IF($K599="",0,IFERROR(INDEX(CALC!$L$2:$L$33,MATCH($K599,CALC!$A$2:$A$33,0)),0))</f>
        <v>0</v>
      </c>
      <c r="AP599" s="2">
        <f t="array" ref="AP599">IF($K599="",0,IFERROR(INDEX(CALC!$T$2:$T$33,MATCH($K599,CALC!$A$2:$A$33,0)),0))</f>
        <v>0</v>
      </c>
      <c r="AQ599" s="2">
        <f t="array" ref="AQ599">IF($K599="",0,IFERROR(INDEX(CALC!$W$2:$W$33,MATCH($K599,CALC!$A$2:$A$33,0)),0))</f>
        <v>0</v>
      </c>
      <c r="AR599" s="2">
        <f t="array" ref="AR599">IF($K599="",0,IFERROR(INDEX(CALC!$Z$2:$Z$33,MATCH($K599,CALC!$A$2:$A$33,0)),0))</f>
        <v>0</v>
      </c>
      <c r="AS599" s="2">
        <f t="array" ref="AS599">IF($K599="",0,IFERROR(INDEX(CALC!$AJ$2:$AJ$33,MATCH($K599,CALC!$A$2:$A$33,0)),0))</f>
        <v>0</v>
      </c>
      <c r="AT599" s="2">
        <f t="array" ref="AT599">IF($K599="",0,IFERROR(INDEX(CALC!$AI$2:$AI$33,MATCH($K599,CALC!$A$2:$A$33,0)),0))</f>
        <v>0</v>
      </c>
      <c r="AU599" s="2">
        <f t="shared" si="11"/>
        <v>0</v>
      </c>
      <c r="AV599" s="2">
        <f t="shared" si="12"/>
        <v>0</v>
      </c>
    </row>
    <row r="600" ht="15.0" customHeight="1">
      <c r="A600" s="2">
        <v>299.0</v>
      </c>
      <c r="B600" s="2" t="s">
        <v>2366</v>
      </c>
      <c r="C600" s="2" t="str">
        <f>IFERROR(MATCH($A600,SchedSeq,0),"")</f>
        <v/>
      </c>
      <c r="D600" s="2" t="str">
        <f t="array" ref="D600">IF($C600="","",INDEX(SchedZone,$C600,MAP!$B$6))</f>
        <v/>
      </c>
      <c r="E600" s="2" t="str">
        <f t="array" ref="E600">IF($C600="","",INDEX(SchedZone,$C600,MAP!$B$3))</f>
        <v/>
      </c>
      <c r="F600" s="2" t="str">
        <f t="array" ref="F600">IF($C600="","",INDEX(SchedZone,$C600,MAP!$B$5))</f>
        <v/>
      </c>
      <c r="G600" s="2" t="str">
        <f t="array" ref="G600">IF($C600="","",INDEX(SchedZone,$C600,MAP!$B$4))</f>
        <v/>
      </c>
      <c r="H600" s="2" t="str">
        <f t="array" ref="H600">IF($C600="","",INDEX(SchedZone,$C600,MAP!$B$10))</f>
        <v/>
      </c>
      <c r="I600" s="2" t="str">
        <f t="array" ref="I600">IF($H600="","",IF(COUNTIF(Teams,$H600)&gt;0,$H600,IFERROR(INDEX(LISTS!$D$2:$D$12,MATCH($H600,LISTS!$C$2:$C$12,0)),"⚠ "&amp;$H600)))</f>
        <v/>
      </c>
      <c r="J600" s="2" t="str">
        <f t="array" ref="J600">IF($C600="","",INDEX(SchedZone,$C600,MAP!$B$12))</f>
        <v/>
      </c>
      <c r="K600" s="2" t="str">
        <f t="array" ref="K600">IF($J600="","",IF(COUNTIF(Teams,$J600)&gt;0,$J600,IFERROR(INDEX(LISTS!$D$2:$D$12,MATCH($J600,LISTS!$C$2:$C$12,0)),"⚠ "&amp;$J600)))</f>
        <v/>
      </c>
      <c r="L600" s="2" t="str">
        <f t="array" ref="L600">IF($C600="","",IF(INDEX(SchedZone,$C600,MAP!$B$14)="Neutral","N",IF($B600="HOME","H","A")))</f>
        <v/>
      </c>
      <c r="M600" s="2" t="str">
        <f t="array" ref="M600">IF($C600="","",IF(INDEX(SchedZone,$C600,MAP!$B$11)="","",INDEX(SchedZone,$C600,MAP!$B$11)))</f>
        <v/>
      </c>
      <c r="N600" s="2" t="str">
        <f t="array" ref="N600">IF($C600="","",IF(INDEX(SchedZone,$C600,MAP!$B$13)="","",INDEX(SchedZone,$C600,MAP!$B$13)))</f>
        <v/>
      </c>
      <c r="O600" s="2" t="str">
        <f t="array" ref="O600">IF($C600="","",INDEX(SchedZone,$C600,MAP!$B$15))</f>
        <v/>
      </c>
      <c r="P600" s="2" t="str">
        <f>IF($C600="","",IFERROR(MATCH($E600&amp;"|"&amp;$G600&amp;"|"&amp;$I600,StatsKey,0),""))</f>
        <v/>
      </c>
      <c r="Q600" s="2">
        <f t="array" ref="Q600">IF($P600="",0,INDEX(StatsZone,$P600,MAP!$E$9)+INDEX(StatsZone,$P600,MAP!$E$10)+INDEX(StatsZone,$P600,MAP!$E$11))</f>
        <v>0</v>
      </c>
      <c r="R600" s="2">
        <f t="array" ref="R600">IF($P600="",0,INDEX(StatsZone,$P600,MAP!$E$12))</f>
        <v>0</v>
      </c>
      <c r="S600" s="2">
        <f t="array" ref="S600">IF($P600="",0,INDEX(StatsZone,$P600,MAP!$E$13))</f>
        <v>0</v>
      </c>
      <c r="T600" s="2">
        <f t="shared" si="1"/>
        <v>0</v>
      </c>
      <c r="U600" s="2">
        <f t="array" ref="U600">IF($P600="",0,INDEX(StatsZone,$P600,MAP!$E$14)+INDEX(StatsZone,$P600,MAP!$E$15)+INDEX(StatsZone,$P600,MAP!$E$16))</f>
        <v>0</v>
      </c>
      <c r="V600" s="2">
        <f t="shared" si="2"/>
        <v>0</v>
      </c>
      <c r="W600" s="2">
        <f t="shared" si="3"/>
        <v>0</v>
      </c>
      <c r="X600" s="2">
        <f t="shared" si="4"/>
        <v>0</v>
      </c>
      <c r="Y600" s="2">
        <f t="shared" si="5"/>
        <v>0</v>
      </c>
      <c r="Z600" s="2">
        <f t="shared" si="6"/>
        <v>0</v>
      </c>
      <c r="AA600" s="2">
        <f t="shared" si="7"/>
        <v>0</v>
      </c>
      <c r="AB600" s="2">
        <f>IF(OR($M600="",$N600=""),0,MEDIAN(-MarginCap,MarginCap,($M600-$N600)-$AA600*HFA_Base))</f>
        <v>0</v>
      </c>
      <c r="AC600" s="2">
        <f t="array" ref="AC600">IF(OR($P600="",INDEX($P$3:$P$722,(ROW()+IF(MOD(ROW()-3,2)=0,1,-1))-3+1)=""),0,MEDIAN(-MarginCap,MarginCap,($T600-$W600)-$AA600*HFA_Base))</f>
        <v>0</v>
      </c>
      <c r="AD600" s="2">
        <f t="shared" si="8"/>
        <v>0</v>
      </c>
      <c r="AE600" s="2">
        <f>IF(OR($M600="",$N600=""),0,IF(AND(WEpa&gt;0,$AD600=1),(1-WEpa)*$AB600+WEpa*$AC600,$AB600))</f>
        <v>0</v>
      </c>
      <c r="AF600" s="2">
        <f>IF(AND($C600&lt;&gt;"",$E600=CurrentSeason,$F600="REG",ISNUMBER($G600),$G600&lt;CurrentWeek,AND($M600&lt;&gt;"",$N600&lt;&gt;"")),1,0)</f>
        <v>0</v>
      </c>
      <c r="AG600" s="2">
        <f>IF($AF600=0,0,IF($G600&gt;=CurrentWeek-RecencyWin,RecencyMult,1))</f>
        <v>0</v>
      </c>
      <c r="AH600" s="2">
        <f>IF(AND($C600&lt;&gt;"",$E600=CurrentSeason,$F600="REG",ISNUMBER($G600),$G600&lt;CurrentWeek-1,AND($M600&lt;&gt;"",$N600&lt;&gt;"")),1,0)</f>
        <v>0</v>
      </c>
      <c r="AI600" s="2">
        <f>IF($AH600=0,0,IF($G600&gt;=CurrentWeek-1-RecencyWin,RecencyMult,1))</f>
        <v>0</v>
      </c>
      <c r="AJ600" s="2">
        <f>IF($AF600=0,0,IF($G600&gt;=CurrentWeek-RecencyWin,TotRecency,1))</f>
        <v>0</v>
      </c>
      <c r="AK600" s="2">
        <f t="shared" si="9"/>
        <v>0</v>
      </c>
      <c r="AL600" s="2">
        <f t="shared" si="10"/>
        <v>0</v>
      </c>
      <c r="AM600" s="2">
        <f t="array" ref="AM600">IF($K600="",0,IFERROR(INDEX(CALC!$F$2:$F$33,MATCH($K600,CALC!$A$2:$A$33,0)),0))</f>
        <v>0</v>
      </c>
      <c r="AN600" s="2">
        <f t="array" ref="AN600">IF($K600="",0,IFERROR(INDEX(CALC!$I$2:$I$33,MATCH($K600,CALC!$A$2:$A$33,0)),0))</f>
        <v>0</v>
      </c>
      <c r="AO600" s="2">
        <f t="array" ref="AO600">IF($K600="",0,IFERROR(INDEX(CALC!$L$2:$L$33,MATCH($K600,CALC!$A$2:$A$33,0)),0))</f>
        <v>0</v>
      </c>
      <c r="AP600" s="2">
        <f t="array" ref="AP600">IF($K600="",0,IFERROR(INDEX(CALC!$T$2:$T$33,MATCH($K600,CALC!$A$2:$A$33,0)),0))</f>
        <v>0</v>
      </c>
      <c r="AQ600" s="2">
        <f t="array" ref="AQ600">IF($K600="",0,IFERROR(INDEX(CALC!$W$2:$W$33,MATCH($K600,CALC!$A$2:$A$33,0)),0))</f>
        <v>0</v>
      </c>
      <c r="AR600" s="2">
        <f t="array" ref="AR600">IF($K600="",0,IFERROR(INDEX(CALC!$Z$2:$Z$33,MATCH($K600,CALC!$A$2:$A$33,0)),0))</f>
        <v>0</v>
      </c>
      <c r="AS600" s="2">
        <f t="array" ref="AS600">IF($K600="",0,IFERROR(INDEX(CALC!$AJ$2:$AJ$33,MATCH($K600,CALC!$A$2:$A$33,0)),0))</f>
        <v>0</v>
      </c>
      <c r="AT600" s="2">
        <f t="array" ref="AT600">IF($K600="",0,IFERROR(INDEX(CALC!$AI$2:$AI$33,MATCH($K600,CALC!$A$2:$A$33,0)),0))</f>
        <v>0</v>
      </c>
      <c r="AU600" s="2">
        <f t="shared" si="11"/>
        <v>0</v>
      </c>
      <c r="AV600" s="2">
        <f t="shared" si="12"/>
        <v>0</v>
      </c>
    </row>
    <row r="601" ht="15.0" customHeight="1">
      <c r="A601" s="2">
        <v>300.0</v>
      </c>
      <c r="B601" s="2" t="s">
        <v>2365</v>
      </c>
      <c r="C601" s="2" t="str">
        <f>IFERROR(MATCH($A601,SchedSeq,0),"")</f>
        <v/>
      </c>
      <c r="D601" s="2" t="str">
        <f t="array" ref="D601">IF($C601="","",INDEX(SchedZone,$C601,MAP!$B$6))</f>
        <v/>
      </c>
      <c r="E601" s="2" t="str">
        <f t="array" ref="E601">IF($C601="","",INDEX(SchedZone,$C601,MAP!$B$3))</f>
        <v/>
      </c>
      <c r="F601" s="2" t="str">
        <f t="array" ref="F601">IF($C601="","",INDEX(SchedZone,$C601,MAP!$B$5))</f>
        <v/>
      </c>
      <c r="G601" s="2" t="str">
        <f t="array" ref="G601">IF($C601="","",INDEX(SchedZone,$C601,MAP!$B$4))</f>
        <v/>
      </c>
      <c r="H601" s="2" t="str">
        <f t="array" ref="H601">IF($C601="","",INDEX(SchedZone,$C601,MAP!$B$12))</f>
        <v/>
      </c>
      <c r="I601" s="2" t="str">
        <f t="array" ref="I601">IF($H601="","",IF(COUNTIF(Teams,$H601)&gt;0,$H601,IFERROR(INDEX(LISTS!$D$2:$D$12,MATCH($H601,LISTS!$C$2:$C$12,0)),"⚠ "&amp;$H601)))</f>
        <v/>
      </c>
      <c r="J601" s="2" t="str">
        <f t="array" ref="J601">IF($C601="","",INDEX(SchedZone,$C601,MAP!$B$10))</f>
        <v/>
      </c>
      <c r="K601" s="2" t="str">
        <f t="array" ref="K601">IF($J601="","",IF(COUNTIF(Teams,$J601)&gt;0,$J601,IFERROR(INDEX(LISTS!$D$2:$D$12,MATCH($J601,LISTS!$C$2:$C$12,0)),"⚠ "&amp;$J601)))</f>
        <v/>
      </c>
      <c r="L601" s="2" t="str">
        <f t="array" ref="L601">IF($C601="","",IF(INDEX(SchedZone,$C601,MAP!$B$14)="Neutral","N",IF($B601="HOME","H","A")))</f>
        <v/>
      </c>
      <c r="M601" s="2" t="str">
        <f t="array" ref="M601">IF($C601="","",IF(INDEX(SchedZone,$C601,MAP!$B$13)="","",INDEX(SchedZone,$C601,MAP!$B$13)))</f>
        <v/>
      </c>
      <c r="N601" s="2" t="str">
        <f t="array" ref="N601">IF($C601="","",IF(INDEX(SchedZone,$C601,MAP!$B$11)="","",INDEX(SchedZone,$C601,MAP!$B$11)))</f>
        <v/>
      </c>
      <c r="O601" s="2" t="str">
        <f t="array" ref="O601">IF($C601="","",INDEX(SchedZone,$C601,MAP!$B$16))</f>
        <v/>
      </c>
      <c r="P601" s="2" t="str">
        <f>IF($C601="","",IFERROR(MATCH($E601&amp;"|"&amp;$G601&amp;"|"&amp;$I601,StatsKey,0),""))</f>
        <v/>
      </c>
      <c r="Q601" s="2">
        <f t="array" ref="Q601">IF($P601="",0,INDEX(StatsZone,$P601,MAP!$E$9)+INDEX(StatsZone,$P601,MAP!$E$10)+INDEX(StatsZone,$P601,MAP!$E$11))</f>
        <v>0</v>
      </c>
      <c r="R601" s="2">
        <f t="array" ref="R601">IF($P601="",0,INDEX(StatsZone,$P601,MAP!$E$12))</f>
        <v>0</v>
      </c>
      <c r="S601" s="2">
        <f t="array" ref="S601">IF($P601="",0,INDEX(StatsZone,$P601,MAP!$E$13))</f>
        <v>0</v>
      </c>
      <c r="T601" s="2">
        <f t="shared" si="1"/>
        <v>0</v>
      </c>
      <c r="U601" s="2">
        <f t="array" ref="U601">IF($P601="",0,INDEX(StatsZone,$P601,MAP!$E$14)+INDEX(StatsZone,$P601,MAP!$E$15)+INDEX(StatsZone,$P601,MAP!$E$16))</f>
        <v>0</v>
      </c>
      <c r="V601" s="2">
        <f t="shared" si="2"/>
        <v>0</v>
      </c>
      <c r="W601" s="2">
        <f t="shared" si="3"/>
        <v>0</v>
      </c>
      <c r="X601" s="2">
        <f t="shared" si="4"/>
        <v>0</v>
      </c>
      <c r="Y601" s="2">
        <f t="shared" si="5"/>
        <v>0</v>
      </c>
      <c r="Z601" s="2">
        <f t="shared" si="6"/>
        <v>0</v>
      </c>
      <c r="AA601" s="2">
        <f t="shared" si="7"/>
        <v>0</v>
      </c>
      <c r="AB601" s="2">
        <f>IF(OR($M601="",$N601=""),0,MEDIAN(-MarginCap,MarginCap,($M601-$N601)-$AA601*HFA_Base))</f>
        <v>0</v>
      </c>
      <c r="AC601" s="2">
        <f t="array" ref="AC601">IF(OR($P601="",INDEX($P$3:$P$722,(ROW()+IF(MOD(ROW()-3,2)=0,1,-1))-3+1)=""),0,MEDIAN(-MarginCap,MarginCap,($T601-$W601)-$AA601*HFA_Base))</f>
        <v>0</v>
      </c>
      <c r="AD601" s="2">
        <f t="shared" si="8"/>
        <v>0</v>
      </c>
      <c r="AE601" s="2">
        <f>IF(OR($M601="",$N601=""),0,IF(AND(WEpa&gt;0,$AD601=1),(1-WEpa)*$AB601+WEpa*$AC601,$AB601))</f>
        <v>0</v>
      </c>
      <c r="AF601" s="2">
        <f>IF(AND($C601&lt;&gt;"",$E601=CurrentSeason,$F601="REG",ISNUMBER($G601),$G601&lt;CurrentWeek,AND($M601&lt;&gt;"",$N601&lt;&gt;"")),1,0)</f>
        <v>0</v>
      </c>
      <c r="AG601" s="2">
        <f>IF($AF601=0,0,IF($G601&gt;=CurrentWeek-RecencyWin,RecencyMult,1))</f>
        <v>0</v>
      </c>
      <c r="AH601" s="2">
        <f>IF(AND($C601&lt;&gt;"",$E601=CurrentSeason,$F601="REG",ISNUMBER($G601),$G601&lt;CurrentWeek-1,AND($M601&lt;&gt;"",$N601&lt;&gt;"")),1,0)</f>
        <v>0</v>
      </c>
      <c r="AI601" s="2">
        <f>IF($AH601=0,0,IF($G601&gt;=CurrentWeek-1-RecencyWin,RecencyMult,1))</f>
        <v>0</v>
      </c>
      <c r="AJ601" s="2">
        <f>IF($AF601=0,0,IF($G601&gt;=CurrentWeek-RecencyWin,TotRecency,1))</f>
        <v>0</v>
      </c>
      <c r="AK601" s="2">
        <f t="shared" si="9"/>
        <v>0</v>
      </c>
      <c r="AL601" s="2">
        <f t="shared" si="10"/>
        <v>0</v>
      </c>
      <c r="AM601" s="2">
        <f t="array" ref="AM601">IF($K601="",0,IFERROR(INDEX(CALC!$F$2:$F$33,MATCH($K601,CALC!$A$2:$A$33,0)),0))</f>
        <v>0</v>
      </c>
      <c r="AN601" s="2">
        <f t="array" ref="AN601">IF($K601="",0,IFERROR(INDEX(CALC!$I$2:$I$33,MATCH($K601,CALC!$A$2:$A$33,0)),0))</f>
        <v>0</v>
      </c>
      <c r="AO601" s="2">
        <f t="array" ref="AO601">IF($K601="",0,IFERROR(INDEX(CALC!$L$2:$L$33,MATCH($K601,CALC!$A$2:$A$33,0)),0))</f>
        <v>0</v>
      </c>
      <c r="AP601" s="2">
        <f t="array" ref="AP601">IF($K601="",0,IFERROR(INDEX(CALC!$T$2:$T$33,MATCH($K601,CALC!$A$2:$A$33,0)),0))</f>
        <v>0</v>
      </c>
      <c r="AQ601" s="2">
        <f t="array" ref="AQ601">IF($K601="",0,IFERROR(INDEX(CALC!$W$2:$W$33,MATCH($K601,CALC!$A$2:$A$33,0)),0))</f>
        <v>0</v>
      </c>
      <c r="AR601" s="2">
        <f t="array" ref="AR601">IF($K601="",0,IFERROR(INDEX(CALC!$Z$2:$Z$33,MATCH($K601,CALC!$A$2:$A$33,0)),0))</f>
        <v>0</v>
      </c>
      <c r="AS601" s="2">
        <f t="array" ref="AS601">IF($K601="",0,IFERROR(INDEX(CALC!$AJ$2:$AJ$33,MATCH($K601,CALC!$A$2:$A$33,0)),0))</f>
        <v>0</v>
      </c>
      <c r="AT601" s="2">
        <f t="array" ref="AT601">IF($K601="",0,IFERROR(INDEX(CALC!$AI$2:$AI$33,MATCH($K601,CALC!$A$2:$A$33,0)),0))</f>
        <v>0</v>
      </c>
      <c r="AU601" s="2">
        <f t="shared" si="11"/>
        <v>0</v>
      </c>
      <c r="AV601" s="2">
        <f t="shared" si="12"/>
        <v>0</v>
      </c>
    </row>
    <row r="602" ht="15.0" customHeight="1">
      <c r="A602" s="2">
        <v>300.0</v>
      </c>
      <c r="B602" s="2" t="s">
        <v>2366</v>
      </c>
      <c r="C602" s="2" t="str">
        <f>IFERROR(MATCH($A602,SchedSeq,0),"")</f>
        <v/>
      </c>
      <c r="D602" s="2" t="str">
        <f t="array" ref="D602">IF($C602="","",INDEX(SchedZone,$C602,MAP!$B$6))</f>
        <v/>
      </c>
      <c r="E602" s="2" t="str">
        <f t="array" ref="E602">IF($C602="","",INDEX(SchedZone,$C602,MAP!$B$3))</f>
        <v/>
      </c>
      <c r="F602" s="2" t="str">
        <f t="array" ref="F602">IF($C602="","",INDEX(SchedZone,$C602,MAP!$B$5))</f>
        <v/>
      </c>
      <c r="G602" s="2" t="str">
        <f t="array" ref="G602">IF($C602="","",INDEX(SchedZone,$C602,MAP!$B$4))</f>
        <v/>
      </c>
      <c r="H602" s="2" t="str">
        <f t="array" ref="H602">IF($C602="","",INDEX(SchedZone,$C602,MAP!$B$10))</f>
        <v/>
      </c>
      <c r="I602" s="2" t="str">
        <f t="array" ref="I602">IF($H602="","",IF(COUNTIF(Teams,$H602)&gt;0,$H602,IFERROR(INDEX(LISTS!$D$2:$D$12,MATCH($H602,LISTS!$C$2:$C$12,0)),"⚠ "&amp;$H602)))</f>
        <v/>
      </c>
      <c r="J602" s="2" t="str">
        <f t="array" ref="J602">IF($C602="","",INDEX(SchedZone,$C602,MAP!$B$12))</f>
        <v/>
      </c>
      <c r="K602" s="2" t="str">
        <f t="array" ref="K602">IF($J602="","",IF(COUNTIF(Teams,$J602)&gt;0,$J602,IFERROR(INDEX(LISTS!$D$2:$D$12,MATCH($J602,LISTS!$C$2:$C$12,0)),"⚠ "&amp;$J602)))</f>
        <v/>
      </c>
      <c r="L602" s="2" t="str">
        <f t="array" ref="L602">IF($C602="","",IF(INDEX(SchedZone,$C602,MAP!$B$14)="Neutral","N",IF($B602="HOME","H","A")))</f>
        <v/>
      </c>
      <c r="M602" s="2" t="str">
        <f t="array" ref="M602">IF($C602="","",IF(INDEX(SchedZone,$C602,MAP!$B$11)="","",INDEX(SchedZone,$C602,MAP!$B$11)))</f>
        <v/>
      </c>
      <c r="N602" s="2" t="str">
        <f t="array" ref="N602">IF($C602="","",IF(INDEX(SchedZone,$C602,MAP!$B$13)="","",INDEX(SchedZone,$C602,MAP!$B$13)))</f>
        <v/>
      </c>
      <c r="O602" s="2" t="str">
        <f t="array" ref="O602">IF($C602="","",INDEX(SchedZone,$C602,MAP!$B$15))</f>
        <v/>
      </c>
      <c r="P602" s="2" t="str">
        <f>IF($C602="","",IFERROR(MATCH($E602&amp;"|"&amp;$G602&amp;"|"&amp;$I602,StatsKey,0),""))</f>
        <v/>
      </c>
      <c r="Q602" s="2">
        <f t="array" ref="Q602">IF($P602="",0,INDEX(StatsZone,$P602,MAP!$E$9)+INDEX(StatsZone,$P602,MAP!$E$10)+INDEX(StatsZone,$P602,MAP!$E$11))</f>
        <v>0</v>
      </c>
      <c r="R602" s="2">
        <f t="array" ref="R602">IF($P602="",0,INDEX(StatsZone,$P602,MAP!$E$12))</f>
        <v>0</v>
      </c>
      <c r="S602" s="2">
        <f t="array" ref="S602">IF($P602="",0,INDEX(StatsZone,$P602,MAP!$E$13))</f>
        <v>0</v>
      </c>
      <c r="T602" s="2">
        <f t="shared" si="1"/>
        <v>0</v>
      </c>
      <c r="U602" s="2">
        <f t="array" ref="U602">IF($P602="",0,INDEX(StatsZone,$P602,MAP!$E$14)+INDEX(StatsZone,$P602,MAP!$E$15)+INDEX(StatsZone,$P602,MAP!$E$16))</f>
        <v>0</v>
      </c>
      <c r="V602" s="2">
        <f t="shared" si="2"/>
        <v>0</v>
      </c>
      <c r="W602" s="2">
        <f t="shared" si="3"/>
        <v>0</v>
      </c>
      <c r="X602" s="2">
        <f t="shared" si="4"/>
        <v>0</v>
      </c>
      <c r="Y602" s="2">
        <f t="shared" si="5"/>
        <v>0</v>
      </c>
      <c r="Z602" s="2">
        <f t="shared" si="6"/>
        <v>0</v>
      </c>
      <c r="AA602" s="2">
        <f t="shared" si="7"/>
        <v>0</v>
      </c>
      <c r="AB602" s="2">
        <f>IF(OR($M602="",$N602=""),0,MEDIAN(-MarginCap,MarginCap,($M602-$N602)-$AA602*HFA_Base))</f>
        <v>0</v>
      </c>
      <c r="AC602" s="2">
        <f t="array" ref="AC602">IF(OR($P602="",INDEX($P$3:$P$722,(ROW()+IF(MOD(ROW()-3,2)=0,1,-1))-3+1)=""),0,MEDIAN(-MarginCap,MarginCap,($T602-$W602)-$AA602*HFA_Base))</f>
        <v>0</v>
      </c>
      <c r="AD602" s="2">
        <f t="shared" si="8"/>
        <v>0</v>
      </c>
      <c r="AE602" s="2">
        <f>IF(OR($M602="",$N602=""),0,IF(AND(WEpa&gt;0,$AD602=1),(1-WEpa)*$AB602+WEpa*$AC602,$AB602))</f>
        <v>0</v>
      </c>
      <c r="AF602" s="2">
        <f>IF(AND($C602&lt;&gt;"",$E602=CurrentSeason,$F602="REG",ISNUMBER($G602),$G602&lt;CurrentWeek,AND($M602&lt;&gt;"",$N602&lt;&gt;"")),1,0)</f>
        <v>0</v>
      </c>
      <c r="AG602" s="2">
        <f>IF($AF602=0,0,IF($G602&gt;=CurrentWeek-RecencyWin,RecencyMult,1))</f>
        <v>0</v>
      </c>
      <c r="AH602" s="2">
        <f>IF(AND($C602&lt;&gt;"",$E602=CurrentSeason,$F602="REG",ISNUMBER($G602),$G602&lt;CurrentWeek-1,AND($M602&lt;&gt;"",$N602&lt;&gt;"")),1,0)</f>
        <v>0</v>
      </c>
      <c r="AI602" s="2">
        <f>IF($AH602=0,0,IF($G602&gt;=CurrentWeek-1-RecencyWin,RecencyMult,1))</f>
        <v>0</v>
      </c>
      <c r="AJ602" s="2">
        <f>IF($AF602=0,0,IF($G602&gt;=CurrentWeek-RecencyWin,TotRecency,1))</f>
        <v>0</v>
      </c>
      <c r="AK602" s="2">
        <f t="shared" si="9"/>
        <v>0</v>
      </c>
      <c r="AL602" s="2">
        <f t="shared" si="10"/>
        <v>0</v>
      </c>
      <c r="AM602" s="2">
        <f t="array" ref="AM602">IF($K602="",0,IFERROR(INDEX(CALC!$F$2:$F$33,MATCH($K602,CALC!$A$2:$A$33,0)),0))</f>
        <v>0</v>
      </c>
      <c r="AN602" s="2">
        <f t="array" ref="AN602">IF($K602="",0,IFERROR(INDEX(CALC!$I$2:$I$33,MATCH($K602,CALC!$A$2:$A$33,0)),0))</f>
        <v>0</v>
      </c>
      <c r="AO602" s="2">
        <f t="array" ref="AO602">IF($K602="",0,IFERROR(INDEX(CALC!$L$2:$L$33,MATCH($K602,CALC!$A$2:$A$33,0)),0))</f>
        <v>0</v>
      </c>
      <c r="AP602" s="2">
        <f t="array" ref="AP602">IF($K602="",0,IFERROR(INDEX(CALC!$T$2:$T$33,MATCH($K602,CALC!$A$2:$A$33,0)),0))</f>
        <v>0</v>
      </c>
      <c r="AQ602" s="2">
        <f t="array" ref="AQ602">IF($K602="",0,IFERROR(INDEX(CALC!$W$2:$W$33,MATCH($K602,CALC!$A$2:$A$33,0)),0))</f>
        <v>0</v>
      </c>
      <c r="AR602" s="2">
        <f t="array" ref="AR602">IF($K602="",0,IFERROR(INDEX(CALC!$Z$2:$Z$33,MATCH($K602,CALC!$A$2:$A$33,0)),0))</f>
        <v>0</v>
      </c>
      <c r="AS602" s="2">
        <f t="array" ref="AS602">IF($K602="",0,IFERROR(INDEX(CALC!$AJ$2:$AJ$33,MATCH($K602,CALC!$A$2:$A$33,0)),0))</f>
        <v>0</v>
      </c>
      <c r="AT602" s="2">
        <f t="array" ref="AT602">IF($K602="",0,IFERROR(INDEX(CALC!$AI$2:$AI$33,MATCH($K602,CALC!$A$2:$A$33,0)),0))</f>
        <v>0</v>
      </c>
      <c r="AU602" s="2">
        <f t="shared" si="11"/>
        <v>0</v>
      </c>
      <c r="AV602" s="2">
        <f t="shared" si="12"/>
        <v>0</v>
      </c>
    </row>
    <row r="603" ht="15.0" customHeight="1">
      <c r="A603" s="2">
        <v>301.0</v>
      </c>
      <c r="B603" s="2" t="s">
        <v>2365</v>
      </c>
      <c r="C603" s="2" t="str">
        <f>IFERROR(MATCH($A603,SchedSeq,0),"")</f>
        <v/>
      </c>
      <c r="D603" s="2" t="str">
        <f t="array" ref="D603">IF($C603="","",INDEX(SchedZone,$C603,MAP!$B$6))</f>
        <v/>
      </c>
      <c r="E603" s="2" t="str">
        <f t="array" ref="E603">IF($C603="","",INDEX(SchedZone,$C603,MAP!$B$3))</f>
        <v/>
      </c>
      <c r="F603" s="2" t="str">
        <f t="array" ref="F603">IF($C603="","",INDEX(SchedZone,$C603,MAP!$B$5))</f>
        <v/>
      </c>
      <c r="G603" s="2" t="str">
        <f t="array" ref="G603">IF($C603="","",INDEX(SchedZone,$C603,MAP!$B$4))</f>
        <v/>
      </c>
      <c r="H603" s="2" t="str">
        <f t="array" ref="H603">IF($C603="","",INDEX(SchedZone,$C603,MAP!$B$12))</f>
        <v/>
      </c>
      <c r="I603" s="2" t="str">
        <f t="array" ref="I603">IF($H603="","",IF(COUNTIF(Teams,$H603)&gt;0,$H603,IFERROR(INDEX(LISTS!$D$2:$D$12,MATCH($H603,LISTS!$C$2:$C$12,0)),"⚠ "&amp;$H603)))</f>
        <v/>
      </c>
      <c r="J603" s="2" t="str">
        <f t="array" ref="J603">IF($C603="","",INDEX(SchedZone,$C603,MAP!$B$10))</f>
        <v/>
      </c>
      <c r="K603" s="2" t="str">
        <f t="array" ref="K603">IF($J603="","",IF(COUNTIF(Teams,$J603)&gt;0,$J603,IFERROR(INDEX(LISTS!$D$2:$D$12,MATCH($J603,LISTS!$C$2:$C$12,0)),"⚠ "&amp;$J603)))</f>
        <v/>
      </c>
      <c r="L603" s="2" t="str">
        <f t="array" ref="L603">IF($C603="","",IF(INDEX(SchedZone,$C603,MAP!$B$14)="Neutral","N",IF($B603="HOME","H","A")))</f>
        <v/>
      </c>
      <c r="M603" s="2" t="str">
        <f t="array" ref="M603">IF($C603="","",IF(INDEX(SchedZone,$C603,MAP!$B$13)="","",INDEX(SchedZone,$C603,MAP!$B$13)))</f>
        <v/>
      </c>
      <c r="N603" s="2" t="str">
        <f t="array" ref="N603">IF($C603="","",IF(INDEX(SchedZone,$C603,MAP!$B$11)="","",INDEX(SchedZone,$C603,MAP!$B$11)))</f>
        <v/>
      </c>
      <c r="O603" s="2" t="str">
        <f t="array" ref="O603">IF($C603="","",INDEX(SchedZone,$C603,MAP!$B$16))</f>
        <v/>
      </c>
      <c r="P603" s="2" t="str">
        <f>IF($C603="","",IFERROR(MATCH($E603&amp;"|"&amp;$G603&amp;"|"&amp;$I603,StatsKey,0),""))</f>
        <v/>
      </c>
      <c r="Q603" s="2">
        <f t="array" ref="Q603">IF($P603="",0,INDEX(StatsZone,$P603,MAP!$E$9)+INDEX(StatsZone,$P603,MAP!$E$10)+INDEX(StatsZone,$P603,MAP!$E$11))</f>
        <v>0</v>
      </c>
      <c r="R603" s="2">
        <f t="array" ref="R603">IF($P603="",0,INDEX(StatsZone,$P603,MAP!$E$12))</f>
        <v>0</v>
      </c>
      <c r="S603" s="2">
        <f t="array" ref="S603">IF($P603="",0,INDEX(StatsZone,$P603,MAP!$E$13))</f>
        <v>0</v>
      </c>
      <c r="T603" s="2">
        <f t="shared" si="1"/>
        <v>0</v>
      </c>
      <c r="U603" s="2">
        <f t="array" ref="U603">IF($P603="",0,INDEX(StatsZone,$P603,MAP!$E$14)+INDEX(StatsZone,$P603,MAP!$E$15)+INDEX(StatsZone,$P603,MAP!$E$16))</f>
        <v>0</v>
      </c>
      <c r="V603" s="2">
        <f t="shared" si="2"/>
        <v>0</v>
      </c>
      <c r="W603" s="2">
        <f t="shared" si="3"/>
        <v>0</v>
      </c>
      <c r="X603" s="2">
        <f t="shared" si="4"/>
        <v>0</v>
      </c>
      <c r="Y603" s="2">
        <f t="shared" si="5"/>
        <v>0</v>
      </c>
      <c r="Z603" s="2">
        <f t="shared" si="6"/>
        <v>0</v>
      </c>
      <c r="AA603" s="2">
        <f t="shared" si="7"/>
        <v>0</v>
      </c>
      <c r="AB603" s="2">
        <f>IF(OR($M603="",$N603=""),0,MEDIAN(-MarginCap,MarginCap,($M603-$N603)-$AA603*HFA_Base))</f>
        <v>0</v>
      </c>
      <c r="AC603" s="2">
        <f t="array" ref="AC603">IF(OR($P603="",INDEX($P$3:$P$722,(ROW()+IF(MOD(ROW()-3,2)=0,1,-1))-3+1)=""),0,MEDIAN(-MarginCap,MarginCap,($T603-$W603)-$AA603*HFA_Base))</f>
        <v>0</v>
      </c>
      <c r="AD603" s="2">
        <f t="shared" si="8"/>
        <v>0</v>
      </c>
      <c r="AE603" s="2">
        <f>IF(OR($M603="",$N603=""),0,IF(AND(WEpa&gt;0,$AD603=1),(1-WEpa)*$AB603+WEpa*$AC603,$AB603))</f>
        <v>0</v>
      </c>
      <c r="AF603" s="2">
        <f>IF(AND($C603&lt;&gt;"",$E603=CurrentSeason,$F603="REG",ISNUMBER($G603),$G603&lt;CurrentWeek,AND($M603&lt;&gt;"",$N603&lt;&gt;"")),1,0)</f>
        <v>0</v>
      </c>
      <c r="AG603" s="2">
        <f>IF($AF603=0,0,IF($G603&gt;=CurrentWeek-RecencyWin,RecencyMult,1))</f>
        <v>0</v>
      </c>
      <c r="AH603" s="2">
        <f>IF(AND($C603&lt;&gt;"",$E603=CurrentSeason,$F603="REG",ISNUMBER($G603),$G603&lt;CurrentWeek-1,AND($M603&lt;&gt;"",$N603&lt;&gt;"")),1,0)</f>
        <v>0</v>
      </c>
      <c r="AI603" s="2">
        <f>IF($AH603=0,0,IF($G603&gt;=CurrentWeek-1-RecencyWin,RecencyMult,1))</f>
        <v>0</v>
      </c>
      <c r="AJ603" s="2">
        <f>IF($AF603=0,0,IF($G603&gt;=CurrentWeek-RecencyWin,TotRecency,1))</f>
        <v>0</v>
      </c>
      <c r="AK603" s="2">
        <f t="shared" si="9"/>
        <v>0</v>
      </c>
      <c r="AL603" s="2">
        <f t="shared" si="10"/>
        <v>0</v>
      </c>
      <c r="AM603" s="2">
        <f t="array" ref="AM603">IF($K603="",0,IFERROR(INDEX(CALC!$F$2:$F$33,MATCH($K603,CALC!$A$2:$A$33,0)),0))</f>
        <v>0</v>
      </c>
      <c r="AN603" s="2">
        <f t="array" ref="AN603">IF($K603="",0,IFERROR(INDEX(CALC!$I$2:$I$33,MATCH($K603,CALC!$A$2:$A$33,0)),0))</f>
        <v>0</v>
      </c>
      <c r="AO603" s="2">
        <f t="array" ref="AO603">IF($K603="",0,IFERROR(INDEX(CALC!$L$2:$L$33,MATCH($K603,CALC!$A$2:$A$33,0)),0))</f>
        <v>0</v>
      </c>
      <c r="AP603" s="2">
        <f t="array" ref="AP603">IF($K603="",0,IFERROR(INDEX(CALC!$T$2:$T$33,MATCH($K603,CALC!$A$2:$A$33,0)),0))</f>
        <v>0</v>
      </c>
      <c r="AQ603" s="2">
        <f t="array" ref="AQ603">IF($K603="",0,IFERROR(INDEX(CALC!$W$2:$W$33,MATCH($K603,CALC!$A$2:$A$33,0)),0))</f>
        <v>0</v>
      </c>
      <c r="AR603" s="2">
        <f t="array" ref="AR603">IF($K603="",0,IFERROR(INDEX(CALC!$Z$2:$Z$33,MATCH($K603,CALC!$A$2:$A$33,0)),0))</f>
        <v>0</v>
      </c>
      <c r="AS603" s="2">
        <f t="array" ref="AS603">IF($K603="",0,IFERROR(INDEX(CALC!$AJ$2:$AJ$33,MATCH($K603,CALC!$A$2:$A$33,0)),0))</f>
        <v>0</v>
      </c>
      <c r="AT603" s="2">
        <f t="array" ref="AT603">IF($K603="",0,IFERROR(INDEX(CALC!$AI$2:$AI$33,MATCH($K603,CALC!$A$2:$A$33,0)),0))</f>
        <v>0</v>
      </c>
      <c r="AU603" s="2">
        <f t="shared" si="11"/>
        <v>0</v>
      </c>
      <c r="AV603" s="2">
        <f t="shared" si="12"/>
        <v>0</v>
      </c>
    </row>
    <row r="604" ht="15.0" customHeight="1">
      <c r="A604" s="2">
        <v>301.0</v>
      </c>
      <c r="B604" s="2" t="s">
        <v>2366</v>
      </c>
      <c r="C604" s="2" t="str">
        <f>IFERROR(MATCH($A604,SchedSeq,0),"")</f>
        <v/>
      </c>
      <c r="D604" s="2" t="str">
        <f t="array" ref="D604">IF($C604="","",INDEX(SchedZone,$C604,MAP!$B$6))</f>
        <v/>
      </c>
      <c r="E604" s="2" t="str">
        <f t="array" ref="E604">IF($C604="","",INDEX(SchedZone,$C604,MAP!$B$3))</f>
        <v/>
      </c>
      <c r="F604" s="2" t="str">
        <f t="array" ref="F604">IF($C604="","",INDEX(SchedZone,$C604,MAP!$B$5))</f>
        <v/>
      </c>
      <c r="G604" s="2" t="str">
        <f t="array" ref="G604">IF($C604="","",INDEX(SchedZone,$C604,MAP!$B$4))</f>
        <v/>
      </c>
      <c r="H604" s="2" t="str">
        <f t="array" ref="H604">IF($C604="","",INDEX(SchedZone,$C604,MAP!$B$10))</f>
        <v/>
      </c>
      <c r="I604" s="2" t="str">
        <f t="array" ref="I604">IF($H604="","",IF(COUNTIF(Teams,$H604)&gt;0,$H604,IFERROR(INDEX(LISTS!$D$2:$D$12,MATCH($H604,LISTS!$C$2:$C$12,0)),"⚠ "&amp;$H604)))</f>
        <v/>
      </c>
      <c r="J604" s="2" t="str">
        <f t="array" ref="J604">IF($C604="","",INDEX(SchedZone,$C604,MAP!$B$12))</f>
        <v/>
      </c>
      <c r="K604" s="2" t="str">
        <f t="array" ref="K604">IF($J604="","",IF(COUNTIF(Teams,$J604)&gt;0,$J604,IFERROR(INDEX(LISTS!$D$2:$D$12,MATCH($J604,LISTS!$C$2:$C$12,0)),"⚠ "&amp;$J604)))</f>
        <v/>
      </c>
      <c r="L604" s="2" t="str">
        <f t="array" ref="L604">IF($C604="","",IF(INDEX(SchedZone,$C604,MAP!$B$14)="Neutral","N",IF($B604="HOME","H","A")))</f>
        <v/>
      </c>
      <c r="M604" s="2" t="str">
        <f t="array" ref="M604">IF($C604="","",IF(INDEX(SchedZone,$C604,MAP!$B$11)="","",INDEX(SchedZone,$C604,MAP!$B$11)))</f>
        <v/>
      </c>
      <c r="N604" s="2" t="str">
        <f t="array" ref="N604">IF($C604="","",IF(INDEX(SchedZone,$C604,MAP!$B$13)="","",INDEX(SchedZone,$C604,MAP!$B$13)))</f>
        <v/>
      </c>
      <c r="O604" s="2" t="str">
        <f t="array" ref="O604">IF($C604="","",INDEX(SchedZone,$C604,MAP!$B$15))</f>
        <v/>
      </c>
      <c r="P604" s="2" t="str">
        <f>IF($C604="","",IFERROR(MATCH($E604&amp;"|"&amp;$G604&amp;"|"&amp;$I604,StatsKey,0),""))</f>
        <v/>
      </c>
      <c r="Q604" s="2">
        <f t="array" ref="Q604">IF($P604="",0,INDEX(StatsZone,$P604,MAP!$E$9)+INDEX(StatsZone,$P604,MAP!$E$10)+INDEX(StatsZone,$P604,MAP!$E$11))</f>
        <v>0</v>
      </c>
      <c r="R604" s="2">
        <f t="array" ref="R604">IF($P604="",0,INDEX(StatsZone,$P604,MAP!$E$12))</f>
        <v>0</v>
      </c>
      <c r="S604" s="2">
        <f t="array" ref="S604">IF($P604="",0,INDEX(StatsZone,$P604,MAP!$E$13))</f>
        <v>0</v>
      </c>
      <c r="T604" s="2">
        <f t="shared" si="1"/>
        <v>0</v>
      </c>
      <c r="U604" s="2">
        <f t="array" ref="U604">IF($P604="",0,INDEX(StatsZone,$P604,MAP!$E$14)+INDEX(StatsZone,$P604,MAP!$E$15)+INDEX(StatsZone,$P604,MAP!$E$16))</f>
        <v>0</v>
      </c>
      <c r="V604" s="2">
        <f t="shared" si="2"/>
        <v>0</v>
      </c>
      <c r="W604" s="2">
        <f t="shared" si="3"/>
        <v>0</v>
      </c>
      <c r="X604" s="2">
        <f t="shared" si="4"/>
        <v>0</v>
      </c>
      <c r="Y604" s="2">
        <f t="shared" si="5"/>
        <v>0</v>
      </c>
      <c r="Z604" s="2">
        <f t="shared" si="6"/>
        <v>0</v>
      </c>
      <c r="AA604" s="2">
        <f t="shared" si="7"/>
        <v>0</v>
      </c>
      <c r="AB604" s="2">
        <f>IF(OR($M604="",$N604=""),0,MEDIAN(-MarginCap,MarginCap,($M604-$N604)-$AA604*HFA_Base))</f>
        <v>0</v>
      </c>
      <c r="AC604" s="2">
        <f t="array" ref="AC604">IF(OR($P604="",INDEX($P$3:$P$722,(ROW()+IF(MOD(ROW()-3,2)=0,1,-1))-3+1)=""),0,MEDIAN(-MarginCap,MarginCap,($T604-$W604)-$AA604*HFA_Base))</f>
        <v>0</v>
      </c>
      <c r="AD604" s="2">
        <f t="shared" si="8"/>
        <v>0</v>
      </c>
      <c r="AE604" s="2">
        <f>IF(OR($M604="",$N604=""),0,IF(AND(WEpa&gt;0,$AD604=1),(1-WEpa)*$AB604+WEpa*$AC604,$AB604))</f>
        <v>0</v>
      </c>
      <c r="AF604" s="2">
        <f>IF(AND($C604&lt;&gt;"",$E604=CurrentSeason,$F604="REG",ISNUMBER($G604),$G604&lt;CurrentWeek,AND($M604&lt;&gt;"",$N604&lt;&gt;"")),1,0)</f>
        <v>0</v>
      </c>
      <c r="AG604" s="2">
        <f>IF($AF604=0,0,IF($G604&gt;=CurrentWeek-RecencyWin,RecencyMult,1))</f>
        <v>0</v>
      </c>
      <c r="AH604" s="2">
        <f>IF(AND($C604&lt;&gt;"",$E604=CurrentSeason,$F604="REG",ISNUMBER($G604),$G604&lt;CurrentWeek-1,AND($M604&lt;&gt;"",$N604&lt;&gt;"")),1,0)</f>
        <v>0</v>
      </c>
      <c r="AI604" s="2">
        <f>IF($AH604=0,0,IF($G604&gt;=CurrentWeek-1-RecencyWin,RecencyMult,1))</f>
        <v>0</v>
      </c>
      <c r="AJ604" s="2">
        <f>IF($AF604=0,0,IF($G604&gt;=CurrentWeek-RecencyWin,TotRecency,1))</f>
        <v>0</v>
      </c>
      <c r="AK604" s="2">
        <f t="shared" si="9"/>
        <v>0</v>
      </c>
      <c r="AL604" s="2">
        <f t="shared" si="10"/>
        <v>0</v>
      </c>
      <c r="AM604" s="2">
        <f t="array" ref="AM604">IF($K604="",0,IFERROR(INDEX(CALC!$F$2:$F$33,MATCH($K604,CALC!$A$2:$A$33,0)),0))</f>
        <v>0</v>
      </c>
      <c r="AN604" s="2">
        <f t="array" ref="AN604">IF($K604="",0,IFERROR(INDEX(CALC!$I$2:$I$33,MATCH($K604,CALC!$A$2:$A$33,0)),0))</f>
        <v>0</v>
      </c>
      <c r="AO604" s="2">
        <f t="array" ref="AO604">IF($K604="",0,IFERROR(INDEX(CALC!$L$2:$L$33,MATCH($K604,CALC!$A$2:$A$33,0)),0))</f>
        <v>0</v>
      </c>
      <c r="AP604" s="2">
        <f t="array" ref="AP604">IF($K604="",0,IFERROR(INDEX(CALC!$T$2:$T$33,MATCH($K604,CALC!$A$2:$A$33,0)),0))</f>
        <v>0</v>
      </c>
      <c r="AQ604" s="2">
        <f t="array" ref="AQ604">IF($K604="",0,IFERROR(INDEX(CALC!$W$2:$W$33,MATCH($K604,CALC!$A$2:$A$33,0)),0))</f>
        <v>0</v>
      </c>
      <c r="AR604" s="2">
        <f t="array" ref="AR604">IF($K604="",0,IFERROR(INDEX(CALC!$Z$2:$Z$33,MATCH($K604,CALC!$A$2:$A$33,0)),0))</f>
        <v>0</v>
      </c>
      <c r="AS604" s="2">
        <f t="array" ref="AS604">IF($K604="",0,IFERROR(INDEX(CALC!$AJ$2:$AJ$33,MATCH($K604,CALC!$A$2:$A$33,0)),0))</f>
        <v>0</v>
      </c>
      <c r="AT604" s="2">
        <f t="array" ref="AT604">IF($K604="",0,IFERROR(INDEX(CALC!$AI$2:$AI$33,MATCH($K604,CALC!$A$2:$A$33,0)),0))</f>
        <v>0</v>
      </c>
      <c r="AU604" s="2">
        <f t="shared" si="11"/>
        <v>0</v>
      </c>
      <c r="AV604" s="2">
        <f t="shared" si="12"/>
        <v>0</v>
      </c>
    </row>
    <row r="605" ht="15.0" customHeight="1">
      <c r="A605" s="2">
        <v>302.0</v>
      </c>
      <c r="B605" s="2" t="s">
        <v>2365</v>
      </c>
      <c r="C605" s="2" t="str">
        <f>IFERROR(MATCH($A605,SchedSeq,0),"")</f>
        <v/>
      </c>
      <c r="D605" s="2" t="str">
        <f t="array" ref="D605">IF($C605="","",INDEX(SchedZone,$C605,MAP!$B$6))</f>
        <v/>
      </c>
      <c r="E605" s="2" t="str">
        <f t="array" ref="E605">IF($C605="","",INDEX(SchedZone,$C605,MAP!$B$3))</f>
        <v/>
      </c>
      <c r="F605" s="2" t="str">
        <f t="array" ref="F605">IF($C605="","",INDEX(SchedZone,$C605,MAP!$B$5))</f>
        <v/>
      </c>
      <c r="G605" s="2" t="str">
        <f t="array" ref="G605">IF($C605="","",INDEX(SchedZone,$C605,MAP!$B$4))</f>
        <v/>
      </c>
      <c r="H605" s="2" t="str">
        <f t="array" ref="H605">IF($C605="","",INDEX(SchedZone,$C605,MAP!$B$12))</f>
        <v/>
      </c>
      <c r="I605" s="2" t="str">
        <f t="array" ref="I605">IF($H605="","",IF(COUNTIF(Teams,$H605)&gt;0,$H605,IFERROR(INDEX(LISTS!$D$2:$D$12,MATCH($H605,LISTS!$C$2:$C$12,0)),"⚠ "&amp;$H605)))</f>
        <v/>
      </c>
      <c r="J605" s="2" t="str">
        <f t="array" ref="J605">IF($C605="","",INDEX(SchedZone,$C605,MAP!$B$10))</f>
        <v/>
      </c>
      <c r="K605" s="2" t="str">
        <f t="array" ref="K605">IF($J605="","",IF(COUNTIF(Teams,$J605)&gt;0,$J605,IFERROR(INDEX(LISTS!$D$2:$D$12,MATCH($J605,LISTS!$C$2:$C$12,0)),"⚠ "&amp;$J605)))</f>
        <v/>
      </c>
      <c r="L605" s="2" t="str">
        <f t="array" ref="L605">IF($C605="","",IF(INDEX(SchedZone,$C605,MAP!$B$14)="Neutral","N",IF($B605="HOME","H","A")))</f>
        <v/>
      </c>
      <c r="M605" s="2" t="str">
        <f t="array" ref="M605">IF($C605="","",IF(INDEX(SchedZone,$C605,MAP!$B$13)="","",INDEX(SchedZone,$C605,MAP!$B$13)))</f>
        <v/>
      </c>
      <c r="N605" s="2" t="str">
        <f t="array" ref="N605">IF($C605="","",IF(INDEX(SchedZone,$C605,MAP!$B$11)="","",INDEX(SchedZone,$C605,MAP!$B$11)))</f>
        <v/>
      </c>
      <c r="O605" s="2" t="str">
        <f t="array" ref="O605">IF($C605="","",INDEX(SchedZone,$C605,MAP!$B$16))</f>
        <v/>
      </c>
      <c r="P605" s="2" t="str">
        <f>IF($C605="","",IFERROR(MATCH($E605&amp;"|"&amp;$G605&amp;"|"&amp;$I605,StatsKey,0),""))</f>
        <v/>
      </c>
      <c r="Q605" s="2">
        <f t="array" ref="Q605">IF($P605="",0,INDEX(StatsZone,$P605,MAP!$E$9)+INDEX(StatsZone,$P605,MAP!$E$10)+INDEX(StatsZone,$P605,MAP!$E$11))</f>
        <v>0</v>
      </c>
      <c r="R605" s="2">
        <f t="array" ref="R605">IF($P605="",0,INDEX(StatsZone,$P605,MAP!$E$12))</f>
        <v>0</v>
      </c>
      <c r="S605" s="2">
        <f t="array" ref="S605">IF($P605="",0,INDEX(StatsZone,$P605,MAP!$E$13))</f>
        <v>0</v>
      </c>
      <c r="T605" s="2">
        <f t="shared" si="1"/>
        <v>0</v>
      </c>
      <c r="U605" s="2">
        <f t="array" ref="U605">IF($P605="",0,INDEX(StatsZone,$P605,MAP!$E$14)+INDEX(StatsZone,$P605,MAP!$E$15)+INDEX(StatsZone,$P605,MAP!$E$16))</f>
        <v>0</v>
      </c>
      <c r="V605" s="2">
        <f t="shared" si="2"/>
        <v>0</v>
      </c>
      <c r="W605" s="2">
        <f t="shared" si="3"/>
        <v>0</v>
      </c>
      <c r="X605" s="2">
        <f t="shared" si="4"/>
        <v>0</v>
      </c>
      <c r="Y605" s="2">
        <f t="shared" si="5"/>
        <v>0</v>
      </c>
      <c r="Z605" s="2">
        <f t="shared" si="6"/>
        <v>0</v>
      </c>
      <c r="AA605" s="2">
        <f t="shared" si="7"/>
        <v>0</v>
      </c>
      <c r="AB605" s="2">
        <f>IF(OR($M605="",$N605=""),0,MEDIAN(-MarginCap,MarginCap,($M605-$N605)-$AA605*HFA_Base))</f>
        <v>0</v>
      </c>
      <c r="AC605" s="2">
        <f t="array" ref="AC605">IF(OR($P605="",INDEX($P$3:$P$722,(ROW()+IF(MOD(ROW()-3,2)=0,1,-1))-3+1)=""),0,MEDIAN(-MarginCap,MarginCap,($T605-$W605)-$AA605*HFA_Base))</f>
        <v>0</v>
      </c>
      <c r="AD605" s="2">
        <f t="shared" si="8"/>
        <v>0</v>
      </c>
      <c r="AE605" s="2">
        <f>IF(OR($M605="",$N605=""),0,IF(AND(WEpa&gt;0,$AD605=1),(1-WEpa)*$AB605+WEpa*$AC605,$AB605))</f>
        <v>0</v>
      </c>
      <c r="AF605" s="2">
        <f>IF(AND($C605&lt;&gt;"",$E605=CurrentSeason,$F605="REG",ISNUMBER($G605),$G605&lt;CurrentWeek,AND($M605&lt;&gt;"",$N605&lt;&gt;"")),1,0)</f>
        <v>0</v>
      </c>
      <c r="AG605" s="2">
        <f>IF($AF605=0,0,IF($G605&gt;=CurrentWeek-RecencyWin,RecencyMult,1))</f>
        <v>0</v>
      </c>
      <c r="AH605" s="2">
        <f>IF(AND($C605&lt;&gt;"",$E605=CurrentSeason,$F605="REG",ISNUMBER($G605),$G605&lt;CurrentWeek-1,AND($M605&lt;&gt;"",$N605&lt;&gt;"")),1,0)</f>
        <v>0</v>
      </c>
      <c r="AI605" s="2">
        <f>IF($AH605=0,0,IF($G605&gt;=CurrentWeek-1-RecencyWin,RecencyMult,1))</f>
        <v>0</v>
      </c>
      <c r="AJ605" s="2">
        <f>IF($AF605=0,0,IF($G605&gt;=CurrentWeek-RecencyWin,TotRecency,1))</f>
        <v>0</v>
      </c>
      <c r="AK605" s="2">
        <f t="shared" si="9"/>
        <v>0</v>
      </c>
      <c r="AL605" s="2">
        <f t="shared" si="10"/>
        <v>0</v>
      </c>
      <c r="AM605" s="2">
        <f t="array" ref="AM605">IF($K605="",0,IFERROR(INDEX(CALC!$F$2:$F$33,MATCH($K605,CALC!$A$2:$A$33,0)),0))</f>
        <v>0</v>
      </c>
      <c r="AN605" s="2">
        <f t="array" ref="AN605">IF($K605="",0,IFERROR(INDEX(CALC!$I$2:$I$33,MATCH($K605,CALC!$A$2:$A$33,0)),0))</f>
        <v>0</v>
      </c>
      <c r="AO605" s="2">
        <f t="array" ref="AO605">IF($K605="",0,IFERROR(INDEX(CALC!$L$2:$L$33,MATCH($K605,CALC!$A$2:$A$33,0)),0))</f>
        <v>0</v>
      </c>
      <c r="AP605" s="2">
        <f t="array" ref="AP605">IF($K605="",0,IFERROR(INDEX(CALC!$T$2:$T$33,MATCH($K605,CALC!$A$2:$A$33,0)),0))</f>
        <v>0</v>
      </c>
      <c r="AQ605" s="2">
        <f t="array" ref="AQ605">IF($K605="",0,IFERROR(INDEX(CALC!$W$2:$W$33,MATCH($K605,CALC!$A$2:$A$33,0)),0))</f>
        <v>0</v>
      </c>
      <c r="AR605" s="2">
        <f t="array" ref="AR605">IF($K605="",0,IFERROR(INDEX(CALC!$Z$2:$Z$33,MATCH($K605,CALC!$A$2:$A$33,0)),0))</f>
        <v>0</v>
      </c>
      <c r="AS605" s="2">
        <f t="array" ref="AS605">IF($K605="",0,IFERROR(INDEX(CALC!$AJ$2:$AJ$33,MATCH($K605,CALC!$A$2:$A$33,0)),0))</f>
        <v>0</v>
      </c>
      <c r="AT605" s="2">
        <f t="array" ref="AT605">IF($K605="",0,IFERROR(INDEX(CALC!$AI$2:$AI$33,MATCH($K605,CALC!$A$2:$A$33,0)),0))</f>
        <v>0</v>
      </c>
      <c r="AU605" s="2">
        <f t="shared" si="11"/>
        <v>0</v>
      </c>
      <c r="AV605" s="2">
        <f t="shared" si="12"/>
        <v>0</v>
      </c>
    </row>
    <row r="606" ht="15.0" customHeight="1">
      <c r="A606" s="2">
        <v>302.0</v>
      </c>
      <c r="B606" s="2" t="s">
        <v>2366</v>
      </c>
      <c r="C606" s="2" t="str">
        <f>IFERROR(MATCH($A606,SchedSeq,0),"")</f>
        <v/>
      </c>
      <c r="D606" s="2" t="str">
        <f t="array" ref="D606">IF($C606="","",INDEX(SchedZone,$C606,MAP!$B$6))</f>
        <v/>
      </c>
      <c r="E606" s="2" t="str">
        <f t="array" ref="E606">IF($C606="","",INDEX(SchedZone,$C606,MAP!$B$3))</f>
        <v/>
      </c>
      <c r="F606" s="2" t="str">
        <f t="array" ref="F606">IF($C606="","",INDEX(SchedZone,$C606,MAP!$B$5))</f>
        <v/>
      </c>
      <c r="G606" s="2" t="str">
        <f t="array" ref="G606">IF($C606="","",INDEX(SchedZone,$C606,MAP!$B$4))</f>
        <v/>
      </c>
      <c r="H606" s="2" t="str">
        <f t="array" ref="H606">IF($C606="","",INDEX(SchedZone,$C606,MAP!$B$10))</f>
        <v/>
      </c>
      <c r="I606" s="2" t="str">
        <f t="array" ref="I606">IF($H606="","",IF(COUNTIF(Teams,$H606)&gt;0,$H606,IFERROR(INDEX(LISTS!$D$2:$D$12,MATCH($H606,LISTS!$C$2:$C$12,0)),"⚠ "&amp;$H606)))</f>
        <v/>
      </c>
      <c r="J606" s="2" t="str">
        <f t="array" ref="J606">IF($C606="","",INDEX(SchedZone,$C606,MAP!$B$12))</f>
        <v/>
      </c>
      <c r="K606" s="2" t="str">
        <f t="array" ref="K606">IF($J606="","",IF(COUNTIF(Teams,$J606)&gt;0,$J606,IFERROR(INDEX(LISTS!$D$2:$D$12,MATCH($J606,LISTS!$C$2:$C$12,0)),"⚠ "&amp;$J606)))</f>
        <v/>
      </c>
      <c r="L606" s="2" t="str">
        <f t="array" ref="L606">IF($C606="","",IF(INDEX(SchedZone,$C606,MAP!$B$14)="Neutral","N",IF($B606="HOME","H","A")))</f>
        <v/>
      </c>
      <c r="M606" s="2" t="str">
        <f t="array" ref="M606">IF($C606="","",IF(INDEX(SchedZone,$C606,MAP!$B$11)="","",INDEX(SchedZone,$C606,MAP!$B$11)))</f>
        <v/>
      </c>
      <c r="N606" s="2" t="str">
        <f t="array" ref="N606">IF($C606="","",IF(INDEX(SchedZone,$C606,MAP!$B$13)="","",INDEX(SchedZone,$C606,MAP!$B$13)))</f>
        <v/>
      </c>
      <c r="O606" s="2" t="str">
        <f t="array" ref="O606">IF($C606="","",INDEX(SchedZone,$C606,MAP!$B$15))</f>
        <v/>
      </c>
      <c r="P606" s="2" t="str">
        <f>IF($C606="","",IFERROR(MATCH($E606&amp;"|"&amp;$G606&amp;"|"&amp;$I606,StatsKey,0),""))</f>
        <v/>
      </c>
      <c r="Q606" s="2">
        <f t="array" ref="Q606">IF($P606="",0,INDEX(StatsZone,$P606,MAP!$E$9)+INDEX(StatsZone,$P606,MAP!$E$10)+INDEX(StatsZone,$P606,MAP!$E$11))</f>
        <v>0</v>
      </c>
      <c r="R606" s="2">
        <f t="array" ref="R606">IF($P606="",0,INDEX(StatsZone,$P606,MAP!$E$12))</f>
        <v>0</v>
      </c>
      <c r="S606" s="2">
        <f t="array" ref="S606">IF($P606="",0,INDEX(StatsZone,$P606,MAP!$E$13))</f>
        <v>0</v>
      </c>
      <c r="T606" s="2">
        <f t="shared" si="1"/>
        <v>0</v>
      </c>
      <c r="U606" s="2">
        <f t="array" ref="U606">IF($P606="",0,INDEX(StatsZone,$P606,MAP!$E$14)+INDEX(StatsZone,$P606,MAP!$E$15)+INDEX(StatsZone,$P606,MAP!$E$16))</f>
        <v>0</v>
      </c>
      <c r="V606" s="2">
        <f t="shared" si="2"/>
        <v>0</v>
      </c>
      <c r="W606" s="2">
        <f t="shared" si="3"/>
        <v>0</v>
      </c>
      <c r="X606" s="2">
        <f t="shared" si="4"/>
        <v>0</v>
      </c>
      <c r="Y606" s="2">
        <f t="shared" si="5"/>
        <v>0</v>
      </c>
      <c r="Z606" s="2">
        <f t="shared" si="6"/>
        <v>0</v>
      </c>
      <c r="AA606" s="2">
        <f t="shared" si="7"/>
        <v>0</v>
      </c>
      <c r="AB606" s="2">
        <f>IF(OR($M606="",$N606=""),0,MEDIAN(-MarginCap,MarginCap,($M606-$N606)-$AA606*HFA_Base))</f>
        <v>0</v>
      </c>
      <c r="AC606" s="2">
        <f t="array" ref="AC606">IF(OR($P606="",INDEX($P$3:$P$722,(ROW()+IF(MOD(ROW()-3,2)=0,1,-1))-3+1)=""),0,MEDIAN(-MarginCap,MarginCap,($T606-$W606)-$AA606*HFA_Base))</f>
        <v>0</v>
      </c>
      <c r="AD606" s="2">
        <f t="shared" si="8"/>
        <v>0</v>
      </c>
      <c r="AE606" s="2">
        <f>IF(OR($M606="",$N606=""),0,IF(AND(WEpa&gt;0,$AD606=1),(1-WEpa)*$AB606+WEpa*$AC606,$AB606))</f>
        <v>0</v>
      </c>
      <c r="AF606" s="2">
        <f>IF(AND($C606&lt;&gt;"",$E606=CurrentSeason,$F606="REG",ISNUMBER($G606),$G606&lt;CurrentWeek,AND($M606&lt;&gt;"",$N606&lt;&gt;"")),1,0)</f>
        <v>0</v>
      </c>
      <c r="AG606" s="2">
        <f>IF($AF606=0,0,IF($G606&gt;=CurrentWeek-RecencyWin,RecencyMult,1))</f>
        <v>0</v>
      </c>
      <c r="AH606" s="2">
        <f>IF(AND($C606&lt;&gt;"",$E606=CurrentSeason,$F606="REG",ISNUMBER($G606),$G606&lt;CurrentWeek-1,AND($M606&lt;&gt;"",$N606&lt;&gt;"")),1,0)</f>
        <v>0</v>
      </c>
      <c r="AI606" s="2">
        <f>IF($AH606=0,0,IF($G606&gt;=CurrentWeek-1-RecencyWin,RecencyMult,1))</f>
        <v>0</v>
      </c>
      <c r="AJ606" s="2">
        <f>IF($AF606=0,0,IF($G606&gt;=CurrentWeek-RecencyWin,TotRecency,1))</f>
        <v>0</v>
      </c>
      <c r="AK606" s="2">
        <f t="shared" si="9"/>
        <v>0</v>
      </c>
      <c r="AL606" s="2">
        <f t="shared" si="10"/>
        <v>0</v>
      </c>
      <c r="AM606" s="2">
        <f t="array" ref="AM606">IF($K606="",0,IFERROR(INDEX(CALC!$F$2:$F$33,MATCH($K606,CALC!$A$2:$A$33,0)),0))</f>
        <v>0</v>
      </c>
      <c r="AN606" s="2">
        <f t="array" ref="AN606">IF($K606="",0,IFERROR(INDEX(CALC!$I$2:$I$33,MATCH($K606,CALC!$A$2:$A$33,0)),0))</f>
        <v>0</v>
      </c>
      <c r="AO606" s="2">
        <f t="array" ref="AO606">IF($K606="",0,IFERROR(INDEX(CALC!$L$2:$L$33,MATCH($K606,CALC!$A$2:$A$33,0)),0))</f>
        <v>0</v>
      </c>
      <c r="AP606" s="2">
        <f t="array" ref="AP606">IF($K606="",0,IFERROR(INDEX(CALC!$T$2:$T$33,MATCH($K606,CALC!$A$2:$A$33,0)),0))</f>
        <v>0</v>
      </c>
      <c r="AQ606" s="2">
        <f t="array" ref="AQ606">IF($K606="",0,IFERROR(INDEX(CALC!$W$2:$W$33,MATCH($K606,CALC!$A$2:$A$33,0)),0))</f>
        <v>0</v>
      </c>
      <c r="AR606" s="2">
        <f t="array" ref="AR606">IF($K606="",0,IFERROR(INDEX(CALC!$Z$2:$Z$33,MATCH($K606,CALC!$A$2:$A$33,0)),0))</f>
        <v>0</v>
      </c>
      <c r="AS606" s="2">
        <f t="array" ref="AS606">IF($K606="",0,IFERROR(INDEX(CALC!$AJ$2:$AJ$33,MATCH($K606,CALC!$A$2:$A$33,0)),0))</f>
        <v>0</v>
      </c>
      <c r="AT606" s="2">
        <f t="array" ref="AT606">IF($K606="",0,IFERROR(INDEX(CALC!$AI$2:$AI$33,MATCH($K606,CALC!$A$2:$A$33,0)),0))</f>
        <v>0</v>
      </c>
      <c r="AU606" s="2">
        <f t="shared" si="11"/>
        <v>0</v>
      </c>
      <c r="AV606" s="2">
        <f t="shared" si="12"/>
        <v>0</v>
      </c>
    </row>
    <row r="607" ht="15.0" customHeight="1">
      <c r="A607" s="2">
        <v>303.0</v>
      </c>
      <c r="B607" s="2" t="s">
        <v>2365</v>
      </c>
      <c r="C607" s="2" t="str">
        <f>IFERROR(MATCH($A607,SchedSeq,0),"")</f>
        <v/>
      </c>
      <c r="D607" s="2" t="str">
        <f t="array" ref="D607">IF($C607="","",INDEX(SchedZone,$C607,MAP!$B$6))</f>
        <v/>
      </c>
      <c r="E607" s="2" t="str">
        <f t="array" ref="E607">IF($C607="","",INDEX(SchedZone,$C607,MAP!$B$3))</f>
        <v/>
      </c>
      <c r="F607" s="2" t="str">
        <f t="array" ref="F607">IF($C607="","",INDEX(SchedZone,$C607,MAP!$B$5))</f>
        <v/>
      </c>
      <c r="G607" s="2" t="str">
        <f t="array" ref="G607">IF($C607="","",INDEX(SchedZone,$C607,MAP!$B$4))</f>
        <v/>
      </c>
      <c r="H607" s="2" t="str">
        <f t="array" ref="H607">IF($C607="","",INDEX(SchedZone,$C607,MAP!$B$12))</f>
        <v/>
      </c>
      <c r="I607" s="2" t="str">
        <f t="array" ref="I607">IF($H607="","",IF(COUNTIF(Teams,$H607)&gt;0,$H607,IFERROR(INDEX(LISTS!$D$2:$D$12,MATCH($H607,LISTS!$C$2:$C$12,0)),"⚠ "&amp;$H607)))</f>
        <v/>
      </c>
      <c r="J607" s="2" t="str">
        <f t="array" ref="J607">IF($C607="","",INDEX(SchedZone,$C607,MAP!$B$10))</f>
        <v/>
      </c>
      <c r="K607" s="2" t="str">
        <f t="array" ref="K607">IF($J607="","",IF(COUNTIF(Teams,$J607)&gt;0,$J607,IFERROR(INDEX(LISTS!$D$2:$D$12,MATCH($J607,LISTS!$C$2:$C$12,0)),"⚠ "&amp;$J607)))</f>
        <v/>
      </c>
      <c r="L607" s="2" t="str">
        <f t="array" ref="L607">IF($C607="","",IF(INDEX(SchedZone,$C607,MAP!$B$14)="Neutral","N",IF($B607="HOME","H","A")))</f>
        <v/>
      </c>
      <c r="M607" s="2" t="str">
        <f t="array" ref="M607">IF($C607="","",IF(INDEX(SchedZone,$C607,MAP!$B$13)="","",INDEX(SchedZone,$C607,MAP!$B$13)))</f>
        <v/>
      </c>
      <c r="N607" s="2" t="str">
        <f t="array" ref="N607">IF($C607="","",IF(INDEX(SchedZone,$C607,MAP!$B$11)="","",INDEX(SchedZone,$C607,MAP!$B$11)))</f>
        <v/>
      </c>
      <c r="O607" s="2" t="str">
        <f t="array" ref="O607">IF($C607="","",INDEX(SchedZone,$C607,MAP!$B$16))</f>
        <v/>
      </c>
      <c r="P607" s="2" t="str">
        <f>IF($C607="","",IFERROR(MATCH($E607&amp;"|"&amp;$G607&amp;"|"&amp;$I607,StatsKey,0),""))</f>
        <v/>
      </c>
      <c r="Q607" s="2">
        <f t="array" ref="Q607">IF($P607="",0,INDEX(StatsZone,$P607,MAP!$E$9)+INDEX(StatsZone,$P607,MAP!$E$10)+INDEX(StatsZone,$P607,MAP!$E$11))</f>
        <v>0</v>
      </c>
      <c r="R607" s="2">
        <f t="array" ref="R607">IF($P607="",0,INDEX(StatsZone,$P607,MAP!$E$12))</f>
        <v>0</v>
      </c>
      <c r="S607" s="2">
        <f t="array" ref="S607">IF($P607="",0,INDEX(StatsZone,$P607,MAP!$E$13))</f>
        <v>0</v>
      </c>
      <c r="T607" s="2">
        <f t="shared" si="1"/>
        <v>0</v>
      </c>
      <c r="U607" s="2">
        <f t="array" ref="U607">IF($P607="",0,INDEX(StatsZone,$P607,MAP!$E$14)+INDEX(StatsZone,$P607,MAP!$E$15)+INDEX(StatsZone,$P607,MAP!$E$16))</f>
        <v>0</v>
      </c>
      <c r="V607" s="2">
        <f t="shared" si="2"/>
        <v>0</v>
      </c>
      <c r="W607" s="2">
        <f t="shared" si="3"/>
        <v>0</v>
      </c>
      <c r="X607" s="2">
        <f t="shared" si="4"/>
        <v>0</v>
      </c>
      <c r="Y607" s="2">
        <f t="shared" si="5"/>
        <v>0</v>
      </c>
      <c r="Z607" s="2">
        <f t="shared" si="6"/>
        <v>0</v>
      </c>
      <c r="AA607" s="2">
        <f t="shared" si="7"/>
        <v>0</v>
      </c>
      <c r="AB607" s="2">
        <f>IF(OR($M607="",$N607=""),0,MEDIAN(-MarginCap,MarginCap,($M607-$N607)-$AA607*HFA_Base))</f>
        <v>0</v>
      </c>
      <c r="AC607" s="2">
        <f t="array" ref="AC607">IF(OR($P607="",INDEX($P$3:$P$722,(ROW()+IF(MOD(ROW()-3,2)=0,1,-1))-3+1)=""),0,MEDIAN(-MarginCap,MarginCap,($T607-$W607)-$AA607*HFA_Base))</f>
        <v>0</v>
      </c>
      <c r="AD607" s="2">
        <f t="shared" si="8"/>
        <v>0</v>
      </c>
      <c r="AE607" s="2">
        <f>IF(OR($M607="",$N607=""),0,IF(AND(WEpa&gt;0,$AD607=1),(1-WEpa)*$AB607+WEpa*$AC607,$AB607))</f>
        <v>0</v>
      </c>
      <c r="AF607" s="2">
        <f>IF(AND($C607&lt;&gt;"",$E607=CurrentSeason,$F607="REG",ISNUMBER($G607),$G607&lt;CurrentWeek,AND($M607&lt;&gt;"",$N607&lt;&gt;"")),1,0)</f>
        <v>0</v>
      </c>
      <c r="AG607" s="2">
        <f>IF($AF607=0,0,IF($G607&gt;=CurrentWeek-RecencyWin,RecencyMult,1))</f>
        <v>0</v>
      </c>
      <c r="AH607" s="2">
        <f>IF(AND($C607&lt;&gt;"",$E607=CurrentSeason,$F607="REG",ISNUMBER($G607),$G607&lt;CurrentWeek-1,AND($M607&lt;&gt;"",$N607&lt;&gt;"")),1,0)</f>
        <v>0</v>
      </c>
      <c r="AI607" s="2">
        <f>IF($AH607=0,0,IF($G607&gt;=CurrentWeek-1-RecencyWin,RecencyMult,1))</f>
        <v>0</v>
      </c>
      <c r="AJ607" s="2">
        <f>IF($AF607=0,0,IF($G607&gt;=CurrentWeek-RecencyWin,TotRecency,1))</f>
        <v>0</v>
      </c>
      <c r="AK607" s="2">
        <f t="shared" si="9"/>
        <v>0</v>
      </c>
      <c r="AL607" s="2">
        <f t="shared" si="10"/>
        <v>0</v>
      </c>
      <c r="AM607" s="2">
        <f t="array" ref="AM607">IF($K607="",0,IFERROR(INDEX(CALC!$F$2:$F$33,MATCH($K607,CALC!$A$2:$A$33,0)),0))</f>
        <v>0</v>
      </c>
      <c r="AN607" s="2">
        <f t="array" ref="AN607">IF($K607="",0,IFERROR(INDEX(CALC!$I$2:$I$33,MATCH($K607,CALC!$A$2:$A$33,0)),0))</f>
        <v>0</v>
      </c>
      <c r="AO607" s="2">
        <f t="array" ref="AO607">IF($K607="",0,IFERROR(INDEX(CALC!$L$2:$L$33,MATCH($K607,CALC!$A$2:$A$33,0)),0))</f>
        <v>0</v>
      </c>
      <c r="AP607" s="2">
        <f t="array" ref="AP607">IF($K607="",0,IFERROR(INDEX(CALC!$T$2:$T$33,MATCH($K607,CALC!$A$2:$A$33,0)),0))</f>
        <v>0</v>
      </c>
      <c r="AQ607" s="2">
        <f t="array" ref="AQ607">IF($K607="",0,IFERROR(INDEX(CALC!$W$2:$W$33,MATCH($K607,CALC!$A$2:$A$33,0)),0))</f>
        <v>0</v>
      </c>
      <c r="AR607" s="2">
        <f t="array" ref="AR607">IF($K607="",0,IFERROR(INDEX(CALC!$Z$2:$Z$33,MATCH($K607,CALC!$A$2:$A$33,0)),0))</f>
        <v>0</v>
      </c>
      <c r="AS607" s="2">
        <f t="array" ref="AS607">IF($K607="",0,IFERROR(INDEX(CALC!$AJ$2:$AJ$33,MATCH($K607,CALC!$A$2:$A$33,0)),0))</f>
        <v>0</v>
      </c>
      <c r="AT607" s="2">
        <f t="array" ref="AT607">IF($K607="",0,IFERROR(INDEX(CALC!$AI$2:$AI$33,MATCH($K607,CALC!$A$2:$A$33,0)),0))</f>
        <v>0</v>
      </c>
      <c r="AU607" s="2">
        <f t="shared" si="11"/>
        <v>0</v>
      </c>
      <c r="AV607" s="2">
        <f t="shared" si="12"/>
        <v>0</v>
      </c>
    </row>
    <row r="608" ht="15.0" customHeight="1">
      <c r="A608" s="2">
        <v>303.0</v>
      </c>
      <c r="B608" s="2" t="s">
        <v>2366</v>
      </c>
      <c r="C608" s="2" t="str">
        <f>IFERROR(MATCH($A608,SchedSeq,0),"")</f>
        <v/>
      </c>
      <c r="D608" s="2" t="str">
        <f t="array" ref="D608">IF($C608="","",INDEX(SchedZone,$C608,MAP!$B$6))</f>
        <v/>
      </c>
      <c r="E608" s="2" t="str">
        <f t="array" ref="E608">IF($C608="","",INDEX(SchedZone,$C608,MAP!$B$3))</f>
        <v/>
      </c>
      <c r="F608" s="2" t="str">
        <f t="array" ref="F608">IF($C608="","",INDEX(SchedZone,$C608,MAP!$B$5))</f>
        <v/>
      </c>
      <c r="G608" s="2" t="str">
        <f t="array" ref="G608">IF($C608="","",INDEX(SchedZone,$C608,MAP!$B$4))</f>
        <v/>
      </c>
      <c r="H608" s="2" t="str">
        <f t="array" ref="H608">IF($C608="","",INDEX(SchedZone,$C608,MAP!$B$10))</f>
        <v/>
      </c>
      <c r="I608" s="2" t="str">
        <f t="array" ref="I608">IF($H608="","",IF(COUNTIF(Teams,$H608)&gt;0,$H608,IFERROR(INDEX(LISTS!$D$2:$D$12,MATCH($H608,LISTS!$C$2:$C$12,0)),"⚠ "&amp;$H608)))</f>
        <v/>
      </c>
      <c r="J608" s="2" t="str">
        <f t="array" ref="J608">IF($C608="","",INDEX(SchedZone,$C608,MAP!$B$12))</f>
        <v/>
      </c>
      <c r="K608" s="2" t="str">
        <f t="array" ref="K608">IF($J608="","",IF(COUNTIF(Teams,$J608)&gt;0,$J608,IFERROR(INDEX(LISTS!$D$2:$D$12,MATCH($J608,LISTS!$C$2:$C$12,0)),"⚠ "&amp;$J608)))</f>
        <v/>
      </c>
      <c r="L608" s="2" t="str">
        <f t="array" ref="L608">IF($C608="","",IF(INDEX(SchedZone,$C608,MAP!$B$14)="Neutral","N",IF($B608="HOME","H","A")))</f>
        <v/>
      </c>
      <c r="M608" s="2" t="str">
        <f t="array" ref="M608">IF($C608="","",IF(INDEX(SchedZone,$C608,MAP!$B$11)="","",INDEX(SchedZone,$C608,MAP!$B$11)))</f>
        <v/>
      </c>
      <c r="N608" s="2" t="str">
        <f t="array" ref="N608">IF($C608="","",IF(INDEX(SchedZone,$C608,MAP!$B$13)="","",INDEX(SchedZone,$C608,MAP!$B$13)))</f>
        <v/>
      </c>
      <c r="O608" s="2" t="str">
        <f t="array" ref="O608">IF($C608="","",INDEX(SchedZone,$C608,MAP!$B$15))</f>
        <v/>
      </c>
      <c r="P608" s="2" t="str">
        <f>IF($C608="","",IFERROR(MATCH($E608&amp;"|"&amp;$G608&amp;"|"&amp;$I608,StatsKey,0),""))</f>
        <v/>
      </c>
      <c r="Q608" s="2">
        <f t="array" ref="Q608">IF($P608="",0,INDEX(StatsZone,$P608,MAP!$E$9)+INDEX(StatsZone,$P608,MAP!$E$10)+INDEX(StatsZone,$P608,MAP!$E$11))</f>
        <v>0</v>
      </c>
      <c r="R608" s="2">
        <f t="array" ref="R608">IF($P608="",0,INDEX(StatsZone,$P608,MAP!$E$12))</f>
        <v>0</v>
      </c>
      <c r="S608" s="2">
        <f t="array" ref="S608">IF($P608="",0,INDEX(StatsZone,$P608,MAP!$E$13))</f>
        <v>0</v>
      </c>
      <c r="T608" s="2">
        <f t="shared" si="1"/>
        <v>0</v>
      </c>
      <c r="U608" s="2">
        <f t="array" ref="U608">IF($P608="",0,INDEX(StatsZone,$P608,MAP!$E$14)+INDEX(StatsZone,$P608,MAP!$E$15)+INDEX(StatsZone,$P608,MAP!$E$16))</f>
        <v>0</v>
      </c>
      <c r="V608" s="2">
        <f t="shared" si="2"/>
        <v>0</v>
      </c>
      <c r="W608" s="2">
        <f t="shared" si="3"/>
        <v>0</v>
      </c>
      <c r="X608" s="2">
        <f t="shared" si="4"/>
        <v>0</v>
      </c>
      <c r="Y608" s="2">
        <f t="shared" si="5"/>
        <v>0</v>
      </c>
      <c r="Z608" s="2">
        <f t="shared" si="6"/>
        <v>0</v>
      </c>
      <c r="AA608" s="2">
        <f t="shared" si="7"/>
        <v>0</v>
      </c>
      <c r="AB608" s="2">
        <f>IF(OR($M608="",$N608=""),0,MEDIAN(-MarginCap,MarginCap,($M608-$N608)-$AA608*HFA_Base))</f>
        <v>0</v>
      </c>
      <c r="AC608" s="2">
        <f t="array" ref="AC608">IF(OR($P608="",INDEX($P$3:$P$722,(ROW()+IF(MOD(ROW()-3,2)=0,1,-1))-3+1)=""),0,MEDIAN(-MarginCap,MarginCap,($T608-$W608)-$AA608*HFA_Base))</f>
        <v>0</v>
      </c>
      <c r="AD608" s="2">
        <f t="shared" si="8"/>
        <v>0</v>
      </c>
      <c r="AE608" s="2">
        <f>IF(OR($M608="",$N608=""),0,IF(AND(WEpa&gt;0,$AD608=1),(1-WEpa)*$AB608+WEpa*$AC608,$AB608))</f>
        <v>0</v>
      </c>
      <c r="AF608" s="2">
        <f>IF(AND($C608&lt;&gt;"",$E608=CurrentSeason,$F608="REG",ISNUMBER($G608),$G608&lt;CurrentWeek,AND($M608&lt;&gt;"",$N608&lt;&gt;"")),1,0)</f>
        <v>0</v>
      </c>
      <c r="AG608" s="2">
        <f>IF($AF608=0,0,IF($G608&gt;=CurrentWeek-RecencyWin,RecencyMult,1))</f>
        <v>0</v>
      </c>
      <c r="AH608" s="2">
        <f>IF(AND($C608&lt;&gt;"",$E608=CurrentSeason,$F608="REG",ISNUMBER($G608),$G608&lt;CurrentWeek-1,AND($M608&lt;&gt;"",$N608&lt;&gt;"")),1,0)</f>
        <v>0</v>
      </c>
      <c r="AI608" s="2">
        <f>IF($AH608=0,0,IF($G608&gt;=CurrentWeek-1-RecencyWin,RecencyMult,1))</f>
        <v>0</v>
      </c>
      <c r="AJ608" s="2">
        <f>IF($AF608=0,0,IF($G608&gt;=CurrentWeek-RecencyWin,TotRecency,1))</f>
        <v>0</v>
      </c>
      <c r="AK608" s="2">
        <f t="shared" si="9"/>
        <v>0</v>
      </c>
      <c r="AL608" s="2">
        <f t="shared" si="10"/>
        <v>0</v>
      </c>
      <c r="AM608" s="2">
        <f t="array" ref="AM608">IF($K608="",0,IFERROR(INDEX(CALC!$F$2:$F$33,MATCH($K608,CALC!$A$2:$A$33,0)),0))</f>
        <v>0</v>
      </c>
      <c r="AN608" s="2">
        <f t="array" ref="AN608">IF($K608="",0,IFERROR(INDEX(CALC!$I$2:$I$33,MATCH($K608,CALC!$A$2:$A$33,0)),0))</f>
        <v>0</v>
      </c>
      <c r="AO608" s="2">
        <f t="array" ref="AO608">IF($K608="",0,IFERROR(INDEX(CALC!$L$2:$L$33,MATCH($K608,CALC!$A$2:$A$33,0)),0))</f>
        <v>0</v>
      </c>
      <c r="AP608" s="2">
        <f t="array" ref="AP608">IF($K608="",0,IFERROR(INDEX(CALC!$T$2:$T$33,MATCH($K608,CALC!$A$2:$A$33,0)),0))</f>
        <v>0</v>
      </c>
      <c r="AQ608" s="2">
        <f t="array" ref="AQ608">IF($K608="",0,IFERROR(INDEX(CALC!$W$2:$W$33,MATCH($K608,CALC!$A$2:$A$33,0)),0))</f>
        <v>0</v>
      </c>
      <c r="AR608" s="2">
        <f t="array" ref="AR608">IF($K608="",0,IFERROR(INDEX(CALC!$Z$2:$Z$33,MATCH($K608,CALC!$A$2:$A$33,0)),0))</f>
        <v>0</v>
      </c>
      <c r="AS608" s="2">
        <f t="array" ref="AS608">IF($K608="",0,IFERROR(INDEX(CALC!$AJ$2:$AJ$33,MATCH($K608,CALC!$A$2:$A$33,0)),0))</f>
        <v>0</v>
      </c>
      <c r="AT608" s="2">
        <f t="array" ref="AT608">IF($K608="",0,IFERROR(INDEX(CALC!$AI$2:$AI$33,MATCH($K608,CALC!$A$2:$A$33,0)),0))</f>
        <v>0</v>
      </c>
      <c r="AU608" s="2">
        <f t="shared" si="11"/>
        <v>0</v>
      </c>
      <c r="AV608" s="2">
        <f t="shared" si="12"/>
        <v>0</v>
      </c>
    </row>
    <row r="609" ht="15.0" customHeight="1">
      <c r="A609" s="2">
        <v>304.0</v>
      </c>
      <c r="B609" s="2" t="s">
        <v>2365</v>
      </c>
      <c r="C609" s="2" t="str">
        <f>IFERROR(MATCH($A609,SchedSeq,0),"")</f>
        <v/>
      </c>
      <c r="D609" s="2" t="str">
        <f t="array" ref="D609">IF($C609="","",INDEX(SchedZone,$C609,MAP!$B$6))</f>
        <v/>
      </c>
      <c r="E609" s="2" t="str">
        <f t="array" ref="E609">IF($C609="","",INDEX(SchedZone,$C609,MAP!$B$3))</f>
        <v/>
      </c>
      <c r="F609" s="2" t="str">
        <f t="array" ref="F609">IF($C609="","",INDEX(SchedZone,$C609,MAP!$B$5))</f>
        <v/>
      </c>
      <c r="G609" s="2" t="str">
        <f t="array" ref="G609">IF($C609="","",INDEX(SchedZone,$C609,MAP!$B$4))</f>
        <v/>
      </c>
      <c r="H609" s="2" t="str">
        <f t="array" ref="H609">IF($C609="","",INDEX(SchedZone,$C609,MAP!$B$12))</f>
        <v/>
      </c>
      <c r="I609" s="2" t="str">
        <f t="array" ref="I609">IF($H609="","",IF(COUNTIF(Teams,$H609)&gt;0,$H609,IFERROR(INDEX(LISTS!$D$2:$D$12,MATCH($H609,LISTS!$C$2:$C$12,0)),"⚠ "&amp;$H609)))</f>
        <v/>
      </c>
      <c r="J609" s="2" t="str">
        <f t="array" ref="J609">IF($C609="","",INDEX(SchedZone,$C609,MAP!$B$10))</f>
        <v/>
      </c>
      <c r="K609" s="2" t="str">
        <f t="array" ref="K609">IF($J609="","",IF(COUNTIF(Teams,$J609)&gt;0,$J609,IFERROR(INDEX(LISTS!$D$2:$D$12,MATCH($J609,LISTS!$C$2:$C$12,0)),"⚠ "&amp;$J609)))</f>
        <v/>
      </c>
      <c r="L609" s="2" t="str">
        <f t="array" ref="L609">IF($C609="","",IF(INDEX(SchedZone,$C609,MAP!$B$14)="Neutral","N",IF($B609="HOME","H","A")))</f>
        <v/>
      </c>
      <c r="M609" s="2" t="str">
        <f t="array" ref="M609">IF($C609="","",IF(INDEX(SchedZone,$C609,MAP!$B$13)="","",INDEX(SchedZone,$C609,MAP!$B$13)))</f>
        <v/>
      </c>
      <c r="N609" s="2" t="str">
        <f t="array" ref="N609">IF($C609="","",IF(INDEX(SchedZone,$C609,MAP!$B$11)="","",INDEX(SchedZone,$C609,MAP!$B$11)))</f>
        <v/>
      </c>
      <c r="O609" s="2" t="str">
        <f t="array" ref="O609">IF($C609="","",INDEX(SchedZone,$C609,MAP!$B$16))</f>
        <v/>
      </c>
      <c r="P609" s="2" t="str">
        <f>IF($C609="","",IFERROR(MATCH($E609&amp;"|"&amp;$G609&amp;"|"&amp;$I609,StatsKey,0),""))</f>
        <v/>
      </c>
      <c r="Q609" s="2">
        <f t="array" ref="Q609">IF($P609="",0,INDEX(StatsZone,$P609,MAP!$E$9)+INDEX(StatsZone,$P609,MAP!$E$10)+INDEX(StatsZone,$P609,MAP!$E$11))</f>
        <v>0</v>
      </c>
      <c r="R609" s="2">
        <f t="array" ref="R609">IF($P609="",0,INDEX(StatsZone,$P609,MAP!$E$12))</f>
        <v>0</v>
      </c>
      <c r="S609" s="2">
        <f t="array" ref="S609">IF($P609="",0,INDEX(StatsZone,$P609,MAP!$E$13))</f>
        <v>0</v>
      </c>
      <c r="T609" s="2">
        <f t="shared" si="1"/>
        <v>0</v>
      </c>
      <c r="U609" s="2">
        <f t="array" ref="U609">IF($P609="",0,INDEX(StatsZone,$P609,MAP!$E$14)+INDEX(StatsZone,$P609,MAP!$E$15)+INDEX(StatsZone,$P609,MAP!$E$16))</f>
        <v>0</v>
      </c>
      <c r="V609" s="2">
        <f t="shared" si="2"/>
        <v>0</v>
      </c>
      <c r="W609" s="2">
        <f t="shared" si="3"/>
        <v>0</v>
      </c>
      <c r="X609" s="2">
        <f t="shared" si="4"/>
        <v>0</v>
      </c>
      <c r="Y609" s="2">
        <f t="shared" si="5"/>
        <v>0</v>
      </c>
      <c r="Z609" s="2">
        <f t="shared" si="6"/>
        <v>0</v>
      </c>
      <c r="AA609" s="2">
        <f t="shared" si="7"/>
        <v>0</v>
      </c>
      <c r="AB609" s="2">
        <f>IF(OR($M609="",$N609=""),0,MEDIAN(-MarginCap,MarginCap,($M609-$N609)-$AA609*HFA_Base))</f>
        <v>0</v>
      </c>
      <c r="AC609" s="2">
        <f t="array" ref="AC609">IF(OR($P609="",INDEX($P$3:$P$722,(ROW()+IF(MOD(ROW()-3,2)=0,1,-1))-3+1)=""),0,MEDIAN(-MarginCap,MarginCap,($T609-$W609)-$AA609*HFA_Base))</f>
        <v>0</v>
      </c>
      <c r="AD609" s="2">
        <f t="shared" si="8"/>
        <v>0</v>
      </c>
      <c r="AE609" s="2">
        <f>IF(OR($M609="",$N609=""),0,IF(AND(WEpa&gt;0,$AD609=1),(1-WEpa)*$AB609+WEpa*$AC609,$AB609))</f>
        <v>0</v>
      </c>
      <c r="AF609" s="2">
        <f>IF(AND($C609&lt;&gt;"",$E609=CurrentSeason,$F609="REG",ISNUMBER($G609),$G609&lt;CurrentWeek,AND($M609&lt;&gt;"",$N609&lt;&gt;"")),1,0)</f>
        <v>0</v>
      </c>
      <c r="AG609" s="2">
        <f>IF($AF609=0,0,IF($G609&gt;=CurrentWeek-RecencyWin,RecencyMult,1))</f>
        <v>0</v>
      </c>
      <c r="AH609" s="2">
        <f>IF(AND($C609&lt;&gt;"",$E609=CurrentSeason,$F609="REG",ISNUMBER($G609),$G609&lt;CurrentWeek-1,AND($M609&lt;&gt;"",$N609&lt;&gt;"")),1,0)</f>
        <v>0</v>
      </c>
      <c r="AI609" s="2">
        <f>IF($AH609=0,0,IF($G609&gt;=CurrentWeek-1-RecencyWin,RecencyMult,1))</f>
        <v>0</v>
      </c>
      <c r="AJ609" s="2">
        <f>IF($AF609=0,0,IF($G609&gt;=CurrentWeek-RecencyWin,TotRecency,1))</f>
        <v>0</v>
      </c>
      <c r="AK609" s="2">
        <f t="shared" si="9"/>
        <v>0</v>
      </c>
      <c r="AL609" s="2">
        <f t="shared" si="10"/>
        <v>0</v>
      </c>
      <c r="AM609" s="2">
        <f t="array" ref="AM609">IF($K609="",0,IFERROR(INDEX(CALC!$F$2:$F$33,MATCH($K609,CALC!$A$2:$A$33,0)),0))</f>
        <v>0</v>
      </c>
      <c r="AN609" s="2">
        <f t="array" ref="AN609">IF($K609="",0,IFERROR(INDEX(CALC!$I$2:$I$33,MATCH($K609,CALC!$A$2:$A$33,0)),0))</f>
        <v>0</v>
      </c>
      <c r="AO609" s="2">
        <f t="array" ref="AO609">IF($K609="",0,IFERROR(INDEX(CALC!$L$2:$L$33,MATCH($K609,CALC!$A$2:$A$33,0)),0))</f>
        <v>0</v>
      </c>
      <c r="AP609" s="2">
        <f t="array" ref="AP609">IF($K609="",0,IFERROR(INDEX(CALC!$T$2:$T$33,MATCH($K609,CALC!$A$2:$A$33,0)),0))</f>
        <v>0</v>
      </c>
      <c r="AQ609" s="2">
        <f t="array" ref="AQ609">IF($K609="",0,IFERROR(INDEX(CALC!$W$2:$W$33,MATCH($K609,CALC!$A$2:$A$33,0)),0))</f>
        <v>0</v>
      </c>
      <c r="AR609" s="2">
        <f t="array" ref="AR609">IF($K609="",0,IFERROR(INDEX(CALC!$Z$2:$Z$33,MATCH($K609,CALC!$A$2:$A$33,0)),0))</f>
        <v>0</v>
      </c>
      <c r="AS609" s="2">
        <f t="array" ref="AS609">IF($K609="",0,IFERROR(INDEX(CALC!$AJ$2:$AJ$33,MATCH($K609,CALC!$A$2:$A$33,0)),0))</f>
        <v>0</v>
      </c>
      <c r="AT609" s="2">
        <f t="array" ref="AT609">IF($K609="",0,IFERROR(INDEX(CALC!$AI$2:$AI$33,MATCH($K609,CALC!$A$2:$A$33,0)),0))</f>
        <v>0</v>
      </c>
      <c r="AU609" s="2">
        <f t="shared" si="11"/>
        <v>0</v>
      </c>
      <c r="AV609" s="2">
        <f t="shared" si="12"/>
        <v>0</v>
      </c>
    </row>
    <row r="610" ht="15.0" customHeight="1">
      <c r="A610" s="2">
        <v>304.0</v>
      </c>
      <c r="B610" s="2" t="s">
        <v>2366</v>
      </c>
      <c r="C610" s="2" t="str">
        <f>IFERROR(MATCH($A610,SchedSeq,0),"")</f>
        <v/>
      </c>
      <c r="D610" s="2" t="str">
        <f t="array" ref="D610">IF($C610="","",INDEX(SchedZone,$C610,MAP!$B$6))</f>
        <v/>
      </c>
      <c r="E610" s="2" t="str">
        <f t="array" ref="E610">IF($C610="","",INDEX(SchedZone,$C610,MAP!$B$3))</f>
        <v/>
      </c>
      <c r="F610" s="2" t="str">
        <f t="array" ref="F610">IF($C610="","",INDEX(SchedZone,$C610,MAP!$B$5))</f>
        <v/>
      </c>
      <c r="G610" s="2" t="str">
        <f t="array" ref="G610">IF($C610="","",INDEX(SchedZone,$C610,MAP!$B$4))</f>
        <v/>
      </c>
      <c r="H610" s="2" t="str">
        <f t="array" ref="H610">IF($C610="","",INDEX(SchedZone,$C610,MAP!$B$10))</f>
        <v/>
      </c>
      <c r="I610" s="2" t="str">
        <f t="array" ref="I610">IF($H610="","",IF(COUNTIF(Teams,$H610)&gt;0,$H610,IFERROR(INDEX(LISTS!$D$2:$D$12,MATCH($H610,LISTS!$C$2:$C$12,0)),"⚠ "&amp;$H610)))</f>
        <v/>
      </c>
      <c r="J610" s="2" t="str">
        <f t="array" ref="J610">IF($C610="","",INDEX(SchedZone,$C610,MAP!$B$12))</f>
        <v/>
      </c>
      <c r="K610" s="2" t="str">
        <f t="array" ref="K610">IF($J610="","",IF(COUNTIF(Teams,$J610)&gt;0,$J610,IFERROR(INDEX(LISTS!$D$2:$D$12,MATCH($J610,LISTS!$C$2:$C$12,0)),"⚠ "&amp;$J610)))</f>
        <v/>
      </c>
      <c r="L610" s="2" t="str">
        <f t="array" ref="L610">IF($C610="","",IF(INDEX(SchedZone,$C610,MAP!$B$14)="Neutral","N",IF($B610="HOME","H","A")))</f>
        <v/>
      </c>
      <c r="M610" s="2" t="str">
        <f t="array" ref="M610">IF($C610="","",IF(INDEX(SchedZone,$C610,MAP!$B$11)="","",INDEX(SchedZone,$C610,MAP!$B$11)))</f>
        <v/>
      </c>
      <c r="N610" s="2" t="str">
        <f t="array" ref="N610">IF($C610="","",IF(INDEX(SchedZone,$C610,MAP!$B$13)="","",INDEX(SchedZone,$C610,MAP!$B$13)))</f>
        <v/>
      </c>
      <c r="O610" s="2" t="str">
        <f t="array" ref="O610">IF($C610="","",INDEX(SchedZone,$C610,MAP!$B$15))</f>
        <v/>
      </c>
      <c r="P610" s="2" t="str">
        <f>IF($C610="","",IFERROR(MATCH($E610&amp;"|"&amp;$G610&amp;"|"&amp;$I610,StatsKey,0),""))</f>
        <v/>
      </c>
      <c r="Q610" s="2">
        <f t="array" ref="Q610">IF($P610="",0,INDEX(StatsZone,$P610,MAP!$E$9)+INDEX(StatsZone,$P610,MAP!$E$10)+INDEX(StatsZone,$P610,MAP!$E$11))</f>
        <v>0</v>
      </c>
      <c r="R610" s="2">
        <f t="array" ref="R610">IF($P610="",0,INDEX(StatsZone,$P610,MAP!$E$12))</f>
        <v>0</v>
      </c>
      <c r="S610" s="2">
        <f t="array" ref="S610">IF($P610="",0,INDEX(StatsZone,$P610,MAP!$E$13))</f>
        <v>0</v>
      </c>
      <c r="T610" s="2">
        <f t="shared" si="1"/>
        <v>0</v>
      </c>
      <c r="U610" s="2">
        <f t="array" ref="U610">IF($P610="",0,INDEX(StatsZone,$P610,MAP!$E$14)+INDEX(StatsZone,$P610,MAP!$E$15)+INDEX(StatsZone,$P610,MAP!$E$16))</f>
        <v>0</v>
      </c>
      <c r="V610" s="2">
        <f t="shared" si="2"/>
        <v>0</v>
      </c>
      <c r="W610" s="2">
        <f t="shared" si="3"/>
        <v>0</v>
      </c>
      <c r="X610" s="2">
        <f t="shared" si="4"/>
        <v>0</v>
      </c>
      <c r="Y610" s="2">
        <f t="shared" si="5"/>
        <v>0</v>
      </c>
      <c r="Z610" s="2">
        <f t="shared" si="6"/>
        <v>0</v>
      </c>
      <c r="AA610" s="2">
        <f t="shared" si="7"/>
        <v>0</v>
      </c>
      <c r="AB610" s="2">
        <f>IF(OR($M610="",$N610=""),0,MEDIAN(-MarginCap,MarginCap,($M610-$N610)-$AA610*HFA_Base))</f>
        <v>0</v>
      </c>
      <c r="AC610" s="2">
        <f t="array" ref="AC610">IF(OR($P610="",INDEX($P$3:$P$722,(ROW()+IF(MOD(ROW()-3,2)=0,1,-1))-3+1)=""),0,MEDIAN(-MarginCap,MarginCap,($T610-$W610)-$AA610*HFA_Base))</f>
        <v>0</v>
      </c>
      <c r="AD610" s="2">
        <f t="shared" si="8"/>
        <v>0</v>
      </c>
      <c r="AE610" s="2">
        <f>IF(OR($M610="",$N610=""),0,IF(AND(WEpa&gt;0,$AD610=1),(1-WEpa)*$AB610+WEpa*$AC610,$AB610))</f>
        <v>0</v>
      </c>
      <c r="AF610" s="2">
        <f>IF(AND($C610&lt;&gt;"",$E610=CurrentSeason,$F610="REG",ISNUMBER($G610),$G610&lt;CurrentWeek,AND($M610&lt;&gt;"",$N610&lt;&gt;"")),1,0)</f>
        <v>0</v>
      </c>
      <c r="AG610" s="2">
        <f>IF($AF610=0,0,IF($G610&gt;=CurrentWeek-RecencyWin,RecencyMult,1))</f>
        <v>0</v>
      </c>
      <c r="AH610" s="2">
        <f>IF(AND($C610&lt;&gt;"",$E610=CurrentSeason,$F610="REG",ISNUMBER($G610),$G610&lt;CurrentWeek-1,AND($M610&lt;&gt;"",$N610&lt;&gt;"")),1,0)</f>
        <v>0</v>
      </c>
      <c r="AI610" s="2">
        <f>IF($AH610=0,0,IF($G610&gt;=CurrentWeek-1-RecencyWin,RecencyMult,1))</f>
        <v>0</v>
      </c>
      <c r="AJ610" s="2">
        <f>IF($AF610=0,0,IF($G610&gt;=CurrentWeek-RecencyWin,TotRecency,1))</f>
        <v>0</v>
      </c>
      <c r="AK610" s="2">
        <f t="shared" si="9"/>
        <v>0</v>
      </c>
      <c r="AL610" s="2">
        <f t="shared" si="10"/>
        <v>0</v>
      </c>
      <c r="AM610" s="2">
        <f t="array" ref="AM610">IF($K610="",0,IFERROR(INDEX(CALC!$F$2:$F$33,MATCH($K610,CALC!$A$2:$A$33,0)),0))</f>
        <v>0</v>
      </c>
      <c r="AN610" s="2">
        <f t="array" ref="AN610">IF($K610="",0,IFERROR(INDEX(CALC!$I$2:$I$33,MATCH($K610,CALC!$A$2:$A$33,0)),0))</f>
        <v>0</v>
      </c>
      <c r="AO610" s="2">
        <f t="array" ref="AO610">IF($K610="",0,IFERROR(INDEX(CALC!$L$2:$L$33,MATCH($K610,CALC!$A$2:$A$33,0)),0))</f>
        <v>0</v>
      </c>
      <c r="AP610" s="2">
        <f t="array" ref="AP610">IF($K610="",0,IFERROR(INDEX(CALC!$T$2:$T$33,MATCH($K610,CALC!$A$2:$A$33,0)),0))</f>
        <v>0</v>
      </c>
      <c r="AQ610" s="2">
        <f t="array" ref="AQ610">IF($K610="",0,IFERROR(INDEX(CALC!$W$2:$W$33,MATCH($K610,CALC!$A$2:$A$33,0)),0))</f>
        <v>0</v>
      </c>
      <c r="AR610" s="2">
        <f t="array" ref="AR610">IF($K610="",0,IFERROR(INDEX(CALC!$Z$2:$Z$33,MATCH($K610,CALC!$A$2:$A$33,0)),0))</f>
        <v>0</v>
      </c>
      <c r="AS610" s="2">
        <f t="array" ref="AS610">IF($K610="",0,IFERROR(INDEX(CALC!$AJ$2:$AJ$33,MATCH($K610,CALC!$A$2:$A$33,0)),0))</f>
        <v>0</v>
      </c>
      <c r="AT610" s="2">
        <f t="array" ref="AT610">IF($K610="",0,IFERROR(INDEX(CALC!$AI$2:$AI$33,MATCH($K610,CALC!$A$2:$A$33,0)),0))</f>
        <v>0</v>
      </c>
      <c r="AU610" s="2">
        <f t="shared" si="11"/>
        <v>0</v>
      </c>
      <c r="AV610" s="2">
        <f t="shared" si="12"/>
        <v>0</v>
      </c>
    </row>
    <row r="611" ht="15.0" customHeight="1">
      <c r="A611" s="2">
        <v>305.0</v>
      </c>
      <c r="B611" s="2" t="s">
        <v>2365</v>
      </c>
      <c r="C611" s="2" t="str">
        <f>IFERROR(MATCH($A611,SchedSeq,0),"")</f>
        <v/>
      </c>
      <c r="D611" s="2" t="str">
        <f t="array" ref="D611">IF($C611="","",INDEX(SchedZone,$C611,MAP!$B$6))</f>
        <v/>
      </c>
      <c r="E611" s="2" t="str">
        <f t="array" ref="E611">IF($C611="","",INDEX(SchedZone,$C611,MAP!$B$3))</f>
        <v/>
      </c>
      <c r="F611" s="2" t="str">
        <f t="array" ref="F611">IF($C611="","",INDEX(SchedZone,$C611,MAP!$B$5))</f>
        <v/>
      </c>
      <c r="G611" s="2" t="str">
        <f t="array" ref="G611">IF($C611="","",INDEX(SchedZone,$C611,MAP!$B$4))</f>
        <v/>
      </c>
      <c r="H611" s="2" t="str">
        <f t="array" ref="H611">IF($C611="","",INDEX(SchedZone,$C611,MAP!$B$12))</f>
        <v/>
      </c>
      <c r="I611" s="2" t="str">
        <f t="array" ref="I611">IF($H611="","",IF(COUNTIF(Teams,$H611)&gt;0,$H611,IFERROR(INDEX(LISTS!$D$2:$D$12,MATCH($H611,LISTS!$C$2:$C$12,0)),"⚠ "&amp;$H611)))</f>
        <v/>
      </c>
      <c r="J611" s="2" t="str">
        <f t="array" ref="J611">IF($C611="","",INDEX(SchedZone,$C611,MAP!$B$10))</f>
        <v/>
      </c>
      <c r="K611" s="2" t="str">
        <f t="array" ref="K611">IF($J611="","",IF(COUNTIF(Teams,$J611)&gt;0,$J611,IFERROR(INDEX(LISTS!$D$2:$D$12,MATCH($J611,LISTS!$C$2:$C$12,0)),"⚠ "&amp;$J611)))</f>
        <v/>
      </c>
      <c r="L611" s="2" t="str">
        <f t="array" ref="L611">IF($C611="","",IF(INDEX(SchedZone,$C611,MAP!$B$14)="Neutral","N",IF($B611="HOME","H","A")))</f>
        <v/>
      </c>
      <c r="M611" s="2" t="str">
        <f t="array" ref="M611">IF($C611="","",IF(INDEX(SchedZone,$C611,MAP!$B$13)="","",INDEX(SchedZone,$C611,MAP!$B$13)))</f>
        <v/>
      </c>
      <c r="N611" s="2" t="str">
        <f t="array" ref="N611">IF($C611="","",IF(INDEX(SchedZone,$C611,MAP!$B$11)="","",INDEX(SchedZone,$C611,MAP!$B$11)))</f>
        <v/>
      </c>
      <c r="O611" s="2" t="str">
        <f t="array" ref="O611">IF($C611="","",INDEX(SchedZone,$C611,MAP!$B$16))</f>
        <v/>
      </c>
      <c r="P611" s="2" t="str">
        <f>IF($C611="","",IFERROR(MATCH($E611&amp;"|"&amp;$G611&amp;"|"&amp;$I611,StatsKey,0),""))</f>
        <v/>
      </c>
      <c r="Q611" s="2">
        <f t="array" ref="Q611">IF($P611="",0,INDEX(StatsZone,$P611,MAP!$E$9)+INDEX(StatsZone,$P611,MAP!$E$10)+INDEX(StatsZone,$P611,MAP!$E$11))</f>
        <v>0</v>
      </c>
      <c r="R611" s="2">
        <f t="array" ref="R611">IF($P611="",0,INDEX(StatsZone,$P611,MAP!$E$12))</f>
        <v>0</v>
      </c>
      <c r="S611" s="2">
        <f t="array" ref="S611">IF($P611="",0,INDEX(StatsZone,$P611,MAP!$E$13))</f>
        <v>0</v>
      </c>
      <c r="T611" s="2">
        <f t="shared" si="1"/>
        <v>0</v>
      </c>
      <c r="U611" s="2">
        <f t="array" ref="U611">IF($P611="",0,INDEX(StatsZone,$P611,MAP!$E$14)+INDEX(StatsZone,$P611,MAP!$E$15)+INDEX(StatsZone,$P611,MAP!$E$16))</f>
        <v>0</v>
      </c>
      <c r="V611" s="2">
        <f t="shared" si="2"/>
        <v>0</v>
      </c>
      <c r="W611" s="2">
        <f t="shared" si="3"/>
        <v>0</v>
      </c>
      <c r="X611" s="2">
        <f t="shared" si="4"/>
        <v>0</v>
      </c>
      <c r="Y611" s="2">
        <f t="shared" si="5"/>
        <v>0</v>
      </c>
      <c r="Z611" s="2">
        <f t="shared" si="6"/>
        <v>0</v>
      </c>
      <c r="AA611" s="2">
        <f t="shared" si="7"/>
        <v>0</v>
      </c>
      <c r="AB611" s="2">
        <f>IF(OR($M611="",$N611=""),0,MEDIAN(-MarginCap,MarginCap,($M611-$N611)-$AA611*HFA_Base))</f>
        <v>0</v>
      </c>
      <c r="AC611" s="2">
        <f t="array" ref="AC611">IF(OR($P611="",INDEX($P$3:$P$722,(ROW()+IF(MOD(ROW()-3,2)=0,1,-1))-3+1)=""),0,MEDIAN(-MarginCap,MarginCap,($T611-$W611)-$AA611*HFA_Base))</f>
        <v>0</v>
      </c>
      <c r="AD611" s="2">
        <f t="shared" si="8"/>
        <v>0</v>
      </c>
      <c r="AE611" s="2">
        <f>IF(OR($M611="",$N611=""),0,IF(AND(WEpa&gt;0,$AD611=1),(1-WEpa)*$AB611+WEpa*$AC611,$AB611))</f>
        <v>0</v>
      </c>
      <c r="AF611" s="2">
        <f>IF(AND($C611&lt;&gt;"",$E611=CurrentSeason,$F611="REG",ISNUMBER($G611),$G611&lt;CurrentWeek,AND($M611&lt;&gt;"",$N611&lt;&gt;"")),1,0)</f>
        <v>0</v>
      </c>
      <c r="AG611" s="2">
        <f>IF($AF611=0,0,IF($G611&gt;=CurrentWeek-RecencyWin,RecencyMult,1))</f>
        <v>0</v>
      </c>
      <c r="AH611" s="2">
        <f>IF(AND($C611&lt;&gt;"",$E611=CurrentSeason,$F611="REG",ISNUMBER($G611),$G611&lt;CurrentWeek-1,AND($M611&lt;&gt;"",$N611&lt;&gt;"")),1,0)</f>
        <v>0</v>
      </c>
      <c r="AI611" s="2">
        <f>IF($AH611=0,0,IF($G611&gt;=CurrentWeek-1-RecencyWin,RecencyMult,1))</f>
        <v>0</v>
      </c>
      <c r="AJ611" s="2">
        <f>IF($AF611=0,0,IF($G611&gt;=CurrentWeek-RecencyWin,TotRecency,1))</f>
        <v>0</v>
      </c>
      <c r="AK611" s="2">
        <f t="shared" si="9"/>
        <v>0</v>
      </c>
      <c r="AL611" s="2">
        <f t="shared" si="10"/>
        <v>0</v>
      </c>
      <c r="AM611" s="2">
        <f t="array" ref="AM611">IF($K611="",0,IFERROR(INDEX(CALC!$F$2:$F$33,MATCH($K611,CALC!$A$2:$A$33,0)),0))</f>
        <v>0</v>
      </c>
      <c r="AN611" s="2">
        <f t="array" ref="AN611">IF($K611="",0,IFERROR(INDEX(CALC!$I$2:$I$33,MATCH($K611,CALC!$A$2:$A$33,0)),0))</f>
        <v>0</v>
      </c>
      <c r="AO611" s="2">
        <f t="array" ref="AO611">IF($K611="",0,IFERROR(INDEX(CALC!$L$2:$L$33,MATCH($K611,CALC!$A$2:$A$33,0)),0))</f>
        <v>0</v>
      </c>
      <c r="AP611" s="2">
        <f t="array" ref="AP611">IF($K611="",0,IFERROR(INDEX(CALC!$T$2:$T$33,MATCH($K611,CALC!$A$2:$A$33,0)),0))</f>
        <v>0</v>
      </c>
      <c r="AQ611" s="2">
        <f t="array" ref="AQ611">IF($K611="",0,IFERROR(INDEX(CALC!$W$2:$W$33,MATCH($K611,CALC!$A$2:$A$33,0)),0))</f>
        <v>0</v>
      </c>
      <c r="AR611" s="2">
        <f t="array" ref="AR611">IF($K611="",0,IFERROR(INDEX(CALC!$Z$2:$Z$33,MATCH($K611,CALC!$A$2:$A$33,0)),0))</f>
        <v>0</v>
      </c>
      <c r="AS611" s="2">
        <f t="array" ref="AS611">IF($K611="",0,IFERROR(INDEX(CALC!$AJ$2:$AJ$33,MATCH($K611,CALC!$A$2:$A$33,0)),0))</f>
        <v>0</v>
      </c>
      <c r="AT611" s="2">
        <f t="array" ref="AT611">IF($K611="",0,IFERROR(INDEX(CALC!$AI$2:$AI$33,MATCH($K611,CALC!$A$2:$A$33,0)),0))</f>
        <v>0</v>
      </c>
      <c r="AU611" s="2">
        <f t="shared" si="11"/>
        <v>0</v>
      </c>
      <c r="AV611" s="2">
        <f t="shared" si="12"/>
        <v>0</v>
      </c>
    </row>
    <row r="612" ht="15.0" customHeight="1">
      <c r="A612" s="2">
        <v>305.0</v>
      </c>
      <c r="B612" s="2" t="s">
        <v>2366</v>
      </c>
      <c r="C612" s="2" t="str">
        <f>IFERROR(MATCH($A612,SchedSeq,0),"")</f>
        <v/>
      </c>
      <c r="D612" s="2" t="str">
        <f t="array" ref="D612">IF($C612="","",INDEX(SchedZone,$C612,MAP!$B$6))</f>
        <v/>
      </c>
      <c r="E612" s="2" t="str">
        <f t="array" ref="E612">IF($C612="","",INDEX(SchedZone,$C612,MAP!$B$3))</f>
        <v/>
      </c>
      <c r="F612" s="2" t="str">
        <f t="array" ref="F612">IF($C612="","",INDEX(SchedZone,$C612,MAP!$B$5))</f>
        <v/>
      </c>
      <c r="G612" s="2" t="str">
        <f t="array" ref="G612">IF($C612="","",INDEX(SchedZone,$C612,MAP!$B$4))</f>
        <v/>
      </c>
      <c r="H612" s="2" t="str">
        <f t="array" ref="H612">IF($C612="","",INDEX(SchedZone,$C612,MAP!$B$10))</f>
        <v/>
      </c>
      <c r="I612" s="2" t="str">
        <f t="array" ref="I612">IF($H612="","",IF(COUNTIF(Teams,$H612)&gt;0,$H612,IFERROR(INDEX(LISTS!$D$2:$D$12,MATCH($H612,LISTS!$C$2:$C$12,0)),"⚠ "&amp;$H612)))</f>
        <v/>
      </c>
      <c r="J612" s="2" t="str">
        <f t="array" ref="J612">IF($C612="","",INDEX(SchedZone,$C612,MAP!$B$12))</f>
        <v/>
      </c>
      <c r="K612" s="2" t="str">
        <f t="array" ref="K612">IF($J612="","",IF(COUNTIF(Teams,$J612)&gt;0,$J612,IFERROR(INDEX(LISTS!$D$2:$D$12,MATCH($J612,LISTS!$C$2:$C$12,0)),"⚠ "&amp;$J612)))</f>
        <v/>
      </c>
      <c r="L612" s="2" t="str">
        <f t="array" ref="L612">IF($C612="","",IF(INDEX(SchedZone,$C612,MAP!$B$14)="Neutral","N",IF($B612="HOME","H","A")))</f>
        <v/>
      </c>
      <c r="M612" s="2" t="str">
        <f t="array" ref="M612">IF($C612="","",IF(INDEX(SchedZone,$C612,MAP!$B$11)="","",INDEX(SchedZone,$C612,MAP!$B$11)))</f>
        <v/>
      </c>
      <c r="N612" s="2" t="str">
        <f t="array" ref="N612">IF($C612="","",IF(INDEX(SchedZone,$C612,MAP!$B$13)="","",INDEX(SchedZone,$C612,MAP!$B$13)))</f>
        <v/>
      </c>
      <c r="O612" s="2" t="str">
        <f t="array" ref="O612">IF($C612="","",INDEX(SchedZone,$C612,MAP!$B$15))</f>
        <v/>
      </c>
      <c r="P612" s="2" t="str">
        <f>IF($C612="","",IFERROR(MATCH($E612&amp;"|"&amp;$G612&amp;"|"&amp;$I612,StatsKey,0),""))</f>
        <v/>
      </c>
      <c r="Q612" s="2">
        <f t="array" ref="Q612">IF($P612="",0,INDEX(StatsZone,$P612,MAP!$E$9)+INDEX(StatsZone,$P612,MAP!$E$10)+INDEX(StatsZone,$P612,MAP!$E$11))</f>
        <v>0</v>
      </c>
      <c r="R612" s="2">
        <f t="array" ref="R612">IF($P612="",0,INDEX(StatsZone,$P612,MAP!$E$12))</f>
        <v>0</v>
      </c>
      <c r="S612" s="2">
        <f t="array" ref="S612">IF($P612="",0,INDEX(StatsZone,$P612,MAP!$E$13))</f>
        <v>0</v>
      </c>
      <c r="T612" s="2">
        <f t="shared" si="1"/>
        <v>0</v>
      </c>
      <c r="U612" s="2">
        <f t="array" ref="U612">IF($P612="",0,INDEX(StatsZone,$P612,MAP!$E$14)+INDEX(StatsZone,$P612,MAP!$E$15)+INDEX(StatsZone,$P612,MAP!$E$16))</f>
        <v>0</v>
      </c>
      <c r="V612" s="2">
        <f t="shared" si="2"/>
        <v>0</v>
      </c>
      <c r="W612" s="2">
        <f t="shared" si="3"/>
        <v>0</v>
      </c>
      <c r="X612" s="2">
        <f t="shared" si="4"/>
        <v>0</v>
      </c>
      <c r="Y612" s="2">
        <f t="shared" si="5"/>
        <v>0</v>
      </c>
      <c r="Z612" s="2">
        <f t="shared" si="6"/>
        <v>0</v>
      </c>
      <c r="AA612" s="2">
        <f t="shared" si="7"/>
        <v>0</v>
      </c>
      <c r="AB612" s="2">
        <f>IF(OR($M612="",$N612=""),0,MEDIAN(-MarginCap,MarginCap,($M612-$N612)-$AA612*HFA_Base))</f>
        <v>0</v>
      </c>
      <c r="AC612" s="2">
        <f t="array" ref="AC612">IF(OR($P612="",INDEX($P$3:$P$722,(ROW()+IF(MOD(ROW()-3,2)=0,1,-1))-3+1)=""),0,MEDIAN(-MarginCap,MarginCap,($T612-$W612)-$AA612*HFA_Base))</f>
        <v>0</v>
      </c>
      <c r="AD612" s="2">
        <f t="shared" si="8"/>
        <v>0</v>
      </c>
      <c r="AE612" s="2">
        <f>IF(OR($M612="",$N612=""),0,IF(AND(WEpa&gt;0,$AD612=1),(1-WEpa)*$AB612+WEpa*$AC612,$AB612))</f>
        <v>0</v>
      </c>
      <c r="AF612" s="2">
        <f>IF(AND($C612&lt;&gt;"",$E612=CurrentSeason,$F612="REG",ISNUMBER($G612),$G612&lt;CurrentWeek,AND($M612&lt;&gt;"",$N612&lt;&gt;"")),1,0)</f>
        <v>0</v>
      </c>
      <c r="AG612" s="2">
        <f>IF($AF612=0,0,IF($G612&gt;=CurrentWeek-RecencyWin,RecencyMult,1))</f>
        <v>0</v>
      </c>
      <c r="AH612" s="2">
        <f>IF(AND($C612&lt;&gt;"",$E612=CurrentSeason,$F612="REG",ISNUMBER($G612),$G612&lt;CurrentWeek-1,AND($M612&lt;&gt;"",$N612&lt;&gt;"")),1,0)</f>
        <v>0</v>
      </c>
      <c r="AI612" s="2">
        <f>IF($AH612=0,0,IF($G612&gt;=CurrentWeek-1-RecencyWin,RecencyMult,1))</f>
        <v>0</v>
      </c>
      <c r="AJ612" s="2">
        <f>IF($AF612=0,0,IF($G612&gt;=CurrentWeek-RecencyWin,TotRecency,1))</f>
        <v>0</v>
      </c>
      <c r="AK612" s="2">
        <f t="shared" si="9"/>
        <v>0</v>
      </c>
      <c r="AL612" s="2">
        <f t="shared" si="10"/>
        <v>0</v>
      </c>
      <c r="AM612" s="2">
        <f t="array" ref="AM612">IF($K612="",0,IFERROR(INDEX(CALC!$F$2:$F$33,MATCH($K612,CALC!$A$2:$A$33,0)),0))</f>
        <v>0</v>
      </c>
      <c r="AN612" s="2">
        <f t="array" ref="AN612">IF($K612="",0,IFERROR(INDEX(CALC!$I$2:$I$33,MATCH($K612,CALC!$A$2:$A$33,0)),0))</f>
        <v>0</v>
      </c>
      <c r="AO612" s="2">
        <f t="array" ref="AO612">IF($K612="",0,IFERROR(INDEX(CALC!$L$2:$L$33,MATCH($K612,CALC!$A$2:$A$33,0)),0))</f>
        <v>0</v>
      </c>
      <c r="AP612" s="2">
        <f t="array" ref="AP612">IF($K612="",0,IFERROR(INDEX(CALC!$T$2:$T$33,MATCH($K612,CALC!$A$2:$A$33,0)),0))</f>
        <v>0</v>
      </c>
      <c r="AQ612" s="2">
        <f t="array" ref="AQ612">IF($K612="",0,IFERROR(INDEX(CALC!$W$2:$W$33,MATCH($K612,CALC!$A$2:$A$33,0)),0))</f>
        <v>0</v>
      </c>
      <c r="AR612" s="2">
        <f t="array" ref="AR612">IF($K612="",0,IFERROR(INDEX(CALC!$Z$2:$Z$33,MATCH($K612,CALC!$A$2:$A$33,0)),0))</f>
        <v>0</v>
      </c>
      <c r="AS612" s="2">
        <f t="array" ref="AS612">IF($K612="",0,IFERROR(INDEX(CALC!$AJ$2:$AJ$33,MATCH($K612,CALC!$A$2:$A$33,0)),0))</f>
        <v>0</v>
      </c>
      <c r="AT612" s="2">
        <f t="array" ref="AT612">IF($K612="",0,IFERROR(INDEX(CALC!$AI$2:$AI$33,MATCH($K612,CALC!$A$2:$A$33,0)),0))</f>
        <v>0</v>
      </c>
      <c r="AU612" s="2">
        <f t="shared" si="11"/>
        <v>0</v>
      </c>
      <c r="AV612" s="2">
        <f t="shared" si="12"/>
        <v>0</v>
      </c>
    </row>
    <row r="613" ht="15.0" customHeight="1">
      <c r="A613" s="2">
        <v>306.0</v>
      </c>
      <c r="B613" s="2" t="s">
        <v>2365</v>
      </c>
      <c r="C613" s="2" t="str">
        <f>IFERROR(MATCH($A613,SchedSeq,0),"")</f>
        <v/>
      </c>
      <c r="D613" s="2" t="str">
        <f t="array" ref="D613">IF($C613="","",INDEX(SchedZone,$C613,MAP!$B$6))</f>
        <v/>
      </c>
      <c r="E613" s="2" t="str">
        <f t="array" ref="E613">IF($C613="","",INDEX(SchedZone,$C613,MAP!$B$3))</f>
        <v/>
      </c>
      <c r="F613" s="2" t="str">
        <f t="array" ref="F613">IF($C613="","",INDEX(SchedZone,$C613,MAP!$B$5))</f>
        <v/>
      </c>
      <c r="G613" s="2" t="str">
        <f t="array" ref="G613">IF($C613="","",INDEX(SchedZone,$C613,MAP!$B$4))</f>
        <v/>
      </c>
      <c r="H613" s="2" t="str">
        <f t="array" ref="H613">IF($C613="","",INDEX(SchedZone,$C613,MAP!$B$12))</f>
        <v/>
      </c>
      <c r="I613" s="2" t="str">
        <f t="array" ref="I613">IF($H613="","",IF(COUNTIF(Teams,$H613)&gt;0,$H613,IFERROR(INDEX(LISTS!$D$2:$D$12,MATCH($H613,LISTS!$C$2:$C$12,0)),"⚠ "&amp;$H613)))</f>
        <v/>
      </c>
      <c r="J613" s="2" t="str">
        <f t="array" ref="J613">IF($C613="","",INDEX(SchedZone,$C613,MAP!$B$10))</f>
        <v/>
      </c>
      <c r="K613" s="2" t="str">
        <f t="array" ref="K613">IF($J613="","",IF(COUNTIF(Teams,$J613)&gt;0,$J613,IFERROR(INDEX(LISTS!$D$2:$D$12,MATCH($J613,LISTS!$C$2:$C$12,0)),"⚠ "&amp;$J613)))</f>
        <v/>
      </c>
      <c r="L613" s="2" t="str">
        <f t="array" ref="L613">IF($C613="","",IF(INDEX(SchedZone,$C613,MAP!$B$14)="Neutral","N",IF($B613="HOME","H","A")))</f>
        <v/>
      </c>
      <c r="M613" s="2" t="str">
        <f t="array" ref="M613">IF($C613="","",IF(INDEX(SchedZone,$C613,MAP!$B$13)="","",INDEX(SchedZone,$C613,MAP!$B$13)))</f>
        <v/>
      </c>
      <c r="N613" s="2" t="str">
        <f t="array" ref="N613">IF($C613="","",IF(INDEX(SchedZone,$C613,MAP!$B$11)="","",INDEX(SchedZone,$C613,MAP!$B$11)))</f>
        <v/>
      </c>
      <c r="O613" s="2" t="str">
        <f t="array" ref="O613">IF($C613="","",INDEX(SchedZone,$C613,MAP!$B$16))</f>
        <v/>
      </c>
      <c r="P613" s="2" t="str">
        <f>IF($C613="","",IFERROR(MATCH($E613&amp;"|"&amp;$G613&amp;"|"&amp;$I613,StatsKey,0),""))</f>
        <v/>
      </c>
      <c r="Q613" s="2">
        <f t="array" ref="Q613">IF($P613="",0,INDEX(StatsZone,$P613,MAP!$E$9)+INDEX(StatsZone,$P613,MAP!$E$10)+INDEX(StatsZone,$P613,MAP!$E$11))</f>
        <v>0</v>
      </c>
      <c r="R613" s="2">
        <f t="array" ref="R613">IF($P613="",0,INDEX(StatsZone,$P613,MAP!$E$12))</f>
        <v>0</v>
      </c>
      <c r="S613" s="2">
        <f t="array" ref="S613">IF($P613="",0,INDEX(StatsZone,$P613,MAP!$E$13))</f>
        <v>0</v>
      </c>
      <c r="T613" s="2">
        <f t="shared" si="1"/>
        <v>0</v>
      </c>
      <c r="U613" s="2">
        <f t="array" ref="U613">IF($P613="",0,INDEX(StatsZone,$P613,MAP!$E$14)+INDEX(StatsZone,$P613,MAP!$E$15)+INDEX(StatsZone,$P613,MAP!$E$16))</f>
        <v>0</v>
      </c>
      <c r="V613" s="2">
        <f t="shared" si="2"/>
        <v>0</v>
      </c>
      <c r="W613" s="2">
        <f t="shared" si="3"/>
        <v>0</v>
      </c>
      <c r="X613" s="2">
        <f t="shared" si="4"/>
        <v>0</v>
      </c>
      <c r="Y613" s="2">
        <f t="shared" si="5"/>
        <v>0</v>
      </c>
      <c r="Z613" s="2">
        <f t="shared" si="6"/>
        <v>0</v>
      </c>
      <c r="AA613" s="2">
        <f t="shared" si="7"/>
        <v>0</v>
      </c>
      <c r="AB613" s="2">
        <f>IF(OR($M613="",$N613=""),0,MEDIAN(-MarginCap,MarginCap,($M613-$N613)-$AA613*HFA_Base))</f>
        <v>0</v>
      </c>
      <c r="AC613" s="2">
        <f t="array" ref="AC613">IF(OR($P613="",INDEX($P$3:$P$722,(ROW()+IF(MOD(ROW()-3,2)=0,1,-1))-3+1)=""),0,MEDIAN(-MarginCap,MarginCap,($T613-$W613)-$AA613*HFA_Base))</f>
        <v>0</v>
      </c>
      <c r="AD613" s="2">
        <f t="shared" si="8"/>
        <v>0</v>
      </c>
      <c r="AE613" s="2">
        <f>IF(OR($M613="",$N613=""),0,IF(AND(WEpa&gt;0,$AD613=1),(1-WEpa)*$AB613+WEpa*$AC613,$AB613))</f>
        <v>0</v>
      </c>
      <c r="AF613" s="2">
        <f>IF(AND($C613&lt;&gt;"",$E613=CurrentSeason,$F613="REG",ISNUMBER($G613),$G613&lt;CurrentWeek,AND($M613&lt;&gt;"",$N613&lt;&gt;"")),1,0)</f>
        <v>0</v>
      </c>
      <c r="AG613" s="2">
        <f>IF($AF613=0,0,IF($G613&gt;=CurrentWeek-RecencyWin,RecencyMult,1))</f>
        <v>0</v>
      </c>
      <c r="AH613" s="2">
        <f>IF(AND($C613&lt;&gt;"",$E613=CurrentSeason,$F613="REG",ISNUMBER($G613),$G613&lt;CurrentWeek-1,AND($M613&lt;&gt;"",$N613&lt;&gt;"")),1,0)</f>
        <v>0</v>
      </c>
      <c r="AI613" s="2">
        <f>IF($AH613=0,0,IF($G613&gt;=CurrentWeek-1-RecencyWin,RecencyMult,1))</f>
        <v>0</v>
      </c>
      <c r="AJ613" s="2">
        <f>IF($AF613=0,0,IF($G613&gt;=CurrentWeek-RecencyWin,TotRecency,1))</f>
        <v>0</v>
      </c>
      <c r="AK613" s="2">
        <f t="shared" si="9"/>
        <v>0</v>
      </c>
      <c r="AL613" s="2">
        <f t="shared" si="10"/>
        <v>0</v>
      </c>
      <c r="AM613" s="2">
        <f t="array" ref="AM613">IF($K613="",0,IFERROR(INDEX(CALC!$F$2:$F$33,MATCH($K613,CALC!$A$2:$A$33,0)),0))</f>
        <v>0</v>
      </c>
      <c r="AN613" s="2">
        <f t="array" ref="AN613">IF($K613="",0,IFERROR(INDEX(CALC!$I$2:$I$33,MATCH($K613,CALC!$A$2:$A$33,0)),0))</f>
        <v>0</v>
      </c>
      <c r="AO613" s="2">
        <f t="array" ref="AO613">IF($K613="",0,IFERROR(INDEX(CALC!$L$2:$L$33,MATCH($K613,CALC!$A$2:$A$33,0)),0))</f>
        <v>0</v>
      </c>
      <c r="AP613" s="2">
        <f t="array" ref="AP613">IF($K613="",0,IFERROR(INDEX(CALC!$T$2:$T$33,MATCH($K613,CALC!$A$2:$A$33,0)),0))</f>
        <v>0</v>
      </c>
      <c r="AQ613" s="2">
        <f t="array" ref="AQ613">IF($K613="",0,IFERROR(INDEX(CALC!$W$2:$W$33,MATCH($K613,CALC!$A$2:$A$33,0)),0))</f>
        <v>0</v>
      </c>
      <c r="AR613" s="2">
        <f t="array" ref="AR613">IF($K613="",0,IFERROR(INDEX(CALC!$Z$2:$Z$33,MATCH($K613,CALC!$A$2:$A$33,0)),0))</f>
        <v>0</v>
      </c>
      <c r="AS613" s="2">
        <f t="array" ref="AS613">IF($K613="",0,IFERROR(INDEX(CALC!$AJ$2:$AJ$33,MATCH($K613,CALC!$A$2:$A$33,0)),0))</f>
        <v>0</v>
      </c>
      <c r="AT613" s="2">
        <f t="array" ref="AT613">IF($K613="",0,IFERROR(INDEX(CALC!$AI$2:$AI$33,MATCH($K613,CALC!$A$2:$A$33,0)),0))</f>
        <v>0</v>
      </c>
      <c r="AU613" s="2">
        <f t="shared" si="11"/>
        <v>0</v>
      </c>
      <c r="AV613" s="2">
        <f t="shared" si="12"/>
        <v>0</v>
      </c>
    </row>
    <row r="614" ht="15.0" customHeight="1">
      <c r="A614" s="2">
        <v>306.0</v>
      </c>
      <c r="B614" s="2" t="s">
        <v>2366</v>
      </c>
      <c r="C614" s="2" t="str">
        <f>IFERROR(MATCH($A614,SchedSeq,0),"")</f>
        <v/>
      </c>
      <c r="D614" s="2" t="str">
        <f t="array" ref="D614">IF($C614="","",INDEX(SchedZone,$C614,MAP!$B$6))</f>
        <v/>
      </c>
      <c r="E614" s="2" t="str">
        <f t="array" ref="E614">IF($C614="","",INDEX(SchedZone,$C614,MAP!$B$3))</f>
        <v/>
      </c>
      <c r="F614" s="2" t="str">
        <f t="array" ref="F614">IF($C614="","",INDEX(SchedZone,$C614,MAP!$B$5))</f>
        <v/>
      </c>
      <c r="G614" s="2" t="str">
        <f t="array" ref="G614">IF($C614="","",INDEX(SchedZone,$C614,MAP!$B$4))</f>
        <v/>
      </c>
      <c r="H614" s="2" t="str">
        <f t="array" ref="H614">IF($C614="","",INDEX(SchedZone,$C614,MAP!$B$10))</f>
        <v/>
      </c>
      <c r="I614" s="2" t="str">
        <f t="array" ref="I614">IF($H614="","",IF(COUNTIF(Teams,$H614)&gt;0,$H614,IFERROR(INDEX(LISTS!$D$2:$D$12,MATCH($H614,LISTS!$C$2:$C$12,0)),"⚠ "&amp;$H614)))</f>
        <v/>
      </c>
      <c r="J614" s="2" t="str">
        <f t="array" ref="J614">IF($C614="","",INDEX(SchedZone,$C614,MAP!$B$12))</f>
        <v/>
      </c>
      <c r="K614" s="2" t="str">
        <f t="array" ref="K614">IF($J614="","",IF(COUNTIF(Teams,$J614)&gt;0,$J614,IFERROR(INDEX(LISTS!$D$2:$D$12,MATCH($J614,LISTS!$C$2:$C$12,0)),"⚠ "&amp;$J614)))</f>
        <v/>
      </c>
      <c r="L614" s="2" t="str">
        <f t="array" ref="L614">IF($C614="","",IF(INDEX(SchedZone,$C614,MAP!$B$14)="Neutral","N",IF($B614="HOME","H","A")))</f>
        <v/>
      </c>
      <c r="M614" s="2" t="str">
        <f t="array" ref="M614">IF($C614="","",IF(INDEX(SchedZone,$C614,MAP!$B$11)="","",INDEX(SchedZone,$C614,MAP!$B$11)))</f>
        <v/>
      </c>
      <c r="N614" s="2" t="str">
        <f t="array" ref="N614">IF($C614="","",IF(INDEX(SchedZone,$C614,MAP!$B$13)="","",INDEX(SchedZone,$C614,MAP!$B$13)))</f>
        <v/>
      </c>
      <c r="O614" s="2" t="str">
        <f t="array" ref="O614">IF($C614="","",INDEX(SchedZone,$C614,MAP!$B$15))</f>
        <v/>
      </c>
      <c r="P614" s="2" t="str">
        <f>IF($C614="","",IFERROR(MATCH($E614&amp;"|"&amp;$G614&amp;"|"&amp;$I614,StatsKey,0),""))</f>
        <v/>
      </c>
      <c r="Q614" s="2">
        <f t="array" ref="Q614">IF($P614="",0,INDEX(StatsZone,$P614,MAP!$E$9)+INDEX(StatsZone,$P614,MAP!$E$10)+INDEX(StatsZone,$P614,MAP!$E$11))</f>
        <v>0</v>
      </c>
      <c r="R614" s="2">
        <f t="array" ref="R614">IF($P614="",0,INDEX(StatsZone,$P614,MAP!$E$12))</f>
        <v>0</v>
      </c>
      <c r="S614" s="2">
        <f t="array" ref="S614">IF($P614="",0,INDEX(StatsZone,$P614,MAP!$E$13))</f>
        <v>0</v>
      </c>
      <c r="T614" s="2">
        <f t="shared" si="1"/>
        <v>0</v>
      </c>
      <c r="U614" s="2">
        <f t="array" ref="U614">IF($P614="",0,INDEX(StatsZone,$P614,MAP!$E$14)+INDEX(StatsZone,$P614,MAP!$E$15)+INDEX(StatsZone,$P614,MAP!$E$16))</f>
        <v>0</v>
      </c>
      <c r="V614" s="2">
        <f t="shared" si="2"/>
        <v>0</v>
      </c>
      <c r="W614" s="2">
        <f t="shared" si="3"/>
        <v>0</v>
      </c>
      <c r="X614" s="2">
        <f t="shared" si="4"/>
        <v>0</v>
      </c>
      <c r="Y614" s="2">
        <f t="shared" si="5"/>
        <v>0</v>
      </c>
      <c r="Z614" s="2">
        <f t="shared" si="6"/>
        <v>0</v>
      </c>
      <c r="AA614" s="2">
        <f t="shared" si="7"/>
        <v>0</v>
      </c>
      <c r="AB614" s="2">
        <f>IF(OR($M614="",$N614=""),0,MEDIAN(-MarginCap,MarginCap,($M614-$N614)-$AA614*HFA_Base))</f>
        <v>0</v>
      </c>
      <c r="AC614" s="2">
        <f t="array" ref="AC614">IF(OR($P614="",INDEX($P$3:$P$722,(ROW()+IF(MOD(ROW()-3,2)=0,1,-1))-3+1)=""),0,MEDIAN(-MarginCap,MarginCap,($T614-$W614)-$AA614*HFA_Base))</f>
        <v>0</v>
      </c>
      <c r="AD614" s="2">
        <f t="shared" si="8"/>
        <v>0</v>
      </c>
      <c r="AE614" s="2">
        <f>IF(OR($M614="",$N614=""),0,IF(AND(WEpa&gt;0,$AD614=1),(1-WEpa)*$AB614+WEpa*$AC614,$AB614))</f>
        <v>0</v>
      </c>
      <c r="AF614" s="2">
        <f>IF(AND($C614&lt;&gt;"",$E614=CurrentSeason,$F614="REG",ISNUMBER($G614),$G614&lt;CurrentWeek,AND($M614&lt;&gt;"",$N614&lt;&gt;"")),1,0)</f>
        <v>0</v>
      </c>
      <c r="AG614" s="2">
        <f>IF($AF614=0,0,IF($G614&gt;=CurrentWeek-RecencyWin,RecencyMult,1))</f>
        <v>0</v>
      </c>
      <c r="AH614" s="2">
        <f>IF(AND($C614&lt;&gt;"",$E614=CurrentSeason,$F614="REG",ISNUMBER($G614),$G614&lt;CurrentWeek-1,AND($M614&lt;&gt;"",$N614&lt;&gt;"")),1,0)</f>
        <v>0</v>
      </c>
      <c r="AI614" s="2">
        <f>IF($AH614=0,0,IF($G614&gt;=CurrentWeek-1-RecencyWin,RecencyMult,1))</f>
        <v>0</v>
      </c>
      <c r="AJ614" s="2">
        <f>IF($AF614=0,0,IF($G614&gt;=CurrentWeek-RecencyWin,TotRecency,1))</f>
        <v>0</v>
      </c>
      <c r="AK614" s="2">
        <f t="shared" si="9"/>
        <v>0</v>
      </c>
      <c r="AL614" s="2">
        <f t="shared" si="10"/>
        <v>0</v>
      </c>
      <c r="AM614" s="2">
        <f t="array" ref="AM614">IF($K614="",0,IFERROR(INDEX(CALC!$F$2:$F$33,MATCH($K614,CALC!$A$2:$A$33,0)),0))</f>
        <v>0</v>
      </c>
      <c r="AN614" s="2">
        <f t="array" ref="AN614">IF($K614="",0,IFERROR(INDEX(CALC!$I$2:$I$33,MATCH($K614,CALC!$A$2:$A$33,0)),0))</f>
        <v>0</v>
      </c>
      <c r="AO614" s="2">
        <f t="array" ref="AO614">IF($K614="",0,IFERROR(INDEX(CALC!$L$2:$L$33,MATCH($K614,CALC!$A$2:$A$33,0)),0))</f>
        <v>0</v>
      </c>
      <c r="AP614" s="2">
        <f t="array" ref="AP614">IF($K614="",0,IFERROR(INDEX(CALC!$T$2:$T$33,MATCH($K614,CALC!$A$2:$A$33,0)),0))</f>
        <v>0</v>
      </c>
      <c r="AQ614" s="2">
        <f t="array" ref="AQ614">IF($K614="",0,IFERROR(INDEX(CALC!$W$2:$W$33,MATCH($K614,CALC!$A$2:$A$33,0)),0))</f>
        <v>0</v>
      </c>
      <c r="AR614" s="2">
        <f t="array" ref="AR614">IF($K614="",0,IFERROR(INDEX(CALC!$Z$2:$Z$33,MATCH($K614,CALC!$A$2:$A$33,0)),0))</f>
        <v>0</v>
      </c>
      <c r="AS614" s="2">
        <f t="array" ref="AS614">IF($K614="",0,IFERROR(INDEX(CALC!$AJ$2:$AJ$33,MATCH($K614,CALC!$A$2:$A$33,0)),0))</f>
        <v>0</v>
      </c>
      <c r="AT614" s="2">
        <f t="array" ref="AT614">IF($K614="",0,IFERROR(INDEX(CALC!$AI$2:$AI$33,MATCH($K614,CALC!$A$2:$A$33,0)),0))</f>
        <v>0</v>
      </c>
      <c r="AU614" s="2">
        <f t="shared" si="11"/>
        <v>0</v>
      </c>
      <c r="AV614" s="2">
        <f t="shared" si="12"/>
        <v>0</v>
      </c>
    </row>
    <row r="615" ht="15.0" customHeight="1">
      <c r="A615" s="2">
        <v>307.0</v>
      </c>
      <c r="B615" s="2" t="s">
        <v>2365</v>
      </c>
      <c r="C615" s="2" t="str">
        <f>IFERROR(MATCH($A615,SchedSeq,0),"")</f>
        <v/>
      </c>
      <c r="D615" s="2" t="str">
        <f t="array" ref="D615">IF($C615="","",INDEX(SchedZone,$C615,MAP!$B$6))</f>
        <v/>
      </c>
      <c r="E615" s="2" t="str">
        <f t="array" ref="E615">IF($C615="","",INDEX(SchedZone,$C615,MAP!$B$3))</f>
        <v/>
      </c>
      <c r="F615" s="2" t="str">
        <f t="array" ref="F615">IF($C615="","",INDEX(SchedZone,$C615,MAP!$B$5))</f>
        <v/>
      </c>
      <c r="G615" s="2" t="str">
        <f t="array" ref="G615">IF($C615="","",INDEX(SchedZone,$C615,MAP!$B$4))</f>
        <v/>
      </c>
      <c r="H615" s="2" t="str">
        <f t="array" ref="H615">IF($C615="","",INDEX(SchedZone,$C615,MAP!$B$12))</f>
        <v/>
      </c>
      <c r="I615" s="2" t="str">
        <f t="array" ref="I615">IF($H615="","",IF(COUNTIF(Teams,$H615)&gt;0,$H615,IFERROR(INDEX(LISTS!$D$2:$D$12,MATCH($H615,LISTS!$C$2:$C$12,0)),"⚠ "&amp;$H615)))</f>
        <v/>
      </c>
      <c r="J615" s="2" t="str">
        <f t="array" ref="J615">IF($C615="","",INDEX(SchedZone,$C615,MAP!$B$10))</f>
        <v/>
      </c>
      <c r="K615" s="2" t="str">
        <f t="array" ref="K615">IF($J615="","",IF(COUNTIF(Teams,$J615)&gt;0,$J615,IFERROR(INDEX(LISTS!$D$2:$D$12,MATCH($J615,LISTS!$C$2:$C$12,0)),"⚠ "&amp;$J615)))</f>
        <v/>
      </c>
      <c r="L615" s="2" t="str">
        <f t="array" ref="L615">IF($C615="","",IF(INDEX(SchedZone,$C615,MAP!$B$14)="Neutral","N",IF($B615="HOME","H","A")))</f>
        <v/>
      </c>
      <c r="M615" s="2" t="str">
        <f t="array" ref="M615">IF($C615="","",IF(INDEX(SchedZone,$C615,MAP!$B$13)="","",INDEX(SchedZone,$C615,MAP!$B$13)))</f>
        <v/>
      </c>
      <c r="N615" s="2" t="str">
        <f t="array" ref="N615">IF($C615="","",IF(INDEX(SchedZone,$C615,MAP!$B$11)="","",INDEX(SchedZone,$C615,MAP!$B$11)))</f>
        <v/>
      </c>
      <c r="O615" s="2" t="str">
        <f t="array" ref="O615">IF($C615="","",INDEX(SchedZone,$C615,MAP!$B$16))</f>
        <v/>
      </c>
      <c r="P615" s="2" t="str">
        <f>IF($C615="","",IFERROR(MATCH($E615&amp;"|"&amp;$G615&amp;"|"&amp;$I615,StatsKey,0),""))</f>
        <v/>
      </c>
      <c r="Q615" s="2">
        <f t="array" ref="Q615">IF($P615="",0,INDEX(StatsZone,$P615,MAP!$E$9)+INDEX(StatsZone,$P615,MAP!$E$10)+INDEX(StatsZone,$P615,MAP!$E$11))</f>
        <v>0</v>
      </c>
      <c r="R615" s="2">
        <f t="array" ref="R615">IF($P615="",0,INDEX(StatsZone,$P615,MAP!$E$12))</f>
        <v>0</v>
      </c>
      <c r="S615" s="2">
        <f t="array" ref="S615">IF($P615="",0,INDEX(StatsZone,$P615,MAP!$E$13))</f>
        <v>0</v>
      </c>
      <c r="T615" s="2">
        <f t="shared" si="1"/>
        <v>0</v>
      </c>
      <c r="U615" s="2">
        <f t="array" ref="U615">IF($P615="",0,INDEX(StatsZone,$P615,MAP!$E$14)+INDEX(StatsZone,$P615,MAP!$E$15)+INDEX(StatsZone,$P615,MAP!$E$16))</f>
        <v>0</v>
      </c>
      <c r="V615" s="2">
        <f t="shared" si="2"/>
        <v>0</v>
      </c>
      <c r="W615" s="2">
        <f t="shared" si="3"/>
        <v>0</v>
      </c>
      <c r="X615" s="2">
        <f t="shared" si="4"/>
        <v>0</v>
      </c>
      <c r="Y615" s="2">
        <f t="shared" si="5"/>
        <v>0</v>
      </c>
      <c r="Z615" s="2">
        <f t="shared" si="6"/>
        <v>0</v>
      </c>
      <c r="AA615" s="2">
        <f t="shared" si="7"/>
        <v>0</v>
      </c>
      <c r="AB615" s="2">
        <f>IF(OR($M615="",$N615=""),0,MEDIAN(-MarginCap,MarginCap,($M615-$N615)-$AA615*HFA_Base))</f>
        <v>0</v>
      </c>
      <c r="AC615" s="2">
        <f t="array" ref="AC615">IF(OR($P615="",INDEX($P$3:$P$722,(ROW()+IF(MOD(ROW()-3,2)=0,1,-1))-3+1)=""),0,MEDIAN(-MarginCap,MarginCap,($T615-$W615)-$AA615*HFA_Base))</f>
        <v>0</v>
      </c>
      <c r="AD615" s="2">
        <f t="shared" si="8"/>
        <v>0</v>
      </c>
      <c r="AE615" s="2">
        <f>IF(OR($M615="",$N615=""),0,IF(AND(WEpa&gt;0,$AD615=1),(1-WEpa)*$AB615+WEpa*$AC615,$AB615))</f>
        <v>0</v>
      </c>
      <c r="AF615" s="2">
        <f>IF(AND($C615&lt;&gt;"",$E615=CurrentSeason,$F615="REG",ISNUMBER($G615),$G615&lt;CurrentWeek,AND($M615&lt;&gt;"",$N615&lt;&gt;"")),1,0)</f>
        <v>0</v>
      </c>
      <c r="AG615" s="2">
        <f>IF($AF615=0,0,IF($G615&gt;=CurrentWeek-RecencyWin,RecencyMult,1))</f>
        <v>0</v>
      </c>
      <c r="AH615" s="2">
        <f>IF(AND($C615&lt;&gt;"",$E615=CurrentSeason,$F615="REG",ISNUMBER($G615),$G615&lt;CurrentWeek-1,AND($M615&lt;&gt;"",$N615&lt;&gt;"")),1,0)</f>
        <v>0</v>
      </c>
      <c r="AI615" s="2">
        <f>IF($AH615=0,0,IF($G615&gt;=CurrentWeek-1-RecencyWin,RecencyMult,1))</f>
        <v>0</v>
      </c>
      <c r="AJ615" s="2">
        <f>IF($AF615=0,0,IF($G615&gt;=CurrentWeek-RecencyWin,TotRecency,1))</f>
        <v>0</v>
      </c>
      <c r="AK615" s="2">
        <f t="shared" si="9"/>
        <v>0</v>
      </c>
      <c r="AL615" s="2">
        <f t="shared" si="10"/>
        <v>0</v>
      </c>
      <c r="AM615" s="2">
        <f t="array" ref="AM615">IF($K615="",0,IFERROR(INDEX(CALC!$F$2:$F$33,MATCH($K615,CALC!$A$2:$A$33,0)),0))</f>
        <v>0</v>
      </c>
      <c r="AN615" s="2">
        <f t="array" ref="AN615">IF($K615="",0,IFERROR(INDEX(CALC!$I$2:$I$33,MATCH($K615,CALC!$A$2:$A$33,0)),0))</f>
        <v>0</v>
      </c>
      <c r="AO615" s="2">
        <f t="array" ref="AO615">IF($K615="",0,IFERROR(INDEX(CALC!$L$2:$L$33,MATCH($K615,CALC!$A$2:$A$33,0)),0))</f>
        <v>0</v>
      </c>
      <c r="AP615" s="2">
        <f t="array" ref="AP615">IF($K615="",0,IFERROR(INDEX(CALC!$T$2:$T$33,MATCH($K615,CALC!$A$2:$A$33,0)),0))</f>
        <v>0</v>
      </c>
      <c r="AQ615" s="2">
        <f t="array" ref="AQ615">IF($K615="",0,IFERROR(INDEX(CALC!$W$2:$W$33,MATCH($K615,CALC!$A$2:$A$33,0)),0))</f>
        <v>0</v>
      </c>
      <c r="AR615" s="2">
        <f t="array" ref="AR615">IF($K615="",0,IFERROR(INDEX(CALC!$Z$2:$Z$33,MATCH($K615,CALC!$A$2:$A$33,0)),0))</f>
        <v>0</v>
      </c>
      <c r="AS615" s="2">
        <f t="array" ref="AS615">IF($K615="",0,IFERROR(INDEX(CALC!$AJ$2:$AJ$33,MATCH($K615,CALC!$A$2:$A$33,0)),0))</f>
        <v>0</v>
      </c>
      <c r="AT615" s="2">
        <f t="array" ref="AT615">IF($K615="",0,IFERROR(INDEX(CALC!$AI$2:$AI$33,MATCH($K615,CALC!$A$2:$A$33,0)),0))</f>
        <v>0</v>
      </c>
      <c r="AU615" s="2">
        <f t="shared" si="11"/>
        <v>0</v>
      </c>
      <c r="AV615" s="2">
        <f t="shared" si="12"/>
        <v>0</v>
      </c>
    </row>
    <row r="616" ht="15.0" customHeight="1">
      <c r="A616" s="2">
        <v>307.0</v>
      </c>
      <c r="B616" s="2" t="s">
        <v>2366</v>
      </c>
      <c r="C616" s="2" t="str">
        <f>IFERROR(MATCH($A616,SchedSeq,0),"")</f>
        <v/>
      </c>
      <c r="D616" s="2" t="str">
        <f t="array" ref="D616">IF($C616="","",INDEX(SchedZone,$C616,MAP!$B$6))</f>
        <v/>
      </c>
      <c r="E616" s="2" t="str">
        <f t="array" ref="E616">IF($C616="","",INDEX(SchedZone,$C616,MAP!$B$3))</f>
        <v/>
      </c>
      <c r="F616" s="2" t="str">
        <f t="array" ref="F616">IF($C616="","",INDEX(SchedZone,$C616,MAP!$B$5))</f>
        <v/>
      </c>
      <c r="G616" s="2" t="str">
        <f t="array" ref="G616">IF($C616="","",INDEX(SchedZone,$C616,MAP!$B$4))</f>
        <v/>
      </c>
      <c r="H616" s="2" t="str">
        <f t="array" ref="H616">IF($C616="","",INDEX(SchedZone,$C616,MAP!$B$10))</f>
        <v/>
      </c>
      <c r="I616" s="2" t="str">
        <f t="array" ref="I616">IF($H616="","",IF(COUNTIF(Teams,$H616)&gt;0,$H616,IFERROR(INDEX(LISTS!$D$2:$D$12,MATCH($H616,LISTS!$C$2:$C$12,0)),"⚠ "&amp;$H616)))</f>
        <v/>
      </c>
      <c r="J616" s="2" t="str">
        <f t="array" ref="J616">IF($C616="","",INDEX(SchedZone,$C616,MAP!$B$12))</f>
        <v/>
      </c>
      <c r="K616" s="2" t="str">
        <f t="array" ref="K616">IF($J616="","",IF(COUNTIF(Teams,$J616)&gt;0,$J616,IFERROR(INDEX(LISTS!$D$2:$D$12,MATCH($J616,LISTS!$C$2:$C$12,0)),"⚠ "&amp;$J616)))</f>
        <v/>
      </c>
      <c r="L616" s="2" t="str">
        <f t="array" ref="L616">IF($C616="","",IF(INDEX(SchedZone,$C616,MAP!$B$14)="Neutral","N",IF($B616="HOME","H","A")))</f>
        <v/>
      </c>
      <c r="M616" s="2" t="str">
        <f t="array" ref="M616">IF($C616="","",IF(INDEX(SchedZone,$C616,MAP!$B$11)="","",INDEX(SchedZone,$C616,MAP!$B$11)))</f>
        <v/>
      </c>
      <c r="N616" s="2" t="str">
        <f t="array" ref="N616">IF($C616="","",IF(INDEX(SchedZone,$C616,MAP!$B$13)="","",INDEX(SchedZone,$C616,MAP!$B$13)))</f>
        <v/>
      </c>
      <c r="O616" s="2" t="str">
        <f t="array" ref="O616">IF($C616="","",INDEX(SchedZone,$C616,MAP!$B$15))</f>
        <v/>
      </c>
      <c r="P616" s="2" t="str">
        <f>IF($C616="","",IFERROR(MATCH($E616&amp;"|"&amp;$G616&amp;"|"&amp;$I616,StatsKey,0),""))</f>
        <v/>
      </c>
      <c r="Q616" s="2">
        <f t="array" ref="Q616">IF($P616="",0,INDEX(StatsZone,$P616,MAP!$E$9)+INDEX(StatsZone,$P616,MAP!$E$10)+INDEX(StatsZone,$P616,MAP!$E$11))</f>
        <v>0</v>
      </c>
      <c r="R616" s="2">
        <f t="array" ref="R616">IF($P616="",0,INDEX(StatsZone,$P616,MAP!$E$12))</f>
        <v>0</v>
      </c>
      <c r="S616" s="2">
        <f t="array" ref="S616">IF($P616="",0,INDEX(StatsZone,$P616,MAP!$E$13))</f>
        <v>0</v>
      </c>
      <c r="T616" s="2">
        <f t="shared" si="1"/>
        <v>0</v>
      </c>
      <c r="U616" s="2">
        <f t="array" ref="U616">IF($P616="",0,INDEX(StatsZone,$P616,MAP!$E$14)+INDEX(StatsZone,$P616,MAP!$E$15)+INDEX(StatsZone,$P616,MAP!$E$16))</f>
        <v>0</v>
      </c>
      <c r="V616" s="2">
        <f t="shared" si="2"/>
        <v>0</v>
      </c>
      <c r="W616" s="2">
        <f t="shared" si="3"/>
        <v>0</v>
      </c>
      <c r="X616" s="2">
        <f t="shared" si="4"/>
        <v>0</v>
      </c>
      <c r="Y616" s="2">
        <f t="shared" si="5"/>
        <v>0</v>
      </c>
      <c r="Z616" s="2">
        <f t="shared" si="6"/>
        <v>0</v>
      </c>
      <c r="AA616" s="2">
        <f t="shared" si="7"/>
        <v>0</v>
      </c>
      <c r="AB616" s="2">
        <f>IF(OR($M616="",$N616=""),0,MEDIAN(-MarginCap,MarginCap,($M616-$N616)-$AA616*HFA_Base))</f>
        <v>0</v>
      </c>
      <c r="AC616" s="2">
        <f t="array" ref="AC616">IF(OR($P616="",INDEX($P$3:$P$722,(ROW()+IF(MOD(ROW()-3,2)=0,1,-1))-3+1)=""),0,MEDIAN(-MarginCap,MarginCap,($T616-$W616)-$AA616*HFA_Base))</f>
        <v>0</v>
      </c>
      <c r="AD616" s="2">
        <f t="shared" si="8"/>
        <v>0</v>
      </c>
      <c r="AE616" s="2">
        <f>IF(OR($M616="",$N616=""),0,IF(AND(WEpa&gt;0,$AD616=1),(1-WEpa)*$AB616+WEpa*$AC616,$AB616))</f>
        <v>0</v>
      </c>
      <c r="AF616" s="2">
        <f>IF(AND($C616&lt;&gt;"",$E616=CurrentSeason,$F616="REG",ISNUMBER($G616),$G616&lt;CurrentWeek,AND($M616&lt;&gt;"",$N616&lt;&gt;"")),1,0)</f>
        <v>0</v>
      </c>
      <c r="AG616" s="2">
        <f>IF($AF616=0,0,IF($G616&gt;=CurrentWeek-RecencyWin,RecencyMult,1))</f>
        <v>0</v>
      </c>
      <c r="AH616" s="2">
        <f>IF(AND($C616&lt;&gt;"",$E616=CurrentSeason,$F616="REG",ISNUMBER($G616),$G616&lt;CurrentWeek-1,AND($M616&lt;&gt;"",$N616&lt;&gt;"")),1,0)</f>
        <v>0</v>
      </c>
      <c r="AI616" s="2">
        <f>IF($AH616=0,0,IF($G616&gt;=CurrentWeek-1-RecencyWin,RecencyMult,1))</f>
        <v>0</v>
      </c>
      <c r="AJ616" s="2">
        <f>IF($AF616=0,0,IF($G616&gt;=CurrentWeek-RecencyWin,TotRecency,1))</f>
        <v>0</v>
      </c>
      <c r="AK616" s="2">
        <f t="shared" si="9"/>
        <v>0</v>
      </c>
      <c r="AL616" s="2">
        <f t="shared" si="10"/>
        <v>0</v>
      </c>
      <c r="AM616" s="2">
        <f t="array" ref="AM616">IF($K616="",0,IFERROR(INDEX(CALC!$F$2:$F$33,MATCH($K616,CALC!$A$2:$A$33,0)),0))</f>
        <v>0</v>
      </c>
      <c r="AN616" s="2">
        <f t="array" ref="AN616">IF($K616="",0,IFERROR(INDEX(CALC!$I$2:$I$33,MATCH($K616,CALC!$A$2:$A$33,0)),0))</f>
        <v>0</v>
      </c>
      <c r="AO616" s="2">
        <f t="array" ref="AO616">IF($K616="",0,IFERROR(INDEX(CALC!$L$2:$L$33,MATCH($K616,CALC!$A$2:$A$33,0)),0))</f>
        <v>0</v>
      </c>
      <c r="AP616" s="2">
        <f t="array" ref="AP616">IF($K616="",0,IFERROR(INDEX(CALC!$T$2:$T$33,MATCH($K616,CALC!$A$2:$A$33,0)),0))</f>
        <v>0</v>
      </c>
      <c r="AQ616" s="2">
        <f t="array" ref="AQ616">IF($K616="",0,IFERROR(INDEX(CALC!$W$2:$W$33,MATCH($K616,CALC!$A$2:$A$33,0)),0))</f>
        <v>0</v>
      </c>
      <c r="AR616" s="2">
        <f t="array" ref="AR616">IF($K616="",0,IFERROR(INDEX(CALC!$Z$2:$Z$33,MATCH($K616,CALC!$A$2:$A$33,0)),0))</f>
        <v>0</v>
      </c>
      <c r="AS616" s="2">
        <f t="array" ref="AS616">IF($K616="",0,IFERROR(INDEX(CALC!$AJ$2:$AJ$33,MATCH($K616,CALC!$A$2:$A$33,0)),0))</f>
        <v>0</v>
      </c>
      <c r="AT616" s="2">
        <f t="array" ref="AT616">IF($K616="",0,IFERROR(INDEX(CALC!$AI$2:$AI$33,MATCH($K616,CALC!$A$2:$A$33,0)),0))</f>
        <v>0</v>
      </c>
      <c r="AU616" s="2">
        <f t="shared" si="11"/>
        <v>0</v>
      </c>
      <c r="AV616" s="2">
        <f t="shared" si="12"/>
        <v>0</v>
      </c>
    </row>
    <row r="617" ht="15.0" customHeight="1">
      <c r="A617" s="2">
        <v>308.0</v>
      </c>
      <c r="B617" s="2" t="s">
        <v>2365</v>
      </c>
      <c r="C617" s="2" t="str">
        <f>IFERROR(MATCH($A617,SchedSeq,0),"")</f>
        <v/>
      </c>
      <c r="D617" s="2" t="str">
        <f t="array" ref="D617">IF($C617="","",INDEX(SchedZone,$C617,MAP!$B$6))</f>
        <v/>
      </c>
      <c r="E617" s="2" t="str">
        <f t="array" ref="E617">IF($C617="","",INDEX(SchedZone,$C617,MAP!$B$3))</f>
        <v/>
      </c>
      <c r="F617" s="2" t="str">
        <f t="array" ref="F617">IF($C617="","",INDEX(SchedZone,$C617,MAP!$B$5))</f>
        <v/>
      </c>
      <c r="G617" s="2" t="str">
        <f t="array" ref="G617">IF($C617="","",INDEX(SchedZone,$C617,MAP!$B$4))</f>
        <v/>
      </c>
      <c r="H617" s="2" t="str">
        <f t="array" ref="H617">IF($C617="","",INDEX(SchedZone,$C617,MAP!$B$12))</f>
        <v/>
      </c>
      <c r="I617" s="2" t="str">
        <f t="array" ref="I617">IF($H617="","",IF(COUNTIF(Teams,$H617)&gt;0,$H617,IFERROR(INDEX(LISTS!$D$2:$D$12,MATCH($H617,LISTS!$C$2:$C$12,0)),"⚠ "&amp;$H617)))</f>
        <v/>
      </c>
      <c r="J617" s="2" t="str">
        <f t="array" ref="J617">IF($C617="","",INDEX(SchedZone,$C617,MAP!$B$10))</f>
        <v/>
      </c>
      <c r="K617" s="2" t="str">
        <f t="array" ref="K617">IF($J617="","",IF(COUNTIF(Teams,$J617)&gt;0,$J617,IFERROR(INDEX(LISTS!$D$2:$D$12,MATCH($J617,LISTS!$C$2:$C$12,0)),"⚠ "&amp;$J617)))</f>
        <v/>
      </c>
      <c r="L617" s="2" t="str">
        <f t="array" ref="L617">IF($C617="","",IF(INDEX(SchedZone,$C617,MAP!$B$14)="Neutral","N",IF($B617="HOME","H","A")))</f>
        <v/>
      </c>
      <c r="M617" s="2" t="str">
        <f t="array" ref="M617">IF($C617="","",IF(INDEX(SchedZone,$C617,MAP!$B$13)="","",INDEX(SchedZone,$C617,MAP!$B$13)))</f>
        <v/>
      </c>
      <c r="N617" s="2" t="str">
        <f t="array" ref="N617">IF($C617="","",IF(INDEX(SchedZone,$C617,MAP!$B$11)="","",INDEX(SchedZone,$C617,MAP!$B$11)))</f>
        <v/>
      </c>
      <c r="O617" s="2" t="str">
        <f t="array" ref="O617">IF($C617="","",INDEX(SchedZone,$C617,MAP!$B$16))</f>
        <v/>
      </c>
      <c r="P617" s="2" t="str">
        <f>IF($C617="","",IFERROR(MATCH($E617&amp;"|"&amp;$G617&amp;"|"&amp;$I617,StatsKey,0),""))</f>
        <v/>
      </c>
      <c r="Q617" s="2">
        <f t="array" ref="Q617">IF($P617="",0,INDEX(StatsZone,$P617,MAP!$E$9)+INDEX(StatsZone,$P617,MAP!$E$10)+INDEX(StatsZone,$P617,MAP!$E$11))</f>
        <v>0</v>
      </c>
      <c r="R617" s="2">
        <f t="array" ref="R617">IF($P617="",0,INDEX(StatsZone,$P617,MAP!$E$12))</f>
        <v>0</v>
      </c>
      <c r="S617" s="2">
        <f t="array" ref="S617">IF($P617="",0,INDEX(StatsZone,$P617,MAP!$E$13))</f>
        <v>0</v>
      </c>
      <c r="T617" s="2">
        <f t="shared" si="1"/>
        <v>0</v>
      </c>
      <c r="U617" s="2">
        <f t="array" ref="U617">IF($P617="",0,INDEX(StatsZone,$P617,MAP!$E$14)+INDEX(StatsZone,$P617,MAP!$E$15)+INDEX(StatsZone,$P617,MAP!$E$16))</f>
        <v>0</v>
      </c>
      <c r="V617" s="2">
        <f t="shared" si="2"/>
        <v>0</v>
      </c>
      <c r="W617" s="2">
        <f t="shared" si="3"/>
        <v>0</v>
      </c>
      <c r="X617" s="2">
        <f t="shared" si="4"/>
        <v>0</v>
      </c>
      <c r="Y617" s="2">
        <f t="shared" si="5"/>
        <v>0</v>
      </c>
      <c r="Z617" s="2">
        <f t="shared" si="6"/>
        <v>0</v>
      </c>
      <c r="AA617" s="2">
        <f t="shared" si="7"/>
        <v>0</v>
      </c>
      <c r="AB617" s="2">
        <f>IF(OR($M617="",$N617=""),0,MEDIAN(-MarginCap,MarginCap,($M617-$N617)-$AA617*HFA_Base))</f>
        <v>0</v>
      </c>
      <c r="AC617" s="2">
        <f t="array" ref="AC617">IF(OR($P617="",INDEX($P$3:$P$722,(ROW()+IF(MOD(ROW()-3,2)=0,1,-1))-3+1)=""),0,MEDIAN(-MarginCap,MarginCap,($T617-$W617)-$AA617*HFA_Base))</f>
        <v>0</v>
      </c>
      <c r="AD617" s="2">
        <f t="shared" si="8"/>
        <v>0</v>
      </c>
      <c r="AE617" s="2">
        <f>IF(OR($M617="",$N617=""),0,IF(AND(WEpa&gt;0,$AD617=1),(1-WEpa)*$AB617+WEpa*$AC617,$AB617))</f>
        <v>0</v>
      </c>
      <c r="AF617" s="2">
        <f>IF(AND($C617&lt;&gt;"",$E617=CurrentSeason,$F617="REG",ISNUMBER($G617),$G617&lt;CurrentWeek,AND($M617&lt;&gt;"",$N617&lt;&gt;"")),1,0)</f>
        <v>0</v>
      </c>
      <c r="AG617" s="2">
        <f>IF($AF617=0,0,IF($G617&gt;=CurrentWeek-RecencyWin,RecencyMult,1))</f>
        <v>0</v>
      </c>
      <c r="AH617" s="2">
        <f>IF(AND($C617&lt;&gt;"",$E617=CurrentSeason,$F617="REG",ISNUMBER($G617),$G617&lt;CurrentWeek-1,AND($M617&lt;&gt;"",$N617&lt;&gt;"")),1,0)</f>
        <v>0</v>
      </c>
      <c r="AI617" s="2">
        <f>IF($AH617=0,0,IF($G617&gt;=CurrentWeek-1-RecencyWin,RecencyMult,1))</f>
        <v>0</v>
      </c>
      <c r="AJ617" s="2">
        <f>IF($AF617=0,0,IF($G617&gt;=CurrentWeek-RecencyWin,TotRecency,1))</f>
        <v>0</v>
      </c>
      <c r="AK617" s="2">
        <f t="shared" si="9"/>
        <v>0</v>
      </c>
      <c r="AL617" s="2">
        <f t="shared" si="10"/>
        <v>0</v>
      </c>
      <c r="AM617" s="2">
        <f t="array" ref="AM617">IF($K617="",0,IFERROR(INDEX(CALC!$F$2:$F$33,MATCH($K617,CALC!$A$2:$A$33,0)),0))</f>
        <v>0</v>
      </c>
      <c r="AN617" s="2">
        <f t="array" ref="AN617">IF($K617="",0,IFERROR(INDEX(CALC!$I$2:$I$33,MATCH($K617,CALC!$A$2:$A$33,0)),0))</f>
        <v>0</v>
      </c>
      <c r="AO617" s="2">
        <f t="array" ref="AO617">IF($K617="",0,IFERROR(INDEX(CALC!$L$2:$L$33,MATCH($K617,CALC!$A$2:$A$33,0)),0))</f>
        <v>0</v>
      </c>
      <c r="AP617" s="2">
        <f t="array" ref="AP617">IF($K617="",0,IFERROR(INDEX(CALC!$T$2:$T$33,MATCH($K617,CALC!$A$2:$A$33,0)),0))</f>
        <v>0</v>
      </c>
      <c r="AQ617" s="2">
        <f t="array" ref="AQ617">IF($K617="",0,IFERROR(INDEX(CALC!$W$2:$W$33,MATCH($K617,CALC!$A$2:$A$33,0)),0))</f>
        <v>0</v>
      </c>
      <c r="AR617" s="2">
        <f t="array" ref="AR617">IF($K617="",0,IFERROR(INDEX(CALC!$Z$2:$Z$33,MATCH($K617,CALC!$A$2:$A$33,0)),0))</f>
        <v>0</v>
      </c>
      <c r="AS617" s="2">
        <f t="array" ref="AS617">IF($K617="",0,IFERROR(INDEX(CALC!$AJ$2:$AJ$33,MATCH($K617,CALC!$A$2:$A$33,0)),0))</f>
        <v>0</v>
      </c>
      <c r="AT617" s="2">
        <f t="array" ref="AT617">IF($K617="",0,IFERROR(INDEX(CALC!$AI$2:$AI$33,MATCH($K617,CALC!$A$2:$A$33,0)),0))</f>
        <v>0</v>
      </c>
      <c r="AU617" s="2">
        <f t="shared" si="11"/>
        <v>0</v>
      </c>
      <c r="AV617" s="2">
        <f t="shared" si="12"/>
        <v>0</v>
      </c>
    </row>
    <row r="618" ht="15.0" customHeight="1">
      <c r="A618" s="2">
        <v>308.0</v>
      </c>
      <c r="B618" s="2" t="s">
        <v>2366</v>
      </c>
      <c r="C618" s="2" t="str">
        <f>IFERROR(MATCH($A618,SchedSeq,0),"")</f>
        <v/>
      </c>
      <c r="D618" s="2" t="str">
        <f t="array" ref="D618">IF($C618="","",INDEX(SchedZone,$C618,MAP!$B$6))</f>
        <v/>
      </c>
      <c r="E618" s="2" t="str">
        <f t="array" ref="E618">IF($C618="","",INDEX(SchedZone,$C618,MAP!$B$3))</f>
        <v/>
      </c>
      <c r="F618" s="2" t="str">
        <f t="array" ref="F618">IF($C618="","",INDEX(SchedZone,$C618,MAP!$B$5))</f>
        <v/>
      </c>
      <c r="G618" s="2" t="str">
        <f t="array" ref="G618">IF($C618="","",INDEX(SchedZone,$C618,MAP!$B$4))</f>
        <v/>
      </c>
      <c r="H618" s="2" t="str">
        <f t="array" ref="H618">IF($C618="","",INDEX(SchedZone,$C618,MAP!$B$10))</f>
        <v/>
      </c>
      <c r="I618" s="2" t="str">
        <f t="array" ref="I618">IF($H618="","",IF(COUNTIF(Teams,$H618)&gt;0,$H618,IFERROR(INDEX(LISTS!$D$2:$D$12,MATCH($H618,LISTS!$C$2:$C$12,0)),"⚠ "&amp;$H618)))</f>
        <v/>
      </c>
      <c r="J618" s="2" t="str">
        <f t="array" ref="J618">IF($C618="","",INDEX(SchedZone,$C618,MAP!$B$12))</f>
        <v/>
      </c>
      <c r="K618" s="2" t="str">
        <f t="array" ref="K618">IF($J618="","",IF(COUNTIF(Teams,$J618)&gt;0,$J618,IFERROR(INDEX(LISTS!$D$2:$D$12,MATCH($J618,LISTS!$C$2:$C$12,0)),"⚠ "&amp;$J618)))</f>
        <v/>
      </c>
      <c r="L618" s="2" t="str">
        <f t="array" ref="L618">IF($C618="","",IF(INDEX(SchedZone,$C618,MAP!$B$14)="Neutral","N",IF($B618="HOME","H","A")))</f>
        <v/>
      </c>
      <c r="M618" s="2" t="str">
        <f t="array" ref="M618">IF($C618="","",IF(INDEX(SchedZone,$C618,MAP!$B$11)="","",INDEX(SchedZone,$C618,MAP!$B$11)))</f>
        <v/>
      </c>
      <c r="N618" s="2" t="str">
        <f t="array" ref="N618">IF($C618="","",IF(INDEX(SchedZone,$C618,MAP!$B$13)="","",INDEX(SchedZone,$C618,MAP!$B$13)))</f>
        <v/>
      </c>
      <c r="O618" s="2" t="str">
        <f t="array" ref="O618">IF($C618="","",INDEX(SchedZone,$C618,MAP!$B$15))</f>
        <v/>
      </c>
      <c r="P618" s="2" t="str">
        <f>IF($C618="","",IFERROR(MATCH($E618&amp;"|"&amp;$G618&amp;"|"&amp;$I618,StatsKey,0),""))</f>
        <v/>
      </c>
      <c r="Q618" s="2">
        <f t="array" ref="Q618">IF($P618="",0,INDEX(StatsZone,$P618,MAP!$E$9)+INDEX(StatsZone,$P618,MAP!$E$10)+INDEX(StatsZone,$P618,MAP!$E$11))</f>
        <v>0</v>
      </c>
      <c r="R618" s="2">
        <f t="array" ref="R618">IF($P618="",0,INDEX(StatsZone,$P618,MAP!$E$12))</f>
        <v>0</v>
      </c>
      <c r="S618" s="2">
        <f t="array" ref="S618">IF($P618="",0,INDEX(StatsZone,$P618,MAP!$E$13))</f>
        <v>0</v>
      </c>
      <c r="T618" s="2">
        <f t="shared" si="1"/>
        <v>0</v>
      </c>
      <c r="U618" s="2">
        <f t="array" ref="U618">IF($P618="",0,INDEX(StatsZone,$P618,MAP!$E$14)+INDEX(StatsZone,$P618,MAP!$E$15)+INDEX(StatsZone,$P618,MAP!$E$16))</f>
        <v>0</v>
      </c>
      <c r="V618" s="2">
        <f t="shared" si="2"/>
        <v>0</v>
      </c>
      <c r="W618" s="2">
        <f t="shared" si="3"/>
        <v>0</v>
      </c>
      <c r="X618" s="2">
        <f t="shared" si="4"/>
        <v>0</v>
      </c>
      <c r="Y618" s="2">
        <f t="shared" si="5"/>
        <v>0</v>
      </c>
      <c r="Z618" s="2">
        <f t="shared" si="6"/>
        <v>0</v>
      </c>
      <c r="AA618" s="2">
        <f t="shared" si="7"/>
        <v>0</v>
      </c>
      <c r="AB618" s="2">
        <f>IF(OR($M618="",$N618=""),0,MEDIAN(-MarginCap,MarginCap,($M618-$N618)-$AA618*HFA_Base))</f>
        <v>0</v>
      </c>
      <c r="AC618" s="2">
        <f t="array" ref="AC618">IF(OR($P618="",INDEX($P$3:$P$722,(ROW()+IF(MOD(ROW()-3,2)=0,1,-1))-3+1)=""),0,MEDIAN(-MarginCap,MarginCap,($T618-$W618)-$AA618*HFA_Base))</f>
        <v>0</v>
      </c>
      <c r="AD618" s="2">
        <f t="shared" si="8"/>
        <v>0</v>
      </c>
      <c r="AE618" s="2">
        <f>IF(OR($M618="",$N618=""),0,IF(AND(WEpa&gt;0,$AD618=1),(1-WEpa)*$AB618+WEpa*$AC618,$AB618))</f>
        <v>0</v>
      </c>
      <c r="AF618" s="2">
        <f>IF(AND($C618&lt;&gt;"",$E618=CurrentSeason,$F618="REG",ISNUMBER($G618),$G618&lt;CurrentWeek,AND($M618&lt;&gt;"",$N618&lt;&gt;"")),1,0)</f>
        <v>0</v>
      </c>
      <c r="AG618" s="2">
        <f>IF($AF618=0,0,IF($G618&gt;=CurrentWeek-RecencyWin,RecencyMult,1))</f>
        <v>0</v>
      </c>
      <c r="AH618" s="2">
        <f>IF(AND($C618&lt;&gt;"",$E618=CurrentSeason,$F618="REG",ISNUMBER($G618),$G618&lt;CurrentWeek-1,AND($M618&lt;&gt;"",$N618&lt;&gt;"")),1,0)</f>
        <v>0</v>
      </c>
      <c r="AI618" s="2">
        <f>IF($AH618=0,0,IF($G618&gt;=CurrentWeek-1-RecencyWin,RecencyMult,1))</f>
        <v>0</v>
      </c>
      <c r="AJ618" s="2">
        <f>IF($AF618=0,0,IF($G618&gt;=CurrentWeek-RecencyWin,TotRecency,1))</f>
        <v>0</v>
      </c>
      <c r="AK618" s="2">
        <f t="shared" si="9"/>
        <v>0</v>
      </c>
      <c r="AL618" s="2">
        <f t="shared" si="10"/>
        <v>0</v>
      </c>
      <c r="AM618" s="2">
        <f t="array" ref="AM618">IF($K618="",0,IFERROR(INDEX(CALC!$F$2:$F$33,MATCH($K618,CALC!$A$2:$A$33,0)),0))</f>
        <v>0</v>
      </c>
      <c r="AN618" s="2">
        <f t="array" ref="AN618">IF($K618="",0,IFERROR(INDEX(CALC!$I$2:$I$33,MATCH($K618,CALC!$A$2:$A$33,0)),0))</f>
        <v>0</v>
      </c>
      <c r="AO618" s="2">
        <f t="array" ref="AO618">IF($K618="",0,IFERROR(INDEX(CALC!$L$2:$L$33,MATCH($K618,CALC!$A$2:$A$33,0)),0))</f>
        <v>0</v>
      </c>
      <c r="AP618" s="2">
        <f t="array" ref="AP618">IF($K618="",0,IFERROR(INDEX(CALC!$T$2:$T$33,MATCH($K618,CALC!$A$2:$A$33,0)),0))</f>
        <v>0</v>
      </c>
      <c r="AQ618" s="2">
        <f t="array" ref="AQ618">IF($K618="",0,IFERROR(INDEX(CALC!$W$2:$W$33,MATCH($K618,CALC!$A$2:$A$33,0)),0))</f>
        <v>0</v>
      </c>
      <c r="AR618" s="2">
        <f t="array" ref="AR618">IF($K618="",0,IFERROR(INDEX(CALC!$Z$2:$Z$33,MATCH($K618,CALC!$A$2:$A$33,0)),0))</f>
        <v>0</v>
      </c>
      <c r="AS618" s="2">
        <f t="array" ref="AS618">IF($K618="",0,IFERROR(INDEX(CALC!$AJ$2:$AJ$33,MATCH($K618,CALC!$A$2:$A$33,0)),0))</f>
        <v>0</v>
      </c>
      <c r="AT618" s="2">
        <f t="array" ref="AT618">IF($K618="",0,IFERROR(INDEX(CALC!$AI$2:$AI$33,MATCH($K618,CALC!$A$2:$A$33,0)),0))</f>
        <v>0</v>
      </c>
      <c r="AU618" s="2">
        <f t="shared" si="11"/>
        <v>0</v>
      </c>
      <c r="AV618" s="2">
        <f t="shared" si="12"/>
        <v>0</v>
      </c>
    </row>
    <row r="619" ht="15.0" customHeight="1">
      <c r="A619" s="2">
        <v>309.0</v>
      </c>
      <c r="B619" s="2" t="s">
        <v>2365</v>
      </c>
      <c r="C619" s="2" t="str">
        <f>IFERROR(MATCH($A619,SchedSeq,0),"")</f>
        <v/>
      </c>
      <c r="D619" s="2" t="str">
        <f t="array" ref="D619">IF($C619="","",INDEX(SchedZone,$C619,MAP!$B$6))</f>
        <v/>
      </c>
      <c r="E619" s="2" t="str">
        <f t="array" ref="E619">IF($C619="","",INDEX(SchedZone,$C619,MAP!$B$3))</f>
        <v/>
      </c>
      <c r="F619" s="2" t="str">
        <f t="array" ref="F619">IF($C619="","",INDEX(SchedZone,$C619,MAP!$B$5))</f>
        <v/>
      </c>
      <c r="G619" s="2" t="str">
        <f t="array" ref="G619">IF($C619="","",INDEX(SchedZone,$C619,MAP!$B$4))</f>
        <v/>
      </c>
      <c r="H619" s="2" t="str">
        <f t="array" ref="H619">IF($C619="","",INDEX(SchedZone,$C619,MAP!$B$12))</f>
        <v/>
      </c>
      <c r="I619" s="2" t="str">
        <f t="array" ref="I619">IF($H619="","",IF(COUNTIF(Teams,$H619)&gt;0,$H619,IFERROR(INDEX(LISTS!$D$2:$D$12,MATCH($H619,LISTS!$C$2:$C$12,0)),"⚠ "&amp;$H619)))</f>
        <v/>
      </c>
      <c r="J619" s="2" t="str">
        <f t="array" ref="J619">IF($C619="","",INDEX(SchedZone,$C619,MAP!$B$10))</f>
        <v/>
      </c>
      <c r="K619" s="2" t="str">
        <f t="array" ref="K619">IF($J619="","",IF(COUNTIF(Teams,$J619)&gt;0,$J619,IFERROR(INDEX(LISTS!$D$2:$D$12,MATCH($J619,LISTS!$C$2:$C$12,0)),"⚠ "&amp;$J619)))</f>
        <v/>
      </c>
      <c r="L619" s="2" t="str">
        <f t="array" ref="L619">IF($C619="","",IF(INDEX(SchedZone,$C619,MAP!$B$14)="Neutral","N",IF($B619="HOME","H","A")))</f>
        <v/>
      </c>
      <c r="M619" s="2" t="str">
        <f t="array" ref="M619">IF($C619="","",IF(INDEX(SchedZone,$C619,MAP!$B$13)="","",INDEX(SchedZone,$C619,MAP!$B$13)))</f>
        <v/>
      </c>
      <c r="N619" s="2" t="str">
        <f t="array" ref="N619">IF($C619="","",IF(INDEX(SchedZone,$C619,MAP!$B$11)="","",INDEX(SchedZone,$C619,MAP!$B$11)))</f>
        <v/>
      </c>
      <c r="O619" s="2" t="str">
        <f t="array" ref="O619">IF($C619="","",INDEX(SchedZone,$C619,MAP!$B$16))</f>
        <v/>
      </c>
      <c r="P619" s="2" t="str">
        <f>IF($C619="","",IFERROR(MATCH($E619&amp;"|"&amp;$G619&amp;"|"&amp;$I619,StatsKey,0),""))</f>
        <v/>
      </c>
      <c r="Q619" s="2">
        <f t="array" ref="Q619">IF($P619="",0,INDEX(StatsZone,$P619,MAP!$E$9)+INDEX(StatsZone,$P619,MAP!$E$10)+INDEX(StatsZone,$P619,MAP!$E$11))</f>
        <v>0</v>
      </c>
      <c r="R619" s="2">
        <f t="array" ref="R619">IF($P619="",0,INDEX(StatsZone,$P619,MAP!$E$12))</f>
        <v>0</v>
      </c>
      <c r="S619" s="2">
        <f t="array" ref="S619">IF($P619="",0,INDEX(StatsZone,$P619,MAP!$E$13))</f>
        <v>0</v>
      </c>
      <c r="T619" s="2">
        <f t="shared" si="1"/>
        <v>0</v>
      </c>
      <c r="U619" s="2">
        <f t="array" ref="U619">IF($P619="",0,INDEX(StatsZone,$P619,MAP!$E$14)+INDEX(StatsZone,$P619,MAP!$E$15)+INDEX(StatsZone,$P619,MAP!$E$16))</f>
        <v>0</v>
      </c>
      <c r="V619" s="2">
        <f t="shared" si="2"/>
        <v>0</v>
      </c>
      <c r="W619" s="2">
        <f t="shared" si="3"/>
        <v>0</v>
      </c>
      <c r="X619" s="2">
        <f t="shared" si="4"/>
        <v>0</v>
      </c>
      <c r="Y619" s="2">
        <f t="shared" si="5"/>
        <v>0</v>
      </c>
      <c r="Z619" s="2">
        <f t="shared" si="6"/>
        <v>0</v>
      </c>
      <c r="AA619" s="2">
        <f t="shared" si="7"/>
        <v>0</v>
      </c>
      <c r="AB619" s="2">
        <f>IF(OR($M619="",$N619=""),0,MEDIAN(-MarginCap,MarginCap,($M619-$N619)-$AA619*HFA_Base))</f>
        <v>0</v>
      </c>
      <c r="AC619" s="2">
        <f t="array" ref="AC619">IF(OR($P619="",INDEX($P$3:$P$722,(ROW()+IF(MOD(ROW()-3,2)=0,1,-1))-3+1)=""),0,MEDIAN(-MarginCap,MarginCap,($T619-$W619)-$AA619*HFA_Base))</f>
        <v>0</v>
      </c>
      <c r="AD619" s="2">
        <f t="shared" si="8"/>
        <v>0</v>
      </c>
      <c r="AE619" s="2">
        <f>IF(OR($M619="",$N619=""),0,IF(AND(WEpa&gt;0,$AD619=1),(1-WEpa)*$AB619+WEpa*$AC619,$AB619))</f>
        <v>0</v>
      </c>
      <c r="AF619" s="2">
        <f>IF(AND($C619&lt;&gt;"",$E619=CurrentSeason,$F619="REG",ISNUMBER($G619),$G619&lt;CurrentWeek,AND($M619&lt;&gt;"",$N619&lt;&gt;"")),1,0)</f>
        <v>0</v>
      </c>
      <c r="AG619" s="2">
        <f>IF($AF619=0,0,IF($G619&gt;=CurrentWeek-RecencyWin,RecencyMult,1))</f>
        <v>0</v>
      </c>
      <c r="AH619" s="2">
        <f>IF(AND($C619&lt;&gt;"",$E619=CurrentSeason,$F619="REG",ISNUMBER($G619),$G619&lt;CurrentWeek-1,AND($M619&lt;&gt;"",$N619&lt;&gt;"")),1,0)</f>
        <v>0</v>
      </c>
      <c r="AI619" s="2">
        <f>IF($AH619=0,0,IF($G619&gt;=CurrentWeek-1-RecencyWin,RecencyMult,1))</f>
        <v>0</v>
      </c>
      <c r="AJ619" s="2">
        <f>IF($AF619=0,0,IF($G619&gt;=CurrentWeek-RecencyWin,TotRecency,1))</f>
        <v>0</v>
      </c>
      <c r="AK619" s="2">
        <f t="shared" si="9"/>
        <v>0</v>
      </c>
      <c r="AL619" s="2">
        <f t="shared" si="10"/>
        <v>0</v>
      </c>
      <c r="AM619" s="2">
        <f t="array" ref="AM619">IF($K619="",0,IFERROR(INDEX(CALC!$F$2:$F$33,MATCH($K619,CALC!$A$2:$A$33,0)),0))</f>
        <v>0</v>
      </c>
      <c r="AN619" s="2">
        <f t="array" ref="AN619">IF($K619="",0,IFERROR(INDEX(CALC!$I$2:$I$33,MATCH($K619,CALC!$A$2:$A$33,0)),0))</f>
        <v>0</v>
      </c>
      <c r="AO619" s="2">
        <f t="array" ref="AO619">IF($K619="",0,IFERROR(INDEX(CALC!$L$2:$L$33,MATCH($K619,CALC!$A$2:$A$33,0)),0))</f>
        <v>0</v>
      </c>
      <c r="AP619" s="2">
        <f t="array" ref="AP619">IF($K619="",0,IFERROR(INDEX(CALC!$T$2:$T$33,MATCH($K619,CALC!$A$2:$A$33,0)),0))</f>
        <v>0</v>
      </c>
      <c r="AQ619" s="2">
        <f t="array" ref="AQ619">IF($K619="",0,IFERROR(INDEX(CALC!$W$2:$W$33,MATCH($K619,CALC!$A$2:$A$33,0)),0))</f>
        <v>0</v>
      </c>
      <c r="AR619" s="2">
        <f t="array" ref="AR619">IF($K619="",0,IFERROR(INDEX(CALC!$Z$2:$Z$33,MATCH($K619,CALC!$A$2:$A$33,0)),0))</f>
        <v>0</v>
      </c>
      <c r="AS619" s="2">
        <f t="array" ref="AS619">IF($K619="",0,IFERROR(INDEX(CALC!$AJ$2:$AJ$33,MATCH($K619,CALC!$A$2:$A$33,0)),0))</f>
        <v>0</v>
      </c>
      <c r="AT619" s="2">
        <f t="array" ref="AT619">IF($K619="",0,IFERROR(INDEX(CALC!$AI$2:$AI$33,MATCH($K619,CALC!$A$2:$A$33,0)),0))</f>
        <v>0</v>
      </c>
      <c r="AU619" s="2">
        <f t="shared" si="11"/>
        <v>0</v>
      </c>
      <c r="AV619" s="2">
        <f t="shared" si="12"/>
        <v>0</v>
      </c>
    </row>
    <row r="620" ht="15.0" customHeight="1">
      <c r="A620" s="2">
        <v>309.0</v>
      </c>
      <c r="B620" s="2" t="s">
        <v>2366</v>
      </c>
      <c r="C620" s="2" t="str">
        <f>IFERROR(MATCH($A620,SchedSeq,0),"")</f>
        <v/>
      </c>
      <c r="D620" s="2" t="str">
        <f t="array" ref="D620">IF($C620="","",INDEX(SchedZone,$C620,MAP!$B$6))</f>
        <v/>
      </c>
      <c r="E620" s="2" t="str">
        <f t="array" ref="E620">IF($C620="","",INDEX(SchedZone,$C620,MAP!$B$3))</f>
        <v/>
      </c>
      <c r="F620" s="2" t="str">
        <f t="array" ref="F620">IF($C620="","",INDEX(SchedZone,$C620,MAP!$B$5))</f>
        <v/>
      </c>
      <c r="G620" s="2" t="str">
        <f t="array" ref="G620">IF($C620="","",INDEX(SchedZone,$C620,MAP!$B$4))</f>
        <v/>
      </c>
      <c r="H620" s="2" t="str">
        <f t="array" ref="H620">IF($C620="","",INDEX(SchedZone,$C620,MAP!$B$10))</f>
        <v/>
      </c>
      <c r="I620" s="2" t="str">
        <f t="array" ref="I620">IF($H620="","",IF(COUNTIF(Teams,$H620)&gt;0,$H620,IFERROR(INDEX(LISTS!$D$2:$D$12,MATCH($H620,LISTS!$C$2:$C$12,0)),"⚠ "&amp;$H620)))</f>
        <v/>
      </c>
      <c r="J620" s="2" t="str">
        <f t="array" ref="J620">IF($C620="","",INDEX(SchedZone,$C620,MAP!$B$12))</f>
        <v/>
      </c>
      <c r="K620" s="2" t="str">
        <f t="array" ref="K620">IF($J620="","",IF(COUNTIF(Teams,$J620)&gt;0,$J620,IFERROR(INDEX(LISTS!$D$2:$D$12,MATCH($J620,LISTS!$C$2:$C$12,0)),"⚠ "&amp;$J620)))</f>
        <v/>
      </c>
      <c r="L620" s="2" t="str">
        <f t="array" ref="L620">IF($C620="","",IF(INDEX(SchedZone,$C620,MAP!$B$14)="Neutral","N",IF($B620="HOME","H","A")))</f>
        <v/>
      </c>
      <c r="M620" s="2" t="str">
        <f t="array" ref="M620">IF($C620="","",IF(INDEX(SchedZone,$C620,MAP!$B$11)="","",INDEX(SchedZone,$C620,MAP!$B$11)))</f>
        <v/>
      </c>
      <c r="N620" s="2" t="str">
        <f t="array" ref="N620">IF($C620="","",IF(INDEX(SchedZone,$C620,MAP!$B$13)="","",INDEX(SchedZone,$C620,MAP!$B$13)))</f>
        <v/>
      </c>
      <c r="O620" s="2" t="str">
        <f t="array" ref="O620">IF($C620="","",INDEX(SchedZone,$C620,MAP!$B$15))</f>
        <v/>
      </c>
      <c r="P620" s="2" t="str">
        <f>IF($C620="","",IFERROR(MATCH($E620&amp;"|"&amp;$G620&amp;"|"&amp;$I620,StatsKey,0),""))</f>
        <v/>
      </c>
      <c r="Q620" s="2">
        <f t="array" ref="Q620">IF($P620="",0,INDEX(StatsZone,$P620,MAP!$E$9)+INDEX(StatsZone,$P620,MAP!$E$10)+INDEX(StatsZone,$P620,MAP!$E$11))</f>
        <v>0</v>
      </c>
      <c r="R620" s="2">
        <f t="array" ref="R620">IF($P620="",0,INDEX(StatsZone,$P620,MAP!$E$12))</f>
        <v>0</v>
      </c>
      <c r="S620" s="2">
        <f t="array" ref="S620">IF($P620="",0,INDEX(StatsZone,$P620,MAP!$E$13))</f>
        <v>0</v>
      </c>
      <c r="T620" s="2">
        <f t="shared" si="1"/>
        <v>0</v>
      </c>
      <c r="U620" s="2">
        <f t="array" ref="U620">IF($P620="",0,INDEX(StatsZone,$P620,MAP!$E$14)+INDEX(StatsZone,$P620,MAP!$E$15)+INDEX(StatsZone,$P620,MAP!$E$16))</f>
        <v>0</v>
      </c>
      <c r="V620" s="2">
        <f t="shared" si="2"/>
        <v>0</v>
      </c>
      <c r="W620" s="2">
        <f t="shared" si="3"/>
        <v>0</v>
      </c>
      <c r="X620" s="2">
        <f t="shared" si="4"/>
        <v>0</v>
      </c>
      <c r="Y620" s="2">
        <f t="shared" si="5"/>
        <v>0</v>
      </c>
      <c r="Z620" s="2">
        <f t="shared" si="6"/>
        <v>0</v>
      </c>
      <c r="AA620" s="2">
        <f t="shared" si="7"/>
        <v>0</v>
      </c>
      <c r="AB620" s="2">
        <f>IF(OR($M620="",$N620=""),0,MEDIAN(-MarginCap,MarginCap,($M620-$N620)-$AA620*HFA_Base))</f>
        <v>0</v>
      </c>
      <c r="AC620" s="2">
        <f t="array" ref="AC620">IF(OR($P620="",INDEX($P$3:$P$722,(ROW()+IF(MOD(ROW()-3,2)=0,1,-1))-3+1)=""),0,MEDIAN(-MarginCap,MarginCap,($T620-$W620)-$AA620*HFA_Base))</f>
        <v>0</v>
      </c>
      <c r="AD620" s="2">
        <f t="shared" si="8"/>
        <v>0</v>
      </c>
      <c r="AE620" s="2">
        <f>IF(OR($M620="",$N620=""),0,IF(AND(WEpa&gt;0,$AD620=1),(1-WEpa)*$AB620+WEpa*$AC620,$AB620))</f>
        <v>0</v>
      </c>
      <c r="AF620" s="2">
        <f>IF(AND($C620&lt;&gt;"",$E620=CurrentSeason,$F620="REG",ISNUMBER($G620),$G620&lt;CurrentWeek,AND($M620&lt;&gt;"",$N620&lt;&gt;"")),1,0)</f>
        <v>0</v>
      </c>
      <c r="AG620" s="2">
        <f>IF($AF620=0,0,IF($G620&gt;=CurrentWeek-RecencyWin,RecencyMult,1))</f>
        <v>0</v>
      </c>
      <c r="AH620" s="2">
        <f>IF(AND($C620&lt;&gt;"",$E620=CurrentSeason,$F620="REG",ISNUMBER($G620),$G620&lt;CurrentWeek-1,AND($M620&lt;&gt;"",$N620&lt;&gt;"")),1,0)</f>
        <v>0</v>
      </c>
      <c r="AI620" s="2">
        <f>IF($AH620=0,0,IF($G620&gt;=CurrentWeek-1-RecencyWin,RecencyMult,1))</f>
        <v>0</v>
      </c>
      <c r="AJ620" s="2">
        <f>IF($AF620=0,0,IF($G620&gt;=CurrentWeek-RecencyWin,TotRecency,1))</f>
        <v>0</v>
      </c>
      <c r="AK620" s="2">
        <f t="shared" si="9"/>
        <v>0</v>
      </c>
      <c r="AL620" s="2">
        <f t="shared" si="10"/>
        <v>0</v>
      </c>
      <c r="AM620" s="2">
        <f t="array" ref="AM620">IF($K620="",0,IFERROR(INDEX(CALC!$F$2:$F$33,MATCH($K620,CALC!$A$2:$A$33,0)),0))</f>
        <v>0</v>
      </c>
      <c r="AN620" s="2">
        <f t="array" ref="AN620">IF($K620="",0,IFERROR(INDEX(CALC!$I$2:$I$33,MATCH($K620,CALC!$A$2:$A$33,0)),0))</f>
        <v>0</v>
      </c>
      <c r="AO620" s="2">
        <f t="array" ref="AO620">IF($K620="",0,IFERROR(INDEX(CALC!$L$2:$L$33,MATCH($K620,CALC!$A$2:$A$33,0)),0))</f>
        <v>0</v>
      </c>
      <c r="AP620" s="2">
        <f t="array" ref="AP620">IF($K620="",0,IFERROR(INDEX(CALC!$T$2:$T$33,MATCH($K620,CALC!$A$2:$A$33,0)),0))</f>
        <v>0</v>
      </c>
      <c r="AQ620" s="2">
        <f t="array" ref="AQ620">IF($K620="",0,IFERROR(INDEX(CALC!$W$2:$W$33,MATCH($K620,CALC!$A$2:$A$33,0)),0))</f>
        <v>0</v>
      </c>
      <c r="AR620" s="2">
        <f t="array" ref="AR620">IF($K620="",0,IFERROR(INDEX(CALC!$Z$2:$Z$33,MATCH($K620,CALC!$A$2:$A$33,0)),0))</f>
        <v>0</v>
      </c>
      <c r="AS620" s="2">
        <f t="array" ref="AS620">IF($K620="",0,IFERROR(INDEX(CALC!$AJ$2:$AJ$33,MATCH($K620,CALC!$A$2:$A$33,0)),0))</f>
        <v>0</v>
      </c>
      <c r="AT620" s="2">
        <f t="array" ref="AT620">IF($K620="",0,IFERROR(INDEX(CALC!$AI$2:$AI$33,MATCH($K620,CALC!$A$2:$A$33,0)),0))</f>
        <v>0</v>
      </c>
      <c r="AU620" s="2">
        <f t="shared" si="11"/>
        <v>0</v>
      </c>
      <c r="AV620" s="2">
        <f t="shared" si="12"/>
        <v>0</v>
      </c>
    </row>
    <row r="621" ht="15.0" customHeight="1">
      <c r="A621" s="2">
        <v>310.0</v>
      </c>
      <c r="B621" s="2" t="s">
        <v>2365</v>
      </c>
      <c r="C621" s="2" t="str">
        <f>IFERROR(MATCH($A621,SchedSeq,0),"")</f>
        <v/>
      </c>
      <c r="D621" s="2" t="str">
        <f t="array" ref="D621">IF($C621="","",INDEX(SchedZone,$C621,MAP!$B$6))</f>
        <v/>
      </c>
      <c r="E621" s="2" t="str">
        <f t="array" ref="E621">IF($C621="","",INDEX(SchedZone,$C621,MAP!$B$3))</f>
        <v/>
      </c>
      <c r="F621" s="2" t="str">
        <f t="array" ref="F621">IF($C621="","",INDEX(SchedZone,$C621,MAP!$B$5))</f>
        <v/>
      </c>
      <c r="G621" s="2" t="str">
        <f t="array" ref="G621">IF($C621="","",INDEX(SchedZone,$C621,MAP!$B$4))</f>
        <v/>
      </c>
      <c r="H621" s="2" t="str">
        <f t="array" ref="H621">IF($C621="","",INDEX(SchedZone,$C621,MAP!$B$12))</f>
        <v/>
      </c>
      <c r="I621" s="2" t="str">
        <f t="array" ref="I621">IF($H621="","",IF(COUNTIF(Teams,$H621)&gt;0,$H621,IFERROR(INDEX(LISTS!$D$2:$D$12,MATCH($H621,LISTS!$C$2:$C$12,0)),"⚠ "&amp;$H621)))</f>
        <v/>
      </c>
      <c r="J621" s="2" t="str">
        <f t="array" ref="J621">IF($C621="","",INDEX(SchedZone,$C621,MAP!$B$10))</f>
        <v/>
      </c>
      <c r="K621" s="2" t="str">
        <f t="array" ref="K621">IF($J621="","",IF(COUNTIF(Teams,$J621)&gt;0,$J621,IFERROR(INDEX(LISTS!$D$2:$D$12,MATCH($J621,LISTS!$C$2:$C$12,0)),"⚠ "&amp;$J621)))</f>
        <v/>
      </c>
      <c r="L621" s="2" t="str">
        <f t="array" ref="L621">IF($C621="","",IF(INDEX(SchedZone,$C621,MAP!$B$14)="Neutral","N",IF($B621="HOME","H","A")))</f>
        <v/>
      </c>
      <c r="M621" s="2" t="str">
        <f t="array" ref="M621">IF($C621="","",IF(INDEX(SchedZone,$C621,MAP!$B$13)="","",INDEX(SchedZone,$C621,MAP!$B$13)))</f>
        <v/>
      </c>
      <c r="N621" s="2" t="str">
        <f t="array" ref="N621">IF($C621="","",IF(INDEX(SchedZone,$C621,MAP!$B$11)="","",INDEX(SchedZone,$C621,MAP!$B$11)))</f>
        <v/>
      </c>
      <c r="O621" s="2" t="str">
        <f t="array" ref="O621">IF($C621="","",INDEX(SchedZone,$C621,MAP!$B$16))</f>
        <v/>
      </c>
      <c r="P621" s="2" t="str">
        <f>IF($C621="","",IFERROR(MATCH($E621&amp;"|"&amp;$G621&amp;"|"&amp;$I621,StatsKey,0),""))</f>
        <v/>
      </c>
      <c r="Q621" s="2">
        <f t="array" ref="Q621">IF($P621="",0,INDEX(StatsZone,$P621,MAP!$E$9)+INDEX(StatsZone,$P621,MAP!$E$10)+INDEX(StatsZone,$P621,MAP!$E$11))</f>
        <v>0</v>
      </c>
      <c r="R621" s="2">
        <f t="array" ref="R621">IF($P621="",0,INDEX(StatsZone,$P621,MAP!$E$12))</f>
        <v>0</v>
      </c>
      <c r="S621" s="2">
        <f t="array" ref="S621">IF($P621="",0,INDEX(StatsZone,$P621,MAP!$E$13))</f>
        <v>0</v>
      </c>
      <c r="T621" s="2">
        <f t="shared" si="1"/>
        <v>0</v>
      </c>
      <c r="U621" s="2">
        <f t="array" ref="U621">IF($P621="",0,INDEX(StatsZone,$P621,MAP!$E$14)+INDEX(StatsZone,$P621,MAP!$E$15)+INDEX(StatsZone,$P621,MAP!$E$16))</f>
        <v>0</v>
      </c>
      <c r="V621" s="2">
        <f t="shared" si="2"/>
        <v>0</v>
      </c>
      <c r="W621" s="2">
        <f t="shared" si="3"/>
        <v>0</v>
      </c>
      <c r="X621" s="2">
        <f t="shared" si="4"/>
        <v>0</v>
      </c>
      <c r="Y621" s="2">
        <f t="shared" si="5"/>
        <v>0</v>
      </c>
      <c r="Z621" s="2">
        <f t="shared" si="6"/>
        <v>0</v>
      </c>
      <c r="AA621" s="2">
        <f t="shared" si="7"/>
        <v>0</v>
      </c>
      <c r="AB621" s="2">
        <f>IF(OR($M621="",$N621=""),0,MEDIAN(-MarginCap,MarginCap,($M621-$N621)-$AA621*HFA_Base))</f>
        <v>0</v>
      </c>
      <c r="AC621" s="2">
        <f t="array" ref="AC621">IF(OR($P621="",INDEX($P$3:$P$722,(ROW()+IF(MOD(ROW()-3,2)=0,1,-1))-3+1)=""),0,MEDIAN(-MarginCap,MarginCap,($T621-$W621)-$AA621*HFA_Base))</f>
        <v>0</v>
      </c>
      <c r="AD621" s="2">
        <f t="shared" si="8"/>
        <v>0</v>
      </c>
      <c r="AE621" s="2">
        <f>IF(OR($M621="",$N621=""),0,IF(AND(WEpa&gt;0,$AD621=1),(1-WEpa)*$AB621+WEpa*$AC621,$AB621))</f>
        <v>0</v>
      </c>
      <c r="AF621" s="2">
        <f>IF(AND($C621&lt;&gt;"",$E621=CurrentSeason,$F621="REG",ISNUMBER($G621),$G621&lt;CurrentWeek,AND($M621&lt;&gt;"",$N621&lt;&gt;"")),1,0)</f>
        <v>0</v>
      </c>
      <c r="AG621" s="2">
        <f>IF($AF621=0,0,IF($G621&gt;=CurrentWeek-RecencyWin,RecencyMult,1))</f>
        <v>0</v>
      </c>
      <c r="AH621" s="2">
        <f>IF(AND($C621&lt;&gt;"",$E621=CurrentSeason,$F621="REG",ISNUMBER($G621),$G621&lt;CurrentWeek-1,AND($M621&lt;&gt;"",$N621&lt;&gt;"")),1,0)</f>
        <v>0</v>
      </c>
      <c r="AI621" s="2">
        <f>IF($AH621=0,0,IF($G621&gt;=CurrentWeek-1-RecencyWin,RecencyMult,1))</f>
        <v>0</v>
      </c>
      <c r="AJ621" s="2">
        <f>IF($AF621=0,0,IF($G621&gt;=CurrentWeek-RecencyWin,TotRecency,1))</f>
        <v>0</v>
      </c>
      <c r="AK621" s="2">
        <f t="shared" si="9"/>
        <v>0</v>
      </c>
      <c r="AL621" s="2">
        <f t="shared" si="10"/>
        <v>0</v>
      </c>
      <c r="AM621" s="2">
        <f t="array" ref="AM621">IF($K621="",0,IFERROR(INDEX(CALC!$F$2:$F$33,MATCH($K621,CALC!$A$2:$A$33,0)),0))</f>
        <v>0</v>
      </c>
      <c r="AN621" s="2">
        <f t="array" ref="AN621">IF($K621="",0,IFERROR(INDEX(CALC!$I$2:$I$33,MATCH($K621,CALC!$A$2:$A$33,0)),0))</f>
        <v>0</v>
      </c>
      <c r="AO621" s="2">
        <f t="array" ref="AO621">IF($K621="",0,IFERROR(INDEX(CALC!$L$2:$L$33,MATCH($K621,CALC!$A$2:$A$33,0)),0))</f>
        <v>0</v>
      </c>
      <c r="AP621" s="2">
        <f t="array" ref="AP621">IF($K621="",0,IFERROR(INDEX(CALC!$T$2:$T$33,MATCH($K621,CALC!$A$2:$A$33,0)),0))</f>
        <v>0</v>
      </c>
      <c r="AQ621" s="2">
        <f t="array" ref="AQ621">IF($K621="",0,IFERROR(INDEX(CALC!$W$2:$W$33,MATCH($K621,CALC!$A$2:$A$33,0)),0))</f>
        <v>0</v>
      </c>
      <c r="AR621" s="2">
        <f t="array" ref="AR621">IF($K621="",0,IFERROR(INDEX(CALC!$Z$2:$Z$33,MATCH($K621,CALC!$A$2:$A$33,0)),0))</f>
        <v>0</v>
      </c>
      <c r="AS621" s="2">
        <f t="array" ref="AS621">IF($K621="",0,IFERROR(INDEX(CALC!$AJ$2:$AJ$33,MATCH($K621,CALC!$A$2:$A$33,0)),0))</f>
        <v>0</v>
      </c>
      <c r="AT621" s="2">
        <f t="array" ref="AT621">IF($K621="",0,IFERROR(INDEX(CALC!$AI$2:$AI$33,MATCH($K621,CALC!$A$2:$A$33,0)),0))</f>
        <v>0</v>
      </c>
      <c r="AU621" s="2">
        <f t="shared" si="11"/>
        <v>0</v>
      </c>
      <c r="AV621" s="2">
        <f t="shared" si="12"/>
        <v>0</v>
      </c>
    </row>
    <row r="622" ht="15.0" customHeight="1">
      <c r="A622" s="2">
        <v>310.0</v>
      </c>
      <c r="B622" s="2" t="s">
        <v>2366</v>
      </c>
      <c r="C622" s="2" t="str">
        <f>IFERROR(MATCH($A622,SchedSeq,0),"")</f>
        <v/>
      </c>
      <c r="D622" s="2" t="str">
        <f t="array" ref="D622">IF($C622="","",INDEX(SchedZone,$C622,MAP!$B$6))</f>
        <v/>
      </c>
      <c r="E622" s="2" t="str">
        <f t="array" ref="E622">IF($C622="","",INDEX(SchedZone,$C622,MAP!$B$3))</f>
        <v/>
      </c>
      <c r="F622" s="2" t="str">
        <f t="array" ref="F622">IF($C622="","",INDEX(SchedZone,$C622,MAP!$B$5))</f>
        <v/>
      </c>
      <c r="G622" s="2" t="str">
        <f t="array" ref="G622">IF($C622="","",INDEX(SchedZone,$C622,MAP!$B$4))</f>
        <v/>
      </c>
      <c r="H622" s="2" t="str">
        <f t="array" ref="H622">IF($C622="","",INDEX(SchedZone,$C622,MAP!$B$10))</f>
        <v/>
      </c>
      <c r="I622" s="2" t="str">
        <f t="array" ref="I622">IF($H622="","",IF(COUNTIF(Teams,$H622)&gt;0,$H622,IFERROR(INDEX(LISTS!$D$2:$D$12,MATCH($H622,LISTS!$C$2:$C$12,0)),"⚠ "&amp;$H622)))</f>
        <v/>
      </c>
      <c r="J622" s="2" t="str">
        <f t="array" ref="J622">IF($C622="","",INDEX(SchedZone,$C622,MAP!$B$12))</f>
        <v/>
      </c>
      <c r="K622" s="2" t="str">
        <f t="array" ref="K622">IF($J622="","",IF(COUNTIF(Teams,$J622)&gt;0,$J622,IFERROR(INDEX(LISTS!$D$2:$D$12,MATCH($J622,LISTS!$C$2:$C$12,0)),"⚠ "&amp;$J622)))</f>
        <v/>
      </c>
      <c r="L622" s="2" t="str">
        <f t="array" ref="L622">IF($C622="","",IF(INDEX(SchedZone,$C622,MAP!$B$14)="Neutral","N",IF($B622="HOME","H","A")))</f>
        <v/>
      </c>
      <c r="M622" s="2" t="str">
        <f t="array" ref="M622">IF($C622="","",IF(INDEX(SchedZone,$C622,MAP!$B$11)="","",INDEX(SchedZone,$C622,MAP!$B$11)))</f>
        <v/>
      </c>
      <c r="N622" s="2" t="str">
        <f t="array" ref="N622">IF($C622="","",IF(INDEX(SchedZone,$C622,MAP!$B$13)="","",INDEX(SchedZone,$C622,MAP!$B$13)))</f>
        <v/>
      </c>
      <c r="O622" s="2" t="str">
        <f t="array" ref="O622">IF($C622="","",INDEX(SchedZone,$C622,MAP!$B$15))</f>
        <v/>
      </c>
      <c r="P622" s="2" t="str">
        <f>IF($C622="","",IFERROR(MATCH($E622&amp;"|"&amp;$G622&amp;"|"&amp;$I622,StatsKey,0),""))</f>
        <v/>
      </c>
      <c r="Q622" s="2">
        <f t="array" ref="Q622">IF($P622="",0,INDEX(StatsZone,$P622,MAP!$E$9)+INDEX(StatsZone,$P622,MAP!$E$10)+INDEX(StatsZone,$P622,MAP!$E$11))</f>
        <v>0</v>
      </c>
      <c r="R622" s="2">
        <f t="array" ref="R622">IF($P622="",0,INDEX(StatsZone,$P622,MAP!$E$12))</f>
        <v>0</v>
      </c>
      <c r="S622" s="2">
        <f t="array" ref="S622">IF($P622="",0,INDEX(StatsZone,$P622,MAP!$E$13))</f>
        <v>0</v>
      </c>
      <c r="T622" s="2">
        <f t="shared" si="1"/>
        <v>0</v>
      </c>
      <c r="U622" s="2">
        <f t="array" ref="U622">IF($P622="",0,INDEX(StatsZone,$P622,MAP!$E$14)+INDEX(StatsZone,$P622,MAP!$E$15)+INDEX(StatsZone,$P622,MAP!$E$16))</f>
        <v>0</v>
      </c>
      <c r="V622" s="2">
        <f t="shared" si="2"/>
        <v>0</v>
      </c>
      <c r="W622" s="2">
        <f t="shared" si="3"/>
        <v>0</v>
      </c>
      <c r="X622" s="2">
        <f t="shared" si="4"/>
        <v>0</v>
      </c>
      <c r="Y622" s="2">
        <f t="shared" si="5"/>
        <v>0</v>
      </c>
      <c r="Z622" s="2">
        <f t="shared" si="6"/>
        <v>0</v>
      </c>
      <c r="AA622" s="2">
        <f t="shared" si="7"/>
        <v>0</v>
      </c>
      <c r="AB622" s="2">
        <f>IF(OR($M622="",$N622=""),0,MEDIAN(-MarginCap,MarginCap,($M622-$N622)-$AA622*HFA_Base))</f>
        <v>0</v>
      </c>
      <c r="AC622" s="2">
        <f t="array" ref="AC622">IF(OR($P622="",INDEX($P$3:$P$722,(ROW()+IF(MOD(ROW()-3,2)=0,1,-1))-3+1)=""),0,MEDIAN(-MarginCap,MarginCap,($T622-$W622)-$AA622*HFA_Base))</f>
        <v>0</v>
      </c>
      <c r="AD622" s="2">
        <f t="shared" si="8"/>
        <v>0</v>
      </c>
      <c r="AE622" s="2">
        <f>IF(OR($M622="",$N622=""),0,IF(AND(WEpa&gt;0,$AD622=1),(1-WEpa)*$AB622+WEpa*$AC622,$AB622))</f>
        <v>0</v>
      </c>
      <c r="AF622" s="2">
        <f>IF(AND($C622&lt;&gt;"",$E622=CurrentSeason,$F622="REG",ISNUMBER($G622),$G622&lt;CurrentWeek,AND($M622&lt;&gt;"",$N622&lt;&gt;"")),1,0)</f>
        <v>0</v>
      </c>
      <c r="AG622" s="2">
        <f>IF($AF622=0,0,IF($G622&gt;=CurrentWeek-RecencyWin,RecencyMult,1))</f>
        <v>0</v>
      </c>
      <c r="AH622" s="2">
        <f>IF(AND($C622&lt;&gt;"",$E622=CurrentSeason,$F622="REG",ISNUMBER($G622),$G622&lt;CurrentWeek-1,AND($M622&lt;&gt;"",$N622&lt;&gt;"")),1,0)</f>
        <v>0</v>
      </c>
      <c r="AI622" s="2">
        <f>IF($AH622=0,0,IF($G622&gt;=CurrentWeek-1-RecencyWin,RecencyMult,1))</f>
        <v>0</v>
      </c>
      <c r="AJ622" s="2">
        <f>IF($AF622=0,0,IF($G622&gt;=CurrentWeek-RecencyWin,TotRecency,1))</f>
        <v>0</v>
      </c>
      <c r="AK622" s="2">
        <f t="shared" si="9"/>
        <v>0</v>
      </c>
      <c r="AL622" s="2">
        <f t="shared" si="10"/>
        <v>0</v>
      </c>
      <c r="AM622" s="2">
        <f t="array" ref="AM622">IF($K622="",0,IFERROR(INDEX(CALC!$F$2:$F$33,MATCH($K622,CALC!$A$2:$A$33,0)),0))</f>
        <v>0</v>
      </c>
      <c r="AN622" s="2">
        <f t="array" ref="AN622">IF($K622="",0,IFERROR(INDEX(CALC!$I$2:$I$33,MATCH($K622,CALC!$A$2:$A$33,0)),0))</f>
        <v>0</v>
      </c>
      <c r="AO622" s="2">
        <f t="array" ref="AO622">IF($K622="",0,IFERROR(INDEX(CALC!$L$2:$L$33,MATCH($K622,CALC!$A$2:$A$33,0)),0))</f>
        <v>0</v>
      </c>
      <c r="AP622" s="2">
        <f t="array" ref="AP622">IF($K622="",0,IFERROR(INDEX(CALC!$T$2:$T$33,MATCH($K622,CALC!$A$2:$A$33,0)),0))</f>
        <v>0</v>
      </c>
      <c r="AQ622" s="2">
        <f t="array" ref="AQ622">IF($K622="",0,IFERROR(INDEX(CALC!$W$2:$W$33,MATCH($K622,CALC!$A$2:$A$33,0)),0))</f>
        <v>0</v>
      </c>
      <c r="AR622" s="2">
        <f t="array" ref="AR622">IF($K622="",0,IFERROR(INDEX(CALC!$Z$2:$Z$33,MATCH($K622,CALC!$A$2:$A$33,0)),0))</f>
        <v>0</v>
      </c>
      <c r="AS622" s="2">
        <f t="array" ref="AS622">IF($K622="",0,IFERROR(INDEX(CALC!$AJ$2:$AJ$33,MATCH($K622,CALC!$A$2:$A$33,0)),0))</f>
        <v>0</v>
      </c>
      <c r="AT622" s="2">
        <f t="array" ref="AT622">IF($K622="",0,IFERROR(INDEX(CALC!$AI$2:$AI$33,MATCH($K622,CALC!$A$2:$A$33,0)),0))</f>
        <v>0</v>
      </c>
      <c r="AU622" s="2">
        <f t="shared" si="11"/>
        <v>0</v>
      </c>
      <c r="AV622" s="2">
        <f t="shared" si="12"/>
        <v>0</v>
      </c>
    </row>
    <row r="623" ht="15.0" customHeight="1">
      <c r="A623" s="2">
        <v>311.0</v>
      </c>
      <c r="B623" s="2" t="s">
        <v>2365</v>
      </c>
      <c r="C623" s="2" t="str">
        <f>IFERROR(MATCH($A623,SchedSeq,0),"")</f>
        <v/>
      </c>
      <c r="D623" s="2" t="str">
        <f t="array" ref="D623">IF($C623="","",INDEX(SchedZone,$C623,MAP!$B$6))</f>
        <v/>
      </c>
      <c r="E623" s="2" t="str">
        <f t="array" ref="E623">IF($C623="","",INDEX(SchedZone,$C623,MAP!$B$3))</f>
        <v/>
      </c>
      <c r="F623" s="2" t="str">
        <f t="array" ref="F623">IF($C623="","",INDEX(SchedZone,$C623,MAP!$B$5))</f>
        <v/>
      </c>
      <c r="G623" s="2" t="str">
        <f t="array" ref="G623">IF($C623="","",INDEX(SchedZone,$C623,MAP!$B$4))</f>
        <v/>
      </c>
      <c r="H623" s="2" t="str">
        <f t="array" ref="H623">IF($C623="","",INDEX(SchedZone,$C623,MAP!$B$12))</f>
        <v/>
      </c>
      <c r="I623" s="2" t="str">
        <f t="array" ref="I623">IF($H623="","",IF(COUNTIF(Teams,$H623)&gt;0,$H623,IFERROR(INDEX(LISTS!$D$2:$D$12,MATCH($H623,LISTS!$C$2:$C$12,0)),"⚠ "&amp;$H623)))</f>
        <v/>
      </c>
      <c r="J623" s="2" t="str">
        <f t="array" ref="J623">IF($C623="","",INDEX(SchedZone,$C623,MAP!$B$10))</f>
        <v/>
      </c>
      <c r="K623" s="2" t="str">
        <f t="array" ref="K623">IF($J623="","",IF(COUNTIF(Teams,$J623)&gt;0,$J623,IFERROR(INDEX(LISTS!$D$2:$D$12,MATCH($J623,LISTS!$C$2:$C$12,0)),"⚠ "&amp;$J623)))</f>
        <v/>
      </c>
      <c r="L623" s="2" t="str">
        <f t="array" ref="L623">IF($C623="","",IF(INDEX(SchedZone,$C623,MAP!$B$14)="Neutral","N",IF($B623="HOME","H","A")))</f>
        <v/>
      </c>
      <c r="M623" s="2" t="str">
        <f t="array" ref="M623">IF($C623="","",IF(INDEX(SchedZone,$C623,MAP!$B$13)="","",INDEX(SchedZone,$C623,MAP!$B$13)))</f>
        <v/>
      </c>
      <c r="N623" s="2" t="str">
        <f t="array" ref="N623">IF($C623="","",IF(INDEX(SchedZone,$C623,MAP!$B$11)="","",INDEX(SchedZone,$C623,MAP!$B$11)))</f>
        <v/>
      </c>
      <c r="O623" s="2" t="str">
        <f t="array" ref="O623">IF($C623="","",INDEX(SchedZone,$C623,MAP!$B$16))</f>
        <v/>
      </c>
      <c r="P623" s="2" t="str">
        <f>IF($C623="","",IFERROR(MATCH($E623&amp;"|"&amp;$G623&amp;"|"&amp;$I623,StatsKey,0),""))</f>
        <v/>
      </c>
      <c r="Q623" s="2">
        <f t="array" ref="Q623">IF($P623="",0,INDEX(StatsZone,$P623,MAP!$E$9)+INDEX(StatsZone,$P623,MAP!$E$10)+INDEX(StatsZone,$P623,MAP!$E$11))</f>
        <v>0</v>
      </c>
      <c r="R623" s="2">
        <f t="array" ref="R623">IF($P623="",0,INDEX(StatsZone,$P623,MAP!$E$12))</f>
        <v>0</v>
      </c>
      <c r="S623" s="2">
        <f t="array" ref="S623">IF($P623="",0,INDEX(StatsZone,$P623,MAP!$E$13))</f>
        <v>0</v>
      </c>
      <c r="T623" s="2">
        <f t="shared" si="1"/>
        <v>0</v>
      </c>
      <c r="U623" s="2">
        <f t="array" ref="U623">IF($P623="",0,INDEX(StatsZone,$P623,MAP!$E$14)+INDEX(StatsZone,$P623,MAP!$E$15)+INDEX(StatsZone,$P623,MAP!$E$16))</f>
        <v>0</v>
      </c>
      <c r="V623" s="2">
        <f t="shared" si="2"/>
        <v>0</v>
      </c>
      <c r="W623" s="2">
        <f t="shared" si="3"/>
        <v>0</v>
      </c>
      <c r="X623" s="2">
        <f t="shared" si="4"/>
        <v>0</v>
      </c>
      <c r="Y623" s="2">
        <f t="shared" si="5"/>
        <v>0</v>
      </c>
      <c r="Z623" s="2">
        <f t="shared" si="6"/>
        <v>0</v>
      </c>
      <c r="AA623" s="2">
        <f t="shared" si="7"/>
        <v>0</v>
      </c>
      <c r="AB623" s="2">
        <f>IF(OR($M623="",$N623=""),0,MEDIAN(-MarginCap,MarginCap,($M623-$N623)-$AA623*HFA_Base))</f>
        <v>0</v>
      </c>
      <c r="AC623" s="2">
        <f t="array" ref="AC623">IF(OR($P623="",INDEX($P$3:$P$722,(ROW()+IF(MOD(ROW()-3,2)=0,1,-1))-3+1)=""),0,MEDIAN(-MarginCap,MarginCap,($T623-$W623)-$AA623*HFA_Base))</f>
        <v>0</v>
      </c>
      <c r="AD623" s="2">
        <f t="shared" si="8"/>
        <v>0</v>
      </c>
      <c r="AE623" s="2">
        <f>IF(OR($M623="",$N623=""),0,IF(AND(WEpa&gt;0,$AD623=1),(1-WEpa)*$AB623+WEpa*$AC623,$AB623))</f>
        <v>0</v>
      </c>
      <c r="AF623" s="2">
        <f>IF(AND($C623&lt;&gt;"",$E623=CurrentSeason,$F623="REG",ISNUMBER($G623),$G623&lt;CurrentWeek,AND($M623&lt;&gt;"",$N623&lt;&gt;"")),1,0)</f>
        <v>0</v>
      </c>
      <c r="AG623" s="2">
        <f>IF($AF623=0,0,IF($G623&gt;=CurrentWeek-RecencyWin,RecencyMult,1))</f>
        <v>0</v>
      </c>
      <c r="AH623" s="2">
        <f>IF(AND($C623&lt;&gt;"",$E623=CurrentSeason,$F623="REG",ISNUMBER($G623),$G623&lt;CurrentWeek-1,AND($M623&lt;&gt;"",$N623&lt;&gt;"")),1,0)</f>
        <v>0</v>
      </c>
      <c r="AI623" s="2">
        <f>IF($AH623=0,0,IF($G623&gt;=CurrentWeek-1-RecencyWin,RecencyMult,1))</f>
        <v>0</v>
      </c>
      <c r="AJ623" s="2">
        <f>IF($AF623=0,0,IF($G623&gt;=CurrentWeek-RecencyWin,TotRecency,1))</f>
        <v>0</v>
      </c>
      <c r="AK623" s="2">
        <f t="shared" si="9"/>
        <v>0</v>
      </c>
      <c r="AL623" s="2">
        <f t="shared" si="10"/>
        <v>0</v>
      </c>
      <c r="AM623" s="2">
        <f t="array" ref="AM623">IF($K623="",0,IFERROR(INDEX(CALC!$F$2:$F$33,MATCH($K623,CALC!$A$2:$A$33,0)),0))</f>
        <v>0</v>
      </c>
      <c r="AN623" s="2">
        <f t="array" ref="AN623">IF($K623="",0,IFERROR(INDEX(CALC!$I$2:$I$33,MATCH($K623,CALC!$A$2:$A$33,0)),0))</f>
        <v>0</v>
      </c>
      <c r="AO623" s="2">
        <f t="array" ref="AO623">IF($K623="",0,IFERROR(INDEX(CALC!$L$2:$L$33,MATCH($K623,CALC!$A$2:$A$33,0)),0))</f>
        <v>0</v>
      </c>
      <c r="AP623" s="2">
        <f t="array" ref="AP623">IF($K623="",0,IFERROR(INDEX(CALC!$T$2:$T$33,MATCH($K623,CALC!$A$2:$A$33,0)),0))</f>
        <v>0</v>
      </c>
      <c r="AQ623" s="2">
        <f t="array" ref="AQ623">IF($K623="",0,IFERROR(INDEX(CALC!$W$2:$W$33,MATCH($K623,CALC!$A$2:$A$33,0)),0))</f>
        <v>0</v>
      </c>
      <c r="AR623" s="2">
        <f t="array" ref="AR623">IF($K623="",0,IFERROR(INDEX(CALC!$Z$2:$Z$33,MATCH($K623,CALC!$A$2:$A$33,0)),0))</f>
        <v>0</v>
      </c>
      <c r="AS623" s="2">
        <f t="array" ref="AS623">IF($K623="",0,IFERROR(INDEX(CALC!$AJ$2:$AJ$33,MATCH($K623,CALC!$A$2:$A$33,0)),0))</f>
        <v>0</v>
      </c>
      <c r="AT623" s="2">
        <f t="array" ref="AT623">IF($K623="",0,IFERROR(INDEX(CALC!$AI$2:$AI$33,MATCH($K623,CALC!$A$2:$A$33,0)),0))</f>
        <v>0</v>
      </c>
      <c r="AU623" s="2">
        <f t="shared" si="11"/>
        <v>0</v>
      </c>
      <c r="AV623" s="2">
        <f t="shared" si="12"/>
        <v>0</v>
      </c>
    </row>
    <row r="624" ht="15.0" customHeight="1">
      <c r="A624" s="2">
        <v>311.0</v>
      </c>
      <c r="B624" s="2" t="s">
        <v>2366</v>
      </c>
      <c r="C624" s="2" t="str">
        <f>IFERROR(MATCH($A624,SchedSeq,0),"")</f>
        <v/>
      </c>
      <c r="D624" s="2" t="str">
        <f t="array" ref="D624">IF($C624="","",INDEX(SchedZone,$C624,MAP!$B$6))</f>
        <v/>
      </c>
      <c r="E624" s="2" t="str">
        <f t="array" ref="E624">IF($C624="","",INDEX(SchedZone,$C624,MAP!$B$3))</f>
        <v/>
      </c>
      <c r="F624" s="2" t="str">
        <f t="array" ref="F624">IF($C624="","",INDEX(SchedZone,$C624,MAP!$B$5))</f>
        <v/>
      </c>
      <c r="G624" s="2" t="str">
        <f t="array" ref="G624">IF($C624="","",INDEX(SchedZone,$C624,MAP!$B$4))</f>
        <v/>
      </c>
      <c r="H624" s="2" t="str">
        <f t="array" ref="H624">IF($C624="","",INDEX(SchedZone,$C624,MAP!$B$10))</f>
        <v/>
      </c>
      <c r="I624" s="2" t="str">
        <f t="array" ref="I624">IF($H624="","",IF(COUNTIF(Teams,$H624)&gt;0,$H624,IFERROR(INDEX(LISTS!$D$2:$D$12,MATCH($H624,LISTS!$C$2:$C$12,0)),"⚠ "&amp;$H624)))</f>
        <v/>
      </c>
      <c r="J624" s="2" t="str">
        <f t="array" ref="J624">IF($C624="","",INDEX(SchedZone,$C624,MAP!$B$12))</f>
        <v/>
      </c>
      <c r="K624" s="2" t="str">
        <f t="array" ref="K624">IF($J624="","",IF(COUNTIF(Teams,$J624)&gt;0,$J624,IFERROR(INDEX(LISTS!$D$2:$D$12,MATCH($J624,LISTS!$C$2:$C$12,0)),"⚠ "&amp;$J624)))</f>
        <v/>
      </c>
      <c r="L624" s="2" t="str">
        <f t="array" ref="L624">IF($C624="","",IF(INDEX(SchedZone,$C624,MAP!$B$14)="Neutral","N",IF($B624="HOME","H","A")))</f>
        <v/>
      </c>
      <c r="M624" s="2" t="str">
        <f t="array" ref="M624">IF($C624="","",IF(INDEX(SchedZone,$C624,MAP!$B$11)="","",INDEX(SchedZone,$C624,MAP!$B$11)))</f>
        <v/>
      </c>
      <c r="N624" s="2" t="str">
        <f t="array" ref="N624">IF($C624="","",IF(INDEX(SchedZone,$C624,MAP!$B$13)="","",INDEX(SchedZone,$C624,MAP!$B$13)))</f>
        <v/>
      </c>
      <c r="O624" s="2" t="str">
        <f t="array" ref="O624">IF($C624="","",INDEX(SchedZone,$C624,MAP!$B$15))</f>
        <v/>
      </c>
      <c r="P624" s="2" t="str">
        <f>IF($C624="","",IFERROR(MATCH($E624&amp;"|"&amp;$G624&amp;"|"&amp;$I624,StatsKey,0),""))</f>
        <v/>
      </c>
      <c r="Q624" s="2">
        <f t="array" ref="Q624">IF($P624="",0,INDEX(StatsZone,$P624,MAP!$E$9)+INDEX(StatsZone,$P624,MAP!$E$10)+INDEX(StatsZone,$P624,MAP!$E$11))</f>
        <v>0</v>
      </c>
      <c r="R624" s="2">
        <f t="array" ref="R624">IF($P624="",0,INDEX(StatsZone,$P624,MAP!$E$12))</f>
        <v>0</v>
      </c>
      <c r="S624" s="2">
        <f t="array" ref="S624">IF($P624="",0,INDEX(StatsZone,$P624,MAP!$E$13))</f>
        <v>0</v>
      </c>
      <c r="T624" s="2">
        <f t="shared" si="1"/>
        <v>0</v>
      </c>
      <c r="U624" s="2">
        <f t="array" ref="U624">IF($P624="",0,INDEX(StatsZone,$P624,MAP!$E$14)+INDEX(StatsZone,$P624,MAP!$E$15)+INDEX(StatsZone,$P624,MAP!$E$16))</f>
        <v>0</v>
      </c>
      <c r="V624" s="2">
        <f t="shared" si="2"/>
        <v>0</v>
      </c>
      <c r="W624" s="2">
        <f t="shared" si="3"/>
        <v>0</v>
      </c>
      <c r="X624" s="2">
        <f t="shared" si="4"/>
        <v>0</v>
      </c>
      <c r="Y624" s="2">
        <f t="shared" si="5"/>
        <v>0</v>
      </c>
      <c r="Z624" s="2">
        <f t="shared" si="6"/>
        <v>0</v>
      </c>
      <c r="AA624" s="2">
        <f t="shared" si="7"/>
        <v>0</v>
      </c>
      <c r="AB624" s="2">
        <f>IF(OR($M624="",$N624=""),0,MEDIAN(-MarginCap,MarginCap,($M624-$N624)-$AA624*HFA_Base))</f>
        <v>0</v>
      </c>
      <c r="AC624" s="2">
        <f t="array" ref="AC624">IF(OR($P624="",INDEX($P$3:$P$722,(ROW()+IF(MOD(ROW()-3,2)=0,1,-1))-3+1)=""),0,MEDIAN(-MarginCap,MarginCap,($T624-$W624)-$AA624*HFA_Base))</f>
        <v>0</v>
      </c>
      <c r="AD624" s="2">
        <f t="shared" si="8"/>
        <v>0</v>
      </c>
      <c r="AE624" s="2">
        <f>IF(OR($M624="",$N624=""),0,IF(AND(WEpa&gt;0,$AD624=1),(1-WEpa)*$AB624+WEpa*$AC624,$AB624))</f>
        <v>0</v>
      </c>
      <c r="AF624" s="2">
        <f>IF(AND($C624&lt;&gt;"",$E624=CurrentSeason,$F624="REG",ISNUMBER($G624),$G624&lt;CurrentWeek,AND($M624&lt;&gt;"",$N624&lt;&gt;"")),1,0)</f>
        <v>0</v>
      </c>
      <c r="AG624" s="2">
        <f>IF($AF624=0,0,IF($G624&gt;=CurrentWeek-RecencyWin,RecencyMult,1))</f>
        <v>0</v>
      </c>
      <c r="AH624" s="2">
        <f>IF(AND($C624&lt;&gt;"",$E624=CurrentSeason,$F624="REG",ISNUMBER($G624),$G624&lt;CurrentWeek-1,AND($M624&lt;&gt;"",$N624&lt;&gt;"")),1,0)</f>
        <v>0</v>
      </c>
      <c r="AI624" s="2">
        <f>IF($AH624=0,0,IF($G624&gt;=CurrentWeek-1-RecencyWin,RecencyMult,1))</f>
        <v>0</v>
      </c>
      <c r="AJ624" s="2">
        <f>IF($AF624=0,0,IF($G624&gt;=CurrentWeek-RecencyWin,TotRecency,1))</f>
        <v>0</v>
      </c>
      <c r="AK624" s="2">
        <f t="shared" si="9"/>
        <v>0</v>
      </c>
      <c r="AL624" s="2">
        <f t="shared" si="10"/>
        <v>0</v>
      </c>
      <c r="AM624" s="2">
        <f t="array" ref="AM624">IF($K624="",0,IFERROR(INDEX(CALC!$F$2:$F$33,MATCH($K624,CALC!$A$2:$A$33,0)),0))</f>
        <v>0</v>
      </c>
      <c r="AN624" s="2">
        <f t="array" ref="AN624">IF($K624="",0,IFERROR(INDEX(CALC!$I$2:$I$33,MATCH($K624,CALC!$A$2:$A$33,0)),0))</f>
        <v>0</v>
      </c>
      <c r="AO624" s="2">
        <f t="array" ref="AO624">IF($K624="",0,IFERROR(INDEX(CALC!$L$2:$L$33,MATCH($K624,CALC!$A$2:$A$33,0)),0))</f>
        <v>0</v>
      </c>
      <c r="AP624" s="2">
        <f t="array" ref="AP624">IF($K624="",0,IFERROR(INDEX(CALC!$T$2:$T$33,MATCH($K624,CALC!$A$2:$A$33,0)),0))</f>
        <v>0</v>
      </c>
      <c r="AQ624" s="2">
        <f t="array" ref="AQ624">IF($K624="",0,IFERROR(INDEX(CALC!$W$2:$W$33,MATCH($K624,CALC!$A$2:$A$33,0)),0))</f>
        <v>0</v>
      </c>
      <c r="AR624" s="2">
        <f t="array" ref="AR624">IF($K624="",0,IFERROR(INDEX(CALC!$Z$2:$Z$33,MATCH($K624,CALC!$A$2:$A$33,0)),0))</f>
        <v>0</v>
      </c>
      <c r="AS624" s="2">
        <f t="array" ref="AS624">IF($K624="",0,IFERROR(INDEX(CALC!$AJ$2:$AJ$33,MATCH($K624,CALC!$A$2:$A$33,0)),0))</f>
        <v>0</v>
      </c>
      <c r="AT624" s="2">
        <f t="array" ref="AT624">IF($K624="",0,IFERROR(INDEX(CALC!$AI$2:$AI$33,MATCH($K624,CALC!$A$2:$A$33,0)),0))</f>
        <v>0</v>
      </c>
      <c r="AU624" s="2">
        <f t="shared" si="11"/>
        <v>0</v>
      </c>
      <c r="AV624" s="2">
        <f t="shared" si="12"/>
        <v>0</v>
      </c>
    </row>
    <row r="625" ht="15.0" customHeight="1">
      <c r="A625" s="2">
        <v>312.0</v>
      </c>
      <c r="B625" s="2" t="s">
        <v>2365</v>
      </c>
      <c r="C625" s="2" t="str">
        <f>IFERROR(MATCH($A625,SchedSeq,0),"")</f>
        <v/>
      </c>
      <c r="D625" s="2" t="str">
        <f t="array" ref="D625">IF($C625="","",INDEX(SchedZone,$C625,MAP!$B$6))</f>
        <v/>
      </c>
      <c r="E625" s="2" t="str">
        <f t="array" ref="E625">IF($C625="","",INDEX(SchedZone,$C625,MAP!$B$3))</f>
        <v/>
      </c>
      <c r="F625" s="2" t="str">
        <f t="array" ref="F625">IF($C625="","",INDEX(SchedZone,$C625,MAP!$B$5))</f>
        <v/>
      </c>
      <c r="G625" s="2" t="str">
        <f t="array" ref="G625">IF($C625="","",INDEX(SchedZone,$C625,MAP!$B$4))</f>
        <v/>
      </c>
      <c r="H625" s="2" t="str">
        <f t="array" ref="H625">IF($C625="","",INDEX(SchedZone,$C625,MAP!$B$12))</f>
        <v/>
      </c>
      <c r="I625" s="2" t="str">
        <f t="array" ref="I625">IF($H625="","",IF(COUNTIF(Teams,$H625)&gt;0,$H625,IFERROR(INDEX(LISTS!$D$2:$D$12,MATCH($H625,LISTS!$C$2:$C$12,0)),"⚠ "&amp;$H625)))</f>
        <v/>
      </c>
      <c r="J625" s="2" t="str">
        <f t="array" ref="J625">IF($C625="","",INDEX(SchedZone,$C625,MAP!$B$10))</f>
        <v/>
      </c>
      <c r="K625" s="2" t="str">
        <f t="array" ref="K625">IF($J625="","",IF(COUNTIF(Teams,$J625)&gt;0,$J625,IFERROR(INDEX(LISTS!$D$2:$D$12,MATCH($J625,LISTS!$C$2:$C$12,0)),"⚠ "&amp;$J625)))</f>
        <v/>
      </c>
      <c r="L625" s="2" t="str">
        <f t="array" ref="L625">IF($C625="","",IF(INDEX(SchedZone,$C625,MAP!$B$14)="Neutral","N",IF($B625="HOME","H","A")))</f>
        <v/>
      </c>
      <c r="M625" s="2" t="str">
        <f t="array" ref="M625">IF($C625="","",IF(INDEX(SchedZone,$C625,MAP!$B$13)="","",INDEX(SchedZone,$C625,MAP!$B$13)))</f>
        <v/>
      </c>
      <c r="N625" s="2" t="str">
        <f t="array" ref="N625">IF($C625="","",IF(INDEX(SchedZone,$C625,MAP!$B$11)="","",INDEX(SchedZone,$C625,MAP!$B$11)))</f>
        <v/>
      </c>
      <c r="O625" s="2" t="str">
        <f t="array" ref="O625">IF($C625="","",INDEX(SchedZone,$C625,MAP!$B$16))</f>
        <v/>
      </c>
      <c r="P625" s="2" t="str">
        <f>IF($C625="","",IFERROR(MATCH($E625&amp;"|"&amp;$G625&amp;"|"&amp;$I625,StatsKey,0),""))</f>
        <v/>
      </c>
      <c r="Q625" s="2">
        <f t="array" ref="Q625">IF($P625="",0,INDEX(StatsZone,$P625,MAP!$E$9)+INDEX(StatsZone,$P625,MAP!$E$10)+INDEX(StatsZone,$P625,MAP!$E$11))</f>
        <v>0</v>
      </c>
      <c r="R625" s="2">
        <f t="array" ref="R625">IF($P625="",0,INDEX(StatsZone,$P625,MAP!$E$12))</f>
        <v>0</v>
      </c>
      <c r="S625" s="2">
        <f t="array" ref="S625">IF($P625="",0,INDEX(StatsZone,$P625,MAP!$E$13))</f>
        <v>0</v>
      </c>
      <c r="T625" s="2">
        <f t="shared" si="1"/>
        <v>0</v>
      </c>
      <c r="U625" s="2">
        <f t="array" ref="U625">IF($P625="",0,INDEX(StatsZone,$P625,MAP!$E$14)+INDEX(StatsZone,$P625,MAP!$E$15)+INDEX(StatsZone,$P625,MAP!$E$16))</f>
        <v>0</v>
      </c>
      <c r="V625" s="2">
        <f t="shared" si="2"/>
        <v>0</v>
      </c>
      <c r="W625" s="2">
        <f t="shared" si="3"/>
        <v>0</v>
      </c>
      <c r="X625" s="2">
        <f t="shared" si="4"/>
        <v>0</v>
      </c>
      <c r="Y625" s="2">
        <f t="shared" si="5"/>
        <v>0</v>
      </c>
      <c r="Z625" s="2">
        <f t="shared" si="6"/>
        <v>0</v>
      </c>
      <c r="AA625" s="2">
        <f t="shared" si="7"/>
        <v>0</v>
      </c>
      <c r="AB625" s="2">
        <f>IF(OR($M625="",$N625=""),0,MEDIAN(-MarginCap,MarginCap,($M625-$N625)-$AA625*HFA_Base))</f>
        <v>0</v>
      </c>
      <c r="AC625" s="2">
        <f t="array" ref="AC625">IF(OR($P625="",INDEX($P$3:$P$722,(ROW()+IF(MOD(ROW()-3,2)=0,1,-1))-3+1)=""),0,MEDIAN(-MarginCap,MarginCap,($T625-$W625)-$AA625*HFA_Base))</f>
        <v>0</v>
      </c>
      <c r="AD625" s="2">
        <f t="shared" si="8"/>
        <v>0</v>
      </c>
      <c r="AE625" s="2">
        <f>IF(OR($M625="",$N625=""),0,IF(AND(WEpa&gt;0,$AD625=1),(1-WEpa)*$AB625+WEpa*$AC625,$AB625))</f>
        <v>0</v>
      </c>
      <c r="AF625" s="2">
        <f>IF(AND($C625&lt;&gt;"",$E625=CurrentSeason,$F625="REG",ISNUMBER($G625),$G625&lt;CurrentWeek,AND($M625&lt;&gt;"",$N625&lt;&gt;"")),1,0)</f>
        <v>0</v>
      </c>
      <c r="AG625" s="2">
        <f>IF($AF625=0,0,IF($G625&gt;=CurrentWeek-RecencyWin,RecencyMult,1))</f>
        <v>0</v>
      </c>
      <c r="AH625" s="2">
        <f>IF(AND($C625&lt;&gt;"",$E625=CurrentSeason,$F625="REG",ISNUMBER($G625),$G625&lt;CurrentWeek-1,AND($M625&lt;&gt;"",$N625&lt;&gt;"")),1,0)</f>
        <v>0</v>
      </c>
      <c r="AI625" s="2">
        <f>IF($AH625=0,0,IF($G625&gt;=CurrentWeek-1-RecencyWin,RecencyMult,1))</f>
        <v>0</v>
      </c>
      <c r="AJ625" s="2">
        <f>IF($AF625=0,0,IF($G625&gt;=CurrentWeek-RecencyWin,TotRecency,1))</f>
        <v>0</v>
      </c>
      <c r="AK625" s="2">
        <f t="shared" si="9"/>
        <v>0</v>
      </c>
      <c r="AL625" s="2">
        <f t="shared" si="10"/>
        <v>0</v>
      </c>
      <c r="AM625" s="2">
        <f t="array" ref="AM625">IF($K625="",0,IFERROR(INDEX(CALC!$F$2:$F$33,MATCH($K625,CALC!$A$2:$A$33,0)),0))</f>
        <v>0</v>
      </c>
      <c r="AN625" s="2">
        <f t="array" ref="AN625">IF($K625="",0,IFERROR(INDEX(CALC!$I$2:$I$33,MATCH($K625,CALC!$A$2:$A$33,0)),0))</f>
        <v>0</v>
      </c>
      <c r="AO625" s="2">
        <f t="array" ref="AO625">IF($K625="",0,IFERROR(INDEX(CALC!$L$2:$L$33,MATCH($K625,CALC!$A$2:$A$33,0)),0))</f>
        <v>0</v>
      </c>
      <c r="AP625" s="2">
        <f t="array" ref="AP625">IF($K625="",0,IFERROR(INDEX(CALC!$T$2:$T$33,MATCH($K625,CALC!$A$2:$A$33,0)),0))</f>
        <v>0</v>
      </c>
      <c r="AQ625" s="2">
        <f t="array" ref="AQ625">IF($K625="",0,IFERROR(INDEX(CALC!$W$2:$W$33,MATCH($K625,CALC!$A$2:$A$33,0)),0))</f>
        <v>0</v>
      </c>
      <c r="AR625" s="2">
        <f t="array" ref="AR625">IF($K625="",0,IFERROR(INDEX(CALC!$Z$2:$Z$33,MATCH($K625,CALC!$A$2:$A$33,0)),0))</f>
        <v>0</v>
      </c>
      <c r="AS625" s="2">
        <f t="array" ref="AS625">IF($K625="",0,IFERROR(INDEX(CALC!$AJ$2:$AJ$33,MATCH($K625,CALC!$A$2:$A$33,0)),0))</f>
        <v>0</v>
      </c>
      <c r="AT625" s="2">
        <f t="array" ref="AT625">IF($K625="",0,IFERROR(INDEX(CALC!$AI$2:$AI$33,MATCH($K625,CALC!$A$2:$A$33,0)),0))</f>
        <v>0</v>
      </c>
      <c r="AU625" s="2">
        <f t="shared" si="11"/>
        <v>0</v>
      </c>
      <c r="AV625" s="2">
        <f t="shared" si="12"/>
        <v>0</v>
      </c>
    </row>
    <row r="626" ht="15.0" customHeight="1">
      <c r="A626" s="2">
        <v>312.0</v>
      </c>
      <c r="B626" s="2" t="s">
        <v>2366</v>
      </c>
      <c r="C626" s="2" t="str">
        <f>IFERROR(MATCH($A626,SchedSeq,0),"")</f>
        <v/>
      </c>
      <c r="D626" s="2" t="str">
        <f t="array" ref="D626">IF($C626="","",INDEX(SchedZone,$C626,MAP!$B$6))</f>
        <v/>
      </c>
      <c r="E626" s="2" t="str">
        <f t="array" ref="E626">IF($C626="","",INDEX(SchedZone,$C626,MAP!$B$3))</f>
        <v/>
      </c>
      <c r="F626" s="2" t="str">
        <f t="array" ref="F626">IF($C626="","",INDEX(SchedZone,$C626,MAP!$B$5))</f>
        <v/>
      </c>
      <c r="G626" s="2" t="str">
        <f t="array" ref="G626">IF($C626="","",INDEX(SchedZone,$C626,MAP!$B$4))</f>
        <v/>
      </c>
      <c r="H626" s="2" t="str">
        <f t="array" ref="H626">IF($C626="","",INDEX(SchedZone,$C626,MAP!$B$10))</f>
        <v/>
      </c>
      <c r="I626" s="2" t="str">
        <f t="array" ref="I626">IF($H626="","",IF(COUNTIF(Teams,$H626)&gt;0,$H626,IFERROR(INDEX(LISTS!$D$2:$D$12,MATCH($H626,LISTS!$C$2:$C$12,0)),"⚠ "&amp;$H626)))</f>
        <v/>
      </c>
      <c r="J626" s="2" t="str">
        <f t="array" ref="J626">IF($C626="","",INDEX(SchedZone,$C626,MAP!$B$12))</f>
        <v/>
      </c>
      <c r="K626" s="2" t="str">
        <f t="array" ref="K626">IF($J626="","",IF(COUNTIF(Teams,$J626)&gt;0,$J626,IFERROR(INDEX(LISTS!$D$2:$D$12,MATCH($J626,LISTS!$C$2:$C$12,0)),"⚠ "&amp;$J626)))</f>
        <v/>
      </c>
      <c r="L626" s="2" t="str">
        <f t="array" ref="L626">IF($C626="","",IF(INDEX(SchedZone,$C626,MAP!$B$14)="Neutral","N",IF($B626="HOME","H","A")))</f>
        <v/>
      </c>
      <c r="M626" s="2" t="str">
        <f t="array" ref="M626">IF($C626="","",IF(INDEX(SchedZone,$C626,MAP!$B$11)="","",INDEX(SchedZone,$C626,MAP!$B$11)))</f>
        <v/>
      </c>
      <c r="N626" s="2" t="str">
        <f t="array" ref="N626">IF($C626="","",IF(INDEX(SchedZone,$C626,MAP!$B$13)="","",INDEX(SchedZone,$C626,MAP!$B$13)))</f>
        <v/>
      </c>
      <c r="O626" s="2" t="str">
        <f t="array" ref="O626">IF($C626="","",INDEX(SchedZone,$C626,MAP!$B$15))</f>
        <v/>
      </c>
      <c r="P626" s="2" t="str">
        <f>IF($C626="","",IFERROR(MATCH($E626&amp;"|"&amp;$G626&amp;"|"&amp;$I626,StatsKey,0),""))</f>
        <v/>
      </c>
      <c r="Q626" s="2">
        <f t="array" ref="Q626">IF($P626="",0,INDEX(StatsZone,$P626,MAP!$E$9)+INDEX(StatsZone,$P626,MAP!$E$10)+INDEX(StatsZone,$P626,MAP!$E$11))</f>
        <v>0</v>
      </c>
      <c r="R626" s="2">
        <f t="array" ref="R626">IF($P626="",0,INDEX(StatsZone,$P626,MAP!$E$12))</f>
        <v>0</v>
      </c>
      <c r="S626" s="2">
        <f t="array" ref="S626">IF($P626="",0,INDEX(StatsZone,$P626,MAP!$E$13))</f>
        <v>0</v>
      </c>
      <c r="T626" s="2">
        <f t="shared" si="1"/>
        <v>0</v>
      </c>
      <c r="U626" s="2">
        <f t="array" ref="U626">IF($P626="",0,INDEX(StatsZone,$P626,MAP!$E$14)+INDEX(StatsZone,$P626,MAP!$E$15)+INDEX(StatsZone,$P626,MAP!$E$16))</f>
        <v>0</v>
      </c>
      <c r="V626" s="2">
        <f t="shared" si="2"/>
        <v>0</v>
      </c>
      <c r="W626" s="2">
        <f t="shared" si="3"/>
        <v>0</v>
      </c>
      <c r="X626" s="2">
        <f t="shared" si="4"/>
        <v>0</v>
      </c>
      <c r="Y626" s="2">
        <f t="shared" si="5"/>
        <v>0</v>
      </c>
      <c r="Z626" s="2">
        <f t="shared" si="6"/>
        <v>0</v>
      </c>
      <c r="AA626" s="2">
        <f t="shared" si="7"/>
        <v>0</v>
      </c>
      <c r="AB626" s="2">
        <f>IF(OR($M626="",$N626=""),0,MEDIAN(-MarginCap,MarginCap,($M626-$N626)-$AA626*HFA_Base))</f>
        <v>0</v>
      </c>
      <c r="AC626" s="2">
        <f t="array" ref="AC626">IF(OR($P626="",INDEX($P$3:$P$722,(ROW()+IF(MOD(ROW()-3,2)=0,1,-1))-3+1)=""),0,MEDIAN(-MarginCap,MarginCap,($T626-$W626)-$AA626*HFA_Base))</f>
        <v>0</v>
      </c>
      <c r="AD626" s="2">
        <f t="shared" si="8"/>
        <v>0</v>
      </c>
      <c r="AE626" s="2">
        <f>IF(OR($M626="",$N626=""),0,IF(AND(WEpa&gt;0,$AD626=1),(1-WEpa)*$AB626+WEpa*$AC626,$AB626))</f>
        <v>0</v>
      </c>
      <c r="AF626" s="2">
        <f>IF(AND($C626&lt;&gt;"",$E626=CurrentSeason,$F626="REG",ISNUMBER($G626),$G626&lt;CurrentWeek,AND($M626&lt;&gt;"",$N626&lt;&gt;"")),1,0)</f>
        <v>0</v>
      </c>
      <c r="AG626" s="2">
        <f>IF($AF626=0,0,IF($G626&gt;=CurrentWeek-RecencyWin,RecencyMult,1))</f>
        <v>0</v>
      </c>
      <c r="AH626" s="2">
        <f>IF(AND($C626&lt;&gt;"",$E626=CurrentSeason,$F626="REG",ISNUMBER($G626),$G626&lt;CurrentWeek-1,AND($M626&lt;&gt;"",$N626&lt;&gt;"")),1,0)</f>
        <v>0</v>
      </c>
      <c r="AI626" s="2">
        <f>IF($AH626=0,0,IF($G626&gt;=CurrentWeek-1-RecencyWin,RecencyMult,1))</f>
        <v>0</v>
      </c>
      <c r="AJ626" s="2">
        <f>IF($AF626=0,0,IF($G626&gt;=CurrentWeek-RecencyWin,TotRecency,1))</f>
        <v>0</v>
      </c>
      <c r="AK626" s="2">
        <f t="shared" si="9"/>
        <v>0</v>
      </c>
      <c r="AL626" s="2">
        <f t="shared" si="10"/>
        <v>0</v>
      </c>
      <c r="AM626" s="2">
        <f t="array" ref="AM626">IF($K626="",0,IFERROR(INDEX(CALC!$F$2:$F$33,MATCH($K626,CALC!$A$2:$A$33,0)),0))</f>
        <v>0</v>
      </c>
      <c r="AN626" s="2">
        <f t="array" ref="AN626">IF($K626="",0,IFERROR(INDEX(CALC!$I$2:$I$33,MATCH($K626,CALC!$A$2:$A$33,0)),0))</f>
        <v>0</v>
      </c>
      <c r="AO626" s="2">
        <f t="array" ref="AO626">IF($K626="",0,IFERROR(INDEX(CALC!$L$2:$L$33,MATCH($K626,CALC!$A$2:$A$33,0)),0))</f>
        <v>0</v>
      </c>
      <c r="AP626" s="2">
        <f t="array" ref="AP626">IF($K626="",0,IFERROR(INDEX(CALC!$T$2:$T$33,MATCH($K626,CALC!$A$2:$A$33,0)),0))</f>
        <v>0</v>
      </c>
      <c r="AQ626" s="2">
        <f t="array" ref="AQ626">IF($K626="",0,IFERROR(INDEX(CALC!$W$2:$W$33,MATCH($K626,CALC!$A$2:$A$33,0)),0))</f>
        <v>0</v>
      </c>
      <c r="AR626" s="2">
        <f t="array" ref="AR626">IF($K626="",0,IFERROR(INDEX(CALC!$Z$2:$Z$33,MATCH($K626,CALC!$A$2:$A$33,0)),0))</f>
        <v>0</v>
      </c>
      <c r="AS626" s="2">
        <f t="array" ref="AS626">IF($K626="",0,IFERROR(INDEX(CALC!$AJ$2:$AJ$33,MATCH($K626,CALC!$A$2:$A$33,0)),0))</f>
        <v>0</v>
      </c>
      <c r="AT626" s="2">
        <f t="array" ref="AT626">IF($K626="",0,IFERROR(INDEX(CALC!$AI$2:$AI$33,MATCH($K626,CALC!$A$2:$A$33,0)),0))</f>
        <v>0</v>
      </c>
      <c r="AU626" s="2">
        <f t="shared" si="11"/>
        <v>0</v>
      </c>
      <c r="AV626" s="2">
        <f t="shared" si="12"/>
        <v>0</v>
      </c>
    </row>
    <row r="627" ht="15.0" customHeight="1">
      <c r="A627" s="2">
        <v>313.0</v>
      </c>
      <c r="B627" s="2" t="s">
        <v>2365</v>
      </c>
      <c r="C627" s="2" t="str">
        <f>IFERROR(MATCH($A627,SchedSeq,0),"")</f>
        <v/>
      </c>
      <c r="D627" s="2" t="str">
        <f t="array" ref="D627">IF($C627="","",INDEX(SchedZone,$C627,MAP!$B$6))</f>
        <v/>
      </c>
      <c r="E627" s="2" t="str">
        <f t="array" ref="E627">IF($C627="","",INDEX(SchedZone,$C627,MAP!$B$3))</f>
        <v/>
      </c>
      <c r="F627" s="2" t="str">
        <f t="array" ref="F627">IF($C627="","",INDEX(SchedZone,$C627,MAP!$B$5))</f>
        <v/>
      </c>
      <c r="G627" s="2" t="str">
        <f t="array" ref="G627">IF($C627="","",INDEX(SchedZone,$C627,MAP!$B$4))</f>
        <v/>
      </c>
      <c r="H627" s="2" t="str">
        <f t="array" ref="H627">IF($C627="","",INDEX(SchedZone,$C627,MAP!$B$12))</f>
        <v/>
      </c>
      <c r="I627" s="2" t="str">
        <f t="array" ref="I627">IF($H627="","",IF(COUNTIF(Teams,$H627)&gt;0,$H627,IFERROR(INDEX(LISTS!$D$2:$D$12,MATCH($H627,LISTS!$C$2:$C$12,0)),"⚠ "&amp;$H627)))</f>
        <v/>
      </c>
      <c r="J627" s="2" t="str">
        <f t="array" ref="J627">IF($C627="","",INDEX(SchedZone,$C627,MAP!$B$10))</f>
        <v/>
      </c>
      <c r="K627" s="2" t="str">
        <f t="array" ref="K627">IF($J627="","",IF(COUNTIF(Teams,$J627)&gt;0,$J627,IFERROR(INDEX(LISTS!$D$2:$D$12,MATCH($J627,LISTS!$C$2:$C$12,0)),"⚠ "&amp;$J627)))</f>
        <v/>
      </c>
      <c r="L627" s="2" t="str">
        <f t="array" ref="L627">IF($C627="","",IF(INDEX(SchedZone,$C627,MAP!$B$14)="Neutral","N",IF($B627="HOME","H","A")))</f>
        <v/>
      </c>
      <c r="M627" s="2" t="str">
        <f t="array" ref="M627">IF($C627="","",IF(INDEX(SchedZone,$C627,MAP!$B$13)="","",INDEX(SchedZone,$C627,MAP!$B$13)))</f>
        <v/>
      </c>
      <c r="N627" s="2" t="str">
        <f t="array" ref="N627">IF($C627="","",IF(INDEX(SchedZone,$C627,MAP!$B$11)="","",INDEX(SchedZone,$C627,MAP!$B$11)))</f>
        <v/>
      </c>
      <c r="O627" s="2" t="str">
        <f t="array" ref="O627">IF($C627="","",INDEX(SchedZone,$C627,MAP!$B$16))</f>
        <v/>
      </c>
      <c r="P627" s="2" t="str">
        <f>IF($C627="","",IFERROR(MATCH($E627&amp;"|"&amp;$G627&amp;"|"&amp;$I627,StatsKey,0),""))</f>
        <v/>
      </c>
      <c r="Q627" s="2">
        <f t="array" ref="Q627">IF($P627="",0,INDEX(StatsZone,$P627,MAP!$E$9)+INDEX(StatsZone,$P627,MAP!$E$10)+INDEX(StatsZone,$P627,MAP!$E$11))</f>
        <v>0</v>
      </c>
      <c r="R627" s="2">
        <f t="array" ref="R627">IF($P627="",0,INDEX(StatsZone,$P627,MAP!$E$12))</f>
        <v>0</v>
      </c>
      <c r="S627" s="2">
        <f t="array" ref="S627">IF($P627="",0,INDEX(StatsZone,$P627,MAP!$E$13))</f>
        <v>0</v>
      </c>
      <c r="T627" s="2">
        <f t="shared" si="1"/>
        <v>0</v>
      </c>
      <c r="U627" s="2">
        <f t="array" ref="U627">IF($P627="",0,INDEX(StatsZone,$P627,MAP!$E$14)+INDEX(StatsZone,$P627,MAP!$E$15)+INDEX(StatsZone,$P627,MAP!$E$16))</f>
        <v>0</v>
      </c>
      <c r="V627" s="2">
        <f t="shared" si="2"/>
        <v>0</v>
      </c>
      <c r="W627" s="2">
        <f t="shared" si="3"/>
        <v>0</v>
      </c>
      <c r="X627" s="2">
        <f t="shared" si="4"/>
        <v>0</v>
      </c>
      <c r="Y627" s="2">
        <f t="shared" si="5"/>
        <v>0</v>
      </c>
      <c r="Z627" s="2">
        <f t="shared" si="6"/>
        <v>0</v>
      </c>
      <c r="AA627" s="2">
        <f t="shared" si="7"/>
        <v>0</v>
      </c>
      <c r="AB627" s="2">
        <f>IF(OR($M627="",$N627=""),0,MEDIAN(-MarginCap,MarginCap,($M627-$N627)-$AA627*HFA_Base))</f>
        <v>0</v>
      </c>
      <c r="AC627" s="2">
        <f t="array" ref="AC627">IF(OR($P627="",INDEX($P$3:$P$722,(ROW()+IF(MOD(ROW()-3,2)=0,1,-1))-3+1)=""),0,MEDIAN(-MarginCap,MarginCap,($T627-$W627)-$AA627*HFA_Base))</f>
        <v>0</v>
      </c>
      <c r="AD627" s="2">
        <f t="shared" si="8"/>
        <v>0</v>
      </c>
      <c r="AE627" s="2">
        <f>IF(OR($M627="",$N627=""),0,IF(AND(WEpa&gt;0,$AD627=1),(1-WEpa)*$AB627+WEpa*$AC627,$AB627))</f>
        <v>0</v>
      </c>
      <c r="AF627" s="2">
        <f>IF(AND($C627&lt;&gt;"",$E627=CurrentSeason,$F627="REG",ISNUMBER($G627),$G627&lt;CurrentWeek,AND($M627&lt;&gt;"",$N627&lt;&gt;"")),1,0)</f>
        <v>0</v>
      </c>
      <c r="AG627" s="2">
        <f>IF($AF627=0,0,IF($G627&gt;=CurrentWeek-RecencyWin,RecencyMult,1))</f>
        <v>0</v>
      </c>
      <c r="AH627" s="2">
        <f>IF(AND($C627&lt;&gt;"",$E627=CurrentSeason,$F627="REG",ISNUMBER($G627),$G627&lt;CurrentWeek-1,AND($M627&lt;&gt;"",$N627&lt;&gt;"")),1,0)</f>
        <v>0</v>
      </c>
      <c r="AI627" s="2">
        <f>IF($AH627=0,0,IF($G627&gt;=CurrentWeek-1-RecencyWin,RecencyMult,1))</f>
        <v>0</v>
      </c>
      <c r="AJ627" s="2">
        <f>IF($AF627=0,0,IF($G627&gt;=CurrentWeek-RecencyWin,TotRecency,1))</f>
        <v>0</v>
      </c>
      <c r="AK627" s="2">
        <f t="shared" si="9"/>
        <v>0</v>
      </c>
      <c r="AL627" s="2">
        <f t="shared" si="10"/>
        <v>0</v>
      </c>
      <c r="AM627" s="2">
        <f t="array" ref="AM627">IF($K627="",0,IFERROR(INDEX(CALC!$F$2:$F$33,MATCH($K627,CALC!$A$2:$A$33,0)),0))</f>
        <v>0</v>
      </c>
      <c r="AN627" s="2">
        <f t="array" ref="AN627">IF($K627="",0,IFERROR(INDEX(CALC!$I$2:$I$33,MATCH($K627,CALC!$A$2:$A$33,0)),0))</f>
        <v>0</v>
      </c>
      <c r="AO627" s="2">
        <f t="array" ref="AO627">IF($K627="",0,IFERROR(INDEX(CALC!$L$2:$L$33,MATCH($K627,CALC!$A$2:$A$33,0)),0))</f>
        <v>0</v>
      </c>
      <c r="AP627" s="2">
        <f t="array" ref="AP627">IF($K627="",0,IFERROR(INDEX(CALC!$T$2:$T$33,MATCH($K627,CALC!$A$2:$A$33,0)),0))</f>
        <v>0</v>
      </c>
      <c r="AQ627" s="2">
        <f t="array" ref="AQ627">IF($K627="",0,IFERROR(INDEX(CALC!$W$2:$W$33,MATCH($K627,CALC!$A$2:$A$33,0)),0))</f>
        <v>0</v>
      </c>
      <c r="AR627" s="2">
        <f t="array" ref="AR627">IF($K627="",0,IFERROR(INDEX(CALC!$Z$2:$Z$33,MATCH($K627,CALC!$A$2:$A$33,0)),0))</f>
        <v>0</v>
      </c>
      <c r="AS627" s="2">
        <f t="array" ref="AS627">IF($K627="",0,IFERROR(INDEX(CALC!$AJ$2:$AJ$33,MATCH($K627,CALC!$A$2:$A$33,0)),0))</f>
        <v>0</v>
      </c>
      <c r="AT627" s="2">
        <f t="array" ref="AT627">IF($K627="",0,IFERROR(INDEX(CALC!$AI$2:$AI$33,MATCH($K627,CALC!$A$2:$A$33,0)),0))</f>
        <v>0</v>
      </c>
      <c r="AU627" s="2">
        <f t="shared" si="11"/>
        <v>0</v>
      </c>
      <c r="AV627" s="2">
        <f t="shared" si="12"/>
        <v>0</v>
      </c>
    </row>
    <row r="628" ht="15.0" customHeight="1">
      <c r="A628" s="2">
        <v>313.0</v>
      </c>
      <c r="B628" s="2" t="s">
        <v>2366</v>
      </c>
      <c r="C628" s="2" t="str">
        <f>IFERROR(MATCH($A628,SchedSeq,0),"")</f>
        <v/>
      </c>
      <c r="D628" s="2" t="str">
        <f t="array" ref="D628">IF($C628="","",INDEX(SchedZone,$C628,MAP!$B$6))</f>
        <v/>
      </c>
      <c r="E628" s="2" t="str">
        <f t="array" ref="E628">IF($C628="","",INDEX(SchedZone,$C628,MAP!$B$3))</f>
        <v/>
      </c>
      <c r="F628" s="2" t="str">
        <f t="array" ref="F628">IF($C628="","",INDEX(SchedZone,$C628,MAP!$B$5))</f>
        <v/>
      </c>
      <c r="G628" s="2" t="str">
        <f t="array" ref="G628">IF($C628="","",INDEX(SchedZone,$C628,MAP!$B$4))</f>
        <v/>
      </c>
      <c r="H628" s="2" t="str">
        <f t="array" ref="H628">IF($C628="","",INDEX(SchedZone,$C628,MAP!$B$10))</f>
        <v/>
      </c>
      <c r="I628" s="2" t="str">
        <f t="array" ref="I628">IF($H628="","",IF(COUNTIF(Teams,$H628)&gt;0,$H628,IFERROR(INDEX(LISTS!$D$2:$D$12,MATCH($H628,LISTS!$C$2:$C$12,0)),"⚠ "&amp;$H628)))</f>
        <v/>
      </c>
      <c r="J628" s="2" t="str">
        <f t="array" ref="J628">IF($C628="","",INDEX(SchedZone,$C628,MAP!$B$12))</f>
        <v/>
      </c>
      <c r="K628" s="2" t="str">
        <f t="array" ref="K628">IF($J628="","",IF(COUNTIF(Teams,$J628)&gt;0,$J628,IFERROR(INDEX(LISTS!$D$2:$D$12,MATCH($J628,LISTS!$C$2:$C$12,0)),"⚠ "&amp;$J628)))</f>
        <v/>
      </c>
      <c r="L628" s="2" t="str">
        <f t="array" ref="L628">IF($C628="","",IF(INDEX(SchedZone,$C628,MAP!$B$14)="Neutral","N",IF($B628="HOME","H","A")))</f>
        <v/>
      </c>
      <c r="M628" s="2" t="str">
        <f t="array" ref="M628">IF($C628="","",IF(INDEX(SchedZone,$C628,MAP!$B$11)="","",INDEX(SchedZone,$C628,MAP!$B$11)))</f>
        <v/>
      </c>
      <c r="N628" s="2" t="str">
        <f t="array" ref="N628">IF($C628="","",IF(INDEX(SchedZone,$C628,MAP!$B$13)="","",INDEX(SchedZone,$C628,MAP!$B$13)))</f>
        <v/>
      </c>
      <c r="O628" s="2" t="str">
        <f t="array" ref="O628">IF($C628="","",INDEX(SchedZone,$C628,MAP!$B$15))</f>
        <v/>
      </c>
      <c r="P628" s="2" t="str">
        <f>IF($C628="","",IFERROR(MATCH($E628&amp;"|"&amp;$G628&amp;"|"&amp;$I628,StatsKey,0),""))</f>
        <v/>
      </c>
      <c r="Q628" s="2">
        <f t="array" ref="Q628">IF($P628="",0,INDEX(StatsZone,$P628,MAP!$E$9)+INDEX(StatsZone,$P628,MAP!$E$10)+INDEX(StatsZone,$P628,MAP!$E$11))</f>
        <v>0</v>
      </c>
      <c r="R628" s="2">
        <f t="array" ref="R628">IF($P628="",0,INDEX(StatsZone,$P628,MAP!$E$12))</f>
        <v>0</v>
      </c>
      <c r="S628" s="2">
        <f t="array" ref="S628">IF($P628="",0,INDEX(StatsZone,$P628,MAP!$E$13))</f>
        <v>0</v>
      </c>
      <c r="T628" s="2">
        <f t="shared" si="1"/>
        <v>0</v>
      </c>
      <c r="U628" s="2">
        <f t="array" ref="U628">IF($P628="",0,INDEX(StatsZone,$P628,MAP!$E$14)+INDEX(StatsZone,$P628,MAP!$E$15)+INDEX(StatsZone,$P628,MAP!$E$16))</f>
        <v>0</v>
      </c>
      <c r="V628" s="2">
        <f t="shared" si="2"/>
        <v>0</v>
      </c>
      <c r="W628" s="2">
        <f t="shared" si="3"/>
        <v>0</v>
      </c>
      <c r="X628" s="2">
        <f t="shared" si="4"/>
        <v>0</v>
      </c>
      <c r="Y628" s="2">
        <f t="shared" si="5"/>
        <v>0</v>
      </c>
      <c r="Z628" s="2">
        <f t="shared" si="6"/>
        <v>0</v>
      </c>
      <c r="AA628" s="2">
        <f t="shared" si="7"/>
        <v>0</v>
      </c>
      <c r="AB628" s="2">
        <f>IF(OR($M628="",$N628=""),0,MEDIAN(-MarginCap,MarginCap,($M628-$N628)-$AA628*HFA_Base))</f>
        <v>0</v>
      </c>
      <c r="AC628" s="2">
        <f t="array" ref="AC628">IF(OR($P628="",INDEX($P$3:$P$722,(ROW()+IF(MOD(ROW()-3,2)=0,1,-1))-3+1)=""),0,MEDIAN(-MarginCap,MarginCap,($T628-$W628)-$AA628*HFA_Base))</f>
        <v>0</v>
      </c>
      <c r="AD628" s="2">
        <f t="shared" si="8"/>
        <v>0</v>
      </c>
      <c r="AE628" s="2">
        <f>IF(OR($M628="",$N628=""),0,IF(AND(WEpa&gt;0,$AD628=1),(1-WEpa)*$AB628+WEpa*$AC628,$AB628))</f>
        <v>0</v>
      </c>
      <c r="AF628" s="2">
        <f>IF(AND($C628&lt;&gt;"",$E628=CurrentSeason,$F628="REG",ISNUMBER($G628),$G628&lt;CurrentWeek,AND($M628&lt;&gt;"",$N628&lt;&gt;"")),1,0)</f>
        <v>0</v>
      </c>
      <c r="AG628" s="2">
        <f>IF($AF628=0,0,IF($G628&gt;=CurrentWeek-RecencyWin,RecencyMult,1))</f>
        <v>0</v>
      </c>
      <c r="AH628" s="2">
        <f>IF(AND($C628&lt;&gt;"",$E628=CurrentSeason,$F628="REG",ISNUMBER($G628),$G628&lt;CurrentWeek-1,AND($M628&lt;&gt;"",$N628&lt;&gt;"")),1,0)</f>
        <v>0</v>
      </c>
      <c r="AI628" s="2">
        <f>IF($AH628=0,0,IF($G628&gt;=CurrentWeek-1-RecencyWin,RecencyMult,1))</f>
        <v>0</v>
      </c>
      <c r="AJ628" s="2">
        <f>IF($AF628=0,0,IF($G628&gt;=CurrentWeek-RecencyWin,TotRecency,1))</f>
        <v>0</v>
      </c>
      <c r="AK628" s="2">
        <f t="shared" si="9"/>
        <v>0</v>
      </c>
      <c r="AL628" s="2">
        <f t="shared" si="10"/>
        <v>0</v>
      </c>
      <c r="AM628" s="2">
        <f t="array" ref="AM628">IF($K628="",0,IFERROR(INDEX(CALC!$F$2:$F$33,MATCH($K628,CALC!$A$2:$A$33,0)),0))</f>
        <v>0</v>
      </c>
      <c r="AN628" s="2">
        <f t="array" ref="AN628">IF($K628="",0,IFERROR(INDEX(CALC!$I$2:$I$33,MATCH($K628,CALC!$A$2:$A$33,0)),0))</f>
        <v>0</v>
      </c>
      <c r="AO628" s="2">
        <f t="array" ref="AO628">IF($K628="",0,IFERROR(INDEX(CALC!$L$2:$L$33,MATCH($K628,CALC!$A$2:$A$33,0)),0))</f>
        <v>0</v>
      </c>
      <c r="AP628" s="2">
        <f t="array" ref="AP628">IF($K628="",0,IFERROR(INDEX(CALC!$T$2:$T$33,MATCH($K628,CALC!$A$2:$A$33,0)),0))</f>
        <v>0</v>
      </c>
      <c r="AQ628" s="2">
        <f t="array" ref="AQ628">IF($K628="",0,IFERROR(INDEX(CALC!$W$2:$W$33,MATCH($K628,CALC!$A$2:$A$33,0)),0))</f>
        <v>0</v>
      </c>
      <c r="AR628" s="2">
        <f t="array" ref="AR628">IF($K628="",0,IFERROR(INDEX(CALC!$Z$2:$Z$33,MATCH($K628,CALC!$A$2:$A$33,0)),0))</f>
        <v>0</v>
      </c>
      <c r="AS628" s="2">
        <f t="array" ref="AS628">IF($K628="",0,IFERROR(INDEX(CALC!$AJ$2:$AJ$33,MATCH($K628,CALC!$A$2:$A$33,0)),0))</f>
        <v>0</v>
      </c>
      <c r="AT628" s="2">
        <f t="array" ref="AT628">IF($K628="",0,IFERROR(INDEX(CALC!$AI$2:$AI$33,MATCH($K628,CALC!$A$2:$A$33,0)),0))</f>
        <v>0</v>
      </c>
      <c r="AU628" s="2">
        <f t="shared" si="11"/>
        <v>0</v>
      </c>
      <c r="AV628" s="2">
        <f t="shared" si="12"/>
        <v>0</v>
      </c>
    </row>
    <row r="629" ht="15.0" customHeight="1">
      <c r="A629" s="2">
        <v>314.0</v>
      </c>
      <c r="B629" s="2" t="s">
        <v>2365</v>
      </c>
      <c r="C629" s="2" t="str">
        <f>IFERROR(MATCH($A629,SchedSeq,0),"")</f>
        <v/>
      </c>
      <c r="D629" s="2" t="str">
        <f t="array" ref="D629">IF($C629="","",INDEX(SchedZone,$C629,MAP!$B$6))</f>
        <v/>
      </c>
      <c r="E629" s="2" t="str">
        <f t="array" ref="E629">IF($C629="","",INDEX(SchedZone,$C629,MAP!$B$3))</f>
        <v/>
      </c>
      <c r="F629" s="2" t="str">
        <f t="array" ref="F629">IF($C629="","",INDEX(SchedZone,$C629,MAP!$B$5))</f>
        <v/>
      </c>
      <c r="G629" s="2" t="str">
        <f t="array" ref="G629">IF($C629="","",INDEX(SchedZone,$C629,MAP!$B$4))</f>
        <v/>
      </c>
      <c r="H629" s="2" t="str">
        <f t="array" ref="H629">IF($C629="","",INDEX(SchedZone,$C629,MAP!$B$12))</f>
        <v/>
      </c>
      <c r="I629" s="2" t="str">
        <f t="array" ref="I629">IF($H629="","",IF(COUNTIF(Teams,$H629)&gt;0,$H629,IFERROR(INDEX(LISTS!$D$2:$D$12,MATCH($H629,LISTS!$C$2:$C$12,0)),"⚠ "&amp;$H629)))</f>
        <v/>
      </c>
      <c r="J629" s="2" t="str">
        <f t="array" ref="J629">IF($C629="","",INDEX(SchedZone,$C629,MAP!$B$10))</f>
        <v/>
      </c>
      <c r="K629" s="2" t="str">
        <f t="array" ref="K629">IF($J629="","",IF(COUNTIF(Teams,$J629)&gt;0,$J629,IFERROR(INDEX(LISTS!$D$2:$D$12,MATCH($J629,LISTS!$C$2:$C$12,0)),"⚠ "&amp;$J629)))</f>
        <v/>
      </c>
      <c r="L629" s="2" t="str">
        <f t="array" ref="L629">IF($C629="","",IF(INDEX(SchedZone,$C629,MAP!$B$14)="Neutral","N",IF($B629="HOME","H","A")))</f>
        <v/>
      </c>
      <c r="M629" s="2" t="str">
        <f t="array" ref="M629">IF($C629="","",IF(INDEX(SchedZone,$C629,MAP!$B$13)="","",INDEX(SchedZone,$C629,MAP!$B$13)))</f>
        <v/>
      </c>
      <c r="N629" s="2" t="str">
        <f t="array" ref="N629">IF($C629="","",IF(INDEX(SchedZone,$C629,MAP!$B$11)="","",INDEX(SchedZone,$C629,MAP!$B$11)))</f>
        <v/>
      </c>
      <c r="O629" s="2" t="str">
        <f t="array" ref="O629">IF($C629="","",INDEX(SchedZone,$C629,MAP!$B$16))</f>
        <v/>
      </c>
      <c r="P629" s="2" t="str">
        <f>IF($C629="","",IFERROR(MATCH($E629&amp;"|"&amp;$G629&amp;"|"&amp;$I629,StatsKey,0),""))</f>
        <v/>
      </c>
      <c r="Q629" s="2">
        <f t="array" ref="Q629">IF($P629="",0,INDEX(StatsZone,$P629,MAP!$E$9)+INDEX(StatsZone,$P629,MAP!$E$10)+INDEX(StatsZone,$P629,MAP!$E$11))</f>
        <v>0</v>
      </c>
      <c r="R629" s="2">
        <f t="array" ref="R629">IF($P629="",0,INDEX(StatsZone,$P629,MAP!$E$12))</f>
        <v>0</v>
      </c>
      <c r="S629" s="2">
        <f t="array" ref="S629">IF($P629="",0,INDEX(StatsZone,$P629,MAP!$E$13))</f>
        <v>0</v>
      </c>
      <c r="T629" s="2">
        <f t="shared" si="1"/>
        <v>0</v>
      </c>
      <c r="U629" s="2">
        <f t="array" ref="U629">IF($P629="",0,INDEX(StatsZone,$P629,MAP!$E$14)+INDEX(StatsZone,$P629,MAP!$E$15)+INDEX(StatsZone,$P629,MAP!$E$16))</f>
        <v>0</v>
      </c>
      <c r="V629" s="2">
        <f t="shared" si="2"/>
        <v>0</v>
      </c>
      <c r="W629" s="2">
        <f t="shared" si="3"/>
        <v>0</v>
      </c>
      <c r="X629" s="2">
        <f t="shared" si="4"/>
        <v>0</v>
      </c>
      <c r="Y629" s="2">
        <f t="shared" si="5"/>
        <v>0</v>
      </c>
      <c r="Z629" s="2">
        <f t="shared" si="6"/>
        <v>0</v>
      </c>
      <c r="AA629" s="2">
        <f t="shared" si="7"/>
        <v>0</v>
      </c>
      <c r="AB629" s="2">
        <f>IF(OR($M629="",$N629=""),0,MEDIAN(-MarginCap,MarginCap,($M629-$N629)-$AA629*HFA_Base))</f>
        <v>0</v>
      </c>
      <c r="AC629" s="2">
        <f t="array" ref="AC629">IF(OR($P629="",INDEX($P$3:$P$722,(ROW()+IF(MOD(ROW()-3,2)=0,1,-1))-3+1)=""),0,MEDIAN(-MarginCap,MarginCap,($T629-$W629)-$AA629*HFA_Base))</f>
        <v>0</v>
      </c>
      <c r="AD629" s="2">
        <f t="shared" si="8"/>
        <v>0</v>
      </c>
      <c r="AE629" s="2">
        <f>IF(OR($M629="",$N629=""),0,IF(AND(WEpa&gt;0,$AD629=1),(1-WEpa)*$AB629+WEpa*$AC629,$AB629))</f>
        <v>0</v>
      </c>
      <c r="AF629" s="2">
        <f>IF(AND($C629&lt;&gt;"",$E629=CurrentSeason,$F629="REG",ISNUMBER($G629),$G629&lt;CurrentWeek,AND($M629&lt;&gt;"",$N629&lt;&gt;"")),1,0)</f>
        <v>0</v>
      </c>
      <c r="AG629" s="2">
        <f>IF($AF629=0,0,IF($G629&gt;=CurrentWeek-RecencyWin,RecencyMult,1))</f>
        <v>0</v>
      </c>
      <c r="AH629" s="2">
        <f>IF(AND($C629&lt;&gt;"",$E629=CurrentSeason,$F629="REG",ISNUMBER($G629),$G629&lt;CurrentWeek-1,AND($M629&lt;&gt;"",$N629&lt;&gt;"")),1,0)</f>
        <v>0</v>
      </c>
      <c r="AI629" s="2">
        <f>IF($AH629=0,0,IF($G629&gt;=CurrentWeek-1-RecencyWin,RecencyMult,1))</f>
        <v>0</v>
      </c>
      <c r="AJ629" s="2">
        <f>IF($AF629=0,0,IF($G629&gt;=CurrentWeek-RecencyWin,TotRecency,1))</f>
        <v>0</v>
      </c>
      <c r="AK629" s="2">
        <f t="shared" si="9"/>
        <v>0</v>
      </c>
      <c r="AL629" s="2">
        <f t="shared" si="10"/>
        <v>0</v>
      </c>
      <c r="AM629" s="2">
        <f t="array" ref="AM629">IF($K629="",0,IFERROR(INDEX(CALC!$F$2:$F$33,MATCH($K629,CALC!$A$2:$A$33,0)),0))</f>
        <v>0</v>
      </c>
      <c r="AN629" s="2">
        <f t="array" ref="AN629">IF($K629="",0,IFERROR(INDEX(CALC!$I$2:$I$33,MATCH($K629,CALC!$A$2:$A$33,0)),0))</f>
        <v>0</v>
      </c>
      <c r="AO629" s="2">
        <f t="array" ref="AO629">IF($K629="",0,IFERROR(INDEX(CALC!$L$2:$L$33,MATCH($K629,CALC!$A$2:$A$33,0)),0))</f>
        <v>0</v>
      </c>
      <c r="AP629" s="2">
        <f t="array" ref="AP629">IF($K629="",0,IFERROR(INDEX(CALC!$T$2:$T$33,MATCH($K629,CALC!$A$2:$A$33,0)),0))</f>
        <v>0</v>
      </c>
      <c r="AQ629" s="2">
        <f t="array" ref="AQ629">IF($K629="",0,IFERROR(INDEX(CALC!$W$2:$W$33,MATCH($K629,CALC!$A$2:$A$33,0)),0))</f>
        <v>0</v>
      </c>
      <c r="AR629" s="2">
        <f t="array" ref="AR629">IF($K629="",0,IFERROR(INDEX(CALC!$Z$2:$Z$33,MATCH($K629,CALC!$A$2:$A$33,0)),0))</f>
        <v>0</v>
      </c>
      <c r="AS629" s="2">
        <f t="array" ref="AS629">IF($K629="",0,IFERROR(INDEX(CALC!$AJ$2:$AJ$33,MATCH($K629,CALC!$A$2:$A$33,0)),0))</f>
        <v>0</v>
      </c>
      <c r="AT629" s="2">
        <f t="array" ref="AT629">IF($K629="",0,IFERROR(INDEX(CALC!$AI$2:$AI$33,MATCH($K629,CALC!$A$2:$A$33,0)),0))</f>
        <v>0</v>
      </c>
      <c r="AU629" s="2">
        <f t="shared" si="11"/>
        <v>0</v>
      </c>
      <c r="AV629" s="2">
        <f t="shared" si="12"/>
        <v>0</v>
      </c>
    </row>
    <row r="630" ht="15.0" customHeight="1">
      <c r="A630" s="2">
        <v>314.0</v>
      </c>
      <c r="B630" s="2" t="s">
        <v>2366</v>
      </c>
      <c r="C630" s="2" t="str">
        <f>IFERROR(MATCH($A630,SchedSeq,0),"")</f>
        <v/>
      </c>
      <c r="D630" s="2" t="str">
        <f t="array" ref="D630">IF($C630="","",INDEX(SchedZone,$C630,MAP!$B$6))</f>
        <v/>
      </c>
      <c r="E630" s="2" t="str">
        <f t="array" ref="E630">IF($C630="","",INDEX(SchedZone,$C630,MAP!$B$3))</f>
        <v/>
      </c>
      <c r="F630" s="2" t="str">
        <f t="array" ref="F630">IF($C630="","",INDEX(SchedZone,$C630,MAP!$B$5))</f>
        <v/>
      </c>
      <c r="G630" s="2" t="str">
        <f t="array" ref="G630">IF($C630="","",INDEX(SchedZone,$C630,MAP!$B$4))</f>
        <v/>
      </c>
      <c r="H630" s="2" t="str">
        <f t="array" ref="H630">IF($C630="","",INDEX(SchedZone,$C630,MAP!$B$10))</f>
        <v/>
      </c>
      <c r="I630" s="2" t="str">
        <f t="array" ref="I630">IF($H630="","",IF(COUNTIF(Teams,$H630)&gt;0,$H630,IFERROR(INDEX(LISTS!$D$2:$D$12,MATCH($H630,LISTS!$C$2:$C$12,0)),"⚠ "&amp;$H630)))</f>
        <v/>
      </c>
      <c r="J630" s="2" t="str">
        <f t="array" ref="J630">IF($C630="","",INDEX(SchedZone,$C630,MAP!$B$12))</f>
        <v/>
      </c>
      <c r="K630" s="2" t="str">
        <f t="array" ref="K630">IF($J630="","",IF(COUNTIF(Teams,$J630)&gt;0,$J630,IFERROR(INDEX(LISTS!$D$2:$D$12,MATCH($J630,LISTS!$C$2:$C$12,0)),"⚠ "&amp;$J630)))</f>
        <v/>
      </c>
      <c r="L630" s="2" t="str">
        <f t="array" ref="L630">IF($C630="","",IF(INDEX(SchedZone,$C630,MAP!$B$14)="Neutral","N",IF($B630="HOME","H","A")))</f>
        <v/>
      </c>
      <c r="M630" s="2" t="str">
        <f t="array" ref="M630">IF($C630="","",IF(INDEX(SchedZone,$C630,MAP!$B$11)="","",INDEX(SchedZone,$C630,MAP!$B$11)))</f>
        <v/>
      </c>
      <c r="N630" s="2" t="str">
        <f t="array" ref="N630">IF($C630="","",IF(INDEX(SchedZone,$C630,MAP!$B$13)="","",INDEX(SchedZone,$C630,MAP!$B$13)))</f>
        <v/>
      </c>
      <c r="O630" s="2" t="str">
        <f t="array" ref="O630">IF($C630="","",INDEX(SchedZone,$C630,MAP!$B$15))</f>
        <v/>
      </c>
      <c r="P630" s="2" t="str">
        <f>IF($C630="","",IFERROR(MATCH($E630&amp;"|"&amp;$G630&amp;"|"&amp;$I630,StatsKey,0),""))</f>
        <v/>
      </c>
      <c r="Q630" s="2">
        <f t="array" ref="Q630">IF($P630="",0,INDEX(StatsZone,$P630,MAP!$E$9)+INDEX(StatsZone,$P630,MAP!$E$10)+INDEX(StatsZone,$P630,MAP!$E$11))</f>
        <v>0</v>
      </c>
      <c r="R630" s="2">
        <f t="array" ref="R630">IF($P630="",0,INDEX(StatsZone,$P630,MAP!$E$12))</f>
        <v>0</v>
      </c>
      <c r="S630" s="2">
        <f t="array" ref="S630">IF($P630="",0,INDEX(StatsZone,$P630,MAP!$E$13))</f>
        <v>0</v>
      </c>
      <c r="T630" s="2">
        <f t="shared" si="1"/>
        <v>0</v>
      </c>
      <c r="U630" s="2">
        <f t="array" ref="U630">IF($P630="",0,INDEX(StatsZone,$P630,MAP!$E$14)+INDEX(StatsZone,$P630,MAP!$E$15)+INDEX(StatsZone,$P630,MAP!$E$16))</f>
        <v>0</v>
      </c>
      <c r="V630" s="2">
        <f t="shared" si="2"/>
        <v>0</v>
      </c>
      <c r="W630" s="2">
        <f t="shared" si="3"/>
        <v>0</v>
      </c>
      <c r="X630" s="2">
        <f t="shared" si="4"/>
        <v>0</v>
      </c>
      <c r="Y630" s="2">
        <f t="shared" si="5"/>
        <v>0</v>
      </c>
      <c r="Z630" s="2">
        <f t="shared" si="6"/>
        <v>0</v>
      </c>
      <c r="AA630" s="2">
        <f t="shared" si="7"/>
        <v>0</v>
      </c>
      <c r="AB630" s="2">
        <f>IF(OR($M630="",$N630=""),0,MEDIAN(-MarginCap,MarginCap,($M630-$N630)-$AA630*HFA_Base))</f>
        <v>0</v>
      </c>
      <c r="AC630" s="2">
        <f t="array" ref="AC630">IF(OR($P630="",INDEX($P$3:$P$722,(ROW()+IF(MOD(ROW()-3,2)=0,1,-1))-3+1)=""),0,MEDIAN(-MarginCap,MarginCap,($T630-$W630)-$AA630*HFA_Base))</f>
        <v>0</v>
      </c>
      <c r="AD630" s="2">
        <f t="shared" si="8"/>
        <v>0</v>
      </c>
      <c r="AE630" s="2">
        <f>IF(OR($M630="",$N630=""),0,IF(AND(WEpa&gt;0,$AD630=1),(1-WEpa)*$AB630+WEpa*$AC630,$AB630))</f>
        <v>0</v>
      </c>
      <c r="AF630" s="2">
        <f>IF(AND($C630&lt;&gt;"",$E630=CurrentSeason,$F630="REG",ISNUMBER($G630),$G630&lt;CurrentWeek,AND($M630&lt;&gt;"",$N630&lt;&gt;"")),1,0)</f>
        <v>0</v>
      </c>
      <c r="AG630" s="2">
        <f>IF($AF630=0,0,IF($G630&gt;=CurrentWeek-RecencyWin,RecencyMult,1))</f>
        <v>0</v>
      </c>
      <c r="AH630" s="2">
        <f>IF(AND($C630&lt;&gt;"",$E630=CurrentSeason,$F630="REG",ISNUMBER($G630),$G630&lt;CurrentWeek-1,AND($M630&lt;&gt;"",$N630&lt;&gt;"")),1,0)</f>
        <v>0</v>
      </c>
      <c r="AI630" s="2">
        <f>IF($AH630=0,0,IF($G630&gt;=CurrentWeek-1-RecencyWin,RecencyMult,1))</f>
        <v>0</v>
      </c>
      <c r="AJ630" s="2">
        <f>IF($AF630=0,0,IF($G630&gt;=CurrentWeek-RecencyWin,TotRecency,1))</f>
        <v>0</v>
      </c>
      <c r="AK630" s="2">
        <f t="shared" si="9"/>
        <v>0</v>
      </c>
      <c r="AL630" s="2">
        <f t="shared" si="10"/>
        <v>0</v>
      </c>
      <c r="AM630" s="2">
        <f t="array" ref="AM630">IF($K630="",0,IFERROR(INDEX(CALC!$F$2:$F$33,MATCH($K630,CALC!$A$2:$A$33,0)),0))</f>
        <v>0</v>
      </c>
      <c r="AN630" s="2">
        <f t="array" ref="AN630">IF($K630="",0,IFERROR(INDEX(CALC!$I$2:$I$33,MATCH($K630,CALC!$A$2:$A$33,0)),0))</f>
        <v>0</v>
      </c>
      <c r="AO630" s="2">
        <f t="array" ref="AO630">IF($K630="",0,IFERROR(INDEX(CALC!$L$2:$L$33,MATCH($K630,CALC!$A$2:$A$33,0)),0))</f>
        <v>0</v>
      </c>
      <c r="AP630" s="2">
        <f t="array" ref="AP630">IF($K630="",0,IFERROR(INDEX(CALC!$T$2:$T$33,MATCH($K630,CALC!$A$2:$A$33,0)),0))</f>
        <v>0</v>
      </c>
      <c r="AQ630" s="2">
        <f t="array" ref="AQ630">IF($K630="",0,IFERROR(INDEX(CALC!$W$2:$W$33,MATCH($K630,CALC!$A$2:$A$33,0)),0))</f>
        <v>0</v>
      </c>
      <c r="AR630" s="2">
        <f t="array" ref="AR630">IF($K630="",0,IFERROR(INDEX(CALC!$Z$2:$Z$33,MATCH($K630,CALC!$A$2:$A$33,0)),0))</f>
        <v>0</v>
      </c>
      <c r="AS630" s="2">
        <f t="array" ref="AS630">IF($K630="",0,IFERROR(INDEX(CALC!$AJ$2:$AJ$33,MATCH($K630,CALC!$A$2:$A$33,0)),0))</f>
        <v>0</v>
      </c>
      <c r="AT630" s="2">
        <f t="array" ref="AT630">IF($K630="",0,IFERROR(INDEX(CALC!$AI$2:$AI$33,MATCH($K630,CALC!$A$2:$A$33,0)),0))</f>
        <v>0</v>
      </c>
      <c r="AU630" s="2">
        <f t="shared" si="11"/>
        <v>0</v>
      </c>
      <c r="AV630" s="2">
        <f t="shared" si="12"/>
        <v>0</v>
      </c>
    </row>
    <row r="631" ht="15.0" customHeight="1">
      <c r="A631" s="2">
        <v>315.0</v>
      </c>
      <c r="B631" s="2" t="s">
        <v>2365</v>
      </c>
      <c r="C631" s="2" t="str">
        <f>IFERROR(MATCH($A631,SchedSeq,0),"")</f>
        <v/>
      </c>
      <c r="D631" s="2" t="str">
        <f t="array" ref="D631">IF($C631="","",INDEX(SchedZone,$C631,MAP!$B$6))</f>
        <v/>
      </c>
      <c r="E631" s="2" t="str">
        <f t="array" ref="E631">IF($C631="","",INDEX(SchedZone,$C631,MAP!$B$3))</f>
        <v/>
      </c>
      <c r="F631" s="2" t="str">
        <f t="array" ref="F631">IF($C631="","",INDEX(SchedZone,$C631,MAP!$B$5))</f>
        <v/>
      </c>
      <c r="G631" s="2" t="str">
        <f t="array" ref="G631">IF($C631="","",INDEX(SchedZone,$C631,MAP!$B$4))</f>
        <v/>
      </c>
      <c r="H631" s="2" t="str">
        <f t="array" ref="H631">IF($C631="","",INDEX(SchedZone,$C631,MAP!$B$12))</f>
        <v/>
      </c>
      <c r="I631" s="2" t="str">
        <f t="array" ref="I631">IF($H631="","",IF(COUNTIF(Teams,$H631)&gt;0,$H631,IFERROR(INDEX(LISTS!$D$2:$D$12,MATCH($H631,LISTS!$C$2:$C$12,0)),"⚠ "&amp;$H631)))</f>
        <v/>
      </c>
      <c r="J631" s="2" t="str">
        <f t="array" ref="J631">IF($C631="","",INDEX(SchedZone,$C631,MAP!$B$10))</f>
        <v/>
      </c>
      <c r="K631" s="2" t="str">
        <f t="array" ref="K631">IF($J631="","",IF(COUNTIF(Teams,$J631)&gt;0,$J631,IFERROR(INDEX(LISTS!$D$2:$D$12,MATCH($J631,LISTS!$C$2:$C$12,0)),"⚠ "&amp;$J631)))</f>
        <v/>
      </c>
      <c r="L631" s="2" t="str">
        <f t="array" ref="L631">IF($C631="","",IF(INDEX(SchedZone,$C631,MAP!$B$14)="Neutral","N",IF($B631="HOME","H","A")))</f>
        <v/>
      </c>
      <c r="M631" s="2" t="str">
        <f t="array" ref="M631">IF($C631="","",IF(INDEX(SchedZone,$C631,MAP!$B$13)="","",INDEX(SchedZone,$C631,MAP!$B$13)))</f>
        <v/>
      </c>
      <c r="N631" s="2" t="str">
        <f t="array" ref="N631">IF($C631="","",IF(INDEX(SchedZone,$C631,MAP!$B$11)="","",INDEX(SchedZone,$C631,MAP!$B$11)))</f>
        <v/>
      </c>
      <c r="O631" s="2" t="str">
        <f t="array" ref="O631">IF($C631="","",INDEX(SchedZone,$C631,MAP!$B$16))</f>
        <v/>
      </c>
      <c r="P631" s="2" t="str">
        <f>IF($C631="","",IFERROR(MATCH($E631&amp;"|"&amp;$G631&amp;"|"&amp;$I631,StatsKey,0),""))</f>
        <v/>
      </c>
      <c r="Q631" s="2">
        <f t="array" ref="Q631">IF($P631="",0,INDEX(StatsZone,$P631,MAP!$E$9)+INDEX(StatsZone,$P631,MAP!$E$10)+INDEX(StatsZone,$P631,MAP!$E$11))</f>
        <v>0</v>
      </c>
      <c r="R631" s="2">
        <f t="array" ref="R631">IF($P631="",0,INDEX(StatsZone,$P631,MAP!$E$12))</f>
        <v>0</v>
      </c>
      <c r="S631" s="2">
        <f t="array" ref="S631">IF($P631="",0,INDEX(StatsZone,$P631,MAP!$E$13))</f>
        <v>0</v>
      </c>
      <c r="T631" s="2">
        <f t="shared" si="1"/>
        <v>0</v>
      </c>
      <c r="U631" s="2">
        <f t="array" ref="U631">IF($P631="",0,INDEX(StatsZone,$P631,MAP!$E$14)+INDEX(StatsZone,$P631,MAP!$E$15)+INDEX(StatsZone,$P631,MAP!$E$16))</f>
        <v>0</v>
      </c>
      <c r="V631" s="2">
        <f t="shared" si="2"/>
        <v>0</v>
      </c>
      <c r="W631" s="2">
        <f t="shared" si="3"/>
        <v>0</v>
      </c>
      <c r="X631" s="2">
        <f t="shared" si="4"/>
        <v>0</v>
      </c>
      <c r="Y631" s="2">
        <f t="shared" si="5"/>
        <v>0</v>
      </c>
      <c r="Z631" s="2">
        <f t="shared" si="6"/>
        <v>0</v>
      </c>
      <c r="AA631" s="2">
        <f t="shared" si="7"/>
        <v>0</v>
      </c>
      <c r="AB631" s="2">
        <f>IF(OR($M631="",$N631=""),0,MEDIAN(-MarginCap,MarginCap,($M631-$N631)-$AA631*HFA_Base))</f>
        <v>0</v>
      </c>
      <c r="AC631" s="2">
        <f t="array" ref="AC631">IF(OR($P631="",INDEX($P$3:$P$722,(ROW()+IF(MOD(ROW()-3,2)=0,1,-1))-3+1)=""),0,MEDIAN(-MarginCap,MarginCap,($T631-$W631)-$AA631*HFA_Base))</f>
        <v>0</v>
      </c>
      <c r="AD631" s="2">
        <f t="shared" si="8"/>
        <v>0</v>
      </c>
      <c r="AE631" s="2">
        <f>IF(OR($M631="",$N631=""),0,IF(AND(WEpa&gt;0,$AD631=1),(1-WEpa)*$AB631+WEpa*$AC631,$AB631))</f>
        <v>0</v>
      </c>
      <c r="AF631" s="2">
        <f>IF(AND($C631&lt;&gt;"",$E631=CurrentSeason,$F631="REG",ISNUMBER($G631),$G631&lt;CurrentWeek,AND($M631&lt;&gt;"",$N631&lt;&gt;"")),1,0)</f>
        <v>0</v>
      </c>
      <c r="AG631" s="2">
        <f>IF($AF631=0,0,IF($G631&gt;=CurrentWeek-RecencyWin,RecencyMult,1))</f>
        <v>0</v>
      </c>
      <c r="AH631" s="2">
        <f>IF(AND($C631&lt;&gt;"",$E631=CurrentSeason,$F631="REG",ISNUMBER($G631),$G631&lt;CurrentWeek-1,AND($M631&lt;&gt;"",$N631&lt;&gt;"")),1,0)</f>
        <v>0</v>
      </c>
      <c r="AI631" s="2">
        <f>IF($AH631=0,0,IF($G631&gt;=CurrentWeek-1-RecencyWin,RecencyMult,1))</f>
        <v>0</v>
      </c>
      <c r="AJ631" s="2">
        <f>IF($AF631=0,0,IF($G631&gt;=CurrentWeek-RecencyWin,TotRecency,1))</f>
        <v>0</v>
      </c>
      <c r="AK631" s="2">
        <f t="shared" si="9"/>
        <v>0</v>
      </c>
      <c r="AL631" s="2">
        <f t="shared" si="10"/>
        <v>0</v>
      </c>
      <c r="AM631" s="2">
        <f t="array" ref="AM631">IF($K631="",0,IFERROR(INDEX(CALC!$F$2:$F$33,MATCH($K631,CALC!$A$2:$A$33,0)),0))</f>
        <v>0</v>
      </c>
      <c r="AN631" s="2">
        <f t="array" ref="AN631">IF($K631="",0,IFERROR(INDEX(CALC!$I$2:$I$33,MATCH($K631,CALC!$A$2:$A$33,0)),0))</f>
        <v>0</v>
      </c>
      <c r="AO631" s="2">
        <f t="array" ref="AO631">IF($K631="",0,IFERROR(INDEX(CALC!$L$2:$L$33,MATCH($K631,CALC!$A$2:$A$33,0)),0))</f>
        <v>0</v>
      </c>
      <c r="AP631" s="2">
        <f t="array" ref="AP631">IF($K631="",0,IFERROR(INDEX(CALC!$T$2:$T$33,MATCH($K631,CALC!$A$2:$A$33,0)),0))</f>
        <v>0</v>
      </c>
      <c r="AQ631" s="2">
        <f t="array" ref="AQ631">IF($K631="",0,IFERROR(INDEX(CALC!$W$2:$W$33,MATCH($K631,CALC!$A$2:$A$33,0)),0))</f>
        <v>0</v>
      </c>
      <c r="AR631" s="2">
        <f t="array" ref="AR631">IF($K631="",0,IFERROR(INDEX(CALC!$Z$2:$Z$33,MATCH($K631,CALC!$A$2:$A$33,0)),0))</f>
        <v>0</v>
      </c>
      <c r="AS631" s="2">
        <f t="array" ref="AS631">IF($K631="",0,IFERROR(INDEX(CALC!$AJ$2:$AJ$33,MATCH($K631,CALC!$A$2:$A$33,0)),0))</f>
        <v>0</v>
      </c>
      <c r="AT631" s="2">
        <f t="array" ref="AT631">IF($K631="",0,IFERROR(INDEX(CALC!$AI$2:$AI$33,MATCH($K631,CALC!$A$2:$A$33,0)),0))</f>
        <v>0</v>
      </c>
      <c r="AU631" s="2">
        <f t="shared" si="11"/>
        <v>0</v>
      </c>
      <c r="AV631" s="2">
        <f t="shared" si="12"/>
        <v>0</v>
      </c>
    </row>
    <row r="632" ht="15.0" customHeight="1">
      <c r="A632" s="2">
        <v>315.0</v>
      </c>
      <c r="B632" s="2" t="s">
        <v>2366</v>
      </c>
      <c r="C632" s="2" t="str">
        <f>IFERROR(MATCH($A632,SchedSeq,0),"")</f>
        <v/>
      </c>
      <c r="D632" s="2" t="str">
        <f t="array" ref="D632">IF($C632="","",INDEX(SchedZone,$C632,MAP!$B$6))</f>
        <v/>
      </c>
      <c r="E632" s="2" t="str">
        <f t="array" ref="E632">IF($C632="","",INDEX(SchedZone,$C632,MAP!$B$3))</f>
        <v/>
      </c>
      <c r="F632" s="2" t="str">
        <f t="array" ref="F632">IF($C632="","",INDEX(SchedZone,$C632,MAP!$B$5))</f>
        <v/>
      </c>
      <c r="G632" s="2" t="str">
        <f t="array" ref="G632">IF($C632="","",INDEX(SchedZone,$C632,MAP!$B$4))</f>
        <v/>
      </c>
      <c r="H632" s="2" t="str">
        <f t="array" ref="H632">IF($C632="","",INDEX(SchedZone,$C632,MAP!$B$10))</f>
        <v/>
      </c>
      <c r="I632" s="2" t="str">
        <f t="array" ref="I632">IF($H632="","",IF(COUNTIF(Teams,$H632)&gt;0,$H632,IFERROR(INDEX(LISTS!$D$2:$D$12,MATCH($H632,LISTS!$C$2:$C$12,0)),"⚠ "&amp;$H632)))</f>
        <v/>
      </c>
      <c r="J632" s="2" t="str">
        <f t="array" ref="J632">IF($C632="","",INDEX(SchedZone,$C632,MAP!$B$12))</f>
        <v/>
      </c>
      <c r="K632" s="2" t="str">
        <f t="array" ref="K632">IF($J632="","",IF(COUNTIF(Teams,$J632)&gt;0,$J632,IFERROR(INDEX(LISTS!$D$2:$D$12,MATCH($J632,LISTS!$C$2:$C$12,0)),"⚠ "&amp;$J632)))</f>
        <v/>
      </c>
      <c r="L632" s="2" t="str">
        <f t="array" ref="L632">IF($C632="","",IF(INDEX(SchedZone,$C632,MAP!$B$14)="Neutral","N",IF($B632="HOME","H","A")))</f>
        <v/>
      </c>
      <c r="M632" s="2" t="str">
        <f t="array" ref="M632">IF($C632="","",IF(INDEX(SchedZone,$C632,MAP!$B$11)="","",INDEX(SchedZone,$C632,MAP!$B$11)))</f>
        <v/>
      </c>
      <c r="N632" s="2" t="str">
        <f t="array" ref="N632">IF($C632="","",IF(INDEX(SchedZone,$C632,MAP!$B$13)="","",INDEX(SchedZone,$C632,MAP!$B$13)))</f>
        <v/>
      </c>
      <c r="O632" s="2" t="str">
        <f t="array" ref="O632">IF($C632="","",INDEX(SchedZone,$C632,MAP!$B$15))</f>
        <v/>
      </c>
      <c r="P632" s="2" t="str">
        <f>IF($C632="","",IFERROR(MATCH($E632&amp;"|"&amp;$G632&amp;"|"&amp;$I632,StatsKey,0),""))</f>
        <v/>
      </c>
      <c r="Q632" s="2">
        <f t="array" ref="Q632">IF($P632="",0,INDEX(StatsZone,$P632,MAP!$E$9)+INDEX(StatsZone,$P632,MAP!$E$10)+INDEX(StatsZone,$P632,MAP!$E$11))</f>
        <v>0</v>
      </c>
      <c r="R632" s="2">
        <f t="array" ref="R632">IF($P632="",0,INDEX(StatsZone,$P632,MAP!$E$12))</f>
        <v>0</v>
      </c>
      <c r="S632" s="2">
        <f t="array" ref="S632">IF($P632="",0,INDEX(StatsZone,$P632,MAP!$E$13))</f>
        <v>0</v>
      </c>
      <c r="T632" s="2">
        <f t="shared" si="1"/>
        <v>0</v>
      </c>
      <c r="U632" s="2">
        <f t="array" ref="U632">IF($P632="",0,INDEX(StatsZone,$P632,MAP!$E$14)+INDEX(StatsZone,$P632,MAP!$E$15)+INDEX(StatsZone,$P632,MAP!$E$16))</f>
        <v>0</v>
      </c>
      <c r="V632" s="2">
        <f t="shared" si="2"/>
        <v>0</v>
      </c>
      <c r="W632" s="2">
        <f t="shared" si="3"/>
        <v>0</v>
      </c>
      <c r="X632" s="2">
        <f t="shared" si="4"/>
        <v>0</v>
      </c>
      <c r="Y632" s="2">
        <f t="shared" si="5"/>
        <v>0</v>
      </c>
      <c r="Z632" s="2">
        <f t="shared" si="6"/>
        <v>0</v>
      </c>
      <c r="AA632" s="2">
        <f t="shared" si="7"/>
        <v>0</v>
      </c>
      <c r="AB632" s="2">
        <f>IF(OR($M632="",$N632=""),0,MEDIAN(-MarginCap,MarginCap,($M632-$N632)-$AA632*HFA_Base))</f>
        <v>0</v>
      </c>
      <c r="AC632" s="2">
        <f t="array" ref="AC632">IF(OR($P632="",INDEX($P$3:$P$722,(ROW()+IF(MOD(ROW()-3,2)=0,1,-1))-3+1)=""),0,MEDIAN(-MarginCap,MarginCap,($T632-$W632)-$AA632*HFA_Base))</f>
        <v>0</v>
      </c>
      <c r="AD632" s="2">
        <f t="shared" si="8"/>
        <v>0</v>
      </c>
      <c r="AE632" s="2">
        <f>IF(OR($M632="",$N632=""),0,IF(AND(WEpa&gt;0,$AD632=1),(1-WEpa)*$AB632+WEpa*$AC632,$AB632))</f>
        <v>0</v>
      </c>
      <c r="AF632" s="2">
        <f>IF(AND($C632&lt;&gt;"",$E632=CurrentSeason,$F632="REG",ISNUMBER($G632),$G632&lt;CurrentWeek,AND($M632&lt;&gt;"",$N632&lt;&gt;"")),1,0)</f>
        <v>0</v>
      </c>
      <c r="AG632" s="2">
        <f>IF($AF632=0,0,IF($G632&gt;=CurrentWeek-RecencyWin,RecencyMult,1))</f>
        <v>0</v>
      </c>
      <c r="AH632" s="2">
        <f>IF(AND($C632&lt;&gt;"",$E632=CurrentSeason,$F632="REG",ISNUMBER($G632),$G632&lt;CurrentWeek-1,AND($M632&lt;&gt;"",$N632&lt;&gt;"")),1,0)</f>
        <v>0</v>
      </c>
      <c r="AI632" s="2">
        <f>IF($AH632=0,0,IF($G632&gt;=CurrentWeek-1-RecencyWin,RecencyMult,1))</f>
        <v>0</v>
      </c>
      <c r="AJ632" s="2">
        <f>IF($AF632=0,0,IF($G632&gt;=CurrentWeek-RecencyWin,TotRecency,1))</f>
        <v>0</v>
      </c>
      <c r="AK632" s="2">
        <f t="shared" si="9"/>
        <v>0</v>
      </c>
      <c r="AL632" s="2">
        <f t="shared" si="10"/>
        <v>0</v>
      </c>
      <c r="AM632" s="2">
        <f t="array" ref="AM632">IF($K632="",0,IFERROR(INDEX(CALC!$F$2:$F$33,MATCH($K632,CALC!$A$2:$A$33,0)),0))</f>
        <v>0</v>
      </c>
      <c r="AN632" s="2">
        <f t="array" ref="AN632">IF($K632="",0,IFERROR(INDEX(CALC!$I$2:$I$33,MATCH($K632,CALC!$A$2:$A$33,0)),0))</f>
        <v>0</v>
      </c>
      <c r="AO632" s="2">
        <f t="array" ref="AO632">IF($K632="",0,IFERROR(INDEX(CALC!$L$2:$L$33,MATCH($K632,CALC!$A$2:$A$33,0)),0))</f>
        <v>0</v>
      </c>
      <c r="AP632" s="2">
        <f t="array" ref="AP632">IF($K632="",0,IFERROR(INDEX(CALC!$T$2:$T$33,MATCH($K632,CALC!$A$2:$A$33,0)),0))</f>
        <v>0</v>
      </c>
      <c r="AQ632" s="2">
        <f t="array" ref="AQ632">IF($K632="",0,IFERROR(INDEX(CALC!$W$2:$W$33,MATCH($K632,CALC!$A$2:$A$33,0)),0))</f>
        <v>0</v>
      </c>
      <c r="AR632" s="2">
        <f t="array" ref="AR632">IF($K632="",0,IFERROR(INDEX(CALC!$Z$2:$Z$33,MATCH($K632,CALC!$A$2:$A$33,0)),0))</f>
        <v>0</v>
      </c>
      <c r="AS632" s="2">
        <f t="array" ref="AS632">IF($K632="",0,IFERROR(INDEX(CALC!$AJ$2:$AJ$33,MATCH($K632,CALC!$A$2:$A$33,0)),0))</f>
        <v>0</v>
      </c>
      <c r="AT632" s="2">
        <f t="array" ref="AT632">IF($K632="",0,IFERROR(INDEX(CALC!$AI$2:$AI$33,MATCH($K632,CALC!$A$2:$A$33,0)),0))</f>
        <v>0</v>
      </c>
      <c r="AU632" s="2">
        <f t="shared" si="11"/>
        <v>0</v>
      </c>
      <c r="AV632" s="2">
        <f t="shared" si="12"/>
        <v>0</v>
      </c>
    </row>
    <row r="633" ht="15.0" customHeight="1">
      <c r="A633" s="2">
        <v>316.0</v>
      </c>
      <c r="B633" s="2" t="s">
        <v>2365</v>
      </c>
      <c r="C633" s="2" t="str">
        <f>IFERROR(MATCH($A633,SchedSeq,0),"")</f>
        <v/>
      </c>
      <c r="D633" s="2" t="str">
        <f t="array" ref="D633">IF($C633="","",INDEX(SchedZone,$C633,MAP!$B$6))</f>
        <v/>
      </c>
      <c r="E633" s="2" t="str">
        <f t="array" ref="E633">IF($C633="","",INDEX(SchedZone,$C633,MAP!$B$3))</f>
        <v/>
      </c>
      <c r="F633" s="2" t="str">
        <f t="array" ref="F633">IF($C633="","",INDEX(SchedZone,$C633,MAP!$B$5))</f>
        <v/>
      </c>
      <c r="G633" s="2" t="str">
        <f t="array" ref="G633">IF($C633="","",INDEX(SchedZone,$C633,MAP!$B$4))</f>
        <v/>
      </c>
      <c r="H633" s="2" t="str">
        <f t="array" ref="H633">IF($C633="","",INDEX(SchedZone,$C633,MAP!$B$12))</f>
        <v/>
      </c>
      <c r="I633" s="2" t="str">
        <f t="array" ref="I633">IF($H633="","",IF(COUNTIF(Teams,$H633)&gt;0,$H633,IFERROR(INDEX(LISTS!$D$2:$D$12,MATCH($H633,LISTS!$C$2:$C$12,0)),"⚠ "&amp;$H633)))</f>
        <v/>
      </c>
      <c r="J633" s="2" t="str">
        <f t="array" ref="J633">IF($C633="","",INDEX(SchedZone,$C633,MAP!$B$10))</f>
        <v/>
      </c>
      <c r="K633" s="2" t="str">
        <f t="array" ref="K633">IF($J633="","",IF(COUNTIF(Teams,$J633)&gt;0,$J633,IFERROR(INDEX(LISTS!$D$2:$D$12,MATCH($J633,LISTS!$C$2:$C$12,0)),"⚠ "&amp;$J633)))</f>
        <v/>
      </c>
      <c r="L633" s="2" t="str">
        <f t="array" ref="L633">IF($C633="","",IF(INDEX(SchedZone,$C633,MAP!$B$14)="Neutral","N",IF($B633="HOME","H","A")))</f>
        <v/>
      </c>
      <c r="M633" s="2" t="str">
        <f t="array" ref="M633">IF($C633="","",IF(INDEX(SchedZone,$C633,MAP!$B$13)="","",INDEX(SchedZone,$C633,MAP!$B$13)))</f>
        <v/>
      </c>
      <c r="N633" s="2" t="str">
        <f t="array" ref="N633">IF($C633="","",IF(INDEX(SchedZone,$C633,MAP!$B$11)="","",INDEX(SchedZone,$C633,MAP!$B$11)))</f>
        <v/>
      </c>
      <c r="O633" s="2" t="str">
        <f t="array" ref="O633">IF($C633="","",INDEX(SchedZone,$C633,MAP!$B$16))</f>
        <v/>
      </c>
      <c r="P633" s="2" t="str">
        <f>IF($C633="","",IFERROR(MATCH($E633&amp;"|"&amp;$G633&amp;"|"&amp;$I633,StatsKey,0),""))</f>
        <v/>
      </c>
      <c r="Q633" s="2">
        <f t="array" ref="Q633">IF($P633="",0,INDEX(StatsZone,$P633,MAP!$E$9)+INDEX(StatsZone,$P633,MAP!$E$10)+INDEX(StatsZone,$P633,MAP!$E$11))</f>
        <v>0</v>
      </c>
      <c r="R633" s="2">
        <f t="array" ref="R633">IF($P633="",0,INDEX(StatsZone,$P633,MAP!$E$12))</f>
        <v>0</v>
      </c>
      <c r="S633" s="2">
        <f t="array" ref="S633">IF($P633="",0,INDEX(StatsZone,$P633,MAP!$E$13))</f>
        <v>0</v>
      </c>
      <c r="T633" s="2">
        <f t="shared" si="1"/>
        <v>0</v>
      </c>
      <c r="U633" s="2">
        <f t="array" ref="U633">IF($P633="",0,INDEX(StatsZone,$P633,MAP!$E$14)+INDEX(StatsZone,$P633,MAP!$E$15)+INDEX(StatsZone,$P633,MAP!$E$16))</f>
        <v>0</v>
      </c>
      <c r="V633" s="2">
        <f t="shared" si="2"/>
        <v>0</v>
      </c>
      <c r="W633" s="2">
        <f t="shared" si="3"/>
        <v>0</v>
      </c>
      <c r="X633" s="2">
        <f t="shared" si="4"/>
        <v>0</v>
      </c>
      <c r="Y633" s="2">
        <f t="shared" si="5"/>
        <v>0</v>
      </c>
      <c r="Z633" s="2">
        <f t="shared" si="6"/>
        <v>0</v>
      </c>
      <c r="AA633" s="2">
        <f t="shared" si="7"/>
        <v>0</v>
      </c>
      <c r="AB633" s="2">
        <f>IF(OR($M633="",$N633=""),0,MEDIAN(-MarginCap,MarginCap,($M633-$N633)-$AA633*HFA_Base))</f>
        <v>0</v>
      </c>
      <c r="AC633" s="2">
        <f t="array" ref="AC633">IF(OR($P633="",INDEX($P$3:$P$722,(ROW()+IF(MOD(ROW()-3,2)=0,1,-1))-3+1)=""),0,MEDIAN(-MarginCap,MarginCap,($T633-$W633)-$AA633*HFA_Base))</f>
        <v>0</v>
      </c>
      <c r="AD633" s="2">
        <f t="shared" si="8"/>
        <v>0</v>
      </c>
      <c r="AE633" s="2">
        <f>IF(OR($M633="",$N633=""),0,IF(AND(WEpa&gt;0,$AD633=1),(1-WEpa)*$AB633+WEpa*$AC633,$AB633))</f>
        <v>0</v>
      </c>
      <c r="AF633" s="2">
        <f>IF(AND($C633&lt;&gt;"",$E633=CurrentSeason,$F633="REG",ISNUMBER($G633),$G633&lt;CurrentWeek,AND($M633&lt;&gt;"",$N633&lt;&gt;"")),1,0)</f>
        <v>0</v>
      </c>
      <c r="AG633" s="2">
        <f>IF($AF633=0,0,IF($G633&gt;=CurrentWeek-RecencyWin,RecencyMult,1))</f>
        <v>0</v>
      </c>
      <c r="AH633" s="2">
        <f>IF(AND($C633&lt;&gt;"",$E633=CurrentSeason,$F633="REG",ISNUMBER($G633),$G633&lt;CurrentWeek-1,AND($M633&lt;&gt;"",$N633&lt;&gt;"")),1,0)</f>
        <v>0</v>
      </c>
      <c r="AI633" s="2">
        <f>IF($AH633=0,0,IF($G633&gt;=CurrentWeek-1-RecencyWin,RecencyMult,1))</f>
        <v>0</v>
      </c>
      <c r="AJ633" s="2">
        <f>IF($AF633=0,0,IF($G633&gt;=CurrentWeek-RecencyWin,TotRecency,1))</f>
        <v>0</v>
      </c>
      <c r="AK633" s="2">
        <f t="shared" si="9"/>
        <v>0</v>
      </c>
      <c r="AL633" s="2">
        <f t="shared" si="10"/>
        <v>0</v>
      </c>
      <c r="AM633" s="2">
        <f t="array" ref="AM633">IF($K633="",0,IFERROR(INDEX(CALC!$F$2:$F$33,MATCH($K633,CALC!$A$2:$A$33,0)),0))</f>
        <v>0</v>
      </c>
      <c r="AN633" s="2">
        <f t="array" ref="AN633">IF($K633="",0,IFERROR(INDEX(CALC!$I$2:$I$33,MATCH($K633,CALC!$A$2:$A$33,0)),0))</f>
        <v>0</v>
      </c>
      <c r="AO633" s="2">
        <f t="array" ref="AO633">IF($K633="",0,IFERROR(INDEX(CALC!$L$2:$L$33,MATCH($K633,CALC!$A$2:$A$33,0)),0))</f>
        <v>0</v>
      </c>
      <c r="AP633" s="2">
        <f t="array" ref="AP633">IF($K633="",0,IFERROR(INDEX(CALC!$T$2:$T$33,MATCH($K633,CALC!$A$2:$A$33,0)),0))</f>
        <v>0</v>
      </c>
      <c r="AQ633" s="2">
        <f t="array" ref="AQ633">IF($K633="",0,IFERROR(INDEX(CALC!$W$2:$W$33,MATCH($K633,CALC!$A$2:$A$33,0)),0))</f>
        <v>0</v>
      </c>
      <c r="AR633" s="2">
        <f t="array" ref="AR633">IF($K633="",0,IFERROR(INDEX(CALC!$Z$2:$Z$33,MATCH($K633,CALC!$A$2:$A$33,0)),0))</f>
        <v>0</v>
      </c>
      <c r="AS633" s="2">
        <f t="array" ref="AS633">IF($K633="",0,IFERROR(INDEX(CALC!$AJ$2:$AJ$33,MATCH($K633,CALC!$A$2:$A$33,0)),0))</f>
        <v>0</v>
      </c>
      <c r="AT633" s="2">
        <f t="array" ref="AT633">IF($K633="",0,IFERROR(INDEX(CALC!$AI$2:$AI$33,MATCH($K633,CALC!$A$2:$A$33,0)),0))</f>
        <v>0</v>
      </c>
      <c r="AU633" s="2">
        <f t="shared" si="11"/>
        <v>0</v>
      </c>
      <c r="AV633" s="2">
        <f t="shared" si="12"/>
        <v>0</v>
      </c>
    </row>
    <row r="634" ht="15.0" customHeight="1">
      <c r="A634" s="2">
        <v>316.0</v>
      </c>
      <c r="B634" s="2" t="s">
        <v>2366</v>
      </c>
      <c r="C634" s="2" t="str">
        <f>IFERROR(MATCH($A634,SchedSeq,0),"")</f>
        <v/>
      </c>
      <c r="D634" s="2" t="str">
        <f t="array" ref="D634">IF($C634="","",INDEX(SchedZone,$C634,MAP!$B$6))</f>
        <v/>
      </c>
      <c r="E634" s="2" t="str">
        <f t="array" ref="E634">IF($C634="","",INDEX(SchedZone,$C634,MAP!$B$3))</f>
        <v/>
      </c>
      <c r="F634" s="2" t="str">
        <f t="array" ref="F634">IF($C634="","",INDEX(SchedZone,$C634,MAP!$B$5))</f>
        <v/>
      </c>
      <c r="G634" s="2" t="str">
        <f t="array" ref="G634">IF($C634="","",INDEX(SchedZone,$C634,MAP!$B$4))</f>
        <v/>
      </c>
      <c r="H634" s="2" t="str">
        <f t="array" ref="H634">IF($C634="","",INDEX(SchedZone,$C634,MAP!$B$10))</f>
        <v/>
      </c>
      <c r="I634" s="2" t="str">
        <f t="array" ref="I634">IF($H634="","",IF(COUNTIF(Teams,$H634)&gt;0,$H634,IFERROR(INDEX(LISTS!$D$2:$D$12,MATCH($H634,LISTS!$C$2:$C$12,0)),"⚠ "&amp;$H634)))</f>
        <v/>
      </c>
      <c r="J634" s="2" t="str">
        <f t="array" ref="J634">IF($C634="","",INDEX(SchedZone,$C634,MAP!$B$12))</f>
        <v/>
      </c>
      <c r="K634" s="2" t="str">
        <f t="array" ref="K634">IF($J634="","",IF(COUNTIF(Teams,$J634)&gt;0,$J634,IFERROR(INDEX(LISTS!$D$2:$D$12,MATCH($J634,LISTS!$C$2:$C$12,0)),"⚠ "&amp;$J634)))</f>
        <v/>
      </c>
      <c r="L634" s="2" t="str">
        <f t="array" ref="L634">IF($C634="","",IF(INDEX(SchedZone,$C634,MAP!$B$14)="Neutral","N",IF($B634="HOME","H","A")))</f>
        <v/>
      </c>
      <c r="M634" s="2" t="str">
        <f t="array" ref="M634">IF($C634="","",IF(INDEX(SchedZone,$C634,MAP!$B$11)="","",INDEX(SchedZone,$C634,MAP!$B$11)))</f>
        <v/>
      </c>
      <c r="N634" s="2" t="str">
        <f t="array" ref="N634">IF($C634="","",IF(INDEX(SchedZone,$C634,MAP!$B$13)="","",INDEX(SchedZone,$C634,MAP!$B$13)))</f>
        <v/>
      </c>
      <c r="O634" s="2" t="str">
        <f t="array" ref="O634">IF($C634="","",INDEX(SchedZone,$C634,MAP!$B$15))</f>
        <v/>
      </c>
      <c r="P634" s="2" t="str">
        <f>IF($C634="","",IFERROR(MATCH($E634&amp;"|"&amp;$G634&amp;"|"&amp;$I634,StatsKey,0),""))</f>
        <v/>
      </c>
      <c r="Q634" s="2">
        <f t="array" ref="Q634">IF($P634="",0,INDEX(StatsZone,$P634,MAP!$E$9)+INDEX(StatsZone,$P634,MAP!$E$10)+INDEX(StatsZone,$P634,MAP!$E$11))</f>
        <v>0</v>
      </c>
      <c r="R634" s="2">
        <f t="array" ref="R634">IF($P634="",0,INDEX(StatsZone,$P634,MAP!$E$12))</f>
        <v>0</v>
      </c>
      <c r="S634" s="2">
        <f t="array" ref="S634">IF($P634="",0,INDEX(StatsZone,$P634,MAP!$E$13))</f>
        <v>0</v>
      </c>
      <c r="T634" s="2">
        <f t="shared" si="1"/>
        <v>0</v>
      </c>
      <c r="U634" s="2">
        <f t="array" ref="U634">IF($P634="",0,INDEX(StatsZone,$P634,MAP!$E$14)+INDEX(StatsZone,$P634,MAP!$E$15)+INDEX(StatsZone,$P634,MAP!$E$16))</f>
        <v>0</v>
      </c>
      <c r="V634" s="2">
        <f t="shared" si="2"/>
        <v>0</v>
      </c>
      <c r="W634" s="2">
        <f t="shared" si="3"/>
        <v>0</v>
      </c>
      <c r="X634" s="2">
        <f t="shared" si="4"/>
        <v>0</v>
      </c>
      <c r="Y634" s="2">
        <f t="shared" si="5"/>
        <v>0</v>
      </c>
      <c r="Z634" s="2">
        <f t="shared" si="6"/>
        <v>0</v>
      </c>
      <c r="AA634" s="2">
        <f t="shared" si="7"/>
        <v>0</v>
      </c>
      <c r="AB634" s="2">
        <f>IF(OR($M634="",$N634=""),0,MEDIAN(-MarginCap,MarginCap,($M634-$N634)-$AA634*HFA_Base))</f>
        <v>0</v>
      </c>
      <c r="AC634" s="2">
        <f t="array" ref="AC634">IF(OR($P634="",INDEX($P$3:$P$722,(ROW()+IF(MOD(ROW()-3,2)=0,1,-1))-3+1)=""),0,MEDIAN(-MarginCap,MarginCap,($T634-$W634)-$AA634*HFA_Base))</f>
        <v>0</v>
      </c>
      <c r="AD634" s="2">
        <f t="shared" si="8"/>
        <v>0</v>
      </c>
      <c r="AE634" s="2">
        <f>IF(OR($M634="",$N634=""),0,IF(AND(WEpa&gt;0,$AD634=1),(1-WEpa)*$AB634+WEpa*$AC634,$AB634))</f>
        <v>0</v>
      </c>
      <c r="AF634" s="2">
        <f>IF(AND($C634&lt;&gt;"",$E634=CurrentSeason,$F634="REG",ISNUMBER($G634),$G634&lt;CurrentWeek,AND($M634&lt;&gt;"",$N634&lt;&gt;"")),1,0)</f>
        <v>0</v>
      </c>
      <c r="AG634" s="2">
        <f>IF($AF634=0,0,IF($G634&gt;=CurrentWeek-RecencyWin,RecencyMult,1))</f>
        <v>0</v>
      </c>
      <c r="AH634" s="2">
        <f>IF(AND($C634&lt;&gt;"",$E634=CurrentSeason,$F634="REG",ISNUMBER($G634),$G634&lt;CurrentWeek-1,AND($M634&lt;&gt;"",$N634&lt;&gt;"")),1,0)</f>
        <v>0</v>
      </c>
      <c r="AI634" s="2">
        <f>IF($AH634=0,0,IF($G634&gt;=CurrentWeek-1-RecencyWin,RecencyMult,1))</f>
        <v>0</v>
      </c>
      <c r="AJ634" s="2">
        <f>IF($AF634=0,0,IF($G634&gt;=CurrentWeek-RecencyWin,TotRecency,1))</f>
        <v>0</v>
      </c>
      <c r="AK634" s="2">
        <f t="shared" si="9"/>
        <v>0</v>
      </c>
      <c r="AL634" s="2">
        <f t="shared" si="10"/>
        <v>0</v>
      </c>
      <c r="AM634" s="2">
        <f t="array" ref="AM634">IF($K634="",0,IFERROR(INDEX(CALC!$F$2:$F$33,MATCH($K634,CALC!$A$2:$A$33,0)),0))</f>
        <v>0</v>
      </c>
      <c r="AN634" s="2">
        <f t="array" ref="AN634">IF($K634="",0,IFERROR(INDEX(CALC!$I$2:$I$33,MATCH($K634,CALC!$A$2:$A$33,0)),0))</f>
        <v>0</v>
      </c>
      <c r="AO634" s="2">
        <f t="array" ref="AO634">IF($K634="",0,IFERROR(INDEX(CALC!$L$2:$L$33,MATCH($K634,CALC!$A$2:$A$33,0)),0))</f>
        <v>0</v>
      </c>
      <c r="AP634" s="2">
        <f t="array" ref="AP634">IF($K634="",0,IFERROR(INDEX(CALC!$T$2:$T$33,MATCH($K634,CALC!$A$2:$A$33,0)),0))</f>
        <v>0</v>
      </c>
      <c r="AQ634" s="2">
        <f t="array" ref="AQ634">IF($K634="",0,IFERROR(INDEX(CALC!$W$2:$W$33,MATCH($K634,CALC!$A$2:$A$33,0)),0))</f>
        <v>0</v>
      </c>
      <c r="AR634" s="2">
        <f t="array" ref="AR634">IF($K634="",0,IFERROR(INDEX(CALC!$Z$2:$Z$33,MATCH($K634,CALC!$A$2:$A$33,0)),0))</f>
        <v>0</v>
      </c>
      <c r="AS634" s="2">
        <f t="array" ref="AS634">IF($K634="",0,IFERROR(INDEX(CALC!$AJ$2:$AJ$33,MATCH($K634,CALC!$A$2:$A$33,0)),0))</f>
        <v>0</v>
      </c>
      <c r="AT634" s="2">
        <f t="array" ref="AT634">IF($K634="",0,IFERROR(INDEX(CALC!$AI$2:$AI$33,MATCH($K634,CALC!$A$2:$A$33,0)),0))</f>
        <v>0</v>
      </c>
      <c r="AU634" s="2">
        <f t="shared" si="11"/>
        <v>0</v>
      </c>
      <c r="AV634" s="2">
        <f t="shared" si="12"/>
        <v>0</v>
      </c>
    </row>
    <row r="635" ht="15.0" customHeight="1">
      <c r="A635" s="2">
        <v>317.0</v>
      </c>
      <c r="B635" s="2" t="s">
        <v>2365</v>
      </c>
      <c r="C635" s="2" t="str">
        <f>IFERROR(MATCH($A635,SchedSeq,0),"")</f>
        <v/>
      </c>
      <c r="D635" s="2" t="str">
        <f t="array" ref="D635">IF($C635="","",INDEX(SchedZone,$C635,MAP!$B$6))</f>
        <v/>
      </c>
      <c r="E635" s="2" t="str">
        <f t="array" ref="E635">IF($C635="","",INDEX(SchedZone,$C635,MAP!$B$3))</f>
        <v/>
      </c>
      <c r="F635" s="2" t="str">
        <f t="array" ref="F635">IF($C635="","",INDEX(SchedZone,$C635,MAP!$B$5))</f>
        <v/>
      </c>
      <c r="G635" s="2" t="str">
        <f t="array" ref="G635">IF($C635="","",INDEX(SchedZone,$C635,MAP!$B$4))</f>
        <v/>
      </c>
      <c r="H635" s="2" t="str">
        <f t="array" ref="H635">IF($C635="","",INDEX(SchedZone,$C635,MAP!$B$12))</f>
        <v/>
      </c>
      <c r="I635" s="2" t="str">
        <f t="array" ref="I635">IF($H635="","",IF(COUNTIF(Teams,$H635)&gt;0,$H635,IFERROR(INDEX(LISTS!$D$2:$D$12,MATCH($H635,LISTS!$C$2:$C$12,0)),"⚠ "&amp;$H635)))</f>
        <v/>
      </c>
      <c r="J635" s="2" t="str">
        <f t="array" ref="J635">IF($C635="","",INDEX(SchedZone,$C635,MAP!$B$10))</f>
        <v/>
      </c>
      <c r="K635" s="2" t="str">
        <f t="array" ref="K635">IF($J635="","",IF(COUNTIF(Teams,$J635)&gt;0,$J635,IFERROR(INDEX(LISTS!$D$2:$D$12,MATCH($J635,LISTS!$C$2:$C$12,0)),"⚠ "&amp;$J635)))</f>
        <v/>
      </c>
      <c r="L635" s="2" t="str">
        <f t="array" ref="L635">IF($C635="","",IF(INDEX(SchedZone,$C635,MAP!$B$14)="Neutral","N",IF($B635="HOME","H","A")))</f>
        <v/>
      </c>
      <c r="M635" s="2" t="str">
        <f t="array" ref="M635">IF($C635="","",IF(INDEX(SchedZone,$C635,MAP!$B$13)="","",INDEX(SchedZone,$C635,MAP!$B$13)))</f>
        <v/>
      </c>
      <c r="N635" s="2" t="str">
        <f t="array" ref="N635">IF($C635="","",IF(INDEX(SchedZone,$C635,MAP!$B$11)="","",INDEX(SchedZone,$C635,MAP!$B$11)))</f>
        <v/>
      </c>
      <c r="O635" s="2" t="str">
        <f t="array" ref="O635">IF($C635="","",INDEX(SchedZone,$C635,MAP!$B$16))</f>
        <v/>
      </c>
      <c r="P635" s="2" t="str">
        <f>IF($C635="","",IFERROR(MATCH($E635&amp;"|"&amp;$G635&amp;"|"&amp;$I635,StatsKey,0),""))</f>
        <v/>
      </c>
      <c r="Q635" s="2">
        <f t="array" ref="Q635">IF($P635="",0,INDEX(StatsZone,$P635,MAP!$E$9)+INDEX(StatsZone,$P635,MAP!$E$10)+INDEX(StatsZone,$P635,MAP!$E$11))</f>
        <v>0</v>
      </c>
      <c r="R635" s="2">
        <f t="array" ref="R635">IF($P635="",0,INDEX(StatsZone,$P635,MAP!$E$12))</f>
        <v>0</v>
      </c>
      <c r="S635" s="2">
        <f t="array" ref="S635">IF($P635="",0,INDEX(StatsZone,$P635,MAP!$E$13))</f>
        <v>0</v>
      </c>
      <c r="T635" s="2">
        <f t="shared" si="1"/>
        <v>0</v>
      </c>
      <c r="U635" s="2">
        <f t="array" ref="U635">IF($P635="",0,INDEX(StatsZone,$P635,MAP!$E$14)+INDEX(StatsZone,$P635,MAP!$E$15)+INDEX(StatsZone,$P635,MAP!$E$16))</f>
        <v>0</v>
      </c>
      <c r="V635" s="2">
        <f t="shared" si="2"/>
        <v>0</v>
      </c>
      <c r="W635" s="2">
        <f t="shared" si="3"/>
        <v>0</v>
      </c>
      <c r="X635" s="2">
        <f t="shared" si="4"/>
        <v>0</v>
      </c>
      <c r="Y635" s="2">
        <f t="shared" si="5"/>
        <v>0</v>
      </c>
      <c r="Z635" s="2">
        <f t="shared" si="6"/>
        <v>0</v>
      </c>
      <c r="AA635" s="2">
        <f t="shared" si="7"/>
        <v>0</v>
      </c>
      <c r="AB635" s="2">
        <f>IF(OR($M635="",$N635=""),0,MEDIAN(-MarginCap,MarginCap,($M635-$N635)-$AA635*HFA_Base))</f>
        <v>0</v>
      </c>
      <c r="AC635" s="2">
        <f t="array" ref="AC635">IF(OR($P635="",INDEX($P$3:$P$722,(ROW()+IF(MOD(ROW()-3,2)=0,1,-1))-3+1)=""),0,MEDIAN(-MarginCap,MarginCap,($T635-$W635)-$AA635*HFA_Base))</f>
        <v>0</v>
      </c>
      <c r="AD635" s="2">
        <f t="shared" si="8"/>
        <v>0</v>
      </c>
      <c r="AE635" s="2">
        <f>IF(OR($M635="",$N635=""),0,IF(AND(WEpa&gt;0,$AD635=1),(1-WEpa)*$AB635+WEpa*$AC635,$AB635))</f>
        <v>0</v>
      </c>
      <c r="AF635" s="2">
        <f>IF(AND($C635&lt;&gt;"",$E635=CurrentSeason,$F635="REG",ISNUMBER($G635),$G635&lt;CurrentWeek,AND($M635&lt;&gt;"",$N635&lt;&gt;"")),1,0)</f>
        <v>0</v>
      </c>
      <c r="AG635" s="2">
        <f>IF($AF635=0,0,IF($G635&gt;=CurrentWeek-RecencyWin,RecencyMult,1))</f>
        <v>0</v>
      </c>
      <c r="AH635" s="2">
        <f>IF(AND($C635&lt;&gt;"",$E635=CurrentSeason,$F635="REG",ISNUMBER($G635),$G635&lt;CurrentWeek-1,AND($M635&lt;&gt;"",$N635&lt;&gt;"")),1,0)</f>
        <v>0</v>
      </c>
      <c r="AI635" s="2">
        <f>IF($AH635=0,0,IF($G635&gt;=CurrentWeek-1-RecencyWin,RecencyMult,1))</f>
        <v>0</v>
      </c>
      <c r="AJ635" s="2">
        <f>IF($AF635=0,0,IF($G635&gt;=CurrentWeek-RecencyWin,TotRecency,1))</f>
        <v>0</v>
      </c>
      <c r="AK635" s="2">
        <f t="shared" si="9"/>
        <v>0</v>
      </c>
      <c r="AL635" s="2">
        <f t="shared" si="10"/>
        <v>0</v>
      </c>
      <c r="AM635" s="2">
        <f t="array" ref="AM635">IF($K635="",0,IFERROR(INDEX(CALC!$F$2:$F$33,MATCH($K635,CALC!$A$2:$A$33,0)),0))</f>
        <v>0</v>
      </c>
      <c r="AN635" s="2">
        <f t="array" ref="AN635">IF($K635="",0,IFERROR(INDEX(CALC!$I$2:$I$33,MATCH($K635,CALC!$A$2:$A$33,0)),0))</f>
        <v>0</v>
      </c>
      <c r="AO635" s="2">
        <f t="array" ref="AO635">IF($K635="",0,IFERROR(INDEX(CALC!$L$2:$L$33,MATCH($K635,CALC!$A$2:$A$33,0)),0))</f>
        <v>0</v>
      </c>
      <c r="AP635" s="2">
        <f t="array" ref="AP635">IF($K635="",0,IFERROR(INDEX(CALC!$T$2:$T$33,MATCH($K635,CALC!$A$2:$A$33,0)),0))</f>
        <v>0</v>
      </c>
      <c r="AQ635" s="2">
        <f t="array" ref="AQ635">IF($K635="",0,IFERROR(INDEX(CALC!$W$2:$W$33,MATCH($K635,CALC!$A$2:$A$33,0)),0))</f>
        <v>0</v>
      </c>
      <c r="AR635" s="2">
        <f t="array" ref="AR635">IF($K635="",0,IFERROR(INDEX(CALC!$Z$2:$Z$33,MATCH($K635,CALC!$A$2:$A$33,0)),0))</f>
        <v>0</v>
      </c>
      <c r="AS635" s="2">
        <f t="array" ref="AS635">IF($K635="",0,IFERROR(INDEX(CALC!$AJ$2:$AJ$33,MATCH($K635,CALC!$A$2:$A$33,0)),0))</f>
        <v>0</v>
      </c>
      <c r="AT635" s="2">
        <f t="array" ref="AT635">IF($K635="",0,IFERROR(INDEX(CALC!$AI$2:$AI$33,MATCH($K635,CALC!$A$2:$A$33,0)),0))</f>
        <v>0</v>
      </c>
      <c r="AU635" s="2">
        <f t="shared" si="11"/>
        <v>0</v>
      </c>
      <c r="AV635" s="2">
        <f t="shared" si="12"/>
        <v>0</v>
      </c>
    </row>
    <row r="636" ht="15.0" customHeight="1">
      <c r="A636" s="2">
        <v>317.0</v>
      </c>
      <c r="B636" s="2" t="s">
        <v>2366</v>
      </c>
      <c r="C636" s="2" t="str">
        <f>IFERROR(MATCH($A636,SchedSeq,0),"")</f>
        <v/>
      </c>
      <c r="D636" s="2" t="str">
        <f t="array" ref="D636">IF($C636="","",INDEX(SchedZone,$C636,MAP!$B$6))</f>
        <v/>
      </c>
      <c r="E636" s="2" t="str">
        <f t="array" ref="E636">IF($C636="","",INDEX(SchedZone,$C636,MAP!$B$3))</f>
        <v/>
      </c>
      <c r="F636" s="2" t="str">
        <f t="array" ref="F636">IF($C636="","",INDEX(SchedZone,$C636,MAP!$B$5))</f>
        <v/>
      </c>
      <c r="G636" s="2" t="str">
        <f t="array" ref="G636">IF($C636="","",INDEX(SchedZone,$C636,MAP!$B$4))</f>
        <v/>
      </c>
      <c r="H636" s="2" t="str">
        <f t="array" ref="H636">IF($C636="","",INDEX(SchedZone,$C636,MAP!$B$10))</f>
        <v/>
      </c>
      <c r="I636" s="2" t="str">
        <f t="array" ref="I636">IF($H636="","",IF(COUNTIF(Teams,$H636)&gt;0,$H636,IFERROR(INDEX(LISTS!$D$2:$D$12,MATCH($H636,LISTS!$C$2:$C$12,0)),"⚠ "&amp;$H636)))</f>
        <v/>
      </c>
      <c r="J636" s="2" t="str">
        <f t="array" ref="J636">IF($C636="","",INDEX(SchedZone,$C636,MAP!$B$12))</f>
        <v/>
      </c>
      <c r="K636" s="2" t="str">
        <f t="array" ref="K636">IF($J636="","",IF(COUNTIF(Teams,$J636)&gt;0,$J636,IFERROR(INDEX(LISTS!$D$2:$D$12,MATCH($J636,LISTS!$C$2:$C$12,0)),"⚠ "&amp;$J636)))</f>
        <v/>
      </c>
      <c r="L636" s="2" t="str">
        <f t="array" ref="L636">IF($C636="","",IF(INDEX(SchedZone,$C636,MAP!$B$14)="Neutral","N",IF($B636="HOME","H","A")))</f>
        <v/>
      </c>
      <c r="M636" s="2" t="str">
        <f t="array" ref="M636">IF($C636="","",IF(INDEX(SchedZone,$C636,MAP!$B$11)="","",INDEX(SchedZone,$C636,MAP!$B$11)))</f>
        <v/>
      </c>
      <c r="N636" s="2" t="str">
        <f t="array" ref="N636">IF($C636="","",IF(INDEX(SchedZone,$C636,MAP!$B$13)="","",INDEX(SchedZone,$C636,MAP!$B$13)))</f>
        <v/>
      </c>
      <c r="O636" s="2" t="str">
        <f t="array" ref="O636">IF($C636="","",INDEX(SchedZone,$C636,MAP!$B$15))</f>
        <v/>
      </c>
      <c r="P636" s="2" t="str">
        <f>IF($C636="","",IFERROR(MATCH($E636&amp;"|"&amp;$G636&amp;"|"&amp;$I636,StatsKey,0),""))</f>
        <v/>
      </c>
      <c r="Q636" s="2">
        <f t="array" ref="Q636">IF($P636="",0,INDEX(StatsZone,$P636,MAP!$E$9)+INDEX(StatsZone,$P636,MAP!$E$10)+INDEX(StatsZone,$P636,MAP!$E$11))</f>
        <v>0</v>
      </c>
      <c r="R636" s="2">
        <f t="array" ref="R636">IF($P636="",0,INDEX(StatsZone,$P636,MAP!$E$12))</f>
        <v>0</v>
      </c>
      <c r="S636" s="2">
        <f t="array" ref="S636">IF($P636="",0,INDEX(StatsZone,$P636,MAP!$E$13))</f>
        <v>0</v>
      </c>
      <c r="T636" s="2">
        <f t="shared" si="1"/>
        <v>0</v>
      </c>
      <c r="U636" s="2">
        <f t="array" ref="U636">IF($P636="",0,INDEX(StatsZone,$P636,MAP!$E$14)+INDEX(StatsZone,$P636,MAP!$E$15)+INDEX(StatsZone,$P636,MAP!$E$16))</f>
        <v>0</v>
      </c>
      <c r="V636" s="2">
        <f t="shared" si="2"/>
        <v>0</v>
      </c>
      <c r="W636" s="2">
        <f t="shared" si="3"/>
        <v>0</v>
      </c>
      <c r="X636" s="2">
        <f t="shared" si="4"/>
        <v>0</v>
      </c>
      <c r="Y636" s="2">
        <f t="shared" si="5"/>
        <v>0</v>
      </c>
      <c r="Z636" s="2">
        <f t="shared" si="6"/>
        <v>0</v>
      </c>
      <c r="AA636" s="2">
        <f t="shared" si="7"/>
        <v>0</v>
      </c>
      <c r="AB636" s="2">
        <f>IF(OR($M636="",$N636=""),0,MEDIAN(-MarginCap,MarginCap,($M636-$N636)-$AA636*HFA_Base))</f>
        <v>0</v>
      </c>
      <c r="AC636" s="2">
        <f t="array" ref="AC636">IF(OR($P636="",INDEX($P$3:$P$722,(ROW()+IF(MOD(ROW()-3,2)=0,1,-1))-3+1)=""),0,MEDIAN(-MarginCap,MarginCap,($T636-$W636)-$AA636*HFA_Base))</f>
        <v>0</v>
      </c>
      <c r="AD636" s="2">
        <f t="shared" si="8"/>
        <v>0</v>
      </c>
      <c r="AE636" s="2">
        <f>IF(OR($M636="",$N636=""),0,IF(AND(WEpa&gt;0,$AD636=1),(1-WEpa)*$AB636+WEpa*$AC636,$AB636))</f>
        <v>0</v>
      </c>
      <c r="AF636" s="2">
        <f>IF(AND($C636&lt;&gt;"",$E636=CurrentSeason,$F636="REG",ISNUMBER($G636),$G636&lt;CurrentWeek,AND($M636&lt;&gt;"",$N636&lt;&gt;"")),1,0)</f>
        <v>0</v>
      </c>
      <c r="AG636" s="2">
        <f>IF($AF636=0,0,IF($G636&gt;=CurrentWeek-RecencyWin,RecencyMult,1))</f>
        <v>0</v>
      </c>
      <c r="AH636" s="2">
        <f>IF(AND($C636&lt;&gt;"",$E636=CurrentSeason,$F636="REG",ISNUMBER($G636),$G636&lt;CurrentWeek-1,AND($M636&lt;&gt;"",$N636&lt;&gt;"")),1,0)</f>
        <v>0</v>
      </c>
      <c r="AI636" s="2">
        <f>IF($AH636=0,0,IF($G636&gt;=CurrentWeek-1-RecencyWin,RecencyMult,1))</f>
        <v>0</v>
      </c>
      <c r="AJ636" s="2">
        <f>IF($AF636=0,0,IF($G636&gt;=CurrentWeek-RecencyWin,TotRecency,1))</f>
        <v>0</v>
      </c>
      <c r="AK636" s="2">
        <f t="shared" si="9"/>
        <v>0</v>
      </c>
      <c r="AL636" s="2">
        <f t="shared" si="10"/>
        <v>0</v>
      </c>
      <c r="AM636" s="2">
        <f t="array" ref="AM636">IF($K636="",0,IFERROR(INDEX(CALC!$F$2:$F$33,MATCH($K636,CALC!$A$2:$A$33,0)),0))</f>
        <v>0</v>
      </c>
      <c r="AN636" s="2">
        <f t="array" ref="AN636">IF($K636="",0,IFERROR(INDEX(CALC!$I$2:$I$33,MATCH($K636,CALC!$A$2:$A$33,0)),0))</f>
        <v>0</v>
      </c>
      <c r="AO636" s="2">
        <f t="array" ref="AO636">IF($K636="",0,IFERROR(INDEX(CALC!$L$2:$L$33,MATCH($K636,CALC!$A$2:$A$33,0)),0))</f>
        <v>0</v>
      </c>
      <c r="AP636" s="2">
        <f t="array" ref="AP636">IF($K636="",0,IFERROR(INDEX(CALC!$T$2:$T$33,MATCH($K636,CALC!$A$2:$A$33,0)),0))</f>
        <v>0</v>
      </c>
      <c r="AQ636" s="2">
        <f t="array" ref="AQ636">IF($K636="",0,IFERROR(INDEX(CALC!$W$2:$W$33,MATCH($K636,CALC!$A$2:$A$33,0)),0))</f>
        <v>0</v>
      </c>
      <c r="AR636" s="2">
        <f t="array" ref="AR636">IF($K636="",0,IFERROR(INDEX(CALC!$Z$2:$Z$33,MATCH($K636,CALC!$A$2:$A$33,0)),0))</f>
        <v>0</v>
      </c>
      <c r="AS636" s="2">
        <f t="array" ref="AS636">IF($K636="",0,IFERROR(INDEX(CALC!$AJ$2:$AJ$33,MATCH($K636,CALC!$A$2:$A$33,0)),0))</f>
        <v>0</v>
      </c>
      <c r="AT636" s="2">
        <f t="array" ref="AT636">IF($K636="",0,IFERROR(INDEX(CALC!$AI$2:$AI$33,MATCH($K636,CALC!$A$2:$A$33,0)),0))</f>
        <v>0</v>
      </c>
      <c r="AU636" s="2">
        <f t="shared" si="11"/>
        <v>0</v>
      </c>
      <c r="AV636" s="2">
        <f t="shared" si="12"/>
        <v>0</v>
      </c>
    </row>
    <row r="637" ht="15.0" customHeight="1">
      <c r="A637" s="2">
        <v>318.0</v>
      </c>
      <c r="B637" s="2" t="s">
        <v>2365</v>
      </c>
      <c r="C637" s="2" t="str">
        <f>IFERROR(MATCH($A637,SchedSeq,0),"")</f>
        <v/>
      </c>
      <c r="D637" s="2" t="str">
        <f t="array" ref="D637">IF($C637="","",INDEX(SchedZone,$C637,MAP!$B$6))</f>
        <v/>
      </c>
      <c r="E637" s="2" t="str">
        <f t="array" ref="E637">IF($C637="","",INDEX(SchedZone,$C637,MAP!$B$3))</f>
        <v/>
      </c>
      <c r="F637" s="2" t="str">
        <f t="array" ref="F637">IF($C637="","",INDEX(SchedZone,$C637,MAP!$B$5))</f>
        <v/>
      </c>
      <c r="G637" s="2" t="str">
        <f t="array" ref="G637">IF($C637="","",INDEX(SchedZone,$C637,MAP!$B$4))</f>
        <v/>
      </c>
      <c r="H637" s="2" t="str">
        <f t="array" ref="H637">IF($C637="","",INDEX(SchedZone,$C637,MAP!$B$12))</f>
        <v/>
      </c>
      <c r="I637" s="2" t="str">
        <f t="array" ref="I637">IF($H637="","",IF(COUNTIF(Teams,$H637)&gt;0,$H637,IFERROR(INDEX(LISTS!$D$2:$D$12,MATCH($H637,LISTS!$C$2:$C$12,0)),"⚠ "&amp;$H637)))</f>
        <v/>
      </c>
      <c r="J637" s="2" t="str">
        <f t="array" ref="J637">IF($C637="","",INDEX(SchedZone,$C637,MAP!$B$10))</f>
        <v/>
      </c>
      <c r="K637" s="2" t="str">
        <f t="array" ref="K637">IF($J637="","",IF(COUNTIF(Teams,$J637)&gt;0,$J637,IFERROR(INDEX(LISTS!$D$2:$D$12,MATCH($J637,LISTS!$C$2:$C$12,0)),"⚠ "&amp;$J637)))</f>
        <v/>
      </c>
      <c r="L637" s="2" t="str">
        <f t="array" ref="L637">IF($C637="","",IF(INDEX(SchedZone,$C637,MAP!$B$14)="Neutral","N",IF($B637="HOME","H","A")))</f>
        <v/>
      </c>
      <c r="M637" s="2" t="str">
        <f t="array" ref="M637">IF($C637="","",IF(INDEX(SchedZone,$C637,MAP!$B$13)="","",INDEX(SchedZone,$C637,MAP!$B$13)))</f>
        <v/>
      </c>
      <c r="N637" s="2" t="str">
        <f t="array" ref="N637">IF($C637="","",IF(INDEX(SchedZone,$C637,MAP!$B$11)="","",INDEX(SchedZone,$C637,MAP!$B$11)))</f>
        <v/>
      </c>
      <c r="O637" s="2" t="str">
        <f t="array" ref="O637">IF($C637="","",INDEX(SchedZone,$C637,MAP!$B$16))</f>
        <v/>
      </c>
      <c r="P637" s="2" t="str">
        <f>IF($C637="","",IFERROR(MATCH($E637&amp;"|"&amp;$G637&amp;"|"&amp;$I637,StatsKey,0),""))</f>
        <v/>
      </c>
      <c r="Q637" s="2">
        <f t="array" ref="Q637">IF($P637="",0,INDEX(StatsZone,$P637,MAP!$E$9)+INDEX(StatsZone,$P637,MAP!$E$10)+INDEX(StatsZone,$P637,MAP!$E$11))</f>
        <v>0</v>
      </c>
      <c r="R637" s="2">
        <f t="array" ref="R637">IF($P637="",0,INDEX(StatsZone,$P637,MAP!$E$12))</f>
        <v>0</v>
      </c>
      <c r="S637" s="2">
        <f t="array" ref="S637">IF($P637="",0,INDEX(StatsZone,$P637,MAP!$E$13))</f>
        <v>0</v>
      </c>
      <c r="T637" s="2">
        <f t="shared" si="1"/>
        <v>0</v>
      </c>
      <c r="U637" s="2">
        <f t="array" ref="U637">IF($P637="",0,INDEX(StatsZone,$P637,MAP!$E$14)+INDEX(StatsZone,$P637,MAP!$E$15)+INDEX(StatsZone,$P637,MAP!$E$16))</f>
        <v>0</v>
      </c>
      <c r="V637" s="2">
        <f t="shared" si="2"/>
        <v>0</v>
      </c>
      <c r="W637" s="2">
        <f t="shared" si="3"/>
        <v>0</v>
      </c>
      <c r="X637" s="2">
        <f t="shared" si="4"/>
        <v>0</v>
      </c>
      <c r="Y637" s="2">
        <f t="shared" si="5"/>
        <v>0</v>
      </c>
      <c r="Z637" s="2">
        <f t="shared" si="6"/>
        <v>0</v>
      </c>
      <c r="AA637" s="2">
        <f t="shared" si="7"/>
        <v>0</v>
      </c>
      <c r="AB637" s="2">
        <f>IF(OR($M637="",$N637=""),0,MEDIAN(-MarginCap,MarginCap,($M637-$N637)-$AA637*HFA_Base))</f>
        <v>0</v>
      </c>
      <c r="AC637" s="2">
        <f t="array" ref="AC637">IF(OR($P637="",INDEX($P$3:$P$722,(ROW()+IF(MOD(ROW()-3,2)=0,1,-1))-3+1)=""),0,MEDIAN(-MarginCap,MarginCap,($T637-$W637)-$AA637*HFA_Base))</f>
        <v>0</v>
      </c>
      <c r="AD637" s="2">
        <f t="shared" si="8"/>
        <v>0</v>
      </c>
      <c r="AE637" s="2">
        <f>IF(OR($M637="",$N637=""),0,IF(AND(WEpa&gt;0,$AD637=1),(1-WEpa)*$AB637+WEpa*$AC637,$AB637))</f>
        <v>0</v>
      </c>
      <c r="AF637" s="2">
        <f>IF(AND($C637&lt;&gt;"",$E637=CurrentSeason,$F637="REG",ISNUMBER($G637),$G637&lt;CurrentWeek,AND($M637&lt;&gt;"",$N637&lt;&gt;"")),1,0)</f>
        <v>0</v>
      </c>
      <c r="AG637" s="2">
        <f>IF($AF637=0,0,IF($G637&gt;=CurrentWeek-RecencyWin,RecencyMult,1))</f>
        <v>0</v>
      </c>
      <c r="AH637" s="2">
        <f>IF(AND($C637&lt;&gt;"",$E637=CurrentSeason,$F637="REG",ISNUMBER($G637),$G637&lt;CurrentWeek-1,AND($M637&lt;&gt;"",$N637&lt;&gt;"")),1,0)</f>
        <v>0</v>
      </c>
      <c r="AI637" s="2">
        <f>IF($AH637=0,0,IF($G637&gt;=CurrentWeek-1-RecencyWin,RecencyMult,1))</f>
        <v>0</v>
      </c>
      <c r="AJ637" s="2">
        <f>IF($AF637=0,0,IF($G637&gt;=CurrentWeek-RecencyWin,TotRecency,1))</f>
        <v>0</v>
      </c>
      <c r="AK637" s="2">
        <f t="shared" si="9"/>
        <v>0</v>
      </c>
      <c r="AL637" s="2">
        <f t="shared" si="10"/>
        <v>0</v>
      </c>
      <c r="AM637" s="2">
        <f t="array" ref="AM637">IF($K637="",0,IFERROR(INDEX(CALC!$F$2:$F$33,MATCH($K637,CALC!$A$2:$A$33,0)),0))</f>
        <v>0</v>
      </c>
      <c r="AN637" s="2">
        <f t="array" ref="AN637">IF($K637="",0,IFERROR(INDEX(CALC!$I$2:$I$33,MATCH($K637,CALC!$A$2:$A$33,0)),0))</f>
        <v>0</v>
      </c>
      <c r="AO637" s="2">
        <f t="array" ref="AO637">IF($K637="",0,IFERROR(INDEX(CALC!$L$2:$L$33,MATCH($K637,CALC!$A$2:$A$33,0)),0))</f>
        <v>0</v>
      </c>
      <c r="AP637" s="2">
        <f t="array" ref="AP637">IF($K637="",0,IFERROR(INDEX(CALC!$T$2:$T$33,MATCH($K637,CALC!$A$2:$A$33,0)),0))</f>
        <v>0</v>
      </c>
      <c r="AQ637" s="2">
        <f t="array" ref="AQ637">IF($K637="",0,IFERROR(INDEX(CALC!$W$2:$W$33,MATCH($K637,CALC!$A$2:$A$33,0)),0))</f>
        <v>0</v>
      </c>
      <c r="AR637" s="2">
        <f t="array" ref="AR637">IF($K637="",0,IFERROR(INDEX(CALC!$Z$2:$Z$33,MATCH($K637,CALC!$A$2:$A$33,0)),0))</f>
        <v>0</v>
      </c>
      <c r="AS637" s="2">
        <f t="array" ref="AS637">IF($K637="",0,IFERROR(INDEX(CALC!$AJ$2:$AJ$33,MATCH($K637,CALC!$A$2:$A$33,0)),0))</f>
        <v>0</v>
      </c>
      <c r="AT637" s="2">
        <f t="array" ref="AT637">IF($K637="",0,IFERROR(INDEX(CALC!$AI$2:$AI$33,MATCH($K637,CALC!$A$2:$A$33,0)),0))</f>
        <v>0</v>
      </c>
      <c r="AU637" s="2">
        <f t="shared" si="11"/>
        <v>0</v>
      </c>
      <c r="AV637" s="2">
        <f t="shared" si="12"/>
        <v>0</v>
      </c>
    </row>
    <row r="638" ht="15.0" customHeight="1">
      <c r="A638" s="2">
        <v>318.0</v>
      </c>
      <c r="B638" s="2" t="s">
        <v>2366</v>
      </c>
      <c r="C638" s="2" t="str">
        <f>IFERROR(MATCH($A638,SchedSeq,0),"")</f>
        <v/>
      </c>
      <c r="D638" s="2" t="str">
        <f t="array" ref="D638">IF($C638="","",INDEX(SchedZone,$C638,MAP!$B$6))</f>
        <v/>
      </c>
      <c r="E638" s="2" t="str">
        <f t="array" ref="E638">IF($C638="","",INDEX(SchedZone,$C638,MAP!$B$3))</f>
        <v/>
      </c>
      <c r="F638" s="2" t="str">
        <f t="array" ref="F638">IF($C638="","",INDEX(SchedZone,$C638,MAP!$B$5))</f>
        <v/>
      </c>
      <c r="G638" s="2" t="str">
        <f t="array" ref="G638">IF($C638="","",INDEX(SchedZone,$C638,MAP!$B$4))</f>
        <v/>
      </c>
      <c r="H638" s="2" t="str">
        <f t="array" ref="H638">IF($C638="","",INDEX(SchedZone,$C638,MAP!$B$10))</f>
        <v/>
      </c>
      <c r="I638" s="2" t="str">
        <f t="array" ref="I638">IF($H638="","",IF(COUNTIF(Teams,$H638)&gt;0,$H638,IFERROR(INDEX(LISTS!$D$2:$D$12,MATCH($H638,LISTS!$C$2:$C$12,0)),"⚠ "&amp;$H638)))</f>
        <v/>
      </c>
      <c r="J638" s="2" t="str">
        <f t="array" ref="J638">IF($C638="","",INDEX(SchedZone,$C638,MAP!$B$12))</f>
        <v/>
      </c>
      <c r="K638" s="2" t="str">
        <f t="array" ref="K638">IF($J638="","",IF(COUNTIF(Teams,$J638)&gt;0,$J638,IFERROR(INDEX(LISTS!$D$2:$D$12,MATCH($J638,LISTS!$C$2:$C$12,0)),"⚠ "&amp;$J638)))</f>
        <v/>
      </c>
      <c r="L638" s="2" t="str">
        <f t="array" ref="L638">IF($C638="","",IF(INDEX(SchedZone,$C638,MAP!$B$14)="Neutral","N",IF($B638="HOME","H","A")))</f>
        <v/>
      </c>
      <c r="M638" s="2" t="str">
        <f t="array" ref="M638">IF($C638="","",IF(INDEX(SchedZone,$C638,MAP!$B$11)="","",INDEX(SchedZone,$C638,MAP!$B$11)))</f>
        <v/>
      </c>
      <c r="N638" s="2" t="str">
        <f t="array" ref="N638">IF($C638="","",IF(INDEX(SchedZone,$C638,MAP!$B$13)="","",INDEX(SchedZone,$C638,MAP!$B$13)))</f>
        <v/>
      </c>
      <c r="O638" s="2" t="str">
        <f t="array" ref="O638">IF($C638="","",INDEX(SchedZone,$C638,MAP!$B$15))</f>
        <v/>
      </c>
      <c r="P638" s="2" t="str">
        <f>IF($C638="","",IFERROR(MATCH($E638&amp;"|"&amp;$G638&amp;"|"&amp;$I638,StatsKey,0),""))</f>
        <v/>
      </c>
      <c r="Q638" s="2">
        <f t="array" ref="Q638">IF($P638="",0,INDEX(StatsZone,$P638,MAP!$E$9)+INDEX(StatsZone,$P638,MAP!$E$10)+INDEX(StatsZone,$P638,MAP!$E$11))</f>
        <v>0</v>
      </c>
      <c r="R638" s="2">
        <f t="array" ref="R638">IF($P638="",0,INDEX(StatsZone,$P638,MAP!$E$12))</f>
        <v>0</v>
      </c>
      <c r="S638" s="2">
        <f t="array" ref="S638">IF($P638="",0,INDEX(StatsZone,$P638,MAP!$E$13))</f>
        <v>0</v>
      </c>
      <c r="T638" s="2">
        <f t="shared" si="1"/>
        <v>0</v>
      </c>
      <c r="U638" s="2">
        <f t="array" ref="U638">IF($P638="",0,INDEX(StatsZone,$P638,MAP!$E$14)+INDEX(StatsZone,$P638,MAP!$E$15)+INDEX(StatsZone,$P638,MAP!$E$16))</f>
        <v>0</v>
      </c>
      <c r="V638" s="2">
        <f t="shared" si="2"/>
        <v>0</v>
      </c>
      <c r="W638" s="2">
        <f t="shared" si="3"/>
        <v>0</v>
      </c>
      <c r="X638" s="2">
        <f t="shared" si="4"/>
        <v>0</v>
      </c>
      <c r="Y638" s="2">
        <f t="shared" si="5"/>
        <v>0</v>
      </c>
      <c r="Z638" s="2">
        <f t="shared" si="6"/>
        <v>0</v>
      </c>
      <c r="AA638" s="2">
        <f t="shared" si="7"/>
        <v>0</v>
      </c>
      <c r="AB638" s="2">
        <f>IF(OR($M638="",$N638=""),0,MEDIAN(-MarginCap,MarginCap,($M638-$N638)-$AA638*HFA_Base))</f>
        <v>0</v>
      </c>
      <c r="AC638" s="2">
        <f t="array" ref="AC638">IF(OR($P638="",INDEX($P$3:$P$722,(ROW()+IF(MOD(ROW()-3,2)=0,1,-1))-3+1)=""),0,MEDIAN(-MarginCap,MarginCap,($T638-$W638)-$AA638*HFA_Base))</f>
        <v>0</v>
      </c>
      <c r="AD638" s="2">
        <f t="shared" si="8"/>
        <v>0</v>
      </c>
      <c r="AE638" s="2">
        <f>IF(OR($M638="",$N638=""),0,IF(AND(WEpa&gt;0,$AD638=1),(1-WEpa)*$AB638+WEpa*$AC638,$AB638))</f>
        <v>0</v>
      </c>
      <c r="AF638" s="2">
        <f>IF(AND($C638&lt;&gt;"",$E638=CurrentSeason,$F638="REG",ISNUMBER($G638),$G638&lt;CurrentWeek,AND($M638&lt;&gt;"",$N638&lt;&gt;"")),1,0)</f>
        <v>0</v>
      </c>
      <c r="AG638" s="2">
        <f>IF($AF638=0,0,IF($G638&gt;=CurrentWeek-RecencyWin,RecencyMult,1))</f>
        <v>0</v>
      </c>
      <c r="AH638" s="2">
        <f>IF(AND($C638&lt;&gt;"",$E638=CurrentSeason,$F638="REG",ISNUMBER($G638),$G638&lt;CurrentWeek-1,AND($M638&lt;&gt;"",$N638&lt;&gt;"")),1,0)</f>
        <v>0</v>
      </c>
      <c r="AI638" s="2">
        <f>IF($AH638=0,0,IF($G638&gt;=CurrentWeek-1-RecencyWin,RecencyMult,1))</f>
        <v>0</v>
      </c>
      <c r="AJ638" s="2">
        <f>IF($AF638=0,0,IF($G638&gt;=CurrentWeek-RecencyWin,TotRecency,1))</f>
        <v>0</v>
      </c>
      <c r="AK638" s="2">
        <f t="shared" si="9"/>
        <v>0</v>
      </c>
      <c r="AL638" s="2">
        <f t="shared" si="10"/>
        <v>0</v>
      </c>
      <c r="AM638" s="2">
        <f t="array" ref="AM638">IF($K638="",0,IFERROR(INDEX(CALC!$F$2:$F$33,MATCH($K638,CALC!$A$2:$A$33,0)),0))</f>
        <v>0</v>
      </c>
      <c r="AN638" s="2">
        <f t="array" ref="AN638">IF($K638="",0,IFERROR(INDEX(CALC!$I$2:$I$33,MATCH($K638,CALC!$A$2:$A$33,0)),0))</f>
        <v>0</v>
      </c>
      <c r="AO638" s="2">
        <f t="array" ref="AO638">IF($K638="",0,IFERROR(INDEX(CALC!$L$2:$L$33,MATCH($K638,CALC!$A$2:$A$33,0)),0))</f>
        <v>0</v>
      </c>
      <c r="AP638" s="2">
        <f t="array" ref="AP638">IF($K638="",0,IFERROR(INDEX(CALC!$T$2:$T$33,MATCH($K638,CALC!$A$2:$A$33,0)),0))</f>
        <v>0</v>
      </c>
      <c r="AQ638" s="2">
        <f t="array" ref="AQ638">IF($K638="",0,IFERROR(INDEX(CALC!$W$2:$W$33,MATCH($K638,CALC!$A$2:$A$33,0)),0))</f>
        <v>0</v>
      </c>
      <c r="AR638" s="2">
        <f t="array" ref="AR638">IF($K638="",0,IFERROR(INDEX(CALC!$Z$2:$Z$33,MATCH($K638,CALC!$A$2:$A$33,0)),0))</f>
        <v>0</v>
      </c>
      <c r="AS638" s="2">
        <f t="array" ref="AS638">IF($K638="",0,IFERROR(INDEX(CALC!$AJ$2:$AJ$33,MATCH($K638,CALC!$A$2:$A$33,0)),0))</f>
        <v>0</v>
      </c>
      <c r="AT638" s="2">
        <f t="array" ref="AT638">IF($K638="",0,IFERROR(INDEX(CALC!$AI$2:$AI$33,MATCH($K638,CALC!$A$2:$A$33,0)),0))</f>
        <v>0</v>
      </c>
      <c r="AU638" s="2">
        <f t="shared" si="11"/>
        <v>0</v>
      </c>
      <c r="AV638" s="2">
        <f t="shared" si="12"/>
        <v>0</v>
      </c>
    </row>
    <row r="639" ht="15.0" customHeight="1">
      <c r="A639" s="2">
        <v>319.0</v>
      </c>
      <c r="B639" s="2" t="s">
        <v>2365</v>
      </c>
      <c r="C639" s="2" t="str">
        <f>IFERROR(MATCH($A639,SchedSeq,0),"")</f>
        <v/>
      </c>
      <c r="D639" s="2" t="str">
        <f t="array" ref="D639">IF($C639="","",INDEX(SchedZone,$C639,MAP!$B$6))</f>
        <v/>
      </c>
      <c r="E639" s="2" t="str">
        <f t="array" ref="E639">IF($C639="","",INDEX(SchedZone,$C639,MAP!$B$3))</f>
        <v/>
      </c>
      <c r="F639" s="2" t="str">
        <f t="array" ref="F639">IF($C639="","",INDEX(SchedZone,$C639,MAP!$B$5))</f>
        <v/>
      </c>
      <c r="G639" s="2" t="str">
        <f t="array" ref="G639">IF($C639="","",INDEX(SchedZone,$C639,MAP!$B$4))</f>
        <v/>
      </c>
      <c r="H639" s="2" t="str">
        <f t="array" ref="H639">IF($C639="","",INDEX(SchedZone,$C639,MAP!$B$12))</f>
        <v/>
      </c>
      <c r="I639" s="2" t="str">
        <f t="array" ref="I639">IF($H639="","",IF(COUNTIF(Teams,$H639)&gt;0,$H639,IFERROR(INDEX(LISTS!$D$2:$D$12,MATCH($H639,LISTS!$C$2:$C$12,0)),"⚠ "&amp;$H639)))</f>
        <v/>
      </c>
      <c r="J639" s="2" t="str">
        <f t="array" ref="J639">IF($C639="","",INDEX(SchedZone,$C639,MAP!$B$10))</f>
        <v/>
      </c>
      <c r="K639" s="2" t="str">
        <f t="array" ref="K639">IF($J639="","",IF(COUNTIF(Teams,$J639)&gt;0,$J639,IFERROR(INDEX(LISTS!$D$2:$D$12,MATCH($J639,LISTS!$C$2:$C$12,0)),"⚠ "&amp;$J639)))</f>
        <v/>
      </c>
      <c r="L639" s="2" t="str">
        <f t="array" ref="L639">IF($C639="","",IF(INDEX(SchedZone,$C639,MAP!$B$14)="Neutral","N",IF($B639="HOME","H","A")))</f>
        <v/>
      </c>
      <c r="M639" s="2" t="str">
        <f t="array" ref="M639">IF($C639="","",IF(INDEX(SchedZone,$C639,MAP!$B$13)="","",INDEX(SchedZone,$C639,MAP!$B$13)))</f>
        <v/>
      </c>
      <c r="N639" s="2" t="str">
        <f t="array" ref="N639">IF($C639="","",IF(INDEX(SchedZone,$C639,MAP!$B$11)="","",INDEX(SchedZone,$C639,MAP!$B$11)))</f>
        <v/>
      </c>
      <c r="O639" s="2" t="str">
        <f t="array" ref="O639">IF($C639="","",INDEX(SchedZone,$C639,MAP!$B$16))</f>
        <v/>
      </c>
      <c r="P639" s="2" t="str">
        <f>IF($C639="","",IFERROR(MATCH($E639&amp;"|"&amp;$G639&amp;"|"&amp;$I639,StatsKey,0),""))</f>
        <v/>
      </c>
      <c r="Q639" s="2">
        <f t="array" ref="Q639">IF($P639="",0,INDEX(StatsZone,$P639,MAP!$E$9)+INDEX(StatsZone,$P639,MAP!$E$10)+INDEX(StatsZone,$P639,MAP!$E$11))</f>
        <v>0</v>
      </c>
      <c r="R639" s="2">
        <f t="array" ref="R639">IF($P639="",0,INDEX(StatsZone,$P639,MAP!$E$12))</f>
        <v>0</v>
      </c>
      <c r="S639" s="2">
        <f t="array" ref="S639">IF($P639="",0,INDEX(StatsZone,$P639,MAP!$E$13))</f>
        <v>0</v>
      </c>
      <c r="T639" s="2">
        <f t="shared" si="1"/>
        <v>0</v>
      </c>
      <c r="U639" s="2">
        <f t="array" ref="U639">IF($P639="",0,INDEX(StatsZone,$P639,MAP!$E$14)+INDEX(StatsZone,$P639,MAP!$E$15)+INDEX(StatsZone,$P639,MAP!$E$16))</f>
        <v>0</v>
      </c>
      <c r="V639" s="2">
        <f t="shared" si="2"/>
        <v>0</v>
      </c>
      <c r="W639" s="2">
        <f t="shared" si="3"/>
        <v>0</v>
      </c>
      <c r="X639" s="2">
        <f t="shared" si="4"/>
        <v>0</v>
      </c>
      <c r="Y639" s="2">
        <f t="shared" si="5"/>
        <v>0</v>
      </c>
      <c r="Z639" s="2">
        <f t="shared" si="6"/>
        <v>0</v>
      </c>
      <c r="AA639" s="2">
        <f t="shared" si="7"/>
        <v>0</v>
      </c>
      <c r="AB639" s="2">
        <f>IF(OR($M639="",$N639=""),0,MEDIAN(-MarginCap,MarginCap,($M639-$N639)-$AA639*HFA_Base))</f>
        <v>0</v>
      </c>
      <c r="AC639" s="2">
        <f t="array" ref="AC639">IF(OR($P639="",INDEX($P$3:$P$722,(ROW()+IF(MOD(ROW()-3,2)=0,1,-1))-3+1)=""),0,MEDIAN(-MarginCap,MarginCap,($T639-$W639)-$AA639*HFA_Base))</f>
        <v>0</v>
      </c>
      <c r="AD639" s="2">
        <f t="shared" si="8"/>
        <v>0</v>
      </c>
      <c r="AE639" s="2">
        <f>IF(OR($M639="",$N639=""),0,IF(AND(WEpa&gt;0,$AD639=1),(1-WEpa)*$AB639+WEpa*$AC639,$AB639))</f>
        <v>0</v>
      </c>
      <c r="AF639" s="2">
        <f>IF(AND($C639&lt;&gt;"",$E639=CurrentSeason,$F639="REG",ISNUMBER($G639),$G639&lt;CurrentWeek,AND($M639&lt;&gt;"",$N639&lt;&gt;"")),1,0)</f>
        <v>0</v>
      </c>
      <c r="AG639" s="2">
        <f>IF($AF639=0,0,IF($G639&gt;=CurrentWeek-RecencyWin,RecencyMult,1))</f>
        <v>0</v>
      </c>
      <c r="AH639" s="2">
        <f>IF(AND($C639&lt;&gt;"",$E639=CurrentSeason,$F639="REG",ISNUMBER($G639),$G639&lt;CurrentWeek-1,AND($M639&lt;&gt;"",$N639&lt;&gt;"")),1,0)</f>
        <v>0</v>
      </c>
      <c r="AI639" s="2">
        <f>IF($AH639=0,0,IF($G639&gt;=CurrentWeek-1-RecencyWin,RecencyMult,1))</f>
        <v>0</v>
      </c>
      <c r="AJ639" s="2">
        <f>IF($AF639=0,0,IF($G639&gt;=CurrentWeek-RecencyWin,TotRecency,1))</f>
        <v>0</v>
      </c>
      <c r="AK639" s="2">
        <f t="shared" si="9"/>
        <v>0</v>
      </c>
      <c r="AL639" s="2">
        <f t="shared" si="10"/>
        <v>0</v>
      </c>
      <c r="AM639" s="2">
        <f t="array" ref="AM639">IF($K639="",0,IFERROR(INDEX(CALC!$F$2:$F$33,MATCH($K639,CALC!$A$2:$A$33,0)),0))</f>
        <v>0</v>
      </c>
      <c r="AN639" s="2">
        <f t="array" ref="AN639">IF($K639="",0,IFERROR(INDEX(CALC!$I$2:$I$33,MATCH($K639,CALC!$A$2:$A$33,0)),0))</f>
        <v>0</v>
      </c>
      <c r="AO639" s="2">
        <f t="array" ref="AO639">IF($K639="",0,IFERROR(INDEX(CALC!$L$2:$L$33,MATCH($K639,CALC!$A$2:$A$33,0)),0))</f>
        <v>0</v>
      </c>
      <c r="AP639" s="2">
        <f t="array" ref="AP639">IF($K639="",0,IFERROR(INDEX(CALC!$T$2:$T$33,MATCH($K639,CALC!$A$2:$A$33,0)),0))</f>
        <v>0</v>
      </c>
      <c r="AQ639" s="2">
        <f t="array" ref="AQ639">IF($K639="",0,IFERROR(INDEX(CALC!$W$2:$W$33,MATCH($K639,CALC!$A$2:$A$33,0)),0))</f>
        <v>0</v>
      </c>
      <c r="AR639" s="2">
        <f t="array" ref="AR639">IF($K639="",0,IFERROR(INDEX(CALC!$Z$2:$Z$33,MATCH($K639,CALC!$A$2:$A$33,0)),0))</f>
        <v>0</v>
      </c>
      <c r="AS639" s="2">
        <f t="array" ref="AS639">IF($K639="",0,IFERROR(INDEX(CALC!$AJ$2:$AJ$33,MATCH($K639,CALC!$A$2:$A$33,0)),0))</f>
        <v>0</v>
      </c>
      <c r="AT639" s="2">
        <f t="array" ref="AT639">IF($K639="",0,IFERROR(INDEX(CALC!$AI$2:$AI$33,MATCH($K639,CALC!$A$2:$A$33,0)),0))</f>
        <v>0</v>
      </c>
      <c r="AU639" s="2">
        <f t="shared" si="11"/>
        <v>0</v>
      </c>
      <c r="AV639" s="2">
        <f t="shared" si="12"/>
        <v>0</v>
      </c>
    </row>
    <row r="640" ht="15.0" customHeight="1">
      <c r="A640" s="2">
        <v>319.0</v>
      </c>
      <c r="B640" s="2" t="s">
        <v>2366</v>
      </c>
      <c r="C640" s="2" t="str">
        <f>IFERROR(MATCH($A640,SchedSeq,0),"")</f>
        <v/>
      </c>
      <c r="D640" s="2" t="str">
        <f t="array" ref="D640">IF($C640="","",INDEX(SchedZone,$C640,MAP!$B$6))</f>
        <v/>
      </c>
      <c r="E640" s="2" t="str">
        <f t="array" ref="E640">IF($C640="","",INDEX(SchedZone,$C640,MAP!$B$3))</f>
        <v/>
      </c>
      <c r="F640" s="2" t="str">
        <f t="array" ref="F640">IF($C640="","",INDEX(SchedZone,$C640,MAP!$B$5))</f>
        <v/>
      </c>
      <c r="G640" s="2" t="str">
        <f t="array" ref="G640">IF($C640="","",INDEX(SchedZone,$C640,MAP!$B$4))</f>
        <v/>
      </c>
      <c r="H640" s="2" t="str">
        <f t="array" ref="H640">IF($C640="","",INDEX(SchedZone,$C640,MAP!$B$10))</f>
        <v/>
      </c>
      <c r="I640" s="2" t="str">
        <f t="array" ref="I640">IF($H640="","",IF(COUNTIF(Teams,$H640)&gt;0,$H640,IFERROR(INDEX(LISTS!$D$2:$D$12,MATCH($H640,LISTS!$C$2:$C$12,0)),"⚠ "&amp;$H640)))</f>
        <v/>
      </c>
      <c r="J640" s="2" t="str">
        <f t="array" ref="J640">IF($C640="","",INDEX(SchedZone,$C640,MAP!$B$12))</f>
        <v/>
      </c>
      <c r="K640" s="2" t="str">
        <f t="array" ref="K640">IF($J640="","",IF(COUNTIF(Teams,$J640)&gt;0,$J640,IFERROR(INDEX(LISTS!$D$2:$D$12,MATCH($J640,LISTS!$C$2:$C$12,0)),"⚠ "&amp;$J640)))</f>
        <v/>
      </c>
      <c r="L640" s="2" t="str">
        <f t="array" ref="L640">IF($C640="","",IF(INDEX(SchedZone,$C640,MAP!$B$14)="Neutral","N",IF($B640="HOME","H","A")))</f>
        <v/>
      </c>
      <c r="M640" s="2" t="str">
        <f t="array" ref="M640">IF($C640="","",IF(INDEX(SchedZone,$C640,MAP!$B$11)="","",INDEX(SchedZone,$C640,MAP!$B$11)))</f>
        <v/>
      </c>
      <c r="N640" s="2" t="str">
        <f t="array" ref="N640">IF($C640="","",IF(INDEX(SchedZone,$C640,MAP!$B$13)="","",INDEX(SchedZone,$C640,MAP!$B$13)))</f>
        <v/>
      </c>
      <c r="O640" s="2" t="str">
        <f t="array" ref="O640">IF($C640="","",INDEX(SchedZone,$C640,MAP!$B$15))</f>
        <v/>
      </c>
      <c r="P640" s="2" t="str">
        <f>IF($C640="","",IFERROR(MATCH($E640&amp;"|"&amp;$G640&amp;"|"&amp;$I640,StatsKey,0),""))</f>
        <v/>
      </c>
      <c r="Q640" s="2">
        <f t="array" ref="Q640">IF($P640="",0,INDEX(StatsZone,$P640,MAP!$E$9)+INDEX(StatsZone,$P640,MAP!$E$10)+INDEX(StatsZone,$P640,MAP!$E$11))</f>
        <v>0</v>
      </c>
      <c r="R640" s="2">
        <f t="array" ref="R640">IF($P640="",0,INDEX(StatsZone,$P640,MAP!$E$12))</f>
        <v>0</v>
      </c>
      <c r="S640" s="2">
        <f t="array" ref="S640">IF($P640="",0,INDEX(StatsZone,$P640,MAP!$E$13))</f>
        <v>0</v>
      </c>
      <c r="T640" s="2">
        <f t="shared" si="1"/>
        <v>0</v>
      </c>
      <c r="U640" s="2">
        <f t="array" ref="U640">IF($P640="",0,INDEX(StatsZone,$P640,MAP!$E$14)+INDEX(StatsZone,$P640,MAP!$E$15)+INDEX(StatsZone,$P640,MAP!$E$16))</f>
        <v>0</v>
      </c>
      <c r="V640" s="2">
        <f t="shared" si="2"/>
        <v>0</v>
      </c>
      <c r="W640" s="2">
        <f t="shared" si="3"/>
        <v>0</v>
      </c>
      <c r="X640" s="2">
        <f t="shared" si="4"/>
        <v>0</v>
      </c>
      <c r="Y640" s="2">
        <f t="shared" si="5"/>
        <v>0</v>
      </c>
      <c r="Z640" s="2">
        <f t="shared" si="6"/>
        <v>0</v>
      </c>
      <c r="AA640" s="2">
        <f t="shared" si="7"/>
        <v>0</v>
      </c>
      <c r="AB640" s="2">
        <f>IF(OR($M640="",$N640=""),0,MEDIAN(-MarginCap,MarginCap,($M640-$N640)-$AA640*HFA_Base))</f>
        <v>0</v>
      </c>
      <c r="AC640" s="2">
        <f t="array" ref="AC640">IF(OR($P640="",INDEX($P$3:$P$722,(ROW()+IF(MOD(ROW()-3,2)=0,1,-1))-3+1)=""),0,MEDIAN(-MarginCap,MarginCap,($T640-$W640)-$AA640*HFA_Base))</f>
        <v>0</v>
      </c>
      <c r="AD640" s="2">
        <f t="shared" si="8"/>
        <v>0</v>
      </c>
      <c r="AE640" s="2">
        <f>IF(OR($M640="",$N640=""),0,IF(AND(WEpa&gt;0,$AD640=1),(1-WEpa)*$AB640+WEpa*$AC640,$AB640))</f>
        <v>0</v>
      </c>
      <c r="AF640" s="2">
        <f>IF(AND($C640&lt;&gt;"",$E640=CurrentSeason,$F640="REG",ISNUMBER($G640),$G640&lt;CurrentWeek,AND($M640&lt;&gt;"",$N640&lt;&gt;"")),1,0)</f>
        <v>0</v>
      </c>
      <c r="AG640" s="2">
        <f>IF($AF640=0,0,IF($G640&gt;=CurrentWeek-RecencyWin,RecencyMult,1))</f>
        <v>0</v>
      </c>
      <c r="AH640" s="2">
        <f>IF(AND($C640&lt;&gt;"",$E640=CurrentSeason,$F640="REG",ISNUMBER($G640),$G640&lt;CurrentWeek-1,AND($M640&lt;&gt;"",$N640&lt;&gt;"")),1,0)</f>
        <v>0</v>
      </c>
      <c r="AI640" s="2">
        <f>IF($AH640=0,0,IF($G640&gt;=CurrentWeek-1-RecencyWin,RecencyMult,1))</f>
        <v>0</v>
      </c>
      <c r="AJ640" s="2">
        <f>IF($AF640=0,0,IF($G640&gt;=CurrentWeek-RecencyWin,TotRecency,1))</f>
        <v>0</v>
      </c>
      <c r="AK640" s="2">
        <f t="shared" si="9"/>
        <v>0</v>
      </c>
      <c r="AL640" s="2">
        <f t="shared" si="10"/>
        <v>0</v>
      </c>
      <c r="AM640" s="2">
        <f t="array" ref="AM640">IF($K640="",0,IFERROR(INDEX(CALC!$F$2:$F$33,MATCH($K640,CALC!$A$2:$A$33,0)),0))</f>
        <v>0</v>
      </c>
      <c r="AN640" s="2">
        <f t="array" ref="AN640">IF($K640="",0,IFERROR(INDEX(CALC!$I$2:$I$33,MATCH($K640,CALC!$A$2:$A$33,0)),0))</f>
        <v>0</v>
      </c>
      <c r="AO640" s="2">
        <f t="array" ref="AO640">IF($K640="",0,IFERROR(INDEX(CALC!$L$2:$L$33,MATCH($K640,CALC!$A$2:$A$33,0)),0))</f>
        <v>0</v>
      </c>
      <c r="AP640" s="2">
        <f t="array" ref="AP640">IF($K640="",0,IFERROR(INDEX(CALC!$T$2:$T$33,MATCH($K640,CALC!$A$2:$A$33,0)),0))</f>
        <v>0</v>
      </c>
      <c r="AQ640" s="2">
        <f t="array" ref="AQ640">IF($K640="",0,IFERROR(INDEX(CALC!$W$2:$W$33,MATCH($K640,CALC!$A$2:$A$33,0)),0))</f>
        <v>0</v>
      </c>
      <c r="AR640" s="2">
        <f t="array" ref="AR640">IF($K640="",0,IFERROR(INDEX(CALC!$Z$2:$Z$33,MATCH($K640,CALC!$A$2:$A$33,0)),0))</f>
        <v>0</v>
      </c>
      <c r="AS640" s="2">
        <f t="array" ref="AS640">IF($K640="",0,IFERROR(INDEX(CALC!$AJ$2:$AJ$33,MATCH($K640,CALC!$A$2:$A$33,0)),0))</f>
        <v>0</v>
      </c>
      <c r="AT640" s="2">
        <f t="array" ref="AT640">IF($K640="",0,IFERROR(INDEX(CALC!$AI$2:$AI$33,MATCH($K640,CALC!$A$2:$A$33,0)),0))</f>
        <v>0</v>
      </c>
      <c r="AU640" s="2">
        <f t="shared" si="11"/>
        <v>0</v>
      </c>
      <c r="AV640" s="2">
        <f t="shared" si="12"/>
        <v>0</v>
      </c>
    </row>
    <row r="641" ht="15.0" customHeight="1">
      <c r="A641" s="2">
        <v>320.0</v>
      </c>
      <c r="B641" s="2" t="s">
        <v>2365</v>
      </c>
      <c r="C641" s="2" t="str">
        <f>IFERROR(MATCH($A641,SchedSeq,0),"")</f>
        <v/>
      </c>
      <c r="D641" s="2" t="str">
        <f t="array" ref="D641">IF($C641="","",INDEX(SchedZone,$C641,MAP!$B$6))</f>
        <v/>
      </c>
      <c r="E641" s="2" t="str">
        <f t="array" ref="E641">IF($C641="","",INDEX(SchedZone,$C641,MAP!$B$3))</f>
        <v/>
      </c>
      <c r="F641" s="2" t="str">
        <f t="array" ref="F641">IF($C641="","",INDEX(SchedZone,$C641,MAP!$B$5))</f>
        <v/>
      </c>
      <c r="G641" s="2" t="str">
        <f t="array" ref="G641">IF($C641="","",INDEX(SchedZone,$C641,MAP!$B$4))</f>
        <v/>
      </c>
      <c r="H641" s="2" t="str">
        <f t="array" ref="H641">IF($C641="","",INDEX(SchedZone,$C641,MAP!$B$12))</f>
        <v/>
      </c>
      <c r="I641" s="2" t="str">
        <f t="array" ref="I641">IF($H641="","",IF(COUNTIF(Teams,$H641)&gt;0,$H641,IFERROR(INDEX(LISTS!$D$2:$D$12,MATCH($H641,LISTS!$C$2:$C$12,0)),"⚠ "&amp;$H641)))</f>
        <v/>
      </c>
      <c r="J641" s="2" t="str">
        <f t="array" ref="J641">IF($C641="","",INDEX(SchedZone,$C641,MAP!$B$10))</f>
        <v/>
      </c>
      <c r="K641" s="2" t="str">
        <f t="array" ref="K641">IF($J641="","",IF(COUNTIF(Teams,$J641)&gt;0,$J641,IFERROR(INDEX(LISTS!$D$2:$D$12,MATCH($J641,LISTS!$C$2:$C$12,0)),"⚠ "&amp;$J641)))</f>
        <v/>
      </c>
      <c r="L641" s="2" t="str">
        <f t="array" ref="L641">IF($C641="","",IF(INDEX(SchedZone,$C641,MAP!$B$14)="Neutral","N",IF($B641="HOME","H","A")))</f>
        <v/>
      </c>
      <c r="M641" s="2" t="str">
        <f t="array" ref="M641">IF($C641="","",IF(INDEX(SchedZone,$C641,MAP!$B$13)="","",INDEX(SchedZone,$C641,MAP!$B$13)))</f>
        <v/>
      </c>
      <c r="N641" s="2" t="str">
        <f t="array" ref="N641">IF($C641="","",IF(INDEX(SchedZone,$C641,MAP!$B$11)="","",INDEX(SchedZone,$C641,MAP!$B$11)))</f>
        <v/>
      </c>
      <c r="O641" s="2" t="str">
        <f t="array" ref="O641">IF($C641="","",INDEX(SchedZone,$C641,MAP!$B$16))</f>
        <v/>
      </c>
      <c r="P641" s="2" t="str">
        <f>IF($C641="","",IFERROR(MATCH($E641&amp;"|"&amp;$G641&amp;"|"&amp;$I641,StatsKey,0),""))</f>
        <v/>
      </c>
      <c r="Q641" s="2">
        <f t="array" ref="Q641">IF($P641="",0,INDEX(StatsZone,$P641,MAP!$E$9)+INDEX(StatsZone,$P641,MAP!$E$10)+INDEX(StatsZone,$P641,MAP!$E$11))</f>
        <v>0</v>
      </c>
      <c r="R641" s="2">
        <f t="array" ref="R641">IF($P641="",0,INDEX(StatsZone,$P641,MAP!$E$12))</f>
        <v>0</v>
      </c>
      <c r="S641" s="2">
        <f t="array" ref="S641">IF($P641="",0,INDEX(StatsZone,$P641,MAP!$E$13))</f>
        <v>0</v>
      </c>
      <c r="T641" s="2">
        <f t="shared" si="1"/>
        <v>0</v>
      </c>
      <c r="U641" s="2">
        <f t="array" ref="U641">IF($P641="",0,INDEX(StatsZone,$P641,MAP!$E$14)+INDEX(StatsZone,$P641,MAP!$E$15)+INDEX(StatsZone,$P641,MAP!$E$16))</f>
        <v>0</v>
      </c>
      <c r="V641" s="2">
        <f t="shared" si="2"/>
        <v>0</v>
      </c>
      <c r="W641" s="2">
        <f t="shared" si="3"/>
        <v>0</v>
      </c>
      <c r="X641" s="2">
        <f t="shared" si="4"/>
        <v>0</v>
      </c>
      <c r="Y641" s="2">
        <f t="shared" si="5"/>
        <v>0</v>
      </c>
      <c r="Z641" s="2">
        <f t="shared" si="6"/>
        <v>0</v>
      </c>
      <c r="AA641" s="2">
        <f t="shared" si="7"/>
        <v>0</v>
      </c>
      <c r="AB641" s="2">
        <f>IF(OR($M641="",$N641=""),0,MEDIAN(-MarginCap,MarginCap,($M641-$N641)-$AA641*HFA_Base))</f>
        <v>0</v>
      </c>
      <c r="AC641" s="2">
        <f t="array" ref="AC641">IF(OR($P641="",INDEX($P$3:$P$722,(ROW()+IF(MOD(ROW()-3,2)=0,1,-1))-3+1)=""),0,MEDIAN(-MarginCap,MarginCap,($T641-$W641)-$AA641*HFA_Base))</f>
        <v>0</v>
      </c>
      <c r="AD641" s="2">
        <f t="shared" si="8"/>
        <v>0</v>
      </c>
      <c r="AE641" s="2">
        <f>IF(OR($M641="",$N641=""),0,IF(AND(WEpa&gt;0,$AD641=1),(1-WEpa)*$AB641+WEpa*$AC641,$AB641))</f>
        <v>0</v>
      </c>
      <c r="AF641" s="2">
        <f>IF(AND($C641&lt;&gt;"",$E641=CurrentSeason,$F641="REG",ISNUMBER($G641),$G641&lt;CurrentWeek,AND($M641&lt;&gt;"",$N641&lt;&gt;"")),1,0)</f>
        <v>0</v>
      </c>
      <c r="AG641" s="2">
        <f>IF($AF641=0,0,IF($G641&gt;=CurrentWeek-RecencyWin,RecencyMult,1))</f>
        <v>0</v>
      </c>
      <c r="AH641" s="2">
        <f>IF(AND($C641&lt;&gt;"",$E641=CurrentSeason,$F641="REG",ISNUMBER($G641),$G641&lt;CurrentWeek-1,AND($M641&lt;&gt;"",$N641&lt;&gt;"")),1,0)</f>
        <v>0</v>
      </c>
      <c r="AI641" s="2">
        <f>IF($AH641=0,0,IF($G641&gt;=CurrentWeek-1-RecencyWin,RecencyMult,1))</f>
        <v>0</v>
      </c>
      <c r="AJ641" s="2">
        <f>IF($AF641=0,0,IF($G641&gt;=CurrentWeek-RecencyWin,TotRecency,1))</f>
        <v>0</v>
      </c>
      <c r="AK641" s="2">
        <f t="shared" si="9"/>
        <v>0</v>
      </c>
      <c r="AL641" s="2">
        <f t="shared" si="10"/>
        <v>0</v>
      </c>
      <c r="AM641" s="2">
        <f t="array" ref="AM641">IF($K641="",0,IFERROR(INDEX(CALC!$F$2:$F$33,MATCH($K641,CALC!$A$2:$A$33,0)),0))</f>
        <v>0</v>
      </c>
      <c r="AN641" s="2">
        <f t="array" ref="AN641">IF($K641="",0,IFERROR(INDEX(CALC!$I$2:$I$33,MATCH($K641,CALC!$A$2:$A$33,0)),0))</f>
        <v>0</v>
      </c>
      <c r="AO641" s="2">
        <f t="array" ref="AO641">IF($K641="",0,IFERROR(INDEX(CALC!$L$2:$L$33,MATCH($K641,CALC!$A$2:$A$33,0)),0))</f>
        <v>0</v>
      </c>
      <c r="AP641" s="2">
        <f t="array" ref="AP641">IF($K641="",0,IFERROR(INDEX(CALC!$T$2:$T$33,MATCH($K641,CALC!$A$2:$A$33,0)),0))</f>
        <v>0</v>
      </c>
      <c r="AQ641" s="2">
        <f t="array" ref="AQ641">IF($K641="",0,IFERROR(INDEX(CALC!$W$2:$W$33,MATCH($K641,CALC!$A$2:$A$33,0)),0))</f>
        <v>0</v>
      </c>
      <c r="AR641" s="2">
        <f t="array" ref="AR641">IF($K641="",0,IFERROR(INDEX(CALC!$Z$2:$Z$33,MATCH($K641,CALC!$A$2:$A$33,0)),0))</f>
        <v>0</v>
      </c>
      <c r="AS641" s="2">
        <f t="array" ref="AS641">IF($K641="",0,IFERROR(INDEX(CALC!$AJ$2:$AJ$33,MATCH($K641,CALC!$A$2:$A$33,0)),0))</f>
        <v>0</v>
      </c>
      <c r="AT641" s="2">
        <f t="array" ref="AT641">IF($K641="",0,IFERROR(INDEX(CALC!$AI$2:$AI$33,MATCH($K641,CALC!$A$2:$A$33,0)),0))</f>
        <v>0</v>
      </c>
      <c r="AU641" s="2">
        <f t="shared" si="11"/>
        <v>0</v>
      </c>
      <c r="AV641" s="2">
        <f t="shared" si="12"/>
        <v>0</v>
      </c>
    </row>
    <row r="642" ht="15.0" customHeight="1">
      <c r="A642" s="2">
        <v>320.0</v>
      </c>
      <c r="B642" s="2" t="s">
        <v>2366</v>
      </c>
      <c r="C642" s="2" t="str">
        <f>IFERROR(MATCH($A642,SchedSeq,0),"")</f>
        <v/>
      </c>
      <c r="D642" s="2" t="str">
        <f t="array" ref="D642">IF($C642="","",INDEX(SchedZone,$C642,MAP!$B$6))</f>
        <v/>
      </c>
      <c r="E642" s="2" t="str">
        <f t="array" ref="E642">IF($C642="","",INDEX(SchedZone,$C642,MAP!$B$3))</f>
        <v/>
      </c>
      <c r="F642" s="2" t="str">
        <f t="array" ref="F642">IF($C642="","",INDEX(SchedZone,$C642,MAP!$B$5))</f>
        <v/>
      </c>
      <c r="G642" s="2" t="str">
        <f t="array" ref="G642">IF($C642="","",INDEX(SchedZone,$C642,MAP!$B$4))</f>
        <v/>
      </c>
      <c r="H642" s="2" t="str">
        <f t="array" ref="H642">IF($C642="","",INDEX(SchedZone,$C642,MAP!$B$10))</f>
        <v/>
      </c>
      <c r="I642" s="2" t="str">
        <f t="array" ref="I642">IF($H642="","",IF(COUNTIF(Teams,$H642)&gt;0,$H642,IFERROR(INDEX(LISTS!$D$2:$D$12,MATCH($H642,LISTS!$C$2:$C$12,0)),"⚠ "&amp;$H642)))</f>
        <v/>
      </c>
      <c r="J642" s="2" t="str">
        <f t="array" ref="J642">IF($C642="","",INDEX(SchedZone,$C642,MAP!$B$12))</f>
        <v/>
      </c>
      <c r="K642" s="2" t="str">
        <f t="array" ref="K642">IF($J642="","",IF(COUNTIF(Teams,$J642)&gt;0,$J642,IFERROR(INDEX(LISTS!$D$2:$D$12,MATCH($J642,LISTS!$C$2:$C$12,0)),"⚠ "&amp;$J642)))</f>
        <v/>
      </c>
      <c r="L642" s="2" t="str">
        <f t="array" ref="L642">IF($C642="","",IF(INDEX(SchedZone,$C642,MAP!$B$14)="Neutral","N",IF($B642="HOME","H","A")))</f>
        <v/>
      </c>
      <c r="M642" s="2" t="str">
        <f t="array" ref="M642">IF($C642="","",IF(INDEX(SchedZone,$C642,MAP!$B$11)="","",INDEX(SchedZone,$C642,MAP!$B$11)))</f>
        <v/>
      </c>
      <c r="N642" s="2" t="str">
        <f t="array" ref="N642">IF($C642="","",IF(INDEX(SchedZone,$C642,MAP!$B$13)="","",INDEX(SchedZone,$C642,MAP!$B$13)))</f>
        <v/>
      </c>
      <c r="O642" s="2" t="str">
        <f t="array" ref="O642">IF($C642="","",INDEX(SchedZone,$C642,MAP!$B$15))</f>
        <v/>
      </c>
      <c r="P642" s="2" t="str">
        <f>IF($C642="","",IFERROR(MATCH($E642&amp;"|"&amp;$G642&amp;"|"&amp;$I642,StatsKey,0),""))</f>
        <v/>
      </c>
      <c r="Q642" s="2">
        <f t="array" ref="Q642">IF($P642="",0,INDEX(StatsZone,$P642,MAP!$E$9)+INDEX(StatsZone,$P642,MAP!$E$10)+INDEX(StatsZone,$P642,MAP!$E$11))</f>
        <v>0</v>
      </c>
      <c r="R642" s="2">
        <f t="array" ref="R642">IF($P642="",0,INDEX(StatsZone,$P642,MAP!$E$12))</f>
        <v>0</v>
      </c>
      <c r="S642" s="2">
        <f t="array" ref="S642">IF($P642="",0,INDEX(StatsZone,$P642,MAP!$E$13))</f>
        <v>0</v>
      </c>
      <c r="T642" s="2">
        <f t="shared" si="1"/>
        <v>0</v>
      </c>
      <c r="U642" s="2">
        <f t="array" ref="U642">IF($P642="",0,INDEX(StatsZone,$P642,MAP!$E$14)+INDEX(StatsZone,$P642,MAP!$E$15)+INDEX(StatsZone,$P642,MAP!$E$16))</f>
        <v>0</v>
      </c>
      <c r="V642" s="2">
        <f t="shared" si="2"/>
        <v>0</v>
      </c>
      <c r="W642" s="2">
        <f t="shared" si="3"/>
        <v>0</v>
      </c>
      <c r="X642" s="2">
        <f t="shared" si="4"/>
        <v>0</v>
      </c>
      <c r="Y642" s="2">
        <f t="shared" si="5"/>
        <v>0</v>
      </c>
      <c r="Z642" s="2">
        <f t="shared" si="6"/>
        <v>0</v>
      </c>
      <c r="AA642" s="2">
        <f t="shared" si="7"/>
        <v>0</v>
      </c>
      <c r="AB642" s="2">
        <f>IF(OR($M642="",$N642=""),0,MEDIAN(-MarginCap,MarginCap,($M642-$N642)-$AA642*HFA_Base))</f>
        <v>0</v>
      </c>
      <c r="AC642" s="2">
        <f t="array" ref="AC642">IF(OR($P642="",INDEX($P$3:$P$722,(ROW()+IF(MOD(ROW()-3,2)=0,1,-1))-3+1)=""),0,MEDIAN(-MarginCap,MarginCap,($T642-$W642)-$AA642*HFA_Base))</f>
        <v>0</v>
      </c>
      <c r="AD642" s="2">
        <f t="shared" si="8"/>
        <v>0</v>
      </c>
      <c r="AE642" s="2">
        <f>IF(OR($M642="",$N642=""),0,IF(AND(WEpa&gt;0,$AD642=1),(1-WEpa)*$AB642+WEpa*$AC642,$AB642))</f>
        <v>0</v>
      </c>
      <c r="AF642" s="2">
        <f>IF(AND($C642&lt;&gt;"",$E642=CurrentSeason,$F642="REG",ISNUMBER($G642),$G642&lt;CurrentWeek,AND($M642&lt;&gt;"",$N642&lt;&gt;"")),1,0)</f>
        <v>0</v>
      </c>
      <c r="AG642" s="2">
        <f>IF($AF642=0,0,IF($G642&gt;=CurrentWeek-RecencyWin,RecencyMult,1))</f>
        <v>0</v>
      </c>
      <c r="AH642" s="2">
        <f>IF(AND($C642&lt;&gt;"",$E642=CurrentSeason,$F642="REG",ISNUMBER($G642),$G642&lt;CurrentWeek-1,AND($M642&lt;&gt;"",$N642&lt;&gt;"")),1,0)</f>
        <v>0</v>
      </c>
      <c r="AI642" s="2">
        <f>IF($AH642=0,0,IF($G642&gt;=CurrentWeek-1-RecencyWin,RecencyMult,1))</f>
        <v>0</v>
      </c>
      <c r="AJ642" s="2">
        <f>IF($AF642=0,0,IF($G642&gt;=CurrentWeek-RecencyWin,TotRecency,1))</f>
        <v>0</v>
      </c>
      <c r="AK642" s="2">
        <f t="shared" si="9"/>
        <v>0</v>
      </c>
      <c r="AL642" s="2">
        <f t="shared" si="10"/>
        <v>0</v>
      </c>
      <c r="AM642" s="2">
        <f t="array" ref="AM642">IF($K642="",0,IFERROR(INDEX(CALC!$F$2:$F$33,MATCH($K642,CALC!$A$2:$A$33,0)),0))</f>
        <v>0</v>
      </c>
      <c r="AN642" s="2">
        <f t="array" ref="AN642">IF($K642="",0,IFERROR(INDEX(CALC!$I$2:$I$33,MATCH($K642,CALC!$A$2:$A$33,0)),0))</f>
        <v>0</v>
      </c>
      <c r="AO642" s="2">
        <f t="array" ref="AO642">IF($K642="",0,IFERROR(INDEX(CALC!$L$2:$L$33,MATCH($K642,CALC!$A$2:$A$33,0)),0))</f>
        <v>0</v>
      </c>
      <c r="AP642" s="2">
        <f t="array" ref="AP642">IF($K642="",0,IFERROR(INDEX(CALC!$T$2:$T$33,MATCH($K642,CALC!$A$2:$A$33,0)),0))</f>
        <v>0</v>
      </c>
      <c r="AQ642" s="2">
        <f t="array" ref="AQ642">IF($K642="",0,IFERROR(INDEX(CALC!$W$2:$W$33,MATCH($K642,CALC!$A$2:$A$33,0)),0))</f>
        <v>0</v>
      </c>
      <c r="AR642" s="2">
        <f t="array" ref="AR642">IF($K642="",0,IFERROR(INDEX(CALC!$Z$2:$Z$33,MATCH($K642,CALC!$A$2:$A$33,0)),0))</f>
        <v>0</v>
      </c>
      <c r="AS642" s="2">
        <f t="array" ref="AS642">IF($K642="",0,IFERROR(INDEX(CALC!$AJ$2:$AJ$33,MATCH($K642,CALC!$A$2:$A$33,0)),0))</f>
        <v>0</v>
      </c>
      <c r="AT642" s="2">
        <f t="array" ref="AT642">IF($K642="",0,IFERROR(INDEX(CALC!$AI$2:$AI$33,MATCH($K642,CALC!$A$2:$A$33,0)),0))</f>
        <v>0</v>
      </c>
      <c r="AU642" s="2">
        <f t="shared" si="11"/>
        <v>0</v>
      </c>
      <c r="AV642" s="2">
        <f t="shared" si="12"/>
        <v>0</v>
      </c>
    </row>
    <row r="643" ht="15.0" customHeight="1">
      <c r="A643" s="2">
        <v>321.0</v>
      </c>
      <c r="B643" s="2" t="s">
        <v>2365</v>
      </c>
      <c r="C643" s="2" t="str">
        <f>IFERROR(MATCH($A643,SchedSeq,0),"")</f>
        <v/>
      </c>
      <c r="D643" s="2" t="str">
        <f t="array" ref="D643">IF($C643="","",INDEX(SchedZone,$C643,MAP!$B$6))</f>
        <v/>
      </c>
      <c r="E643" s="2" t="str">
        <f t="array" ref="E643">IF($C643="","",INDEX(SchedZone,$C643,MAP!$B$3))</f>
        <v/>
      </c>
      <c r="F643" s="2" t="str">
        <f t="array" ref="F643">IF($C643="","",INDEX(SchedZone,$C643,MAP!$B$5))</f>
        <v/>
      </c>
      <c r="G643" s="2" t="str">
        <f t="array" ref="G643">IF($C643="","",INDEX(SchedZone,$C643,MAP!$B$4))</f>
        <v/>
      </c>
      <c r="H643" s="2" t="str">
        <f t="array" ref="H643">IF($C643="","",INDEX(SchedZone,$C643,MAP!$B$12))</f>
        <v/>
      </c>
      <c r="I643" s="2" t="str">
        <f t="array" ref="I643">IF($H643="","",IF(COUNTIF(Teams,$H643)&gt;0,$H643,IFERROR(INDEX(LISTS!$D$2:$D$12,MATCH($H643,LISTS!$C$2:$C$12,0)),"⚠ "&amp;$H643)))</f>
        <v/>
      </c>
      <c r="J643" s="2" t="str">
        <f t="array" ref="J643">IF($C643="","",INDEX(SchedZone,$C643,MAP!$B$10))</f>
        <v/>
      </c>
      <c r="K643" s="2" t="str">
        <f t="array" ref="K643">IF($J643="","",IF(COUNTIF(Teams,$J643)&gt;0,$J643,IFERROR(INDEX(LISTS!$D$2:$D$12,MATCH($J643,LISTS!$C$2:$C$12,0)),"⚠ "&amp;$J643)))</f>
        <v/>
      </c>
      <c r="L643" s="2" t="str">
        <f t="array" ref="L643">IF($C643="","",IF(INDEX(SchedZone,$C643,MAP!$B$14)="Neutral","N",IF($B643="HOME","H","A")))</f>
        <v/>
      </c>
      <c r="M643" s="2" t="str">
        <f t="array" ref="M643">IF($C643="","",IF(INDEX(SchedZone,$C643,MAP!$B$13)="","",INDEX(SchedZone,$C643,MAP!$B$13)))</f>
        <v/>
      </c>
      <c r="N643" s="2" t="str">
        <f t="array" ref="N643">IF($C643="","",IF(INDEX(SchedZone,$C643,MAP!$B$11)="","",INDEX(SchedZone,$C643,MAP!$B$11)))</f>
        <v/>
      </c>
      <c r="O643" s="2" t="str">
        <f t="array" ref="O643">IF($C643="","",INDEX(SchedZone,$C643,MAP!$B$16))</f>
        <v/>
      </c>
      <c r="P643" s="2" t="str">
        <f>IF($C643="","",IFERROR(MATCH($E643&amp;"|"&amp;$G643&amp;"|"&amp;$I643,StatsKey,0),""))</f>
        <v/>
      </c>
      <c r="Q643" s="2">
        <f t="array" ref="Q643">IF($P643="",0,INDEX(StatsZone,$P643,MAP!$E$9)+INDEX(StatsZone,$P643,MAP!$E$10)+INDEX(StatsZone,$P643,MAP!$E$11))</f>
        <v>0</v>
      </c>
      <c r="R643" s="2">
        <f t="array" ref="R643">IF($P643="",0,INDEX(StatsZone,$P643,MAP!$E$12))</f>
        <v>0</v>
      </c>
      <c r="S643" s="2">
        <f t="array" ref="S643">IF($P643="",0,INDEX(StatsZone,$P643,MAP!$E$13))</f>
        <v>0</v>
      </c>
      <c r="T643" s="2">
        <f t="shared" si="1"/>
        <v>0</v>
      </c>
      <c r="U643" s="2">
        <f t="array" ref="U643">IF($P643="",0,INDEX(StatsZone,$P643,MAP!$E$14)+INDEX(StatsZone,$P643,MAP!$E$15)+INDEX(StatsZone,$P643,MAP!$E$16))</f>
        <v>0</v>
      </c>
      <c r="V643" s="2">
        <f t="shared" si="2"/>
        <v>0</v>
      </c>
      <c r="W643" s="2">
        <f t="shared" si="3"/>
        <v>0</v>
      </c>
      <c r="X643" s="2">
        <f t="shared" si="4"/>
        <v>0</v>
      </c>
      <c r="Y643" s="2">
        <f t="shared" si="5"/>
        <v>0</v>
      </c>
      <c r="Z643" s="2">
        <f t="shared" si="6"/>
        <v>0</v>
      </c>
      <c r="AA643" s="2">
        <f t="shared" si="7"/>
        <v>0</v>
      </c>
      <c r="AB643" s="2">
        <f>IF(OR($M643="",$N643=""),0,MEDIAN(-MarginCap,MarginCap,($M643-$N643)-$AA643*HFA_Base))</f>
        <v>0</v>
      </c>
      <c r="AC643" s="2">
        <f t="array" ref="AC643">IF(OR($P643="",INDEX($P$3:$P$722,(ROW()+IF(MOD(ROW()-3,2)=0,1,-1))-3+1)=""),0,MEDIAN(-MarginCap,MarginCap,($T643-$W643)-$AA643*HFA_Base))</f>
        <v>0</v>
      </c>
      <c r="AD643" s="2">
        <f t="shared" si="8"/>
        <v>0</v>
      </c>
      <c r="AE643" s="2">
        <f>IF(OR($M643="",$N643=""),0,IF(AND(WEpa&gt;0,$AD643=1),(1-WEpa)*$AB643+WEpa*$AC643,$AB643))</f>
        <v>0</v>
      </c>
      <c r="AF643" s="2">
        <f>IF(AND($C643&lt;&gt;"",$E643=CurrentSeason,$F643="REG",ISNUMBER($G643),$G643&lt;CurrentWeek,AND($M643&lt;&gt;"",$N643&lt;&gt;"")),1,0)</f>
        <v>0</v>
      </c>
      <c r="AG643" s="2">
        <f>IF($AF643=0,0,IF($G643&gt;=CurrentWeek-RecencyWin,RecencyMult,1))</f>
        <v>0</v>
      </c>
      <c r="AH643" s="2">
        <f>IF(AND($C643&lt;&gt;"",$E643=CurrentSeason,$F643="REG",ISNUMBER($G643),$G643&lt;CurrentWeek-1,AND($M643&lt;&gt;"",$N643&lt;&gt;"")),1,0)</f>
        <v>0</v>
      </c>
      <c r="AI643" s="2">
        <f>IF($AH643=0,0,IF($G643&gt;=CurrentWeek-1-RecencyWin,RecencyMult,1))</f>
        <v>0</v>
      </c>
      <c r="AJ643" s="2">
        <f>IF($AF643=0,0,IF($G643&gt;=CurrentWeek-RecencyWin,TotRecency,1))</f>
        <v>0</v>
      </c>
      <c r="AK643" s="2">
        <f t="shared" si="9"/>
        <v>0</v>
      </c>
      <c r="AL643" s="2">
        <f t="shared" si="10"/>
        <v>0</v>
      </c>
      <c r="AM643" s="2">
        <f t="array" ref="AM643">IF($K643="",0,IFERROR(INDEX(CALC!$F$2:$F$33,MATCH($K643,CALC!$A$2:$A$33,0)),0))</f>
        <v>0</v>
      </c>
      <c r="AN643" s="2">
        <f t="array" ref="AN643">IF($K643="",0,IFERROR(INDEX(CALC!$I$2:$I$33,MATCH($K643,CALC!$A$2:$A$33,0)),0))</f>
        <v>0</v>
      </c>
      <c r="AO643" s="2">
        <f t="array" ref="AO643">IF($K643="",0,IFERROR(INDEX(CALC!$L$2:$L$33,MATCH($K643,CALC!$A$2:$A$33,0)),0))</f>
        <v>0</v>
      </c>
      <c r="AP643" s="2">
        <f t="array" ref="AP643">IF($K643="",0,IFERROR(INDEX(CALC!$T$2:$T$33,MATCH($K643,CALC!$A$2:$A$33,0)),0))</f>
        <v>0</v>
      </c>
      <c r="AQ643" s="2">
        <f t="array" ref="AQ643">IF($K643="",0,IFERROR(INDEX(CALC!$W$2:$W$33,MATCH($K643,CALC!$A$2:$A$33,0)),0))</f>
        <v>0</v>
      </c>
      <c r="AR643" s="2">
        <f t="array" ref="AR643">IF($K643="",0,IFERROR(INDEX(CALC!$Z$2:$Z$33,MATCH($K643,CALC!$A$2:$A$33,0)),0))</f>
        <v>0</v>
      </c>
      <c r="AS643" s="2">
        <f t="array" ref="AS643">IF($K643="",0,IFERROR(INDEX(CALC!$AJ$2:$AJ$33,MATCH($K643,CALC!$A$2:$A$33,0)),0))</f>
        <v>0</v>
      </c>
      <c r="AT643" s="2">
        <f t="array" ref="AT643">IF($K643="",0,IFERROR(INDEX(CALC!$AI$2:$AI$33,MATCH($K643,CALC!$A$2:$A$33,0)),0))</f>
        <v>0</v>
      </c>
      <c r="AU643" s="2">
        <f t="shared" si="11"/>
        <v>0</v>
      </c>
      <c r="AV643" s="2">
        <f t="shared" si="12"/>
        <v>0</v>
      </c>
    </row>
    <row r="644" ht="15.0" customHeight="1">
      <c r="A644" s="2">
        <v>321.0</v>
      </c>
      <c r="B644" s="2" t="s">
        <v>2366</v>
      </c>
      <c r="C644" s="2" t="str">
        <f>IFERROR(MATCH($A644,SchedSeq,0),"")</f>
        <v/>
      </c>
      <c r="D644" s="2" t="str">
        <f t="array" ref="D644">IF($C644="","",INDEX(SchedZone,$C644,MAP!$B$6))</f>
        <v/>
      </c>
      <c r="E644" s="2" t="str">
        <f t="array" ref="E644">IF($C644="","",INDEX(SchedZone,$C644,MAP!$B$3))</f>
        <v/>
      </c>
      <c r="F644" s="2" t="str">
        <f t="array" ref="F644">IF($C644="","",INDEX(SchedZone,$C644,MAP!$B$5))</f>
        <v/>
      </c>
      <c r="G644" s="2" t="str">
        <f t="array" ref="G644">IF($C644="","",INDEX(SchedZone,$C644,MAP!$B$4))</f>
        <v/>
      </c>
      <c r="H644" s="2" t="str">
        <f t="array" ref="H644">IF($C644="","",INDEX(SchedZone,$C644,MAP!$B$10))</f>
        <v/>
      </c>
      <c r="I644" s="2" t="str">
        <f t="array" ref="I644">IF($H644="","",IF(COUNTIF(Teams,$H644)&gt;0,$H644,IFERROR(INDEX(LISTS!$D$2:$D$12,MATCH($H644,LISTS!$C$2:$C$12,0)),"⚠ "&amp;$H644)))</f>
        <v/>
      </c>
      <c r="J644" s="2" t="str">
        <f t="array" ref="J644">IF($C644="","",INDEX(SchedZone,$C644,MAP!$B$12))</f>
        <v/>
      </c>
      <c r="K644" s="2" t="str">
        <f t="array" ref="K644">IF($J644="","",IF(COUNTIF(Teams,$J644)&gt;0,$J644,IFERROR(INDEX(LISTS!$D$2:$D$12,MATCH($J644,LISTS!$C$2:$C$12,0)),"⚠ "&amp;$J644)))</f>
        <v/>
      </c>
      <c r="L644" s="2" t="str">
        <f t="array" ref="L644">IF($C644="","",IF(INDEX(SchedZone,$C644,MAP!$B$14)="Neutral","N",IF($B644="HOME","H","A")))</f>
        <v/>
      </c>
      <c r="M644" s="2" t="str">
        <f t="array" ref="M644">IF($C644="","",IF(INDEX(SchedZone,$C644,MAP!$B$11)="","",INDEX(SchedZone,$C644,MAP!$B$11)))</f>
        <v/>
      </c>
      <c r="N644" s="2" t="str">
        <f t="array" ref="N644">IF($C644="","",IF(INDEX(SchedZone,$C644,MAP!$B$13)="","",INDEX(SchedZone,$C644,MAP!$B$13)))</f>
        <v/>
      </c>
      <c r="O644" s="2" t="str">
        <f t="array" ref="O644">IF($C644="","",INDEX(SchedZone,$C644,MAP!$B$15))</f>
        <v/>
      </c>
      <c r="P644" s="2" t="str">
        <f>IF($C644="","",IFERROR(MATCH($E644&amp;"|"&amp;$G644&amp;"|"&amp;$I644,StatsKey,0),""))</f>
        <v/>
      </c>
      <c r="Q644" s="2">
        <f t="array" ref="Q644">IF($P644="",0,INDEX(StatsZone,$P644,MAP!$E$9)+INDEX(StatsZone,$P644,MAP!$E$10)+INDEX(StatsZone,$P644,MAP!$E$11))</f>
        <v>0</v>
      </c>
      <c r="R644" s="2">
        <f t="array" ref="R644">IF($P644="",0,INDEX(StatsZone,$P644,MAP!$E$12))</f>
        <v>0</v>
      </c>
      <c r="S644" s="2">
        <f t="array" ref="S644">IF($P644="",0,INDEX(StatsZone,$P644,MAP!$E$13))</f>
        <v>0</v>
      </c>
      <c r="T644" s="2">
        <f t="shared" si="1"/>
        <v>0</v>
      </c>
      <c r="U644" s="2">
        <f t="array" ref="U644">IF($P644="",0,INDEX(StatsZone,$P644,MAP!$E$14)+INDEX(StatsZone,$P644,MAP!$E$15)+INDEX(StatsZone,$P644,MAP!$E$16))</f>
        <v>0</v>
      </c>
      <c r="V644" s="2">
        <f t="shared" si="2"/>
        <v>0</v>
      </c>
      <c r="W644" s="2">
        <f t="shared" si="3"/>
        <v>0</v>
      </c>
      <c r="X644" s="2">
        <f t="shared" si="4"/>
        <v>0</v>
      </c>
      <c r="Y644" s="2">
        <f t="shared" si="5"/>
        <v>0</v>
      </c>
      <c r="Z644" s="2">
        <f t="shared" si="6"/>
        <v>0</v>
      </c>
      <c r="AA644" s="2">
        <f t="shared" si="7"/>
        <v>0</v>
      </c>
      <c r="AB644" s="2">
        <f>IF(OR($M644="",$N644=""),0,MEDIAN(-MarginCap,MarginCap,($M644-$N644)-$AA644*HFA_Base))</f>
        <v>0</v>
      </c>
      <c r="AC644" s="2">
        <f t="array" ref="AC644">IF(OR($P644="",INDEX($P$3:$P$722,(ROW()+IF(MOD(ROW()-3,2)=0,1,-1))-3+1)=""),0,MEDIAN(-MarginCap,MarginCap,($T644-$W644)-$AA644*HFA_Base))</f>
        <v>0</v>
      </c>
      <c r="AD644" s="2">
        <f t="shared" si="8"/>
        <v>0</v>
      </c>
      <c r="AE644" s="2">
        <f>IF(OR($M644="",$N644=""),0,IF(AND(WEpa&gt;0,$AD644=1),(1-WEpa)*$AB644+WEpa*$AC644,$AB644))</f>
        <v>0</v>
      </c>
      <c r="AF644" s="2">
        <f>IF(AND($C644&lt;&gt;"",$E644=CurrentSeason,$F644="REG",ISNUMBER($G644),$G644&lt;CurrentWeek,AND($M644&lt;&gt;"",$N644&lt;&gt;"")),1,0)</f>
        <v>0</v>
      </c>
      <c r="AG644" s="2">
        <f>IF($AF644=0,0,IF($G644&gt;=CurrentWeek-RecencyWin,RecencyMult,1))</f>
        <v>0</v>
      </c>
      <c r="AH644" s="2">
        <f>IF(AND($C644&lt;&gt;"",$E644=CurrentSeason,$F644="REG",ISNUMBER($G644),$G644&lt;CurrentWeek-1,AND($M644&lt;&gt;"",$N644&lt;&gt;"")),1,0)</f>
        <v>0</v>
      </c>
      <c r="AI644" s="2">
        <f>IF($AH644=0,0,IF($G644&gt;=CurrentWeek-1-RecencyWin,RecencyMult,1))</f>
        <v>0</v>
      </c>
      <c r="AJ644" s="2">
        <f>IF($AF644=0,0,IF($G644&gt;=CurrentWeek-RecencyWin,TotRecency,1))</f>
        <v>0</v>
      </c>
      <c r="AK644" s="2">
        <f t="shared" si="9"/>
        <v>0</v>
      </c>
      <c r="AL644" s="2">
        <f t="shared" si="10"/>
        <v>0</v>
      </c>
      <c r="AM644" s="2">
        <f t="array" ref="AM644">IF($K644="",0,IFERROR(INDEX(CALC!$F$2:$F$33,MATCH($K644,CALC!$A$2:$A$33,0)),0))</f>
        <v>0</v>
      </c>
      <c r="AN644" s="2">
        <f t="array" ref="AN644">IF($K644="",0,IFERROR(INDEX(CALC!$I$2:$I$33,MATCH($K644,CALC!$A$2:$A$33,0)),0))</f>
        <v>0</v>
      </c>
      <c r="AO644" s="2">
        <f t="array" ref="AO644">IF($K644="",0,IFERROR(INDEX(CALC!$L$2:$L$33,MATCH($K644,CALC!$A$2:$A$33,0)),0))</f>
        <v>0</v>
      </c>
      <c r="AP644" s="2">
        <f t="array" ref="AP644">IF($K644="",0,IFERROR(INDEX(CALC!$T$2:$T$33,MATCH($K644,CALC!$A$2:$A$33,0)),0))</f>
        <v>0</v>
      </c>
      <c r="AQ644" s="2">
        <f t="array" ref="AQ644">IF($K644="",0,IFERROR(INDEX(CALC!$W$2:$W$33,MATCH($K644,CALC!$A$2:$A$33,0)),0))</f>
        <v>0</v>
      </c>
      <c r="AR644" s="2">
        <f t="array" ref="AR644">IF($K644="",0,IFERROR(INDEX(CALC!$Z$2:$Z$33,MATCH($K644,CALC!$A$2:$A$33,0)),0))</f>
        <v>0</v>
      </c>
      <c r="AS644" s="2">
        <f t="array" ref="AS644">IF($K644="",0,IFERROR(INDEX(CALC!$AJ$2:$AJ$33,MATCH($K644,CALC!$A$2:$A$33,0)),0))</f>
        <v>0</v>
      </c>
      <c r="AT644" s="2">
        <f t="array" ref="AT644">IF($K644="",0,IFERROR(INDEX(CALC!$AI$2:$AI$33,MATCH($K644,CALC!$A$2:$A$33,0)),0))</f>
        <v>0</v>
      </c>
      <c r="AU644" s="2">
        <f t="shared" si="11"/>
        <v>0</v>
      </c>
      <c r="AV644" s="2">
        <f t="shared" si="12"/>
        <v>0</v>
      </c>
    </row>
    <row r="645" ht="15.0" customHeight="1">
      <c r="A645" s="2">
        <v>322.0</v>
      </c>
      <c r="B645" s="2" t="s">
        <v>2365</v>
      </c>
      <c r="C645" s="2" t="str">
        <f>IFERROR(MATCH($A645,SchedSeq,0),"")</f>
        <v/>
      </c>
      <c r="D645" s="2" t="str">
        <f t="array" ref="D645">IF($C645="","",INDEX(SchedZone,$C645,MAP!$B$6))</f>
        <v/>
      </c>
      <c r="E645" s="2" t="str">
        <f t="array" ref="E645">IF($C645="","",INDEX(SchedZone,$C645,MAP!$B$3))</f>
        <v/>
      </c>
      <c r="F645" s="2" t="str">
        <f t="array" ref="F645">IF($C645="","",INDEX(SchedZone,$C645,MAP!$B$5))</f>
        <v/>
      </c>
      <c r="G645" s="2" t="str">
        <f t="array" ref="G645">IF($C645="","",INDEX(SchedZone,$C645,MAP!$B$4))</f>
        <v/>
      </c>
      <c r="H645" s="2" t="str">
        <f t="array" ref="H645">IF($C645="","",INDEX(SchedZone,$C645,MAP!$B$12))</f>
        <v/>
      </c>
      <c r="I645" s="2" t="str">
        <f t="array" ref="I645">IF($H645="","",IF(COUNTIF(Teams,$H645)&gt;0,$H645,IFERROR(INDEX(LISTS!$D$2:$D$12,MATCH($H645,LISTS!$C$2:$C$12,0)),"⚠ "&amp;$H645)))</f>
        <v/>
      </c>
      <c r="J645" s="2" t="str">
        <f t="array" ref="J645">IF($C645="","",INDEX(SchedZone,$C645,MAP!$B$10))</f>
        <v/>
      </c>
      <c r="K645" s="2" t="str">
        <f t="array" ref="K645">IF($J645="","",IF(COUNTIF(Teams,$J645)&gt;0,$J645,IFERROR(INDEX(LISTS!$D$2:$D$12,MATCH($J645,LISTS!$C$2:$C$12,0)),"⚠ "&amp;$J645)))</f>
        <v/>
      </c>
      <c r="L645" s="2" t="str">
        <f t="array" ref="L645">IF($C645="","",IF(INDEX(SchedZone,$C645,MAP!$B$14)="Neutral","N",IF($B645="HOME","H","A")))</f>
        <v/>
      </c>
      <c r="M645" s="2" t="str">
        <f t="array" ref="M645">IF($C645="","",IF(INDEX(SchedZone,$C645,MAP!$B$13)="","",INDEX(SchedZone,$C645,MAP!$B$13)))</f>
        <v/>
      </c>
      <c r="N645" s="2" t="str">
        <f t="array" ref="N645">IF($C645="","",IF(INDEX(SchedZone,$C645,MAP!$B$11)="","",INDEX(SchedZone,$C645,MAP!$B$11)))</f>
        <v/>
      </c>
      <c r="O645" s="2" t="str">
        <f t="array" ref="O645">IF($C645="","",INDEX(SchedZone,$C645,MAP!$B$16))</f>
        <v/>
      </c>
      <c r="P645" s="2" t="str">
        <f>IF($C645="","",IFERROR(MATCH($E645&amp;"|"&amp;$G645&amp;"|"&amp;$I645,StatsKey,0),""))</f>
        <v/>
      </c>
      <c r="Q645" s="2">
        <f t="array" ref="Q645">IF($P645="",0,INDEX(StatsZone,$P645,MAP!$E$9)+INDEX(StatsZone,$P645,MAP!$E$10)+INDEX(StatsZone,$P645,MAP!$E$11))</f>
        <v>0</v>
      </c>
      <c r="R645" s="2">
        <f t="array" ref="R645">IF($P645="",0,INDEX(StatsZone,$P645,MAP!$E$12))</f>
        <v>0</v>
      </c>
      <c r="S645" s="2">
        <f t="array" ref="S645">IF($P645="",0,INDEX(StatsZone,$P645,MAP!$E$13))</f>
        <v>0</v>
      </c>
      <c r="T645" s="2">
        <f t="shared" si="1"/>
        <v>0</v>
      </c>
      <c r="U645" s="2">
        <f t="array" ref="U645">IF($P645="",0,INDEX(StatsZone,$P645,MAP!$E$14)+INDEX(StatsZone,$P645,MAP!$E$15)+INDEX(StatsZone,$P645,MAP!$E$16))</f>
        <v>0</v>
      </c>
      <c r="V645" s="2">
        <f t="shared" si="2"/>
        <v>0</v>
      </c>
      <c r="W645" s="2">
        <f t="shared" si="3"/>
        <v>0</v>
      </c>
      <c r="X645" s="2">
        <f t="shared" si="4"/>
        <v>0</v>
      </c>
      <c r="Y645" s="2">
        <f t="shared" si="5"/>
        <v>0</v>
      </c>
      <c r="Z645" s="2">
        <f t="shared" si="6"/>
        <v>0</v>
      </c>
      <c r="AA645" s="2">
        <f t="shared" si="7"/>
        <v>0</v>
      </c>
      <c r="AB645" s="2">
        <f>IF(OR($M645="",$N645=""),0,MEDIAN(-MarginCap,MarginCap,($M645-$N645)-$AA645*HFA_Base))</f>
        <v>0</v>
      </c>
      <c r="AC645" s="2">
        <f t="array" ref="AC645">IF(OR($P645="",INDEX($P$3:$P$722,(ROW()+IF(MOD(ROW()-3,2)=0,1,-1))-3+1)=""),0,MEDIAN(-MarginCap,MarginCap,($T645-$W645)-$AA645*HFA_Base))</f>
        <v>0</v>
      </c>
      <c r="AD645" s="2">
        <f t="shared" si="8"/>
        <v>0</v>
      </c>
      <c r="AE645" s="2">
        <f>IF(OR($M645="",$N645=""),0,IF(AND(WEpa&gt;0,$AD645=1),(1-WEpa)*$AB645+WEpa*$AC645,$AB645))</f>
        <v>0</v>
      </c>
      <c r="AF645" s="2">
        <f>IF(AND($C645&lt;&gt;"",$E645=CurrentSeason,$F645="REG",ISNUMBER($G645),$G645&lt;CurrentWeek,AND($M645&lt;&gt;"",$N645&lt;&gt;"")),1,0)</f>
        <v>0</v>
      </c>
      <c r="AG645" s="2">
        <f>IF($AF645=0,0,IF($G645&gt;=CurrentWeek-RecencyWin,RecencyMult,1))</f>
        <v>0</v>
      </c>
      <c r="AH645" s="2">
        <f>IF(AND($C645&lt;&gt;"",$E645=CurrentSeason,$F645="REG",ISNUMBER($G645),$G645&lt;CurrentWeek-1,AND($M645&lt;&gt;"",$N645&lt;&gt;"")),1,0)</f>
        <v>0</v>
      </c>
      <c r="AI645" s="2">
        <f>IF($AH645=0,0,IF($G645&gt;=CurrentWeek-1-RecencyWin,RecencyMult,1))</f>
        <v>0</v>
      </c>
      <c r="AJ645" s="2">
        <f>IF($AF645=0,0,IF($G645&gt;=CurrentWeek-RecencyWin,TotRecency,1))</f>
        <v>0</v>
      </c>
      <c r="AK645" s="2">
        <f t="shared" si="9"/>
        <v>0</v>
      </c>
      <c r="AL645" s="2">
        <f t="shared" si="10"/>
        <v>0</v>
      </c>
      <c r="AM645" s="2">
        <f t="array" ref="AM645">IF($K645="",0,IFERROR(INDEX(CALC!$F$2:$F$33,MATCH($K645,CALC!$A$2:$A$33,0)),0))</f>
        <v>0</v>
      </c>
      <c r="AN645" s="2">
        <f t="array" ref="AN645">IF($K645="",0,IFERROR(INDEX(CALC!$I$2:$I$33,MATCH($K645,CALC!$A$2:$A$33,0)),0))</f>
        <v>0</v>
      </c>
      <c r="AO645" s="2">
        <f t="array" ref="AO645">IF($K645="",0,IFERROR(INDEX(CALC!$L$2:$L$33,MATCH($K645,CALC!$A$2:$A$33,0)),0))</f>
        <v>0</v>
      </c>
      <c r="AP645" s="2">
        <f t="array" ref="AP645">IF($K645="",0,IFERROR(INDEX(CALC!$T$2:$T$33,MATCH($K645,CALC!$A$2:$A$33,0)),0))</f>
        <v>0</v>
      </c>
      <c r="AQ645" s="2">
        <f t="array" ref="AQ645">IF($K645="",0,IFERROR(INDEX(CALC!$W$2:$W$33,MATCH($K645,CALC!$A$2:$A$33,0)),0))</f>
        <v>0</v>
      </c>
      <c r="AR645" s="2">
        <f t="array" ref="AR645">IF($K645="",0,IFERROR(INDEX(CALC!$Z$2:$Z$33,MATCH($K645,CALC!$A$2:$A$33,0)),0))</f>
        <v>0</v>
      </c>
      <c r="AS645" s="2">
        <f t="array" ref="AS645">IF($K645="",0,IFERROR(INDEX(CALC!$AJ$2:$AJ$33,MATCH($K645,CALC!$A$2:$A$33,0)),0))</f>
        <v>0</v>
      </c>
      <c r="AT645" s="2">
        <f t="array" ref="AT645">IF($K645="",0,IFERROR(INDEX(CALC!$AI$2:$AI$33,MATCH($K645,CALC!$A$2:$A$33,0)),0))</f>
        <v>0</v>
      </c>
      <c r="AU645" s="2">
        <f t="shared" si="11"/>
        <v>0</v>
      </c>
      <c r="AV645" s="2">
        <f t="shared" si="12"/>
        <v>0</v>
      </c>
    </row>
    <row r="646" ht="15.0" customHeight="1">
      <c r="A646" s="2">
        <v>322.0</v>
      </c>
      <c r="B646" s="2" t="s">
        <v>2366</v>
      </c>
      <c r="C646" s="2" t="str">
        <f>IFERROR(MATCH($A646,SchedSeq,0),"")</f>
        <v/>
      </c>
      <c r="D646" s="2" t="str">
        <f t="array" ref="D646">IF($C646="","",INDEX(SchedZone,$C646,MAP!$B$6))</f>
        <v/>
      </c>
      <c r="E646" s="2" t="str">
        <f t="array" ref="E646">IF($C646="","",INDEX(SchedZone,$C646,MAP!$B$3))</f>
        <v/>
      </c>
      <c r="F646" s="2" t="str">
        <f t="array" ref="F646">IF($C646="","",INDEX(SchedZone,$C646,MAP!$B$5))</f>
        <v/>
      </c>
      <c r="G646" s="2" t="str">
        <f t="array" ref="G646">IF($C646="","",INDEX(SchedZone,$C646,MAP!$B$4))</f>
        <v/>
      </c>
      <c r="H646" s="2" t="str">
        <f t="array" ref="H646">IF($C646="","",INDEX(SchedZone,$C646,MAP!$B$10))</f>
        <v/>
      </c>
      <c r="I646" s="2" t="str">
        <f t="array" ref="I646">IF($H646="","",IF(COUNTIF(Teams,$H646)&gt;0,$H646,IFERROR(INDEX(LISTS!$D$2:$D$12,MATCH($H646,LISTS!$C$2:$C$12,0)),"⚠ "&amp;$H646)))</f>
        <v/>
      </c>
      <c r="J646" s="2" t="str">
        <f t="array" ref="J646">IF($C646="","",INDEX(SchedZone,$C646,MAP!$B$12))</f>
        <v/>
      </c>
      <c r="K646" s="2" t="str">
        <f t="array" ref="K646">IF($J646="","",IF(COUNTIF(Teams,$J646)&gt;0,$J646,IFERROR(INDEX(LISTS!$D$2:$D$12,MATCH($J646,LISTS!$C$2:$C$12,0)),"⚠ "&amp;$J646)))</f>
        <v/>
      </c>
      <c r="L646" s="2" t="str">
        <f t="array" ref="L646">IF($C646="","",IF(INDEX(SchedZone,$C646,MAP!$B$14)="Neutral","N",IF($B646="HOME","H","A")))</f>
        <v/>
      </c>
      <c r="M646" s="2" t="str">
        <f t="array" ref="M646">IF($C646="","",IF(INDEX(SchedZone,$C646,MAP!$B$11)="","",INDEX(SchedZone,$C646,MAP!$B$11)))</f>
        <v/>
      </c>
      <c r="N646" s="2" t="str">
        <f t="array" ref="N646">IF($C646="","",IF(INDEX(SchedZone,$C646,MAP!$B$13)="","",INDEX(SchedZone,$C646,MAP!$B$13)))</f>
        <v/>
      </c>
      <c r="O646" s="2" t="str">
        <f t="array" ref="O646">IF($C646="","",INDEX(SchedZone,$C646,MAP!$B$15))</f>
        <v/>
      </c>
      <c r="P646" s="2" t="str">
        <f>IF($C646="","",IFERROR(MATCH($E646&amp;"|"&amp;$G646&amp;"|"&amp;$I646,StatsKey,0),""))</f>
        <v/>
      </c>
      <c r="Q646" s="2">
        <f t="array" ref="Q646">IF($P646="",0,INDEX(StatsZone,$P646,MAP!$E$9)+INDEX(StatsZone,$P646,MAP!$E$10)+INDEX(StatsZone,$P646,MAP!$E$11))</f>
        <v>0</v>
      </c>
      <c r="R646" s="2">
        <f t="array" ref="R646">IF($P646="",0,INDEX(StatsZone,$P646,MAP!$E$12))</f>
        <v>0</v>
      </c>
      <c r="S646" s="2">
        <f t="array" ref="S646">IF($P646="",0,INDEX(StatsZone,$P646,MAP!$E$13))</f>
        <v>0</v>
      </c>
      <c r="T646" s="2">
        <f t="shared" si="1"/>
        <v>0</v>
      </c>
      <c r="U646" s="2">
        <f t="array" ref="U646">IF($P646="",0,INDEX(StatsZone,$P646,MAP!$E$14)+INDEX(StatsZone,$P646,MAP!$E$15)+INDEX(StatsZone,$P646,MAP!$E$16))</f>
        <v>0</v>
      </c>
      <c r="V646" s="2">
        <f t="shared" si="2"/>
        <v>0</v>
      </c>
      <c r="W646" s="2">
        <f t="shared" si="3"/>
        <v>0</v>
      </c>
      <c r="X646" s="2">
        <f t="shared" si="4"/>
        <v>0</v>
      </c>
      <c r="Y646" s="2">
        <f t="shared" si="5"/>
        <v>0</v>
      </c>
      <c r="Z646" s="2">
        <f t="shared" si="6"/>
        <v>0</v>
      </c>
      <c r="AA646" s="2">
        <f t="shared" si="7"/>
        <v>0</v>
      </c>
      <c r="AB646" s="2">
        <f>IF(OR($M646="",$N646=""),0,MEDIAN(-MarginCap,MarginCap,($M646-$N646)-$AA646*HFA_Base))</f>
        <v>0</v>
      </c>
      <c r="AC646" s="2">
        <f t="array" ref="AC646">IF(OR($P646="",INDEX($P$3:$P$722,(ROW()+IF(MOD(ROW()-3,2)=0,1,-1))-3+1)=""),0,MEDIAN(-MarginCap,MarginCap,($T646-$W646)-$AA646*HFA_Base))</f>
        <v>0</v>
      </c>
      <c r="AD646" s="2">
        <f t="shared" si="8"/>
        <v>0</v>
      </c>
      <c r="AE646" s="2">
        <f>IF(OR($M646="",$N646=""),0,IF(AND(WEpa&gt;0,$AD646=1),(1-WEpa)*$AB646+WEpa*$AC646,$AB646))</f>
        <v>0</v>
      </c>
      <c r="AF646" s="2">
        <f>IF(AND($C646&lt;&gt;"",$E646=CurrentSeason,$F646="REG",ISNUMBER($G646),$G646&lt;CurrentWeek,AND($M646&lt;&gt;"",$N646&lt;&gt;"")),1,0)</f>
        <v>0</v>
      </c>
      <c r="AG646" s="2">
        <f>IF($AF646=0,0,IF($G646&gt;=CurrentWeek-RecencyWin,RecencyMult,1))</f>
        <v>0</v>
      </c>
      <c r="AH646" s="2">
        <f>IF(AND($C646&lt;&gt;"",$E646=CurrentSeason,$F646="REG",ISNUMBER($G646),$G646&lt;CurrentWeek-1,AND($M646&lt;&gt;"",$N646&lt;&gt;"")),1,0)</f>
        <v>0</v>
      </c>
      <c r="AI646" s="2">
        <f>IF($AH646=0,0,IF($G646&gt;=CurrentWeek-1-RecencyWin,RecencyMult,1))</f>
        <v>0</v>
      </c>
      <c r="AJ646" s="2">
        <f>IF($AF646=0,0,IF($G646&gt;=CurrentWeek-RecencyWin,TotRecency,1))</f>
        <v>0</v>
      </c>
      <c r="AK646" s="2">
        <f t="shared" si="9"/>
        <v>0</v>
      </c>
      <c r="AL646" s="2">
        <f t="shared" si="10"/>
        <v>0</v>
      </c>
      <c r="AM646" s="2">
        <f t="array" ref="AM646">IF($K646="",0,IFERROR(INDEX(CALC!$F$2:$F$33,MATCH($K646,CALC!$A$2:$A$33,0)),0))</f>
        <v>0</v>
      </c>
      <c r="AN646" s="2">
        <f t="array" ref="AN646">IF($K646="",0,IFERROR(INDEX(CALC!$I$2:$I$33,MATCH($K646,CALC!$A$2:$A$33,0)),0))</f>
        <v>0</v>
      </c>
      <c r="AO646" s="2">
        <f t="array" ref="AO646">IF($K646="",0,IFERROR(INDEX(CALC!$L$2:$L$33,MATCH($K646,CALC!$A$2:$A$33,0)),0))</f>
        <v>0</v>
      </c>
      <c r="AP646" s="2">
        <f t="array" ref="AP646">IF($K646="",0,IFERROR(INDEX(CALC!$T$2:$T$33,MATCH($K646,CALC!$A$2:$A$33,0)),0))</f>
        <v>0</v>
      </c>
      <c r="AQ646" s="2">
        <f t="array" ref="AQ646">IF($K646="",0,IFERROR(INDEX(CALC!$W$2:$W$33,MATCH($K646,CALC!$A$2:$A$33,0)),0))</f>
        <v>0</v>
      </c>
      <c r="AR646" s="2">
        <f t="array" ref="AR646">IF($K646="",0,IFERROR(INDEX(CALC!$Z$2:$Z$33,MATCH($K646,CALC!$A$2:$A$33,0)),0))</f>
        <v>0</v>
      </c>
      <c r="AS646" s="2">
        <f t="array" ref="AS646">IF($K646="",0,IFERROR(INDEX(CALC!$AJ$2:$AJ$33,MATCH($K646,CALC!$A$2:$A$33,0)),0))</f>
        <v>0</v>
      </c>
      <c r="AT646" s="2">
        <f t="array" ref="AT646">IF($K646="",0,IFERROR(INDEX(CALC!$AI$2:$AI$33,MATCH($K646,CALC!$A$2:$A$33,0)),0))</f>
        <v>0</v>
      </c>
      <c r="AU646" s="2">
        <f t="shared" si="11"/>
        <v>0</v>
      </c>
      <c r="AV646" s="2">
        <f t="shared" si="12"/>
        <v>0</v>
      </c>
    </row>
    <row r="647" ht="15.0" customHeight="1">
      <c r="A647" s="2">
        <v>323.0</v>
      </c>
      <c r="B647" s="2" t="s">
        <v>2365</v>
      </c>
      <c r="C647" s="2" t="str">
        <f>IFERROR(MATCH($A647,SchedSeq,0),"")</f>
        <v/>
      </c>
      <c r="D647" s="2" t="str">
        <f t="array" ref="D647">IF($C647="","",INDEX(SchedZone,$C647,MAP!$B$6))</f>
        <v/>
      </c>
      <c r="E647" s="2" t="str">
        <f t="array" ref="E647">IF($C647="","",INDEX(SchedZone,$C647,MAP!$B$3))</f>
        <v/>
      </c>
      <c r="F647" s="2" t="str">
        <f t="array" ref="F647">IF($C647="","",INDEX(SchedZone,$C647,MAP!$B$5))</f>
        <v/>
      </c>
      <c r="G647" s="2" t="str">
        <f t="array" ref="G647">IF($C647="","",INDEX(SchedZone,$C647,MAP!$B$4))</f>
        <v/>
      </c>
      <c r="H647" s="2" t="str">
        <f t="array" ref="H647">IF($C647="","",INDEX(SchedZone,$C647,MAP!$B$12))</f>
        <v/>
      </c>
      <c r="I647" s="2" t="str">
        <f t="array" ref="I647">IF($H647="","",IF(COUNTIF(Teams,$H647)&gt;0,$H647,IFERROR(INDEX(LISTS!$D$2:$D$12,MATCH($H647,LISTS!$C$2:$C$12,0)),"⚠ "&amp;$H647)))</f>
        <v/>
      </c>
      <c r="J647" s="2" t="str">
        <f t="array" ref="J647">IF($C647="","",INDEX(SchedZone,$C647,MAP!$B$10))</f>
        <v/>
      </c>
      <c r="K647" s="2" t="str">
        <f t="array" ref="K647">IF($J647="","",IF(COUNTIF(Teams,$J647)&gt;0,$J647,IFERROR(INDEX(LISTS!$D$2:$D$12,MATCH($J647,LISTS!$C$2:$C$12,0)),"⚠ "&amp;$J647)))</f>
        <v/>
      </c>
      <c r="L647" s="2" t="str">
        <f t="array" ref="L647">IF($C647="","",IF(INDEX(SchedZone,$C647,MAP!$B$14)="Neutral","N",IF($B647="HOME","H","A")))</f>
        <v/>
      </c>
      <c r="M647" s="2" t="str">
        <f t="array" ref="M647">IF($C647="","",IF(INDEX(SchedZone,$C647,MAP!$B$13)="","",INDEX(SchedZone,$C647,MAP!$B$13)))</f>
        <v/>
      </c>
      <c r="N647" s="2" t="str">
        <f t="array" ref="N647">IF($C647="","",IF(INDEX(SchedZone,$C647,MAP!$B$11)="","",INDEX(SchedZone,$C647,MAP!$B$11)))</f>
        <v/>
      </c>
      <c r="O647" s="2" t="str">
        <f t="array" ref="O647">IF($C647="","",INDEX(SchedZone,$C647,MAP!$B$16))</f>
        <v/>
      </c>
      <c r="P647" s="2" t="str">
        <f>IF($C647="","",IFERROR(MATCH($E647&amp;"|"&amp;$G647&amp;"|"&amp;$I647,StatsKey,0),""))</f>
        <v/>
      </c>
      <c r="Q647" s="2">
        <f t="array" ref="Q647">IF($P647="",0,INDEX(StatsZone,$P647,MAP!$E$9)+INDEX(StatsZone,$P647,MAP!$E$10)+INDEX(StatsZone,$P647,MAP!$E$11))</f>
        <v>0</v>
      </c>
      <c r="R647" s="2">
        <f t="array" ref="R647">IF($P647="",0,INDEX(StatsZone,$P647,MAP!$E$12))</f>
        <v>0</v>
      </c>
      <c r="S647" s="2">
        <f t="array" ref="S647">IF($P647="",0,INDEX(StatsZone,$P647,MAP!$E$13))</f>
        <v>0</v>
      </c>
      <c r="T647" s="2">
        <f t="shared" si="1"/>
        <v>0</v>
      </c>
      <c r="U647" s="2">
        <f t="array" ref="U647">IF($P647="",0,INDEX(StatsZone,$P647,MAP!$E$14)+INDEX(StatsZone,$P647,MAP!$E$15)+INDEX(StatsZone,$P647,MAP!$E$16))</f>
        <v>0</v>
      </c>
      <c r="V647" s="2">
        <f t="shared" si="2"/>
        <v>0</v>
      </c>
      <c r="W647" s="2">
        <f t="shared" si="3"/>
        <v>0</v>
      </c>
      <c r="X647" s="2">
        <f t="shared" si="4"/>
        <v>0</v>
      </c>
      <c r="Y647" s="2">
        <f t="shared" si="5"/>
        <v>0</v>
      </c>
      <c r="Z647" s="2">
        <f t="shared" si="6"/>
        <v>0</v>
      </c>
      <c r="AA647" s="2">
        <f t="shared" si="7"/>
        <v>0</v>
      </c>
      <c r="AB647" s="2">
        <f>IF(OR($M647="",$N647=""),0,MEDIAN(-MarginCap,MarginCap,($M647-$N647)-$AA647*HFA_Base))</f>
        <v>0</v>
      </c>
      <c r="AC647" s="2">
        <f t="array" ref="AC647">IF(OR($P647="",INDEX($P$3:$P$722,(ROW()+IF(MOD(ROW()-3,2)=0,1,-1))-3+1)=""),0,MEDIAN(-MarginCap,MarginCap,($T647-$W647)-$AA647*HFA_Base))</f>
        <v>0</v>
      </c>
      <c r="AD647" s="2">
        <f t="shared" si="8"/>
        <v>0</v>
      </c>
      <c r="AE647" s="2">
        <f>IF(OR($M647="",$N647=""),0,IF(AND(WEpa&gt;0,$AD647=1),(1-WEpa)*$AB647+WEpa*$AC647,$AB647))</f>
        <v>0</v>
      </c>
      <c r="AF647" s="2">
        <f>IF(AND($C647&lt;&gt;"",$E647=CurrentSeason,$F647="REG",ISNUMBER($G647),$G647&lt;CurrentWeek,AND($M647&lt;&gt;"",$N647&lt;&gt;"")),1,0)</f>
        <v>0</v>
      </c>
      <c r="AG647" s="2">
        <f>IF($AF647=0,0,IF($G647&gt;=CurrentWeek-RecencyWin,RecencyMult,1))</f>
        <v>0</v>
      </c>
      <c r="AH647" s="2">
        <f>IF(AND($C647&lt;&gt;"",$E647=CurrentSeason,$F647="REG",ISNUMBER($G647),$G647&lt;CurrentWeek-1,AND($M647&lt;&gt;"",$N647&lt;&gt;"")),1,0)</f>
        <v>0</v>
      </c>
      <c r="AI647" s="2">
        <f>IF($AH647=0,0,IF($G647&gt;=CurrentWeek-1-RecencyWin,RecencyMult,1))</f>
        <v>0</v>
      </c>
      <c r="AJ647" s="2">
        <f>IF($AF647=0,0,IF($G647&gt;=CurrentWeek-RecencyWin,TotRecency,1))</f>
        <v>0</v>
      </c>
      <c r="AK647" s="2">
        <f t="shared" si="9"/>
        <v>0</v>
      </c>
      <c r="AL647" s="2">
        <f t="shared" si="10"/>
        <v>0</v>
      </c>
      <c r="AM647" s="2">
        <f t="array" ref="AM647">IF($K647="",0,IFERROR(INDEX(CALC!$F$2:$F$33,MATCH($K647,CALC!$A$2:$A$33,0)),0))</f>
        <v>0</v>
      </c>
      <c r="AN647" s="2">
        <f t="array" ref="AN647">IF($K647="",0,IFERROR(INDEX(CALC!$I$2:$I$33,MATCH($K647,CALC!$A$2:$A$33,0)),0))</f>
        <v>0</v>
      </c>
      <c r="AO647" s="2">
        <f t="array" ref="AO647">IF($K647="",0,IFERROR(INDEX(CALC!$L$2:$L$33,MATCH($K647,CALC!$A$2:$A$33,0)),0))</f>
        <v>0</v>
      </c>
      <c r="AP647" s="2">
        <f t="array" ref="AP647">IF($K647="",0,IFERROR(INDEX(CALC!$T$2:$T$33,MATCH($K647,CALC!$A$2:$A$33,0)),0))</f>
        <v>0</v>
      </c>
      <c r="AQ647" s="2">
        <f t="array" ref="AQ647">IF($K647="",0,IFERROR(INDEX(CALC!$W$2:$W$33,MATCH($K647,CALC!$A$2:$A$33,0)),0))</f>
        <v>0</v>
      </c>
      <c r="AR647" s="2">
        <f t="array" ref="AR647">IF($K647="",0,IFERROR(INDEX(CALC!$Z$2:$Z$33,MATCH($K647,CALC!$A$2:$A$33,0)),0))</f>
        <v>0</v>
      </c>
      <c r="AS647" s="2">
        <f t="array" ref="AS647">IF($K647="",0,IFERROR(INDEX(CALC!$AJ$2:$AJ$33,MATCH($K647,CALC!$A$2:$A$33,0)),0))</f>
        <v>0</v>
      </c>
      <c r="AT647" s="2">
        <f t="array" ref="AT647">IF($K647="",0,IFERROR(INDEX(CALC!$AI$2:$AI$33,MATCH($K647,CALC!$A$2:$A$33,0)),0))</f>
        <v>0</v>
      </c>
      <c r="AU647" s="2">
        <f t="shared" si="11"/>
        <v>0</v>
      </c>
      <c r="AV647" s="2">
        <f t="shared" si="12"/>
        <v>0</v>
      </c>
    </row>
    <row r="648" ht="15.0" customHeight="1">
      <c r="A648" s="2">
        <v>323.0</v>
      </c>
      <c r="B648" s="2" t="s">
        <v>2366</v>
      </c>
      <c r="C648" s="2" t="str">
        <f>IFERROR(MATCH($A648,SchedSeq,0),"")</f>
        <v/>
      </c>
      <c r="D648" s="2" t="str">
        <f t="array" ref="D648">IF($C648="","",INDEX(SchedZone,$C648,MAP!$B$6))</f>
        <v/>
      </c>
      <c r="E648" s="2" t="str">
        <f t="array" ref="E648">IF($C648="","",INDEX(SchedZone,$C648,MAP!$B$3))</f>
        <v/>
      </c>
      <c r="F648" s="2" t="str">
        <f t="array" ref="F648">IF($C648="","",INDEX(SchedZone,$C648,MAP!$B$5))</f>
        <v/>
      </c>
      <c r="G648" s="2" t="str">
        <f t="array" ref="G648">IF($C648="","",INDEX(SchedZone,$C648,MAP!$B$4))</f>
        <v/>
      </c>
      <c r="H648" s="2" t="str">
        <f t="array" ref="H648">IF($C648="","",INDEX(SchedZone,$C648,MAP!$B$10))</f>
        <v/>
      </c>
      <c r="I648" s="2" t="str">
        <f t="array" ref="I648">IF($H648="","",IF(COUNTIF(Teams,$H648)&gt;0,$H648,IFERROR(INDEX(LISTS!$D$2:$D$12,MATCH($H648,LISTS!$C$2:$C$12,0)),"⚠ "&amp;$H648)))</f>
        <v/>
      </c>
      <c r="J648" s="2" t="str">
        <f t="array" ref="J648">IF($C648="","",INDEX(SchedZone,$C648,MAP!$B$12))</f>
        <v/>
      </c>
      <c r="K648" s="2" t="str">
        <f t="array" ref="K648">IF($J648="","",IF(COUNTIF(Teams,$J648)&gt;0,$J648,IFERROR(INDEX(LISTS!$D$2:$D$12,MATCH($J648,LISTS!$C$2:$C$12,0)),"⚠ "&amp;$J648)))</f>
        <v/>
      </c>
      <c r="L648" s="2" t="str">
        <f t="array" ref="L648">IF($C648="","",IF(INDEX(SchedZone,$C648,MAP!$B$14)="Neutral","N",IF($B648="HOME","H","A")))</f>
        <v/>
      </c>
      <c r="M648" s="2" t="str">
        <f t="array" ref="M648">IF($C648="","",IF(INDEX(SchedZone,$C648,MAP!$B$11)="","",INDEX(SchedZone,$C648,MAP!$B$11)))</f>
        <v/>
      </c>
      <c r="N648" s="2" t="str">
        <f t="array" ref="N648">IF($C648="","",IF(INDEX(SchedZone,$C648,MAP!$B$13)="","",INDEX(SchedZone,$C648,MAP!$B$13)))</f>
        <v/>
      </c>
      <c r="O648" s="2" t="str">
        <f t="array" ref="O648">IF($C648="","",INDEX(SchedZone,$C648,MAP!$B$15))</f>
        <v/>
      </c>
      <c r="P648" s="2" t="str">
        <f>IF($C648="","",IFERROR(MATCH($E648&amp;"|"&amp;$G648&amp;"|"&amp;$I648,StatsKey,0),""))</f>
        <v/>
      </c>
      <c r="Q648" s="2">
        <f t="array" ref="Q648">IF($P648="",0,INDEX(StatsZone,$P648,MAP!$E$9)+INDEX(StatsZone,$P648,MAP!$E$10)+INDEX(StatsZone,$P648,MAP!$E$11))</f>
        <v>0</v>
      </c>
      <c r="R648" s="2">
        <f t="array" ref="R648">IF($P648="",0,INDEX(StatsZone,$P648,MAP!$E$12))</f>
        <v>0</v>
      </c>
      <c r="S648" s="2">
        <f t="array" ref="S648">IF($P648="",0,INDEX(StatsZone,$P648,MAP!$E$13))</f>
        <v>0</v>
      </c>
      <c r="T648" s="2">
        <f t="shared" si="1"/>
        <v>0</v>
      </c>
      <c r="U648" s="2">
        <f t="array" ref="U648">IF($P648="",0,INDEX(StatsZone,$P648,MAP!$E$14)+INDEX(StatsZone,$P648,MAP!$E$15)+INDEX(StatsZone,$P648,MAP!$E$16))</f>
        <v>0</v>
      </c>
      <c r="V648" s="2">
        <f t="shared" si="2"/>
        <v>0</v>
      </c>
      <c r="W648" s="2">
        <f t="shared" si="3"/>
        <v>0</v>
      </c>
      <c r="X648" s="2">
        <f t="shared" si="4"/>
        <v>0</v>
      </c>
      <c r="Y648" s="2">
        <f t="shared" si="5"/>
        <v>0</v>
      </c>
      <c r="Z648" s="2">
        <f t="shared" si="6"/>
        <v>0</v>
      </c>
      <c r="AA648" s="2">
        <f t="shared" si="7"/>
        <v>0</v>
      </c>
      <c r="AB648" s="2">
        <f>IF(OR($M648="",$N648=""),0,MEDIAN(-MarginCap,MarginCap,($M648-$N648)-$AA648*HFA_Base))</f>
        <v>0</v>
      </c>
      <c r="AC648" s="2">
        <f t="array" ref="AC648">IF(OR($P648="",INDEX($P$3:$P$722,(ROW()+IF(MOD(ROW()-3,2)=0,1,-1))-3+1)=""),0,MEDIAN(-MarginCap,MarginCap,($T648-$W648)-$AA648*HFA_Base))</f>
        <v>0</v>
      </c>
      <c r="AD648" s="2">
        <f t="shared" si="8"/>
        <v>0</v>
      </c>
      <c r="AE648" s="2">
        <f>IF(OR($M648="",$N648=""),0,IF(AND(WEpa&gt;0,$AD648=1),(1-WEpa)*$AB648+WEpa*$AC648,$AB648))</f>
        <v>0</v>
      </c>
      <c r="AF648" s="2">
        <f>IF(AND($C648&lt;&gt;"",$E648=CurrentSeason,$F648="REG",ISNUMBER($G648),$G648&lt;CurrentWeek,AND($M648&lt;&gt;"",$N648&lt;&gt;"")),1,0)</f>
        <v>0</v>
      </c>
      <c r="AG648" s="2">
        <f>IF($AF648=0,0,IF($G648&gt;=CurrentWeek-RecencyWin,RecencyMult,1))</f>
        <v>0</v>
      </c>
      <c r="AH648" s="2">
        <f>IF(AND($C648&lt;&gt;"",$E648=CurrentSeason,$F648="REG",ISNUMBER($G648),$G648&lt;CurrentWeek-1,AND($M648&lt;&gt;"",$N648&lt;&gt;"")),1,0)</f>
        <v>0</v>
      </c>
      <c r="AI648" s="2">
        <f>IF($AH648=0,0,IF($G648&gt;=CurrentWeek-1-RecencyWin,RecencyMult,1))</f>
        <v>0</v>
      </c>
      <c r="AJ648" s="2">
        <f>IF($AF648=0,0,IF($G648&gt;=CurrentWeek-RecencyWin,TotRecency,1))</f>
        <v>0</v>
      </c>
      <c r="AK648" s="2">
        <f t="shared" si="9"/>
        <v>0</v>
      </c>
      <c r="AL648" s="2">
        <f t="shared" si="10"/>
        <v>0</v>
      </c>
      <c r="AM648" s="2">
        <f t="array" ref="AM648">IF($K648="",0,IFERROR(INDEX(CALC!$F$2:$F$33,MATCH($K648,CALC!$A$2:$A$33,0)),0))</f>
        <v>0</v>
      </c>
      <c r="AN648" s="2">
        <f t="array" ref="AN648">IF($K648="",0,IFERROR(INDEX(CALC!$I$2:$I$33,MATCH($K648,CALC!$A$2:$A$33,0)),0))</f>
        <v>0</v>
      </c>
      <c r="AO648" s="2">
        <f t="array" ref="AO648">IF($K648="",0,IFERROR(INDEX(CALC!$L$2:$L$33,MATCH($K648,CALC!$A$2:$A$33,0)),0))</f>
        <v>0</v>
      </c>
      <c r="AP648" s="2">
        <f t="array" ref="AP648">IF($K648="",0,IFERROR(INDEX(CALC!$T$2:$T$33,MATCH($K648,CALC!$A$2:$A$33,0)),0))</f>
        <v>0</v>
      </c>
      <c r="AQ648" s="2">
        <f t="array" ref="AQ648">IF($K648="",0,IFERROR(INDEX(CALC!$W$2:$W$33,MATCH($K648,CALC!$A$2:$A$33,0)),0))</f>
        <v>0</v>
      </c>
      <c r="AR648" s="2">
        <f t="array" ref="AR648">IF($K648="",0,IFERROR(INDEX(CALC!$Z$2:$Z$33,MATCH($K648,CALC!$A$2:$A$33,0)),0))</f>
        <v>0</v>
      </c>
      <c r="AS648" s="2">
        <f t="array" ref="AS648">IF($K648="",0,IFERROR(INDEX(CALC!$AJ$2:$AJ$33,MATCH($K648,CALC!$A$2:$A$33,0)),0))</f>
        <v>0</v>
      </c>
      <c r="AT648" s="2">
        <f t="array" ref="AT648">IF($K648="",0,IFERROR(INDEX(CALC!$AI$2:$AI$33,MATCH($K648,CALC!$A$2:$A$33,0)),0))</f>
        <v>0</v>
      </c>
      <c r="AU648" s="2">
        <f t="shared" si="11"/>
        <v>0</v>
      </c>
      <c r="AV648" s="2">
        <f t="shared" si="12"/>
        <v>0</v>
      </c>
    </row>
    <row r="649" ht="15.0" customHeight="1">
      <c r="A649" s="2">
        <v>324.0</v>
      </c>
      <c r="B649" s="2" t="s">
        <v>2365</v>
      </c>
      <c r="C649" s="2" t="str">
        <f>IFERROR(MATCH($A649,SchedSeq,0),"")</f>
        <v/>
      </c>
      <c r="D649" s="2" t="str">
        <f t="array" ref="D649">IF($C649="","",INDEX(SchedZone,$C649,MAP!$B$6))</f>
        <v/>
      </c>
      <c r="E649" s="2" t="str">
        <f t="array" ref="E649">IF($C649="","",INDEX(SchedZone,$C649,MAP!$B$3))</f>
        <v/>
      </c>
      <c r="F649" s="2" t="str">
        <f t="array" ref="F649">IF($C649="","",INDEX(SchedZone,$C649,MAP!$B$5))</f>
        <v/>
      </c>
      <c r="G649" s="2" t="str">
        <f t="array" ref="G649">IF($C649="","",INDEX(SchedZone,$C649,MAP!$B$4))</f>
        <v/>
      </c>
      <c r="H649" s="2" t="str">
        <f t="array" ref="H649">IF($C649="","",INDEX(SchedZone,$C649,MAP!$B$12))</f>
        <v/>
      </c>
      <c r="I649" s="2" t="str">
        <f t="array" ref="I649">IF($H649="","",IF(COUNTIF(Teams,$H649)&gt;0,$H649,IFERROR(INDEX(LISTS!$D$2:$D$12,MATCH($H649,LISTS!$C$2:$C$12,0)),"⚠ "&amp;$H649)))</f>
        <v/>
      </c>
      <c r="J649" s="2" t="str">
        <f t="array" ref="J649">IF($C649="","",INDEX(SchedZone,$C649,MAP!$B$10))</f>
        <v/>
      </c>
      <c r="K649" s="2" t="str">
        <f t="array" ref="K649">IF($J649="","",IF(COUNTIF(Teams,$J649)&gt;0,$J649,IFERROR(INDEX(LISTS!$D$2:$D$12,MATCH($J649,LISTS!$C$2:$C$12,0)),"⚠ "&amp;$J649)))</f>
        <v/>
      </c>
      <c r="L649" s="2" t="str">
        <f t="array" ref="L649">IF($C649="","",IF(INDEX(SchedZone,$C649,MAP!$B$14)="Neutral","N",IF($B649="HOME","H","A")))</f>
        <v/>
      </c>
      <c r="M649" s="2" t="str">
        <f t="array" ref="M649">IF($C649="","",IF(INDEX(SchedZone,$C649,MAP!$B$13)="","",INDEX(SchedZone,$C649,MAP!$B$13)))</f>
        <v/>
      </c>
      <c r="N649" s="2" t="str">
        <f t="array" ref="N649">IF($C649="","",IF(INDEX(SchedZone,$C649,MAP!$B$11)="","",INDEX(SchedZone,$C649,MAP!$B$11)))</f>
        <v/>
      </c>
      <c r="O649" s="2" t="str">
        <f t="array" ref="O649">IF($C649="","",INDEX(SchedZone,$C649,MAP!$B$16))</f>
        <v/>
      </c>
      <c r="P649" s="2" t="str">
        <f>IF($C649="","",IFERROR(MATCH($E649&amp;"|"&amp;$G649&amp;"|"&amp;$I649,StatsKey,0),""))</f>
        <v/>
      </c>
      <c r="Q649" s="2">
        <f t="array" ref="Q649">IF($P649="",0,INDEX(StatsZone,$P649,MAP!$E$9)+INDEX(StatsZone,$P649,MAP!$E$10)+INDEX(StatsZone,$P649,MAP!$E$11))</f>
        <v>0</v>
      </c>
      <c r="R649" s="2">
        <f t="array" ref="R649">IF($P649="",0,INDEX(StatsZone,$P649,MAP!$E$12))</f>
        <v>0</v>
      </c>
      <c r="S649" s="2">
        <f t="array" ref="S649">IF($P649="",0,INDEX(StatsZone,$P649,MAP!$E$13))</f>
        <v>0</v>
      </c>
      <c r="T649" s="2">
        <f t="shared" si="1"/>
        <v>0</v>
      </c>
      <c r="U649" s="2">
        <f t="array" ref="U649">IF($P649="",0,INDEX(StatsZone,$P649,MAP!$E$14)+INDEX(StatsZone,$P649,MAP!$E$15)+INDEX(StatsZone,$P649,MAP!$E$16))</f>
        <v>0</v>
      </c>
      <c r="V649" s="2">
        <f t="shared" si="2"/>
        <v>0</v>
      </c>
      <c r="W649" s="2">
        <f t="shared" si="3"/>
        <v>0</v>
      </c>
      <c r="X649" s="2">
        <f t="shared" si="4"/>
        <v>0</v>
      </c>
      <c r="Y649" s="2">
        <f t="shared" si="5"/>
        <v>0</v>
      </c>
      <c r="Z649" s="2">
        <f t="shared" si="6"/>
        <v>0</v>
      </c>
      <c r="AA649" s="2">
        <f t="shared" si="7"/>
        <v>0</v>
      </c>
      <c r="AB649" s="2">
        <f>IF(OR($M649="",$N649=""),0,MEDIAN(-MarginCap,MarginCap,($M649-$N649)-$AA649*HFA_Base))</f>
        <v>0</v>
      </c>
      <c r="AC649" s="2">
        <f t="array" ref="AC649">IF(OR($P649="",INDEX($P$3:$P$722,(ROW()+IF(MOD(ROW()-3,2)=0,1,-1))-3+1)=""),0,MEDIAN(-MarginCap,MarginCap,($T649-$W649)-$AA649*HFA_Base))</f>
        <v>0</v>
      </c>
      <c r="AD649" s="2">
        <f t="shared" si="8"/>
        <v>0</v>
      </c>
      <c r="AE649" s="2">
        <f>IF(OR($M649="",$N649=""),0,IF(AND(WEpa&gt;0,$AD649=1),(1-WEpa)*$AB649+WEpa*$AC649,$AB649))</f>
        <v>0</v>
      </c>
      <c r="AF649" s="2">
        <f>IF(AND($C649&lt;&gt;"",$E649=CurrentSeason,$F649="REG",ISNUMBER($G649),$G649&lt;CurrentWeek,AND($M649&lt;&gt;"",$N649&lt;&gt;"")),1,0)</f>
        <v>0</v>
      </c>
      <c r="AG649" s="2">
        <f>IF($AF649=0,0,IF($G649&gt;=CurrentWeek-RecencyWin,RecencyMult,1))</f>
        <v>0</v>
      </c>
      <c r="AH649" s="2">
        <f>IF(AND($C649&lt;&gt;"",$E649=CurrentSeason,$F649="REG",ISNUMBER($G649),$G649&lt;CurrentWeek-1,AND($M649&lt;&gt;"",$N649&lt;&gt;"")),1,0)</f>
        <v>0</v>
      </c>
      <c r="AI649" s="2">
        <f>IF($AH649=0,0,IF($G649&gt;=CurrentWeek-1-RecencyWin,RecencyMult,1))</f>
        <v>0</v>
      </c>
      <c r="AJ649" s="2">
        <f>IF($AF649=0,0,IF($G649&gt;=CurrentWeek-RecencyWin,TotRecency,1))</f>
        <v>0</v>
      </c>
      <c r="AK649" s="2">
        <f t="shared" si="9"/>
        <v>0</v>
      </c>
      <c r="AL649" s="2">
        <f t="shared" si="10"/>
        <v>0</v>
      </c>
      <c r="AM649" s="2">
        <f t="array" ref="AM649">IF($K649="",0,IFERROR(INDEX(CALC!$F$2:$F$33,MATCH($K649,CALC!$A$2:$A$33,0)),0))</f>
        <v>0</v>
      </c>
      <c r="AN649" s="2">
        <f t="array" ref="AN649">IF($K649="",0,IFERROR(INDEX(CALC!$I$2:$I$33,MATCH($K649,CALC!$A$2:$A$33,0)),0))</f>
        <v>0</v>
      </c>
      <c r="AO649" s="2">
        <f t="array" ref="AO649">IF($K649="",0,IFERROR(INDEX(CALC!$L$2:$L$33,MATCH($K649,CALC!$A$2:$A$33,0)),0))</f>
        <v>0</v>
      </c>
      <c r="AP649" s="2">
        <f t="array" ref="AP649">IF($K649="",0,IFERROR(INDEX(CALC!$T$2:$T$33,MATCH($K649,CALC!$A$2:$A$33,0)),0))</f>
        <v>0</v>
      </c>
      <c r="AQ649" s="2">
        <f t="array" ref="AQ649">IF($K649="",0,IFERROR(INDEX(CALC!$W$2:$W$33,MATCH($K649,CALC!$A$2:$A$33,0)),0))</f>
        <v>0</v>
      </c>
      <c r="AR649" s="2">
        <f t="array" ref="AR649">IF($K649="",0,IFERROR(INDEX(CALC!$Z$2:$Z$33,MATCH($K649,CALC!$A$2:$A$33,0)),0))</f>
        <v>0</v>
      </c>
      <c r="AS649" s="2">
        <f t="array" ref="AS649">IF($K649="",0,IFERROR(INDEX(CALC!$AJ$2:$AJ$33,MATCH($K649,CALC!$A$2:$A$33,0)),0))</f>
        <v>0</v>
      </c>
      <c r="AT649" s="2">
        <f t="array" ref="AT649">IF($K649="",0,IFERROR(INDEX(CALC!$AI$2:$AI$33,MATCH($K649,CALC!$A$2:$A$33,0)),0))</f>
        <v>0</v>
      </c>
      <c r="AU649" s="2">
        <f t="shared" si="11"/>
        <v>0</v>
      </c>
      <c r="AV649" s="2">
        <f t="shared" si="12"/>
        <v>0</v>
      </c>
    </row>
    <row r="650" ht="15.0" customHeight="1">
      <c r="A650" s="2">
        <v>324.0</v>
      </c>
      <c r="B650" s="2" t="s">
        <v>2366</v>
      </c>
      <c r="C650" s="2" t="str">
        <f>IFERROR(MATCH($A650,SchedSeq,0),"")</f>
        <v/>
      </c>
      <c r="D650" s="2" t="str">
        <f t="array" ref="D650">IF($C650="","",INDEX(SchedZone,$C650,MAP!$B$6))</f>
        <v/>
      </c>
      <c r="E650" s="2" t="str">
        <f t="array" ref="E650">IF($C650="","",INDEX(SchedZone,$C650,MAP!$B$3))</f>
        <v/>
      </c>
      <c r="F650" s="2" t="str">
        <f t="array" ref="F650">IF($C650="","",INDEX(SchedZone,$C650,MAP!$B$5))</f>
        <v/>
      </c>
      <c r="G650" s="2" t="str">
        <f t="array" ref="G650">IF($C650="","",INDEX(SchedZone,$C650,MAP!$B$4))</f>
        <v/>
      </c>
      <c r="H650" s="2" t="str">
        <f t="array" ref="H650">IF($C650="","",INDEX(SchedZone,$C650,MAP!$B$10))</f>
        <v/>
      </c>
      <c r="I650" s="2" t="str">
        <f t="array" ref="I650">IF($H650="","",IF(COUNTIF(Teams,$H650)&gt;0,$H650,IFERROR(INDEX(LISTS!$D$2:$D$12,MATCH($H650,LISTS!$C$2:$C$12,0)),"⚠ "&amp;$H650)))</f>
        <v/>
      </c>
      <c r="J650" s="2" t="str">
        <f t="array" ref="J650">IF($C650="","",INDEX(SchedZone,$C650,MAP!$B$12))</f>
        <v/>
      </c>
      <c r="K650" s="2" t="str">
        <f t="array" ref="K650">IF($J650="","",IF(COUNTIF(Teams,$J650)&gt;0,$J650,IFERROR(INDEX(LISTS!$D$2:$D$12,MATCH($J650,LISTS!$C$2:$C$12,0)),"⚠ "&amp;$J650)))</f>
        <v/>
      </c>
      <c r="L650" s="2" t="str">
        <f t="array" ref="L650">IF($C650="","",IF(INDEX(SchedZone,$C650,MAP!$B$14)="Neutral","N",IF($B650="HOME","H","A")))</f>
        <v/>
      </c>
      <c r="M650" s="2" t="str">
        <f t="array" ref="M650">IF($C650="","",IF(INDEX(SchedZone,$C650,MAP!$B$11)="","",INDEX(SchedZone,$C650,MAP!$B$11)))</f>
        <v/>
      </c>
      <c r="N650" s="2" t="str">
        <f t="array" ref="N650">IF($C650="","",IF(INDEX(SchedZone,$C650,MAP!$B$13)="","",INDEX(SchedZone,$C650,MAP!$B$13)))</f>
        <v/>
      </c>
      <c r="O650" s="2" t="str">
        <f t="array" ref="O650">IF($C650="","",INDEX(SchedZone,$C650,MAP!$B$15))</f>
        <v/>
      </c>
      <c r="P650" s="2" t="str">
        <f>IF($C650="","",IFERROR(MATCH($E650&amp;"|"&amp;$G650&amp;"|"&amp;$I650,StatsKey,0),""))</f>
        <v/>
      </c>
      <c r="Q650" s="2">
        <f t="array" ref="Q650">IF($P650="",0,INDEX(StatsZone,$P650,MAP!$E$9)+INDEX(StatsZone,$P650,MAP!$E$10)+INDEX(StatsZone,$P650,MAP!$E$11))</f>
        <v>0</v>
      </c>
      <c r="R650" s="2">
        <f t="array" ref="R650">IF($P650="",0,INDEX(StatsZone,$P650,MAP!$E$12))</f>
        <v>0</v>
      </c>
      <c r="S650" s="2">
        <f t="array" ref="S650">IF($P650="",0,INDEX(StatsZone,$P650,MAP!$E$13))</f>
        <v>0</v>
      </c>
      <c r="T650" s="2">
        <f t="shared" si="1"/>
        <v>0</v>
      </c>
      <c r="U650" s="2">
        <f t="array" ref="U650">IF($P650="",0,INDEX(StatsZone,$P650,MAP!$E$14)+INDEX(StatsZone,$P650,MAP!$E$15)+INDEX(StatsZone,$P650,MAP!$E$16))</f>
        <v>0</v>
      </c>
      <c r="V650" s="2">
        <f t="shared" si="2"/>
        <v>0</v>
      </c>
      <c r="W650" s="2">
        <f t="shared" si="3"/>
        <v>0</v>
      </c>
      <c r="X650" s="2">
        <f t="shared" si="4"/>
        <v>0</v>
      </c>
      <c r="Y650" s="2">
        <f t="shared" si="5"/>
        <v>0</v>
      </c>
      <c r="Z650" s="2">
        <f t="shared" si="6"/>
        <v>0</v>
      </c>
      <c r="AA650" s="2">
        <f t="shared" si="7"/>
        <v>0</v>
      </c>
      <c r="AB650" s="2">
        <f>IF(OR($M650="",$N650=""),0,MEDIAN(-MarginCap,MarginCap,($M650-$N650)-$AA650*HFA_Base))</f>
        <v>0</v>
      </c>
      <c r="AC650" s="2">
        <f t="array" ref="AC650">IF(OR($P650="",INDEX($P$3:$P$722,(ROW()+IF(MOD(ROW()-3,2)=0,1,-1))-3+1)=""),0,MEDIAN(-MarginCap,MarginCap,($T650-$W650)-$AA650*HFA_Base))</f>
        <v>0</v>
      </c>
      <c r="AD650" s="2">
        <f t="shared" si="8"/>
        <v>0</v>
      </c>
      <c r="AE650" s="2">
        <f>IF(OR($M650="",$N650=""),0,IF(AND(WEpa&gt;0,$AD650=1),(1-WEpa)*$AB650+WEpa*$AC650,$AB650))</f>
        <v>0</v>
      </c>
      <c r="AF650" s="2">
        <f>IF(AND($C650&lt;&gt;"",$E650=CurrentSeason,$F650="REG",ISNUMBER($G650),$G650&lt;CurrentWeek,AND($M650&lt;&gt;"",$N650&lt;&gt;"")),1,0)</f>
        <v>0</v>
      </c>
      <c r="AG650" s="2">
        <f>IF($AF650=0,0,IF($G650&gt;=CurrentWeek-RecencyWin,RecencyMult,1))</f>
        <v>0</v>
      </c>
      <c r="AH650" s="2">
        <f>IF(AND($C650&lt;&gt;"",$E650=CurrentSeason,$F650="REG",ISNUMBER($G650),$G650&lt;CurrentWeek-1,AND($M650&lt;&gt;"",$N650&lt;&gt;"")),1,0)</f>
        <v>0</v>
      </c>
      <c r="AI650" s="2">
        <f>IF($AH650=0,0,IF($G650&gt;=CurrentWeek-1-RecencyWin,RecencyMult,1))</f>
        <v>0</v>
      </c>
      <c r="AJ650" s="2">
        <f>IF($AF650=0,0,IF($G650&gt;=CurrentWeek-RecencyWin,TotRecency,1))</f>
        <v>0</v>
      </c>
      <c r="AK650" s="2">
        <f t="shared" si="9"/>
        <v>0</v>
      </c>
      <c r="AL650" s="2">
        <f t="shared" si="10"/>
        <v>0</v>
      </c>
      <c r="AM650" s="2">
        <f t="array" ref="AM650">IF($K650="",0,IFERROR(INDEX(CALC!$F$2:$F$33,MATCH($K650,CALC!$A$2:$A$33,0)),0))</f>
        <v>0</v>
      </c>
      <c r="AN650" s="2">
        <f t="array" ref="AN650">IF($K650="",0,IFERROR(INDEX(CALC!$I$2:$I$33,MATCH($K650,CALC!$A$2:$A$33,0)),0))</f>
        <v>0</v>
      </c>
      <c r="AO650" s="2">
        <f t="array" ref="AO650">IF($K650="",0,IFERROR(INDEX(CALC!$L$2:$L$33,MATCH($K650,CALC!$A$2:$A$33,0)),0))</f>
        <v>0</v>
      </c>
      <c r="AP650" s="2">
        <f t="array" ref="AP650">IF($K650="",0,IFERROR(INDEX(CALC!$T$2:$T$33,MATCH($K650,CALC!$A$2:$A$33,0)),0))</f>
        <v>0</v>
      </c>
      <c r="AQ650" s="2">
        <f t="array" ref="AQ650">IF($K650="",0,IFERROR(INDEX(CALC!$W$2:$W$33,MATCH($K650,CALC!$A$2:$A$33,0)),0))</f>
        <v>0</v>
      </c>
      <c r="AR650" s="2">
        <f t="array" ref="AR650">IF($K650="",0,IFERROR(INDEX(CALC!$Z$2:$Z$33,MATCH($K650,CALC!$A$2:$A$33,0)),0))</f>
        <v>0</v>
      </c>
      <c r="AS650" s="2">
        <f t="array" ref="AS650">IF($K650="",0,IFERROR(INDEX(CALC!$AJ$2:$AJ$33,MATCH($K650,CALC!$A$2:$A$33,0)),0))</f>
        <v>0</v>
      </c>
      <c r="AT650" s="2">
        <f t="array" ref="AT650">IF($K650="",0,IFERROR(INDEX(CALC!$AI$2:$AI$33,MATCH($K650,CALC!$A$2:$A$33,0)),0))</f>
        <v>0</v>
      </c>
      <c r="AU650" s="2">
        <f t="shared" si="11"/>
        <v>0</v>
      </c>
      <c r="AV650" s="2">
        <f t="shared" si="12"/>
        <v>0</v>
      </c>
    </row>
    <row r="651" ht="15.0" customHeight="1">
      <c r="A651" s="2">
        <v>325.0</v>
      </c>
      <c r="B651" s="2" t="s">
        <v>2365</v>
      </c>
      <c r="C651" s="2" t="str">
        <f>IFERROR(MATCH($A651,SchedSeq,0),"")</f>
        <v/>
      </c>
      <c r="D651" s="2" t="str">
        <f t="array" ref="D651">IF($C651="","",INDEX(SchedZone,$C651,MAP!$B$6))</f>
        <v/>
      </c>
      <c r="E651" s="2" t="str">
        <f t="array" ref="E651">IF($C651="","",INDEX(SchedZone,$C651,MAP!$B$3))</f>
        <v/>
      </c>
      <c r="F651" s="2" t="str">
        <f t="array" ref="F651">IF($C651="","",INDEX(SchedZone,$C651,MAP!$B$5))</f>
        <v/>
      </c>
      <c r="G651" s="2" t="str">
        <f t="array" ref="G651">IF($C651="","",INDEX(SchedZone,$C651,MAP!$B$4))</f>
        <v/>
      </c>
      <c r="H651" s="2" t="str">
        <f t="array" ref="H651">IF($C651="","",INDEX(SchedZone,$C651,MAP!$B$12))</f>
        <v/>
      </c>
      <c r="I651" s="2" t="str">
        <f t="array" ref="I651">IF($H651="","",IF(COUNTIF(Teams,$H651)&gt;0,$H651,IFERROR(INDEX(LISTS!$D$2:$D$12,MATCH($H651,LISTS!$C$2:$C$12,0)),"⚠ "&amp;$H651)))</f>
        <v/>
      </c>
      <c r="J651" s="2" t="str">
        <f t="array" ref="J651">IF($C651="","",INDEX(SchedZone,$C651,MAP!$B$10))</f>
        <v/>
      </c>
      <c r="K651" s="2" t="str">
        <f t="array" ref="K651">IF($J651="","",IF(COUNTIF(Teams,$J651)&gt;0,$J651,IFERROR(INDEX(LISTS!$D$2:$D$12,MATCH($J651,LISTS!$C$2:$C$12,0)),"⚠ "&amp;$J651)))</f>
        <v/>
      </c>
      <c r="L651" s="2" t="str">
        <f t="array" ref="L651">IF($C651="","",IF(INDEX(SchedZone,$C651,MAP!$B$14)="Neutral","N",IF($B651="HOME","H","A")))</f>
        <v/>
      </c>
      <c r="M651" s="2" t="str">
        <f t="array" ref="M651">IF($C651="","",IF(INDEX(SchedZone,$C651,MAP!$B$13)="","",INDEX(SchedZone,$C651,MAP!$B$13)))</f>
        <v/>
      </c>
      <c r="N651" s="2" t="str">
        <f t="array" ref="N651">IF($C651="","",IF(INDEX(SchedZone,$C651,MAP!$B$11)="","",INDEX(SchedZone,$C651,MAP!$B$11)))</f>
        <v/>
      </c>
      <c r="O651" s="2" t="str">
        <f t="array" ref="O651">IF($C651="","",INDEX(SchedZone,$C651,MAP!$B$16))</f>
        <v/>
      </c>
      <c r="P651" s="2" t="str">
        <f>IF($C651="","",IFERROR(MATCH($E651&amp;"|"&amp;$G651&amp;"|"&amp;$I651,StatsKey,0),""))</f>
        <v/>
      </c>
      <c r="Q651" s="2">
        <f t="array" ref="Q651">IF($P651="",0,INDEX(StatsZone,$P651,MAP!$E$9)+INDEX(StatsZone,$P651,MAP!$E$10)+INDEX(StatsZone,$P651,MAP!$E$11))</f>
        <v>0</v>
      </c>
      <c r="R651" s="2">
        <f t="array" ref="R651">IF($P651="",0,INDEX(StatsZone,$P651,MAP!$E$12))</f>
        <v>0</v>
      </c>
      <c r="S651" s="2">
        <f t="array" ref="S651">IF($P651="",0,INDEX(StatsZone,$P651,MAP!$E$13))</f>
        <v>0</v>
      </c>
      <c r="T651" s="2">
        <f t="shared" si="1"/>
        <v>0</v>
      </c>
      <c r="U651" s="2">
        <f t="array" ref="U651">IF($P651="",0,INDEX(StatsZone,$P651,MAP!$E$14)+INDEX(StatsZone,$P651,MAP!$E$15)+INDEX(StatsZone,$P651,MAP!$E$16))</f>
        <v>0</v>
      </c>
      <c r="V651" s="2">
        <f t="shared" si="2"/>
        <v>0</v>
      </c>
      <c r="W651" s="2">
        <f t="shared" si="3"/>
        <v>0</v>
      </c>
      <c r="X651" s="2">
        <f t="shared" si="4"/>
        <v>0</v>
      </c>
      <c r="Y651" s="2">
        <f t="shared" si="5"/>
        <v>0</v>
      </c>
      <c r="Z651" s="2">
        <f t="shared" si="6"/>
        <v>0</v>
      </c>
      <c r="AA651" s="2">
        <f t="shared" si="7"/>
        <v>0</v>
      </c>
      <c r="AB651" s="2">
        <f>IF(OR($M651="",$N651=""),0,MEDIAN(-MarginCap,MarginCap,($M651-$N651)-$AA651*HFA_Base))</f>
        <v>0</v>
      </c>
      <c r="AC651" s="2">
        <f t="array" ref="AC651">IF(OR($P651="",INDEX($P$3:$P$722,(ROW()+IF(MOD(ROW()-3,2)=0,1,-1))-3+1)=""),0,MEDIAN(-MarginCap,MarginCap,($T651-$W651)-$AA651*HFA_Base))</f>
        <v>0</v>
      </c>
      <c r="AD651" s="2">
        <f t="shared" si="8"/>
        <v>0</v>
      </c>
      <c r="AE651" s="2">
        <f>IF(OR($M651="",$N651=""),0,IF(AND(WEpa&gt;0,$AD651=1),(1-WEpa)*$AB651+WEpa*$AC651,$AB651))</f>
        <v>0</v>
      </c>
      <c r="AF651" s="2">
        <f>IF(AND($C651&lt;&gt;"",$E651=CurrentSeason,$F651="REG",ISNUMBER($G651),$G651&lt;CurrentWeek,AND($M651&lt;&gt;"",$N651&lt;&gt;"")),1,0)</f>
        <v>0</v>
      </c>
      <c r="AG651" s="2">
        <f>IF($AF651=0,0,IF($G651&gt;=CurrentWeek-RecencyWin,RecencyMult,1))</f>
        <v>0</v>
      </c>
      <c r="AH651" s="2">
        <f>IF(AND($C651&lt;&gt;"",$E651=CurrentSeason,$F651="REG",ISNUMBER($G651),$G651&lt;CurrentWeek-1,AND($M651&lt;&gt;"",$N651&lt;&gt;"")),1,0)</f>
        <v>0</v>
      </c>
      <c r="AI651" s="2">
        <f>IF($AH651=0,0,IF($G651&gt;=CurrentWeek-1-RecencyWin,RecencyMult,1))</f>
        <v>0</v>
      </c>
      <c r="AJ651" s="2">
        <f>IF($AF651=0,0,IF($G651&gt;=CurrentWeek-RecencyWin,TotRecency,1))</f>
        <v>0</v>
      </c>
      <c r="AK651" s="2">
        <f t="shared" si="9"/>
        <v>0</v>
      </c>
      <c r="AL651" s="2">
        <f t="shared" si="10"/>
        <v>0</v>
      </c>
      <c r="AM651" s="2">
        <f t="array" ref="AM651">IF($K651="",0,IFERROR(INDEX(CALC!$F$2:$F$33,MATCH($K651,CALC!$A$2:$A$33,0)),0))</f>
        <v>0</v>
      </c>
      <c r="AN651" s="2">
        <f t="array" ref="AN651">IF($K651="",0,IFERROR(INDEX(CALC!$I$2:$I$33,MATCH($K651,CALC!$A$2:$A$33,0)),0))</f>
        <v>0</v>
      </c>
      <c r="AO651" s="2">
        <f t="array" ref="AO651">IF($K651="",0,IFERROR(INDEX(CALC!$L$2:$L$33,MATCH($K651,CALC!$A$2:$A$33,0)),0))</f>
        <v>0</v>
      </c>
      <c r="AP651" s="2">
        <f t="array" ref="AP651">IF($K651="",0,IFERROR(INDEX(CALC!$T$2:$T$33,MATCH($K651,CALC!$A$2:$A$33,0)),0))</f>
        <v>0</v>
      </c>
      <c r="AQ651" s="2">
        <f t="array" ref="AQ651">IF($K651="",0,IFERROR(INDEX(CALC!$W$2:$W$33,MATCH($K651,CALC!$A$2:$A$33,0)),0))</f>
        <v>0</v>
      </c>
      <c r="AR651" s="2">
        <f t="array" ref="AR651">IF($K651="",0,IFERROR(INDEX(CALC!$Z$2:$Z$33,MATCH($K651,CALC!$A$2:$A$33,0)),0))</f>
        <v>0</v>
      </c>
      <c r="AS651" s="2">
        <f t="array" ref="AS651">IF($K651="",0,IFERROR(INDEX(CALC!$AJ$2:$AJ$33,MATCH($K651,CALC!$A$2:$A$33,0)),0))</f>
        <v>0</v>
      </c>
      <c r="AT651" s="2">
        <f t="array" ref="AT651">IF($K651="",0,IFERROR(INDEX(CALC!$AI$2:$AI$33,MATCH($K651,CALC!$A$2:$A$33,0)),0))</f>
        <v>0</v>
      </c>
      <c r="AU651" s="2">
        <f t="shared" si="11"/>
        <v>0</v>
      </c>
      <c r="AV651" s="2">
        <f t="shared" si="12"/>
        <v>0</v>
      </c>
    </row>
    <row r="652" ht="15.0" customHeight="1">
      <c r="A652" s="2">
        <v>325.0</v>
      </c>
      <c r="B652" s="2" t="s">
        <v>2366</v>
      </c>
      <c r="C652" s="2" t="str">
        <f>IFERROR(MATCH($A652,SchedSeq,0),"")</f>
        <v/>
      </c>
      <c r="D652" s="2" t="str">
        <f t="array" ref="D652">IF($C652="","",INDEX(SchedZone,$C652,MAP!$B$6))</f>
        <v/>
      </c>
      <c r="E652" s="2" t="str">
        <f t="array" ref="E652">IF($C652="","",INDEX(SchedZone,$C652,MAP!$B$3))</f>
        <v/>
      </c>
      <c r="F652" s="2" t="str">
        <f t="array" ref="F652">IF($C652="","",INDEX(SchedZone,$C652,MAP!$B$5))</f>
        <v/>
      </c>
      <c r="G652" s="2" t="str">
        <f t="array" ref="G652">IF($C652="","",INDEX(SchedZone,$C652,MAP!$B$4))</f>
        <v/>
      </c>
      <c r="H652" s="2" t="str">
        <f t="array" ref="H652">IF($C652="","",INDEX(SchedZone,$C652,MAP!$B$10))</f>
        <v/>
      </c>
      <c r="I652" s="2" t="str">
        <f t="array" ref="I652">IF($H652="","",IF(COUNTIF(Teams,$H652)&gt;0,$H652,IFERROR(INDEX(LISTS!$D$2:$D$12,MATCH($H652,LISTS!$C$2:$C$12,0)),"⚠ "&amp;$H652)))</f>
        <v/>
      </c>
      <c r="J652" s="2" t="str">
        <f t="array" ref="J652">IF($C652="","",INDEX(SchedZone,$C652,MAP!$B$12))</f>
        <v/>
      </c>
      <c r="K652" s="2" t="str">
        <f t="array" ref="K652">IF($J652="","",IF(COUNTIF(Teams,$J652)&gt;0,$J652,IFERROR(INDEX(LISTS!$D$2:$D$12,MATCH($J652,LISTS!$C$2:$C$12,0)),"⚠ "&amp;$J652)))</f>
        <v/>
      </c>
      <c r="L652" s="2" t="str">
        <f t="array" ref="L652">IF($C652="","",IF(INDEX(SchedZone,$C652,MAP!$B$14)="Neutral","N",IF($B652="HOME","H","A")))</f>
        <v/>
      </c>
      <c r="M652" s="2" t="str">
        <f t="array" ref="M652">IF($C652="","",IF(INDEX(SchedZone,$C652,MAP!$B$11)="","",INDEX(SchedZone,$C652,MAP!$B$11)))</f>
        <v/>
      </c>
      <c r="N652" s="2" t="str">
        <f t="array" ref="N652">IF($C652="","",IF(INDEX(SchedZone,$C652,MAP!$B$13)="","",INDEX(SchedZone,$C652,MAP!$B$13)))</f>
        <v/>
      </c>
      <c r="O652" s="2" t="str">
        <f t="array" ref="O652">IF($C652="","",INDEX(SchedZone,$C652,MAP!$B$15))</f>
        <v/>
      </c>
      <c r="P652" s="2" t="str">
        <f>IF($C652="","",IFERROR(MATCH($E652&amp;"|"&amp;$G652&amp;"|"&amp;$I652,StatsKey,0),""))</f>
        <v/>
      </c>
      <c r="Q652" s="2">
        <f t="array" ref="Q652">IF($P652="",0,INDEX(StatsZone,$P652,MAP!$E$9)+INDEX(StatsZone,$P652,MAP!$E$10)+INDEX(StatsZone,$P652,MAP!$E$11))</f>
        <v>0</v>
      </c>
      <c r="R652" s="2">
        <f t="array" ref="R652">IF($P652="",0,INDEX(StatsZone,$P652,MAP!$E$12))</f>
        <v>0</v>
      </c>
      <c r="S652" s="2">
        <f t="array" ref="S652">IF($P652="",0,INDEX(StatsZone,$P652,MAP!$E$13))</f>
        <v>0</v>
      </c>
      <c r="T652" s="2">
        <f t="shared" si="1"/>
        <v>0</v>
      </c>
      <c r="U652" s="2">
        <f t="array" ref="U652">IF($P652="",0,INDEX(StatsZone,$P652,MAP!$E$14)+INDEX(StatsZone,$P652,MAP!$E$15)+INDEX(StatsZone,$P652,MAP!$E$16))</f>
        <v>0</v>
      </c>
      <c r="V652" s="2">
        <f t="shared" si="2"/>
        <v>0</v>
      </c>
      <c r="W652" s="2">
        <f t="shared" si="3"/>
        <v>0</v>
      </c>
      <c r="X652" s="2">
        <f t="shared" si="4"/>
        <v>0</v>
      </c>
      <c r="Y652" s="2">
        <f t="shared" si="5"/>
        <v>0</v>
      </c>
      <c r="Z652" s="2">
        <f t="shared" si="6"/>
        <v>0</v>
      </c>
      <c r="AA652" s="2">
        <f t="shared" si="7"/>
        <v>0</v>
      </c>
      <c r="AB652" s="2">
        <f>IF(OR($M652="",$N652=""),0,MEDIAN(-MarginCap,MarginCap,($M652-$N652)-$AA652*HFA_Base))</f>
        <v>0</v>
      </c>
      <c r="AC652" s="2">
        <f t="array" ref="AC652">IF(OR($P652="",INDEX($P$3:$P$722,(ROW()+IF(MOD(ROW()-3,2)=0,1,-1))-3+1)=""),0,MEDIAN(-MarginCap,MarginCap,($T652-$W652)-$AA652*HFA_Base))</f>
        <v>0</v>
      </c>
      <c r="AD652" s="2">
        <f t="shared" si="8"/>
        <v>0</v>
      </c>
      <c r="AE652" s="2">
        <f>IF(OR($M652="",$N652=""),0,IF(AND(WEpa&gt;0,$AD652=1),(1-WEpa)*$AB652+WEpa*$AC652,$AB652))</f>
        <v>0</v>
      </c>
      <c r="AF652" s="2">
        <f>IF(AND($C652&lt;&gt;"",$E652=CurrentSeason,$F652="REG",ISNUMBER($G652),$G652&lt;CurrentWeek,AND($M652&lt;&gt;"",$N652&lt;&gt;"")),1,0)</f>
        <v>0</v>
      </c>
      <c r="AG652" s="2">
        <f>IF($AF652=0,0,IF($G652&gt;=CurrentWeek-RecencyWin,RecencyMult,1))</f>
        <v>0</v>
      </c>
      <c r="AH652" s="2">
        <f>IF(AND($C652&lt;&gt;"",$E652=CurrentSeason,$F652="REG",ISNUMBER($G652),$G652&lt;CurrentWeek-1,AND($M652&lt;&gt;"",$N652&lt;&gt;"")),1,0)</f>
        <v>0</v>
      </c>
      <c r="AI652" s="2">
        <f>IF($AH652=0,0,IF($G652&gt;=CurrentWeek-1-RecencyWin,RecencyMult,1))</f>
        <v>0</v>
      </c>
      <c r="AJ652" s="2">
        <f>IF($AF652=0,0,IF($G652&gt;=CurrentWeek-RecencyWin,TotRecency,1))</f>
        <v>0</v>
      </c>
      <c r="AK652" s="2">
        <f t="shared" si="9"/>
        <v>0</v>
      </c>
      <c r="AL652" s="2">
        <f t="shared" si="10"/>
        <v>0</v>
      </c>
      <c r="AM652" s="2">
        <f t="array" ref="AM652">IF($K652="",0,IFERROR(INDEX(CALC!$F$2:$F$33,MATCH($K652,CALC!$A$2:$A$33,0)),0))</f>
        <v>0</v>
      </c>
      <c r="AN652" s="2">
        <f t="array" ref="AN652">IF($K652="",0,IFERROR(INDEX(CALC!$I$2:$I$33,MATCH($K652,CALC!$A$2:$A$33,0)),0))</f>
        <v>0</v>
      </c>
      <c r="AO652" s="2">
        <f t="array" ref="AO652">IF($K652="",0,IFERROR(INDEX(CALC!$L$2:$L$33,MATCH($K652,CALC!$A$2:$A$33,0)),0))</f>
        <v>0</v>
      </c>
      <c r="AP652" s="2">
        <f t="array" ref="AP652">IF($K652="",0,IFERROR(INDEX(CALC!$T$2:$T$33,MATCH($K652,CALC!$A$2:$A$33,0)),0))</f>
        <v>0</v>
      </c>
      <c r="AQ652" s="2">
        <f t="array" ref="AQ652">IF($K652="",0,IFERROR(INDEX(CALC!$W$2:$W$33,MATCH($K652,CALC!$A$2:$A$33,0)),0))</f>
        <v>0</v>
      </c>
      <c r="AR652" s="2">
        <f t="array" ref="AR652">IF($K652="",0,IFERROR(INDEX(CALC!$Z$2:$Z$33,MATCH($K652,CALC!$A$2:$A$33,0)),0))</f>
        <v>0</v>
      </c>
      <c r="AS652" s="2">
        <f t="array" ref="AS652">IF($K652="",0,IFERROR(INDEX(CALC!$AJ$2:$AJ$33,MATCH($K652,CALC!$A$2:$A$33,0)),0))</f>
        <v>0</v>
      </c>
      <c r="AT652" s="2">
        <f t="array" ref="AT652">IF($K652="",0,IFERROR(INDEX(CALC!$AI$2:$AI$33,MATCH($K652,CALC!$A$2:$A$33,0)),0))</f>
        <v>0</v>
      </c>
      <c r="AU652" s="2">
        <f t="shared" si="11"/>
        <v>0</v>
      </c>
      <c r="AV652" s="2">
        <f t="shared" si="12"/>
        <v>0</v>
      </c>
    </row>
    <row r="653" ht="15.0" customHeight="1">
      <c r="A653" s="2">
        <v>326.0</v>
      </c>
      <c r="B653" s="2" t="s">
        <v>2365</v>
      </c>
      <c r="C653" s="2" t="str">
        <f>IFERROR(MATCH($A653,SchedSeq,0),"")</f>
        <v/>
      </c>
      <c r="D653" s="2" t="str">
        <f t="array" ref="D653">IF($C653="","",INDEX(SchedZone,$C653,MAP!$B$6))</f>
        <v/>
      </c>
      <c r="E653" s="2" t="str">
        <f t="array" ref="E653">IF($C653="","",INDEX(SchedZone,$C653,MAP!$B$3))</f>
        <v/>
      </c>
      <c r="F653" s="2" t="str">
        <f t="array" ref="F653">IF($C653="","",INDEX(SchedZone,$C653,MAP!$B$5))</f>
        <v/>
      </c>
      <c r="G653" s="2" t="str">
        <f t="array" ref="G653">IF($C653="","",INDEX(SchedZone,$C653,MAP!$B$4))</f>
        <v/>
      </c>
      <c r="H653" s="2" t="str">
        <f t="array" ref="H653">IF($C653="","",INDEX(SchedZone,$C653,MAP!$B$12))</f>
        <v/>
      </c>
      <c r="I653" s="2" t="str">
        <f t="array" ref="I653">IF($H653="","",IF(COUNTIF(Teams,$H653)&gt;0,$H653,IFERROR(INDEX(LISTS!$D$2:$D$12,MATCH($H653,LISTS!$C$2:$C$12,0)),"⚠ "&amp;$H653)))</f>
        <v/>
      </c>
      <c r="J653" s="2" t="str">
        <f t="array" ref="J653">IF($C653="","",INDEX(SchedZone,$C653,MAP!$B$10))</f>
        <v/>
      </c>
      <c r="K653" s="2" t="str">
        <f t="array" ref="K653">IF($J653="","",IF(COUNTIF(Teams,$J653)&gt;0,$J653,IFERROR(INDEX(LISTS!$D$2:$D$12,MATCH($J653,LISTS!$C$2:$C$12,0)),"⚠ "&amp;$J653)))</f>
        <v/>
      </c>
      <c r="L653" s="2" t="str">
        <f t="array" ref="L653">IF($C653="","",IF(INDEX(SchedZone,$C653,MAP!$B$14)="Neutral","N",IF($B653="HOME","H","A")))</f>
        <v/>
      </c>
      <c r="M653" s="2" t="str">
        <f t="array" ref="M653">IF($C653="","",IF(INDEX(SchedZone,$C653,MAP!$B$13)="","",INDEX(SchedZone,$C653,MAP!$B$13)))</f>
        <v/>
      </c>
      <c r="N653" s="2" t="str">
        <f t="array" ref="N653">IF($C653="","",IF(INDEX(SchedZone,$C653,MAP!$B$11)="","",INDEX(SchedZone,$C653,MAP!$B$11)))</f>
        <v/>
      </c>
      <c r="O653" s="2" t="str">
        <f t="array" ref="O653">IF($C653="","",INDEX(SchedZone,$C653,MAP!$B$16))</f>
        <v/>
      </c>
      <c r="P653" s="2" t="str">
        <f>IF($C653="","",IFERROR(MATCH($E653&amp;"|"&amp;$G653&amp;"|"&amp;$I653,StatsKey,0),""))</f>
        <v/>
      </c>
      <c r="Q653" s="2">
        <f t="array" ref="Q653">IF($P653="",0,INDEX(StatsZone,$P653,MAP!$E$9)+INDEX(StatsZone,$P653,MAP!$E$10)+INDEX(StatsZone,$P653,MAP!$E$11))</f>
        <v>0</v>
      </c>
      <c r="R653" s="2">
        <f t="array" ref="R653">IF($P653="",0,INDEX(StatsZone,$P653,MAP!$E$12))</f>
        <v>0</v>
      </c>
      <c r="S653" s="2">
        <f t="array" ref="S653">IF($P653="",0,INDEX(StatsZone,$P653,MAP!$E$13))</f>
        <v>0</v>
      </c>
      <c r="T653" s="2">
        <f t="shared" si="1"/>
        <v>0</v>
      </c>
      <c r="U653" s="2">
        <f t="array" ref="U653">IF($P653="",0,INDEX(StatsZone,$P653,MAP!$E$14)+INDEX(StatsZone,$P653,MAP!$E$15)+INDEX(StatsZone,$P653,MAP!$E$16))</f>
        <v>0</v>
      </c>
      <c r="V653" s="2">
        <f t="shared" si="2"/>
        <v>0</v>
      </c>
      <c r="W653" s="2">
        <f t="shared" si="3"/>
        <v>0</v>
      </c>
      <c r="X653" s="2">
        <f t="shared" si="4"/>
        <v>0</v>
      </c>
      <c r="Y653" s="2">
        <f t="shared" si="5"/>
        <v>0</v>
      </c>
      <c r="Z653" s="2">
        <f t="shared" si="6"/>
        <v>0</v>
      </c>
      <c r="AA653" s="2">
        <f t="shared" si="7"/>
        <v>0</v>
      </c>
      <c r="AB653" s="2">
        <f>IF(OR($M653="",$N653=""),0,MEDIAN(-MarginCap,MarginCap,($M653-$N653)-$AA653*HFA_Base))</f>
        <v>0</v>
      </c>
      <c r="AC653" s="2">
        <f t="array" ref="AC653">IF(OR($P653="",INDEX($P$3:$P$722,(ROW()+IF(MOD(ROW()-3,2)=0,1,-1))-3+1)=""),0,MEDIAN(-MarginCap,MarginCap,($T653-$W653)-$AA653*HFA_Base))</f>
        <v>0</v>
      </c>
      <c r="AD653" s="2">
        <f t="shared" si="8"/>
        <v>0</v>
      </c>
      <c r="AE653" s="2">
        <f>IF(OR($M653="",$N653=""),0,IF(AND(WEpa&gt;0,$AD653=1),(1-WEpa)*$AB653+WEpa*$AC653,$AB653))</f>
        <v>0</v>
      </c>
      <c r="AF653" s="2">
        <f>IF(AND($C653&lt;&gt;"",$E653=CurrentSeason,$F653="REG",ISNUMBER($G653),$G653&lt;CurrentWeek,AND($M653&lt;&gt;"",$N653&lt;&gt;"")),1,0)</f>
        <v>0</v>
      </c>
      <c r="AG653" s="2">
        <f>IF($AF653=0,0,IF($G653&gt;=CurrentWeek-RecencyWin,RecencyMult,1))</f>
        <v>0</v>
      </c>
      <c r="AH653" s="2">
        <f>IF(AND($C653&lt;&gt;"",$E653=CurrentSeason,$F653="REG",ISNUMBER($G653),$G653&lt;CurrentWeek-1,AND($M653&lt;&gt;"",$N653&lt;&gt;"")),1,0)</f>
        <v>0</v>
      </c>
      <c r="AI653" s="2">
        <f>IF($AH653=0,0,IF($G653&gt;=CurrentWeek-1-RecencyWin,RecencyMult,1))</f>
        <v>0</v>
      </c>
      <c r="AJ653" s="2">
        <f>IF($AF653=0,0,IF($G653&gt;=CurrentWeek-RecencyWin,TotRecency,1))</f>
        <v>0</v>
      </c>
      <c r="AK653" s="2">
        <f t="shared" si="9"/>
        <v>0</v>
      </c>
      <c r="AL653" s="2">
        <f t="shared" si="10"/>
        <v>0</v>
      </c>
      <c r="AM653" s="2">
        <f t="array" ref="AM653">IF($K653="",0,IFERROR(INDEX(CALC!$F$2:$F$33,MATCH($K653,CALC!$A$2:$A$33,0)),0))</f>
        <v>0</v>
      </c>
      <c r="AN653" s="2">
        <f t="array" ref="AN653">IF($K653="",0,IFERROR(INDEX(CALC!$I$2:$I$33,MATCH($K653,CALC!$A$2:$A$33,0)),0))</f>
        <v>0</v>
      </c>
      <c r="AO653" s="2">
        <f t="array" ref="AO653">IF($K653="",0,IFERROR(INDEX(CALC!$L$2:$L$33,MATCH($K653,CALC!$A$2:$A$33,0)),0))</f>
        <v>0</v>
      </c>
      <c r="AP653" s="2">
        <f t="array" ref="AP653">IF($K653="",0,IFERROR(INDEX(CALC!$T$2:$T$33,MATCH($K653,CALC!$A$2:$A$33,0)),0))</f>
        <v>0</v>
      </c>
      <c r="AQ653" s="2">
        <f t="array" ref="AQ653">IF($K653="",0,IFERROR(INDEX(CALC!$W$2:$W$33,MATCH($K653,CALC!$A$2:$A$33,0)),0))</f>
        <v>0</v>
      </c>
      <c r="AR653" s="2">
        <f t="array" ref="AR653">IF($K653="",0,IFERROR(INDEX(CALC!$Z$2:$Z$33,MATCH($K653,CALC!$A$2:$A$33,0)),0))</f>
        <v>0</v>
      </c>
      <c r="AS653" s="2">
        <f t="array" ref="AS653">IF($K653="",0,IFERROR(INDEX(CALC!$AJ$2:$AJ$33,MATCH($K653,CALC!$A$2:$A$33,0)),0))</f>
        <v>0</v>
      </c>
      <c r="AT653" s="2">
        <f t="array" ref="AT653">IF($K653="",0,IFERROR(INDEX(CALC!$AI$2:$AI$33,MATCH($K653,CALC!$A$2:$A$33,0)),0))</f>
        <v>0</v>
      </c>
      <c r="AU653" s="2">
        <f t="shared" si="11"/>
        <v>0</v>
      </c>
      <c r="AV653" s="2">
        <f t="shared" si="12"/>
        <v>0</v>
      </c>
    </row>
    <row r="654" ht="15.0" customHeight="1">
      <c r="A654" s="2">
        <v>326.0</v>
      </c>
      <c r="B654" s="2" t="s">
        <v>2366</v>
      </c>
      <c r="C654" s="2" t="str">
        <f>IFERROR(MATCH($A654,SchedSeq,0),"")</f>
        <v/>
      </c>
      <c r="D654" s="2" t="str">
        <f t="array" ref="D654">IF($C654="","",INDEX(SchedZone,$C654,MAP!$B$6))</f>
        <v/>
      </c>
      <c r="E654" s="2" t="str">
        <f t="array" ref="E654">IF($C654="","",INDEX(SchedZone,$C654,MAP!$B$3))</f>
        <v/>
      </c>
      <c r="F654" s="2" t="str">
        <f t="array" ref="F654">IF($C654="","",INDEX(SchedZone,$C654,MAP!$B$5))</f>
        <v/>
      </c>
      <c r="G654" s="2" t="str">
        <f t="array" ref="G654">IF($C654="","",INDEX(SchedZone,$C654,MAP!$B$4))</f>
        <v/>
      </c>
      <c r="H654" s="2" t="str">
        <f t="array" ref="H654">IF($C654="","",INDEX(SchedZone,$C654,MAP!$B$10))</f>
        <v/>
      </c>
      <c r="I654" s="2" t="str">
        <f t="array" ref="I654">IF($H654="","",IF(COUNTIF(Teams,$H654)&gt;0,$H654,IFERROR(INDEX(LISTS!$D$2:$D$12,MATCH($H654,LISTS!$C$2:$C$12,0)),"⚠ "&amp;$H654)))</f>
        <v/>
      </c>
      <c r="J654" s="2" t="str">
        <f t="array" ref="J654">IF($C654="","",INDEX(SchedZone,$C654,MAP!$B$12))</f>
        <v/>
      </c>
      <c r="K654" s="2" t="str">
        <f t="array" ref="K654">IF($J654="","",IF(COUNTIF(Teams,$J654)&gt;0,$J654,IFERROR(INDEX(LISTS!$D$2:$D$12,MATCH($J654,LISTS!$C$2:$C$12,0)),"⚠ "&amp;$J654)))</f>
        <v/>
      </c>
      <c r="L654" s="2" t="str">
        <f t="array" ref="L654">IF($C654="","",IF(INDEX(SchedZone,$C654,MAP!$B$14)="Neutral","N",IF($B654="HOME","H","A")))</f>
        <v/>
      </c>
      <c r="M654" s="2" t="str">
        <f t="array" ref="M654">IF($C654="","",IF(INDEX(SchedZone,$C654,MAP!$B$11)="","",INDEX(SchedZone,$C654,MAP!$B$11)))</f>
        <v/>
      </c>
      <c r="N654" s="2" t="str">
        <f t="array" ref="N654">IF($C654="","",IF(INDEX(SchedZone,$C654,MAP!$B$13)="","",INDEX(SchedZone,$C654,MAP!$B$13)))</f>
        <v/>
      </c>
      <c r="O654" s="2" t="str">
        <f t="array" ref="O654">IF($C654="","",INDEX(SchedZone,$C654,MAP!$B$15))</f>
        <v/>
      </c>
      <c r="P654" s="2" t="str">
        <f>IF($C654="","",IFERROR(MATCH($E654&amp;"|"&amp;$G654&amp;"|"&amp;$I654,StatsKey,0),""))</f>
        <v/>
      </c>
      <c r="Q654" s="2">
        <f t="array" ref="Q654">IF($P654="",0,INDEX(StatsZone,$P654,MAP!$E$9)+INDEX(StatsZone,$P654,MAP!$E$10)+INDEX(StatsZone,$P654,MAP!$E$11))</f>
        <v>0</v>
      </c>
      <c r="R654" s="2">
        <f t="array" ref="R654">IF($P654="",0,INDEX(StatsZone,$P654,MAP!$E$12))</f>
        <v>0</v>
      </c>
      <c r="S654" s="2">
        <f t="array" ref="S654">IF($P654="",0,INDEX(StatsZone,$P654,MAP!$E$13))</f>
        <v>0</v>
      </c>
      <c r="T654" s="2">
        <f t="shared" si="1"/>
        <v>0</v>
      </c>
      <c r="U654" s="2">
        <f t="array" ref="U654">IF($P654="",0,INDEX(StatsZone,$P654,MAP!$E$14)+INDEX(StatsZone,$P654,MAP!$E$15)+INDEX(StatsZone,$P654,MAP!$E$16))</f>
        <v>0</v>
      </c>
      <c r="V654" s="2">
        <f t="shared" si="2"/>
        <v>0</v>
      </c>
      <c r="W654" s="2">
        <f t="shared" si="3"/>
        <v>0</v>
      </c>
      <c r="X654" s="2">
        <f t="shared" si="4"/>
        <v>0</v>
      </c>
      <c r="Y654" s="2">
        <f t="shared" si="5"/>
        <v>0</v>
      </c>
      <c r="Z654" s="2">
        <f t="shared" si="6"/>
        <v>0</v>
      </c>
      <c r="AA654" s="2">
        <f t="shared" si="7"/>
        <v>0</v>
      </c>
      <c r="AB654" s="2">
        <f>IF(OR($M654="",$N654=""),0,MEDIAN(-MarginCap,MarginCap,($M654-$N654)-$AA654*HFA_Base))</f>
        <v>0</v>
      </c>
      <c r="AC654" s="2">
        <f t="array" ref="AC654">IF(OR($P654="",INDEX($P$3:$P$722,(ROW()+IF(MOD(ROW()-3,2)=0,1,-1))-3+1)=""),0,MEDIAN(-MarginCap,MarginCap,($T654-$W654)-$AA654*HFA_Base))</f>
        <v>0</v>
      </c>
      <c r="AD654" s="2">
        <f t="shared" si="8"/>
        <v>0</v>
      </c>
      <c r="AE654" s="2">
        <f>IF(OR($M654="",$N654=""),0,IF(AND(WEpa&gt;0,$AD654=1),(1-WEpa)*$AB654+WEpa*$AC654,$AB654))</f>
        <v>0</v>
      </c>
      <c r="AF654" s="2">
        <f>IF(AND($C654&lt;&gt;"",$E654=CurrentSeason,$F654="REG",ISNUMBER($G654),$G654&lt;CurrentWeek,AND($M654&lt;&gt;"",$N654&lt;&gt;"")),1,0)</f>
        <v>0</v>
      </c>
      <c r="AG654" s="2">
        <f>IF($AF654=0,0,IF($G654&gt;=CurrentWeek-RecencyWin,RecencyMult,1))</f>
        <v>0</v>
      </c>
      <c r="AH654" s="2">
        <f>IF(AND($C654&lt;&gt;"",$E654=CurrentSeason,$F654="REG",ISNUMBER($G654),$G654&lt;CurrentWeek-1,AND($M654&lt;&gt;"",$N654&lt;&gt;"")),1,0)</f>
        <v>0</v>
      </c>
      <c r="AI654" s="2">
        <f>IF($AH654=0,0,IF($G654&gt;=CurrentWeek-1-RecencyWin,RecencyMult,1))</f>
        <v>0</v>
      </c>
      <c r="AJ654" s="2">
        <f>IF($AF654=0,0,IF($G654&gt;=CurrentWeek-RecencyWin,TotRecency,1))</f>
        <v>0</v>
      </c>
      <c r="AK654" s="2">
        <f t="shared" si="9"/>
        <v>0</v>
      </c>
      <c r="AL654" s="2">
        <f t="shared" si="10"/>
        <v>0</v>
      </c>
      <c r="AM654" s="2">
        <f t="array" ref="AM654">IF($K654="",0,IFERROR(INDEX(CALC!$F$2:$F$33,MATCH($K654,CALC!$A$2:$A$33,0)),0))</f>
        <v>0</v>
      </c>
      <c r="AN654" s="2">
        <f t="array" ref="AN654">IF($K654="",0,IFERROR(INDEX(CALC!$I$2:$I$33,MATCH($K654,CALC!$A$2:$A$33,0)),0))</f>
        <v>0</v>
      </c>
      <c r="AO654" s="2">
        <f t="array" ref="AO654">IF($K654="",0,IFERROR(INDEX(CALC!$L$2:$L$33,MATCH($K654,CALC!$A$2:$A$33,0)),0))</f>
        <v>0</v>
      </c>
      <c r="AP654" s="2">
        <f t="array" ref="AP654">IF($K654="",0,IFERROR(INDEX(CALC!$T$2:$T$33,MATCH($K654,CALC!$A$2:$A$33,0)),0))</f>
        <v>0</v>
      </c>
      <c r="AQ654" s="2">
        <f t="array" ref="AQ654">IF($K654="",0,IFERROR(INDEX(CALC!$W$2:$W$33,MATCH($K654,CALC!$A$2:$A$33,0)),0))</f>
        <v>0</v>
      </c>
      <c r="AR654" s="2">
        <f t="array" ref="AR654">IF($K654="",0,IFERROR(INDEX(CALC!$Z$2:$Z$33,MATCH($K654,CALC!$A$2:$A$33,0)),0))</f>
        <v>0</v>
      </c>
      <c r="AS654" s="2">
        <f t="array" ref="AS654">IF($K654="",0,IFERROR(INDEX(CALC!$AJ$2:$AJ$33,MATCH($K654,CALC!$A$2:$A$33,0)),0))</f>
        <v>0</v>
      </c>
      <c r="AT654" s="2">
        <f t="array" ref="AT654">IF($K654="",0,IFERROR(INDEX(CALC!$AI$2:$AI$33,MATCH($K654,CALC!$A$2:$A$33,0)),0))</f>
        <v>0</v>
      </c>
      <c r="AU654" s="2">
        <f t="shared" si="11"/>
        <v>0</v>
      </c>
      <c r="AV654" s="2">
        <f t="shared" si="12"/>
        <v>0</v>
      </c>
    </row>
    <row r="655" ht="15.0" customHeight="1">
      <c r="A655" s="2">
        <v>327.0</v>
      </c>
      <c r="B655" s="2" t="s">
        <v>2365</v>
      </c>
      <c r="C655" s="2" t="str">
        <f>IFERROR(MATCH($A655,SchedSeq,0),"")</f>
        <v/>
      </c>
      <c r="D655" s="2" t="str">
        <f t="array" ref="D655">IF($C655="","",INDEX(SchedZone,$C655,MAP!$B$6))</f>
        <v/>
      </c>
      <c r="E655" s="2" t="str">
        <f t="array" ref="E655">IF($C655="","",INDEX(SchedZone,$C655,MAP!$B$3))</f>
        <v/>
      </c>
      <c r="F655" s="2" t="str">
        <f t="array" ref="F655">IF($C655="","",INDEX(SchedZone,$C655,MAP!$B$5))</f>
        <v/>
      </c>
      <c r="G655" s="2" t="str">
        <f t="array" ref="G655">IF($C655="","",INDEX(SchedZone,$C655,MAP!$B$4))</f>
        <v/>
      </c>
      <c r="H655" s="2" t="str">
        <f t="array" ref="H655">IF($C655="","",INDEX(SchedZone,$C655,MAP!$B$12))</f>
        <v/>
      </c>
      <c r="I655" s="2" t="str">
        <f t="array" ref="I655">IF($H655="","",IF(COUNTIF(Teams,$H655)&gt;0,$H655,IFERROR(INDEX(LISTS!$D$2:$D$12,MATCH($H655,LISTS!$C$2:$C$12,0)),"⚠ "&amp;$H655)))</f>
        <v/>
      </c>
      <c r="J655" s="2" t="str">
        <f t="array" ref="J655">IF($C655="","",INDEX(SchedZone,$C655,MAP!$B$10))</f>
        <v/>
      </c>
      <c r="K655" s="2" t="str">
        <f t="array" ref="K655">IF($J655="","",IF(COUNTIF(Teams,$J655)&gt;0,$J655,IFERROR(INDEX(LISTS!$D$2:$D$12,MATCH($J655,LISTS!$C$2:$C$12,0)),"⚠ "&amp;$J655)))</f>
        <v/>
      </c>
      <c r="L655" s="2" t="str">
        <f t="array" ref="L655">IF($C655="","",IF(INDEX(SchedZone,$C655,MAP!$B$14)="Neutral","N",IF($B655="HOME","H","A")))</f>
        <v/>
      </c>
      <c r="M655" s="2" t="str">
        <f t="array" ref="M655">IF($C655="","",IF(INDEX(SchedZone,$C655,MAP!$B$13)="","",INDEX(SchedZone,$C655,MAP!$B$13)))</f>
        <v/>
      </c>
      <c r="N655" s="2" t="str">
        <f t="array" ref="N655">IF($C655="","",IF(INDEX(SchedZone,$C655,MAP!$B$11)="","",INDEX(SchedZone,$C655,MAP!$B$11)))</f>
        <v/>
      </c>
      <c r="O655" s="2" t="str">
        <f t="array" ref="O655">IF($C655="","",INDEX(SchedZone,$C655,MAP!$B$16))</f>
        <v/>
      </c>
      <c r="P655" s="2" t="str">
        <f>IF($C655="","",IFERROR(MATCH($E655&amp;"|"&amp;$G655&amp;"|"&amp;$I655,StatsKey,0),""))</f>
        <v/>
      </c>
      <c r="Q655" s="2">
        <f t="array" ref="Q655">IF($P655="",0,INDEX(StatsZone,$P655,MAP!$E$9)+INDEX(StatsZone,$P655,MAP!$E$10)+INDEX(StatsZone,$P655,MAP!$E$11))</f>
        <v>0</v>
      </c>
      <c r="R655" s="2">
        <f t="array" ref="R655">IF($P655="",0,INDEX(StatsZone,$P655,MAP!$E$12))</f>
        <v>0</v>
      </c>
      <c r="S655" s="2">
        <f t="array" ref="S655">IF($P655="",0,INDEX(StatsZone,$P655,MAP!$E$13))</f>
        <v>0</v>
      </c>
      <c r="T655" s="2">
        <f t="shared" si="1"/>
        <v>0</v>
      </c>
      <c r="U655" s="2">
        <f t="array" ref="U655">IF($P655="",0,INDEX(StatsZone,$P655,MAP!$E$14)+INDEX(StatsZone,$P655,MAP!$E$15)+INDEX(StatsZone,$P655,MAP!$E$16))</f>
        <v>0</v>
      </c>
      <c r="V655" s="2">
        <f t="shared" si="2"/>
        <v>0</v>
      </c>
      <c r="W655" s="2">
        <f t="shared" si="3"/>
        <v>0</v>
      </c>
      <c r="X655" s="2">
        <f t="shared" si="4"/>
        <v>0</v>
      </c>
      <c r="Y655" s="2">
        <f t="shared" si="5"/>
        <v>0</v>
      </c>
      <c r="Z655" s="2">
        <f t="shared" si="6"/>
        <v>0</v>
      </c>
      <c r="AA655" s="2">
        <f t="shared" si="7"/>
        <v>0</v>
      </c>
      <c r="AB655" s="2">
        <f>IF(OR($M655="",$N655=""),0,MEDIAN(-MarginCap,MarginCap,($M655-$N655)-$AA655*HFA_Base))</f>
        <v>0</v>
      </c>
      <c r="AC655" s="2">
        <f t="array" ref="AC655">IF(OR($P655="",INDEX($P$3:$P$722,(ROW()+IF(MOD(ROW()-3,2)=0,1,-1))-3+1)=""),0,MEDIAN(-MarginCap,MarginCap,($T655-$W655)-$AA655*HFA_Base))</f>
        <v>0</v>
      </c>
      <c r="AD655" s="2">
        <f t="shared" si="8"/>
        <v>0</v>
      </c>
      <c r="AE655" s="2">
        <f>IF(OR($M655="",$N655=""),0,IF(AND(WEpa&gt;0,$AD655=1),(1-WEpa)*$AB655+WEpa*$AC655,$AB655))</f>
        <v>0</v>
      </c>
      <c r="AF655" s="2">
        <f>IF(AND($C655&lt;&gt;"",$E655=CurrentSeason,$F655="REG",ISNUMBER($G655),$G655&lt;CurrentWeek,AND($M655&lt;&gt;"",$N655&lt;&gt;"")),1,0)</f>
        <v>0</v>
      </c>
      <c r="AG655" s="2">
        <f>IF($AF655=0,0,IF($G655&gt;=CurrentWeek-RecencyWin,RecencyMult,1))</f>
        <v>0</v>
      </c>
      <c r="AH655" s="2">
        <f>IF(AND($C655&lt;&gt;"",$E655=CurrentSeason,$F655="REG",ISNUMBER($G655),$G655&lt;CurrentWeek-1,AND($M655&lt;&gt;"",$N655&lt;&gt;"")),1,0)</f>
        <v>0</v>
      </c>
      <c r="AI655" s="2">
        <f>IF($AH655=0,0,IF($G655&gt;=CurrentWeek-1-RecencyWin,RecencyMult,1))</f>
        <v>0</v>
      </c>
      <c r="AJ655" s="2">
        <f>IF($AF655=0,0,IF($G655&gt;=CurrentWeek-RecencyWin,TotRecency,1))</f>
        <v>0</v>
      </c>
      <c r="AK655" s="2">
        <f t="shared" si="9"/>
        <v>0</v>
      </c>
      <c r="AL655" s="2">
        <f t="shared" si="10"/>
        <v>0</v>
      </c>
      <c r="AM655" s="2">
        <f t="array" ref="AM655">IF($K655="",0,IFERROR(INDEX(CALC!$F$2:$F$33,MATCH($K655,CALC!$A$2:$A$33,0)),0))</f>
        <v>0</v>
      </c>
      <c r="AN655" s="2">
        <f t="array" ref="AN655">IF($K655="",0,IFERROR(INDEX(CALC!$I$2:$I$33,MATCH($K655,CALC!$A$2:$A$33,0)),0))</f>
        <v>0</v>
      </c>
      <c r="AO655" s="2">
        <f t="array" ref="AO655">IF($K655="",0,IFERROR(INDEX(CALC!$L$2:$L$33,MATCH($K655,CALC!$A$2:$A$33,0)),0))</f>
        <v>0</v>
      </c>
      <c r="AP655" s="2">
        <f t="array" ref="AP655">IF($K655="",0,IFERROR(INDEX(CALC!$T$2:$T$33,MATCH($K655,CALC!$A$2:$A$33,0)),0))</f>
        <v>0</v>
      </c>
      <c r="AQ655" s="2">
        <f t="array" ref="AQ655">IF($K655="",0,IFERROR(INDEX(CALC!$W$2:$W$33,MATCH($K655,CALC!$A$2:$A$33,0)),0))</f>
        <v>0</v>
      </c>
      <c r="AR655" s="2">
        <f t="array" ref="AR655">IF($K655="",0,IFERROR(INDEX(CALC!$Z$2:$Z$33,MATCH($K655,CALC!$A$2:$A$33,0)),0))</f>
        <v>0</v>
      </c>
      <c r="AS655" s="2">
        <f t="array" ref="AS655">IF($K655="",0,IFERROR(INDEX(CALC!$AJ$2:$AJ$33,MATCH($K655,CALC!$A$2:$A$33,0)),0))</f>
        <v>0</v>
      </c>
      <c r="AT655" s="2">
        <f t="array" ref="AT655">IF($K655="",0,IFERROR(INDEX(CALC!$AI$2:$AI$33,MATCH($K655,CALC!$A$2:$A$33,0)),0))</f>
        <v>0</v>
      </c>
      <c r="AU655" s="2">
        <f t="shared" si="11"/>
        <v>0</v>
      </c>
      <c r="AV655" s="2">
        <f t="shared" si="12"/>
        <v>0</v>
      </c>
    </row>
    <row r="656" ht="15.0" customHeight="1">
      <c r="A656" s="2">
        <v>327.0</v>
      </c>
      <c r="B656" s="2" t="s">
        <v>2366</v>
      </c>
      <c r="C656" s="2" t="str">
        <f>IFERROR(MATCH($A656,SchedSeq,0),"")</f>
        <v/>
      </c>
      <c r="D656" s="2" t="str">
        <f t="array" ref="D656">IF($C656="","",INDEX(SchedZone,$C656,MAP!$B$6))</f>
        <v/>
      </c>
      <c r="E656" s="2" t="str">
        <f t="array" ref="E656">IF($C656="","",INDEX(SchedZone,$C656,MAP!$B$3))</f>
        <v/>
      </c>
      <c r="F656" s="2" t="str">
        <f t="array" ref="F656">IF($C656="","",INDEX(SchedZone,$C656,MAP!$B$5))</f>
        <v/>
      </c>
      <c r="G656" s="2" t="str">
        <f t="array" ref="G656">IF($C656="","",INDEX(SchedZone,$C656,MAP!$B$4))</f>
        <v/>
      </c>
      <c r="H656" s="2" t="str">
        <f t="array" ref="H656">IF($C656="","",INDEX(SchedZone,$C656,MAP!$B$10))</f>
        <v/>
      </c>
      <c r="I656" s="2" t="str">
        <f t="array" ref="I656">IF($H656="","",IF(COUNTIF(Teams,$H656)&gt;0,$H656,IFERROR(INDEX(LISTS!$D$2:$D$12,MATCH($H656,LISTS!$C$2:$C$12,0)),"⚠ "&amp;$H656)))</f>
        <v/>
      </c>
      <c r="J656" s="2" t="str">
        <f t="array" ref="J656">IF($C656="","",INDEX(SchedZone,$C656,MAP!$B$12))</f>
        <v/>
      </c>
      <c r="K656" s="2" t="str">
        <f t="array" ref="K656">IF($J656="","",IF(COUNTIF(Teams,$J656)&gt;0,$J656,IFERROR(INDEX(LISTS!$D$2:$D$12,MATCH($J656,LISTS!$C$2:$C$12,0)),"⚠ "&amp;$J656)))</f>
        <v/>
      </c>
      <c r="L656" s="2" t="str">
        <f t="array" ref="L656">IF($C656="","",IF(INDEX(SchedZone,$C656,MAP!$B$14)="Neutral","N",IF($B656="HOME","H","A")))</f>
        <v/>
      </c>
      <c r="M656" s="2" t="str">
        <f t="array" ref="M656">IF($C656="","",IF(INDEX(SchedZone,$C656,MAP!$B$11)="","",INDEX(SchedZone,$C656,MAP!$B$11)))</f>
        <v/>
      </c>
      <c r="N656" s="2" t="str">
        <f t="array" ref="N656">IF($C656="","",IF(INDEX(SchedZone,$C656,MAP!$B$13)="","",INDEX(SchedZone,$C656,MAP!$B$13)))</f>
        <v/>
      </c>
      <c r="O656" s="2" t="str">
        <f t="array" ref="O656">IF($C656="","",INDEX(SchedZone,$C656,MAP!$B$15))</f>
        <v/>
      </c>
      <c r="P656" s="2" t="str">
        <f>IF($C656="","",IFERROR(MATCH($E656&amp;"|"&amp;$G656&amp;"|"&amp;$I656,StatsKey,0),""))</f>
        <v/>
      </c>
      <c r="Q656" s="2">
        <f t="array" ref="Q656">IF($P656="",0,INDEX(StatsZone,$P656,MAP!$E$9)+INDEX(StatsZone,$P656,MAP!$E$10)+INDEX(StatsZone,$P656,MAP!$E$11))</f>
        <v>0</v>
      </c>
      <c r="R656" s="2">
        <f t="array" ref="R656">IF($P656="",0,INDEX(StatsZone,$P656,MAP!$E$12))</f>
        <v>0</v>
      </c>
      <c r="S656" s="2">
        <f t="array" ref="S656">IF($P656="",0,INDEX(StatsZone,$P656,MAP!$E$13))</f>
        <v>0</v>
      </c>
      <c r="T656" s="2">
        <f t="shared" si="1"/>
        <v>0</v>
      </c>
      <c r="U656" s="2">
        <f t="array" ref="U656">IF($P656="",0,INDEX(StatsZone,$P656,MAP!$E$14)+INDEX(StatsZone,$P656,MAP!$E$15)+INDEX(StatsZone,$P656,MAP!$E$16))</f>
        <v>0</v>
      </c>
      <c r="V656" s="2">
        <f t="shared" si="2"/>
        <v>0</v>
      </c>
      <c r="W656" s="2">
        <f t="shared" si="3"/>
        <v>0</v>
      </c>
      <c r="X656" s="2">
        <f t="shared" si="4"/>
        <v>0</v>
      </c>
      <c r="Y656" s="2">
        <f t="shared" si="5"/>
        <v>0</v>
      </c>
      <c r="Z656" s="2">
        <f t="shared" si="6"/>
        <v>0</v>
      </c>
      <c r="AA656" s="2">
        <f t="shared" si="7"/>
        <v>0</v>
      </c>
      <c r="AB656" s="2">
        <f>IF(OR($M656="",$N656=""),0,MEDIAN(-MarginCap,MarginCap,($M656-$N656)-$AA656*HFA_Base))</f>
        <v>0</v>
      </c>
      <c r="AC656" s="2">
        <f t="array" ref="AC656">IF(OR($P656="",INDEX($P$3:$P$722,(ROW()+IF(MOD(ROW()-3,2)=0,1,-1))-3+1)=""),0,MEDIAN(-MarginCap,MarginCap,($T656-$W656)-$AA656*HFA_Base))</f>
        <v>0</v>
      </c>
      <c r="AD656" s="2">
        <f t="shared" si="8"/>
        <v>0</v>
      </c>
      <c r="AE656" s="2">
        <f>IF(OR($M656="",$N656=""),0,IF(AND(WEpa&gt;0,$AD656=1),(1-WEpa)*$AB656+WEpa*$AC656,$AB656))</f>
        <v>0</v>
      </c>
      <c r="AF656" s="2">
        <f>IF(AND($C656&lt;&gt;"",$E656=CurrentSeason,$F656="REG",ISNUMBER($G656),$G656&lt;CurrentWeek,AND($M656&lt;&gt;"",$N656&lt;&gt;"")),1,0)</f>
        <v>0</v>
      </c>
      <c r="AG656" s="2">
        <f>IF($AF656=0,0,IF($G656&gt;=CurrentWeek-RecencyWin,RecencyMult,1))</f>
        <v>0</v>
      </c>
      <c r="AH656" s="2">
        <f>IF(AND($C656&lt;&gt;"",$E656=CurrentSeason,$F656="REG",ISNUMBER($G656),$G656&lt;CurrentWeek-1,AND($M656&lt;&gt;"",$N656&lt;&gt;"")),1,0)</f>
        <v>0</v>
      </c>
      <c r="AI656" s="2">
        <f>IF($AH656=0,0,IF($G656&gt;=CurrentWeek-1-RecencyWin,RecencyMult,1))</f>
        <v>0</v>
      </c>
      <c r="AJ656" s="2">
        <f>IF($AF656=0,0,IF($G656&gt;=CurrentWeek-RecencyWin,TotRecency,1))</f>
        <v>0</v>
      </c>
      <c r="AK656" s="2">
        <f t="shared" si="9"/>
        <v>0</v>
      </c>
      <c r="AL656" s="2">
        <f t="shared" si="10"/>
        <v>0</v>
      </c>
      <c r="AM656" s="2">
        <f t="array" ref="AM656">IF($K656="",0,IFERROR(INDEX(CALC!$F$2:$F$33,MATCH($K656,CALC!$A$2:$A$33,0)),0))</f>
        <v>0</v>
      </c>
      <c r="AN656" s="2">
        <f t="array" ref="AN656">IF($K656="",0,IFERROR(INDEX(CALC!$I$2:$I$33,MATCH($K656,CALC!$A$2:$A$33,0)),0))</f>
        <v>0</v>
      </c>
      <c r="AO656" s="2">
        <f t="array" ref="AO656">IF($K656="",0,IFERROR(INDEX(CALC!$L$2:$L$33,MATCH($K656,CALC!$A$2:$A$33,0)),0))</f>
        <v>0</v>
      </c>
      <c r="AP656" s="2">
        <f t="array" ref="AP656">IF($K656="",0,IFERROR(INDEX(CALC!$T$2:$T$33,MATCH($K656,CALC!$A$2:$A$33,0)),0))</f>
        <v>0</v>
      </c>
      <c r="AQ656" s="2">
        <f t="array" ref="AQ656">IF($K656="",0,IFERROR(INDEX(CALC!$W$2:$W$33,MATCH($K656,CALC!$A$2:$A$33,0)),0))</f>
        <v>0</v>
      </c>
      <c r="AR656" s="2">
        <f t="array" ref="AR656">IF($K656="",0,IFERROR(INDEX(CALC!$Z$2:$Z$33,MATCH($K656,CALC!$A$2:$A$33,0)),0))</f>
        <v>0</v>
      </c>
      <c r="AS656" s="2">
        <f t="array" ref="AS656">IF($K656="",0,IFERROR(INDEX(CALC!$AJ$2:$AJ$33,MATCH($K656,CALC!$A$2:$A$33,0)),0))</f>
        <v>0</v>
      </c>
      <c r="AT656" s="2">
        <f t="array" ref="AT656">IF($K656="",0,IFERROR(INDEX(CALC!$AI$2:$AI$33,MATCH($K656,CALC!$A$2:$A$33,0)),0))</f>
        <v>0</v>
      </c>
      <c r="AU656" s="2">
        <f t="shared" si="11"/>
        <v>0</v>
      </c>
      <c r="AV656" s="2">
        <f t="shared" si="12"/>
        <v>0</v>
      </c>
    </row>
    <row r="657" ht="15.0" customHeight="1">
      <c r="A657" s="2">
        <v>328.0</v>
      </c>
      <c r="B657" s="2" t="s">
        <v>2365</v>
      </c>
      <c r="C657" s="2" t="str">
        <f>IFERROR(MATCH($A657,SchedSeq,0),"")</f>
        <v/>
      </c>
      <c r="D657" s="2" t="str">
        <f t="array" ref="D657">IF($C657="","",INDEX(SchedZone,$C657,MAP!$B$6))</f>
        <v/>
      </c>
      <c r="E657" s="2" t="str">
        <f t="array" ref="E657">IF($C657="","",INDEX(SchedZone,$C657,MAP!$B$3))</f>
        <v/>
      </c>
      <c r="F657" s="2" t="str">
        <f t="array" ref="F657">IF($C657="","",INDEX(SchedZone,$C657,MAP!$B$5))</f>
        <v/>
      </c>
      <c r="G657" s="2" t="str">
        <f t="array" ref="G657">IF($C657="","",INDEX(SchedZone,$C657,MAP!$B$4))</f>
        <v/>
      </c>
      <c r="H657" s="2" t="str">
        <f t="array" ref="H657">IF($C657="","",INDEX(SchedZone,$C657,MAP!$B$12))</f>
        <v/>
      </c>
      <c r="I657" s="2" t="str">
        <f t="array" ref="I657">IF($H657="","",IF(COUNTIF(Teams,$H657)&gt;0,$H657,IFERROR(INDEX(LISTS!$D$2:$D$12,MATCH($H657,LISTS!$C$2:$C$12,0)),"⚠ "&amp;$H657)))</f>
        <v/>
      </c>
      <c r="J657" s="2" t="str">
        <f t="array" ref="J657">IF($C657="","",INDEX(SchedZone,$C657,MAP!$B$10))</f>
        <v/>
      </c>
      <c r="K657" s="2" t="str">
        <f t="array" ref="K657">IF($J657="","",IF(COUNTIF(Teams,$J657)&gt;0,$J657,IFERROR(INDEX(LISTS!$D$2:$D$12,MATCH($J657,LISTS!$C$2:$C$12,0)),"⚠ "&amp;$J657)))</f>
        <v/>
      </c>
      <c r="L657" s="2" t="str">
        <f t="array" ref="L657">IF($C657="","",IF(INDEX(SchedZone,$C657,MAP!$B$14)="Neutral","N",IF($B657="HOME","H","A")))</f>
        <v/>
      </c>
      <c r="M657" s="2" t="str">
        <f t="array" ref="M657">IF($C657="","",IF(INDEX(SchedZone,$C657,MAP!$B$13)="","",INDEX(SchedZone,$C657,MAP!$B$13)))</f>
        <v/>
      </c>
      <c r="N657" s="2" t="str">
        <f t="array" ref="N657">IF($C657="","",IF(INDEX(SchedZone,$C657,MAP!$B$11)="","",INDEX(SchedZone,$C657,MAP!$B$11)))</f>
        <v/>
      </c>
      <c r="O657" s="2" t="str">
        <f t="array" ref="O657">IF($C657="","",INDEX(SchedZone,$C657,MAP!$B$16))</f>
        <v/>
      </c>
      <c r="P657" s="2" t="str">
        <f>IF($C657="","",IFERROR(MATCH($E657&amp;"|"&amp;$G657&amp;"|"&amp;$I657,StatsKey,0),""))</f>
        <v/>
      </c>
      <c r="Q657" s="2">
        <f t="array" ref="Q657">IF($P657="",0,INDEX(StatsZone,$P657,MAP!$E$9)+INDEX(StatsZone,$P657,MAP!$E$10)+INDEX(StatsZone,$P657,MAP!$E$11))</f>
        <v>0</v>
      </c>
      <c r="R657" s="2">
        <f t="array" ref="R657">IF($P657="",0,INDEX(StatsZone,$P657,MAP!$E$12))</f>
        <v>0</v>
      </c>
      <c r="S657" s="2">
        <f t="array" ref="S657">IF($P657="",0,INDEX(StatsZone,$P657,MAP!$E$13))</f>
        <v>0</v>
      </c>
      <c r="T657" s="2">
        <f t="shared" si="1"/>
        <v>0</v>
      </c>
      <c r="U657" s="2">
        <f t="array" ref="U657">IF($P657="",0,INDEX(StatsZone,$P657,MAP!$E$14)+INDEX(StatsZone,$P657,MAP!$E$15)+INDEX(StatsZone,$P657,MAP!$E$16))</f>
        <v>0</v>
      </c>
      <c r="V657" s="2">
        <f t="shared" si="2"/>
        <v>0</v>
      </c>
      <c r="W657" s="2">
        <f t="shared" si="3"/>
        <v>0</v>
      </c>
      <c r="X657" s="2">
        <f t="shared" si="4"/>
        <v>0</v>
      </c>
      <c r="Y657" s="2">
        <f t="shared" si="5"/>
        <v>0</v>
      </c>
      <c r="Z657" s="2">
        <f t="shared" si="6"/>
        <v>0</v>
      </c>
      <c r="AA657" s="2">
        <f t="shared" si="7"/>
        <v>0</v>
      </c>
      <c r="AB657" s="2">
        <f>IF(OR($M657="",$N657=""),0,MEDIAN(-MarginCap,MarginCap,($M657-$N657)-$AA657*HFA_Base))</f>
        <v>0</v>
      </c>
      <c r="AC657" s="2">
        <f t="array" ref="AC657">IF(OR($P657="",INDEX($P$3:$P$722,(ROW()+IF(MOD(ROW()-3,2)=0,1,-1))-3+1)=""),0,MEDIAN(-MarginCap,MarginCap,($T657-$W657)-$AA657*HFA_Base))</f>
        <v>0</v>
      </c>
      <c r="AD657" s="2">
        <f t="shared" si="8"/>
        <v>0</v>
      </c>
      <c r="AE657" s="2">
        <f>IF(OR($M657="",$N657=""),0,IF(AND(WEpa&gt;0,$AD657=1),(1-WEpa)*$AB657+WEpa*$AC657,$AB657))</f>
        <v>0</v>
      </c>
      <c r="AF657" s="2">
        <f>IF(AND($C657&lt;&gt;"",$E657=CurrentSeason,$F657="REG",ISNUMBER($G657),$G657&lt;CurrentWeek,AND($M657&lt;&gt;"",$N657&lt;&gt;"")),1,0)</f>
        <v>0</v>
      </c>
      <c r="AG657" s="2">
        <f>IF($AF657=0,0,IF($G657&gt;=CurrentWeek-RecencyWin,RecencyMult,1))</f>
        <v>0</v>
      </c>
      <c r="AH657" s="2">
        <f>IF(AND($C657&lt;&gt;"",$E657=CurrentSeason,$F657="REG",ISNUMBER($G657),$G657&lt;CurrentWeek-1,AND($M657&lt;&gt;"",$N657&lt;&gt;"")),1,0)</f>
        <v>0</v>
      </c>
      <c r="AI657" s="2">
        <f>IF($AH657=0,0,IF($G657&gt;=CurrentWeek-1-RecencyWin,RecencyMult,1))</f>
        <v>0</v>
      </c>
      <c r="AJ657" s="2">
        <f>IF($AF657=0,0,IF($G657&gt;=CurrentWeek-RecencyWin,TotRecency,1))</f>
        <v>0</v>
      </c>
      <c r="AK657" s="2">
        <f t="shared" si="9"/>
        <v>0</v>
      </c>
      <c r="AL657" s="2">
        <f t="shared" si="10"/>
        <v>0</v>
      </c>
      <c r="AM657" s="2">
        <f t="array" ref="AM657">IF($K657="",0,IFERROR(INDEX(CALC!$F$2:$F$33,MATCH($K657,CALC!$A$2:$A$33,0)),0))</f>
        <v>0</v>
      </c>
      <c r="AN657" s="2">
        <f t="array" ref="AN657">IF($K657="",0,IFERROR(INDEX(CALC!$I$2:$I$33,MATCH($K657,CALC!$A$2:$A$33,0)),0))</f>
        <v>0</v>
      </c>
      <c r="AO657" s="2">
        <f t="array" ref="AO657">IF($K657="",0,IFERROR(INDEX(CALC!$L$2:$L$33,MATCH($K657,CALC!$A$2:$A$33,0)),0))</f>
        <v>0</v>
      </c>
      <c r="AP657" s="2">
        <f t="array" ref="AP657">IF($K657="",0,IFERROR(INDEX(CALC!$T$2:$T$33,MATCH($K657,CALC!$A$2:$A$33,0)),0))</f>
        <v>0</v>
      </c>
      <c r="AQ657" s="2">
        <f t="array" ref="AQ657">IF($K657="",0,IFERROR(INDEX(CALC!$W$2:$W$33,MATCH($K657,CALC!$A$2:$A$33,0)),0))</f>
        <v>0</v>
      </c>
      <c r="AR657" s="2">
        <f t="array" ref="AR657">IF($K657="",0,IFERROR(INDEX(CALC!$Z$2:$Z$33,MATCH($K657,CALC!$A$2:$A$33,0)),0))</f>
        <v>0</v>
      </c>
      <c r="AS657" s="2">
        <f t="array" ref="AS657">IF($K657="",0,IFERROR(INDEX(CALC!$AJ$2:$AJ$33,MATCH($K657,CALC!$A$2:$A$33,0)),0))</f>
        <v>0</v>
      </c>
      <c r="AT657" s="2">
        <f t="array" ref="AT657">IF($K657="",0,IFERROR(INDEX(CALC!$AI$2:$AI$33,MATCH($K657,CALC!$A$2:$A$33,0)),0))</f>
        <v>0</v>
      </c>
      <c r="AU657" s="2">
        <f t="shared" si="11"/>
        <v>0</v>
      </c>
      <c r="AV657" s="2">
        <f t="shared" si="12"/>
        <v>0</v>
      </c>
    </row>
    <row r="658" ht="15.0" customHeight="1">
      <c r="A658" s="2">
        <v>328.0</v>
      </c>
      <c r="B658" s="2" t="s">
        <v>2366</v>
      </c>
      <c r="C658" s="2" t="str">
        <f>IFERROR(MATCH($A658,SchedSeq,0),"")</f>
        <v/>
      </c>
      <c r="D658" s="2" t="str">
        <f t="array" ref="D658">IF($C658="","",INDEX(SchedZone,$C658,MAP!$B$6))</f>
        <v/>
      </c>
      <c r="E658" s="2" t="str">
        <f t="array" ref="E658">IF($C658="","",INDEX(SchedZone,$C658,MAP!$B$3))</f>
        <v/>
      </c>
      <c r="F658" s="2" t="str">
        <f t="array" ref="F658">IF($C658="","",INDEX(SchedZone,$C658,MAP!$B$5))</f>
        <v/>
      </c>
      <c r="G658" s="2" t="str">
        <f t="array" ref="G658">IF($C658="","",INDEX(SchedZone,$C658,MAP!$B$4))</f>
        <v/>
      </c>
      <c r="H658" s="2" t="str">
        <f t="array" ref="H658">IF($C658="","",INDEX(SchedZone,$C658,MAP!$B$10))</f>
        <v/>
      </c>
      <c r="I658" s="2" t="str">
        <f t="array" ref="I658">IF($H658="","",IF(COUNTIF(Teams,$H658)&gt;0,$H658,IFERROR(INDEX(LISTS!$D$2:$D$12,MATCH($H658,LISTS!$C$2:$C$12,0)),"⚠ "&amp;$H658)))</f>
        <v/>
      </c>
      <c r="J658" s="2" t="str">
        <f t="array" ref="J658">IF($C658="","",INDEX(SchedZone,$C658,MAP!$B$12))</f>
        <v/>
      </c>
      <c r="K658" s="2" t="str">
        <f t="array" ref="K658">IF($J658="","",IF(COUNTIF(Teams,$J658)&gt;0,$J658,IFERROR(INDEX(LISTS!$D$2:$D$12,MATCH($J658,LISTS!$C$2:$C$12,0)),"⚠ "&amp;$J658)))</f>
        <v/>
      </c>
      <c r="L658" s="2" t="str">
        <f t="array" ref="L658">IF($C658="","",IF(INDEX(SchedZone,$C658,MAP!$B$14)="Neutral","N",IF($B658="HOME","H","A")))</f>
        <v/>
      </c>
      <c r="M658" s="2" t="str">
        <f t="array" ref="M658">IF($C658="","",IF(INDEX(SchedZone,$C658,MAP!$B$11)="","",INDEX(SchedZone,$C658,MAP!$B$11)))</f>
        <v/>
      </c>
      <c r="N658" s="2" t="str">
        <f t="array" ref="N658">IF($C658="","",IF(INDEX(SchedZone,$C658,MAP!$B$13)="","",INDEX(SchedZone,$C658,MAP!$B$13)))</f>
        <v/>
      </c>
      <c r="O658" s="2" t="str">
        <f t="array" ref="O658">IF($C658="","",INDEX(SchedZone,$C658,MAP!$B$15))</f>
        <v/>
      </c>
      <c r="P658" s="2" t="str">
        <f>IF($C658="","",IFERROR(MATCH($E658&amp;"|"&amp;$G658&amp;"|"&amp;$I658,StatsKey,0),""))</f>
        <v/>
      </c>
      <c r="Q658" s="2">
        <f t="array" ref="Q658">IF($P658="",0,INDEX(StatsZone,$P658,MAP!$E$9)+INDEX(StatsZone,$P658,MAP!$E$10)+INDEX(StatsZone,$P658,MAP!$E$11))</f>
        <v>0</v>
      </c>
      <c r="R658" s="2">
        <f t="array" ref="R658">IF($P658="",0,INDEX(StatsZone,$P658,MAP!$E$12))</f>
        <v>0</v>
      </c>
      <c r="S658" s="2">
        <f t="array" ref="S658">IF($P658="",0,INDEX(StatsZone,$P658,MAP!$E$13))</f>
        <v>0</v>
      </c>
      <c r="T658" s="2">
        <f t="shared" si="1"/>
        <v>0</v>
      </c>
      <c r="U658" s="2">
        <f t="array" ref="U658">IF($P658="",0,INDEX(StatsZone,$P658,MAP!$E$14)+INDEX(StatsZone,$P658,MAP!$E$15)+INDEX(StatsZone,$P658,MAP!$E$16))</f>
        <v>0</v>
      </c>
      <c r="V658" s="2">
        <f t="shared" si="2"/>
        <v>0</v>
      </c>
      <c r="W658" s="2">
        <f t="shared" si="3"/>
        <v>0</v>
      </c>
      <c r="X658" s="2">
        <f t="shared" si="4"/>
        <v>0</v>
      </c>
      <c r="Y658" s="2">
        <f t="shared" si="5"/>
        <v>0</v>
      </c>
      <c r="Z658" s="2">
        <f t="shared" si="6"/>
        <v>0</v>
      </c>
      <c r="AA658" s="2">
        <f t="shared" si="7"/>
        <v>0</v>
      </c>
      <c r="AB658" s="2">
        <f>IF(OR($M658="",$N658=""),0,MEDIAN(-MarginCap,MarginCap,($M658-$N658)-$AA658*HFA_Base))</f>
        <v>0</v>
      </c>
      <c r="AC658" s="2">
        <f t="array" ref="AC658">IF(OR($P658="",INDEX($P$3:$P$722,(ROW()+IF(MOD(ROW()-3,2)=0,1,-1))-3+1)=""),0,MEDIAN(-MarginCap,MarginCap,($T658-$W658)-$AA658*HFA_Base))</f>
        <v>0</v>
      </c>
      <c r="AD658" s="2">
        <f t="shared" si="8"/>
        <v>0</v>
      </c>
      <c r="AE658" s="2">
        <f>IF(OR($M658="",$N658=""),0,IF(AND(WEpa&gt;0,$AD658=1),(1-WEpa)*$AB658+WEpa*$AC658,$AB658))</f>
        <v>0</v>
      </c>
      <c r="AF658" s="2">
        <f>IF(AND($C658&lt;&gt;"",$E658=CurrentSeason,$F658="REG",ISNUMBER($G658),$G658&lt;CurrentWeek,AND($M658&lt;&gt;"",$N658&lt;&gt;"")),1,0)</f>
        <v>0</v>
      </c>
      <c r="AG658" s="2">
        <f>IF($AF658=0,0,IF($G658&gt;=CurrentWeek-RecencyWin,RecencyMult,1))</f>
        <v>0</v>
      </c>
      <c r="AH658" s="2">
        <f>IF(AND($C658&lt;&gt;"",$E658=CurrentSeason,$F658="REG",ISNUMBER($G658),$G658&lt;CurrentWeek-1,AND($M658&lt;&gt;"",$N658&lt;&gt;"")),1,0)</f>
        <v>0</v>
      </c>
      <c r="AI658" s="2">
        <f>IF($AH658=0,0,IF($G658&gt;=CurrentWeek-1-RecencyWin,RecencyMult,1))</f>
        <v>0</v>
      </c>
      <c r="AJ658" s="2">
        <f>IF($AF658=0,0,IF($G658&gt;=CurrentWeek-RecencyWin,TotRecency,1))</f>
        <v>0</v>
      </c>
      <c r="AK658" s="2">
        <f t="shared" si="9"/>
        <v>0</v>
      </c>
      <c r="AL658" s="2">
        <f t="shared" si="10"/>
        <v>0</v>
      </c>
      <c r="AM658" s="2">
        <f t="array" ref="AM658">IF($K658="",0,IFERROR(INDEX(CALC!$F$2:$F$33,MATCH($K658,CALC!$A$2:$A$33,0)),0))</f>
        <v>0</v>
      </c>
      <c r="AN658" s="2">
        <f t="array" ref="AN658">IF($K658="",0,IFERROR(INDEX(CALC!$I$2:$I$33,MATCH($K658,CALC!$A$2:$A$33,0)),0))</f>
        <v>0</v>
      </c>
      <c r="AO658" s="2">
        <f t="array" ref="AO658">IF($K658="",0,IFERROR(INDEX(CALC!$L$2:$L$33,MATCH($K658,CALC!$A$2:$A$33,0)),0))</f>
        <v>0</v>
      </c>
      <c r="AP658" s="2">
        <f t="array" ref="AP658">IF($K658="",0,IFERROR(INDEX(CALC!$T$2:$T$33,MATCH($K658,CALC!$A$2:$A$33,0)),0))</f>
        <v>0</v>
      </c>
      <c r="AQ658" s="2">
        <f t="array" ref="AQ658">IF($K658="",0,IFERROR(INDEX(CALC!$W$2:$W$33,MATCH($K658,CALC!$A$2:$A$33,0)),0))</f>
        <v>0</v>
      </c>
      <c r="AR658" s="2">
        <f t="array" ref="AR658">IF($K658="",0,IFERROR(INDEX(CALC!$Z$2:$Z$33,MATCH($K658,CALC!$A$2:$A$33,0)),0))</f>
        <v>0</v>
      </c>
      <c r="AS658" s="2">
        <f t="array" ref="AS658">IF($K658="",0,IFERROR(INDEX(CALC!$AJ$2:$AJ$33,MATCH($K658,CALC!$A$2:$A$33,0)),0))</f>
        <v>0</v>
      </c>
      <c r="AT658" s="2">
        <f t="array" ref="AT658">IF($K658="",0,IFERROR(INDEX(CALC!$AI$2:$AI$33,MATCH($K658,CALC!$A$2:$A$33,0)),0))</f>
        <v>0</v>
      </c>
      <c r="AU658" s="2">
        <f t="shared" si="11"/>
        <v>0</v>
      </c>
      <c r="AV658" s="2">
        <f t="shared" si="12"/>
        <v>0</v>
      </c>
    </row>
    <row r="659" ht="15.0" customHeight="1">
      <c r="A659" s="2">
        <v>329.0</v>
      </c>
      <c r="B659" s="2" t="s">
        <v>2365</v>
      </c>
      <c r="C659" s="2" t="str">
        <f>IFERROR(MATCH($A659,SchedSeq,0),"")</f>
        <v/>
      </c>
      <c r="D659" s="2" t="str">
        <f t="array" ref="D659">IF($C659="","",INDEX(SchedZone,$C659,MAP!$B$6))</f>
        <v/>
      </c>
      <c r="E659" s="2" t="str">
        <f t="array" ref="E659">IF($C659="","",INDEX(SchedZone,$C659,MAP!$B$3))</f>
        <v/>
      </c>
      <c r="F659" s="2" t="str">
        <f t="array" ref="F659">IF($C659="","",INDEX(SchedZone,$C659,MAP!$B$5))</f>
        <v/>
      </c>
      <c r="G659" s="2" t="str">
        <f t="array" ref="G659">IF($C659="","",INDEX(SchedZone,$C659,MAP!$B$4))</f>
        <v/>
      </c>
      <c r="H659" s="2" t="str">
        <f t="array" ref="H659">IF($C659="","",INDEX(SchedZone,$C659,MAP!$B$12))</f>
        <v/>
      </c>
      <c r="I659" s="2" t="str">
        <f t="array" ref="I659">IF($H659="","",IF(COUNTIF(Teams,$H659)&gt;0,$H659,IFERROR(INDEX(LISTS!$D$2:$D$12,MATCH($H659,LISTS!$C$2:$C$12,0)),"⚠ "&amp;$H659)))</f>
        <v/>
      </c>
      <c r="J659" s="2" t="str">
        <f t="array" ref="J659">IF($C659="","",INDEX(SchedZone,$C659,MAP!$B$10))</f>
        <v/>
      </c>
      <c r="K659" s="2" t="str">
        <f t="array" ref="K659">IF($J659="","",IF(COUNTIF(Teams,$J659)&gt;0,$J659,IFERROR(INDEX(LISTS!$D$2:$D$12,MATCH($J659,LISTS!$C$2:$C$12,0)),"⚠ "&amp;$J659)))</f>
        <v/>
      </c>
      <c r="L659" s="2" t="str">
        <f t="array" ref="L659">IF($C659="","",IF(INDEX(SchedZone,$C659,MAP!$B$14)="Neutral","N",IF($B659="HOME","H","A")))</f>
        <v/>
      </c>
      <c r="M659" s="2" t="str">
        <f t="array" ref="M659">IF($C659="","",IF(INDEX(SchedZone,$C659,MAP!$B$13)="","",INDEX(SchedZone,$C659,MAP!$B$13)))</f>
        <v/>
      </c>
      <c r="N659" s="2" t="str">
        <f t="array" ref="N659">IF($C659="","",IF(INDEX(SchedZone,$C659,MAP!$B$11)="","",INDEX(SchedZone,$C659,MAP!$B$11)))</f>
        <v/>
      </c>
      <c r="O659" s="2" t="str">
        <f t="array" ref="O659">IF($C659="","",INDEX(SchedZone,$C659,MAP!$B$16))</f>
        <v/>
      </c>
      <c r="P659" s="2" t="str">
        <f>IF($C659="","",IFERROR(MATCH($E659&amp;"|"&amp;$G659&amp;"|"&amp;$I659,StatsKey,0),""))</f>
        <v/>
      </c>
      <c r="Q659" s="2">
        <f t="array" ref="Q659">IF($P659="",0,INDEX(StatsZone,$P659,MAP!$E$9)+INDEX(StatsZone,$P659,MAP!$E$10)+INDEX(StatsZone,$P659,MAP!$E$11))</f>
        <v>0</v>
      </c>
      <c r="R659" s="2">
        <f t="array" ref="R659">IF($P659="",0,INDEX(StatsZone,$P659,MAP!$E$12))</f>
        <v>0</v>
      </c>
      <c r="S659" s="2">
        <f t="array" ref="S659">IF($P659="",0,INDEX(StatsZone,$P659,MAP!$E$13))</f>
        <v>0</v>
      </c>
      <c r="T659" s="2">
        <f t="shared" si="1"/>
        <v>0</v>
      </c>
      <c r="U659" s="2">
        <f t="array" ref="U659">IF($P659="",0,INDEX(StatsZone,$P659,MAP!$E$14)+INDEX(StatsZone,$P659,MAP!$E$15)+INDEX(StatsZone,$P659,MAP!$E$16))</f>
        <v>0</v>
      </c>
      <c r="V659" s="2">
        <f t="shared" si="2"/>
        <v>0</v>
      </c>
      <c r="W659" s="2">
        <f t="shared" si="3"/>
        <v>0</v>
      </c>
      <c r="X659" s="2">
        <f t="shared" si="4"/>
        <v>0</v>
      </c>
      <c r="Y659" s="2">
        <f t="shared" si="5"/>
        <v>0</v>
      </c>
      <c r="Z659" s="2">
        <f t="shared" si="6"/>
        <v>0</v>
      </c>
      <c r="AA659" s="2">
        <f t="shared" si="7"/>
        <v>0</v>
      </c>
      <c r="AB659" s="2">
        <f>IF(OR($M659="",$N659=""),0,MEDIAN(-MarginCap,MarginCap,($M659-$N659)-$AA659*HFA_Base))</f>
        <v>0</v>
      </c>
      <c r="AC659" s="2">
        <f t="array" ref="AC659">IF(OR($P659="",INDEX($P$3:$P$722,(ROW()+IF(MOD(ROW()-3,2)=0,1,-1))-3+1)=""),0,MEDIAN(-MarginCap,MarginCap,($T659-$W659)-$AA659*HFA_Base))</f>
        <v>0</v>
      </c>
      <c r="AD659" s="2">
        <f t="shared" si="8"/>
        <v>0</v>
      </c>
      <c r="AE659" s="2">
        <f>IF(OR($M659="",$N659=""),0,IF(AND(WEpa&gt;0,$AD659=1),(1-WEpa)*$AB659+WEpa*$AC659,$AB659))</f>
        <v>0</v>
      </c>
      <c r="AF659" s="2">
        <f>IF(AND($C659&lt;&gt;"",$E659=CurrentSeason,$F659="REG",ISNUMBER($G659),$G659&lt;CurrentWeek,AND($M659&lt;&gt;"",$N659&lt;&gt;"")),1,0)</f>
        <v>0</v>
      </c>
      <c r="AG659" s="2">
        <f>IF($AF659=0,0,IF($G659&gt;=CurrentWeek-RecencyWin,RecencyMult,1))</f>
        <v>0</v>
      </c>
      <c r="AH659" s="2">
        <f>IF(AND($C659&lt;&gt;"",$E659=CurrentSeason,$F659="REG",ISNUMBER($G659),$G659&lt;CurrentWeek-1,AND($M659&lt;&gt;"",$N659&lt;&gt;"")),1,0)</f>
        <v>0</v>
      </c>
      <c r="AI659" s="2">
        <f>IF($AH659=0,0,IF($G659&gt;=CurrentWeek-1-RecencyWin,RecencyMult,1))</f>
        <v>0</v>
      </c>
      <c r="AJ659" s="2">
        <f>IF($AF659=0,0,IF($G659&gt;=CurrentWeek-RecencyWin,TotRecency,1))</f>
        <v>0</v>
      </c>
      <c r="AK659" s="2">
        <f t="shared" si="9"/>
        <v>0</v>
      </c>
      <c r="AL659" s="2">
        <f t="shared" si="10"/>
        <v>0</v>
      </c>
      <c r="AM659" s="2">
        <f t="array" ref="AM659">IF($K659="",0,IFERROR(INDEX(CALC!$F$2:$F$33,MATCH($K659,CALC!$A$2:$A$33,0)),0))</f>
        <v>0</v>
      </c>
      <c r="AN659" s="2">
        <f t="array" ref="AN659">IF($K659="",0,IFERROR(INDEX(CALC!$I$2:$I$33,MATCH($K659,CALC!$A$2:$A$33,0)),0))</f>
        <v>0</v>
      </c>
      <c r="AO659" s="2">
        <f t="array" ref="AO659">IF($K659="",0,IFERROR(INDEX(CALC!$L$2:$L$33,MATCH($K659,CALC!$A$2:$A$33,0)),0))</f>
        <v>0</v>
      </c>
      <c r="AP659" s="2">
        <f t="array" ref="AP659">IF($K659="",0,IFERROR(INDEX(CALC!$T$2:$T$33,MATCH($K659,CALC!$A$2:$A$33,0)),0))</f>
        <v>0</v>
      </c>
      <c r="AQ659" s="2">
        <f t="array" ref="AQ659">IF($K659="",0,IFERROR(INDEX(CALC!$W$2:$W$33,MATCH($K659,CALC!$A$2:$A$33,0)),0))</f>
        <v>0</v>
      </c>
      <c r="AR659" s="2">
        <f t="array" ref="AR659">IF($K659="",0,IFERROR(INDEX(CALC!$Z$2:$Z$33,MATCH($K659,CALC!$A$2:$A$33,0)),0))</f>
        <v>0</v>
      </c>
      <c r="AS659" s="2">
        <f t="array" ref="AS659">IF($K659="",0,IFERROR(INDEX(CALC!$AJ$2:$AJ$33,MATCH($K659,CALC!$A$2:$A$33,0)),0))</f>
        <v>0</v>
      </c>
      <c r="AT659" s="2">
        <f t="array" ref="AT659">IF($K659="",0,IFERROR(INDEX(CALC!$AI$2:$AI$33,MATCH($K659,CALC!$A$2:$A$33,0)),0))</f>
        <v>0</v>
      </c>
      <c r="AU659" s="2">
        <f t="shared" si="11"/>
        <v>0</v>
      </c>
      <c r="AV659" s="2">
        <f t="shared" si="12"/>
        <v>0</v>
      </c>
    </row>
    <row r="660" ht="15.0" customHeight="1">
      <c r="A660" s="2">
        <v>329.0</v>
      </c>
      <c r="B660" s="2" t="s">
        <v>2366</v>
      </c>
      <c r="C660" s="2" t="str">
        <f>IFERROR(MATCH($A660,SchedSeq,0),"")</f>
        <v/>
      </c>
      <c r="D660" s="2" t="str">
        <f t="array" ref="D660">IF($C660="","",INDEX(SchedZone,$C660,MAP!$B$6))</f>
        <v/>
      </c>
      <c r="E660" s="2" t="str">
        <f t="array" ref="E660">IF($C660="","",INDEX(SchedZone,$C660,MAP!$B$3))</f>
        <v/>
      </c>
      <c r="F660" s="2" t="str">
        <f t="array" ref="F660">IF($C660="","",INDEX(SchedZone,$C660,MAP!$B$5))</f>
        <v/>
      </c>
      <c r="G660" s="2" t="str">
        <f t="array" ref="G660">IF($C660="","",INDEX(SchedZone,$C660,MAP!$B$4))</f>
        <v/>
      </c>
      <c r="H660" s="2" t="str">
        <f t="array" ref="H660">IF($C660="","",INDEX(SchedZone,$C660,MAP!$B$10))</f>
        <v/>
      </c>
      <c r="I660" s="2" t="str">
        <f t="array" ref="I660">IF($H660="","",IF(COUNTIF(Teams,$H660)&gt;0,$H660,IFERROR(INDEX(LISTS!$D$2:$D$12,MATCH($H660,LISTS!$C$2:$C$12,0)),"⚠ "&amp;$H660)))</f>
        <v/>
      </c>
      <c r="J660" s="2" t="str">
        <f t="array" ref="J660">IF($C660="","",INDEX(SchedZone,$C660,MAP!$B$12))</f>
        <v/>
      </c>
      <c r="K660" s="2" t="str">
        <f t="array" ref="K660">IF($J660="","",IF(COUNTIF(Teams,$J660)&gt;0,$J660,IFERROR(INDEX(LISTS!$D$2:$D$12,MATCH($J660,LISTS!$C$2:$C$12,0)),"⚠ "&amp;$J660)))</f>
        <v/>
      </c>
      <c r="L660" s="2" t="str">
        <f t="array" ref="L660">IF($C660="","",IF(INDEX(SchedZone,$C660,MAP!$B$14)="Neutral","N",IF($B660="HOME","H","A")))</f>
        <v/>
      </c>
      <c r="M660" s="2" t="str">
        <f t="array" ref="M660">IF($C660="","",IF(INDEX(SchedZone,$C660,MAP!$B$11)="","",INDEX(SchedZone,$C660,MAP!$B$11)))</f>
        <v/>
      </c>
      <c r="N660" s="2" t="str">
        <f t="array" ref="N660">IF($C660="","",IF(INDEX(SchedZone,$C660,MAP!$B$13)="","",INDEX(SchedZone,$C660,MAP!$B$13)))</f>
        <v/>
      </c>
      <c r="O660" s="2" t="str">
        <f t="array" ref="O660">IF($C660="","",INDEX(SchedZone,$C660,MAP!$B$15))</f>
        <v/>
      </c>
      <c r="P660" s="2" t="str">
        <f>IF($C660="","",IFERROR(MATCH($E660&amp;"|"&amp;$G660&amp;"|"&amp;$I660,StatsKey,0),""))</f>
        <v/>
      </c>
      <c r="Q660" s="2">
        <f t="array" ref="Q660">IF($P660="",0,INDEX(StatsZone,$P660,MAP!$E$9)+INDEX(StatsZone,$P660,MAP!$E$10)+INDEX(StatsZone,$P660,MAP!$E$11))</f>
        <v>0</v>
      </c>
      <c r="R660" s="2">
        <f t="array" ref="R660">IF($P660="",0,INDEX(StatsZone,$P660,MAP!$E$12))</f>
        <v>0</v>
      </c>
      <c r="S660" s="2">
        <f t="array" ref="S660">IF($P660="",0,INDEX(StatsZone,$P660,MAP!$E$13))</f>
        <v>0</v>
      </c>
      <c r="T660" s="2">
        <f t="shared" si="1"/>
        <v>0</v>
      </c>
      <c r="U660" s="2">
        <f t="array" ref="U660">IF($P660="",0,INDEX(StatsZone,$P660,MAP!$E$14)+INDEX(StatsZone,$P660,MAP!$E$15)+INDEX(StatsZone,$P660,MAP!$E$16))</f>
        <v>0</v>
      </c>
      <c r="V660" s="2">
        <f t="shared" si="2"/>
        <v>0</v>
      </c>
      <c r="W660" s="2">
        <f t="shared" si="3"/>
        <v>0</v>
      </c>
      <c r="X660" s="2">
        <f t="shared" si="4"/>
        <v>0</v>
      </c>
      <c r="Y660" s="2">
        <f t="shared" si="5"/>
        <v>0</v>
      </c>
      <c r="Z660" s="2">
        <f t="shared" si="6"/>
        <v>0</v>
      </c>
      <c r="AA660" s="2">
        <f t="shared" si="7"/>
        <v>0</v>
      </c>
      <c r="AB660" s="2">
        <f>IF(OR($M660="",$N660=""),0,MEDIAN(-MarginCap,MarginCap,($M660-$N660)-$AA660*HFA_Base))</f>
        <v>0</v>
      </c>
      <c r="AC660" s="2">
        <f t="array" ref="AC660">IF(OR($P660="",INDEX($P$3:$P$722,(ROW()+IF(MOD(ROW()-3,2)=0,1,-1))-3+1)=""),0,MEDIAN(-MarginCap,MarginCap,($T660-$W660)-$AA660*HFA_Base))</f>
        <v>0</v>
      </c>
      <c r="AD660" s="2">
        <f t="shared" si="8"/>
        <v>0</v>
      </c>
      <c r="AE660" s="2">
        <f>IF(OR($M660="",$N660=""),0,IF(AND(WEpa&gt;0,$AD660=1),(1-WEpa)*$AB660+WEpa*$AC660,$AB660))</f>
        <v>0</v>
      </c>
      <c r="AF660" s="2">
        <f>IF(AND($C660&lt;&gt;"",$E660=CurrentSeason,$F660="REG",ISNUMBER($G660),$G660&lt;CurrentWeek,AND($M660&lt;&gt;"",$N660&lt;&gt;"")),1,0)</f>
        <v>0</v>
      </c>
      <c r="AG660" s="2">
        <f>IF($AF660=0,0,IF($G660&gt;=CurrentWeek-RecencyWin,RecencyMult,1))</f>
        <v>0</v>
      </c>
      <c r="AH660" s="2">
        <f>IF(AND($C660&lt;&gt;"",$E660=CurrentSeason,$F660="REG",ISNUMBER($G660),$G660&lt;CurrentWeek-1,AND($M660&lt;&gt;"",$N660&lt;&gt;"")),1,0)</f>
        <v>0</v>
      </c>
      <c r="AI660" s="2">
        <f>IF($AH660=0,0,IF($G660&gt;=CurrentWeek-1-RecencyWin,RecencyMult,1))</f>
        <v>0</v>
      </c>
      <c r="AJ660" s="2">
        <f>IF($AF660=0,0,IF($G660&gt;=CurrentWeek-RecencyWin,TotRecency,1))</f>
        <v>0</v>
      </c>
      <c r="AK660" s="2">
        <f t="shared" si="9"/>
        <v>0</v>
      </c>
      <c r="AL660" s="2">
        <f t="shared" si="10"/>
        <v>0</v>
      </c>
      <c r="AM660" s="2">
        <f t="array" ref="AM660">IF($K660="",0,IFERROR(INDEX(CALC!$F$2:$F$33,MATCH($K660,CALC!$A$2:$A$33,0)),0))</f>
        <v>0</v>
      </c>
      <c r="AN660" s="2">
        <f t="array" ref="AN660">IF($K660="",0,IFERROR(INDEX(CALC!$I$2:$I$33,MATCH($K660,CALC!$A$2:$A$33,0)),0))</f>
        <v>0</v>
      </c>
      <c r="AO660" s="2">
        <f t="array" ref="AO660">IF($K660="",0,IFERROR(INDEX(CALC!$L$2:$L$33,MATCH($K660,CALC!$A$2:$A$33,0)),0))</f>
        <v>0</v>
      </c>
      <c r="AP660" s="2">
        <f t="array" ref="AP660">IF($K660="",0,IFERROR(INDEX(CALC!$T$2:$T$33,MATCH($K660,CALC!$A$2:$A$33,0)),0))</f>
        <v>0</v>
      </c>
      <c r="AQ660" s="2">
        <f t="array" ref="AQ660">IF($K660="",0,IFERROR(INDEX(CALC!$W$2:$W$33,MATCH($K660,CALC!$A$2:$A$33,0)),0))</f>
        <v>0</v>
      </c>
      <c r="AR660" s="2">
        <f t="array" ref="AR660">IF($K660="",0,IFERROR(INDEX(CALC!$Z$2:$Z$33,MATCH($K660,CALC!$A$2:$A$33,0)),0))</f>
        <v>0</v>
      </c>
      <c r="AS660" s="2">
        <f t="array" ref="AS660">IF($K660="",0,IFERROR(INDEX(CALC!$AJ$2:$AJ$33,MATCH($K660,CALC!$A$2:$A$33,0)),0))</f>
        <v>0</v>
      </c>
      <c r="AT660" s="2">
        <f t="array" ref="AT660">IF($K660="",0,IFERROR(INDEX(CALC!$AI$2:$AI$33,MATCH($K660,CALC!$A$2:$A$33,0)),0))</f>
        <v>0</v>
      </c>
      <c r="AU660" s="2">
        <f t="shared" si="11"/>
        <v>0</v>
      </c>
      <c r="AV660" s="2">
        <f t="shared" si="12"/>
        <v>0</v>
      </c>
    </row>
    <row r="661" ht="15.0" customHeight="1">
      <c r="A661" s="2">
        <v>330.0</v>
      </c>
      <c r="B661" s="2" t="s">
        <v>2365</v>
      </c>
      <c r="C661" s="2" t="str">
        <f>IFERROR(MATCH($A661,SchedSeq,0),"")</f>
        <v/>
      </c>
      <c r="D661" s="2" t="str">
        <f t="array" ref="D661">IF($C661="","",INDEX(SchedZone,$C661,MAP!$B$6))</f>
        <v/>
      </c>
      <c r="E661" s="2" t="str">
        <f t="array" ref="E661">IF($C661="","",INDEX(SchedZone,$C661,MAP!$B$3))</f>
        <v/>
      </c>
      <c r="F661" s="2" t="str">
        <f t="array" ref="F661">IF($C661="","",INDEX(SchedZone,$C661,MAP!$B$5))</f>
        <v/>
      </c>
      <c r="G661" s="2" t="str">
        <f t="array" ref="G661">IF($C661="","",INDEX(SchedZone,$C661,MAP!$B$4))</f>
        <v/>
      </c>
      <c r="H661" s="2" t="str">
        <f t="array" ref="H661">IF($C661="","",INDEX(SchedZone,$C661,MAP!$B$12))</f>
        <v/>
      </c>
      <c r="I661" s="2" t="str">
        <f t="array" ref="I661">IF($H661="","",IF(COUNTIF(Teams,$H661)&gt;0,$H661,IFERROR(INDEX(LISTS!$D$2:$D$12,MATCH($H661,LISTS!$C$2:$C$12,0)),"⚠ "&amp;$H661)))</f>
        <v/>
      </c>
      <c r="J661" s="2" t="str">
        <f t="array" ref="J661">IF($C661="","",INDEX(SchedZone,$C661,MAP!$B$10))</f>
        <v/>
      </c>
      <c r="K661" s="2" t="str">
        <f t="array" ref="K661">IF($J661="","",IF(COUNTIF(Teams,$J661)&gt;0,$J661,IFERROR(INDEX(LISTS!$D$2:$D$12,MATCH($J661,LISTS!$C$2:$C$12,0)),"⚠ "&amp;$J661)))</f>
        <v/>
      </c>
      <c r="L661" s="2" t="str">
        <f t="array" ref="L661">IF($C661="","",IF(INDEX(SchedZone,$C661,MAP!$B$14)="Neutral","N",IF($B661="HOME","H","A")))</f>
        <v/>
      </c>
      <c r="M661" s="2" t="str">
        <f t="array" ref="M661">IF($C661="","",IF(INDEX(SchedZone,$C661,MAP!$B$13)="","",INDEX(SchedZone,$C661,MAP!$B$13)))</f>
        <v/>
      </c>
      <c r="N661" s="2" t="str">
        <f t="array" ref="N661">IF($C661="","",IF(INDEX(SchedZone,$C661,MAP!$B$11)="","",INDEX(SchedZone,$C661,MAP!$B$11)))</f>
        <v/>
      </c>
      <c r="O661" s="2" t="str">
        <f t="array" ref="O661">IF($C661="","",INDEX(SchedZone,$C661,MAP!$B$16))</f>
        <v/>
      </c>
      <c r="P661" s="2" t="str">
        <f>IF($C661="","",IFERROR(MATCH($E661&amp;"|"&amp;$G661&amp;"|"&amp;$I661,StatsKey,0),""))</f>
        <v/>
      </c>
      <c r="Q661" s="2">
        <f t="array" ref="Q661">IF($P661="",0,INDEX(StatsZone,$P661,MAP!$E$9)+INDEX(StatsZone,$P661,MAP!$E$10)+INDEX(StatsZone,$P661,MAP!$E$11))</f>
        <v>0</v>
      </c>
      <c r="R661" s="2">
        <f t="array" ref="R661">IF($P661="",0,INDEX(StatsZone,$P661,MAP!$E$12))</f>
        <v>0</v>
      </c>
      <c r="S661" s="2">
        <f t="array" ref="S661">IF($P661="",0,INDEX(StatsZone,$P661,MAP!$E$13))</f>
        <v>0</v>
      </c>
      <c r="T661" s="2">
        <f t="shared" si="1"/>
        <v>0</v>
      </c>
      <c r="U661" s="2">
        <f t="array" ref="U661">IF($P661="",0,INDEX(StatsZone,$P661,MAP!$E$14)+INDEX(StatsZone,$P661,MAP!$E$15)+INDEX(StatsZone,$P661,MAP!$E$16))</f>
        <v>0</v>
      </c>
      <c r="V661" s="2">
        <f t="shared" si="2"/>
        <v>0</v>
      </c>
      <c r="W661" s="2">
        <f t="shared" si="3"/>
        <v>0</v>
      </c>
      <c r="X661" s="2">
        <f t="shared" si="4"/>
        <v>0</v>
      </c>
      <c r="Y661" s="2">
        <f t="shared" si="5"/>
        <v>0</v>
      </c>
      <c r="Z661" s="2">
        <f t="shared" si="6"/>
        <v>0</v>
      </c>
      <c r="AA661" s="2">
        <f t="shared" si="7"/>
        <v>0</v>
      </c>
      <c r="AB661" s="2">
        <f>IF(OR($M661="",$N661=""),0,MEDIAN(-MarginCap,MarginCap,($M661-$N661)-$AA661*HFA_Base))</f>
        <v>0</v>
      </c>
      <c r="AC661" s="2">
        <f t="array" ref="AC661">IF(OR($P661="",INDEX($P$3:$P$722,(ROW()+IF(MOD(ROW()-3,2)=0,1,-1))-3+1)=""),0,MEDIAN(-MarginCap,MarginCap,($T661-$W661)-$AA661*HFA_Base))</f>
        <v>0</v>
      </c>
      <c r="AD661" s="2">
        <f t="shared" si="8"/>
        <v>0</v>
      </c>
      <c r="AE661" s="2">
        <f>IF(OR($M661="",$N661=""),0,IF(AND(WEpa&gt;0,$AD661=1),(1-WEpa)*$AB661+WEpa*$AC661,$AB661))</f>
        <v>0</v>
      </c>
      <c r="AF661" s="2">
        <f>IF(AND($C661&lt;&gt;"",$E661=CurrentSeason,$F661="REG",ISNUMBER($G661),$G661&lt;CurrentWeek,AND($M661&lt;&gt;"",$N661&lt;&gt;"")),1,0)</f>
        <v>0</v>
      </c>
      <c r="AG661" s="2">
        <f>IF($AF661=0,0,IF($G661&gt;=CurrentWeek-RecencyWin,RecencyMult,1))</f>
        <v>0</v>
      </c>
      <c r="AH661" s="2">
        <f>IF(AND($C661&lt;&gt;"",$E661=CurrentSeason,$F661="REG",ISNUMBER($G661),$G661&lt;CurrentWeek-1,AND($M661&lt;&gt;"",$N661&lt;&gt;"")),1,0)</f>
        <v>0</v>
      </c>
      <c r="AI661" s="2">
        <f>IF($AH661=0,0,IF($G661&gt;=CurrentWeek-1-RecencyWin,RecencyMult,1))</f>
        <v>0</v>
      </c>
      <c r="AJ661" s="2">
        <f>IF($AF661=0,0,IF($G661&gt;=CurrentWeek-RecencyWin,TotRecency,1))</f>
        <v>0</v>
      </c>
      <c r="AK661" s="2">
        <f t="shared" si="9"/>
        <v>0</v>
      </c>
      <c r="AL661" s="2">
        <f t="shared" si="10"/>
        <v>0</v>
      </c>
      <c r="AM661" s="2">
        <f t="array" ref="AM661">IF($K661="",0,IFERROR(INDEX(CALC!$F$2:$F$33,MATCH($K661,CALC!$A$2:$A$33,0)),0))</f>
        <v>0</v>
      </c>
      <c r="AN661" s="2">
        <f t="array" ref="AN661">IF($K661="",0,IFERROR(INDEX(CALC!$I$2:$I$33,MATCH($K661,CALC!$A$2:$A$33,0)),0))</f>
        <v>0</v>
      </c>
      <c r="AO661" s="2">
        <f t="array" ref="AO661">IF($K661="",0,IFERROR(INDEX(CALC!$L$2:$L$33,MATCH($K661,CALC!$A$2:$A$33,0)),0))</f>
        <v>0</v>
      </c>
      <c r="AP661" s="2">
        <f t="array" ref="AP661">IF($K661="",0,IFERROR(INDEX(CALC!$T$2:$T$33,MATCH($K661,CALC!$A$2:$A$33,0)),0))</f>
        <v>0</v>
      </c>
      <c r="AQ661" s="2">
        <f t="array" ref="AQ661">IF($K661="",0,IFERROR(INDEX(CALC!$W$2:$W$33,MATCH($K661,CALC!$A$2:$A$33,0)),0))</f>
        <v>0</v>
      </c>
      <c r="AR661" s="2">
        <f t="array" ref="AR661">IF($K661="",0,IFERROR(INDEX(CALC!$Z$2:$Z$33,MATCH($K661,CALC!$A$2:$A$33,0)),0))</f>
        <v>0</v>
      </c>
      <c r="AS661" s="2">
        <f t="array" ref="AS661">IF($K661="",0,IFERROR(INDEX(CALC!$AJ$2:$AJ$33,MATCH($K661,CALC!$A$2:$A$33,0)),0))</f>
        <v>0</v>
      </c>
      <c r="AT661" s="2">
        <f t="array" ref="AT661">IF($K661="",0,IFERROR(INDEX(CALC!$AI$2:$AI$33,MATCH($K661,CALC!$A$2:$A$33,0)),0))</f>
        <v>0</v>
      </c>
      <c r="AU661" s="2">
        <f t="shared" si="11"/>
        <v>0</v>
      </c>
      <c r="AV661" s="2">
        <f t="shared" si="12"/>
        <v>0</v>
      </c>
    </row>
    <row r="662" ht="15.0" customHeight="1">
      <c r="A662" s="2">
        <v>330.0</v>
      </c>
      <c r="B662" s="2" t="s">
        <v>2366</v>
      </c>
      <c r="C662" s="2" t="str">
        <f>IFERROR(MATCH($A662,SchedSeq,0),"")</f>
        <v/>
      </c>
      <c r="D662" s="2" t="str">
        <f t="array" ref="D662">IF($C662="","",INDEX(SchedZone,$C662,MAP!$B$6))</f>
        <v/>
      </c>
      <c r="E662" s="2" t="str">
        <f t="array" ref="E662">IF($C662="","",INDEX(SchedZone,$C662,MAP!$B$3))</f>
        <v/>
      </c>
      <c r="F662" s="2" t="str">
        <f t="array" ref="F662">IF($C662="","",INDEX(SchedZone,$C662,MAP!$B$5))</f>
        <v/>
      </c>
      <c r="G662" s="2" t="str">
        <f t="array" ref="G662">IF($C662="","",INDEX(SchedZone,$C662,MAP!$B$4))</f>
        <v/>
      </c>
      <c r="H662" s="2" t="str">
        <f t="array" ref="H662">IF($C662="","",INDEX(SchedZone,$C662,MAP!$B$10))</f>
        <v/>
      </c>
      <c r="I662" s="2" t="str">
        <f t="array" ref="I662">IF($H662="","",IF(COUNTIF(Teams,$H662)&gt;0,$H662,IFERROR(INDEX(LISTS!$D$2:$D$12,MATCH($H662,LISTS!$C$2:$C$12,0)),"⚠ "&amp;$H662)))</f>
        <v/>
      </c>
      <c r="J662" s="2" t="str">
        <f t="array" ref="J662">IF($C662="","",INDEX(SchedZone,$C662,MAP!$B$12))</f>
        <v/>
      </c>
      <c r="K662" s="2" t="str">
        <f t="array" ref="K662">IF($J662="","",IF(COUNTIF(Teams,$J662)&gt;0,$J662,IFERROR(INDEX(LISTS!$D$2:$D$12,MATCH($J662,LISTS!$C$2:$C$12,0)),"⚠ "&amp;$J662)))</f>
        <v/>
      </c>
      <c r="L662" s="2" t="str">
        <f t="array" ref="L662">IF($C662="","",IF(INDEX(SchedZone,$C662,MAP!$B$14)="Neutral","N",IF($B662="HOME","H","A")))</f>
        <v/>
      </c>
      <c r="M662" s="2" t="str">
        <f t="array" ref="M662">IF($C662="","",IF(INDEX(SchedZone,$C662,MAP!$B$11)="","",INDEX(SchedZone,$C662,MAP!$B$11)))</f>
        <v/>
      </c>
      <c r="N662" s="2" t="str">
        <f t="array" ref="N662">IF($C662="","",IF(INDEX(SchedZone,$C662,MAP!$B$13)="","",INDEX(SchedZone,$C662,MAP!$B$13)))</f>
        <v/>
      </c>
      <c r="O662" s="2" t="str">
        <f t="array" ref="O662">IF($C662="","",INDEX(SchedZone,$C662,MAP!$B$15))</f>
        <v/>
      </c>
      <c r="P662" s="2" t="str">
        <f>IF($C662="","",IFERROR(MATCH($E662&amp;"|"&amp;$G662&amp;"|"&amp;$I662,StatsKey,0),""))</f>
        <v/>
      </c>
      <c r="Q662" s="2">
        <f t="array" ref="Q662">IF($P662="",0,INDEX(StatsZone,$P662,MAP!$E$9)+INDEX(StatsZone,$P662,MAP!$E$10)+INDEX(StatsZone,$P662,MAP!$E$11))</f>
        <v>0</v>
      </c>
      <c r="R662" s="2">
        <f t="array" ref="R662">IF($P662="",0,INDEX(StatsZone,$P662,MAP!$E$12))</f>
        <v>0</v>
      </c>
      <c r="S662" s="2">
        <f t="array" ref="S662">IF($P662="",0,INDEX(StatsZone,$P662,MAP!$E$13))</f>
        <v>0</v>
      </c>
      <c r="T662" s="2">
        <f t="shared" si="1"/>
        <v>0</v>
      </c>
      <c r="U662" s="2">
        <f t="array" ref="U662">IF($P662="",0,INDEX(StatsZone,$P662,MAP!$E$14)+INDEX(StatsZone,$P662,MAP!$E$15)+INDEX(StatsZone,$P662,MAP!$E$16))</f>
        <v>0</v>
      </c>
      <c r="V662" s="2">
        <f t="shared" si="2"/>
        <v>0</v>
      </c>
      <c r="W662" s="2">
        <f t="shared" si="3"/>
        <v>0</v>
      </c>
      <c r="X662" s="2">
        <f t="shared" si="4"/>
        <v>0</v>
      </c>
      <c r="Y662" s="2">
        <f t="shared" si="5"/>
        <v>0</v>
      </c>
      <c r="Z662" s="2">
        <f t="shared" si="6"/>
        <v>0</v>
      </c>
      <c r="AA662" s="2">
        <f t="shared" si="7"/>
        <v>0</v>
      </c>
      <c r="AB662" s="2">
        <f>IF(OR($M662="",$N662=""),0,MEDIAN(-MarginCap,MarginCap,($M662-$N662)-$AA662*HFA_Base))</f>
        <v>0</v>
      </c>
      <c r="AC662" s="2">
        <f t="array" ref="AC662">IF(OR($P662="",INDEX($P$3:$P$722,(ROW()+IF(MOD(ROW()-3,2)=0,1,-1))-3+1)=""),0,MEDIAN(-MarginCap,MarginCap,($T662-$W662)-$AA662*HFA_Base))</f>
        <v>0</v>
      </c>
      <c r="AD662" s="2">
        <f t="shared" si="8"/>
        <v>0</v>
      </c>
      <c r="AE662" s="2">
        <f>IF(OR($M662="",$N662=""),0,IF(AND(WEpa&gt;0,$AD662=1),(1-WEpa)*$AB662+WEpa*$AC662,$AB662))</f>
        <v>0</v>
      </c>
      <c r="AF662" s="2">
        <f>IF(AND($C662&lt;&gt;"",$E662=CurrentSeason,$F662="REG",ISNUMBER($G662),$G662&lt;CurrentWeek,AND($M662&lt;&gt;"",$N662&lt;&gt;"")),1,0)</f>
        <v>0</v>
      </c>
      <c r="AG662" s="2">
        <f>IF($AF662=0,0,IF($G662&gt;=CurrentWeek-RecencyWin,RecencyMult,1))</f>
        <v>0</v>
      </c>
      <c r="AH662" s="2">
        <f>IF(AND($C662&lt;&gt;"",$E662=CurrentSeason,$F662="REG",ISNUMBER($G662),$G662&lt;CurrentWeek-1,AND($M662&lt;&gt;"",$N662&lt;&gt;"")),1,0)</f>
        <v>0</v>
      </c>
      <c r="AI662" s="2">
        <f>IF($AH662=0,0,IF($G662&gt;=CurrentWeek-1-RecencyWin,RecencyMult,1))</f>
        <v>0</v>
      </c>
      <c r="AJ662" s="2">
        <f>IF($AF662=0,0,IF($G662&gt;=CurrentWeek-RecencyWin,TotRecency,1))</f>
        <v>0</v>
      </c>
      <c r="AK662" s="2">
        <f t="shared" si="9"/>
        <v>0</v>
      </c>
      <c r="AL662" s="2">
        <f t="shared" si="10"/>
        <v>0</v>
      </c>
      <c r="AM662" s="2">
        <f t="array" ref="AM662">IF($K662="",0,IFERROR(INDEX(CALC!$F$2:$F$33,MATCH($K662,CALC!$A$2:$A$33,0)),0))</f>
        <v>0</v>
      </c>
      <c r="AN662" s="2">
        <f t="array" ref="AN662">IF($K662="",0,IFERROR(INDEX(CALC!$I$2:$I$33,MATCH($K662,CALC!$A$2:$A$33,0)),0))</f>
        <v>0</v>
      </c>
      <c r="AO662" s="2">
        <f t="array" ref="AO662">IF($K662="",0,IFERROR(INDEX(CALC!$L$2:$L$33,MATCH($K662,CALC!$A$2:$A$33,0)),0))</f>
        <v>0</v>
      </c>
      <c r="AP662" s="2">
        <f t="array" ref="AP662">IF($K662="",0,IFERROR(INDEX(CALC!$T$2:$T$33,MATCH($K662,CALC!$A$2:$A$33,0)),0))</f>
        <v>0</v>
      </c>
      <c r="AQ662" s="2">
        <f t="array" ref="AQ662">IF($K662="",0,IFERROR(INDEX(CALC!$W$2:$W$33,MATCH($K662,CALC!$A$2:$A$33,0)),0))</f>
        <v>0</v>
      </c>
      <c r="AR662" s="2">
        <f t="array" ref="AR662">IF($K662="",0,IFERROR(INDEX(CALC!$Z$2:$Z$33,MATCH($K662,CALC!$A$2:$A$33,0)),0))</f>
        <v>0</v>
      </c>
      <c r="AS662" s="2">
        <f t="array" ref="AS662">IF($K662="",0,IFERROR(INDEX(CALC!$AJ$2:$AJ$33,MATCH($K662,CALC!$A$2:$A$33,0)),0))</f>
        <v>0</v>
      </c>
      <c r="AT662" s="2">
        <f t="array" ref="AT662">IF($K662="",0,IFERROR(INDEX(CALC!$AI$2:$AI$33,MATCH($K662,CALC!$A$2:$A$33,0)),0))</f>
        <v>0</v>
      </c>
      <c r="AU662" s="2">
        <f t="shared" si="11"/>
        <v>0</v>
      </c>
      <c r="AV662" s="2">
        <f t="shared" si="12"/>
        <v>0</v>
      </c>
    </row>
    <row r="663" ht="15.0" customHeight="1">
      <c r="A663" s="2">
        <v>331.0</v>
      </c>
      <c r="B663" s="2" t="s">
        <v>2365</v>
      </c>
      <c r="C663" s="2" t="str">
        <f>IFERROR(MATCH($A663,SchedSeq,0),"")</f>
        <v/>
      </c>
      <c r="D663" s="2" t="str">
        <f t="array" ref="D663">IF($C663="","",INDEX(SchedZone,$C663,MAP!$B$6))</f>
        <v/>
      </c>
      <c r="E663" s="2" t="str">
        <f t="array" ref="E663">IF($C663="","",INDEX(SchedZone,$C663,MAP!$B$3))</f>
        <v/>
      </c>
      <c r="F663" s="2" t="str">
        <f t="array" ref="F663">IF($C663="","",INDEX(SchedZone,$C663,MAP!$B$5))</f>
        <v/>
      </c>
      <c r="G663" s="2" t="str">
        <f t="array" ref="G663">IF($C663="","",INDEX(SchedZone,$C663,MAP!$B$4))</f>
        <v/>
      </c>
      <c r="H663" s="2" t="str">
        <f t="array" ref="H663">IF($C663="","",INDEX(SchedZone,$C663,MAP!$B$12))</f>
        <v/>
      </c>
      <c r="I663" s="2" t="str">
        <f t="array" ref="I663">IF($H663="","",IF(COUNTIF(Teams,$H663)&gt;0,$H663,IFERROR(INDEX(LISTS!$D$2:$D$12,MATCH($H663,LISTS!$C$2:$C$12,0)),"⚠ "&amp;$H663)))</f>
        <v/>
      </c>
      <c r="J663" s="2" t="str">
        <f t="array" ref="J663">IF($C663="","",INDEX(SchedZone,$C663,MAP!$B$10))</f>
        <v/>
      </c>
      <c r="K663" s="2" t="str">
        <f t="array" ref="K663">IF($J663="","",IF(COUNTIF(Teams,$J663)&gt;0,$J663,IFERROR(INDEX(LISTS!$D$2:$D$12,MATCH($J663,LISTS!$C$2:$C$12,0)),"⚠ "&amp;$J663)))</f>
        <v/>
      </c>
      <c r="L663" s="2" t="str">
        <f t="array" ref="L663">IF($C663="","",IF(INDEX(SchedZone,$C663,MAP!$B$14)="Neutral","N",IF($B663="HOME","H","A")))</f>
        <v/>
      </c>
      <c r="M663" s="2" t="str">
        <f t="array" ref="M663">IF($C663="","",IF(INDEX(SchedZone,$C663,MAP!$B$13)="","",INDEX(SchedZone,$C663,MAP!$B$13)))</f>
        <v/>
      </c>
      <c r="N663" s="2" t="str">
        <f t="array" ref="N663">IF($C663="","",IF(INDEX(SchedZone,$C663,MAP!$B$11)="","",INDEX(SchedZone,$C663,MAP!$B$11)))</f>
        <v/>
      </c>
      <c r="O663" s="2" t="str">
        <f t="array" ref="O663">IF($C663="","",INDEX(SchedZone,$C663,MAP!$B$16))</f>
        <v/>
      </c>
      <c r="P663" s="2" t="str">
        <f>IF($C663="","",IFERROR(MATCH($E663&amp;"|"&amp;$G663&amp;"|"&amp;$I663,StatsKey,0),""))</f>
        <v/>
      </c>
      <c r="Q663" s="2">
        <f t="array" ref="Q663">IF($P663="",0,INDEX(StatsZone,$P663,MAP!$E$9)+INDEX(StatsZone,$P663,MAP!$E$10)+INDEX(StatsZone,$P663,MAP!$E$11))</f>
        <v>0</v>
      </c>
      <c r="R663" s="2">
        <f t="array" ref="R663">IF($P663="",0,INDEX(StatsZone,$P663,MAP!$E$12))</f>
        <v>0</v>
      </c>
      <c r="S663" s="2">
        <f t="array" ref="S663">IF($P663="",0,INDEX(StatsZone,$P663,MAP!$E$13))</f>
        <v>0</v>
      </c>
      <c r="T663" s="2">
        <f t="shared" si="1"/>
        <v>0</v>
      </c>
      <c r="U663" s="2">
        <f t="array" ref="U663">IF($P663="",0,INDEX(StatsZone,$P663,MAP!$E$14)+INDEX(StatsZone,$P663,MAP!$E$15)+INDEX(StatsZone,$P663,MAP!$E$16))</f>
        <v>0</v>
      </c>
      <c r="V663" s="2">
        <f t="shared" si="2"/>
        <v>0</v>
      </c>
      <c r="W663" s="2">
        <f t="shared" si="3"/>
        <v>0</v>
      </c>
      <c r="X663" s="2">
        <f t="shared" si="4"/>
        <v>0</v>
      </c>
      <c r="Y663" s="2">
        <f t="shared" si="5"/>
        <v>0</v>
      </c>
      <c r="Z663" s="2">
        <f t="shared" si="6"/>
        <v>0</v>
      </c>
      <c r="AA663" s="2">
        <f t="shared" si="7"/>
        <v>0</v>
      </c>
      <c r="AB663" s="2">
        <f>IF(OR($M663="",$N663=""),0,MEDIAN(-MarginCap,MarginCap,($M663-$N663)-$AA663*HFA_Base))</f>
        <v>0</v>
      </c>
      <c r="AC663" s="2">
        <f t="array" ref="AC663">IF(OR($P663="",INDEX($P$3:$P$722,(ROW()+IF(MOD(ROW()-3,2)=0,1,-1))-3+1)=""),0,MEDIAN(-MarginCap,MarginCap,($T663-$W663)-$AA663*HFA_Base))</f>
        <v>0</v>
      </c>
      <c r="AD663" s="2">
        <f t="shared" si="8"/>
        <v>0</v>
      </c>
      <c r="AE663" s="2">
        <f>IF(OR($M663="",$N663=""),0,IF(AND(WEpa&gt;0,$AD663=1),(1-WEpa)*$AB663+WEpa*$AC663,$AB663))</f>
        <v>0</v>
      </c>
      <c r="AF663" s="2">
        <f>IF(AND($C663&lt;&gt;"",$E663=CurrentSeason,$F663="REG",ISNUMBER($G663),$G663&lt;CurrentWeek,AND($M663&lt;&gt;"",$N663&lt;&gt;"")),1,0)</f>
        <v>0</v>
      </c>
      <c r="AG663" s="2">
        <f>IF($AF663=0,0,IF($G663&gt;=CurrentWeek-RecencyWin,RecencyMult,1))</f>
        <v>0</v>
      </c>
      <c r="AH663" s="2">
        <f>IF(AND($C663&lt;&gt;"",$E663=CurrentSeason,$F663="REG",ISNUMBER($G663),$G663&lt;CurrentWeek-1,AND($M663&lt;&gt;"",$N663&lt;&gt;"")),1,0)</f>
        <v>0</v>
      </c>
      <c r="AI663" s="2">
        <f>IF($AH663=0,0,IF($G663&gt;=CurrentWeek-1-RecencyWin,RecencyMult,1))</f>
        <v>0</v>
      </c>
      <c r="AJ663" s="2">
        <f>IF($AF663=0,0,IF($G663&gt;=CurrentWeek-RecencyWin,TotRecency,1))</f>
        <v>0</v>
      </c>
      <c r="AK663" s="2">
        <f t="shared" si="9"/>
        <v>0</v>
      </c>
      <c r="AL663" s="2">
        <f t="shared" si="10"/>
        <v>0</v>
      </c>
      <c r="AM663" s="2">
        <f t="array" ref="AM663">IF($K663="",0,IFERROR(INDEX(CALC!$F$2:$F$33,MATCH($K663,CALC!$A$2:$A$33,0)),0))</f>
        <v>0</v>
      </c>
      <c r="AN663" s="2">
        <f t="array" ref="AN663">IF($K663="",0,IFERROR(INDEX(CALC!$I$2:$I$33,MATCH($K663,CALC!$A$2:$A$33,0)),0))</f>
        <v>0</v>
      </c>
      <c r="AO663" s="2">
        <f t="array" ref="AO663">IF($K663="",0,IFERROR(INDEX(CALC!$L$2:$L$33,MATCH($K663,CALC!$A$2:$A$33,0)),0))</f>
        <v>0</v>
      </c>
      <c r="AP663" s="2">
        <f t="array" ref="AP663">IF($K663="",0,IFERROR(INDEX(CALC!$T$2:$T$33,MATCH($K663,CALC!$A$2:$A$33,0)),0))</f>
        <v>0</v>
      </c>
      <c r="AQ663" s="2">
        <f t="array" ref="AQ663">IF($K663="",0,IFERROR(INDEX(CALC!$W$2:$W$33,MATCH($K663,CALC!$A$2:$A$33,0)),0))</f>
        <v>0</v>
      </c>
      <c r="AR663" s="2">
        <f t="array" ref="AR663">IF($K663="",0,IFERROR(INDEX(CALC!$Z$2:$Z$33,MATCH($K663,CALC!$A$2:$A$33,0)),0))</f>
        <v>0</v>
      </c>
      <c r="AS663" s="2">
        <f t="array" ref="AS663">IF($K663="",0,IFERROR(INDEX(CALC!$AJ$2:$AJ$33,MATCH($K663,CALC!$A$2:$A$33,0)),0))</f>
        <v>0</v>
      </c>
      <c r="AT663" s="2">
        <f t="array" ref="AT663">IF($K663="",0,IFERROR(INDEX(CALC!$AI$2:$AI$33,MATCH($K663,CALC!$A$2:$A$33,0)),0))</f>
        <v>0</v>
      </c>
      <c r="AU663" s="2">
        <f t="shared" si="11"/>
        <v>0</v>
      </c>
      <c r="AV663" s="2">
        <f t="shared" si="12"/>
        <v>0</v>
      </c>
    </row>
    <row r="664" ht="15.0" customHeight="1">
      <c r="A664" s="2">
        <v>331.0</v>
      </c>
      <c r="B664" s="2" t="s">
        <v>2366</v>
      </c>
      <c r="C664" s="2" t="str">
        <f>IFERROR(MATCH($A664,SchedSeq,0),"")</f>
        <v/>
      </c>
      <c r="D664" s="2" t="str">
        <f t="array" ref="D664">IF($C664="","",INDEX(SchedZone,$C664,MAP!$B$6))</f>
        <v/>
      </c>
      <c r="E664" s="2" t="str">
        <f t="array" ref="E664">IF($C664="","",INDEX(SchedZone,$C664,MAP!$B$3))</f>
        <v/>
      </c>
      <c r="F664" s="2" t="str">
        <f t="array" ref="F664">IF($C664="","",INDEX(SchedZone,$C664,MAP!$B$5))</f>
        <v/>
      </c>
      <c r="G664" s="2" t="str">
        <f t="array" ref="G664">IF($C664="","",INDEX(SchedZone,$C664,MAP!$B$4))</f>
        <v/>
      </c>
      <c r="H664" s="2" t="str">
        <f t="array" ref="H664">IF($C664="","",INDEX(SchedZone,$C664,MAP!$B$10))</f>
        <v/>
      </c>
      <c r="I664" s="2" t="str">
        <f t="array" ref="I664">IF($H664="","",IF(COUNTIF(Teams,$H664)&gt;0,$H664,IFERROR(INDEX(LISTS!$D$2:$D$12,MATCH($H664,LISTS!$C$2:$C$12,0)),"⚠ "&amp;$H664)))</f>
        <v/>
      </c>
      <c r="J664" s="2" t="str">
        <f t="array" ref="J664">IF($C664="","",INDEX(SchedZone,$C664,MAP!$B$12))</f>
        <v/>
      </c>
      <c r="K664" s="2" t="str">
        <f t="array" ref="K664">IF($J664="","",IF(COUNTIF(Teams,$J664)&gt;0,$J664,IFERROR(INDEX(LISTS!$D$2:$D$12,MATCH($J664,LISTS!$C$2:$C$12,0)),"⚠ "&amp;$J664)))</f>
        <v/>
      </c>
      <c r="L664" s="2" t="str">
        <f t="array" ref="L664">IF($C664="","",IF(INDEX(SchedZone,$C664,MAP!$B$14)="Neutral","N",IF($B664="HOME","H","A")))</f>
        <v/>
      </c>
      <c r="M664" s="2" t="str">
        <f t="array" ref="M664">IF($C664="","",IF(INDEX(SchedZone,$C664,MAP!$B$11)="","",INDEX(SchedZone,$C664,MAP!$B$11)))</f>
        <v/>
      </c>
      <c r="N664" s="2" t="str">
        <f t="array" ref="N664">IF($C664="","",IF(INDEX(SchedZone,$C664,MAP!$B$13)="","",INDEX(SchedZone,$C664,MAP!$B$13)))</f>
        <v/>
      </c>
      <c r="O664" s="2" t="str">
        <f t="array" ref="O664">IF($C664="","",INDEX(SchedZone,$C664,MAP!$B$15))</f>
        <v/>
      </c>
      <c r="P664" s="2" t="str">
        <f>IF($C664="","",IFERROR(MATCH($E664&amp;"|"&amp;$G664&amp;"|"&amp;$I664,StatsKey,0),""))</f>
        <v/>
      </c>
      <c r="Q664" s="2">
        <f t="array" ref="Q664">IF($P664="",0,INDEX(StatsZone,$P664,MAP!$E$9)+INDEX(StatsZone,$P664,MAP!$E$10)+INDEX(StatsZone,$P664,MAP!$E$11))</f>
        <v>0</v>
      </c>
      <c r="R664" s="2">
        <f t="array" ref="R664">IF($P664="",0,INDEX(StatsZone,$P664,MAP!$E$12))</f>
        <v>0</v>
      </c>
      <c r="S664" s="2">
        <f t="array" ref="S664">IF($P664="",0,INDEX(StatsZone,$P664,MAP!$E$13))</f>
        <v>0</v>
      </c>
      <c r="T664" s="2">
        <f t="shared" si="1"/>
        <v>0</v>
      </c>
      <c r="U664" s="2">
        <f t="array" ref="U664">IF($P664="",0,INDEX(StatsZone,$P664,MAP!$E$14)+INDEX(StatsZone,$P664,MAP!$E$15)+INDEX(StatsZone,$P664,MAP!$E$16))</f>
        <v>0</v>
      </c>
      <c r="V664" s="2">
        <f t="shared" si="2"/>
        <v>0</v>
      </c>
      <c r="W664" s="2">
        <f t="shared" si="3"/>
        <v>0</v>
      </c>
      <c r="X664" s="2">
        <f t="shared" si="4"/>
        <v>0</v>
      </c>
      <c r="Y664" s="2">
        <f t="shared" si="5"/>
        <v>0</v>
      </c>
      <c r="Z664" s="2">
        <f t="shared" si="6"/>
        <v>0</v>
      </c>
      <c r="AA664" s="2">
        <f t="shared" si="7"/>
        <v>0</v>
      </c>
      <c r="AB664" s="2">
        <f>IF(OR($M664="",$N664=""),0,MEDIAN(-MarginCap,MarginCap,($M664-$N664)-$AA664*HFA_Base))</f>
        <v>0</v>
      </c>
      <c r="AC664" s="2">
        <f t="array" ref="AC664">IF(OR($P664="",INDEX($P$3:$P$722,(ROW()+IF(MOD(ROW()-3,2)=0,1,-1))-3+1)=""),0,MEDIAN(-MarginCap,MarginCap,($T664-$W664)-$AA664*HFA_Base))</f>
        <v>0</v>
      </c>
      <c r="AD664" s="2">
        <f t="shared" si="8"/>
        <v>0</v>
      </c>
      <c r="AE664" s="2">
        <f>IF(OR($M664="",$N664=""),0,IF(AND(WEpa&gt;0,$AD664=1),(1-WEpa)*$AB664+WEpa*$AC664,$AB664))</f>
        <v>0</v>
      </c>
      <c r="AF664" s="2">
        <f>IF(AND($C664&lt;&gt;"",$E664=CurrentSeason,$F664="REG",ISNUMBER($G664),$G664&lt;CurrentWeek,AND($M664&lt;&gt;"",$N664&lt;&gt;"")),1,0)</f>
        <v>0</v>
      </c>
      <c r="AG664" s="2">
        <f>IF($AF664=0,0,IF($G664&gt;=CurrentWeek-RecencyWin,RecencyMult,1))</f>
        <v>0</v>
      </c>
      <c r="AH664" s="2">
        <f>IF(AND($C664&lt;&gt;"",$E664=CurrentSeason,$F664="REG",ISNUMBER($G664),$G664&lt;CurrentWeek-1,AND($M664&lt;&gt;"",$N664&lt;&gt;"")),1,0)</f>
        <v>0</v>
      </c>
      <c r="AI664" s="2">
        <f>IF($AH664=0,0,IF($G664&gt;=CurrentWeek-1-RecencyWin,RecencyMult,1))</f>
        <v>0</v>
      </c>
      <c r="AJ664" s="2">
        <f>IF($AF664=0,0,IF($G664&gt;=CurrentWeek-RecencyWin,TotRecency,1))</f>
        <v>0</v>
      </c>
      <c r="AK664" s="2">
        <f t="shared" si="9"/>
        <v>0</v>
      </c>
      <c r="AL664" s="2">
        <f t="shared" si="10"/>
        <v>0</v>
      </c>
      <c r="AM664" s="2">
        <f t="array" ref="AM664">IF($K664="",0,IFERROR(INDEX(CALC!$F$2:$F$33,MATCH($K664,CALC!$A$2:$A$33,0)),0))</f>
        <v>0</v>
      </c>
      <c r="AN664" s="2">
        <f t="array" ref="AN664">IF($K664="",0,IFERROR(INDEX(CALC!$I$2:$I$33,MATCH($K664,CALC!$A$2:$A$33,0)),0))</f>
        <v>0</v>
      </c>
      <c r="AO664" s="2">
        <f t="array" ref="AO664">IF($K664="",0,IFERROR(INDEX(CALC!$L$2:$L$33,MATCH($K664,CALC!$A$2:$A$33,0)),0))</f>
        <v>0</v>
      </c>
      <c r="AP664" s="2">
        <f t="array" ref="AP664">IF($K664="",0,IFERROR(INDEX(CALC!$T$2:$T$33,MATCH($K664,CALC!$A$2:$A$33,0)),0))</f>
        <v>0</v>
      </c>
      <c r="AQ664" s="2">
        <f t="array" ref="AQ664">IF($K664="",0,IFERROR(INDEX(CALC!$W$2:$W$33,MATCH($K664,CALC!$A$2:$A$33,0)),0))</f>
        <v>0</v>
      </c>
      <c r="AR664" s="2">
        <f t="array" ref="AR664">IF($K664="",0,IFERROR(INDEX(CALC!$Z$2:$Z$33,MATCH($K664,CALC!$A$2:$A$33,0)),0))</f>
        <v>0</v>
      </c>
      <c r="AS664" s="2">
        <f t="array" ref="AS664">IF($K664="",0,IFERROR(INDEX(CALC!$AJ$2:$AJ$33,MATCH($K664,CALC!$A$2:$A$33,0)),0))</f>
        <v>0</v>
      </c>
      <c r="AT664" s="2">
        <f t="array" ref="AT664">IF($K664="",0,IFERROR(INDEX(CALC!$AI$2:$AI$33,MATCH($K664,CALC!$A$2:$A$33,0)),0))</f>
        <v>0</v>
      </c>
      <c r="AU664" s="2">
        <f t="shared" si="11"/>
        <v>0</v>
      </c>
      <c r="AV664" s="2">
        <f t="shared" si="12"/>
        <v>0</v>
      </c>
    </row>
    <row r="665" ht="15.0" customHeight="1">
      <c r="A665" s="2">
        <v>332.0</v>
      </c>
      <c r="B665" s="2" t="s">
        <v>2365</v>
      </c>
      <c r="C665" s="2" t="str">
        <f>IFERROR(MATCH($A665,SchedSeq,0),"")</f>
        <v/>
      </c>
      <c r="D665" s="2" t="str">
        <f t="array" ref="D665">IF($C665="","",INDEX(SchedZone,$C665,MAP!$B$6))</f>
        <v/>
      </c>
      <c r="E665" s="2" t="str">
        <f t="array" ref="E665">IF($C665="","",INDEX(SchedZone,$C665,MAP!$B$3))</f>
        <v/>
      </c>
      <c r="F665" s="2" t="str">
        <f t="array" ref="F665">IF($C665="","",INDEX(SchedZone,$C665,MAP!$B$5))</f>
        <v/>
      </c>
      <c r="G665" s="2" t="str">
        <f t="array" ref="G665">IF($C665="","",INDEX(SchedZone,$C665,MAP!$B$4))</f>
        <v/>
      </c>
      <c r="H665" s="2" t="str">
        <f t="array" ref="H665">IF($C665="","",INDEX(SchedZone,$C665,MAP!$B$12))</f>
        <v/>
      </c>
      <c r="I665" s="2" t="str">
        <f t="array" ref="I665">IF($H665="","",IF(COUNTIF(Teams,$H665)&gt;0,$H665,IFERROR(INDEX(LISTS!$D$2:$D$12,MATCH($H665,LISTS!$C$2:$C$12,0)),"⚠ "&amp;$H665)))</f>
        <v/>
      </c>
      <c r="J665" s="2" t="str">
        <f t="array" ref="J665">IF($C665="","",INDEX(SchedZone,$C665,MAP!$B$10))</f>
        <v/>
      </c>
      <c r="K665" s="2" t="str">
        <f t="array" ref="K665">IF($J665="","",IF(COUNTIF(Teams,$J665)&gt;0,$J665,IFERROR(INDEX(LISTS!$D$2:$D$12,MATCH($J665,LISTS!$C$2:$C$12,0)),"⚠ "&amp;$J665)))</f>
        <v/>
      </c>
      <c r="L665" s="2" t="str">
        <f t="array" ref="L665">IF($C665="","",IF(INDEX(SchedZone,$C665,MAP!$B$14)="Neutral","N",IF($B665="HOME","H","A")))</f>
        <v/>
      </c>
      <c r="M665" s="2" t="str">
        <f t="array" ref="M665">IF($C665="","",IF(INDEX(SchedZone,$C665,MAP!$B$13)="","",INDEX(SchedZone,$C665,MAP!$B$13)))</f>
        <v/>
      </c>
      <c r="N665" s="2" t="str">
        <f t="array" ref="N665">IF($C665="","",IF(INDEX(SchedZone,$C665,MAP!$B$11)="","",INDEX(SchedZone,$C665,MAP!$B$11)))</f>
        <v/>
      </c>
      <c r="O665" s="2" t="str">
        <f t="array" ref="O665">IF($C665="","",INDEX(SchedZone,$C665,MAP!$B$16))</f>
        <v/>
      </c>
      <c r="P665" s="2" t="str">
        <f>IF($C665="","",IFERROR(MATCH($E665&amp;"|"&amp;$G665&amp;"|"&amp;$I665,StatsKey,0),""))</f>
        <v/>
      </c>
      <c r="Q665" s="2">
        <f t="array" ref="Q665">IF($P665="",0,INDEX(StatsZone,$P665,MAP!$E$9)+INDEX(StatsZone,$P665,MAP!$E$10)+INDEX(StatsZone,$P665,MAP!$E$11))</f>
        <v>0</v>
      </c>
      <c r="R665" s="2">
        <f t="array" ref="R665">IF($P665="",0,INDEX(StatsZone,$P665,MAP!$E$12))</f>
        <v>0</v>
      </c>
      <c r="S665" s="2">
        <f t="array" ref="S665">IF($P665="",0,INDEX(StatsZone,$P665,MAP!$E$13))</f>
        <v>0</v>
      </c>
      <c r="T665" s="2">
        <f t="shared" si="1"/>
        <v>0</v>
      </c>
      <c r="U665" s="2">
        <f t="array" ref="U665">IF($P665="",0,INDEX(StatsZone,$P665,MAP!$E$14)+INDEX(StatsZone,$P665,MAP!$E$15)+INDEX(StatsZone,$P665,MAP!$E$16))</f>
        <v>0</v>
      </c>
      <c r="V665" s="2">
        <f t="shared" si="2"/>
        <v>0</v>
      </c>
      <c r="W665" s="2">
        <f t="shared" si="3"/>
        <v>0</v>
      </c>
      <c r="X665" s="2">
        <f t="shared" si="4"/>
        <v>0</v>
      </c>
      <c r="Y665" s="2">
        <f t="shared" si="5"/>
        <v>0</v>
      </c>
      <c r="Z665" s="2">
        <f t="shared" si="6"/>
        <v>0</v>
      </c>
      <c r="AA665" s="2">
        <f t="shared" si="7"/>
        <v>0</v>
      </c>
      <c r="AB665" s="2">
        <f>IF(OR($M665="",$N665=""),0,MEDIAN(-MarginCap,MarginCap,($M665-$N665)-$AA665*HFA_Base))</f>
        <v>0</v>
      </c>
      <c r="AC665" s="2">
        <f t="array" ref="AC665">IF(OR($P665="",INDEX($P$3:$P$722,(ROW()+IF(MOD(ROW()-3,2)=0,1,-1))-3+1)=""),0,MEDIAN(-MarginCap,MarginCap,($T665-$W665)-$AA665*HFA_Base))</f>
        <v>0</v>
      </c>
      <c r="AD665" s="2">
        <f t="shared" si="8"/>
        <v>0</v>
      </c>
      <c r="AE665" s="2">
        <f>IF(OR($M665="",$N665=""),0,IF(AND(WEpa&gt;0,$AD665=1),(1-WEpa)*$AB665+WEpa*$AC665,$AB665))</f>
        <v>0</v>
      </c>
      <c r="AF665" s="2">
        <f>IF(AND($C665&lt;&gt;"",$E665=CurrentSeason,$F665="REG",ISNUMBER($G665),$G665&lt;CurrentWeek,AND($M665&lt;&gt;"",$N665&lt;&gt;"")),1,0)</f>
        <v>0</v>
      </c>
      <c r="AG665" s="2">
        <f>IF($AF665=0,0,IF($G665&gt;=CurrentWeek-RecencyWin,RecencyMult,1))</f>
        <v>0</v>
      </c>
      <c r="AH665" s="2">
        <f>IF(AND($C665&lt;&gt;"",$E665=CurrentSeason,$F665="REG",ISNUMBER($G665),$G665&lt;CurrentWeek-1,AND($M665&lt;&gt;"",$N665&lt;&gt;"")),1,0)</f>
        <v>0</v>
      </c>
      <c r="AI665" s="2">
        <f>IF($AH665=0,0,IF($G665&gt;=CurrentWeek-1-RecencyWin,RecencyMult,1))</f>
        <v>0</v>
      </c>
      <c r="AJ665" s="2">
        <f>IF($AF665=0,0,IF($G665&gt;=CurrentWeek-RecencyWin,TotRecency,1))</f>
        <v>0</v>
      </c>
      <c r="AK665" s="2">
        <f t="shared" si="9"/>
        <v>0</v>
      </c>
      <c r="AL665" s="2">
        <f t="shared" si="10"/>
        <v>0</v>
      </c>
      <c r="AM665" s="2">
        <f t="array" ref="AM665">IF($K665="",0,IFERROR(INDEX(CALC!$F$2:$F$33,MATCH($K665,CALC!$A$2:$A$33,0)),0))</f>
        <v>0</v>
      </c>
      <c r="AN665" s="2">
        <f t="array" ref="AN665">IF($K665="",0,IFERROR(INDEX(CALC!$I$2:$I$33,MATCH($K665,CALC!$A$2:$A$33,0)),0))</f>
        <v>0</v>
      </c>
      <c r="AO665" s="2">
        <f t="array" ref="AO665">IF($K665="",0,IFERROR(INDEX(CALC!$L$2:$L$33,MATCH($K665,CALC!$A$2:$A$33,0)),0))</f>
        <v>0</v>
      </c>
      <c r="AP665" s="2">
        <f t="array" ref="AP665">IF($K665="",0,IFERROR(INDEX(CALC!$T$2:$T$33,MATCH($K665,CALC!$A$2:$A$33,0)),0))</f>
        <v>0</v>
      </c>
      <c r="AQ665" s="2">
        <f t="array" ref="AQ665">IF($K665="",0,IFERROR(INDEX(CALC!$W$2:$W$33,MATCH($K665,CALC!$A$2:$A$33,0)),0))</f>
        <v>0</v>
      </c>
      <c r="AR665" s="2">
        <f t="array" ref="AR665">IF($K665="",0,IFERROR(INDEX(CALC!$Z$2:$Z$33,MATCH($K665,CALC!$A$2:$A$33,0)),0))</f>
        <v>0</v>
      </c>
      <c r="AS665" s="2">
        <f t="array" ref="AS665">IF($K665="",0,IFERROR(INDEX(CALC!$AJ$2:$AJ$33,MATCH($K665,CALC!$A$2:$A$33,0)),0))</f>
        <v>0</v>
      </c>
      <c r="AT665" s="2">
        <f t="array" ref="AT665">IF($K665="",0,IFERROR(INDEX(CALC!$AI$2:$AI$33,MATCH($K665,CALC!$A$2:$A$33,0)),0))</f>
        <v>0</v>
      </c>
      <c r="AU665" s="2">
        <f t="shared" si="11"/>
        <v>0</v>
      </c>
      <c r="AV665" s="2">
        <f t="shared" si="12"/>
        <v>0</v>
      </c>
    </row>
    <row r="666" ht="15.0" customHeight="1">
      <c r="A666" s="2">
        <v>332.0</v>
      </c>
      <c r="B666" s="2" t="s">
        <v>2366</v>
      </c>
      <c r="C666" s="2" t="str">
        <f>IFERROR(MATCH($A666,SchedSeq,0),"")</f>
        <v/>
      </c>
      <c r="D666" s="2" t="str">
        <f t="array" ref="D666">IF($C666="","",INDEX(SchedZone,$C666,MAP!$B$6))</f>
        <v/>
      </c>
      <c r="E666" s="2" t="str">
        <f t="array" ref="E666">IF($C666="","",INDEX(SchedZone,$C666,MAP!$B$3))</f>
        <v/>
      </c>
      <c r="F666" s="2" t="str">
        <f t="array" ref="F666">IF($C666="","",INDEX(SchedZone,$C666,MAP!$B$5))</f>
        <v/>
      </c>
      <c r="G666" s="2" t="str">
        <f t="array" ref="G666">IF($C666="","",INDEX(SchedZone,$C666,MAP!$B$4))</f>
        <v/>
      </c>
      <c r="H666" s="2" t="str">
        <f t="array" ref="H666">IF($C666="","",INDEX(SchedZone,$C666,MAP!$B$10))</f>
        <v/>
      </c>
      <c r="I666" s="2" t="str">
        <f t="array" ref="I666">IF($H666="","",IF(COUNTIF(Teams,$H666)&gt;0,$H666,IFERROR(INDEX(LISTS!$D$2:$D$12,MATCH($H666,LISTS!$C$2:$C$12,0)),"⚠ "&amp;$H666)))</f>
        <v/>
      </c>
      <c r="J666" s="2" t="str">
        <f t="array" ref="J666">IF($C666="","",INDEX(SchedZone,$C666,MAP!$B$12))</f>
        <v/>
      </c>
      <c r="K666" s="2" t="str">
        <f t="array" ref="K666">IF($J666="","",IF(COUNTIF(Teams,$J666)&gt;0,$J666,IFERROR(INDEX(LISTS!$D$2:$D$12,MATCH($J666,LISTS!$C$2:$C$12,0)),"⚠ "&amp;$J666)))</f>
        <v/>
      </c>
      <c r="L666" s="2" t="str">
        <f t="array" ref="L666">IF($C666="","",IF(INDEX(SchedZone,$C666,MAP!$B$14)="Neutral","N",IF($B666="HOME","H","A")))</f>
        <v/>
      </c>
      <c r="M666" s="2" t="str">
        <f t="array" ref="M666">IF($C666="","",IF(INDEX(SchedZone,$C666,MAP!$B$11)="","",INDEX(SchedZone,$C666,MAP!$B$11)))</f>
        <v/>
      </c>
      <c r="N666" s="2" t="str">
        <f t="array" ref="N666">IF($C666="","",IF(INDEX(SchedZone,$C666,MAP!$B$13)="","",INDEX(SchedZone,$C666,MAP!$B$13)))</f>
        <v/>
      </c>
      <c r="O666" s="2" t="str">
        <f t="array" ref="O666">IF($C666="","",INDEX(SchedZone,$C666,MAP!$B$15))</f>
        <v/>
      </c>
      <c r="P666" s="2" t="str">
        <f>IF($C666="","",IFERROR(MATCH($E666&amp;"|"&amp;$G666&amp;"|"&amp;$I666,StatsKey,0),""))</f>
        <v/>
      </c>
      <c r="Q666" s="2">
        <f t="array" ref="Q666">IF($P666="",0,INDEX(StatsZone,$P666,MAP!$E$9)+INDEX(StatsZone,$P666,MAP!$E$10)+INDEX(StatsZone,$P666,MAP!$E$11))</f>
        <v>0</v>
      </c>
      <c r="R666" s="2">
        <f t="array" ref="R666">IF($P666="",0,INDEX(StatsZone,$P666,MAP!$E$12))</f>
        <v>0</v>
      </c>
      <c r="S666" s="2">
        <f t="array" ref="S666">IF($P666="",0,INDEX(StatsZone,$P666,MAP!$E$13))</f>
        <v>0</v>
      </c>
      <c r="T666" s="2">
        <f t="shared" si="1"/>
        <v>0</v>
      </c>
      <c r="U666" s="2">
        <f t="array" ref="U666">IF($P666="",0,INDEX(StatsZone,$P666,MAP!$E$14)+INDEX(StatsZone,$P666,MAP!$E$15)+INDEX(StatsZone,$P666,MAP!$E$16))</f>
        <v>0</v>
      </c>
      <c r="V666" s="2">
        <f t="shared" si="2"/>
        <v>0</v>
      </c>
      <c r="W666" s="2">
        <f t="shared" si="3"/>
        <v>0</v>
      </c>
      <c r="X666" s="2">
        <f t="shared" si="4"/>
        <v>0</v>
      </c>
      <c r="Y666" s="2">
        <f t="shared" si="5"/>
        <v>0</v>
      </c>
      <c r="Z666" s="2">
        <f t="shared" si="6"/>
        <v>0</v>
      </c>
      <c r="AA666" s="2">
        <f t="shared" si="7"/>
        <v>0</v>
      </c>
      <c r="AB666" s="2">
        <f>IF(OR($M666="",$N666=""),0,MEDIAN(-MarginCap,MarginCap,($M666-$N666)-$AA666*HFA_Base))</f>
        <v>0</v>
      </c>
      <c r="AC666" s="2">
        <f t="array" ref="AC666">IF(OR($P666="",INDEX($P$3:$P$722,(ROW()+IF(MOD(ROW()-3,2)=0,1,-1))-3+1)=""),0,MEDIAN(-MarginCap,MarginCap,($T666-$W666)-$AA666*HFA_Base))</f>
        <v>0</v>
      </c>
      <c r="AD666" s="2">
        <f t="shared" si="8"/>
        <v>0</v>
      </c>
      <c r="AE666" s="2">
        <f>IF(OR($M666="",$N666=""),0,IF(AND(WEpa&gt;0,$AD666=1),(1-WEpa)*$AB666+WEpa*$AC666,$AB666))</f>
        <v>0</v>
      </c>
      <c r="AF666" s="2">
        <f>IF(AND($C666&lt;&gt;"",$E666=CurrentSeason,$F666="REG",ISNUMBER($G666),$G666&lt;CurrentWeek,AND($M666&lt;&gt;"",$N666&lt;&gt;"")),1,0)</f>
        <v>0</v>
      </c>
      <c r="AG666" s="2">
        <f>IF($AF666=0,0,IF($G666&gt;=CurrentWeek-RecencyWin,RecencyMult,1))</f>
        <v>0</v>
      </c>
      <c r="AH666" s="2">
        <f>IF(AND($C666&lt;&gt;"",$E666=CurrentSeason,$F666="REG",ISNUMBER($G666),$G666&lt;CurrentWeek-1,AND($M666&lt;&gt;"",$N666&lt;&gt;"")),1,0)</f>
        <v>0</v>
      </c>
      <c r="AI666" s="2">
        <f>IF($AH666=0,0,IF($G666&gt;=CurrentWeek-1-RecencyWin,RecencyMult,1))</f>
        <v>0</v>
      </c>
      <c r="AJ666" s="2">
        <f>IF($AF666=0,0,IF($G666&gt;=CurrentWeek-RecencyWin,TotRecency,1))</f>
        <v>0</v>
      </c>
      <c r="AK666" s="2">
        <f t="shared" si="9"/>
        <v>0</v>
      </c>
      <c r="AL666" s="2">
        <f t="shared" si="10"/>
        <v>0</v>
      </c>
      <c r="AM666" s="2">
        <f t="array" ref="AM666">IF($K666="",0,IFERROR(INDEX(CALC!$F$2:$F$33,MATCH($K666,CALC!$A$2:$A$33,0)),0))</f>
        <v>0</v>
      </c>
      <c r="AN666" s="2">
        <f t="array" ref="AN666">IF($K666="",0,IFERROR(INDEX(CALC!$I$2:$I$33,MATCH($K666,CALC!$A$2:$A$33,0)),0))</f>
        <v>0</v>
      </c>
      <c r="AO666" s="2">
        <f t="array" ref="AO666">IF($K666="",0,IFERROR(INDEX(CALC!$L$2:$L$33,MATCH($K666,CALC!$A$2:$A$33,0)),0))</f>
        <v>0</v>
      </c>
      <c r="AP666" s="2">
        <f t="array" ref="AP666">IF($K666="",0,IFERROR(INDEX(CALC!$T$2:$T$33,MATCH($K666,CALC!$A$2:$A$33,0)),0))</f>
        <v>0</v>
      </c>
      <c r="AQ666" s="2">
        <f t="array" ref="AQ666">IF($K666="",0,IFERROR(INDEX(CALC!$W$2:$W$33,MATCH($K666,CALC!$A$2:$A$33,0)),0))</f>
        <v>0</v>
      </c>
      <c r="AR666" s="2">
        <f t="array" ref="AR666">IF($K666="",0,IFERROR(INDEX(CALC!$Z$2:$Z$33,MATCH($K666,CALC!$A$2:$A$33,0)),0))</f>
        <v>0</v>
      </c>
      <c r="AS666" s="2">
        <f t="array" ref="AS666">IF($K666="",0,IFERROR(INDEX(CALC!$AJ$2:$AJ$33,MATCH($K666,CALC!$A$2:$A$33,0)),0))</f>
        <v>0</v>
      </c>
      <c r="AT666" s="2">
        <f t="array" ref="AT666">IF($K666="",0,IFERROR(INDEX(CALC!$AI$2:$AI$33,MATCH($K666,CALC!$A$2:$A$33,0)),0))</f>
        <v>0</v>
      </c>
      <c r="AU666" s="2">
        <f t="shared" si="11"/>
        <v>0</v>
      </c>
      <c r="AV666" s="2">
        <f t="shared" si="12"/>
        <v>0</v>
      </c>
    </row>
    <row r="667" ht="15.0" customHeight="1">
      <c r="A667" s="2">
        <v>333.0</v>
      </c>
      <c r="B667" s="2" t="s">
        <v>2365</v>
      </c>
      <c r="C667" s="2" t="str">
        <f>IFERROR(MATCH($A667,SchedSeq,0),"")</f>
        <v/>
      </c>
      <c r="D667" s="2" t="str">
        <f t="array" ref="D667">IF($C667="","",INDEX(SchedZone,$C667,MAP!$B$6))</f>
        <v/>
      </c>
      <c r="E667" s="2" t="str">
        <f t="array" ref="E667">IF($C667="","",INDEX(SchedZone,$C667,MAP!$B$3))</f>
        <v/>
      </c>
      <c r="F667" s="2" t="str">
        <f t="array" ref="F667">IF($C667="","",INDEX(SchedZone,$C667,MAP!$B$5))</f>
        <v/>
      </c>
      <c r="G667" s="2" t="str">
        <f t="array" ref="G667">IF($C667="","",INDEX(SchedZone,$C667,MAP!$B$4))</f>
        <v/>
      </c>
      <c r="H667" s="2" t="str">
        <f t="array" ref="H667">IF($C667="","",INDEX(SchedZone,$C667,MAP!$B$12))</f>
        <v/>
      </c>
      <c r="I667" s="2" t="str">
        <f t="array" ref="I667">IF($H667="","",IF(COUNTIF(Teams,$H667)&gt;0,$H667,IFERROR(INDEX(LISTS!$D$2:$D$12,MATCH($H667,LISTS!$C$2:$C$12,0)),"⚠ "&amp;$H667)))</f>
        <v/>
      </c>
      <c r="J667" s="2" t="str">
        <f t="array" ref="J667">IF($C667="","",INDEX(SchedZone,$C667,MAP!$B$10))</f>
        <v/>
      </c>
      <c r="K667" s="2" t="str">
        <f t="array" ref="K667">IF($J667="","",IF(COUNTIF(Teams,$J667)&gt;0,$J667,IFERROR(INDEX(LISTS!$D$2:$D$12,MATCH($J667,LISTS!$C$2:$C$12,0)),"⚠ "&amp;$J667)))</f>
        <v/>
      </c>
      <c r="L667" s="2" t="str">
        <f t="array" ref="L667">IF($C667="","",IF(INDEX(SchedZone,$C667,MAP!$B$14)="Neutral","N",IF($B667="HOME","H","A")))</f>
        <v/>
      </c>
      <c r="M667" s="2" t="str">
        <f t="array" ref="M667">IF($C667="","",IF(INDEX(SchedZone,$C667,MAP!$B$13)="","",INDEX(SchedZone,$C667,MAP!$B$13)))</f>
        <v/>
      </c>
      <c r="N667" s="2" t="str">
        <f t="array" ref="N667">IF($C667="","",IF(INDEX(SchedZone,$C667,MAP!$B$11)="","",INDEX(SchedZone,$C667,MAP!$B$11)))</f>
        <v/>
      </c>
      <c r="O667" s="2" t="str">
        <f t="array" ref="O667">IF($C667="","",INDEX(SchedZone,$C667,MAP!$B$16))</f>
        <v/>
      </c>
      <c r="P667" s="2" t="str">
        <f>IF($C667="","",IFERROR(MATCH($E667&amp;"|"&amp;$G667&amp;"|"&amp;$I667,StatsKey,0),""))</f>
        <v/>
      </c>
      <c r="Q667" s="2">
        <f t="array" ref="Q667">IF($P667="",0,INDEX(StatsZone,$P667,MAP!$E$9)+INDEX(StatsZone,$P667,MAP!$E$10)+INDEX(StatsZone,$P667,MAP!$E$11))</f>
        <v>0</v>
      </c>
      <c r="R667" s="2">
        <f t="array" ref="R667">IF($P667="",0,INDEX(StatsZone,$P667,MAP!$E$12))</f>
        <v>0</v>
      </c>
      <c r="S667" s="2">
        <f t="array" ref="S667">IF($P667="",0,INDEX(StatsZone,$P667,MAP!$E$13))</f>
        <v>0</v>
      </c>
      <c r="T667" s="2">
        <f t="shared" si="1"/>
        <v>0</v>
      </c>
      <c r="U667" s="2">
        <f t="array" ref="U667">IF($P667="",0,INDEX(StatsZone,$P667,MAP!$E$14)+INDEX(StatsZone,$P667,MAP!$E$15)+INDEX(StatsZone,$P667,MAP!$E$16))</f>
        <v>0</v>
      </c>
      <c r="V667" s="2">
        <f t="shared" si="2"/>
        <v>0</v>
      </c>
      <c r="W667" s="2">
        <f t="shared" si="3"/>
        <v>0</v>
      </c>
      <c r="X667" s="2">
        <f t="shared" si="4"/>
        <v>0</v>
      </c>
      <c r="Y667" s="2">
        <f t="shared" si="5"/>
        <v>0</v>
      </c>
      <c r="Z667" s="2">
        <f t="shared" si="6"/>
        <v>0</v>
      </c>
      <c r="AA667" s="2">
        <f t="shared" si="7"/>
        <v>0</v>
      </c>
      <c r="AB667" s="2">
        <f>IF(OR($M667="",$N667=""),0,MEDIAN(-MarginCap,MarginCap,($M667-$N667)-$AA667*HFA_Base))</f>
        <v>0</v>
      </c>
      <c r="AC667" s="2">
        <f t="array" ref="AC667">IF(OR($P667="",INDEX($P$3:$P$722,(ROW()+IF(MOD(ROW()-3,2)=0,1,-1))-3+1)=""),0,MEDIAN(-MarginCap,MarginCap,($T667-$W667)-$AA667*HFA_Base))</f>
        <v>0</v>
      </c>
      <c r="AD667" s="2">
        <f t="shared" si="8"/>
        <v>0</v>
      </c>
      <c r="AE667" s="2">
        <f>IF(OR($M667="",$N667=""),0,IF(AND(WEpa&gt;0,$AD667=1),(1-WEpa)*$AB667+WEpa*$AC667,$AB667))</f>
        <v>0</v>
      </c>
      <c r="AF667" s="2">
        <f>IF(AND($C667&lt;&gt;"",$E667=CurrentSeason,$F667="REG",ISNUMBER($G667),$G667&lt;CurrentWeek,AND($M667&lt;&gt;"",$N667&lt;&gt;"")),1,0)</f>
        <v>0</v>
      </c>
      <c r="AG667" s="2">
        <f>IF($AF667=0,0,IF($G667&gt;=CurrentWeek-RecencyWin,RecencyMult,1))</f>
        <v>0</v>
      </c>
      <c r="AH667" s="2">
        <f>IF(AND($C667&lt;&gt;"",$E667=CurrentSeason,$F667="REG",ISNUMBER($G667),$G667&lt;CurrentWeek-1,AND($M667&lt;&gt;"",$N667&lt;&gt;"")),1,0)</f>
        <v>0</v>
      </c>
      <c r="AI667" s="2">
        <f>IF($AH667=0,0,IF($G667&gt;=CurrentWeek-1-RecencyWin,RecencyMult,1))</f>
        <v>0</v>
      </c>
      <c r="AJ667" s="2">
        <f>IF($AF667=0,0,IF($G667&gt;=CurrentWeek-RecencyWin,TotRecency,1))</f>
        <v>0</v>
      </c>
      <c r="AK667" s="2">
        <f t="shared" si="9"/>
        <v>0</v>
      </c>
      <c r="AL667" s="2">
        <f t="shared" si="10"/>
        <v>0</v>
      </c>
      <c r="AM667" s="2">
        <f t="array" ref="AM667">IF($K667="",0,IFERROR(INDEX(CALC!$F$2:$F$33,MATCH($K667,CALC!$A$2:$A$33,0)),0))</f>
        <v>0</v>
      </c>
      <c r="AN667" s="2">
        <f t="array" ref="AN667">IF($K667="",0,IFERROR(INDEX(CALC!$I$2:$I$33,MATCH($K667,CALC!$A$2:$A$33,0)),0))</f>
        <v>0</v>
      </c>
      <c r="AO667" s="2">
        <f t="array" ref="AO667">IF($K667="",0,IFERROR(INDEX(CALC!$L$2:$L$33,MATCH($K667,CALC!$A$2:$A$33,0)),0))</f>
        <v>0</v>
      </c>
      <c r="AP667" s="2">
        <f t="array" ref="AP667">IF($K667="",0,IFERROR(INDEX(CALC!$T$2:$T$33,MATCH($K667,CALC!$A$2:$A$33,0)),0))</f>
        <v>0</v>
      </c>
      <c r="AQ667" s="2">
        <f t="array" ref="AQ667">IF($K667="",0,IFERROR(INDEX(CALC!$W$2:$W$33,MATCH($K667,CALC!$A$2:$A$33,0)),0))</f>
        <v>0</v>
      </c>
      <c r="AR667" s="2">
        <f t="array" ref="AR667">IF($K667="",0,IFERROR(INDEX(CALC!$Z$2:$Z$33,MATCH($K667,CALC!$A$2:$A$33,0)),0))</f>
        <v>0</v>
      </c>
      <c r="AS667" s="2">
        <f t="array" ref="AS667">IF($K667="",0,IFERROR(INDEX(CALC!$AJ$2:$AJ$33,MATCH($K667,CALC!$A$2:$A$33,0)),0))</f>
        <v>0</v>
      </c>
      <c r="AT667" s="2">
        <f t="array" ref="AT667">IF($K667="",0,IFERROR(INDEX(CALC!$AI$2:$AI$33,MATCH($K667,CALC!$A$2:$A$33,0)),0))</f>
        <v>0</v>
      </c>
      <c r="AU667" s="2">
        <f t="shared" si="11"/>
        <v>0</v>
      </c>
      <c r="AV667" s="2">
        <f t="shared" si="12"/>
        <v>0</v>
      </c>
    </row>
    <row r="668" ht="15.0" customHeight="1">
      <c r="A668" s="2">
        <v>333.0</v>
      </c>
      <c r="B668" s="2" t="s">
        <v>2366</v>
      </c>
      <c r="C668" s="2" t="str">
        <f>IFERROR(MATCH($A668,SchedSeq,0),"")</f>
        <v/>
      </c>
      <c r="D668" s="2" t="str">
        <f t="array" ref="D668">IF($C668="","",INDEX(SchedZone,$C668,MAP!$B$6))</f>
        <v/>
      </c>
      <c r="E668" s="2" t="str">
        <f t="array" ref="E668">IF($C668="","",INDEX(SchedZone,$C668,MAP!$B$3))</f>
        <v/>
      </c>
      <c r="F668" s="2" t="str">
        <f t="array" ref="F668">IF($C668="","",INDEX(SchedZone,$C668,MAP!$B$5))</f>
        <v/>
      </c>
      <c r="G668" s="2" t="str">
        <f t="array" ref="G668">IF($C668="","",INDEX(SchedZone,$C668,MAP!$B$4))</f>
        <v/>
      </c>
      <c r="H668" s="2" t="str">
        <f t="array" ref="H668">IF($C668="","",INDEX(SchedZone,$C668,MAP!$B$10))</f>
        <v/>
      </c>
      <c r="I668" s="2" t="str">
        <f t="array" ref="I668">IF($H668="","",IF(COUNTIF(Teams,$H668)&gt;0,$H668,IFERROR(INDEX(LISTS!$D$2:$D$12,MATCH($H668,LISTS!$C$2:$C$12,0)),"⚠ "&amp;$H668)))</f>
        <v/>
      </c>
      <c r="J668" s="2" t="str">
        <f t="array" ref="J668">IF($C668="","",INDEX(SchedZone,$C668,MAP!$B$12))</f>
        <v/>
      </c>
      <c r="K668" s="2" t="str">
        <f t="array" ref="K668">IF($J668="","",IF(COUNTIF(Teams,$J668)&gt;0,$J668,IFERROR(INDEX(LISTS!$D$2:$D$12,MATCH($J668,LISTS!$C$2:$C$12,0)),"⚠ "&amp;$J668)))</f>
        <v/>
      </c>
      <c r="L668" s="2" t="str">
        <f t="array" ref="L668">IF($C668="","",IF(INDEX(SchedZone,$C668,MAP!$B$14)="Neutral","N",IF($B668="HOME","H","A")))</f>
        <v/>
      </c>
      <c r="M668" s="2" t="str">
        <f t="array" ref="M668">IF($C668="","",IF(INDEX(SchedZone,$C668,MAP!$B$11)="","",INDEX(SchedZone,$C668,MAP!$B$11)))</f>
        <v/>
      </c>
      <c r="N668" s="2" t="str">
        <f t="array" ref="N668">IF($C668="","",IF(INDEX(SchedZone,$C668,MAP!$B$13)="","",INDEX(SchedZone,$C668,MAP!$B$13)))</f>
        <v/>
      </c>
      <c r="O668" s="2" t="str">
        <f t="array" ref="O668">IF($C668="","",INDEX(SchedZone,$C668,MAP!$B$15))</f>
        <v/>
      </c>
      <c r="P668" s="2" t="str">
        <f>IF($C668="","",IFERROR(MATCH($E668&amp;"|"&amp;$G668&amp;"|"&amp;$I668,StatsKey,0),""))</f>
        <v/>
      </c>
      <c r="Q668" s="2">
        <f t="array" ref="Q668">IF($P668="",0,INDEX(StatsZone,$P668,MAP!$E$9)+INDEX(StatsZone,$P668,MAP!$E$10)+INDEX(StatsZone,$P668,MAP!$E$11))</f>
        <v>0</v>
      </c>
      <c r="R668" s="2">
        <f t="array" ref="R668">IF($P668="",0,INDEX(StatsZone,$P668,MAP!$E$12))</f>
        <v>0</v>
      </c>
      <c r="S668" s="2">
        <f t="array" ref="S668">IF($P668="",0,INDEX(StatsZone,$P668,MAP!$E$13))</f>
        <v>0</v>
      </c>
      <c r="T668" s="2">
        <f t="shared" si="1"/>
        <v>0</v>
      </c>
      <c r="U668" s="2">
        <f t="array" ref="U668">IF($P668="",0,INDEX(StatsZone,$P668,MAP!$E$14)+INDEX(StatsZone,$P668,MAP!$E$15)+INDEX(StatsZone,$P668,MAP!$E$16))</f>
        <v>0</v>
      </c>
      <c r="V668" s="2">
        <f t="shared" si="2"/>
        <v>0</v>
      </c>
      <c r="W668" s="2">
        <f t="shared" si="3"/>
        <v>0</v>
      </c>
      <c r="X668" s="2">
        <f t="shared" si="4"/>
        <v>0</v>
      </c>
      <c r="Y668" s="2">
        <f t="shared" si="5"/>
        <v>0</v>
      </c>
      <c r="Z668" s="2">
        <f t="shared" si="6"/>
        <v>0</v>
      </c>
      <c r="AA668" s="2">
        <f t="shared" si="7"/>
        <v>0</v>
      </c>
      <c r="AB668" s="2">
        <f>IF(OR($M668="",$N668=""),0,MEDIAN(-MarginCap,MarginCap,($M668-$N668)-$AA668*HFA_Base))</f>
        <v>0</v>
      </c>
      <c r="AC668" s="2">
        <f t="array" ref="AC668">IF(OR($P668="",INDEX($P$3:$P$722,(ROW()+IF(MOD(ROW()-3,2)=0,1,-1))-3+1)=""),0,MEDIAN(-MarginCap,MarginCap,($T668-$W668)-$AA668*HFA_Base))</f>
        <v>0</v>
      </c>
      <c r="AD668" s="2">
        <f t="shared" si="8"/>
        <v>0</v>
      </c>
      <c r="AE668" s="2">
        <f>IF(OR($M668="",$N668=""),0,IF(AND(WEpa&gt;0,$AD668=1),(1-WEpa)*$AB668+WEpa*$AC668,$AB668))</f>
        <v>0</v>
      </c>
      <c r="AF668" s="2">
        <f>IF(AND($C668&lt;&gt;"",$E668=CurrentSeason,$F668="REG",ISNUMBER($G668),$G668&lt;CurrentWeek,AND($M668&lt;&gt;"",$N668&lt;&gt;"")),1,0)</f>
        <v>0</v>
      </c>
      <c r="AG668" s="2">
        <f>IF($AF668=0,0,IF($G668&gt;=CurrentWeek-RecencyWin,RecencyMult,1))</f>
        <v>0</v>
      </c>
      <c r="AH668" s="2">
        <f>IF(AND($C668&lt;&gt;"",$E668=CurrentSeason,$F668="REG",ISNUMBER($G668),$G668&lt;CurrentWeek-1,AND($M668&lt;&gt;"",$N668&lt;&gt;"")),1,0)</f>
        <v>0</v>
      </c>
      <c r="AI668" s="2">
        <f>IF($AH668=0,0,IF($G668&gt;=CurrentWeek-1-RecencyWin,RecencyMult,1))</f>
        <v>0</v>
      </c>
      <c r="AJ668" s="2">
        <f>IF($AF668=0,0,IF($G668&gt;=CurrentWeek-RecencyWin,TotRecency,1))</f>
        <v>0</v>
      </c>
      <c r="AK668" s="2">
        <f t="shared" si="9"/>
        <v>0</v>
      </c>
      <c r="AL668" s="2">
        <f t="shared" si="10"/>
        <v>0</v>
      </c>
      <c r="AM668" s="2">
        <f t="array" ref="AM668">IF($K668="",0,IFERROR(INDEX(CALC!$F$2:$F$33,MATCH($K668,CALC!$A$2:$A$33,0)),0))</f>
        <v>0</v>
      </c>
      <c r="AN668" s="2">
        <f t="array" ref="AN668">IF($K668="",0,IFERROR(INDEX(CALC!$I$2:$I$33,MATCH($K668,CALC!$A$2:$A$33,0)),0))</f>
        <v>0</v>
      </c>
      <c r="AO668" s="2">
        <f t="array" ref="AO668">IF($K668="",0,IFERROR(INDEX(CALC!$L$2:$L$33,MATCH($K668,CALC!$A$2:$A$33,0)),0))</f>
        <v>0</v>
      </c>
      <c r="AP668" s="2">
        <f t="array" ref="AP668">IF($K668="",0,IFERROR(INDEX(CALC!$T$2:$T$33,MATCH($K668,CALC!$A$2:$A$33,0)),0))</f>
        <v>0</v>
      </c>
      <c r="AQ668" s="2">
        <f t="array" ref="AQ668">IF($K668="",0,IFERROR(INDEX(CALC!$W$2:$W$33,MATCH($K668,CALC!$A$2:$A$33,0)),0))</f>
        <v>0</v>
      </c>
      <c r="AR668" s="2">
        <f t="array" ref="AR668">IF($K668="",0,IFERROR(INDEX(CALC!$Z$2:$Z$33,MATCH($K668,CALC!$A$2:$A$33,0)),0))</f>
        <v>0</v>
      </c>
      <c r="AS668" s="2">
        <f t="array" ref="AS668">IF($K668="",0,IFERROR(INDEX(CALC!$AJ$2:$AJ$33,MATCH($K668,CALC!$A$2:$A$33,0)),0))</f>
        <v>0</v>
      </c>
      <c r="AT668" s="2">
        <f t="array" ref="AT668">IF($K668="",0,IFERROR(INDEX(CALC!$AI$2:$AI$33,MATCH($K668,CALC!$A$2:$A$33,0)),0))</f>
        <v>0</v>
      </c>
      <c r="AU668" s="2">
        <f t="shared" si="11"/>
        <v>0</v>
      </c>
      <c r="AV668" s="2">
        <f t="shared" si="12"/>
        <v>0</v>
      </c>
    </row>
    <row r="669" ht="15.0" customHeight="1">
      <c r="A669" s="2">
        <v>334.0</v>
      </c>
      <c r="B669" s="2" t="s">
        <v>2365</v>
      </c>
      <c r="C669" s="2" t="str">
        <f>IFERROR(MATCH($A669,SchedSeq,0),"")</f>
        <v/>
      </c>
      <c r="D669" s="2" t="str">
        <f t="array" ref="D669">IF($C669="","",INDEX(SchedZone,$C669,MAP!$B$6))</f>
        <v/>
      </c>
      <c r="E669" s="2" t="str">
        <f t="array" ref="E669">IF($C669="","",INDEX(SchedZone,$C669,MAP!$B$3))</f>
        <v/>
      </c>
      <c r="F669" s="2" t="str">
        <f t="array" ref="F669">IF($C669="","",INDEX(SchedZone,$C669,MAP!$B$5))</f>
        <v/>
      </c>
      <c r="G669" s="2" t="str">
        <f t="array" ref="G669">IF($C669="","",INDEX(SchedZone,$C669,MAP!$B$4))</f>
        <v/>
      </c>
      <c r="H669" s="2" t="str">
        <f t="array" ref="H669">IF($C669="","",INDEX(SchedZone,$C669,MAP!$B$12))</f>
        <v/>
      </c>
      <c r="I669" s="2" t="str">
        <f t="array" ref="I669">IF($H669="","",IF(COUNTIF(Teams,$H669)&gt;0,$H669,IFERROR(INDEX(LISTS!$D$2:$D$12,MATCH($H669,LISTS!$C$2:$C$12,0)),"⚠ "&amp;$H669)))</f>
        <v/>
      </c>
      <c r="J669" s="2" t="str">
        <f t="array" ref="J669">IF($C669="","",INDEX(SchedZone,$C669,MAP!$B$10))</f>
        <v/>
      </c>
      <c r="K669" s="2" t="str">
        <f t="array" ref="K669">IF($J669="","",IF(COUNTIF(Teams,$J669)&gt;0,$J669,IFERROR(INDEX(LISTS!$D$2:$D$12,MATCH($J669,LISTS!$C$2:$C$12,0)),"⚠ "&amp;$J669)))</f>
        <v/>
      </c>
      <c r="L669" s="2" t="str">
        <f t="array" ref="L669">IF($C669="","",IF(INDEX(SchedZone,$C669,MAP!$B$14)="Neutral","N",IF($B669="HOME","H","A")))</f>
        <v/>
      </c>
      <c r="M669" s="2" t="str">
        <f t="array" ref="M669">IF($C669="","",IF(INDEX(SchedZone,$C669,MAP!$B$13)="","",INDEX(SchedZone,$C669,MAP!$B$13)))</f>
        <v/>
      </c>
      <c r="N669" s="2" t="str">
        <f t="array" ref="N669">IF($C669="","",IF(INDEX(SchedZone,$C669,MAP!$B$11)="","",INDEX(SchedZone,$C669,MAP!$B$11)))</f>
        <v/>
      </c>
      <c r="O669" s="2" t="str">
        <f t="array" ref="O669">IF($C669="","",INDEX(SchedZone,$C669,MAP!$B$16))</f>
        <v/>
      </c>
      <c r="P669" s="2" t="str">
        <f>IF($C669="","",IFERROR(MATCH($E669&amp;"|"&amp;$G669&amp;"|"&amp;$I669,StatsKey,0),""))</f>
        <v/>
      </c>
      <c r="Q669" s="2">
        <f t="array" ref="Q669">IF($P669="",0,INDEX(StatsZone,$P669,MAP!$E$9)+INDEX(StatsZone,$P669,MAP!$E$10)+INDEX(StatsZone,$P669,MAP!$E$11))</f>
        <v>0</v>
      </c>
      <c r="R669" s="2">
        <f t="array" ref="R669">IF($P669="",0,INDEX(StatsZone,$P669,MAP!$E$12))</f>
        <v>0</v>
      </c>
      <c r="S669" s="2">
        <f t="array" ref="S669">IF($P669="",0,INDEX(StatsZone,$P669,MAP!$E$13))</f>
        <v>0</v>
      </c>
      <c r="T669" s="2">
        <f t="shared" si="1"/>
        <v>0</v>
      </c>
      <c r="U669" s="2">
        <f t="array" ref="U669">IF($P669="",0,INDEX(StatsZone,$P669,MAP!$E$14)+INDEX(StatsZone,$P669,MAP!$E$15)+INDEX(StatsZone,$P669,MAP!$E$16))</f>
        <v>0</v>
      </c>
      <c r="V669" s="2">
        <f t="shared" si="2"/>
        <v>0</v>
      </c>
      <c r="W669" s="2">
        <f t="shared" si="3"/>
        <v>0</v>
      </c>
      <c r="X669" s="2">
        <f t="shared" si="4"/>
        <v>0</v>
      </c>
      <c r="Y669" s="2">
        <f t="shared" si="5"/>
        <v>0</v>
      </c>
      <c r="Z669" s="2">
        <f t="shared" si="6"/>
        <v>0</v>
      </c>
      <c r="AA669" s="2">
        <f t="shared" si="7"/>
        <v>0</v>
      </c>
      <c r="AB669" s="2">
        <f>IF(OR($M669="",$N669=""),0,MEDIAN(-MarginCap,MarginCap,($M669-$N669)-$AA669*HFA_Base))</f>
        <v>0</v>
      </c>
      <c r="AC669" s="2">
        <f t="array" ref="AC669">IF(OR($P669="",INDEX($P$3:$P$722,(ROW()+IF(MOD(ROW()-3,2)=0,1,-1))-3+1)=""),0,MEDIAN(-MarginCap,MarginCap,($T669-$W669)-$AA669*HFA_Base))</f>
        <v>0</v>
      </c>
      <c r="AD669" s="2">
        <f t="shared" si="8"/>
        <v>0</v>
      </c>
      <c r="AE669" s="2">
        <f>IF(OR($M669="",$N669=""),0,IF(AND(WEpa&gt;0,$AD669=1),(1-WEpa)*$AB669+WEpa*$AC669,$AB669))</f>
        <v>0</v>
      </c>
      <c r="AF669" s="2">
        <f>IF(AND($C669&lt;&gt;"",$E669=CurrentSeason,$F669="REG",ISNUMBER($G669),$G669&lt;CurrentWeek,AND($M669&lt;&gt;"",$N669&lt;&gt;"")),1,0)</f>
        <v>0</v>
      </c>
      <c r="AG669" s="2">
        <f>IF($AF669=0,0,IF($G669&gt;=CurrentWeek-RecencyWin,RecencyMult,1))</f>
        <v>0</v>
      </c>
      <c r="AH669" s="2">
        <f>IF(AND($C669&lt;&gt;"",$E669=CurrentSeason,$F669="REG",ISNUMBER($G669),$G669&lt;CurrentWeek-1,AND($M669&lt;&gt;"",$N669&lt;&gt;"")),1,0)</f>
        <v>0</v>
      </c>
      <c r="AI669" s="2">
        <f>IF($AH669=0,0,IF($G669&gt;=CurrentWeek-1-RecencyWin,RecencyMult,1))</f>
        <v>0</v>
      </c>
      <c r="AJ669" s="2">
        <f>IF($AF669=0,0,IF($G669&gt;=CurrentWeek-RecencyWin,TotRecency,1))</f>
        <v>0</v>
      </c>
      <c r="AK669" s="2">
        <f t="shared" si="9"/>
        <v>0</v>
      </c>
      <c r="AL669" s="2">
        <f t="shared" si="10"/>
        <v>0</v>
      </c>
      <c r="AM669" s="2">
        <f t="array" ref="AM669">IF($K669="",0,IFERROR(INDEX(CALC!$F$2:$F$33,MATCH($K669,CALC!$A$2:$A$33,0)),0))</f>
        <v>0</v>
      </c>
      <c r="AN669" s="2">
        <f t="array" ref="AN669">IF($K669="",0,IFERROR(INDEX(CALC!$I$2:$I$33,MATCH($K669,CALC!$A$2:$A$33,0)),0))</f>
        <v>0</v>
      </c>
      <c r="AO669" s="2">
        <f t="array" ref="AO669">IF($K669="",0,IFERROR(INDEX(CALC!$L$2:$L$33,MATCH($K669,CALC!$A$2:$A$33,0)),0))</f>
        <v>0</v>
      </c>
      <c r="AP669" s="2">
        <f t="array" ref="AP669">IF($K669="",0,IFERROR(INDEX(CALC!$T$2:$T$33,MATCH($K669,CALC!$A$2:$A$33,0)),0))</f>
        <v>0</v>
      </c>
      <c r="AQ669" s="2">
        <f t="array" ref="AQ669">IF($K669="",0,IFERROR(INDEX(CALC!$W$2:$W$33,MATCH($K669,CALC!$A$2:$A$33,0)),0))</f>
        <v>0</v>
      </c>
      <c r="AR669" s="2">
        <f t="array" ref="AR669">IF($K669="",0,IFERROR(INDEX(CALC!$Z$2:$Z$33,MATCH($K669,CALC!$A$2:$A$33,0)),0))</f>
        <v>0</v>
      </c>
      <c r="AS669" s="2">
        <f t="array" ref="AS669">IF($K669="",0,IFERROR(INDEX(CALC!$AJ$2:$AJ$33,MATCH($K669,CALC!$A$2:$A$33,0)),0))</f>
        <v>0</v>
      </c>
      <c r="AT669" s="2">
        <f t="array" ref="AT669">IF($K669="",0,IFERROR(INDEX(CALC!$AI$2:$AI$33,MATCH($K669,CALC!$A$2:$A$33,0)),0))</f>
        <v>0</v>
      </c>
      <c r="AU669" s="2">
        <f t="shared" si="11"/>
        <v>0</v>
      </c>
      <c r="AV669" s="2">
        <f t="shared" si="12"/>
        <v>0</v>
      </c>
    </row>
    <row r="670" ht="15.0" customHeight="1">
      <c r="A670" s="2">
        <v>334.0</v>
      </c>
      <c r="B670" s="2" t="s">
        <v>2366</v>
      </c>
      <c r="C670" s="2" t="str">
        <f>IFERROR(MATCH($A670,SchedSeq,0),"")</f>
        <v/>
      </c>
      <c r="D670" s="2" t="str">
        <f t="array" ref="D670">IF($C670="","",INDEX(SchedZone,$C670,MAP!$B$6))</f>
        <v/>
      </c>
      <c r="E670" s="2" t="str">
        <f t="array" ref="E670">IF($C670="","",INDEX(SchedZone,$C670,MAP!$B$3))</f>
        <v/>
      </c>
      <c r="F670" s="2" t="str">
        <f t="array" ref="F670">IF($C670="","",INDEX(SchedZone,$C670,MAP!$B$5))</f>
        <v/>
      </c>
      <c r="G670" s="2" t="str">
        <f t="array" ref="G670">IF($C670="","",INDEX(SchedZone,$C670,MAP!$B$4))</f>
        <v/>
      </c>
      <c r="H670" s="2" t="str">
        <f t="array" ref="H670">IF($C670="","",INDEX(SchedZone,$C670,MAP!$B$10))</f>
        <v/>
      </c>
      <c r="I670" s="2" t="str">
        <f t="array" ref="I670">IF($H670="","",IF(COUNTIF(Teams,$H670)&gt;0,$H670,IFERROR(INDEX(LISTS!$D$2:$D$12,MATCH($H670,LISTS!$C$2:$C$12,0)),"⚠ "&amp;$H670)))</f>
        <v/>
      </c>
      <c r="J670" s="2" t="str">
        <f t="array" ref="J670">IF($C670="","",INDEX(SchedZone,$C670,MAP!$B$12))</f>
        <v/>
      </c>
      <c r="K670" s="2" t="str">
        <f t="array" ref="K670">IF($J670="","",IF(COUNTIF(Teams,$J670)&gt;0,$J670,IFERROR(INDEX(LISTS!$D$2:$D$12,MATCH($J670,LISTS!$C$2:$C$12,0)),"⚠ "&amp;$J670)))</f>
        <v/>
      </c>
      <c r="L670" s="2" t="str">
        <f t="array" ref="L670">IF($C670="","",IF(INDEX(SchedZone,$C670,MAP!$B$14)="Neutral","N",IF($B670="HOME","H","A")))</f>
        <v/>
      </c>
      <c r="M670" s="2" t="str">
        <f t="array" ref="M670">IF($C670="","",IF(INDEX(SchedZone,$C670,MAP!$B$11)="","",INDEX(SchedZone,$C670,MAP!$B$11)))</f>
        <v/>
      </c>
      <c r="N670" s="2" t="str">
        <f t="array" ref="N670">IF($C670="","",IF(INDEX(SchedZone,$C670,MAP!$B$13)="","",INDEX(SchedZone,$C670,MAP!$B$13)))</f>
        <v/>
      </c>
      <c r="O670" s="2" t="str">
        <f t="array" ref="O670">IF($C670="","",INDEX(SchedZone,$C670,MAP!$B$15))</f>
        <v/>
      </c>
      <c r="P670" s="2" t="str">
        <f>IF($C670="","",IFERROR(MATCH($E670&amp;"|"&amp;$G670&amp;"|"&amp;$I670,StatsKey,0),""))</f>
        <v/>
      </c>
      <c r="Q670" s="2">
        <f t="array" ref="Q670">IF($P670="",0,INDEX(StatsZone,$P670,MAP!$E$9)+INDEX(StatsZone,$P670,MAP!$E$10)+INDEX(StatsZone,$P670,MAP!$E$11))</f>
        <v>0</v>
      </c>
      <c r="R670" s="2">
        <f t="array" ref="R670">IF($P670="",0,INDEX(StatsZone,$P670,MAP!$E$12))</f>
        <v>0</v>
      </c>
      <c r="S670" s="2">
        <f t="array" ref="S670">IF($P670="",0,INDEX(StatsZone,$P670,MAP!$E$13))</f>
        <v>0</v>
      </c>
      <c r="T670" s="2">
        <f t="shared" si="1"/>
        <v>0</v>
      </c>
      <c r="U670" s="2">
        <f t="array" ref="U670">IF($P670="",0,INDEX(StatsZone,$P670,MAP!$E$14)+INDEX(StatsZone,$P670,MAP!$E$15)+INDEX(StatsZone,$P670,MAP!$E$16))</f>
        <v>0</v>
      </c>
      <c r="V670" s="2">
        <f t="shared" si="2"/>
        <v>0</v>
      </c>
      <c r="W670" s="2">
        <f t="shared" si="3"/>
        <v>0</v>
      </c>
      <c r="X670" s="2">
        <f t="shared" si="4"/>
        <v>0</v>
      </c>
      <c r="Y670" s="2">
        <f t="shared" si="5"/>
        <v>0</v>
      </c>
      <c r="Z670" s="2">
        <f t="shared" si="6"/>
        <v>0</v>
      </c>
      <c r="AA670" s="2">
        <f t="shared" si="7"/>
        <v>0</v>
      </c>
      <c r="AB670" s="2">
        <f>IF(OR($M670="",$N670=""),0,MEDIAN(-MarginCap,MarginCap,($M670-$N670)-$AA670*HFA_Base))</f>
        <v>0</v>
      </c>
      <c r="AC670" s="2">
        <f t="array" ref="AC670">IF(OR($P670="",INDEX($P$3:$P$722,(ROW()+IF(MOD(ROW()-3,2)=0,1,-1))-3+1)=""),0,MEDIAN(-MarginCap,MarginCap,($T670-$W670)-$AA670*HFA_Base))</f>
        <v>0</v>
      </c>
      <c r="AD670" s="2">
        <f t="shared" si="8"/>
        <v>0</v>
      </c>
      <c r="AE670" s="2">
        <f>IF(OR($M670="",$N670=""),0,IF(AND(WEpa&gt;0,$AD670=1),(1-WEpa)*$AB670+WEpa*$AC670,$AB670))</f>
        <v>0</v>
      </c>
      <c r="AF670" s="2">
        <f>IF(AND($C670&lt;&gt;"",$E670=CurrentSeason,$F670="REG",ISNUMBER($G670),$G670&lt;CurrentWeek,AND($M670&lt;&gt;"",$N670&lt;&gt;"")),1,0)</f>
        <v>0</v>
      </c>
      <c r="AG670" s="2">
        <f>IF($AF670=0,0,IF($G670&gt;=CurrentWeek-RecencyWin,RecencyMult,1))</f>
        <v>0</v>
      </c>
      <c r="AH670" s="2">
        <f>IF(AND($C670&lt;&gt;"",$E670=CurrentSeason,$F670="REG",ISNUMBER($G670),$G670&lt;CurrentWeek-1,AND($M670&lt;&gt;"",$N670&lt;&gt;"")),1,0)</f>
        <v>0</v>
      </c>
      <c r="AI670" s="2">
        <f>IF($AH670=0,0,IF($G670&gt;=CurrentWeek-1-RecencyWin,RecencyMult,1))</f>
        <v>0</v>
      </c>
      <c r="AJ670" s="2">
        <f>IF($AF670=0,0,IF($G670&gt;=CurrentWeek-RecencyWin,TotRecency,1))</f>
        <v>0</v>
      </c>
      <c r="AK670" s="2">
        <f t="shared" si="9"/>
        <v>0</v>
      </c>
      <c r="AL670" s="2">
        <f t="shared" si="10"/>
        <v>0</v>
      </c>
      <c r="AM670" s="2">
        <f t="array" ref="AM670">IF($K670="",0,IFERROR(INDEX(CALC!$F$2:$F$33,MATCH($K670,CALC!$A$2:$A$33,0)),0))</f>
        <v>0</v>
      </c>
      <c r="AN670" s="2">
        <f t="array" ref="AN670">IF($K670="",0,IFERROR(INDEX(CALC!$I$2:$I$33,MATCH($K670,CALC!$A$2:$A$33,0)),0))</f>
        <v>0</v>
      </c>
      <c r="AO670" s="2">
        <f t="array" ref="AO670">IF($K670="",0,IFERROR(INDEX(CALC!$L$2:$L$33,MATCH($K670,CALC!$A$2:$A$33,0)),0))</f>
        <v>0</v>
      </c>
      <c r="AP670" s="2">
        <f t="array" ref="AP670">IF($K670="",0,IFERROR(INDEX(CALC!$T$2:$T$33,MATCH($K670,CALC!$A$2:$A$33,0)),0))</f>
        <v>0</v>
      </c>
      <c r="AQ670" s="2">
        <f t="array" ref="AQ670">IF($K670="",0,IFERROR(INDEX(CALC!$W$2:$W$33,MATCH($K670,CALC!$A$2:$A$33,0)),0))</f>
        <v>0</v>
      </c>
      <c r="AR670" s="2">
        <f t="array" ref="AR670">IF($K670="",0,IFERROR(INDEX(CALC!$Z$2:$Z$33,MATCH($K670,CALC!$A$2:$A$33,0)),0))</f>
        <v>0</v>
      </c>
      <c r="AS670" s="2">
        <f t="array" ref="AS670">IF($K670="",0,IFERROR(INDEX(CALC!$AJ$2:$AJ$33,MATCH($K670,CALC!$A$2:$A$33,0)),0))</f>
        <v>0</v>
      </c>
      <c r="AT670" s="2">
        <f t="array" ref="AT670">IF($K670="",0,IFERROR(INDEX(CALC!$AI$2:$AI$33,MATCH($K670,CALC!$A$2:$A$33,0)),0))</f>
        <v>0</v>
      </c>
      <c r="AU670" s="2">
        <f t="shared" si="11"/>
        <v>0</v>
      </c>
      <c r="AV670" s="2">
        <f t="shared" si="12"/>
        <v>0</v>
      </c>
    </row>
    <row r="671" ht="15.0" customHeight="1">
      <c r="A671" s="2">
        <v>335.0</v>
      </c>
      <c r="B671" s="2" t="s">
        <v>2365</v>
      </c>
      <c r="C671" s="2" t="str">
        <f>IFERROR(MATCH($A671,SchedSeq,0),"")</f>
        <v/>
      </c>
      <c r="D671" s="2" t="str">
        <f t="array" ref="D671">IF($C671="","",INDEX(SchedZone,$C671,MAP!$B$6))</f>
        <v/>
      </c>
      <c r="E671" s="2" t="str">
        <f t="array" ref="E671">IF($C671="","",INDEX(SchedZone,$C671,MAP!$B$3))</f>
        <v/>
      </c>
      <c r="F671" s="2" t="str">
        <f t="array" ref="F671">IF($C671="","",INDEX(SchedZone,$C671,MAP!$B$5))</f>
        <v/>
      </c>
      <c r="G671" s="2" t="str">
        <f t="array" ref="G671">IF($C671="","",INDEX(SchedZone,$C671,MAP!$B$4))</f>
        <v/>
      </c>
      <c r="H671" s="2" t="str">
        <f t="array" ref="H671">IF($C671="","",INDEX(SchedZone,$C671,MAP!$B$12))</f>
        <v/>
      </c>
      <c r="I671" s="2" t="str">
        <f t="array" ref="I671">IF($H671="","",IF(COUNTIF(Teams,$H671)&gt;0,$H671,IFERROR(INDEX(LISTS!$D$2:$D$12,MATCH($H671,LISTS!$C$2:$C$12,0)),"⚠ "&amp;$H671)))</f>
        <v/>
      </c>
      <c r="J671" s="2" t="str">
        <f t="array" ref="J671">IF($C671="","",INDEX(SchedZone,$C671,MAP!$B$10))</f>
        <v/>
      </c>
      <c r="K671" s="2" t="str">
        <f t="array" ref="K671">IF($J671="","",IF(COUNTIF(Teams,$J671)&gt;0,$J671,IFERROR(INDEX(LISTS!$D$2:$D$12,MATCH($J671,LISTS!$C$2:$C$12,0)),"⚠ "&amp;$J671)))</f>
        <v/>
      </c>
      <c r="L671" s="2" t="str">
        <f t="array" ref="L671">IF($C671="","",IF(INDEX(SchedZone,$C671,MAP!$B$14)="Neutral","N",IF($B671="HOME","H","A")))</f>
        <v/>
      </c>
      <c r="M671" s="2" t="str">
        <f t="array" ref="M671">IF($C671="","",IF(INDEX(SchedZone,$C671,MAP!$B$13)="","",INDEX(SchedZone,$C671,MAP!$B$13)))</f>
        <v/>
      </c>
      <c r="N671" s="2" t="str">
        <f t="array" ref="N671">IF($C671="","",IF(INDEX(SchedZone,$C671,MAP!$B$11)="","",INDEX(SchedZone,$C671,MAP!$B$11)))</f>
        <v/>
      </c>
      <c r="O671" s="2" t="str">
        <f t="array" ref="O671">IF($C671="","",INDEX(SchedZone,$C671,MAP!$B$16))</f>
        <v/>
      </c>
      <c r="P671" s="2" t="str">
        <f>IF($C671="","",IFERROR(MATCH($E671&amp;"|"&amp;$G671&amp;"|"&amp;$I671,StatsKey,0),""))</f>
        <v/>
      </c>
      <c r="Q671" s="2">
        <f t="array" ref="Q671">IF($P671="",0,INDEX(StatsZone,$P671,MAP!$E$9)+INDEX(StatsZone,$P671,MAP!$E$10)+INDEX(StatsZone,$P671,MAP!$E$11))</f>
        <v>0</v>
      </c>
      <c r="R671" s="2">
        <f t="array" ref="R671">IF($P671="",0,INDEX(StatsZone,$P671,MAP!$E$12))</f>
        <v>0</v>
      </c>
      <c r="S671" s="2">
        <f t="array" ref="S671">IF($P671="",0,INDEX(StatsZone,$P671,MAP!$E$13))</f>
        <v>0</v>
      </c>
      <c r="T671" s="2">
        <f t="shared" si="1"/>
        <v>0</v>
      </c>
      <c r="U671" s="2">
        <f t="array" ref="U671">IF($P671="",0,INDEX(StatsZone,$P671,MAP!$E$14)+INDEX(StatsZone,$P671,MAP!$E$15)+INDEX(StatsZone,$P671,MAP!$E$16))</f>
        <v>0</v>
      </c>
      <c r="V671" s="2">
        <f t="shared" si="2"/>
        <v>0</v>
      </c>
      <c r="W671" s="2">
        <f t="shared" si="3"/>
        <v>0</v>
      </c>
      <c r="X671" s="2">
        <f t="shared" si="4"/>
        <v>0</v>
      </c>
      <c r="Y671" s="2">
        <f t="shared" si="5"/>
        <v>0</v>
      </c>
      <c r="Z671" s="2">
        <f t="shared" si="6"/>
        <v>0</v>
      </c>
      <c r="AA671" s="2">
        <f t="shared" si="7"/>
        <v>0</v>
      </c>
      <c r="AB671" s="2">
        <f>IF(OR($M671="",$N671=""),0,MEDIAN(-MarginCap,MarginCap,($M671-$N671)-$AA671*HFA_Base))</f>
        <v>0</v>
      </c>
      <c r="AC671" s="2">
        <f t="array" ref="AC671">IF(OR($P671="",INDEX($P$3:$P$722,(ROW()+IF(MOD(ROW()-3,2)=0,1,-1))-3+1)=""),0,MEDIAN(-MarginCap,MarginCap,($T671-$W671)-$AA671*HFA_Base))</f>
        <v>0</v>
      </c>
      <c r="AD671" s="2">
        <f t="shared" si="8"/>
        <v>0</v>
      </c>
      <c r="AE671" s="2">
        <f>IF(OR($M671="",$N671=""),0,IF(AND(WEpa&gt;0,$AD671=1),(1-WEpa)*$AB671+WEpa*$AC671,$AB671))</f>
        <v>0</v>
      </c>
      <c r="AF671" s="2">
        <f>IF(AND($C671&lt;&gt;"",$E671=CurrentSeason,$F671="REG",ISNUMBER($G671),$G671&lt;CurrentWeek,AND($M671&lt;&gt;"",$N671&lt;&gt;"")),1,0)</f>
        <v>0</v>
      </c>
      <c r="AG671" s="2">
        <f>IF($AF671=0,0,IF($G671&gt;=CurrentWeek-RecencyWin,RecencyMult,1))</f>
        <v>0</v>
      </c>
      <c r="AH671" s="2">
        <f>IF(AND($C671&lt;&gt;"",$E671=CurrentSeason,$F671="REG",ISNUMBER($G671),$G671&lt;CurrentWeek-1,AND($M671&lt;&gt;"",$N671&lt;&gt;"")),1,0)</f>
        <v>0</v>
      </c>
      <c r="AI671" s="2">
        <f>IF($AH671=0,0,IF($G671&gt;=CurrentWeek-1-RecencyWin,RecencyMult,1))</f>
        <v>0</v>
      </c>
      <c r="AJ671" s="2">
        <f>IF($AF671=0,0,IF($G671&gt;=CurrentWeek-RecencyWin,TotRecency,1))</f>
        <v>0</v>
      </c>
      <c r="AK671" s="2">
        <f t="shared" si="9"/>
        <v>0</v>
      </c>
      <c r="AL671" s="2">
        <f t="shared" si="10"/>
        <v>0</v>
      </c>
      <c r="AM671" s="2">
        <f t="array" ref="AM671">IF($K671="",0,IFERROR(INDEX(CALC!$F$2:$F$33,MATCH($K671,CALC!$A$2:$A$33,0)),0))</f>
        <v>0</v>
      </c>
      <c r="AN671" s="2">
        <f t="array" ref="AN671">IF($K671="",0,IFERROR(INDEX(CALC!$I$2:$I$33,MATCH($K671,CALC!$A$2:$A$33,0)),0))</f>
        <v>0</v>
      </c>
      <c r="AO671" s="2">
        <f t="array" ref="AO671">IF($K671="",0,IFERROR(INDEX(CALC!$L$2:$L$33,MATCH($K671,CALC!$A$2:$A$33,0)),0))</f>
        <v>0</v>
      </c>
      <c r="AP671" s="2">
        <f t="array" ref="AP671">IF($K671="",0,IFERROR(INDEX(CALC!$T$2:$T$33,MATCH($K671,CALC!$A$2:$A$33,0)),0))</f>
        <v>0</v>
      </c>
      <c r="AQ671" s="2">
        <f t="array" ref="AQ671">IF($K671="",0,IFERROR(INDEX(CALC!$W$2:$W$33,MATCH($K671,CALC!$A$2:$A$33,0)),0))</f>
        <v>0</v>
      </c>
      <c r="AR671" s="2">
        <f t="array" ref="AR671">IF($K671="",0,IFERROR(INDEX(CALC!$Z$2:$Z$33,MATCH($K671,CALC!$A$2:$A$33,0)),0))</f>
        <v>0</v>
      </c>
      <c r="AS671" s="2">
        <f t="array" ref="AS671">IF($K671="",0,IFERROR(INDEX(CALC!$AJ$2:$AJ$33,MATCH($K671,CALC!$A$2:$A$33,0)),0))</f>
        <v>0</v>
      </c>
      <c r="AT671" s="2">
        <f t="array" ref="AT671">IF($K671="",0,IFERROR(INDEX(CALC!$AI$2:$AI$33,MATCH($K671,CALC!$A$2:$A$33,0)),0))</f>
        <v>0</v>
      </c>
      <c r="AU671" s="2">
        <f t="shared" si="11"/>
        <v>0</v>
      </c>
      <c r="AV671" s="2">
        <f t="shared" si="12"/>
        <v>0</v>
      </c>
    </row>
    <row r="672" ht="15.0" customHeight="1">
      <c r="A672" s="2">
        <v>335.0</v>
      </c>
      <c r="B672" s="2" t="s">
        <v>2366</v>
      </c>
      <c r="C672" s="2" t="str">
        <f>IFERROR(MATCH($A672,SchedSeq,0),"")</f>
        <v/>
      </c>
      <c r="D672" s="2" t="str">
        <f t="array" ref="D672">IF($C672="","",INDEX(SchedZone,$C672,MAP!$B$6))</f>
        <v/>
      </c>
      <c r="E672" s="2" t="str">
        <f t="array" ref="E672">IF($C672="","",INDEX(SchedZone,$C672,MAP!$B$3))</f>
        <v/>
      </c>
      <c r="F672" s="2" t="str">
        <f t="array" ref="F672">IF($C672="","",INDEX(SchedZone,$C672,MAP!$B$5))</f>
        <v/>
      </c>
      <c r="G672" s="2" t="str">
        <f t="array" ref="G672">IF($C672="","",INDEX(SchedZone,$C672,MAP!$B$4))</f>
        <v/>
      </c>
      <c r="H672" s="2" t="str">
        <f t="array" ref="H672">IF($C672="","",INDEX(SchedZone,$C672,MAP!$B$10))</f>
        <v/>
      </c>
      <c r="I672" s="2" t="str">
        <f t="array" ref="I672">IF($H672="","",IF(COUNTIF(Teams,$H672)&gt;0,$H672,IFERROR(INDEX(LISTS!$D$2:$D$12,MATCH($H672,LISTS!$C$2:$C$12,0)),"⚠ "&amp;$H672)))</f>
        <v/>
      </c>
      <c r="J672" s="2" t="str">
        <f t="array" ref="J672">IF($C672="","",INDEX(SchedZone,$C672,MAP!$B$12))</f>
        <v/>
      </c>
      <c r="K672" s="2" t="str">
        <f t="array" ref="K672">IF($J672="","",IF(COUNTIF(Teams,$J672)&gt;0,$J672,IFERROR(INDEX(LISTS!$D$2:$D$12,MATCH($J672,LISTS!$C$2:$C$12,0)),"⚠ "&amp;$J672)))</f>
        <v/>
      </c>
      <c r="L672" s="2" t="str">
        <f t="array" ref="L672">IF($C672="","",IF(INDEX(SchedZone,$C672,MAP!$B$14)="Neutral","N",IF($B672="HOME","H","A")))</f>
        <v/>
      </c>
      <c r="M672" s="2" t="str">
        <f t="array" ref="M672">IF($C672="","",IF(INDEX(SchedZone,$C672,MAP!$B$11)="","",INDEX(SchedZone,$C672,MAP!$B$11)))</f>
        <v/>
      </c>
      <c r="N672" s="2" t="str">
        <f t="array" ref="N672">IF($C672="","",IF(INDEX(SchedZone,$C672,MAP!$B$13)="","",INDEX(SchedZone,$C672,MAP!$B$13)))</f>
        <v/>
      </c>
      <c r="O672" s="2" t="str">
        <f t="array" ref="O672">IF($C672="","",INDEX(SchedZone,$C672,MAP!$B$15))</f>
        <v/>
      </c>
      <c r="P672" s="2" t="str">
        <f>IF($C672="","",IFERROR(MATCH($E672&amp;"|"&amp;$G672&amp;"|"&amp;$I672,StatsKey,0),""))</f>
        <v/>
      </c>
      <c r="Q672" s="2">
        <f t="array" ref="Q672">IF($P672="",0,INDEX(StatsZone,$P672,MAP!$E$9)+INDEX(StatsZone,$P672,MAP!$E$10)+INDEX(StatsZone,$P672,MAP!$E$11))</f>
        <v>0</v>
      </c>
      <c r="R672" s="2">
        <f t="array" ref="R672">IF($P672="",0,INDEX(StatsZone,$P672,MAP!$E$12))</f>
        <v>0</v>
      </c>
      <c r="S672" s="2">
        <f t="array" ref="S672">IF($P672="",0,INDEX(StatsZone,$P672,MAP!$E$13))</f>
        <v>0</v>
      </c>
      <c r="T672" s="2">
        <f t="shared" si="1"/>
        <v>0</v>
      </c>
      <c r="U672" s="2">
        <f t="array" ref="U672">IF($P672="",0,INDEX(StatsZone,$P672,MAP!$E$14)+INDEX(StatsZone,$P672,MAP!$E$15)+INDEX(StatsZone,$P672,MAP!$E$16))</f>
        <v>0</v>
      </c>
      <c r="V672" s="2">
        <f t="shared" si="2"/>
        <v>0</v>
      </c>
      <c r="W672" s="2">
        <f t="shared" si="3"/>
        <v>0</v>
      </c>
      <c r="X672" s="2">
        <f t="shared" si="4"/>
        <v>0</v>
      </c>
      <c r="Y672" s="2">
        <f t="shared" si="5"/>
        <v>0</v>
      </c>
      <c r="Z672" s="2">
        <f t="shared" si="6"/>
        <v>0</v>
      </c>
      <c r="AA672" s="2">
        <f t="shared" si="7"/>
        <v>0</v>
      </c>
      <c r="AB672" s="2">
        <f>IF(OR($M672="",$N672=""),0,MEDIAN(-MarginCap,MarginCap,($M672-$N672)-$AA672*HFA_Base))</f>
        <v>0</v>
      </c>
      <c r="AC672" s="2">
        <f t="array" ref="AC672">IF(OR($P672="",INDEX($P$3:$P$722,(ROW()+IF(MOD(ROW()-3,2)=0,1,-1))-3+1)=""),0,MEDIAN(-MarginCap,MarginCap,($T672-$W672)-$AA672*HFA_Base))</f>
        <v>0</v>
      </c>
      <c r="AD672" s="2">
        <f t="shared" si="8"/>
        <v>0</v>
      </c>
      <c r="AE672" s="2">
        <f>IF(OR($M672="",$N672=""),0,IF(AND(WEpa&gt;0,$AD672=1),(1-WEpa)*$AB672+WEpa*$AC672,$AB672))</f>
        <v>0</v>
      </c>
      <c r="AF672" s="2">
        <f>IF(AND($C672&lt;&gt;"",$E672=CurrentSeason,$F672="REG",ISNUMBER($G672),$G672&lt;CurrentWeek,AND($M672&lt;&gt;"",$N672&lt;&gt;"")),1,0)</f>
        <v>0</v>
      </c>
      <c r="AG672" s="2">
        <f>IF($AF672=0,0,IF($G672&gt;=CurrentWeek-RecencyWin,RecencyMult,1))</f>
        <v>0</v>
      </c>
      <c r="AH672" s="2">
        <f>IF(AND($C672&lt;&gt;"",$E672=CurrentSeason,$F672="REG",ISNUMBER($G672),$G672&lt;CurrentWeek-1,AND($M672&lt;&gt;"",$N672&lt;&gt;"")),1,0)</f>
        <v>0</v>
      </c>
      <c r="AI672" s="2">
        <f>IF($AH672=0,0,IF($G672&gt;=CurrentWeek-1-RecencyWin,RecencyMult,1))</f>
        <v>0</v>
      </c>
      <c r="AJ672" s="2">
        <f>IF($AF672=0,0,IF($G672&gt;=CurrentWeek-RecencyWin,TotRecency,1))</f>
        <v>0</v>
      </c>
      <c r="AK672" s="2">
        <f t="shared" si="9"/>
        <v>0</v>
      </c>
      <c r="AL672" s="2">
        <f t="shared" si="10"/>
        <v>0</v>
      </c>
      <c r="AM672" s="2">
        <f t="array" ref="AM672">IF($K672="",0,IFERROR(INDEX(CALC!$F$2:$F$33,MATCH($K672,CALC!$A$2:$A$33,0)),0))</f>
        <v>0</v>
      </c>
      <c r="AN672" s="2">
        <f t="array" ref="AN672">IF($K672="",0,IFERROR(INDEX(CALC!$I$2:$I$33,MATCH($K672,CALC!$A$2:$A$33,0)),0))</f>
        <v>0</v>
      </c>
      <c r="AO672" s="2">
        <f t="array" ref="AO672">IF($K672="",0,IFERROR(INDEX(CALC!$L$2:$L$33,MATCH($K672,CALC!$A$2:$A$33,0)),0))</f>
        <v>0</v>
      </c>
      <c r="AP672" s="2">
        <f t="array" ref="AP672">IF($K672="",0,IFERROR(INDEX(CALC!$T$2:$T$33,MATCH($K672,CALC!$A$2:$A$33,0)),0))</f>
        <v>0</v>
      </c>
      <c r="AQ672" s="2">
        <f t="array" ref="AQ672">IF($K672="",0,IFERROR(INDEX(CALC!$W$2:$W$33,MATCH($K672,CALC!$A$2:$A$33,0)),0))</f>
        <v>0</v>
      </c>
      <c r="AR672" s="2">
        <f t="array" ref="AR672">IF($K672="",0,IFERROR(INDEX(CALC!$Z$2:$Z$33,MATCH($K672,CALC!$A$2:$A$33,0)),0))</f>
        <v>0</v>
      </c>
      <c r="AS672" s="2">
        <f t="array" ref="AS672">IF($K672="",0,IFERROR(INDEX(CALC!$AJ$2:$AJ$33,MATCH($K672,CALC!$A$2:$A$33,0)),0))</f>
        <v>0</v>
      </c>
      <c r="AT672" s="2">
        <f t="array" ref="AT672">IF($K672="",0,IFERROR(INDEX(CALC!$AI$2:$AI$33,MATCH($K672,CALC!$A$2:$A$33,0)),0))</f>
        <v>0</v>
      </c>
      <c r="AU672" s="2">
        <f t="shared" si="11"/>
        <v>0</v>
      </c>
      <c r="AV672" s="2">
        <f t="shared" si="12"/>
        <v>0</v>
      </c>
    </row>
    <row r="673" ht="15.0" customHeight="1">
      <c r="A673" s="2">
        <v>336.0</v>
      </c>
      <c r="B673" s="2" t="s">
        <v>2365</v>
      </c>
      <c r="C673" s="2" t="str">
        <f>IFERROR(MATCH($A673,SchedSeq,0),"")</f>
        <v/>
      </c>
      <c r="D673" s="2" t="str">
        <f t="array" ref="D673">IF($C673="","",INDEX(SchedZone,$C673,MAP!$B$6))</f>
        <v/>
      </c>
      <c r="E673" s="2" t="str">
        <f t="array" ref="E673">IF($C673="","",INDEX(SchedZone,$C673,MAP!$B$3))</f>
        <v/>
      </c>
      <c r="F673" s="2" t="str">
        <f t="array" ref="F673">IF($C673="","",INDEX(SchedZone,$C673,MAP!$B$5))</f>
        <v/>
      </c>
      <c r="G673" s="2" t="str">
        <f t="array" ref="G673">IF($C673="","",INDEX(SchedZone,$C673,MAP!$B$4))</f>
        <v/>
      </c>
      <c r="H673" s="2" t="str">
        <f t="array" ref="H673">IF($C673="","",INDEX(SchedZone,$C673,MAP!$B$12))</f>
        <v/>
      </c>
      <c r="I673" s="2" t="str">
        <f t="array" ref="I673">IF($H673="","",IF(COUNTIF(Teams,$H673)&gt;0,$H673,IFERROR(INDEX(LISTS!$D$2:$D$12,MATCH($H673,LISTS!$C$2:$C$12,0)),"⚠ "&amp;$H673)))</f>
        <v/>
      </c>
      <c r="J673" s="2" t="str">
        <f t="array" ref="J673">IF($C673="","",INDEX(SchedZone,$C673,MAP!$B$10))</f>
        <v/>
      </c>
      <c r="K673" s="2" t="str">
        <f t="array" ref="K673">IF($J673="","",IF(COUNTIF(Teams,$J673)&gt;0,$J673,IFERROR(INDEX(LISTS!$D$2:$D$12,MATCH($J673,LISTS!$C$2:$C$12,0)),"⚠ "&amp;$J673)))</f>
        <v/>
      </c>
      <c r="L673" s="2" t="str">
        <f t="array" ref="L673">IF($C673="","",IF(INDEX(SchedZone,$C673,MAP!$B$14)="Neutral","N",IF($B673="HOME","H","A")))</f>
        <v/>
      </c>
      <c r="M673" s="2" t="str">
        <f t="array" ref="M673">IF($C673="","",IF(INDEX(SchedZone,$C673,MAP!$B$13)="","",INDEX(SchedZone,$C673,MAP!$B$13)))</f>
        <v/>
      </c>
      <c r="N673" s="2" t="str">
        <f t="array" ref="N673">IF($C673="","",IF(INDEX(SchedZone,$C673,MAP!$B$11)="","",INDEX(SchedZone,$C673,MAP!$B$11)))</f>
        <v/>
      </c>
      <c r="O673" s="2" t="str">
        <f t="array" ref="O673">IF($C673="","",INDEX(SchedZone,$C673,MAP!$B$16))</f>
        <v/>
      </c>
      <c r="P673" s="2" t="str">
        <f>IF($C673="","",IFERROR(MATCH($E673&amp;"|"&amp;$G673&amp;"|"&amp;$I673,StatsKey,0),""))</f>
        <v/>
      </c>
      <c r="Q673" s="2">
        <f t="array" ref="Q673">IF($P673="",0,INDEX(StatsZone,$P673,MAP!$E$9)+INDEX(StatsZone,$P673,MAP!$E$10)+INDEX(StatsZone,$P673,MAP!$E$11))</f>
        <v>0</v>
      </c>
      <c r="R673" s="2">
        <f t="array" ref="R673">IF($P673="",0,INDEX(StatsZone,$P673,MAP!$E$12))</f>
        <v>0</v>
      </c>
      <c r="S673" s="2">
        <f t="array" ref="S673">IF($P673="",0,INDEX(StatsZone,$P673,MAP!$E$13))</f>
        <v>0</v>
      </c>
      <c r="T673" s="2">
        <f t="shared" si="1"/>
        <v>0</v>
      </c>
      <c r="U673" s="2">
        <f t="array" ref="U673">IF($P673="",0,INDEX(StatsZone,$P673,MAP!$E$14)+INDEX(StatsZone,$P673,MAP!$E$15)+INDEX(StatsZone,$P673,MAP!$E$16))</f>
        <v>0</v>
      </c>
      <c r="V673" s="2">
        <f t="shared" si="2"/>
        <v>0</v>
      </c>
      <c r="W673" s="2">
        <f t="shared" si="3"/>
        <v>0</v>
      </c>
      <c r="X673" s="2">
        <f t="shared" si="4"/>
        <v>0</v>
      </c>
      <c r="Y673" s="2">
        <f t="shared" si="5"/>
        <v>0</v>
      </c>
      <c r="Z673" s="2">
        <f t="shared" si="6"/>
        <v>0</v>
      </c>
      <c r="AA673" s="2">
        <f t="shared" si="7"/>
        <v>0</v>
      </c>
      <c r="AB673" s="2">
        <f>IF(OR($M673="",$N673=""),0,MEDIAN(-MarginCap,MarginCap,($M673-$N673)-$AA673*HFA_Base))</f>
        <v>0</v>
      </c>
      <c r="AC673" s="2">
        <f t="array" ref="AC673">IF(OR($P673="",INDEX($P$3:$P$722,(ROW()+IF(MOD(ROW()-3,2)=0,1,-1))-3+1)=""),0,MEDIAN(-MarginCap,MarginCap,($T673-$W673)-$AA673*HFA_Base))</f>
        <v>0</v>
      </c>
      <c r="AD673" s="2">
        <f t="shared" si="8"/>
        <v>0</v>
      </c>
      <c r="AE673" s="2">
        <f>IF(OR($M673="",$N673=""),0,IF(AND(WEpa&gt;0,$AD673=1),(1-WEpa)*$AB673+WEpa*$AC673,$AB673))</f>
        <v>0</v>
      </c>
      <c r="AF673" s="2">
        <f>IF(AND($C673&lt;&gt;"",$E673=CurrentSeason,$F673="REG",ISNUMBER($G673),$G673&lt;CurrentWeek,AND($M673&lt;&gt;"",$N673&lt;&gt;"")),1,0)</f>
        <v>0</v>
      </c>
      <c r="AG673" s="2">
        <f>IF($AF673=0,0,IF($G673&gt;=CurrentWeek-RecencyWin,RecencyMult,1))</f>
        <v>0</v>
      </c>
      <c r="AH673" s="2">
        <f>IF(AND($C673&lt;&gt;"",$E673=CurrentSeason,$F673="REG",ISNUMBER($G673),$G673&lt;CurrentWeek-1,AND($M673&lt;&gt;"",$N673&lt;&gt;"")),1,0)</f>
        <v>0</v>
      </c>
      <c r="AI673" s="2">
        <f>IF($AH673=0,0,IF($G673&gt;=CurrentWeek-1-RecencyWin,RecencyMult,1))</f>
        <v>0</v>
      </c>
      <c r="AJ673" s="2">
        <f>IF($AF673=0,0,IF($G673&gt;=CurrentWeek-RecencyWin,TotRecency,1))</f>
        <v>0</v>
      </c>
      <c r="AK673" s="2">
        <f t="shared" si="9"/>
        <v>0</v>
      </c>
      <c r="AL673" s="2">
        <f t="shared" si="10"/>
        <v>0</v>
      </c>
      <c r="AM673" s="2">
        <f t="array" ref="AM673">IF($K673="",0,IFERROR(INDEX(CALC!$F$2:$F$33,MATCH($K673,CALC!$A$2:$A$33,0)),0))</f>
        <v>0</v>
      </c>
      <c r="AN673" s="2">
        <f t="array" ref="AN673">IF($K673="",0,IFERROR(INDEX(CALC!$I$2:$I$33,MATCH($K673,CALC!$A$2:$A$33,0)),0))</f>
        <v>0</v>
      </c>
      <c r="AO673" s="2">
        <f t="array" ref="AO673">IF($K673="",0,IFERROR(INDEX(CALC!$L$2:$L$33,MATCH($K673,CALC!$A$2:$A$33,0)),0))</f>
        <v>0</v>
      </c>
      <c r="AP673" s="2">
        <f t="array" ref="AP673">IF($K673="",0,IFERROR(INDEX(CALC!$T$2:$T$33,MATCH($K673,CALC!$A$2:$A$33,0)),0))</f>
        <v>0</v>
      </c>
      <c r="AQ673" s="2">
        <f t="array" ref="AQ673">IF($K673="",0,IFERROR(INDEX(CALC!$W$2:$W$33,MATCH($K673,CALC!$A$2:$A$33,0)),0))</f>
        <v>0</v>
      </c>
      <c r="AR673" s="2">
        <f t="array" ref="AR673">IF($K673="",0,IFERROR(INDEX(CALC!$Z$2:$Z$33,MATCH($K673,CALC!$A$2:$A$33,0)),0))</f>
        <v>0</v>
      </c>
      <c r="AS673" s="2">
        <f t="array" ref="AS673">IF($K673="",0,IFERROR(INDEX(CALC!$AJ$2:$AJ$33,MATCH($K673,CALC!$A$2:$A$33,0)),0))</f>
        <v>0</v>
      </c>
      <c r="AT673" s="2">
        <f t="array" ref="AT673">IF($K673="",0,IFERROR(INDEX(CALC!$AI$2:$AI$33,MATCH($K673,CALC!$A$2:$A$33,0)),0))</f>
        <v>0</v>
      </c>
      <c r="AU673" s="2">
        <f t="shared" si="11"/>
        <v>0</v>
      </c>
      <c r="AV673" s="2">
        <f t="shared" si="12"/>
        <v>0</v>
      </c>
    </row>
    <row r="674" ht="15.0" customHeight="1">
      <c r="A674" s="2">
        <v>336.0</v>
      </c>
      <c r="B674" s="2" t="s">
        <v>2366</v>
      </c>
      <c r="C674" s="2" t="str">
        <f>IFERROR(MATCH($A674,SchedSeq,0),"")</f>
        <v/>
      </c>
      <c r="D674" s="2" t="str">
        <f t="array" ref="D674">IF($C674="","",INDEX(SchedZone,$C674,MAP!$B$6))</f>
        <v/>
      </c>
      <c r="E674" s="2" t="str">
        <f t="array" ref="E674">IF($C674="","",INDEX(SchedZone,$C674,MAP!$B$3))</f>
        <v/>
      </c>
      <c r="F674" s="2" t="str">
        <f t="array" ref="F674">IF($C674="","",INDEX(SchedZone,$C674,MAP!$B$5))</f>
        <v/>
      </c>
      <c r="G674" s="2" t="str">
        <f t="array" ref="G674">IF($C674="","",INDEX(SchedZone,$C674,MAP!$B$4))</f>
        <v/>
      </c>
      <c r="H674" s="2" t="str">
        <f t="array" ref="H674">IF($C674="","",INDEX(SchedZone,$C674,MAP!$B$10))</f>
        <v/>
      </c>
      <c r="I674" s="2" t="str">
        <f t="array" ref="I674">IF($H674="","",IF(COUNTIF(Teams,$H674)&gt;0,$H674,IFERROR(INDEX(LISTS!$D$2:$D$12,MATCH($H674,LISTS!$C$2:$C$12,0)),"⚠ "&amp;$H674)))</f>
        <v/>
      </c>
      <c r="J674" s="2" t="str">
        <f t="array" ref="J674">IF($C674="","",INDEX(SchedZone,$C674,MAP!$B$12))</f>
        <v/>
      </c>
      <c r="K674" s="2" t="str">
        <f t="array" ref="K674">IF($J674="","",IF(COUNTIF(Teams,$J674)&gt;0,$J674,IFERROR(INDEX(LISTS!$D$2:$D$12,MATCH($J674,LISTS!$C$2:$C$12,0)),"⚠ "&amp;$J674)))</f>
        <v/>
      </c>
      <c r="L674" s="2" t="str">
        <f t="array" ref="L674">IF($C674="","",IF(INDEX(SchedZone,$C674,MAP!$B$14)="Neutral","N",IF($B674="HOME","H","A")))</f>
        <v/>
      </c>
      <c r="M674" s="2" t="str">
        <f t="array" ref="M674">IF($C674="","",IF(INDEX(SchedZone,$C674,MAP!$B$11)="","",INDEX(SchedZone,$C674,MAP!$B$11)))</f>
        <v/>
      </c>
      <c r="N674" s="2" t="str">
        <f t="array" ref="N674">IF($C674="","",IF(INDEX(SchedZone,$C674,MAP!$B$13)="","",INDEX(SchedZone,$C674,MAP!$B$13)))</f>
        <v/>
      </c>
      <c r="O674" s="2" t="str">
        <f t="array" ref="O674">IF($C674="","",INDEX(SchedZone,$C674,MAP!$B$15))</f>
        <v/>
      </c>
      <c r="P674" s="2" t="str">
        <f>IF($C674="","",IFERROR(MATCH($E674&amp;"|"&amp;$G674&amp;"|"&amp;$I674,StatsKey,0),""))</f>
        <v/>
      </c>
      <c r="Q674" s="2">
        <f t="array" ref="Q674">IF($P674="",0,INDEX(StatsZone,$P674,MAP!$E$9)+INDEX(StatsZone,$P674,MAP!$E$10)+INDEX(StatsZone,$P674,MAP!$E$11))</f>
        <v>0</v>
      </c>
      <c r="R674" s="2">
        <f t="array" ref="R674">IF($P674="",0,INDEX(StatsZone,$P674,MAP!$E$12))</f>
        <v>0</v>
      </c>
      <c r="S674" s="2">
        <f t="array" ref="S674">IF($P674="",0,INDEX(StatsZone,$P674,MAP!$E$13))</f>
        <v>0</v>
      </c>
      <c r="T674" s="2">
        <f t="shared" si="1"/>
        <v>0</v>
      </c>
      <c r="U674" s="2">
        <f t="array" ref="U674">IF($P674="",0,INDEX(StatsZone,$P674,MAP!$E$14)+INDEX(StatsZone,$P674,MAP!$E$15)+INDEX(StatsZone,$P674,MAP!$E$16))</f>
        <v>0</v>
      </c>
      <c r="V674" s="2">
        <f t="shared" si="2"/>
        <v>0</v>
      </c>
      <c r="W674" s="2">
        <f t="shared" si="3"/>
        <v>0</v>
      </c>
      <c r="X674" s="2">
        <f t="shared" si="4"/>
        <v>0</v>
      </c>
      <c r="Y674" s="2">
        <f t="shared" si="5"/>
        <v>0</v>
      </c>
      <c r="Z674" s="2">
        <f t="shared" si="6"/>
        <v>0</v>
      </c>
      <c r="AA674" s="2">
        <f t="shared" si="7"/>
        <v>0</v>
      </c>
      <c r="AB674" s="2">
        <f>IF(OR($M674="",$N674=""),0,MEDIAN(-MarginCap,MarginCap,($M674-$N674)-$AA674*HFA_Base))</f>
        <v>0</v>
      </c>
      <c r="AC674" s="2">
        <f t="array" ref="AC674">IF(OR($P674="",INDEX($P$3:$P$722,(ROW()+IF(MOD(ROW()-3,2)=0,1,-1))-3+1)=""),0,MEDIAN(-MarginCap,MarginCap,($T674-$W674)-$AA674*HFA_Base))</f>
        <v>0</v>
      </c>
      <c r="AD674" s="2">
        <f t="shared" si="8"/>
        <v>0</v>
      </c>
      <c r="AE674" s="2">
        <f>IF(OR($M674="",$N674=""),0,IF(AND(WEpa&gt;0,$AD674=1),(1-WEpa)*$AB674+WEpa*$AC674,$AB674))</f>
        <v>0</v>
      </c>
      <c r="AF674" s="2">
        <f>IF(AND($C674&lt;&gt;"",$E674=CurrentSeason,$F674="REG",ISNUMBER($G674),$G674&lt;CurrentWeek,AND($M674&lt;&gt;"",$N674&lt;&gt;"")),1,0)</f>
        <v>0</v>
      </c>
      <c r="AG674" s="2">
        <f>IF($AF674=0,0,IF($G674&gt;=CurrentWeek-RecencyWin,RecencyMult,1))</f>
        <v>0</v>
      </c>
      <c r="AH674" s="2">
        <f>IF(AND($C674&lt;&gt;"",$E674=CurrentSeason,$F674="REG",ISNUMBER($G674),$G674&lt;CurrentWeek-1,AND($M674&lt;&gt;"",$N674&lt;&gt;"")),1,0)</f>
        <v>0</v>
      </c>
      <c r="AI674" s="2">
        <f>IF($AH674=0,0,IF($G674&gt;=CurrentWeek-1-RecencyWin,RecencyMult,1))</f>
        <v>0</v>
      </c>
      <c r="AJ674" s="2">
        <f>IF($AF674=0,0,IF($G674&gt;=CurrentWeek-RecencyWin,TotRecency,1))</f>
        <v>0</v>
      </c>
      <c r="AK674" s="2">
        <f t="shared" si="9"/>
        <v>0</v>
      </c>
      <c r="AL674" s="2">
        <f t="shared" si="10"/>
        <v>0</v>
      </c>
      <c r="AM674" s="2">
        <f t="array" ref="AM674">IF($K674="",0,IFERROR(INDEX(CALC!$F$2:$F$33,MATCH($K674,CALC!$A$2:$A$33,0)),0))</f>
        <v>0</v>
      </c>
      <c r="AN674" s="2">
        <f t="array" ref="AN674">IF($K674="",0,IFERROR(INDEX(CALC!$I$2:$I$33,MATCH($K674,CALC!$A$2:$A$33,0)),0))</f>
        <v>0</v>
      </c>
      <c r="AO674" s="2">
        <f t="array" ref="AO674">IF($K674="",0,IFERROR(INDEX(CALC!$L$2:$L$33,MATCH($K674,CALC!$A$2:$A$33,0)),0))</f>
        <v>0</v>
      </c>
      <c r="AP674" s="2">
        <f t="array" ref="AP674">IF($K674="",0,IFERROR(INDEX(CALC!$T$2:$T$33,MATCH($K674,CALC!$A$2:$A$33,0)),0))</f>
        <v>0</v>
      </c>
      <c r="AQ674" s="2">
        <f t="array" ref="AQ674">IF($K674="",0,IFERROR(INDEX(CALC!$W$2:$W$33,MATCH($K674,CALC!$A$2:$A$33,0)),0))</f>
        <v>0</v>
      </c>
      <c r="AR674" s="2">
        <f t="array" ref="AR674">IF($K674="",0,IFERROR(INDEX(CALC!$Z$2:$Z$33,MATCH($K674,CALC!$A$2:$A$33,0)),0))</f>
        <v>0</v>
      </c>
      <c r="AS674" s="2">
        <f t="array" ref="AS674">IF($K674="",0,IFERROR(INDEX(CALC!$AJ$2:$AJ$33,MATCH($K674,CALC!$A$2:$A$33,0)),0))</f>
        <v>0</v>
      </c>
      <c r="AT674" s="2">
        <f t="array" ref="AT674">IF($K674="",0,IFERROR(INDEX(CALC!$AI$2:$AI$33,MATCH($K674,CALC!$A$2:$A$33,0)),0))</f>
        <v>0</v>
      </c>
      <c r="AU674" s="2">
        <f t="shared" si="11"/>
        <v>0</v>
      </c>
      <c r="AV674" s="2">
        <f t="shared" si="12"/>
        <v>0</v>
      </c>
    </row>
    <row r="675" ht="15.0" customHeight="1">
      <c r="A675" s="2">
        <v>337.0</v>
      </c>
      <c r="B675" s="2" t="s">
        <v>2365</v>
      </c>
      <c r="C675" s="2" t="str">
        <f>IFERROR(MATCH($A675,SchedSeq,0),"")</f>
        <v/>
      </c>
      <c r="D675" s="2" t="str">
        <f t="array" ref="D675">IF($C675="","",INDEX(SchedZone,$C675,MAP!$B$6))</f>
        <v/>
      </c>
      <c r="E675" s="2" t="str">
        <f t="array" ref="E675">IF($C675="","",INDEX(SchedZone,$C675,MAP!$B$3))</f>
        <v/>
      </c>
      <c r="F675" s="2" t="str">
        <f t="array" ref="F675">IF($C675="","",INDEX(SchedZone,$C675,MAP!$B$5))</f>
        <v/>
      </c>
      <c r="G675" s="2" t="str">
        <f t="array" ref="G675">IF($C675="","",INDEX(SchedZone,$C675,MAP!$B$4))</f>
        <v/>
      </c>
      <c r="H675" s="2" t="str">
        <f t="array" ref="H675">IF($C675="","",INDEX(SchedZone,$C675,MAP!$B$12))</f>
        <v/>
      </c>
      <c r="I675" s="2" t="str">
        <f t="array" ref="I675">IF($H675="","",IF(COUNTIF(Teams,$H675)&gt;0,$H675,IFERROR(INDEX(LISTS!$D$2:$D$12,MATCH($H675,LISTS!$C$2:$C$12,0)),"⚠ "&amp;$H675)))</f>
        <v/>
      </c>
      <c r="J675" s="2" t="str">
        <f t="array" ref="J675">IF($C675="","",INDEX(SchedZone,$C675,MAP!$B$10))</f>
        <v/>
      </c>
      <c r="K675" s="2" t="str">
        <f t="array" ref="K675">IF($J675="","",IF(COUNTIF(Teams,$J675)&gt;0,$J675,IFERROR(INDEX(LISTS!$D$2:$D$12,MATCH($J675,LISTS!$C$2:$C$12,0)),"⚠ "&amp;$J675)))</f>
        <v/>
      </c>
      <c r="L675" s="2" t="str">
        <f t="array" ref="L675">IF($C675="","",IF(INDEX(SchedZone,$C675,MAP!$B$14)="Neutral","N",IF($B675="HOME","H","A")))</f>
        <v/>
      </c>
      <c r="M675" s="2" t="str">
        <f t="array" ref="M675">IF($C675="","",IF(INDEX(SchedZone,$C675,MAP!$B$13)="","",INDEX(SchedZone,$C675,MAP!$B$13)))</f>
        <v/>
      </c>
      <c r="N675" s="2" t="str">
        <f t="array" ref="N675">IF($C675="","",IF(INDEX(SchedZone,$C675,MAP!$B$11)="","",INDEX(SchedZone,$C675,MAP!$B$11)))</f>
        <v/>
      </c>
      <c r="O675" s="2" t="str">
        <f t="array" ref="O675">IF($C675="","",INDEX(SchedZone,$C675,MAP!$B$16))</f>
        <v/>
      </c>
      <c r="P675" s="2" t="str">
        <f>IF($C675="","",IFERROR(MATCH($E675&amp;"|"&amp;$G675&amp;"|"&amp;$I675,StatsKey,0),""))</f>
        <v/>
      </c>
      <c r="Q675" s="2">
        <f t="array" ref="Q675">IF($P675="",0,INDEX(StatsZone,$P675,MAP!$E$9)+INDEX(StatsZone,$P675,MAP!$E$10)+INDEX(StatsZone,$P675,MAP!$E$11))</f>
        <v>0</v>
      </c>
      <c r="R675" s="2">
        <f t="array" ref="R675">IF($P675="",0,INDEX(StatsZone,$P675,MAP!$E$12))</f>
        <v>0</v>
      </c>
      <c r="S675" s="2">
        <f t="array" ref="S675">IF($P675="",0,INDEX(StatsZone,$P675,MAP!$E$13))</f>
        <v>0</v>
      </c>
      <c r="T675" s="2">
        <f t="shared" si="1"/>
        <v>0</v>
      </c>
      <c r="U675" s="2">
        <f t="array" ref="U675">IF($P675="",0,INDEX(StatsZone,$P675,MAP!$E$14)+INDEX(StatsZone,$P675,MAP!$E$15)+INDEX(StatsZone,$P675,MAP!$E$16))</f>
        <v>0</v>
      </c>
      <c r="V675" s="2">
        <f t="shared" si="2"/>
        <v>0</v>
      </c>
      <c r="W675" s="2">
        <f t="shared" si="3"/>
        <v>0</v>
      </c>
      <c r="X675" s="2">
        <f t="shared" si="4"/>
        <v>0</v>
      </c>
      <c r="Y675" s="2">
        <f t="shared" si="5"/>
        <v>0</v>
      </c>
      <c r="Z675" s="2">
        <f t="shared" si="6"/>
        <v>0</v>
      </c>
      <c r="AA675" s="2">
        <f t="shared" si="7"/>
        <v>0</v>
      </c>
      <c r="AB675" s="2">
        <f>IF(OR($M675="",$N675=""),0,MEDIAN(-MarginCap,MarginCap,($M675-$N675)-$AA675*HFA_Base))</f>
        <v>0</v>
      </c>
      <c r="AC675" s="2">
        <f t="array" ref="AC675">IF(OR($P675="",INDEX($P$3:$P$722,(ROW()+IF(MOD(ROW()-3,2)=0,1,-1))-3+1)=""),0,MEDIAN(-MarginCap,MarginCap,($T675-$W675)-$AA675*HFA_Base))</f>
        <v>0</v>
      </c>
      <c r="AD675" s="2">
        <f t="shared" si="8"/>
        <v>0</v>
      </c>
      <c r="AE675" s="2">
        <f>IF(OR($M675="",$N675=""),0,IF(AND(WEpa&gt;0,$AD675=1),(1-WEpa)*$AB675+WEpa*$AC675,$AB675))</f>
        <v>0</v>
      </c>
      <c r="AF675" s="2">
        <f>IF(AND($C675&lt;&gt;"",$E675=CurrentSeason,$F675="REG",ISNUMBER($G675),$G675&lt;CurrentWeek,AND($M675&lt;&gt;"",$N675&lt;&gt;"")),1,0)</f>
        <v>0</v>
      </c>
      <c r="AG675" s="2">
        <f>IF($AF675=0,0,IF($G675&gt;=CurrentWeek-RecencyWin,RecencyMult,1))</f>
        <v>0</v>
      </c>
      <c r="AH675" s="2">
        <f>IF(AND($C675&lt;&gt;"",$E675=CurrentSeason,$F675="REG",ISNUMBER($G675),$G675&lt;CurrentWeek-1,AND($M675&lt;&gt;"",$N675&lt;&gt;"")),1,0)</f>
        <v>0</v>
      </c>
      <c r="AI675" s="2">
        <f>IF($AH675=0,0,IF($G675&gt;=CurrentWeek-1-RecencyWin,RecencyMult,1))</f>
        <v>0</v>
      </c>
      <c r="AJ675" s="2">
        <f>IF($AF675=0,0,IF($G675&gt;=CurrentWeek-RecencyWin,TotRecency,1))</f>
        <v>0</v>
      </c>
      <c r="AK675" s="2">
        <f t="shared" si="9"/>
        <v>0</v>
      </c>
      <c r="AL675" s="2">
        <f t="shared" si="10"/>
        <v>0</v>
      </c>
      <c r="AM675" s="2">
        <f t="array" ref="AM675">IF($K675="",0,IFERROR(INDEX(CALC!$F$2:$F$33,MATCH($K675,CALC!$A$2:$A$33,0)),0))</f>
        <v>0</v>
      </c>
      <c r="AN675" s="2">
        <f t="array" ref="AN675">IF($K675="",0,IFERROR(INDEX(CALC!$I$2:$I$33,MATCH($K675,CALC!$A$2:$A$33,0)),0))</f>
        <v>0</v>
      </c>
      <c r="AO675" s="2">
        <f t="array" ref="AO675">IF($K675="",0,IFERROR(INDEX(CALC!$L$2:$L$33,MATCH($K675,CALC!$A$2:$A$33,0)),0))</f>
        <v>0</v>
      </c>
      <c r="AP675" s="2">
        <f t="array" ref="AP675">IF($K675="",0,IFERROR(INDEX(CALC!$T$2:$T$33,MATCH($K675,CALC!$A$2:$A$33,0)),0))</f>
        <v>0</v>
      </c>
      <c r="AQ675" s="2">
        <f t="array" ref="AQ675">IF($K675="",0,IFERROR(INDEX(CALC!$W$2:$W$33,MATCH($K675,CALC!$A$2:$A$33,0)),0))</f>
        <v>0</v>
      </c>
      <c r="AR675" s="2">
        <f t="array" ref="AR675">IF($K675="",0,IFERROR(INDEX(CALC!$Z$2:$Z$33,MATCH($K675,CALC!$A$2:$A$33,0)),0))</f>
        <v>0</v>
      </c>
      <c r="AS675" s="2">
        <f t="array" ref="AS675">IF($K675="",0,IFERROR(INDEX(CALC!$AJ$2:$AJ$33,MATCH($K675,CALC!$A$2:$A$33,0)),0))</f>
        <v>0</v>
      </c>
      <c r="AT675" s="2">
        <f t="array" ref="AT675">IF($K675="",0,IFERROR(INDEX(CALC!$AI$2:$AI$33,MATCH($K675,CALC!$A$2:$A$33,0)),0))</f>
        <v>0</v>
      </c>
      <c r="AU675" s="2">
        <f t="shared" si="11"/>
        <v>0</v>
      </c>
      <c r="AV675" s="2">
        <f t="shared" si="12"/>
        <v>0</v>
      </c>
    </row>
    <row r="676" ht="15.0" customHeight="1">
      <c r="A676" s="2">
        <v>337.0</v>
      </c>
      <c r="B676" s="2" t="s">
        <v>2366</v>
      </c>
      <c r="C676" s="2" t="str">
        <f>IFERROR(MATCH($A676,SchedSeq,0),"")</f>
        <v/>
      </c>
      <c r="D676" s="2" t="str">
        <f t="array" ref="D676">IF($C676="","",INDEX(SchedZone,$C676,MAP!$B$6))</f>
        <v/>
      </c>
      <c r="E676" s="2" t="str">
        <f t="array" ref="E676">IF($C676="","",INDEX(SchedZone,$C676,MAP!$B$3))</f>
        <v/>
      </c>
      <c r="F676" s="2" t="str">
        <f t="array" ref="F676">IF($C676="","",INDEX(SchedZone,$C676,MAP!$B$5))</f>
        <v/>
      </c>
      <c r="G676" s="2" t="str">
        <f t="array" ref="G676">IF($C676="","",INDEX(SchedZone,$C676,MAP!$B$4))</f>
        <v/>
      </c>
      <c r="H676" s="2" t="str">
        <f t="array" ref="H676">IF($C676="","",INDEX(SchedZone,$C676,MAP!$B$10))</f>
        <v/>
      </c>
      <c r="I676" s="2" t="str">
        <f t="array" ref="I676">IF($H676="","",IF(COUNTIF(Teams,$H676)&gt;0,$H676,IFERROR(INDEX(LISTS!$D$2:$D$12,MATCH($H676,LISTS!$C$2:$C$12,0)),"⚠ "&amp;$H676)))</f>
        <v/>
      </c>
      <c r="J676" s="2" t="str">
        <f t="array" ref="J676">IF($C676="","",INDEX(SchedZone,$C676,MAP!$B$12))</f>
        <v/>
      </c>
      <c r="K676" s="2" t="str">
        <f t="array" ref="K676">IF($J676="","",IF(COUNTIF(Teams,$J676)&gt;0,$J676,IFERROR(INDEX(LISTS!$D$2:$D$12,MATCH($J676,LISTS!$C$2:$C$12,0)),"⚠ "&amp;$J676)))</f>
        <v/>
      </c>
      <c r="L676" s="2" t="str">
        <f t="array" ref="L676">IF($C676="","",IF(INDEX(SchedZone,$C676,MAP!$B$14)="Neutral","N",IF($B676="HOME","H","A")))</f>
        <v/>
      </c>
      <c r="M676" s="2" t="str">
        <f t="array" ref="M676">IF($C676="","",IF(INDEX(SchedZone,$C676,MAP!$B$11)="","",INDEX(SchedZone,$C676,MAP!$B$11)))</f>
        <v/>
      </c>
      <c r="N676" s="2" t="str">
        <f t="array" ref="N676">IF($C676="","",IF(INDEX(SchedZone,$C676,MAP!$B$13)="","",INDEX(SchedZone,$C676,MAP!$B$13)))</f>
        <v/>
      </c>
      <c r="O676" s="2" t="str">
        <f t="array" ref="O676">IF($C676="","",INDEX(SchedZone,$C676,MAP!$B$15))</f>
        <v/>
      </c>
      <c r="P676" s="2" t="str">
        <f>IF($C676="","",IFERROR(MATCH($E676&amp;"|"&amp;$G676&amp;"|"&amp;$I676,StatsKey,0),""))</f>
        <v/>
      </c>
      <c r="Q676" s="2">
        <f t="array" ref="Q676">IF($P676="",0,INDEX(StatsZone,$P676,MAP!$E$9)+INDEX(StatsZone,$P676,MAP!$E$10)+INDEX(StatsZone,$P676,MAP!$E$11))</f>
        <v>0</v>
      </c>
      <c r="R676" s="2">
        <f t="array" ref="R676">IF($P676="",0,INDEX(StatsZone,$P676,MAP!$E$12))</f>
        <v>0</v>
      </c>
      <c r="S676" s="2">
        <f t="array" ref="S676">IF($P676="",0,INDEX(StatsZone,$P676,MAP!$E$13))</f>
        <v>0</v>
      </c>
      <c r="T676" s="2">
        <f t="shared" si="1"/>
        <v>0</v>
      </c>
      <c r="U676" s="2">
        <f t="array" ref="U676">IF($P676="",0,INDEX(StatsZone,$P676,MAP!$E$14)+INDEX(StatsZone,$P676,MAP!$E$15)+INDEX(StatsZone,$P676,MAP!$E$16))</f>
        <v>0</v>
      </c>
      <c r="V676" s="2">
        <f t="shared" si="2"/>
        <v>0</v>
      </c>
      <c r="W676" s="2">
        <f t="shared" si="3"/>
        <v>0</v>
      </c>
      <c r="X676" s="2">
        <f t="shared" si="4"/>
        <v>0</v>
      </c>
      <c r="Y676" s="2">
        <f t="shared" si="5"/>
        <v>0</v>
      </c>
      <c r="Z676" s="2">
        <f t="shared" si="6"/>
        <v>0</v>
      </c>
      <c r="AA676" s="2">
        <f t="shared" si="7"/>
        <v>0</v>
      </c>
      <c r="AB676" s="2">
        <f>IF(OR($M676="",$N676=""),0,MEDIAN(-MarginCap,MarginCap,($M676-$N676)-$AA676*HFA_Base))</f>
        <v>0</v>
      </c>
      <c r="AC676" s="2">
        <f t="array" ref="AC676">IF(OR($P676="",INDEX($P$3:$P$722,(ROW()+IF(MOD(ROW()-3,2)=0,1,-1))-3+1)=""),0,MEDIAN(-MarginCap,MarginCap,($T676-$W676)-$AA676*HFA_Base))</f>
        <v>0</v>
      </c>
      <c r="AD676" s="2">
        <f t="shared" si="8"/>
        <v>0</v>
      </c>
      <c r="AE676" s="2">
        <f>IF(OR($M676="",$N676=""),0,IF(AND(WEpa&gt;0,$AD676=1),(1-WEpa)*$AB676+WEpa*$AC676,$AB676))</f>
        <v>0</v>
      </c>
      <c r="AF676" s="2">
        <f>IF(AND($C676&lt;&gt;"",$E676=CurrentSeason,$F676="REG",ISNUMBER($G676),$G676&lt;CurrentWeek,AND($M676&lt;&gt;"",$N676&lt;&gt;"")),1,0)</f>
        <v>0</v>
      </c>
      <c r="AG676" s="2">
        <f>IF($AF676=0,0,IF($G676&gt;=CurrentWeek-RecencyWin,RecencyMult,1))</f>
        <v>0</v>
      </c>
      <c r="AH676" s="2">
        <f>IF(AND($C676&lt;&gt;"",$E676=CurrentSeason,$F676="REG",ISNUMBER($G676),$G676&lt;CurrentWeek-1,AND($M676&lt;&gt;"",$N676&lt;&gt;"")),1,0)</f>
        <v>0</v>
      </c>
      <c r="AI676" s="2">
        <f>IF($AH676=0,0,IF($G676&gt;=CurrentWeek-1-RecencyWin,RecencyMult,1))</f>
        <v>0</v>
      </c>
      <c r="AJ676" s="2">
        <f>IF($AF676=0,0,IF($G676&gt;=CurrentWeek-RecencyWin,TotRecency,1))</f>
        <v>0</v>
      </c>
      <c r="AK676" s="2">
        <f t="shared" si="9"/>
        <v>0</v>
      </c>
      <c r="AL676" s="2">
        <f t="shared" si="10"/>
        <v>0</v>
      </c>
      <c r="AM676" s="2">
        <f t="array" ref="AM676">IF($K676="",0,IFERROR(INDEX(CALC!$F$2:$F$33,MATCH($K676,CALC!$A$2:$A$33,0)),0))</f>
        <v>0</v>
      </c>
      <c r="AN676" s="2">
        <f t="array" ref="AN676">IF($K676="",0,IFERROR(INDEX(CALC!$I$2:$I$33,MATCH($K676,CALC!$A$2:$A$33,0)),0))</f>
        <v>0</v>
      </c>
      <c r="AO676" s="2">
        <f t="array" ref="AO676">IF($K676="",0,IFERROR(INDEX(CALC!$L$2:$L$33,MATCH($K676,CALC!$A$2:$A$33,0)),0))</f>
        <v>0</v>
      </c>
      <c r="AP676" s="2">
        <f t="array" ref="AP676">IF($K676="",0,IFERROR(INDEX(CALC!$T$2:$T$33,MATCH($K676,CALC!$A$2:$A$33,0)),0))</f>
        <v>0</v>
      </c>
      <c r="AQ676" s="2">
        <f t="array" ref="AQ676">IF($K676="",0,IFERROR(INDEX(CALC!$W$2:$W$33,MATCH($K676,CALC!$A$2:$A$33,0)),0))</f>
        <v>0</v>
      </c>
      <c r="AR676" s="2">
        <f t="array" ref="AR676">IF($K676="",0,IFERROR(INDEX(CALC!$Z$2:$Z$33,MATCH($K676,CALC!$A$2:$A$33,0)),0))</f>
        <v>0</v>
      </c>
      <c r="AS676" s="2">
        <f t="array" ref="AS676">IF($K676="",0,IFERROR(INDEX(CALC!$AJ$2:$AJ$33,MATCH($K676,CALC!$A$2:$A$33,0)),0))</f>
        <v>0</v>
      </c>
      <c r="AT676" s="2">
        <f t="array" ref="AT676">IF($K676="",0,IFERROR(INDEX(CALC!$AI$2:$AI$33,MATCH($K676,CALC!$A$2:$A$33,0)),0))</f>
        <v>0</v>
      </c>
      <c r="AU676" s="2">
        <f t="shared" si="11"/>
        <v>0</v>
      </c>
      <c r="AV676" s="2">
        <f t="shared" si="12"/>
        <v>0</v>
      </c>
    </row>
    <row r="677" ht="15.0" customHeight="1">
      <c r="A677" s="2">
        <v>338.0</v>
      </c>
      <c r="B677" s="2" t="s">
        <v>2365</v>
      </c>
      <c r="C677" s="2" t="str">
        <f>IFERROR(MATCH($A677,SchedSeq,0),"")</f>
        <v/>
      </c>
      <c r="D677" s="2" t="str">
        <f t="array" ref="D677">IF($C677="","",INDEX(SchedZone,$C677,MAP!$B$6))</f>
        <v/>
      </c>
      <c r="E677" s="2" t="str">
        <f t="array" ref="E677">IF($C677="","",INDEX(SchedZone,$C677,MAP!$B$3))</f>
        <v/>
      </c>
      <c r="F677" s="2" t="str">
        <f t="array" ref="F677">IF($C677="","",INDEX(SchedZone,$C677,MAP!$B$5))</f>
        <v/>
      </c>
      <c r="G677" s="2" t="str">
        <f t="array" ref="G677">IF($C677="","",INDEX(SchedZone,$C677,MAP!$B$4))</f>
        <v/>
      </c>
      <c r="H677" s="2" t="str">
        <f t="array" ref="H677">IF($C677="","",INDEX(SchedZone,$C677,MAP!$B$12))</f>
        <v/>
      </c>
      <c r="I677" s="2" t="str">
        <f t="array" ref="I677">IF($H677="","",IF(COUNTIF(Teams,$H677)&gt;0,$H677,IFERROR(INDEX(LISTS!$D$2:$D$12,MATCH($H677,LISTS!$C$2:$C$12,0)),"⚠ "&amp;$H677)))</f>
        <v/>
      </c>
      <c r="J677" s="2" t="str">
        <f t="array" ref="J677">IF($C677="","",INDEX(SchedZone,$C677,MAP!$B$10))</f>
        <v/>
      </c>
      <c r="K677" s="2" t="str">
        <f t="array" ref="K677">IF($J677="","",IF(COUNTIF(Teams,$J677)&gt;0,$J677,IFERROR(INDEX(LISTS!$D$2:$D$12,MATCH($J677,LISTS!$C$2:$C$12,0)),"⚠ "&amp;$J677)))</f>
        <v/>
      </c>
      <c r="L677" s="2" t="str">
        <f t="array" ref="L677">IF($C677="","",IF(INDEX(SchedZone,$C677,MAP!$B$14)="Neutral","N",IF($B677="HOME","H","A")))</f>
        <v/>
      </c>
      <c r="M677" s="2" t="str">
        <f t="array" ref="M677">IF($C677="","",IF(INDEX(SchedZone,$C677,MAP!$B$13)="","",INDEX(SchedZone,$C677,MAP!$B$13)))</f>
        <v/>
      </c>
      <c r="N677" s="2" t="str">
        <f t="array" ref="N677">IF($C677="","",IF(INDEX(SchedZone,$C677,MAP!$B$11)="","",INDEX(SchedZone,$C677,MAP!$B$11)))</f>
        <v/>
      </c>
      <c r="O677" s="2" t="str">
        <f t="array" ref="O677">IF($C677="","",INDEX(SchedZone,$C677,MAP!$B$16))</f>
        <v/>
      </c>
      <c r="P677" s="2" t="str">
        <f>IF($C677="","",IFERROR(MATCH($E677&amp;"|"&amp;$G677&amp;"|"&amp;$I677,StatsKey,0),""))</f>
        <v/>
      </c>
      <c r="Q677" s="2">
        <f t="array" ref="Q677">IF($P677="",0,INDEX(StatsZone,$P677,MAP!$E$9)+INDEX(StatsZone,$P677,MAP!$E$10)+INDEX(StatsZone,$P677,MAP!$E$11))</f>
        <v>0</v>
      </c>
      <c r="R677" s="2">
        <f t="array" ref="R677">IF($P677="",0,INDEX(StatsZone,$P677,MAP!$E$12))</f>
        <v>0</v>
      </c>
      <c r="S677" s="2">
        <f t="array" ref="S677">IF($P677="",0,INDEX(StatsZone,$P677,MAP!$E$13))</f>
        <v>0</v>
      </c>
      <c r="T677" s="2">
        <f t="shared" si="1"/>
        <v>0</v>
      </c>
      <c r="U677" s="2">
        <f t="array" ref="U677">IF($P677="",0,INDEX(StatsZone,$P677,MAP!$E$14)+INDEX(StatsZone,$P677,MAP!$E$15)+INDEX(StatsZone,$P677,MAP!$E$16))</f>
        <v>0</v>
      </c>
      <c r="V677" s="2">
        <f t="shared" si="2"/>
        <v>0</v>
      </c>
      <c r="W677" s="2">
        <f t="shared" si="3"/>
        <v>0</v>
      </c>
      <c r="X677" s="2">
        <f t="shared" si="4"/>
        <v>0</v>
      </c>
      <c r="Y677" s="2">
        <f t="shared" si="5"/>
        <v>0</v>
      </c>
      <c r="Z677" s="2">
        <f t="shared" si="6"/>
        <v>0</v>
      </c>
      <c r="AA677" s="2">
        <f t="shared" si="7"/>
        <v>0</v>
      </c>
      <c r="AB677" s="2">
        <f>IF(OR($M677="",$N677=""),0,MEDIAN(-MarginCap,MarginCap,($M677-$N677)-$AA677*HFA_Base))</f>
        <v>0</v>
      </c>
      <c r="AC677" s="2">
        <f t="array" ref="AC677">IF(OR($P677="",INDEX($P$3:$P$722,(ROW()+IF(MOD(ROW()-3,2)=0,1,-1))-3+1)=""),0,MEDIAN(-MarginCap,MarginCap,($T677-$W677)-$AA677*HFA_Base))</f>
        <v>0</v>
      </c>
      <c r="AD677" s="2">
        <f t="shared" si="8"/>
        <v>0</v>
      </c>
      <c r="AE677" s="2">
        <f>IF(OR($M677="",$N677=""),0,IF(AND(WEpa&gt;0,$AD677=1),(1-WEpa)*$AB677+WEpa*$AC677,$AB677))</f>
        <v>0</v>
      </c>
      <c r="AF677" s="2">
        <f>IF(AND($C677&lt;&gt;"",$E677=CurrentSeason,$F677="REG",ISNUMBER($G677),$G677&lt;CurrentWeek,AND($M677&lt;&gt;"",$N677&lt;&gt;"")),1,0)</f>
        <v>0</v>
      </c>
      <c r="AG677" s="2">
        <f>IF($AF677=0,0,IF($G677&gt;=CurrentWeek-RecencyWin,RecencyMult,1))</f>
        <v>0</v>
      </c>
      <c r="AH677" s="2">
        <f>IF(AND($C677&lt;&gt;"",$E677=CurrentSeason,$F677="REG",ISNUMBER($G677),$G677&lt;CurrentWeek-1,AND($M677&lt;&gt;"",$N677&lt;&gt;"")),1,0)</f>
        <v>0</v>
      </c>
      <c r="AI677" s="2">
        <f>IF($AH677=0,0,IF($G677&gt;=CurrentWeek-1-RecencyWin,RecencyMult,1))</f>
        <v>0</v>
      </c>
      <c r="AJ677" s="2">
        <f>IF($AF677=0,0,IF($G677&gt;=CurrentWeek-RecencyWin,TotRecency,1))</f>
        <v>0</v>
      </c>
      <c r="AK677" s="2">
        <f t="shared" si="9"/>
        <v>0</v>
      </c>
      <c r="AL677" s="2">
        <f t="shared" si="10"/>
        <v>0</v>
      </c>
      <c r="AM677" s="2">
        <f t="array" ref="AM677">IF($K677="",0,IFERROR(INDEX(CALC!$F$2:$F$33,MATCH($K677,CALC!$A$2:$A$33,0)),0))</f>
        <v>0</v>
      </c>
      <c r="AN677" s="2">
        <f t="array" ref="AN677">IF($K677="",0,IFERROR(INDEX(CALC!$I$2:$I$33,MATCH($K677,CALC!$A$2:$A$33,0)),0))</f>
        <v>0</v>
      </c>
      <c r="AO677" s="2">
        <f t="array" ref="AO677">IF($K677="",0,IFERROR(INDEX(CALC!$L$2:$L$33,MATCH($K677,CALC!$A$2:$A$33,0)),0))</f>
        <v>0</v>
      </c>
      <c r="AP677" s="2">
        <f t="array" ref="AP677">IF($K677="",0,IFERROR(INDEX(CALC!$T$2:$T$33,MATCH($K677,CALC!$A$2:$A$33,0)),0))</f>
        <v>0</v>
      </c>
      <c r="AQ677" s="2">
        <f t="array" ref="AQ677">IF($K677="",0,IFERROR(INDEX(CALC!$W$2:$W$33,MATCH($K677,CALC!$A$2:$A$33,0)),0))</f>
        <v>0</v>
      </c>
      <c r="AR677" s="2">
        <f t="array" ref="AR677">IF($K677="",0,IFERROR(INDEX(CALC!$Z$2:$Z$33,MATCH($K677,CALC!$A$2:$A$33,0)),0))</f>
        <v>0</v>
      </c>
      <c r="AS677" s="2">
        <f t="array" ref="AS677">IF($K677="",0,IFERROR(INDEX(CALC!$AJ$2:$AJ$33,MATCH($K677,CALC!$A$2:$A$33,0)),0))</f>
        <v>0</v>
      </c>
      <c r="AT677" s="2">
        <f t="array" ref="AT677">IF($K677="",0,IFERROR(INDEX(CALC!$AI$2:$AI$33,MATCH($K677,CALC!$A$2:$A$33,0)),0))</f>
        <v>0</v>
      </c>
      <c r="AU677" s="2">
        <f t="shared" si="11"/>
        <v>0</v>
      </c>
      <c r="AV677" s="2">
        <f t="shared" si="12"/>
        <v>0</v>
      </c>
    </row>
    <row r="678" ht="15.0" customHeight="1">
      <c r="A678" s="2">
        <v>338.0</v>
      </c>
      <c r="B678" s="2" t="s">
        <v>2366</v>
      </c>
      <c r="C678" s="2" t="str">
        <f>IFERROR(MATCH($A678,SchedSeq,0),"")</f>
        <v/>
      </c>
      <c r="D678" s="2" t="str">
        <f t="array" ref="D678">IF($C678="","",INDEX(SchedZone,$C678,MAP!$B$6))</f>
        <v/>
      </c>
      <c r="E678" s="2" t="str">
        <f t="array" ref="E678">IF($C678="","",INDEX(SchedZone,$C678,MAP!$B$3))</f>
        <v/>
      </c>
      <c r="F678" s="2" t="str">
        <f t="array" ref="F678">IF($C678="","",INDEX(SchedZone,$C678,MAP!$B$5))</f>
        <v/>
      </c>
      <c r="G678" s="2" t="str">
        <f t="array" ref="G678">IF($C678="","",INDEX(SchedZone,$C678,MAP!$B$4))</f>
        <v/>
      </c>
      <c r="H678" s="2" t="str">
        <f t="array" ref="H678">IF($C678="","",INDEX(SchedZone,$C678,MAP!$B$10))</f>
        <v/>
      </c>
      <c r="I678" s="2" t="str">
        <f t="array" ref="I678">IF($H678="","",IF(COUNTIF(Teams,$H678)&gt;0,$H678,IFERROR(INDEX(LISTS!$D$2:$D$12,MATCH($H678,LISTS!$C$2:$C$12,0)),"⚠ "&amp;$H678)))</f>
        <v/>
      </c>
      <c r="J678" s="2" t="str">
        <f t="array" ref="J678">IF($C678="","",INDEX(SchedZone,$C678,MAP!$B$12))</f>
        <v/>
      </c>
      <c r="K678" s="2" t="str">
        <f t="array" ref="K678">IF($J678="","",IF(COUNTIF(Teams,$J678)&gt;0,$J678,IFERROR(INDEX(LISTS!$D$2:$D$12,MATCH($J678,LISTS!$C$2:$C$12,0)),"⚠ "&amp;$J678)))</f>
        <v/>
      </c>
      <c r="L678" s="2" t="str">
        <f t="array" ref="L678">IF($C678="","",IF(INDEX(SchedZone,$C678,MAP!$B$14)="Neutral","N",IF($B678="HOME","H","A")))</f>
        <v/>
      </c>
      <c r="M678" s="2" t="str">
        <f t="array" ref="M678">IF($C678="","",IF(INDEX(SchedZone,$C678,MAP!$B$11)="","",INDEX(SchedZone,$C678,MAP!$B$11)))</f>
        <v/>
      </c>
      <c r="N678" s="2" t="str">
        <f t="array" ref="N678">IF($C678="","",IF(INDEX(SchedZone,$C678,MAP!$B$13)="","",INDEX(SchedZone,$C678,MAP!$B$13)))</f>
        <v/>
      </c>
      <c r="O678" s="2" t="str">
        <f t="array" ref="O678">IF($C678="","",INDEX(SchedZone,$C678,MAP!$B$15))</f>
        <v/>
      </c>
      <c r="P678" s="2" t="str">
        <f>IF($C678="","",IFERROR(MATCH($E678&amp;"|"&amp;$G678&amp;"|"&amp;$I678,StatsKey,0),""))</f>
        <v/>
      </c>
      <c r="Q678" s="2">
        <f t="array" ref="Q678">IF($P678="",0,INDEX(StatsZone,$P678,MAP!$E$9)+INDEX(StatsZone,$P678,MAP!$E$10)+INDEX(StatsZone,$P678,MAP!$E$11))</f>
        <v>0</v>
      </c>
      <c r="R678" s="2">
        <f t="array" ref="R678">IF($P678="",0,INDEX(StatsZone,$P678,MAP!$E$12))</f>
        <v>0</v>
      </c>
      <c r="S678" s="2">
        <f t="array" ref="S678">IF($P678="",0,INDEX(StatsZone,$P678,MAP!$E$13))</f>
        <v>0</v>
      </c>
      <c r="T678" s="2">
        <f t="shared" si="1"/>
        <v>0</v>
      </c>
      <c r="U678" s="2">
        <f t="array" ref="U678">IF($P678="",0,INDEX(StatsZone,$P678,MAP!$E$14)+INDEX(StatsZone,$P678,MAP!$E$15)+INDEX(StatsZone,$P678,MAP!$E$16))</f>
        <v>0</v>
      </c>
      <c r="V678" s="2">
        <f t="shared" si="2"/>
        <v>0</v>
      </c>
      <c r="W678" s="2">
        <f t="shared" si="3"/>
        <v>0</v>
      </c>
      <c r="X678" s="2">
        <f t="shared" si="4"/>
        <v>0</v>
      </c>
      <c r="Y678" s="2">
        <f t="shared" si="5"/>
        <v>0</v>
      </c>
      <c r="Z678" s="2">
        <f t="shared" si="6"/>
        <v>0</v>
      </c>
      <c r="AA678" s="2">
        <f t="shared" si="7"/>
        <v>0</v>
      </c>
      <c r="AB678" s="2">
        <f>IF(OR($M678="",$N678=""),0,MEDIAN(-MarginCap,MarginCap,($M678-$N678)-$AA678*HFA_Base))</f>
        <v>0</v>
      </c>
      <c r="AC678" s="2">
        <f t="array" ref="AC678">IF(OR($P678="",INDEX($P$3:$P$722,(ROW()+IF(MOD(ROW()-3,2)=0,1,-1))-3+1)=""),0,MEDIAN(-MarginCap,MarginCap,($T678-$W678)-$AA678*HFA_Base))</f>
        <v>0</v>
      </c>
      <c r="AD678" s="2">
        <f t="shared" si="8"/>
        <v>0</v>
      </c>
      <c r="AE678" s="2">
        <f>IF(OR($M678="",$N678=""),0,IF(AND(WEpa&gt;0,$AD678=1),(1-WEpa)*$AB678+WEpa*$AC678,$AB678))</f>
        <v>0</v>
      </c>
      <c r="AF678" s="2">
        <f>IF(AND($C678&lt;&gt;"",$E678=CurrentSeason,$F678="REG",ISNUMBER($G678),$G678&lt;CurrentWeek,AND($M678&lt;&gt;"",$N678&lt;&gt;"")),1,0)</f>
        <v>0</v>
      </c>
      <c r="AG678" s="2">
        <f>IF($AF678=0,0,IF($G678&gt;=CurrentWeek-RecencyWin,RecencyMult,1))</f>
        <v>0</v>
      </c>
      <c r="AH678" s="2">
        <f>IF(AND($C678&lt;&gt;"",$E678=CurrentSeason,$F678="REG",ISNUMBER($G678),$G678&lt;CurrentWeek-1,AND($M678&lt;&gt;"",$N678&lt;&gt;"")),1,0)</f>
        <v>0</v>
      </c>
      <c r="AI678" s="2">
        <f>IF($AH678=0,0,IF($G678&gt;=CurrentWeek-1-RecencyWin,RecencyMult,1))</f>
        <v>0</v>
      </c>
      <c r="AJ678" s="2">
        <f>IF($AF678=0,0,IF($G678&gt;=CurrentWeek-RecencyWin,TotRecency,1))</f>
        <v>0</v>
      </c>
      <c r="AK678" s="2">
        <f t="shared" si="9"/>
        <v>0</v>
      </c>
      <c r="AL678" s="2">
        <f t="shared" si="10"/>
        <v>0</v>
      </c>
      <c r="AM678" s="2">
        <f t="array" ref="AM678">IF($K678="",0,IFERROR(INDEX(CALC!$F$2:$F$33,MATCH($K678,CALC!$A$2:$A$33,0)),0))</f>
        <v>0</v>
      </c>
      <c r="AN678" s="2">
        <f t="array" ref="AN678">IF($K678="",0,IFERROR(INDEX(CALC!$I$2:$I$33,MATCH($K678,CALC!$A$2:$A$33,0)),0))</f>
        <v>0</v>
      </c>
      <c r="AO678" s="2">
        <f t="array" ref="AO678">IF($K678="",0,IFERROR(INDEX(CALC!$L$2:$L$33,MATCH($K678,CALC!$A$2:$A$33,0)),0))</f>
        <v>0</v>
      </c>
      <c r="AP678" s="2">
        <f t="array" ref="AP678">IF($K678="",0,IFERROR(INDEX(CALC!$T$2:$T$33,MATCH($K678,CALC!$A$2:$A$33,0)),0))</f>
        <v>0</v>
      </c>
      <c r="AQ678" s="2">
        <f t="array" ref="AQ678">IF($K678="",0,IFERROR(INDEX(CALC!$W$2:$W$33,MATCH($K678,CALC!$A$2:$A$33,0)),0))</f>
        <v>0</v>
      </c>
      <c r="AR678" s="2">
        <f t="array" ref="AR678">IF($K678="",0,IFERROR(INDEX(CALC!$Z$2:$Z$33,MATCH($K678,CALC!$A$2:$A$33,0)),0))</f>
        <v>0</v>
      </c>
      <c r="AS678" s="2">
        <f t="array" ref="AS678">IF($K678="",0,IFERROR(INDEX(CALC!$AJ$2:$AJ$33,MATCH($K678,CALC!$A$2:$A$33,0)),0))</f>
        <v>0</v>
      </c>
      <c r="AT678" s="2">
        <f t="array" ref="AT678">IF($K678="",0,IFERROR(INDEX(CALC!$AI$2:$AI$33,MATCH($K678,CALC!$A$2:$A$33,0)),0))</f>
        <v>0</v>
      </c>
      <c r="AU678" s="2">
        <f t="shared" si="11"/>
        <v>0</v>
      </c>
      <c r="AV678" s="2">
        <f t="shared" si="12"/>
        <v>0</v>
      </c>
    </row>
    <row r="679" ht="15.0" customHeight="1">
      <c r="A679" s="2">
        <v>339.0</v>
      </c>
      <c r="B679" s="2" t="s">
        <v>2365</v>
      </c>
      <c r="C679" s="2" t="str">
        <f>IFERROR(MATCH($A679,SchedSeq,0),"")</f>
        <v/>
      </c>
      <c r="D679" s="2" t="str">
        <f t="array" ref="D679">IF($C679="","",INDEX(SchedZone,$C679,MAP!$B$6))</f>
        <v/>
      </c>
      <c r="E679" s="2" t="str">
        <f t="array" ref="E679">IF($C679="","",INDEX(SchedZone,$C679,MAP!$B$3))</f>
        <v/>
      </c>
      <c r="F679" s="2" t="str">
        <f t="array" ref="F679">IF($C679="","",INDEX(SchedZone,$C679,MAP!$B$5))</f>
        <v/>
      </c>
      <c r="G679" s="2" t="str">
        <f t="array" ref="G679">IF($C679="","",INDEX(SchedZone,$C679,MAP!$B$4))</f>
        <v/>
      </c>
      <c r="H679" s="2" t="str">
        <f t="array" ref="H679">IF($C679="","",INDEX(SchedZone,$C679,MAP!$B$12))</f>
        <v/>
      </c>
      <c r="I679" s="2" t="str">
        <f t="array" ref="I679">IF($H679="","",IF(COUNTIF(Teams,$H679)&gt;0,$H679,IFERROR(INDEX(LISTS!$D$2:$D$12,MATCH($H679,LISTS!$C$2:$C$12,0)),"⚠ "&amp;$H679)))</f>
        <v/>
      </c>
      <c r="J679" s="2" t="str">
        <f t="array" ref="J679">IF($C679="","",INDEX(SchedZone,$C679,MAP!$B$10))</f>
        <v/>
      </c>
      <c r="K679" s="2" t="str">
        <f t="array" ref="K679">IF($J679="","",IF(COUNTIF(Teams,$J679)&gt;0,$J679,IFERROR(INDEX(LISTS!$D$2:$D$12,MATCH($J679,LISTS!$C$2:$C$12,0)),"⚠ "&amp;$J679)))</f>
        <v/>
      </c>
      <c r="L679" s="2" t="str">
        <f t="array" ref="L679">IF($C679="","",IF(INDEX(SchedZone,$C679,MAP!$B$14)="Neutral","N",IF($B679="HOME","H","A")))</f>
        <v/>
      </c>
      <c r="M679" s="2" t="str">
        <f t="array" ref="M679">IF($C679="","",IF(INDEX(SchedZone,$C679,MAP!$B$13)="","",INDEX(SchedZone,$C679,MAP!$B$13)))</f>
        <v/>
      </c>
      <c r="N679" s="2" t="str">
        <f t="array" ref="N679">IF($C679="","",IF(INDEX(SchedZone,$C679,MAP!$B$11)="","",INDEX(SchedZone,$C679,MAP!$B$11)))</f>
        <v/>
      </c>
      <c r="O679" s="2" t="str">
        <f t="array" ref="O679">IF($C679="","",INDEX(SchedZone,$C679,MAP!$B$16))</f>
        <v/>
      </c>
      <c r="P679" s="2" t="str">
        <f>IF($C679="","",IFERROR(MATCH($E679&amp;"|"&amp;$G679&amp;"|"&amp;$I679,StatsKey,0),""))</f>
        <v/>
      </c>
      <c r="Q679" s="2">
        <f t="array" ref="Q679">IF($P679="",0,INDEX(StatsZone,$P679,MAP!$E$9)+INDEX(StatsZone,$P679,MAP!$E$10)+INDEX(StatsZone,$P679,MAP!$E$11))</f>
        <v>0</v>
      </c>
      <c r="R679" s="2">
        <f t="array" ref="R679">IF($P679="",0,INDEX(StatsZone,$P679,MAP!$E$12))</f>
        <v>0</v>
      </c>
      <c r="S679" s="2">
        <f t="array" ref="S679">IF($P679="",0,INDEX(StatsZone,$P679,MAP!$E$13))</f>
        <v>0</v>
      </c>
      <c r="T679" s="2">
        <f t="shared" si="1"/>
        <v>0</v>
      </c>
      <c r="U679" s="2">
        <f t="array" ref="U679">IF($P679="",0,INDEX(StatsZone,$P679,MAP!$E$14)+INDEX(StatsZone,$P679,MAP!$E$15)+INDEX(StatsZone,$P679,MAP!$E$16))</f>
        <v>0</v>
      </c>
      <c r="V679" s="2">
        <f t="shared" si="2"/>
        <v>0</v>
      </c>
      <c r="W679" s="2">
        <f t="shared" si="3"/>
        <v>0</v>
      </c>
      <c r="X679" s="2">
        <f t="shared" si="4"/>
        <v>0</v>
      </c>
      <c r="Y679" s="2">
        <f t="shared" si="5"/>
        <v>0</v>
      </c>
      <c r="Z679" s="2">
        <f t="shared" si="6"/>
        <v>0</v>
      </c>
      <c r="AA679" s="2">
        <f t="shared" si="7"/>
        <v>0</v>
      </c>
      <c r="AB679" s="2">
        <f>IF(OR($M679="",$N679=""),0,MEDIAN(-MarginCap,MarginCap,($M679-$N679)-$AA679*HFA_Base))</f>
        <v>0</v>
      </c>
      <c r="AC679" s="2">
        <f t="array" ref="AC679">IF(OR($P679="",INDEX($P$3:$P$722,(ROW()+IF(MOD(ROW()-3,2)=0,1,-1))-3+1)=""),0,MEDIAN(-MarginCap,MarginCap,($T679-$W679)-$AA679*HFA_Base))</f>
        <v>0</v>
      </c>
      <c r="AD679" s="2">
        <f t="shared" si="8"/>
        <v>0</v>
      </c>
      <c r="AE679" s="2">
        <f>IF(OR($M679="",$N679=""),0,IF(AND(WEpa&gt;0,$AD679=1),(1-WEpa)*$AB679+WEpa*$AC679,$AB679))</f>
        <v>0</v>
      </c>
      <c r="AF679" s="2">
        <f>IF(AND($C679&lt;&gt;"",$E679=CurrentSeason,$F679="REG",ISNUMBER($G679),$G679&lt;CurrentWeek,AND($M679&lt;&gt;"",$N679&lt;&gt;"")),1,0)</f>
        <v>0</v>
      </c>
      <c r="AG679" s="2">
        <f>IF($AF679=0,0,IF($G679&gt;=CurrentWeek-RecencyWin,RecencyMult,1))</f>
        <v>0</v>
      </c>
      <c r="AH679" s="2">
        <f>IF(AND($C679&lt;&gt;"",$E679=CurrentSeason,$F679="REG",ISNUMBER($G679),$G679&lt;CurrentWeek-1,AND($M679&lt;&gt;"",$N679&lt;&gt;"")),1,0)</f>
        <v>0</v>
      </c>
      <c r="AI679" s="2">
        <f>IF($AH679=0,0,IF($G679&gt;=CurrentWeek-1-RecencyWin,RecencyMult,1))</f>
        <v>0</v>
      </c>
      <c r="AJ679" s="2">
        <f>IF($AF679=0,0,IF($G679&gt;=CurrentWeek-RecencyWin,TotRecency,1))</f>
        <v>0</v>
      </c>
      <c r="AK679" s="2">
        <f t="shared" si="9"/>
        <v>0</v>
      </c>
      <c r="AL679" s="2">
        <f t="shared" si="10"/>
        <v>0</v>
      </c>
      <c r="AM679" s="2">
        <f t="array" ref="AM679">IF($K679="",0,IFERROR(INDEX(CALC!$F$2:$F$33,MATCH($K679,CALC!$A$2:$A$33,0)),0))</f>
        <v>0</v>
      </c>
      <c r="AN679" s="2">
        <f t="array" ref="AN679">IF($K679="",0,IFERROR(INDEX(CALC!$I$2:$I$33,MATCH($K679,CALC!$A$2:$A$33,0)),0))</f>
        <v>0</v>
      </c>
      <c r="AO679" s="2">
        <f t="array" ref="AO679">IF($K679="",0,IFERROR(INDEX(CALC!$L$2:$L$33,MATCH($K679,CALC!$A$2:$A$33,0)),0))</f>
        <v>0</v>
      </c>
      <c r="AP679" s="2">
        <f t="array" ref="AP679">IF($K679="",0,IFERROR(INDEX(CALC!$T$2:$T$33,MATCH($K679,CALC!$A$2:$A$33,0)),0))</f>
        <v>0</v>
      </c>
      <c r="AQ679" s="2">
        <f t="array" ref="AQ679">IF($K679="",0,IFERROR(INDEX(CALC!$W$2:$W$33,MATCH($K679,CALC!$A$2:$A$33,0)),0))</f>
        <v>0</v>
      </c>
      <c r="AR679" s="2">
        <f t="array" ref="AR679">IF($K679="",0,IFERROR(INDEX(CALC!$Z$2:$Z$33,MATCH($K679,CALC!$A$2:$A$33,0)),0))</f>
        <v>0</v>
      </c>
      <c r="AS679" s="2">
        <f t="array" ref="AS679">IF($K679="",0,IFERROR(INDEX(CALC!$AJ$2:$AJ$33,MATCH($K679,CALC!$A$2:$A$33,0)),0))</f>
        <v>0</v>
      </c>
      <c r="AT679" s="2">
        <f t="array" ref="AT679">IF($K679="",0,IFERROR(INDEX(CALC!$AI$2:$AI$33,MATCH($K679,CALC!$A$2:$A$33,0)),0))</f>
        <v>0</v>
      </c>
      <c r="AU679" s="2">
        <f t="shared" si="11"/>
        <v>0</v>
      </c>
      <c r="AV679" s="2">
        <f t="shared" si="12"/>
        <v>0</v>
      </c>
    </row>
    <row r="680" ht="15.0" customHeight="1">
      <c r="A680" s="2">
        <v>339.0</v>
      </c>
      <c r="B680" s="2" t="s">
        <v>2366</v>
      </c>
      <c r="C680" s="2" t="str">
        <f>IFERROR(MATCH($A680,SchedSeq,0),"")</f>
        <v/>
      </c>
      <c r="D680" s="2" t="str">
        <f t="array" ref="D680">IF($C680="","",INDEX(SchedZone,$C680,MAP!$B$6))</f>
        <v/>
      </c>
      <c r="E680" s="2" t="str">
        <f t="array" ref="E680">IF($C680="","",INDEX(SchedZone,$C680,MAP!$B$3))</f>
        <v/>
      </c>
      <c r="F680" s="2" t="str">
        <f t="array" ref="F680">IF($C680="","",INDEX(SchedZone,$C680,MAP!$B$5))</f>
        <v/>
      </c>
      <c r="G680" s="2" t="str">
        <f t="array" ref="G680">IF($C680="","",INDEX(SchedZone,$C680,MAP!$B$4))</f>
        <v/>
      </c>
      <c r="H680" s="2" t="str">
        <f t="array" ref="H680">IF($C680="","",INDEX(SchedZone,$C680,MAP!$B$10))</f>
        <v/>
      </c>
      <c r="I680" s="2" t="str">
        <f t="array" ref="I680">IF($H680="","",IF(COUNTIF(Teams,$H680)&gt;0,$H680,IFERROR(INDEX(LISTS!$D$2:$D$12,MATCH($H680,LISTS!$C$2:$C$12,0)),"⚠ "&amp;$H680)))</f>
        <v/>
      </c>
      <c r="J680" s="2" t="str">
        <f t="array" ref="J680">IF($C680="","",INDEX(SchedZone,$C680,MAP!$B$12))</f>
        <v/>
      </c>
      <c r="K680" s="2" t="str">
        <f t="array" ref="K680">IF($J680="","",IF(COUNTIF(Teams,$J680)&gt;0,$J680,IFERROR(INDEX(LISTS!$D$2:$D$12,MATCH($J680,LISTS!$C$2:$C$12,0)),"⚠ "&amp;$J680)))</f>
        <v/>
      </c>
      <c r="L680" s="2" t="str">
        <f t="array" ref="L680">IF($C680="","",IF(INDEX(SchedZone,$C680,MAP!$B$14)="Neutral","N",IF($B680="HOME","H","A")))</f>
        <v/>
      </c>
      <c r="M680" s="2" t="str">
        <f t="array" ref="M680">IF($C680="","",IF(INDEX(SchedZone,$C680,MAP!$B$11)="","",INDEX(SchedZone,$C680,MAP!$B$11)))</f>
        <v/>
      </c>
      <c r="N680" s="2" t="str">
        <f t="array" ref="N680">IF($C680="","",IF(INDEX(SchedZone,$C680,MAP!$B$13)="","",INDEX(SchedZone,$C680,MAP!$B$13)))</f>
        <v/>
      </c>
      <c r="O680" s="2" t="str">
        <f t="array" ref="O680">IF($C680="","",INDEX(SchedZone,$C680,MAP!$B$15))</f>
        <v/>
      </c>
      <c r="P680" s="2" t="str">
        <f>IF($C680="","",IFERROR(MATCH($E680&amp;"|"&amp;$G680&amp;"|"&amp;$I680,StatsKey,0),""))</f>
        <v/>
      </c>
      <c r="Q680" s="2">
        <f t="array" ref="Q680">IF($P680="",0,INDEX(StatsZone,$P680,MAP!$E$9)+INDEX(StatsZone,$P680,MAP!$E$10)+INDEX(StatsZone,$P680,MAP!$E$11))</f>
        <v>0</v>
      </c>
      <c r="R680" s="2">
        <f t="array" ref="R680">IF($P680="",0,INDEX(StatsZone,$P680,MAP!$E$12))</f>
        <v>0</v>
      </c>
      <c r="S680" s="2">
        <f t="array" ref="S680">IF($P680="",0,INDEX(StatsZone,$P680,MAP!$E$13))</f>
        <v>0</v>
      </c>
      <c r="T680" s="2">
        <f t="shared" si="1"/>
        <v>0</v>
      </c>
      <c r="U680" s="2">
        <f t="array" ref="U680">IF($P680="",0,INDEX(StatsZone,$P680,MAP!$E$14)+INDEX(StatsZone,$P680,MAP!$E$15)+INDEX(StatsZone,$P680,MAP!$E$16))</f>
        <v>0</v>
      </c>
      <c r="V680" s="2">
        <f t="shared" si="2"/>
        <v>0</v>
      </c>
      <c r="W680" s="2">
        <f t="shared" si="3"/>
        <v>0</v>
      </c>
      <c r="X680" s="2">
        <f t="shared" si="4"/>
        <v>0</v>
      </c>
      <c r="Y680" s="2">
        <f t="shared" si="5"/>
        <v>0</v>
      </c>
      <c r="Z680" s="2">
        <f t="shared" si="6"/>
        <v>0</v>
      </c>
      <c r="AA680" s="2">
        <f t="shared" si="7"/>
        <v>0</v>
      </c>
      <c r="AB680" s="2">
        <f>IF(OR($M680="",$N680=""),0,MEDIAN(-MarginCap,MarginCap,($M680-$N680)-$AA680*HFA_Base))</f>
        <v>0</v>
      </c>
      <c r="AC680" s="2">
        <f t="array" ref="AC680">IF(OR($P680="",INDEX($P$3:$P$722,(ROW()+IF(MOD(ROW()-3,2)=0,1,-1))-3+1)=""),0,MEDIAN(-MarginCap,MarginCap,($T680-$W680)-$AA680*HFA_Base))</f>
        <v>0</v>
      </c>
      <c r="AD680" s="2">
        <f t="shared" si="8"/>
        <v>0</v>
      </c>
      <c r="AE680" s="2">
        <f>IF(OR($M680="",$N680=""),0,IF(AND(WEpa&gt;0,$AD680=1),(1-WEpa)*$AB680+WEpa*$AC680,$AB680))</f>
        <v>0</v>
      </c>
      <c r="AF680" s="2">
        <f>IF(AND($C680&lt;&gt;"",$E680=CurrentSeason,$F680="REG",ISNUMBER($G680),$G680&lt;CurrentWeek,AND($M680&lt;&gt;"",$N680&lt;&gt;"")),1,0)</f>
        <v>0</v>
      </c>
      <c r="AG680" s="2">
        <f>IF($AF680=0,0,IF($G680&gt;=CurrentWeek-RecencyWin,RecencyMult,1))</f>
        <v>0</v>
      </c>
      <c r="AH680" s="2">
        <f>IF(AND($C680&lt;&gt;"",$E680=CurrentSeason,$F680="REG",ISNUMBER($G680),$G680&lt;CurrentWeek-1,AND($M680&lt;&gt;"",$N680&lt;&gt;"")),1,0)</f>
        <v>0</v>
      </c>
      <c r="AI680" s="2">
        <f>IF($AH680=0,0,IF($G680&gt;=CurrentWeek-1-RecencyWin,RecencyMult,1))</f>
        <v>0</v>
      </c>
      <c r="AJ680" s="2">
        <f>IF($AF680=0,0,IF($G680&gt;=CurrentWeek-RecencyWin,TotRecency,1))</f>
        <v>0</v>
      </c>
      <c r="AK680" s="2">
        <f t="shared" si="9"/>
        <v>0</v>
      </c>
      <c r="AL680" s="2">
        <f t="shared" si="10"/>
        <v>0</v>
      </c>
      <c r="AM680" s="2">
        <f t="array" ref="AM680">IF($K680="",0,IFERROR(INDEX(CALC!$F$2:$F$33,MATCH($K680,CALC!$A$2:$A$33,0)),0))</f>
        <v>0</v>
      </c>
      <c r="AN680" s="2">
        <f t="array" ref="AN680">IF($K680="",0,IFERROR(INDEX(CALC!$I$2:$I$33,MATCH($K680,CALC!$A$2:$A$33,0)),0))</f>
        <v>0</v>
      </c>
      <c r="AO680" s="2">
        <f t="array" ref="AO680">IF($K680="",0,IFERROR(INDEX(CALC!$L$2:$L$33,MATCH($K680,CALC!$A$2:$A$33,0)),0))</f>
        <v>0</v>
      </c>
      <c r="AP680" s="2">
        <f t="array" ref="AP680">IF($K680="",0,IFERROR(INDEX(CALC!$T$2:$T$33,MATCH($K680,CALC!$A$2:$A$33,0)),0))</f>
        <v>0</v>
      </c>
      <c r="AQ680" s="2">
        <f t="array" ref="AQ680">IF($K680="",0,IFERROR(INDEX(CALC!$W$2:$W$33,MATCH($K680,CALC!$A$2:$A$33,0)),0))</f>
        <v>0</v>
      </c>
      <c r="AR680" s="2">
        <f t="array" ref="AR680">IF($K680="",0,IFERROR(INDEX(CALC!$Z$2:$Z$33,MATCH($K680,CALC!$A$2:$A$33,0)),0))</f>
        <v>0</v>
      </c>
      <c r="AS680" s="2">
        <f t="array" ref="AS680">IF($K680="",0,IFERROR(INDEX(CALC!$AJ$2:$AJ$33,MATCH($K680,CALC!$A$2:$A$33,0)),0))</f>
        <v>0</v>
      </c>
      <c r="AT680" s="2">
        <f t="array" ref="AT680">IF($K680="",0,IFERROR(INDEX(CALC!$AI$2:$AI$33,MATCH($K680,CALC!$A$2:$A$33,0)),0))</f>
        <v>0</v>
      </c>
      <c r="AU680" s="2">
        <f t="shared" si="11"/>
        <v>0</v>
      </c>
      <c r="AV680" s="2">
        <f t="shared" si="12"/>
        <v>0</v>
      </c>
    </row>
    <row r="681" ht="15.0" customHeight="1">
      <c r="A681" s="2">
        <v>340.0</v>
      </c>
      <c r="B681" s="2" t="s">
        <v>2365</v>
      </c>
      <c r="C681" s="2" t="str">
        <f>IFERROR(MATCH($A681,SchedSeq,0),"")</f>
        <v/>
      </c>
      <c r="D681" s="2" t="str">
        <f t="array" ref="D681">IF($C681="","",INDEX(SchedZone,$C681,MAP!$B$6))</f>
        <v/>
      </c>
      <c r="E681" s="2" t="str">
        <f t="array" ref="E681">IF($C681="","",INDEX(SchedZone,$C681,MAP!$B$3))</f>
        <v/>
      </c>
      <c r="F681" s="2" t="str">
        <f t="array" ref="F681">IF($C681="","",INDEX(SchedZone,$C681,MAP!$B$5))</f>
        <v/>
      </c>
      <c r="G681" s="2" t="str">
        <f t="array" ref="G681">IF($C681="","",INDEX(SchedZone,$C681,MAP!$B$4))</f>
        <v/>
      </c>
      <c r="H681" s="2" t="str">
        <f t="array" ref="H681">IF($C681="","",INDEX(SchedZone,$C681,MAP!$B$12))</f>
        <v/>
      </c>
      <c r="I681" s="2" t="str">
        <f t="array" ref="I681">IF($H681="","",IF(COUNTIF(Teams,$H681)&gt;0,$H681,IFERROR(INDEX(LISTS!$D$2:$D$12,MATCH($H681,LISTS!$C$2:$C$12,0)),"⚠ "&amp;$H681)))</f>
        <v/>
      </c>
      <c r="J681" s="2" t="str">
        <f t="array" ref="J681">IF($C681="","",INDEX(SchedZone,$C681,MAP!$B$10))</f>
        <v/>
      </c>
      <c r="K681" s="2" t="str">
        <f t="array" ref="K681">IF($J681="","",IF(COUNTIF(Teams,$J681)&gt;0,$J681,IFERROR(INDEX(LISTS!$D$2:$D$12,MATCH($J681,LISTS!$C$2:$C$12,0)),"⚠ "&amp;$J681)))</f>
        <v/>
      </c>
      <c r="L681" s="2" t="str">
        <f t="array" ref="L681">IF($C681="","",IF(INDEX(SchedZone,$C681,MAP!$B$14)="Neutral","N",IF($B681="HOME","H","A")))</f>
        <v/>
      </c>
      <c r="M681" s="2" t="str">
        <f t="array" ref="M681">IF($C681="","",IF(INDEX(SchedZone,$C681,MAP!$B$13)="","",INDEX(SchedZone,$C681,MAP!$B$13)))</f>
        <v/>
      </c>
      <c r="N681" s="2" t="str">
        <f t="array" ref="N681">IF($C681="","",IF(INDEX(SchedZone,$C681,MAP!$B$11)="","",INDEX(SchedZone,$C681,MAP!$B$11)))</f>
        <v/>
      </c>
      <c r="O681" s="2" t="str">
        <f t="array" ref="O681">IF($C681="","",INDEX(SchedZone,$C681,MAP!$B$16))</f>
        <v/>
      </c>
      <c r="P681" s="2" t="str">
        <f>IF($C681="","",IFERROR(MATCH($E681&amp;"|"&amp;$G681&amp;"|"&amp;$I681,StatsKey,0),""))</f>
        <v/>
      </c>
      <c r="Q681" s="2">
        <f t="array" ref="Q681">IF($P681="",0,INDEX(StatsZone,$P681,MAP!$E$9)+INDEX(StatsZone,$P681,MAP!$E$10)+INDEX(StatsZone,$P681,MAP!$E$11))</f>
        <v>0</v>
      </c>
      <c r="R681" s="2">
        <f t="array" ref="R681">IF($P681="",0,INDEX(StatsZone,$P681,MAP!$E$12))</f>
        <v>0</v>
      </c>
      <c r="S681" s="2">
        <f t="array" ref="S681">IF($P681="",0,INDEX(StatsZone,$P681,MAP!$E$13))</f>
        <v>0</v>
      </c>
      <c r="T681" s="2">
        <f t="shared" si="1"/>
        <v>0</v>
      </c>
      <c r="U681" s="2">
        <f t="array" ref="U681">IF($P681="",0,INDEX(StatsZone,$P681,MAP!$E$14)+INDEX(StatsZone,$P681,MAP!$E$15)+INDEX(StatsZone,$P681,MAP!$E$16))</f>
        <v>0</v>
      </c>
      <c r="V681" s="2">
        <f t="shared" si="2"/>
        <v>0</v>
      </c>
      <c r="W681" s="2">
        <f t="shared" si="3"/>
        <v>0</v>
      </c>
      <c r="X681" s="2">
        <f t="shared" si="4"/>
        <v>0</v>
      </c>
      <c r="Y681" s="2">
        <f t="shared" si="5"/>
        <v>0</v>
      </c>
      <c r="Z681" s="2">
        <f t="shared" si="6"/>
        <v>0</v>
      </c>
      <c r="AA681" s="2">
        <f t="shared" si="7"/>
        <v>0</v>
      </c>
      <c r="AB681" s="2">
        <f>IF(OR($M681="",$N681=""),0,MEDIAN(-MarginCap,MarginCap,($M681-$N681)-$AA681*HFA_Base))</f>
        <v>0</v>
      </c>
      <c r="AC681" s="2">
        <f t="array" ref="AC681">IF(OR($P681="",INDEX($P$3:$P$722,(ROW()+IF(MOD(ROW()-3,2)=0,1,-1))-3+1)=""),0,MEDIAN(-MarginCap,MarginCap,($T681-$W681)-$AA681*HFA_Base))</f>
        <v>0</v>
      </c>
      <c r="AD681" s="2">
        <f t="shared" si="8"/>
        <v>0</v>
      </c>
      <c r="AE681" s="2">
        <f>IF(OR($M681="",$N681=""),0,IF(AND(WEpa&gt;0,$AD681=1),(1-WEpa)*$AB681+WEpa*$AC681,$AB681))</f>
        <v>0</v>
      </c>
      <c r="AF681" s="2">
        <f>IF(AND($C681&lt;&gt;"",$E681=CurrentSeason,$F681="REG",ISNUMBER($G681),$G681&lt;CurrentWeek,AND($M681&lt;&gt;"",$N681&lt;&gt;"")),1,0)</f>
        <v>0</v>
      </c>
      <c r="AG681" s="2">
        <f>IF($AF681=0,0,IF($G681&gt;=CurrentWeek-RecencyWin,RecencyMult,1))</f>
        <v>0</v>
      </c>
      <c r="AH681" s="2">
        <f>IF(AND($C681&lt;&gt;"",$E681=CurrentSeason,$F681="REG",ISNUMBER($G681),$G681&lt;CurrentWeek-1,AND($M681&lt;&gt;"",$N681&lt;&gt;"")),1,0)</f>
        <v>0</v>
      </c>
      <c r="AI681" s="2">
        <f>IF($AH681=0,0,IF($G681&gt;=CurrentWeek-1-RecencyWin,RecencyMult,1))</f>
        <v>0</v>
      </c>
      <c r="AJ681" s="2">
        <f>IF($AF681=0,0,IF($G681&gt;=CurrentWeek-RecencyWin,TotRecency,1))</f>
        <v>0</v>
      </c>
      <c r="AK681" s="2">
        <f t="shared" si="9"/>
        <v>0</v>
      </c>
      <c r="AL681" s="2">
        <f t="shared" si="10"/>
        <v>0</v>
      </c>
      <c r="AM681" s="2">
        <f t="array" ref="AM681">IF($K681="",0,IFERROR(INDEX(CALC!$F$2:$F$33,MATCH($K681,CALC!$A$2:$A$33,0)),0))</f>
        <v>0</v>
      </c>
      <c r="AN681" s="2">
        <f t="array" ref="AN681">IF($K681="",0,IFERROR(INDEX(CALC!$I$2:$I$33,MATCH($K681,CALC!$A$2:$A$33,0)),0))</f>
        <v>0</v>
      </c>
      <c r="AO681" s="2">
        <f t="array" ref="AO681">IF($K681="",0,IFERROR(INDEX(CALC!$L$2:$L$33,MATCH($K681,CALC!$A$2:$A$33,0)),0))</f>
        <v>0</v>
      </c>
      <c r="AP681" s="2">
        <f t="array" ref="AP681">IF($K681="",0,IFERROR(INDEX(CALC!$T$2:$T$33,MATCH($K681,CALC!$A$2:$A$33,0)),0))</f>
        <v>0</v>
      </c>
      <c r="AQ681" s="2">
        <f t="array" ref="AQ681">IF($K681="",0,IFERROR(INDEX(CALC!$W$2:$W$33,MATCH($K681,CALC!$A$2:$A$33,0)),0))</f>
        <v>0</v>
      </c>
      <c r="AR681" s="2">
        <f t="array" ref="AR681">IF($K681="",0,IFERROR(INDEX(CALC!$Z$2:$Z$33,MATCH($K681,CALC!$A$2:$A$33,0)),0))</f>
        <v>0</v>
      </c>
      <c r="AS681" s="2">
        <f t="array" ref="AS681">IF($K681="",0,IFERROR(INDEX(CALC!$AJ$2:$AJ$33,MATCH($K681,CALC!$A$2:$A$33,0)),0))</f>
        <v>0</v>
      </c>
      <c r="AT681" s="2">
        <f t="array" ref="AT681">IF($K681="",0,IFERROR(INDEX(CALC!$AI$2:$AI$33,MATCH($K681,CALC!$A$2:$A$33,0)),0))</f>
        <v>0</v>
      </c>
      <c r="AU681" s="2">
        <f t="shared" si="11"/>
        <v>0</v>
      </c>
      <c r="AV681" s="2">
        <f t="shared" si="12"/>
        <v>0</v>
      </c>
    </row>
    <row r="682" ht="15.0" customHeight="1">
      <c r="A682" s="2">
        <v>340.0</v>
      </c>
      <c r="B682" s="2" t="s">
        <v>2366</v>
      </c>
      <c r="C682" s="2" t="str">
        <f>IFERROR(MATCH($A682,SchedSeq,0),"")</f>
        <v/>
      </c>
      <c r="D682" s="2" t="str">
        <f t="array" ref="D682">IF($C682="","",INDEX(SchedZone,$C682,MAP!$B$6))</f>
        <v/>
      </c>
      <c r="E682" s="2" t="str">
        <f t="array" ref="E682">IF($C682="","",INDEX(SchedZone,$C682,MAP!$B$3))</f>
        <v/>
      </c>
      <c r="F682" s="2" t="str">
        <f t="array" ref="F682">IF($C682="","",INDEX(SchedZone,$C682,MAP!$B$5))</f>
        <v/>
      </c>
      <c r="G682" s="2" t="str">
        <f t="array" ref="G682">IF($C682="","",INDEX(SchedZone,$C682,MAP!$B$4))</f>
        <v/>
      </c>
      <c r="H682" s="2" t="str">
        <f t="array" ref="H682">IF($C682="","",INDEX(SchedZone,$C682,MAP!$B$10))</f>
        <v/>
      </c>
      <c r="I682" s="2" t="str">
        <f t="array" ref="I682">IF($H682="","",IF(COUNTIF(Teams,$H682)&gt;0,$H682,IFERROR(INDEX(LISTS!$D$2:$D$12,MATCH($H682,LISTS!$C$2:$C$12,0)),"⚠ "&amp;$H682)))</f>
        <v/>
      </c>
      <c r="J682" s="2" t="str">
        <f t="array" ref="J682">IF($C682="","",INDEX(SchedZone,$C682,MAP!$B$12))</f>
        <v/>
      </c>
      <c r="K682" s="2" t="str">
        <f t="array" ref="K682">IF($J682="","",IF(COUNTIF(Teams,$J682)&gt;0,$J682,IFERROR(INDEX(LISTS!$D$2:$D$12,MATCH($J682,LISTS!$C$2:$C$12,0)),"⚠ "&amp;$J682)))</f>
        <v/>
      </c>
      <c r="L682" s="2" t="str">
        <f t="array" ref="L682">IF($C682="","",IF(INDEX(SchedZone,$C682,MAP!$B$14)="Neutral","N",IF($B682="HOME","H","A")))</f>
        <v/>
      </c>
      <c r="M682" s="2" t="str">
        <f t="array" ref="M682">IF($C682="","",IF(INDEX(SchedZone,$C682,MAP!$B$11)="","",INDEX(SchedZone,$C682,MAP!$B$11)))</f>
        <v/>
      </c>
      <c r="N682" s="2" t="str">
        <f t="array" ref="N682">IF($C682="","",IF(INDEX(SchedZone,$C682,MAP!$B$13)="","",INDEX(SchedZone,$C682,MAP!$B$13)))</f>
        <v/>
      </c>
      <c r="O682" s="2" t="str">
        <f t="array" ref="O682">IF($C682="","",INDEX(SchedZone,$C682,MAP!$B$15))</f>
        <v/>
      </c>
      <c r="P682" s="2" t="str">
        <f>IF($C682="","",IFERROR(MATCH($E682&amp;"|"&amp;$G682&amp;"|"&amp;$I682,StatsKey,0),""))</f>
        <v/>
      </c>
      <c r="Q682" s="2">
        <f t="array" ref="Q682">IF($P682="",0,INDEX(StatsZone,$P682,MAP!$E$9)+INDEX(StatsZone,$P682,MAP!$E$10)+INDEX(StatsZone,$P682,MAP!$E$11))</f>
        <v>0</v>
      </c>
      <c r="R682" s="2">
        <f t="array" ref="R682">IF($P682="",0,INDEX(StatsZone,$P682,MAP!$E$12))</f>
        <v>0</v>
      </c>
      <c r="S682" s="2">
        <f t="array" ref="S682">IF($P682="",0,INDEX(StatsZone,$P682,MAP!$E$13))</f>
        <v>0</v>
      </c>
      <c r="T682" s="2">
        <f t="shared" si="1"/>
        <v>0</v>
      </c>
      <c r="U682" s="2">
        <f t="array" ref="U682">IF($P682="",0,INDEX(StatsZone,$P682,MAP!$E$14)+INDEX(StatsZone,$P682,MAP!$E$15)+INDEX(StatsZone,$P682,MAP!$E$16))</f>
        <v>0</v>
      </c>
      <c r="V682" s="2">
        <f t="shared" si="2"/>
        <v>0</v>
      </c>
      <c r="W682" s="2">
        <f t="shared" si="3"/>
        <v>0</v>
      </c>
      <c r="X682" s="2">
        <f t="shared" si="4"/>
        <v>0</v>
      </c>
      <c r="Y682" s="2">
        <f t="shared" si="5"/>
        <v>0</v>
      </c>
      <c r="Z682" s="2">
        <f t="shared" si="6"/>
        <v>0</v>
      </c>
      <c r="AA682" s="2">
        <f t="shared" si="7"/>
        <v>0</v>
      </c>
      <c r="AB682" s="2">
        <f>IF(OR($M682="",$N682=""),0,MEDIAN(-MarginCap,MarginCap,($M682-$N682)-$AA682*HFA_Base))</f>
        <v>0</v>
      </c>
      <c r="AC682" s="2">
        <f t="array" ref="AC682">IF(OR($P682="",INDEX($P$3:$P$722,(ROW()+IF(MOD(ROW()-3,2)=0,1,-1))-3+1)=""),0,MEDIAN(-MarginCap,MarginCap,($T682-$W682)-$AA682*HFA_Base))</f>
        <v>0</v>
      </c>
      <c r="AD682" s="2">
        <f t="shared" si="8"/>
        <v>0</v>
      </c>
      <c r="AE682" s="2">
        <f>IF(OR($M682="",$N682=""),0,IF(AND(WEpa&gt;0,$AD682=1),(1-WEpa)*$AB682+WEpa*$AC682,$AB682))</f>
        <v>0</v>
      </c>
      <c r="AF682" s="2">
        <f>IF(AND($C682&lt;&gt;"",$E682=CurrentSeason,$F682="REG",ISNUMBER($G682),$G682&lt;CurrentWeek,AND($M682&lt;&gt;"",$N682&lt;&gt;"")),1,0)</f>
        <v>0</v>
      </c>
      <c r="AG682" s="2">
        <f>IF($AF682=0,0,IF($G682&gt;=CurrentWeek-RecencyWin,RecencyMult,1))</f>
        <v>0</v>
      </c>
      <c r="AH682" s="2">
        <f>IF(AND($C682&lt;&gt;"",$E682=CurrentSeason,$F682="REG",ISNUMBER($G682),$G682&lt;CurrentWeek-1,AND($M682&lt;&gt;"",$N682&lt;&gt;"")),1,0)</f>
        <v>0</v>
      </c>
      <c r="AI682" s="2">
        <f>IF($AH682=0,0,IF($G682&gt;=CurrentWeek-1-RecencyWin,RecencyMult,1))</f>
        <v>0</v>
      </c>
      <c r="AJ682" s="2">
        <f>IF($AF682=0,0,IF($G682&gt;=CurrentWeek-RecencyWin,TotRecency,1))</f>
        <v>0</v>
      </c>
      <c r="AK682" s="2">
        <f t="shared" si="9"/>
        <v>0</v>
      </c>
      <c r="AL682" s="2">
        <f t="shared" si="10"/>
        <v>0</v>
      </c>
      <c r="AM682" s="2">
        <f t="array" ref="AM682">IF($K682="",0,IFERROR(INDEX(CALC!$F$2:$F$33,MATCH($K682,CALC!$A$2:$A$33,0)),0))</f>
        <v>0</v>
      </c>
      <c r="AN682" s="2">
        <f t="array" ref="AN682">IF($K682="",0,IFERROR(INDEX(CALC!$I$2:$I$33,MATCH($K682,CALC!$A$2:$A$33,0)),0))</f>
        <v>0</v>
      </c>
      <c r="AO682" s="2">
        <f t="array" ref="AO682">IF($K682="",0,IFERROR(INDEX(CALC!$L$2:$L$33,MATCH($K682,CALC!$A$2:$A$33,0)),0))</f>
        <v>0</v>
      </c>
      <c r="AP682" s="2">
        <f t="array" ref="AP682">IF($K682="",0,IFERROR(INDEX(CALC!$T$2:$T$33,MATCH($K682,CALC!$A$2:$A$33,0)),0))</f>
        <v>0</v>
      </c>
      <c r="AQ682" s="2">
        <f t="array" ref="AQ682">IF($K682="",0,IFERROR(INDEX(CALC!$W$2:$W$33,MATCH($K682,CALC!$A$2:$A$33,0)),0))</f>
        <v>0</v>
      </c>
      <c r="AR682" s="2">
        <f t="array" ref="AR682">IF($K682="",0,IFERROR(INDEX(CALC!$Z$2:$Z$33,MATCH($K682,CALC!$A$2:$A$33,0)),0))</f>
        <v>0</v>
      </c>
      <c r="AS682" s="2">
        <f t="array" ref="AS682">IF($K682="",0,IFERROR(INDEX(CALC!$AJ$2:$AJ$33,MATCH($K682,CALC!$A$2:$A$33,0)),0))</f>
        <v>0</v>
      </c>
      <c r="AT682" s="2">
        <f t="array" ref="AT682">IF($K682="",0,IFERROR(INDEX(CALC!$AI$2:$AI$33,MATCH($K682,CALC!$A$2:$A$33,0)),0))</f>
        <v>0</v>
      </c>
      <c r="AU682" s="2">
        <f t="shared" si="11"/>
        <v>0</v>
      </c>
      <c r="AV682" s="2">
        <f t="shared" si="12"/>
        <v>0</v>
      </c>
    </row>
    <row r="683" ht="15.0" customHeight="1">
      <c r="A683" s="2">
        <v>341.0</v>
      </c>
      <c r="B683" s="2" t="s">
        <v>2365</v>
      </c>
      <c r="C683" s="2" t="str">
        <f>IFERROR(MATCH($A683,SchedSeq,0),"")</f>
        <v/>
      </c>
      <c r="D683" s="2" t="str">
        <f t="array" ref="D683">IF($C683="","",INDEX(SchedZone,$C683,MAP!$B$6))</f>
        <v/>
      </c>
      <c r="E683" s="2" t="str">
        <f t="array" ref="E683">IF($C683="","",INDEX(SchedZone,$C683,MAP!$B$3))</f>
        <v/>
      </c>
      <c r="F683" s="2" t="str">
        <f t="array" ref="F683">IF($C683="","",INDEX(SchedZone,$C683,MAP!$B$5))</f>
        <v/>
      </c>
      <c r="G683" s="2" t="str">
        <f t="array" ref="G683">IF($C683="","",INDEX(SchedZone,$C683,MAP!$B$4))</f>
        <v/>
      </c>
      <c r="H683" s="2" t="str">
        <f t="array" ref="H683">IF($C683="","",INDEX(SchedZone,$C683,MAP!$B$12))</f>
        <v/>
      </c>
      <c r="I683" s="2" t="str">
        <f t="array" ref="I683">IF($H683="","",IF(COUNTIF(Teams,$H683)&gt;0,$H683,IFERROR(INDEX(LISTS!$D$2:$D$12,MATCH($H683,LISTS!$C$2:$C$12,0)),"⚠ "&amp;$H683)))</f>
        <v/>
      </c>
      <c r="J683" s="2" t="str">
        <f t="array" ref="J683">IF($C683="","",INDEX(SchedZone,$C683,MAP!$B$10))</f>
        <v/>
      </c>
      <c r="K683" s="2" t="str">
        <f t="array" ref="K683">IF($J683="","",IF(COUNTIF(Teams,$J683)&gt;0,$J683,IFERROR(INDEX(LISTS!$D$2:$D$12,MATCH($J683,LISTS!$C$2:$C$12,0)),"⚠ "&amp;$J683)))</f>
        <v/>
      </c>
      <c r="L683" s="2" t="str">
        <f t="array" ref="L683">IF($C683="","",IF(INDEX(SchedZone,$C683,MAP!$B$14)="Neutral","N",IF($B683="HOME","H","A")))</f>
        <v/>
      </c>
      <c r="M683" s="2" t="str">
        <f t="array" ref="M683">IF($C683="","",IF(INDEX(SchedZone,$C683,MAP!$B$13)="","",INDEX(SchedZone,$C683,MAP!$B$13)))</f>
        <v/>
      </c>
      <c r="N683" s="2" t="str">
        <f t="array" ref="N683">IF($C683="","",IF(INDEX(SchedZone,$C683,MAP!$B$11)="","",INDEX(SchedZone,$C683,MAP!$B$11)))</f>
        <v/>
      </c>
      <c r="O683" s="2" t="str">
        <f t="array" ref="O683">IF($C683="","",INDEX(SchedZone,$C683,MAP!$B$16))</f>
        <v/>
      </c>
      <c r="P683" s="2" t="str">
        <f>IF($C683="","",IFERROR(MATCH($E683&amp;"|"&amp;$G683&amp;"|"&amp;$I683,StatsKey,0),""))</f>
        <v/>
      </c>
      <c r="Q683" s="2">
        <f t="array" ref="Q683">IF($P683="",0,INDEX(StatsZone,$P683,MAP!$E$9)+INDEX(StatsZone,$P683,MAP!$E$10)+INDEX(StatsZone,$P683,MAP!$E$11))</f>
        <v>0</v>
      </c>
      <c r="R683" s="2">
        <f t="array" ref="R683">IF($P683="",0,INDEX(StatsZone,$P683,MAP!$E$12))</f>
        <v>0</v>
      </c>
      <c r="S683" s="2">
        <f t="array" ref="S683">IF($P683="",0,INDEX(StatsZone,$P683,MAP!$E$13))</f>
        <v>0</v>
      </c>
      <c r="T683" s="2">
        <f t="shared" si="1"/>
        <v>0</v>
      </c>
      <c r="U683" s="2">
        <f t="array" ref="U683">IF($P683="",0,INDEX(StatsZone,$P683,MAP!$E$14)+INDEX(StatsZone,$P683,MAP!$E$15)+INDEX(StatsZone,$P683,MAP!$E$16))</f>
        <v>0</v>
      </c>
      <c r="V683" s="2">
        <f t="shared" si="2"/>
        <v>0</v>
      </c>
      <c r="W683" s="2">
        <f t="shared" si="3"/>
        <v>0</v>
      </c>
      <c r="X683" s="2">
        <f t="shared" si="4"/>
        <v>0</v>
      </c>
      <c r="Y683" s="2">
        <f t="shared" si="5"/>
        <v>0</v>
      </c>
      <c r="Z683" s="2">
        <f t="shared" si="6"/>
        <v>0</v>
      </c>
      <c r="AA683" s="2">
        <f t="shared" si="7"/>
        <v>0</v>
      </c>
      <c r="AB683" s="2">
        <f>IF(OR($M683="",$N683=""),0,MEDIAN(-MarginCap,MarginCap,($M683-$N683)-$AA683*HFA_Base))</f>
        <v>0</v>
      </c>
      <c r="AC683" s="2">
        <f t="array" ref="AC683">IF(OR($P683="",INDEX($P$3:$P$722,(ROW()+IF(MOD(ROW()-3,2)=0,1,-1))-3+1)=""),0,MEDIAN(-MarginCap,MarginCap,($T683-$W683)-$AA683*HFA_Base))</f>
        <v>0</v>
      </c>
      <c r="AD683" s="2">
        <f t="shared" si="8"/>
        <v>0</v>
      </c>
      <c r="AE683" s="2">
        <f>IF(OR($M683="",$N683=""),0,IF(AND(WEpa&gt;0,$AD683=1),(1-WEpa)*$AB683+WEpa*$AC683,$AB683))</f>
        <v>0</v>
      </c>
      <c r="AF683" s="2">
        <f>IF(AND($C683&lt;&gt;"",$E683=CurrentSeason,$F683="REG",ISNUMBER($G683),$G683&lt;CurrentWeek,AND($M683&lt;&gt;"",$N683&lt;&gt;"")),1,0)</f>
        <v>0</v>
      </c>
      <c r="AG683" s="2">
        <f>IF($AF683=0,0,IF($G683&gt;=CurrentWeek-RecencyWin,RecencyMult,1))</f>
        <v>0</v>
      </c>
      <c r="AH683" s="2">
        <f>IF(AND($C683&lt;&gt;"",$E683=CurrentSeason,$F683="REG",ISNUMBER($G683),$G683&lt;CurrentWeek-1,AND($M683&lt;&gt;"",$N683&lt;&gt;"")),1,0)</f>
        <v>0</v>
      </c>
      <c r="AI683" s="2">
        <f>IF($AH683=0,0,IF($G683&gt;=CurrentWeek-1-RecencyWin,RecencyMult,1))</f>
        <v>0</v>
      </c>
      <c r="AJ683" s="2">
        <f>IF($AF683=0,0,IF($G683&gt;=CurrentWeek-RecencyWin,TotRecency,1))</f>
        <v>0</v>
      </c>
      <c r="AK683" s="2">
        <f t="shared" si="9"/>
        <v>0</v>
      </c>
      <c r="AL683" s="2">
        <f t="shared" si="10"/>
        <v>0</v>
      </c>
      <c r="AM683" s="2">
        <f t="array" ref="AM683">IF($K683="",0,IFERROR(INDEX(CALC!$F$2:$F$33,MATCH($K683,CALC!$A$2:$A$33,0)),0))</f>
        <v>0</v>
      </c>
      <c r="AN683" s="2">
        <f t="array" ref="AN683">IF($K683="",0,IFERROR(INDEX(CALC!$I$2:$I$33,MATCH($K683,CALC!$A$2:$A$33,0)),0))</f>
        <v>0</v>
      </c>
      <c r="AO683" s="2">
        <f t="array" ref="AO683">IF($K683="",0,IFERROR(INDEX(CALC!$L$2:$L$33,MATCH($K683,CALC!$A$2:$A$33,0)),0))</f>
        <v>0</v>
      </c>
      <c r="AP683" s="2">
        <f t="array" ref="AP683">IF($K683="",0,IFERROR(INDEX(CALC!$T$2:$T$33,MATCH($K683,CALC!$A$2:$A$33,0)),0))</f>
        <v>0</v>
      </c>
      <c r="AQ683" s="2">
        <f t="array" ref="AQ683">IF($K683="",0,IFERROR(INDEX(CALC!$W$2:$W$33,MATCH($K683,CALC!$A$2:$A$33,0)),0))</f>
        <v>0</v>
      </c>
      <c r="AR683" s="2">
        <f t="array" ref="AR683">IF($K683="",0,IFERROR(INDEX(CALC!$Z$2:$Z$33,MATCH($K683,CALC!$A$2:$A$33,0)),0))</f>
        <v>0</v>
      </c>
      <c r="AS683" s="2">
        <f t="array" ref="AS683">IF($K683="",0,IFERROR(INDEX(CALC!$AJ$2:$AJ$33,MATCH($K683,CALC!$A$2:$A$33,0)),0))</f>
        <v>0</v>
      </c>
      <c r="AT683" s="2">
        <f t="array" ref="AT683">IF($K683="",0,IFERROR(INDEX(CALC!$AI$2:$AI$33,MATCH($K683,CALC!$A$2:$A$33,0)),0))</f>
        <v>0</v>
      </c>
      <c r="AU683" s="2">
        <f t="shared" si="11"/>
        <v>0</v>
      </c>
      <c r="AV683" s="2">
        <f t="shared" si="12"/>
        <v>0</v>
      </c>
    </row>
    <row r="684" ht="15.0" customHeight="1">
      <c r="A684" s="2">
        <v>341.0</v>
      </c>
      <c r="B684" s="2" t="s">
        <v>2366</v>
      </c>
      <c r="C684" s="2" t="str">
        <f>IFERROR(MATCH($A684,SchedSeq,0),"")</f>
        <v/>
      </c>
      <c r="D684" s="2" t="str">
        <f t="array" ref="D684">IF($C684="","",INDEX(SchedZone,$C684,MAP!$B$6))</f>
        <v/>
      </c>
      <c r="E684" s="2" t="str">
        <f t="array" ref="E684">IF($C684="","",INDEX(SchedZone,$C684,MAP!$B$3))</f>
        <v/>
      </c>
      <c r="F684" s="2" t="str">
        <f t="array" ref="F684">IF($C684="","",INDEX(SchedZone,$C684,MAP!$B$5))</f>
        <v/>
      </c>
      <c r="G684" s="2" t="str">
        <f t="array" ref="G684">IF($C684="","",INDEX(SchedZone,$C684,MAP!$B$4))</f>
        <v/>
      </c>
      <c r="H684" s="2" t="str">
        <f t="array" ref="H684">IF($C684="","",INDEX(SchedZone,$C684,MAP!$B$10))</f>
        <v/>
      </c>
      <c r="I684" s="2" t="str">
        <f t="array" ref="I684">IF($H684="","",IF(COUNTIF(Teams,$H684)&gt;0,$H684,IFERROR(INDEX(LISTS!$D$2:$D$12,MATCH($H684,LISTS!$C$2:$C$12,0)),"⚠ "&amp;$H684)))</f>
        <v/>
      </c>
      <c r="J684" s="2" t="str">
        <f t="array" ref="J684">IF($C684="","",INDEX(SchedZone,$C684,MAP!$B$12))</f>
        <v/>
      </c>
      <c r="K684" s="2" t="str">
        <f t="array" ref="K684">IF($J684="","",IF(COUNTIF(Teams,$J684)&gt;0,$J684,IFERROR(INDEX(LISTS!$D$2:$D$12,MATCH($J684,LISTS!$C$2:$C$12,0)),"⚠ "&amp;$J684)))</f>
        <v/>
      </c>
      <c r="L684" s="2" t="str">
        <f t="array" ref="L684">IF($C684="","",IF(INDEX(SchedZone,$C684,MAP!$B$14)="Neutral","N",IF($B684="HOME","H","A")))</f>
        <v/>
      </c>
      <c r="M684" s="2" t="str">
        <f t="array" ref="M684">IF($C684="","",IF(INDEX(SchedZone,$C684,MAP!$B$11)="","",INDEX(SchedZone,$C684,MAP!$B$11)))</f>
        <v/>
      </c>
      <c r="N684" s="2" t="str">
        <f t="array" ref="N684">IF($C684="","",IF(INDEX(SchedZone,$C684,MAP!$B$13)="","",INDEX(SchedZone,$C684,MAP!$B$13)))</f>
        <v/>
      </c>
      <c r="O684" s="2" t="str">
        <f t="array" ref="O684">IF($C684="","",INDEX(SchedZone,$C684,MAP!$B$15))</f>
        <v/>
      </c>
      <c r="P684" s="2" t="str">
        <f>IF($C684="","",IFERROR(MATCH($E684&amp;"|"&amp;$G684&amp;"|"&amp;$I684,StatsKey,0),""))</f>
        <v/>
      </c>
      <c r="Q684" s="2">
        <f t="array" ref="Q684">IF($P684="",0,INDEX(StatsZone,$P684,MAP!$E$9)+INDEX(StatsZone,$P684,MAP!$E$10)+INDEX(StatsZone,$P684,MAP!$E$11))</f>
        <v>0</v>
      </c>
      <c r="R684" s="2">
        <f t="array" ref="R684">IF($P684="",0,INDEX(StatsZone,$P684,MAP!$E$12))</f>
        <v>0</v>
      </c>
      <c r="S684" s="2">
        <f t="array" ref="S684">IF($P684="",0,INDEX(StatsZone,$P684,MAP!$E$13))</f>
        <v>0</v>
      </c>
      <c r="T684" s="2">
        <f t="shared" si="1"/>
        <v>0</v>
      </c>
      <c r="U684" s="2">
        <f t="array" ref="U684">IF($P684="",0,INDEX(StatsZone,$P684,MAP!$E$14)+INDEX(StatsZone,$P684,MAP!$E$15)+INDEX(StatsZone,$P684,MAP!$E$16))</f>
        <v>0</v>
      </c>
      <c r="V684" s="2">
        <f t="shared" si="2"/>
        <v>0</v>
      </c>
      <c r="W684" s="2">
        <f t="shared" si="3"/>
        <v>0</v>
      </c>
      <c r="X684" s="2">
        <f t="shared" si="4"/>
        <v>0</v>
      </c>
      <c r="Y684" s="2">
        <f t="shared" si="5"/>
        <v>0</v>
      </c>
      <c r="Z684" s="2">
        <f t="shared" si="6"/>
        <v>0</v>
      </c>
      <c r="AA684" s="2">
        <f t="shared" si="7"/>
        <v>0</v>
      </c>
      <c r="AB684" s="2">
        <f>IF(OR($M684="",$N684=""),0,MEDIAN(-MarginCap,MarginCap,($M684-$N684)-$AA684*HFA_Base))</f>
        <v>0</v>
      </c>
      <c r="AC684" s="2">
        <f t="array" ref="AC684">IF(OR($P684="",INDEX($P$3:$P$722,(ROW()+IF(MOD(ROW()-3,2)=0,1,-1))-3+1)=""),0,MEDIAN(-MarginCap,MarginCap,($T684-$W684)-$AA684*HFA_Base))</f>
        <v>0</v>
      </c>
      <c r="AD684" s="2">
        <f t="shared" si="8"/>
        <v>0</v>
      </c>
      <c r="AE684" s="2">
        <f>IF(OR($M684="",$N684=""),0,IF(AND(WEpa&gt;0,$AD684=1),(1-WEpa)*$AB684+WEpa*$AC684,$AB684))</f>
        <v>0</v>
      </c>
      <c r="AF684" s="2">
        <f>IF(AND($C684&lt;&gt;"",$E684=CurrentSeason,$F684="REG",ISNUMBER($G684),$G684&lt;CurrentWeek,AND($M684&lt;&gt;"",$N684&lt;&gt;"")),1,0)</f>
        <v>0</v>
      </c>
      <c r="AG684" s="2">
        <f>IF($AF684=0,0,IF($G684&gt;=CurrentWeek-RecencyWin,RecencyMult,1))</f>
        <v>0</v>
      </c>
      <c r="AH684" s="2">
        <f>IF(AND($C684&lt;&gt;"",$E684=CurrentSeason,$F684="REG",ISNUMBER($G684),$G684&lt;CurrentWeek-1,AND($M684&lt;&gt;"",$N684&lt;&gt;"")),1,0)</f>
        <v>0</v>
      </c>
      <c r="AI684" s="2">
        <f>IF($AH684=0,0,IF($G684&gt;=CurrentWeek-1-RecencyWin,RecencyMult,1))</f>
        <v>0</v>
      </c>
      <c r="AJ684" s="2">
        <f>IF($AF684=0,0,IF($G684&gt;=CurrentWeek-RecencyWin,TotRecency,1))</f>
        <v>0</v>
      </c>
      <c r="AK684" s="2">
        <f t="shared" si="9"/>
        <v>0</v>
      </c>
      <c r="AL684" s="2">
        <f t="shared" si="10"/>
        <v>0</v>
      </c>
      <c r="AM684" s="2">
        <f t="array" ref="AM684">IF($K684="",0,IFERROR(INDEX(CALC!$F$2:$F$33,MATCH($K684,CALC!$A$2:$A$33,0)),0))</f>
        <v>0</v>
      </c>
      <c r="AN684" s="2">
        <f t="array" ref="AN684">IF($K684="",0,IFERROR(INDEX(CALC!$I$2:$I$33,MATCH($K684,CALC!$A$2:$A$33,0)),0))</f>
        <v>0</v>
      </c>
      <c r="AO684" s="2">
        <f t="array" ref="AO684">IF($K684="",0,IFERROR(INDEX(CALC!$L$2:$L$33,MATCH($K684,CALC!$A$2:$A$33,0)),0))</f>
        <v>0</v>
      </c>
      <c r="AP684" s="2">
        <f t="array" ref="AP684">IF($K684="",0,IFERROR(INDEX(CALC!$T$2:$T$33,MATCH($K684,CALC!$A$2:$A$33,0)),0))</f>
        <v>0</v>
      </c>
      <c r="AQ684" s="2">
        <f t="array" ref="AQ684">IF($K684="",0,IFERROR(INDEX(CALC!$W$2:$W$33,MATCH($K684,CALC!$A$2:$A$33,0)),0))</f>
        <v>0</v>
      </c>
      <c r="AR684" s="2">
        <f t="array" ref="AR684">IF($K684="",0,IFERROR(INDEX(CALC!$Z$2:$Z$33,MATCH($K684,CALC!$A$2:$A$33,0)),0))</f>
        <v>0</v>
      </c>
      <c r="AS684" s="2">
        <f t="array" ref="AS684">IF($K684="",0,IFERROR(INDEX(CALC!$AJ$2:$AJ$33,MATCH($K684,CALC!$A$2:$A$33,0)),0))</f>
        <v>0</v>
      </c>
      <c r="AT684" s="2">
        <f t="array" ref="AT684">IF($K684="",0,IFERROR(INDEX(CALC!$AI$2:$AI$33,MATCH($K684,CALC!$A$2:$A$33,0)),0))</f>
        <v>0</v>
      </c>
      <c r="AU684" s="2">
        <f t="shared" si="11"/>
        <v>0</v>
      </c>
      <c r="AV684" s="2">
        <f t="shared" si="12"/>
        <v>0</v>
      </c>
    </row>
    <row r="685" ht="15.0" customHeight="1">
      <c r="A685" s="2">
        <v>342.0</v>
      </c>
      <c r="B685" s="2" t="s">
        <v>2365</v>
      </c>
      <c r="C685" s="2" t="str">
        <f>IFERROR(MATCH($A685,SchedSeq,0),"")</f>
        <v/>
      </c>
      <c r="D685" s="2" t="str">
        <f t="array" ref="D685">IF($C685="","",INDEX(SchedZone,$C685,MAP!$B$6))</f>
        <v/>
      </c>
      <c r="E685" s="2" t="str">
        <f t="array" ref="E685">IF($C685="","",INDEX(SchedZone,$C685,MAP!$B$3))</f>
        <v/>
      </c>
      <c r="F685" s="2" t="str">
        <f t="array" ref="F685">IF($C685="","",INDEX(SchedZone,$C685,MAP!$B$5))</f>
        <v/>
      </c>
      <c r="G685" s="2" t="str">
        <f t="array" ref="G685">IF($C685="","",INDEX(SchedZone,$C685,MAP!$B$4))</f>
        <v/>
      </c>
      <c r="H685" s="2" t="str">
        <f t="array" ref="H685">IF($C685="","",INDEX(SchedZone,$C685,MAP!$B$12))</f>
        <v/>
      </c>
      <c r="I685" s="2" t="str">
        <f t="array" ref="I685">IF($H685="","",IF(COUNTIF(Teams,$H685)&gt;0,$H685,IFERROR(INDEX(LISTS!$D$2:$D$12,MATCH($H685,LISTS!$C$2:$C$12,0)),"⚠ "&amp;$H685)))</f>
        <v/>
      </c>
      <c r="J685" s="2" t="str">
        <f t="array" ref="J685">IF($C685="","",INDEX(SchedZone,$C685,MAP!$B$10))</f>
        <v/>
      </c>
      <c r="K685" s="2" t="str">
        <f t="array" ref="K685">IF($J685="","",IF(COUNTIF(Teams,$J685)&gt;0,$J685,IFERROR(INDEX(LISTS!$D$2:$D$12,MATCH($J685,LISTS!$C$2:$C$12,0)),"⚠ "&amp;$J685)))</f>
        <v/>
      </c>
      <c r="L685" s="2" t="str">
        <f t="array" ref="L685">IF($C685="","",IF(INDEX(SchedZone,$C685,MAP!$B$14)="Neutral","N",IF($B685="HOME","H","A")))</f>
        <v/>
      </c>
      <c r="M685" s="2" t="str">
        <f t="array" ref="M685">IF($C685="","",IF(INDEX(SchedZone,$C685,MAP!$B$13)="","",INDEX(SchedZone,$C685,MAP!$B$13)))</f>
        <v/>
      </c>
      <c r="N685" s="2" t="str">
        <f t="array" ref="N685">IF($C685="","",IF(INDEX(SchedZone,$C685,MAP!$B$11)="","",INDEX(SchedZone,$C685,MAP!$B$11)))</f>
        <v/>
      </c>
      <c r="O685" s="2" t="str">
        <f t="array" ref="O685">IF($C685="","",INDEX(SchedZone,$C685,MAP!$B$16))</f>
        <v/>
      </c>
      <c r="P685" s="2" t="str">
        <f>IF($C685="","",IFERROR(MATCH($E685&amp;"|"&amp;$G685&amp;"|"&amp;$I685,StatsKey,0),""))</f>
        <v/>
      </c>
      <c r="Q685" s="2">
        <f t="array" ref="Q685">IF($P685="",0,INDEX(StatsZone,$P685,MAP!$E$9)+INDEX(StatsZone,$P685,MAP!$E$10)+INDEX(StatsZone,$P685,MAP!$E$11))</f>
        <v>0</v>
      </c>
      <c r="R685" s="2">
        <f t="array" ref="R685">IF($P685="",0,INDEX(StatsZone,$P685,MAP!$E$12))</f>
        <v>0</v>
      </c>
      <c r="S685" s="2">
        <f t="array" ref="S685">IF($P685="",0,INDEX(StatsZone,$P685,MAP!$E$13))</f>
        <v>0</v>
      </c>
      <c r="T685" s="2">
        <f t="shared" si="1"/>
        <v>0</v>
      </c>
      <c r="U685" s="2">
        <f t="array" ref="U685">IF($P685="",0,INDEX(StatsZone,$P685,MAP!$E$14)+INDEX(StatsZone,$P685,MAP!$E$15)+INDEX(StatsZone,$P685,MAP!$E$16))</f>
        <v>0</v>
      </c>
      <c r="V685" s="2">
        <f t="shared" si="2"/>
        <v>0</v>
      </c>
      <c r="W685" s="2">
        <f t="shared" si="3"/>
        <v>0</v>
      </c>
      <c r="X685" s="2">
        <f t="shared" si="4"/>
        <v>0</v>
      </c>
      <c r="Y685" s="2">
        <f t="shared" si="5"/>
        <v>0</v>
      </c>
      <c r="Z685" s="2">
        <f t="shared" si="6"/>
        <v>0</v>
      </c>
      <c r="AA685" s="2">
        <f t="shared" si="7"/>
        <v>0</v>
      </c>
      <c r="AB685" s="2">
        <f>IF(OR($M685="",$N685=""),0,MEDIAN(-MarginCap,MarginCap,($M685-$N685)-$AA685*HFA_Base))</f>
        <v>0</v>
      </c>
      <c r="AC685" s="2">
        <f t="array" ref="AC685">IF(OR($P685="",INDEX($P$3:$P$722,(ROW()+IF(MOD(ROW()-3,2)=0,1,-1))-3+1)=""),0,MEDIAN(-MarginCap,MarginCap,($T685-$W685)-$AA685*HFA_Base))</f>
        <v>0</v>
      </c>
      <c r="AD685" s="2">
        <f t="shared" si="8"/>
        <v>0</v>
      </c>
      <c r="AE685" s="2">
        <f>IF(OR($M685="",$N685=""),0,IF(AND(WEpa&gt;0,$AD685=1),(1-WEpa)*$AB685+WEpa*$AC685,$AB685))</f>
        <v>0</v>
      </c>
      <c r="AF685" s="2">
        <f>IF(AND($C685&lt;&gt;"",$E685=CurrentSeason,$F685="REG",ISNUMBER($G685),$G685&lt;CurrentWeek,AND($M685&lt;&gt;"",$N685&lt;&gt;"")),1,0)</f>
        <v>0</v>
      </c>
      <c r="AG685" s="2">
        <f>IF($AF685=0,0,IF($G685&gt;=CurrentWeek-RecencyWin,RecencyMult,1))</f>
        <v>0</v>
      </c>
      <c r="AH685" s="2">
        <f>IF(AND($C685&lt;&gt;"",$E685=CurrentSeason,$F685="REG",ISNUMBER($G685),$G685&lt;CurrentWeek-1,AND($M685&lt;&gt;"",$N685&lt;&gt;"")),1,0)</f>
        <v>0</v>
      </c>
      <c r="AI685" s="2">
        <f>IF($AH685=0,0,IF($G685&gt;=CurrentWeek-1-RecencyWin,RecencyMult,1))</f>
        <v>0</v>
      </c>
      <c r="AJ685" s="2">
        <f>IF($AF685=0,0,IF($G685&gt;=CurrentWeek-RecencyWin,TotRecency,1))</f>
        <v>0</v>
      </c>
      <c r="AK685" s="2">
        <f t="shared" si="9"/>
        <v>0</v>
      </c>
      <c r="AL685" s="2">
        <f t="shared" si="10"/>
        <v>0</v>
      </c>
      <c r="AM685" s="2">
        <f t="array" ref="AM685">IF($K685="",0,IFERROR(INDEX(CALC!$F$2:$F$33,MATCH($K685,CALC!$A$2:$A$33,0)),0))</f>
        <v>0</v>
      </c>
      <c r="AN685" s="2">
        <f t="array" ref="AN685">IF($K685="",0,IFERROR(INDEX(CALC!$I$2:$I$33,MATCH($K685,CALC!$A$2:$A$33,0)),0))</f>
        <v>0</v>
      </c>
      <c r="AO685" s="2">
        <f t="array" ref="AO685">IF($K685="",0,IFERROR(INDEX(CALC!$L$2:$L$33,MATCH($K685,CALC!$A$2:$A$33,0)),0))</f>
        <v>0</v>
      </c>
      <c r="AP685" s="2">
        <f t="array" ref="AP685">IF($K685="",0,IFERROR(INDEX(CALC!$T$2:$T$33,MATCH($K685,CALC!$A$2:$A$33,0)),0))</f>
        <v>0</v>
      </c>
      <c r="AQ685" s="2">
        <f t="array" ref="AQ685">IF($K685="",0,IFERROR(INDEX(CALC!$W$2:$W$33,MATCH($K685,CALC!$A$2:$A$33,0)),0))</f>
        <v>0</v>
      </c>
      <c r="AR685" s="2">
        <f t="array" ref="AR685">IF($K685="",0,IFERROR(INDEX(CALC!$Z$2:$Z$33,MATCH($K685,CALC!$A$2:$A$33,0)),0))</f>
        <v>0</v>
      </c>
      <c r="AS685" s="2">
        <f t="array" ref="AS685">IF($K685="",0,IFERROR(INDEX(CALC!$AJ$2:$AJ$33,MATCH($K685,CALC!$A$2:$A$33,0)),0))</f>
        <v>0</v>
      </c>
      <c r="AT685" s="2">
        <f t="array" ref="AT685">IF($K685="",0,IFERROR(INDEX(CALC!$AI$2:$AI$33,MATCH($K685,CALC!$A$2:$A$33,0)),0))</f>
        <v>0</v>
      </c>
      <c r="AU685" s="2">
        <f t="shared" si="11"/>
        <v>0</v>
      </c>
      <c r="AV685" s="2">
        <f t="shared" si="12"/>
        <v>0</v>
      </c>
    </row>
    <row r="686" ht="15.0" customHeight="1">
      <c r="A686" s="2">
        <v>342.0</v>
      </c>
      <c r="B686" s="2" t="s">
        <v>2366</v>
      </c>
      <c r="C686" s="2" t="str">
        <f>IFERROR(MATCH($A686,SchedSeq,0),"")</f>
        <v/>
      </c>
      <c r="D686" s="2" t="str">
        <f t="array" ref="D686">IF($C686="","",INDEX(SchedZone,$C686,MAP!$B$6))</f>
        <v/>
      </c>
      <c r="E686" s="2" t="str">
        <f t="array" ref="E686">IF($C686="","",INDEX(SchedZone,$C686,MAP!$B$3))</f>
        <v/>
      </c>
      <c r="F686" s="2" t="str">
        <f t="array" ref="F686">IF($C686="","",INDEX(SchedZone,$C686,MAP!$B$5))</f>
        <v/>
      </c>
      <c r="G686" s="2" t="str">
        <f t="array" ref="G686">IF($C686="","",INDEX(SchedZone,$C686,MAP!$B$4))</f>
        <v/>
      </c>
      <c r="H686" s="2" t="str">
        <f t="array" ref="H686">IF($C686="","",INDEX(SchedZone,$C686,MAP!$B$10))</f>
        <v/>
      </c>
      <c r="I686" s="2" t="str">
        <f t="array" ref="I686">IF($H686="","",IF(COUNTIF(Teams,$H686)&gt;0,$H686,IFERROR(INDEX(LISTS!$D$2:$D$12,MATCH($H686,LISTS!$C$2:$C$12,0)),"⚠ "&amp;$H686)))</f>
        <v/>
      </c>
      <c r="J686" s="2" t="str">
        <f t="array" ref="J686">IF($C686="","",INDEX(SchedZone,$C686,MAP!$B$12))</f>
        <v/>
      </c>
      <c r="K686" s="2" t="str">
        <f t="array" ref="K686">IF($J686="","",IF(COUNTIF(Teams,$J686)&gt;0,$J686,IFERROR(INDEX(LISTS!$D$2:$D$12,MATCH($J686,LISTS!$C$2:$C$12,0)),"⚠ "&amp;$J686)))</f>
        <v/>
      </c>
      <c r="L686" s="2" t="str">
        <f t="array" ref="L686">IF($C686="","",IF(INDEX(SchedZone,$C686,MAP!$B$14)="Neutral","N",IF($B686="HOME","H","A")))</f>
        <v/>
      </c>
      <c r="M686" s="2" t="str">
        <f t="array" ref="M686">IF($C686="","",IF(INDEX(SchedZone,$C686,MAP!$B$11)="","",INDEX(SchedZone,$C686,MAP!$B$11)))</f>
        <v/>
      </c>
      <c r="N686" s="2" t="str">
        <f t="array" ref="N686">IF($C686="","",IF(INDEX(SchedZone,$C686,MAP!$B$13)="","",INDEX(SchedZone,$C686,MAP!$B$13)))</f>
        <v/>
      </c>
      <c r="O686" s="2" t="str">
        <f t="array" ref="O686">IF($C686="","",INDEX(SchedZone,$C686,MAP!$B$15))</f>
        <v/>
      </c>
      <c r="P686" s="2" t="str">
        <f>IF($C686="","",IFERROR(MATCH($E686&amp;"|"&amp;$G686&amp;"|"&amp;$I686,StatsKey,0),""))</f>
        <v/>
      </c>
      <c r="Q686" s="2">
        <f t="array" ref="Q686">IF($P686="",0,INDEX(StatsZone,$P686,MAP!$E$9)+INDEX(StatsZone,$P686,MAP!$E$10)+INDEX(StatsZone,$P686,MAP!$E$11))</f>
        <v>0</v>
      </c>
      <c r="R686" s="2">
        <f t="array" ref="R686">IF($P686="",0,INDEX(StatsZone,$P686,MAP!$E$12))</f>
        <v>0</v>
      </c>
      <c r="S686" s="2">
        <f t="array" ref="S686">IF($P686="",0,INDEX(StatsZone,$P686,MAP!$E$13))</f>
        <v>0</v>
      </c>
      <c r="T686" s="2">
        <f t="shared" si="1"/>
        <v>0</v>
      </c>
      <c r="U686" s="2">
        <f t="array" ref="U686">IF($P686="",0,INDEX(StatsZone,$P686,MAP!$E$14)+INDEX(StatsZone,$P686,MAP!$E$15)+INDEX(StatsZone,$P686,MAP!$E$16))</f>
        <v>0</v>
      </c>
      <c r="V686" s="2">
        <f t="shared" si="2"/>
        <v>0</v>
      </c>
      <c r="W686" s="2">
        <f t="shared" si="3"/>
        <v>0</v>
      </c>
      <c r="X686" s="2">
        <f t="shared" si="4"/>
        <v>0</v>
      </c>
      <c r="Y686" s="2">
        <f t="shared" si="5"/>
        <v>0</v>
      </c>
      <c r="Z686" s="2">
        <f t="shared" si="6"/>
        <v>0</v>
      </c>
      <c r="AA686" s="2">
        <f t="shared" si="7"/>
        <v>0</v>
      </c>
      <c r="AB686" s="2">
        <f>IF(OR($M686="",$N686=""),0,MEDIAN(-MarginCap,MarginCap,($M686-$N686)-$AA686*HFA_Base))</f>
        <v>0</v>
      </c>
      <c r="AC686" s="2">
        <f t="array" ref="AC686">IF(OR($P686="",INDEX($P$3:$P$722,(ROW()+IF(MOD(ROW()-3,2)=0,1,-1))-3+1)=""),0,MEDIAN(-MarginCap,MarginCap,($T686-$W686)-$AA686*HFA_Base))</f>
        <v>0</v>
      </c>
      <c r="AD686" s="2">
        <f t="shared" si="8"/>
        <v>0</v>
      </c>
      <c r="AE686" s="2">
        <f>IF(OR($M686="",$N686=""),0,IF(AND(WEpa&gt;0,$AD686=1),(1-WEpa)*$AB686+WEpa*$AC686,$AB686))</f>
        <v>0</v>
      </c>
      <c r="AF686" s="2">
        <f>IF(AND($C686&lt;&gt;"",$E686=CurrentSeason,$F686="REG",ISNUMBER($G686),$G686&lt;CurrentWeek,AND($M686&lt;&gt;"",$N686&lt;&gt;"")),1,0)</f>
        <v>0</v>
      </c>
      <c r="AG686" s="2">
        <f>IF($AF686=0,0,IF($G686&gt;=CurrentWeek-RecencyWin,RecencyMult,1))</f>
        <v>0</v>
      </c>
      <c r="AH686" s="2">
        <f>IF(AND($C686&lt;&gt;"",$E686=CurrentSeason,$F686="REG",ISNUMBER($G686),$G686&lt;CurrentWeek-1,AND($M686&lt;&gt;"",$N686&lt;&gt;"")),1,0)</f>
        <v>0</v>
      </c>
      <c r="AI686" s="2">
        <f>IF($AH686=0,0,IF($G686&gt;=CurrentWeek-1-RecencyWin,RecencyMult,1))</f>
        <v>0</v>
      </c>
      <c r="AJ686" s="2">
        <f>IF($AF686=0,0,IF($G686&gt;=CurrentWeek-RecencyWin,TotRecency,1))</f>
        <v>0</v>
      </c>
      <c r="AK686" s="2">
        <f t="shared" si="9"/>
        <v>0</v>
      </c>
      <c r="AL686" s="2">
        <f t="shared" si="10"/>
        <v>0</v>
      </c>
      <c r="AM686" s="2">
        <f t="array" ref="AM686">IF($K686="",0,IFERROR(INDEX(CALC!$F$2:$F$33,MATCH($K686,CALC!$A$2:$A$33,0)),0))</f>
        <v>0</v>
      </c>
      <c r="AN686" s="2">
        <f t="array" ref="AN686">IF($K686="",0,IFERROR(INDEX(CALC!$I$2:$I$33,MATCH($K686,CALC!$A$2:$A$33,0)),0))</f>
        <v>0</v>
      </c>
      <c r="AO686" s="2">
        <f t="array" ref="AO686">IF($K686="",0,IFERROR(INDEX(CALC!$L$2:$L$33,MATCH($K686,CALC!$A$2:$A$33,0)),0))</f>
        <v>0</v>
      </c>
      <c r="AP686" s="2">
        <f t="array" ref="AP686">IF($K686="",0,IFERROR(INDEX(CALC!$T$2:$T$33,MATCH($K686,CALC!$A$2:$A$33,0)),0))</f>
        <v>0</v>
      </c>
      <c r="AQ686" s="2">
        <f t="array" ref="AQ686">IF($K686="",0,IFERROR(INDEX(CALC!$W$2:$W$33,MATCH($K686,CALC!$A$2:$A$33,0)),0))</f>
        <v>0</v>
      </c>
      <c r="AR686" s="2">
        <f t="array" ref="AR686">IF($K686="",0,IFERROR(INDEX(CALC!$Z$2:$Z$33,MATCH($K686,CALC!$A$2:$A$33,0)),0))</f>
        <v>0</v>
      </c>
      <c r="AS686" s="2">
        <f t="array" ref="AS686">IF($K686="",0,IFERROR(INDEX(CALC!$AJ$2:$AJ$33,MATCH($K686,CALC!$A$2:$A$33,0)),0))</f>
        <v>0</v>
      </c>
      <c r="AT686" s="2">
        <f t="array" ref="AT686">IF($K686="",0,IFERROR(INDEX(CALC!$AI$2:$AI$33,MATCH($K686,CALC!$A$2:$A$33,0)),0))</f>
        <v>0</v>
      </c>
      <c r="AU686" s="2">
        <f t="shared" si="11"/>
        <v>0</v>
      </c>
      <c r="AV686" s="2">
        <f t="shared" si="12"/>
        <v>0</v>
      </c>
    </row>
    <row r="687" ht="15.0" customHeight="1">
      <c r="A687" s="2">
        <v>343.0</v>
      </c>
      <c r="B687" s="2" t="s">
        <v>2365</v>
      </c>
      <c r="C687" s="2" t="str">
        <f>IFERROR(MATCH($A687,SchedSeq,0),"")</f>
        <v/>
      </c>
      <c r="D687" s="2" t="str">
        <f t="array" ref="D687">IF($C687="","",INDEX(SchedZone,$C687,MAP!$B$6))</f>
        <v/>
      </c>
      <c r="E687" s="2" t="str">
        <f t="array" ref="E687">IF($C687="","",INDEX(SchedZone,$C687,MAP!$B$3))</f>
        <v/>
      </c>
      <c r="F687" s="2" t="str">
        <f t="array" ref="F687">IF($C687="","",INDEX(SchedZone,$C687,MAP!$B$5))</f>
        <v/>
      </c>
      <c r="G687" s="2" t="str">
        <f t="array" ref="G687">IF($C687="","",INDEX(SchedZone,$C687,MAP!$B$4))</f>
        <v/>
      </c>
      <c r="H687" s="2" t="str">
        <f t="array" ref="H687">IF($C687="","",INDEX(SchedZone,$C687,MAP!$B$12))</f>
        <v/>
      </c>
      <c r="I687" s="2" t="str">
        <f t="array" ref="I687">IF($H687="","",IF(COUNTIF(Teams,$H687)&gt;0,$H687,IFERROR(INDEX(LISTS!$D$2:$D$12,MATCH($H687,LISTS!$C$2:$C$12,0)),"⚠ "&amp;$H687)))</f>
        <v/>
      </c>
      <c r="J687" s="2" t="str">
        <f t="array" ref="J687">IF($C687="","",INDEX(SchedZone,$C687,MAP!$B$10))</f>
        <v/>
      </c>
      <c r="K687" s="2" t="str">
        <f t="array" ref="K687">IF($J687="","",IF(COUNTIF(Teams,$J687)&gt;0,$J687,IFERROR(INDEX(LISTS!$D$2:$D$12,MATCH($J687,LISTS!$C$2:$C$12,0)),"⚠ "&amp;$J687)))</f>
        <v/>
      </c>
      <c r="L687" s="2" t="str">
        <f t="array" ref="L687">IF($C687="","",IF(INDEX(SchedZone,$C687,MAP!$B$14)="Neutral","N",IF($B687="HOME","H","A")))</f>
        <v/>
      </c>
      <c r="M687" s="2" t="str">
        <f t="array" ref="M687">IF($C687="","",IF(INDEX(SchedZone,$C687,MAP!$B$13)="","",INDEX(SchedZone,$C687,MAP!$B$13)))</f>
        <v/>
      </c>
      <c r="N687" s="2" t="str">
        <f t="array" ref="N687">IF($C687="","",IF(INDEX(SchedZone,$C687,MAP!$B$11)="","",INDEX(SchedZone,$C687,MAP!$B$11)))</f>
        <v/>
      </c>
      <c r="O687" s="2" t="str">
        <f t="array" ref="O687">IF($C687="","",INDEX(SchedZone,$C687,MAP!$B$16))</f>
        <v/>
      </c>
      <c r="P687" s="2" t="str">
        <f>IF($C687="","",IFERROR(MATCH($E687&amp;"|"&amp;$G687&amp;"|"&amp;$I687,StatsKey,0),""))</f>
        <v/>
      </c>
      <c r="Q687" s="2">
        <f t="array" ref="Q687">IF($P687="",0,INDEX(StatsZone,$P687,MAP!$E$9)+INDEX(StatsZone,$P687,MAP!$E$10)+INDEX(StatsZone,$P687,MAP!$E$11))</f>
        <v>0</v>
      </c>
      <c r="R687" s="2">
        <f t="array" ref="R687">IF($P687="",0,INDEX(StatsZone,$P687,MAP!$E$12))</f>
        <v>0</v>
      </c>
      <c r="S687" s="2">
        <f t="array" ref="S687">IF($P687="",0,INDEX(StatsZone,$P687,MAP!$E$13))</f>
        <v>0</v>
      </c>
      <c r="T687" s="2">
        <f t="shared" si="1"/>
        <v>0</v>
      </c>
      <c r="U687" s="2">
        <f t="array" ref="U687">IF($P687="",0,INDEX(StatsZone,$P687,MAP!$E$14)+INDEX(StatsZone,$P687,MAP!$E$15)+INDEX(StatsZone,$P687,MAP!$E$16))</f>
        <v>0</v>
      </c>
      <c r="V687" s="2">
        <f t="shared" si="2"/>
        <v>0</v>
      </c>
      <c r="W687" s="2">
        <f t="shared" si="3"/>
        <v>0</v>
      </c>
      <c r="X687" s="2">
        <f t="shared" si="4"/>
        <v>0</v>
      </c>
      <c r="Y687" s="2">
        <f t="shared" si="5"/>
        <v>0</v>
      </c>
      <c r="Z687" s="2">
        <f t="shared" si="6"/>
        <v>0</v>
      </c>
      <c r="AA687" s="2">
        <f t="shared" si="7"/>
        <v>0</v>
      </c>
      <c r="AB687" s="2">
        <f>IF(OR($M687="",$N687=""),0,MEDIAN(-MarginCap,MarginCap,($M687-$N687)-$AA687*HFA_Base))</f>
        <v>0</v>
      </c>
      <c r="AC687" s="2">
        <f t="array" ref="AC687">IF(OR($P687="",INDEX($P$3:$P$722,(ROW()+IF(MOD(ROW()-3,2)=0,1,-1))-3+1)=""),0,MEDIAN(-MarginCap,MarginCap,($T687-$W687)-$AA687*HFA_Base))</f>
        <v>0</v>
      </c>
      <c r="AD687" s="2">
        <f t="shared" si="8"/>
        <v>0</v>
      </c>
      <c r="AE687" s="2">
        <f>IF(OR($M687="",$N687=""),0,IF(AND(WEpa&gt;0,$AD687=1),(1-WEpa)*$AB687+WEpa*$AC687,$AB687))</f>
        <v>0</v>
      </c>
      <c r="AF687" s="2">
        <f>IF(AND($C687&lt;&gt;"",$E687=CurrentSeason,$F687="REG",ISNUMBER($G687),$G687&lt;CurrentWeek,AND($M687&lt;&gt;"",$N687&lt;&gt;"")),1,0)</f>
        <v>0</v>
      </c>
      <c r="AG687" s="2">
        <f>IF($AF687=0,0,IF($G687&gt;=CurrentWeek-RecencyWin,RecencyMult,1))</f>
        <v>0</v>
      </c>
      <c r="AH687" s="2">
        <f>IF(AND($C687&lt;&gt;"",$E687=CurrentSeason,$F687="REG",ISNUMBER($G687),$G687&lt;CurrentWeek-1,AND($M687&lt;&gt;"",$N687&lt;&gt;"")),1,0)</f>
        <v>0</v>
      </c>
      <c r="AI687" s="2">
        <f>IF($AH687=0,0,IF($G687&gt;=CurrentWeek-1-RecencyWin,RecencyMult,1))</f>
        <v>0</v>
      </c>
      <c r="AJ687" s="2">
        <f>IF($AF687=0,0,IF($G687&gt;=CurrentWeek-RecencyWin,TotRecency,1))</f>
        <v>0</v>
      </c>
      <c r="AK687" s="2">
        <f t="shared" si="9"/>
        <v>0</v>
      </c>
      <c r="AL687" s="2">
        <f t="shared" si="10"/>
        <v>0</v>
      </c>
      <c r="AM687" s="2">
        <f t="array" ref="AM687">IF($K687="",0,IFERROR(INDEX(CALC!$F$2:$F$33,MATCH($K687,CALC!$A$2:$A$33,0)),0))</f>
        <v>0</v>
      </c>
      <c r="AN687" s="2">
        <f t="array" ref="AN687">IF($K687="",0,IFERROR(INDEX(CALC!$I$2:$I$33,MATCH($K687,CALC!$A$2:$A$33,0)),0))</f>
        <v>0</v>
      </c>
      <c r="AO687" s="2">
        <f t="array" ref="AO687">IF($K687="",0,IFERROR(INDEX(CALC!$L$2:$L$33,MATCH($K687,CALC!$A$2:$A$33,0)),0))</f>
        <v>0</v>
      </c>
      <c r="AP687" s="2">
        <f t="array" ref="AP687">IF($K687="",0,IFERROR(INDEX(CALC!$T$2:$T$33,MATCH($K687,CALC!$A$2:$A$33,0)),0))</f>
        <v>0</v>
      </c>
      <c r="AQ687" s="2">
        <f t="array" ref="AQ687">IF($K687="",0,IFERROR(INDEX(CALC!$W$2:$W$33,MATCH($K687,CALC!$A$2:$A$33,0)),0))</f>
        <v>0</v>
      </c>
      <c r="AR687" s="2">
        <f t="array" ref="AR687">IF($K687="",0,IFERROR(INDEX(CALC!$Z$2:$Z$33,MATCH($K687,CALC!$A$2:$A$33,0)),0))</f>
        <v>0</v>
      </c>
      <c r="AS687" s="2">
        <f t="array" ref="AS687">IF($K687="",0,IFERROR(INDEX(CALC!$AJ$2:$AJ$33,MATCH($K687,CALC!$A$2:$A$33,0)),0))</f>
        <v>0</v>
      </c>
      <c r="AT687" s="2">
        <f t="array" ref="AT687">IF($K687="",0,IFERROR(INDEX(CALC!$AI$2:$AI$33,MATCH($K687,CALC!$A$2:$A$33,0)),0))</f>
        <v>0</v>
      </c>
      <c r="AU687" s="2">
        <f t="shared" si="11"/>
        <v>0</v>
      </c>
      <c r="AV687" s="2">
        <f t="shared" si="12"/>
        <v>0</v>
      </c>
    </row>
    <row r="688" ht="15.0" customHeight="1">
      <c r="A688" s="2">
        <v>343.0</v>
      </c>
      <c r="B688" s="2" t="s">
        <v>2366</v>
      </c>
      <c r="C688" s="2" t="str">
        <f>IFERROR(MATCH($A688,SchedSeq,0),"")</f>
        <v/>
      </c>
      <c r="D688" s="2" t="str">
        <f t="array" ref="D688">IF($C688="","",INDEX(SchedZone,$C688,MAP!$B$6))</f>
        <v/>
      </c>
      <c r="E688" s="2" t="str">
        <f t="array" ref="E688">IF($C688="","",INDEX(SchedZone,$C688,MAP!$B$3))</f>
        <v/>
      </c>
      <c r="F688" s="2" t="str">
        <f t="array" ref="F688">IF($C688="","",INDEX(SchedZone,$C688,MAP!$B$5))</f>
        <v/>
      </c>
      <c r="G688" s="2" t="str">
        <f t="array" ref="G688">IF($C688="","",INDEX(SchedZone,$C688,MAP!$B$4))</f>
        <v/>
      </c>
      <c r="H688" s="2" t="str">
        <f t="array" ref="H688">IF($C688="","",INDEX(SchedZone,$C688,MAP!$B$10))</f>
        <v/>
      </c>
      <c r="I688" s="2" t="str">
        <f t="array" ref="I688">IF($H688="","",IF(COUNTIF(Teams,$H688)&gt;0,$H688,IFERROR(INDEX(LISTS!$D$2:$D$12,MATCH($H688,LISTS!$C$2:$C$12,0)),"⚠ "&amp;$H688)))</f>
        <v/>
      </c>
      <c r="J688" s="2" t="str">
        <f t="array" ref="J688">IF($C688="","",INDEX(SchedZone,$C688,MAP!$B$12))</f>
        <v/>
      </c>
      <c r="K688" s="2" t="str">
        <f t="array" ref="K688">IF($J688="","",IF(COUNTIF(Teams,$J688)&gt;0,$J688,IFERROR(INDEX(LISTS!$D$2:$D$12,MATCH($J688,LISTS!$C$2:$C$12,0)),"⚠ "&amp;$J688)))</f>
        <v/>
      </c>
      <c r="L688" s="2" t="str">
        <f t="array" ref="L688">IF($C688="","",IF(INDEX(SchedZone,$C688,MAP!$B$14)="Neutral","N",IF($B688="HOME","H","A")))</f>
        <v/>
      </c>
      <c r="M688" s="2" t="str">
        <f t="array" ref="M688">IF($C688="","",IF(INDEX(SchedZone,$C688,MAP!$B$11)="","",INDEX(SchedZone,$C688,MAP!$B$11)))</f>
        <v/>
      </c>
      <c r="N688" s="2" t="str">
        <f t="array" ref="N688">IF($C688="","",IF(INDEX(SchedZone,$C688,MAP!$B$13)="","",INDEX(SchedZone,$C688,MAP!$B$13)))</f>
        <v/>
      </c>
      <c r="O688" s="2" t="str">
        <f t="array" ref="O688">IF($C688="","",INDEX(SchedZone,$C688,MAP!$B$15))</f>
        <v/>
      </c>
      <c r="P688" s="2" t="str">
        <f>IF($C688="","",IFERROR(MATCH($E688&amp;"|"&amp;$G688&amp;"|"&amp;$I688,StatsKey,0),""))</f>
        <v/>
      </c>
      <c r="Q688" s="2">
        <f t="array" ref="Q688">IF($P688="",0,INDEX(StatsZone,$P688,MAP!$E$9)+INDEX(StatsZone,$P688,MAP!$E$10)+INDEX(StatsZone,$P688,MAP!$E$11))</f>
        <v>0</v>
      </c>
      <c r="R688" s="2">
        <f t="array" ref="R688">IF($P688="",0,INDEX(StatsZone,$P688,MAP!$E$12))</f>
        <v>0</v>
      </c>
      <c r="S688" s="2">
        <f t="array" ref="S688">IF($P688="",0,INDEX(StatsZone,$P688,MAP!$E$13))</f>
        <v>0</v>
      </c>
      <c r="T688" s="2">
        <f t="shared" si="1"/>
        <v>0</v>
      </c>
      <c r="U688" s="2">
        <f t="array" ref="U688">IF($P688="",0,INDEX(StatsZone,$P688,MAP!$E$14)+INDEX(StatsZone,$P688,MAP!$E$15)+INDEX(StatsZone,$P688,MAP!$E$16))</f>
        <v>0</v>
      </c>
      <c r="V688" s="2">
        <f t="shared" si="2"/>
        <v>0</v>
      </c>
      <c r="W688" s="2">
        <f t="shared" si="3"/>
        <v>0</v>
      </c>
      <c r="X688" s="2">
        <f t="shared" si="4"/>
        <v>0</v>
      </c>
      <c r="Y688" s="2">
        <f t="shared" si="5"/>
        <v>0</v>
      </c>
      <c r="Z688" s="2">
        <f t="shared" si="6"/>
        <v>0</v>
      </c>
      <c r="AA688" s="2">
        <f t="shared" si="7"/>
        <v>0</v>
      </c>
      <c r="AB688" s="2">
        <f>IF(OR($M688="",$N688=""),0,MEDIAN(-MarginCap,MarginCap,($M688-$N688)-$AA688*HFA_Base))</f>
        <v>0</v>
      </c>
      <c r="AC688" s="2">
        <f t="array" ref="AC688">IF(OR($P688="",INDEX($P$3:$P$722,(ROW()+IF(MOD(ROW()-3,2)=0,1,-1))-3+1)=""),0,MEDIAN(-MarginCap,MarginCap,($T688-$W688)-$AA688*HFA_Base))</f>
        <v>0</v>
      </c>
      <c r="AD688" s="2">
        <f t="shared" si="8"/>
        <v>0</v>
      </c>
      <c r="AE688" s="2">
        <f>IF(OR($M688="",$N688=""),0,IF(AND(WEpa&gt;0,$AD688=1),(1-WEpa)*$AB688+WEpa*$AC688,$AB688))</f>
        <v>0</v>
      </c>
      <c r="AF688" s="2">
        <f>IF(AND($C688&lt;&gt;"",$E688=CurrentSeason,$F688="REG",ISNUMBER($G688),$G688&lt;CurrentWeek,AND($M688&lt;&gt;"",$N688&lt;&gt;"")),1,0)</f>
        <v>0</v>
      </c>
      <c r="AG688" s="2">
        <f>IF($AF688=0,0,IF($G688&gt;=CurrentWeek-RecencyWin,RecencyMult,1))</f>
        <v>0</v>
      </c>
      <c r="AH688" s="2">
        <f>IF(AND($C688&lt;&gt;"",$E688=CurrentSeason,$F688="REG",ISNUMBER($G688),$G688&lt;CurrentWeek-1,AND($M688&lt;&gt;"",$N688&lt;&gt;"")),1,0)</f>
        <v>0</v>
      </c>
      <c r="AI688" s="2">
        <f>IF($AH688=0,0,IF($G688&gt;=CurrentWeek-1-RecencyWin,RecencyMult,1))</f>
        <v>0</v>
      </c>
      <c r="AJ688" s="2">
        <f>IF($AF688=0,0,IF($G688&gt;=CurrentWeek-RecencyWin,TotRecency,1))</f>
        <v>0</v>
      </c>
      <c r="AK688" s="2">
        <f t="shared" si="9"/>
        <v>0</v>
      </c>
      <c r="AL688" s="2">
        <f t="shared" si="10"/>
        <v>0</v>
      </c>
      <c r="AM688" s="2">
        <f t="array" ref="AM688">IF($K688="",0,IFERROR(INDEX(CALC!$F$2:$F$33,MATCH($K688,CALC!$A$2:$A$33,0)),0))</f>
        <v>0</v>
      </c>
      <c r="AN688" s="2">
        <f t="array" ref="AN688">IF($K688="",0,IFERROR(INDEX(CALC!$I$2:$I$33,MATCH($K688,CALC!$A$2:$A$33,0)),0))</f>
        <v>0</v>
      </c>
      <c r="AO688" s="2">
        <f t="array" ref="AO688">IF($K688="",0,IFERROR(INDEX(CALC!$L$2:$L$33,MATCH($K688,CALC!$A$2:$A$33,0)),0))</f>
        <v>0</v>
      </c>
      <c r="AP688" s="2">
        <f t="array" ref="AP688">IF($K688="",0,IFERROR(INDEX(CALC!$T$2:$T$33,MATCH($K688,CALC!$A$2:$A$33,0)),0))</f>
        <v>0</v>
      </c>
      <c r="AQ688" s="2">
        <f t="array" ref="AQ688">IF($K688="",0,IFERROR(INDEX(CALC!$W$2:$W$33,MATCH($K688,CALC!$A$2:$A$33,0)),0))</f>
        <v>0</v>
      </c>
      <c r="AR688" s="2">
        <f t="array" ref="AR688">IF($K688="",0,IFERROR(INDEX(CALC!$Z$2:$Z$33,MATCH($K688,CALC!$A$2:$A$33,0)),0))</f>
        <v>0</v>
      </c>
      <c r="AS688" s="2">
        <f t="array" ref="AS688">IF($K688="",0,IFERROR(INDEX(CALC!$AJ$2:$AJ$33,MATCH($K688,CALC!$A$2:$A$33,0)),0))</f>
        <v>0</v>
      </c>
      <c r="AT688" s="2">
        <f t="array" ref="AT688">IF($K688="",0,IFERROR(INDEX(CALC!$AI$2:$AI$33,MATCH($K688,CALC!$A$2:$A$33,0)),0))</f>
        <v>0</v>
      </c>
      <c r="AU688" s="2">
        <f t="shared" si="11"/>
        <v>0</v>
      </c>
      <c r="AV688" s="2">
        <f t="shared" si="12"/>
        <v>0</v>
      </c>
    </row>
    <row r="689" ht="15.0" customHeight="1">
      <c r="A689" s="2">
        <v>344.0</v>
      </c>
      <c r="B689" s="2" t="s">
        <v>2365</v>
      </c>
      <c r="C689" s="2" t="str">
        <f>IFERROR(MATCH($A689,SchedSeq,0),"")</f>
        <v/>
      </c>
      <c r="D689" s="2" t="str">
        <f t="array" ref="D689">IF($C689="","",INDEX(SchedZone,$C689,MAP!$B$6))</f>
        <v/>
      </c>
      <c r="E689" s="2" t="str">
        <f t="array" ref="E689">IF($C689="","",INDEX(SchedZone,$C689,MAP!$B$3))</f>
        <v/>
      </c>
      <c r="F689" s="2" t="str">
        <f t="array" ref="F689">IF($C689="","",INDEX(SchedZone,$C689,MAP!$B$5))</f>
        <v/>
      </c>
      <c r="G689" s="2" t="str">
        <f t="array" ref="G689">IF($C689="","",INDEX(SchedZone,$C689,MAP!$B$4))</f>
        <v/>
      </c>
      <c r="H689" s="2" t="str">
        <f t="array" ref="H689">IF($C689="","",INDEX(SchedZone,$C689,MAP!$B$12))</f>
        <v/>
      </c>
      <c r="I689" s="2" t="str">
        <f t="array" ref="I689">IF($H689="","",IF(COUNTIF(Teams,$H689)&gt;0,$H689,IFERROR(INDEX(LISTS!$D$2:$D$12,MATCH($H689,LISTS!$C$2:$C$12,0)),"⚠ "&amp;$H689)))</f>
        <v/>
      </c>
      <c r="J689" s="2" t="str">
        <f t="array" ref="J689">IF($C689="","",INDEX(SchedZone,$C689,MAP!$B$10))</f>
        <v/>
      </c>
      <c r="K689" s="2" t="str">
        <f t="array" ref="K689">IF($J689="","",IF(COUNTIF(Teams,$J689)&gt;0,$J689,IFERROR(INDEX(LISTS!$D$2:$D$12,MATCH($J689,LISTS!$C$2:$C$12,0)),"⚠ "&amp;$J689)))</f>
        <v/>
      </c>
      <c r="L689" s="2" t="str">
        <f t="array" ref="L689">IF($C689="","",IF(INDEX(SchedZone,$C689,MAP!$B$14)="Neutral","N",IF($B689="HOME","H","A")))</f>
        <v/>
      </c>
      <c r="M689" s="2" t="str">
        <f t="array" ref="M689">IF($C689="","",IF(INDEX(SchedZone,$C689,MAP!$B$13)="","",INDEX(SchedZone,$C689,MAP!$B$13)))</f>
        <v/>
      </c>
      <c r="N689" s="2" t="str">
        <f t="array" ref="N689">IF($C689="","",IF(INDEX(SchedZone,$C689,MAP!$B$11)="","",INDEX(SchedZone,$C689,MAP!$B$11)))</f>
        <v/>
      </c>
      <c r="O689" s="2" t="str">
        <f t="array" ref="O689">IF($C689="","",INDEX(SchedZone,$C689,MAP!$B$16))</f>
        <v/>
      </c>
      <c r="P689" s="2" t="str">
        <f>IF($C689="","",IFERROR(MATCH($E689&amp;"|"&amp;$G689&amp;"|"&amp;$I689,StatsKey,0),""))</f>
        <v/>
      </c>
      <c r="Q689" s="2">
        <f t="array" ref="Q689">IF($P689="",0,INDEX(StatsZone,$P689,MAP!$E$9)+INDEX(StatsZone,$P689,MAP!$E$10)+INDEX(StatsZone,$P689,MAP!$E$11))</f>
        <v>0</v>
      </c>
      <c r="R689" s="2">
        <f t="array" ref="R689">IF($P689="",0,INDEX(StatsZone,$P689,MAP!$E$12))</f>
        <v>0</v>
      </c>
      <c r="S689" s="2">
        <f t="array" ref="S689">IF($P689="",0,INDEX(StatsZone,$P689,MAP!$E$13))</f>
        <v>0</v>
      </c>
      <c r="T689" s="2">
        <f t="shared" si="1"/>
        <v>0</v>
      </c>
      <c r="U689" s="2">
        <f t="array" ref="U689">IF($P689="",0,INDEX(StatsZone,$P689,MAP!$E$14)+INDEX(StatsZone,$P689,MAP!$E$15)+INDEX(StatsZone,$P689,MAP!$E$16))</f>
        <v>0</v>
      </c>
      <c r="V689" s="2">
        <f t="shared" si="2"/>
        <v>0</v>
      </c>
      <c r="W689" s="2">
        <f t="shared" si="3"/>
        <v>0</v>
      </c>
      <c r="X689" s="2">
        <f t="shared" si="4"/>
        <v>0</v>
      </c>
      <c r="Y689" s="2">
        <f t="shared" si="5"/>
        <v>0</v>
      </c>
      <c r="Z689" s="2">
        <f t="shared" si="6"/>
        <v>0</v>
      </c>
      <c r="AA689" s="2">
        <f t="shared" si="7"/>
        <v>0</v>
      </c>
      <c r="AB689" s="2">
        <f>IF(OR($M689="",$N689=""),0,MEDIAN(-MarginCap,MarginCap,($M689-$N689)-$AA689*HFA_Base))</f>
        <v>0</v>
      </c>
      <c r="AC689" s="2">
        <f t="array" ref="AC689">IF(OR($P689="",INDEX($P$3:$P$722,(ROW()+IF(MOD(ROW()-3,2)=0,1,-1))-3+1)=""),0,MEDIAN(-MarginCap,MarginCap,($T689-$W689)-$AA689*HFA_Base))</f>
        <v>0</v>
      </c>
      <c r="AD689" s="2">
        <f t="shared" si="8"/>
        <v>0</v>
      </c>
      <c r="AE689" s="2">
        <f>IF(OR($M689="",$N689=""),0,IF(AND(WEpa&gt;0,$AD689=1),(1-WEpa)*$AB689+WEpa*$AC689,$AB689))</f>
        <v>0</v>
      </c>
      <c r="AF689" s="2">
        <f>IF(AND($C689&lt;&gt;"",$E689=CurrentSeason,$F689="REG",ISNUMBER($G689),$G689&lt;CurrentWeek,AND($M689&lt;&gt;"",$N689&lt;&gt;"")),1,0)</f>
        <v>0</v>
      </c>
      <c r="AG689" s="2">
        <f>IF($AF689=0,0,IF($G689&gt;=CurrentWeek-RecencyWin,RecencyMult,1))</f>
        <v>0</v>
      </c>
      <c r="AH689" s="2">
        <f>IF(AND($C689&lt;&gt;"",$E689=CurrentSeason,$F689="REG",ISNUMBER($G689),$G689&lt;CurrentWeek-1,AND($M689&lt;&gt;"",$N689&lt;&gt;"")),1,0)</f>
        <v>0</v>
      </c>
      <c r="AI689" s="2">
        <f>IF($AH689=0,0,IF($G689&gt;=CurrentWeek-1-RecencyWin,RecencyMult,1))</f>
        <v>0</v>
      </c>
      <c r="AJ689" s="2">
        <f>IF($AF689=0,0,IF($G689&gt;=CurrentWeek-RecencyWin,TotRecency,1))</f>
        <v>0</v>
      </c>
      <c r="AK689" s="2">
        <f t="shared" si="9"/>
        <v>0</v>
      </c>
      <c r="AL689" s="2">
        <f t="shared" si="10"/>
        <v>0</v>
      </c>
      <c r="AM689" s="2">
        <f t="array" ref="AM689">IF($K689="",0,IFERROR(INDEX(CALC!$F$2:$F$33,MATCH($K689,CALC!$A$2:$A$33,0)),0))</f>
        <v>0</v>
      </c>
      <c r="AN689" s="2">
        <f t="array" ref="AN689">IF($K689="",0,IFERROR(INDEX(CALC!$I$2:$I$33,MATCH($K689,CALC!$A$2:$A$33,0)),0))</f>
        <v>0</v>
      </c>
      <c r="AO689" s="2">
        <f t="array" ref="AO689">IF($K689="",0,IFERROR(INDEX(CALC!$L$2:$L$33,MATCH($K689,CALC!$A$2:$A$33,0)),0))</f>
        <v>0</v>
      </c>
      <c r="AP689" s="2">
        <f t="array" ref="AP689">IF($K689="",0,IFERROR(INDEX(CALC!$T$2:$T$33,MATCH($K689,CALC!$A$2:$A$33,0)),0))</f>
        <v>0</v>
      </c>
      <c r="AQ689" s="2">
        <f t="array" ref="AQ689">IF($K689="",0,IFERROR(INDEX(CALC!$W$2:$W$33,MATCH($K689,CALC!$A$2:$A$33,0)),0))</f>
        <v>0</v>
      </c>
      <c r="AR689" s="2">
        <f t="array" ref="AR689">IF($K689="",0,IFERROR(INDEX(CALC!$Z$2:$Z$33,MATCH($K689,CALC!$A$2:$A$33,0)),0))</f>
        <v>0</v>
      </c>
      <c r="AS689" s="2">
        <f t="array" ref="AS689">IF($K689="",0,IFERROR(INDEX(CALC!$AJ$2:$AJ$33,MATCH($K689,CALC!$A$2:$A$33,0)),0))</f>
        <v>0</v>
      </c>
      <c r="AT689" s="2">
        <f t="array" ref="AT689">IF($K689="",0,IFERROR(INDEX(CALC!$AI$2:$AI$33,MATCH($K689,CALC!$A$2:$A$33,0)),0))</f>
        <v>0</v>
      </c>
      <c r="AU689" s="2">
        <f t="shared" si="11"/>
        <v>0</v>
      </c>
      <c r="AV689" s="2">
        <f t="shared" si="12"/>
        <v>0</v>
      </c>
    </row>
    <row r="690" ht="15.0" customHeight="1">
      <c r="A690" s="2">
        <v>344.0</v>
      </c>
      <c r="B690" s="2" t="s">
        <v>2366</v>
      </c>
      <c r="C690" s="2" t="str">
        <f>IFERROR(MATCH($A690,SchedSeq,0),"")</f>
        <v/>
      </c>
      <c r="D690" s="2" t="str">
        <f t="array" ref="D690">IF($C690="","",INDEX(SchedZone,$C690,MAP!$B$6))</f>
        <v/>
      </c>
      <c r="E690" s="2" t="str">
        <f t="array" ref="E690">IF($C690="","",INDEX(SchedZone,$C690,MAP!$B$3))</f>
        <v/>
      </c>
      <c r="F690" s="2" t="str">
        <f t="array" ref="F690">IF($C690="","",INDEX(SchedZone,$C690,MAP!$B$5))</f>
        <v/>
      </c>
      <c r="G690" s="2" t="str">
        <f t="array" ref="G690">IF($C690="","",INDEX(SchedZone,$C690,MAP!$B$4))</f>
        <v/>
      </c>
      <c r="H690" s="2" t="str">
        <f t="array" ref="H690">IF($C690="","",INDEX(SchedZone,$C690,MAP!$B$10))</f>
        <v/>
      </c>
      <c r="I690" s="2" t="str">
        <f t="array" ref="I690">IF($H690="","",IF(COUNTIF(Teams,$H690)&gt;0,$H690,IFERROR(INDEX(LISTS!$D$2:$D$12,MATCH($H690,LISTS!$C$2:$C$12,0)),"⚠ "&amp;$H690)))</f>
        <v/>
      </c>
      <c r="J690" s="2" t="str">
        <f t="array" ref="J690">IF($C690="","",INDEX(SchedZone,$C690,MAP!$B$12))</f>
        <v/>
      </c>
      <c r="K690" s="2" t="str">
        <f t="array" ref="K690">IF($J690="","",IF(COUNTIF(Teams,$J690)&gt;0,$J690,IFERROR(INDEX(LISTS!$D$2:$D$12,MATCH($J690,LISTS!$C$2:$C$12,0)),"⚠ "&amp;$J690)))</f>
        <v/>
      </c>
      <c r="L690" s="2" t="str">
        <f t="array" ref="L690">IF($C690="","",IF(INDEX(SchedZone,$C690,MAP!$B$14)="Neutral","N",IF($B690="HOME","H","A")))</f>
        <v/>
      </c>
      <c r="M690" s="2" t="str">
        <f t="array" ref="M690">IF($C690="","",IF(INDEX(SchedZone,$C690,MAP!$B$11)="","",INDEX(SchedZone,$C690,MAP!$B$11)))</f>
        <v/>
      </c>
      <c r="N690" s="2" t="str">
        <f t="array" ref="N690">IF($C690="","",IF(INDEX(SchedZone,$C690,MAP!$B$13)="","",INDEX(SchedZone,$C690,MAP!$B$13)))</f>
        <v/>
      </c>
      <c r="O690" s="2" t="str">
        <f t="array" ref="O690">IF($C690="","",INDEX(SchedZone,$C690,MAP!$B$15))</f>
        <v/>
      </c>
      <c r="P690" s="2" t="str">
        <f>IF($C690="","",IFERROR(MATCH($E690&amp;"|"&amp;$G690&amp;"|"&amp;$I690,StatsKey,0),""))</f>
        <v/>
      </c>
      <c r="Q690" s="2">
        <f t="array" ref="Q690">IF($P690="",0,INDEX(StatsZone,$P690,MAP!$E$9)+INDEX(StatsZone,$P690,MAP!$E$10)+INDEX(StatsZone,$P690,MAP!$E$11))</f>
        <v>0</v>
      </c>
      <c r="R690" s="2">
        <f t="array" ref="R690">IF($P690="",0,INDEX(StatsZone,$P690,MAP!$E$12))</f>
        <v>0</v>
      </c>
      <c r="S690" s="2">
        <f t="array" ref="S690">IF($P690="",0,INDEX(StatsZone,$P690,MAP!$E$13))</f>
        <v>0</v>
      </c>
      <c r="T690" s="2">
        <f t="shared" si="1"/>
        <v>0</v>
      </c>
      <c r="U690" s="2">
        <f t="array" ref="U690">IF($P690="",0,INDEX(StatsZone,$P690,MAP!$E$14)+INDEX(StatsZone,$P690,MAP!$E$15)+INDEX(StatsZone,$P690,MAP!$E$16))</f>
        <v>0</v>
      </c>
      <c r="V690" s="2">
        <f t="shared" si="2"/>
        <v>0</v>
      </c>
      <c r="W690" s="2">
        <f t="shared" si="3"/>
        <v>0</v>
      </c>
      <c r="X690" s="2">
        <f t="shared" si="4"/>
        <v>0</v>
      </c>
      <c r="Y690" s="2">
        <f t="shared" si="5"/>
        <v>0</v>
      </c>
      <c r="Z690" s="2">
        <f t="shared" si="6"/>
        <v>0</v>
      </c>
      <c r="AA690" s="2">
        <f t="shared" si="7"/>
        <v>0</v>
      </c>
      <c r="AB690" s="2">
        <f>IF(OR($M690="",$N690=""),0,MEDIAN(-MarginCap,MarginCap,($M690-$N690)-$AA690*HFA_Base))</f>
        <v>0</v>
      </c>
      <c r="AC690" s="2">
        <f t="array" ref="AC690">IF(OR($P690="",INDEX($P$3:$P$722,(ROW()+IF(MOD(ROW()-3,2)=0,1,-1))-3+1)=""),0,MEDIAN(-MarginCap,MarginCap,($T690-$W690)-$AA690*HFA_Base))</f>
        <v>0</v>
      </c>
      <c r="AD690" s="2">
        <f t="shared" si="8"/>
        <v>0</v>
      </c>
      <c r="AE690" s="2">
        <f>IF(OR($M690="",$N690=""),0,IF(AND(WEpa&gt;0,$AD690=1),(1-WEpa)*$AB690+WEpa*$AC690,$AB690))</f>
        <v>0</v>
      </c>
      <c r="AF690" s="2">
        <f>IF(AND($C690&lt;&gt;"",$E690=CurrentSeason,$F690="REG",ISNUMBER($G690),$G690&lt;CurrentWeek,AND($M690&lt;&gt;"",$N690&lt;&gt;"")),1,0)</f>
        <v>0</v>
      </c>
      <c r="AG690" s="2">
        <f>IF($AF690=0,0,IF($G690&gt;=CurrentWeek-RecencyWin,RecencyMult,1))</f>
        <v>0</v>
      </c>
      <c r="AH690" s="2">
        <f>IF(AND($C690&lt;&gt;"",$E690=CurrentSeason,$F690="REG",ISNUMBER($G690),$G690&lt;CurrentWeek-1,AND($M690&lt;&gt;"",$N690&lt;&gt;"")),1,0)</f>
        <v>0</v>
      </c>
      <c r="AI690" s="2">
        <f>IF($AH690=0,0,IF($G690&gt;=CurrentWeek-1-RecencyWin,RecencyMult,1))</f>
        <v>0</v>
      </c>
      <c r="AJ690" s="2">
        <f>IF($AF690=0,0,IF($G690&gt;=CurrentWeek-RecencyWin,TotRecency,1))</f>
        <v>0</v>
      </c>
      <c r="AK690" s="2">
        <f t="shared" si="9"/>
        <v>0</v>
      </c>
      <c r="AL690" s="2">
        <f t="shared" si="10"/>
        <v>0</v>
      </c>
      <c r="AM690" s="2">
        <f t="array" ref="AM690">IF($K690="",0,IFERROR(INDEX(CALC!$F$2:$F$33,MATCH($K690,CALC!$A$2:$A$33,0)),0))</f>
        <v>0</v>
      </c>
      <c r="AN690" s="2">
        <f t="array" ref="AN690">IF($K690="",0,IFERROR(INDEX(CALC!$I$2:$I$33,MATCH($K690,CALC!$A$2:$A$33,0)),0))</f>
        <v>0</v>
      </c>
      <c r="AO690" s="2">
        <f t="array" ref="AO690">IF($K690="",0,IFERROR(INDEX(CALC!$L$2:$L$33,MATCH($K690,CALC!$A$2:$A$33,0)),0))</f>
        <v>0</v>
      </c>
      <c r="AP690" s="2">
        <f t="array" ref="AP690">IF($K690="",0,IFERROR(INDEX(CALC!$T$2:$T$33,MATCH($K690,CALC!$A$2:$A$33,0)),0))</f>
        <v>0</v>
      </c>
      <c r="AQ690" s="2">
        <f t="array" ref="AQ690">IF($K690="",0,IFERROR(INDEX(CALC!$W$2:$W$33,MATCH($K690,CALC!$A$2:$A$33,0)),0))</f>
        <v>0</v>
      </c>
      <c r="AR690" s="2">
        <f t="array" ref="AR690">IF($K690="",0,IFERROR(INDEX(CALC!$Z$2:$Z$33,MATCH($K690,CALC!$A$2:$A$33,0)),0))</f>
        <v>0</v>
      </c>
      <c r="AS690" s="2">
        <f t="array" ref="AS690">IF($K690="",0,IFERROR(INDEX(CALC!$AJ$2:$AJ$33,MATCH($K690,CALC!$A$2:$A$33,0)),0))</f>
        <v>0</v>
      </c>
      <c r="AT690" s="2">
        <f t="array" ref="AT690">IF($K690="",0,IFERROR(INDEX(CALC!$AI$2:$AI$33,MATCH($K690,CALC!$A$2:$A$33,0)),0))</f>
        <v>0</v>
      </c>
      <c r="AU690" s="2">
        <f t="shared" si="11"/>
        <v>0</v>
      </c>
      <c r="AV690" s="2">
        <f t="shared" si="12"/>
        <v>0</v>
      </c>
    </row>
    <row r="691" ht="15.0" customHeight="1">
      <c r="A691" s="2">
        <v>345.0</v>
      </c>
      <c r="B691" s="2" t="s">
        <v>2365</v>
      </c>
      <c r="C691" s="2" t="str">
        <f>IFERROR(MATCH($A691,SchedSeq,0),"")</f>
        <v/>
      </c>
      <c r="D691" s="2" t="str">
        <f t="array" ref="D691">IF($C691="","",INDEX(SchedZone,$C691,MAP!$B$6))</f>
        <v/>
      </c>
      <c r="E691" s="2" t="str">
        <f t="array" ref="E691">IF($C691="","",INDEX(SchedZone,$C691,MAP!$B$3))</f>
        <v/>
      </c>
      <c r="F691" s="2" t="str">
        <f t="array" ref="F691">IF($C691="","",INDEX(SchedZone,$C691,MAP!$B$5))</f>
        <v/>
      </c>
      <c r="G691" s="2" t="str">
        <f t="array" ref="G691">IF($C691="","",INDEX(SchedZone,$C691,MAP!$B$4))</f>
        <v/>
      </c>
      <c r="H691" s="2" t="str">
        <f t="array" ref="H691">IF($C691="","",INDEX(SchedZone,$C691,MAP!$B$12))</f>
        <v/>
      </c>
      <c r="I691" s="2" t="str">
        <f t="array" ref="I691">IF($H691="","",IF(COUNTIF(Teams,$H691)&gt;0,$H691,IFERROR(INDEX(LISTS!$D$2:$D$12,MATCH($H691,LISTS!$C$2:$C$12,0)),"⚠ "&amp;$H691)))</f>
        <v/>
      </c>
      <c r="J691" s="2" t="str">
        <f t="array" ref="J691">IF($C691="","",INDEX(SchedZone,$C691,MAP!$B$10))</f>
        <v/>
      </c>
      <c r="K691" s="2" t="str">
        <f t="array" ref="K691">IF($J691="","",IF(COUNTIF(Teams,$J691)&gt;0,$J691,IFERROR(INDEX(LISTS!$D$2:$D$12,MATCH($J691,LISTS!$C$2:$C$12,0)),"⚠ "&amp;$J691)))</f>
        <v/>
      </c>
      <c r="L691" s="2" t="str">
        <f t="array" ref="L691">IF($C691="","",IF(INDEX(SchedZone,$C691,MAP!$B$14)="Neutral","N",IF($B691="HOME","H","A")))</f>
        <v/>
      </c>
      <c r="M691" s="2" t="str">
        <f t="array" ref="M691">IF($C691="","",IF(INDEX(SchedZone,$C691,MAP!$B$13)="","",INDEX(SchedZone,$C691,MAP!$B$13)))</f>
        <v/>
      </c>
      <c r="N691" s="2" t="str">
        <f t="array" ref="N691">IF($C691="","",IF(INDEX(SchedZone,$C691,MAP!$B$11)="","",INDEX(SchedZone,$C691,MAP!$B$11)))</f>
        <v/>
      </c>
      <c r="O691" s="2" t="str">
        <f t="array" ref="O691">IF($C691="","",INDEX(SchedZone,$C691,MAP!$B$16))</f>
        <v/>
      </c>
      <c r="P691" s="2" t="str">
        <f>IF($C691="","",IFERROR(MATCH($E691&amp;"|"&amp;$G691&amp;"|"&amp;$I691,StatsKey,0),""))</f>
        <v/>
      </c>
      <c r="Q691" s="2">
        <f t="array" ref="Q691">IF($P691="",0,INDEX(StatsZone,$P691,MAP!$E$9)+INDEX(StatsZone,$P691,MAP!$E$10)+INDEX(StatsZone,$P691,MAP!$E$11))</f>
        <v>0</v>
      </c>
      <c r="R691" s="2">
        <f t="array" ref="R691">IF($P691="",0,INDEX(StatsZone,$P691,MAP!$E$12))</f>
        <v>0</v>
      </c>
      <c r="S691" s="2">
        <f t="array" ref="S691">IF($P691="",0,INDEX(StatsZone,$P691,MAP!$E$13))</f>
        <v>0</v>
      </c>
      <c r="T691" s="2">
        <f t="shared" si="1"/>
        <v>0</v>
      </c>
      <c r="U691" s="2">
        <f t="array" ref="U691">IF($P691="",0,INDEX(StatsZone,$P691,MAP!$E$14)+INDEX(StatsZone,$P691,MAP!$E$15)+INDEX(StatsZone,$P691,MAP!$E$16))</f>
        <v>0</v>
      </c>
      <c r="V691" s="2">
        <f t="shared" si="2"/>
        <v>0</v>
      </c>
      <c r="W691" s="2">
        <f t="shared" si="3"/>
        <v>0</v>
      </c>
      <c r="X691" s="2">
        <f t="shared" si="4"/>
        <v>0</v>
      </c>
      <c r="Y691" s="2">
        <f t="shared" si="5"/>
        <v>0</v>
      </c>
      <c r="Z691" s="2">
        <f t="shared" si="6"/>
        <v>0</v>
      </c>
      <c r="AA691" s="2">
        <f t="shared" si="7"/>
        <v>0</v>
      </c>
      <c r="AB691" s="2">
        <f>IF(OR($M691="",$N691=""),0,MEDIAN(-MarginCap,MarginCap,($M691-$N691)-$AA691*HFA_Base))</f>
        <v>0</v>
      </c>
      <c r="AC691" s="2">
        <f t="array" ref="AC691">IF(OR($P691="",INDEX($P$3:$P$722,(ROW()+IF(MOD(ROW()-3,2)=0,1,-1))-3+1)=""),0,MEDIAN(-MarginCap,MarginCap,($T691-$W691)-$AA691*HFA_Base))</f>
        <v>0</v>
      </c>
      <c r="AD691" s="2">
        <f t="shared" si="8"/>
        <v>0</v>
      </c>
      <c r="AE691" s="2">
        <f>IF(OR($M691="",$N691=""),0,IF(AND(WEpa&gt;0,$AD691=1),(1-WEpa)*$AB691+WEpa*$AC691,$AB691))</f>
        <v>0</v>
      </c>
      <c r="AF691" s="2">
        <f>IF(AND($C691&lt;&gt;"",$E691=CurrentSeason,$F691="REG",ISNUMBER($G691),$G691&lt;CurrentWeek,AND($M691&lt;&gt;"",$N691&lt;&gt;"")),1,0)</f>
        <v>0</v>
      </c>
      <c r="AG691" s="2">
        <f>IF($AF691=0,0,IF($G691&gt;=CurrentWeek-RecencyWin,RecencyMult,1))</f>
        <v>0</v>
      </c>
      <c r="AH691" s="2">
        <f>IF(AND($C691&lt;&gt;"",$E691=CurrentSeason,$F691="REG",ISNUMBER($G691),$G691&lt;CurrentWeek-1,AND($M691&lt;&gt;"",$N691&lt;&gt;"")),1,0)</f>
        <v>0</v>
      </c>
      <c r="AI691" s="2">
        <f>IF($AH691=0,0,IF($G691&gt;=CurrentWeek-1-RecencyWin,RecencyMult,1))</f>
        <v>0</v>
      </c>
      <c r="AJ691" s="2">
        <f>IF($AF691=0,0,IF($G691&gt;=CurrentWeek-RecencyWin,TotRecency,1))</f>
        <v>0</v>
      </c>
      <c r="AK691" s="2">
        <f t="shared" si="9"/>
        <v>0</v>
      </c>
      <c r="AL691" s="2">
        <f t="shared" si="10"/>
        <v>0</v>
      </c>
      <c r="AM691" s="2">
        <f t="array" ref="AM691">IF($K691="",0,IFERROR(INDEX(CALC!$F$2:$F$33,MATCH($K691,CALC!$A$2:$A$33,0)),0))</f>
        <v>0</v>
      </c>
      <c r="AN691" s="2">
        <f t="array" ref="AN691">IF($K691="",0,IFERROR(INDEX(CALC!$I$2:$I$33,MATCH($K691,CALC!$A$2:$A$33,0)),0))</f>
        <v>0</v>
      </c>
      <c r="AO691" s="2">
        <f t="array" ref="AO691">IF($K691="",0,IFERROR(INDEX(CALC!$L$2:$L$33,MATCH($K691,CALC!$A$2:$A$33,0)),0))</f>
        <v>0</v>
      </c>
      <c r="AP691" s="2">
        <f t="array" ref="AP691">IF($K691="",0,IFERROR(INDEX(CALC!$T$2:$T$33,MATCH($K691,CALC!$A$2:$A$33,0)),0))</f>
        <v>0</v>
      </c>
      <c r="AQ691" s="2">
        <f t="array" ref="AQ691">IF($K691="",0,IFERROR(INDEX(CALC!$W$2:$W$33,MATCH($K691,CALC!$A$2:$A$33,0)),0))</f>
        <v>0</v>
      </c>
      <c r="AR691" s="2">
        <f t="array" ref="AR691">IF($K691="",0,IFERROR(INDEX(CALC!$Z$2:$Z$33,MATCH($K691,CALC!$A$2:$A$33,0)),0))</f>
        <v>0</v>
      </c>
      <c r="AS691" s="2">
        <f t="array" ref="AS691">IF($K691="",0,IFERROR(INDEX(CALC!$AJ$2:$AJ$33,MATCH($K691,CALC!$A$2:$A$33,0)),0))</f>
        <v>0</v>
      </c>
      <c r="AT691" s="2">
        <f t="array" ref="AT691">IF($K691="",0,IFERROR(INDEX(CALC!$AI$2:$AI$33,MATCH($K691,CALC!$A$2:$A$33,0)),0))</f>
        <v>0</v>
      </c>
      <c r="AU691" s="2">
        <f t="shared" si="11"/>
        <v>0</v>
      </c>
      <c r="AV691" s="2">
        <f t="shared" si="12"/>
        <v>0</v>
      </c>
    </row>
    <row r="692" ht="15.0" customHeight="1">
      <c r="A692" s="2">
        <v>345.0</v>
      </c>
      <c r="B692" s="2" t="s">
        <v>2366</v>
      </c>
      <c r="C692" s="2" t="str">
        <f>IFERROR(MATCH($A692,SchedSeq,0),"")</f>
        <v/>
      </c>
      <c r="D692" s="2" t="str">
        <f t="array" ref="D692">IF($C692="","",INDEX(SchedZone,$C692,MAP!$B$6))</f>
        <v/>
      </c>
      <c r="E692" s="2" t="str">
        <f t="array" ref="E692">IF($C692="","",INDEX(SchedZone,$C692,MAP!$B$3))</f>
        <v/>
      </c>
      <c r="F692" s="2" t="str">
        <f t="array" ref="F692">IF($C692="","",INDEX(SchedZone,$C692,MAP!$B$5))</f>
        <v/>
      </c>
      <c r="G692" s="2" t="str">
        <f t="array" ref="G692">IF($C692="","",INDEX(SchedZone,$C692,MAP!$B$4))</f>
        <v/>
      </c>
      <c r="H692" s="2" t="str">
        <f t="array" ref="H692">IF($C692="","",INDEX(SchedZone,$C692,MAP!$B$10))</f>
        <v/>
      </c>
      <c r="I692" s="2" t="str">
        <f t="array" ref="I692">IF($H692="","",IF(COUNTIF(Teams,$H692)&gt;0,$H692,IFERROR(INDEX(LISTS!$D$2:$D$12,MATCH($H692,LISTS!$C$2:$C$12,0)),"⚠ "&amp;$H692)))</f>
        <v/>
      </c>
      <c r="J692" s="2" t="str">
        <f t="array" ref="J692">IF($C692="","",INDEX(SchedZone,$C692,MAP!$B$12))</f>
        <v/>
      </c>
      <c r="K692" s="2" t="str">
        <f t="array" ref="K692">IF($J692="","",IF(COUNTIF(Teams,$J692)&gt;0,$J692,IFERROR(INDEX(LISTS!$D$2:$D$12,MATCH($J692,LISTS!$C$2:$C$12,0)),"⚠ "&amp;$J692)))</f>
        <v/>
      </c>
      <c r="L692" s="2" t="str">
        <f t="array" ref="L692">IF($C692="","",IF(INDEX(SchedZone,$C692,MAP!$B$14)="Neutral","N",IF($B692="HOME","H","A")))</f>
        <v/>
      </c>
      <c r="M692" s="2" t="str">
        <f t="array" ref="M692">IF($C692="","",IF(INDEX(SchedZone,$C692,MAP!$B$11)="","",INDEX(SchedZone,$C692,MAP!$B$11)))</f>
        <v/>
      </c>
      <c r="N692" s="2" t="str">
        <f t="array" ref="N692">IF($C692="","",IF(INDEX(SchedZone,$C692,MAP!$B$13)="","",INDEX(SchedZone,$C692,MAP!$B$13)))</f>
        <v/>
      </c>
      <c r="O692" s="2" t="str">
        <f t="array" ref="O692">IF($C692="","",INDEX(SchedZone,$C692,MAP!$B$15))</f>
        <v/>
      </c>
      <c r="P692" s="2" t="str">
        <f>IF($C692="","",IFERROR(MATCH($E692&amp;"|"&amp;$G692&amp;"|"&amp;$I692,StatsKey,0),""))</f>
        <v/>
      </c>
      <c r="Q692" s="2">
        <f t="array" ref="Q692">IF($P692="",0,INDEX(StatsZone,$P692,MAP!$E$9)+INDEX(StatsZone,$P692,MAP!$E$10)+INDEX(StatsZone,$P692,MAP!$E$11))</f>
        <v>0</v>
      </c>
      <c r="R692" s="2">
        <f t="array" ref="R692">IF($P692="",0,INDEX(StatsZone,$P692,MAP!$E$12))</f>
        <v>0</v>
      </c>
      <c r="S692" s="2">
        <f t="array" ref="S692">IF($P692="",0,INDEX(StatsZone,$P692,MAP!$E$13))</f>
        <v>0</v>
      </c>
      <c r="T692" s="2">
        <f t="shared" si="1"/>
        <v>0</v>
      </c>
      <c r="U692" s="2">
        <f t="array" ref="U692">IF($P692="",0,INDEX(StatsZone,$P692,MAP!$E$14)+INDEX(StatsZone,$P692,MAP!$E$15)+INDEX(StatsZone,$P692,MAP!$E$16))</f>
        <v>0</v>
      </c>
      <c r="V692" s="2">
        <f t="shared" si="2"/>
        <v>0</v>
      </c>
      <c r="W692" s="2">
        <f t="shared" si="3"/>
        <v>0</v>
      </c>
      <c r="X692" s="2">
        <f t="shared" si="4"/>
        <v>0</v>
      </c>
      <c r="Y692" s="2">
        <f t="shared" si="5"/>
        <v>0</v>
      </c>
      <c r="Z692" s="2">
        <f t="shared" si="6"/>
        <v>0</v>
      </c>
      <c r="AA692" s="2">
        <f t="shared" si="7"/>
        <v>0</v>
      </c>
      <c r="AB692" s="2">
        <f>IF(OR($M692="",$N692=""),0,MEDIAN(-MarginCap,MarginCap,($M692-$N692)-$AA692*HFA_Base))</f>
        <v>0</v>
      </c>
      <c r="AC692" s="2">
        <f t="array" ref="AC692">IF(OR($P692="",INDEX($P$3:$P$722,(ROW()+IF(MOD(ROW()-3,2)=0,1,-1))-3+1)=""),0,MEDIAN(-MarginCap,MarginCap,($T692-$W692)-$AA692*HFA_Base))</f>
        <v>0</v>
      </c>
      <c r="AD692" s="2">
        <f t="shared" si="8"/>
        <v>0</v>
      </c>
      <c r="AE692" s="2">
        <f>IF(OR($M692="",$N692=""),0,IF(AND(WEpa&gt;0,$AD692=1),(1-WEpa)*$AB692+WEpa*$AC692,$AB692))</f>
        <v>0</v>
      </c>
      <c r="AF692" s="2">
        <f>IF(AND($C692&lt;&gt;"",$E692=CurrentSeason,$F692="REG",ISNUMBER($G692),$G692&lt;CurrentWeek,AND($M692&lt;&gt;"",$N692&lt;&gt;"")),1,0)</f>
        <v>0</v>
      </c>
      <c r="AG692" s="2">
        <f>IF($AF692=0,0,IF($G692&gt;=CurrentWeek-RecencyWin,RecencyMult,1))</f>
        <v>0</v>
      </c>
      <c r="AH692" s="2">
        <f>IF(AND($C692&lt;&gt;"",$E692=CurrentSeason,$F692="REG",ISNUMBER($G692),$G692&lt;CurrentWeek-1,AND($M692&lt;&gt;"",$N692&lt;&gt;"")),1,0)</f>
        <v>0</v>
      </c>
      <c r="AI692" s="2">
        <f>IF($AH692=0,0,IF($G692&gt;=CurrentWeek-1-RecencyWin,RecencyMult,1))</f>
        <v>0</v>
      </c>
      <c r="AJ692" s="2">
        <f>IF($AF692=0,0,IF($G692&gt;=CurrentWeek-RecencyWin,TotRecency,1))</f>
        <v>0</v>
      </c>
      <c r="AK692" s="2">
        <f t="shared" si="9"/>
        <v>0</v>
      </c>
      <c r="AL692" s="2">
        <f t="shared" si="10"/>
        <v>0</v>
      </c>
      <c r="AM692" s="2">
        <f t="array" ref="AM692">IF($K692="",0,IFERROR(INDEX(CALC!$F$2:$F$33,MATCH($K692,CALC!$A$2:$A$33,0)),0))</f>
        <v>0</v>
      </c>
      <c r="AN692" s="2">
        <f t="array" ref="AN692">IF($K692="",0,IFERROR(INDEX(CALC!$I$2:$I$33,MATCH($K692,CALC!$A$2:$A$33,0)),0))</f>
        <v>0</v>
      </c>
      <c r="AO692" s="2">
        <f t="array" ref="AO692">IF($K692="",0,IFERROR(INDEX(CALC!$L$2:$L$33,MATCH($K692,CALC!$A$2:$A$33,0)),0))</f>
        <v>0</v>
      </c>
      <c r="AP692" s="2">
        <f t="array" ref="AP692">IF($K692="",0,IFERROR(INDEX(CALC!$T$2:$T$33,MATCH($K692,CALC!$A$2:$A$33,0)),0))</f>
        <v>0</v>
      </c>
      <c r="AQ692" s="2">
        <f t="array" ref="AQ692">IF($K692="",0,IFERROR(INDEX(CALC!$W$2:$W$33,MATCH($K692,CALC!$A$2:$A$33,0)),0))</f>
        <v>0</v>
      </c>
      <c r="AR692" s="2">
        <f t="array" ref="AR692">IF($K692="",0,IFERROR(INDEX(CALC!$Z$2:$Z$33,MATCH($K692,CALC!$A$2:$A$33,0)),0))</f>
        <v>0</v>
      </c>
      <c r="AS692" s="2">
        <f t="array" ref="AS692">IF($K692="",0,IFERROR(INDEX(CALC!$AJ$2:$AJ$33,MATCH($K692,CALC!$A$2:$A$33,0)),0))</f>
        <v>0</v>
      </c>
      <c r="AT692" s="2">
        <f t="array" ref="AT692">IF($K692="",0,IFERROR(INDEX(CALC!$AI$2:$AI$33,MATCH($K692,CALC!$A$2:$A$33,0)),0))</f>
        <v>0</v>
      </c>
      <c r="AU692" s="2">
        <f t="shared" si="11"/>
        <v>0</v>
      </c>
      <c r="AV692" s="2">
        <f t="shared" si="12"/>
        <v>0</v>
      </c>
    </row>
    <row r="693" ht="15.0" customHeight="1">
      <c r="A693" s="2">
        <v>346.0</v>
      </c>
      <c r="B693" s="2" t="s">
        <v>2365</v>
      </c>
      <c r="C693" s="2" t="str">
        <f>IFERROR(MATCH($A693,SchedSeq,0),"")</f>
        <v/>
      </c>
      <c r="D693" s="2" t="str">
        <f t="array" ref="D693">IF($C693="","",INDEX(SchedZone,$C693,MAP!$B$6))</f>
        <v/>
      </c>
      <c r="E693" s="2" t="str">
        <f t="array" ref="E693">IF($C693="","",INDEX(SchedZone,$C693,MAP!$B$3))</f>
        <v/>
      </c>
      <c r="F693" s="2" t="str">
        <f t="array" ref="F693">IF($C693="","",INDEX(SchedZone,$C693,MAP!$B$5))</f>
        <v/>
      </c>
      <c r="G693" s="2" t="str">
        <f t="array" ref="G693">IF($C693="","",INDEX(SchedZone,$C693,MAP!$B$4))</f>
        <v/>
      </c>
      <c r="H693" s="2" t="str">
        <f t="array" ref="H693">IF($C693="","",INDEX(SchedZone,$C693,MAP!$B$12))</f>
        <v/>
      </c>
      <c r="I693" s="2" t="str">
        <f t="array" ref="I693">IF($H693="","",IF(COUNTIF(Teams,$H693)&gt;0,$H693,IFERROR(INDEX(LISTS!$D$2:$D$12,MATCH($H693,LISTS!$C$2:$C$12,0)),"⚠ "&amp;$H693)))</f>
        <v/>
      </c>
      <c r="J693" s="2" t="str">
        <f t="array" ref="J693">IF($C693="","",INDEX(SchedZone,$C693,MAP!$B$10))</f>
        <v/>
      </c>
      <c r="K693" s="2" t="str">
        <f t="array" ref="K693">IF($J693="","",IF(COUNTIF(Teams,$J693)&gt;0,$J693,IFERROR(INDEX(LISTS!$D$2:$D$12,MATCH($J693,LISTS!$C$2:$C$12,0)),"⚠ "&amp;$J693)))</f>
        <v/>
      </c>
      <c r="L693" s="2" t="str">
        <f t="array" ref="L693">IF($C693="","",IF(INDEX(SchedZone,$C693,MAP!$B$14)="Neutral","N",IF($B693="HOME","H","A")))</f>
        <v/>
      </c>
      <c r="M693" s="2" t="str">
        <f t="array" ref="M693">IF($C693="","",IF(INDEX(SchedZone,$C693,MAP!$B$13)="","",INDEX(SchedZone,$C693,MAP!$B$13)))</f>
        <v/>
      </c>
      <c r="N693" s="2" t="str">
        <f t="array" ref="N693">IF($C693="","",IF(INDEX(SchedZone,$C693,MAP!$B$11)="","",INDEX(SchedZone,$C693,MAP!$B$11)))</f>
        <v/>
      </c>
      <c r="O693" s="2" t="str">
        <f t="array" ref="O693">IF($C693="","",INDEX(SchedZone,$C693,MAP!$B$16))</f>
        <v/>
      </c>
      <c r="P693" s="2" t="str">
        <f>IF($C693="","",IFERROR(MATCH($E693&amp;"|"&amp;$G693&amp;"|"&amp;$I693,StatsKey,0),""))</f>
        <v/>
      </c>
      <c r="Q693" s="2">
        <f t="array" ref="Q693">IF($P693="",0,INDEX(StatsZone,$P693,MAP!$E$9)+INDEX(StatsZone,$P693,MAP!$E$10)+INDEX(StatsZone,$P693,MAP!$E$11))</f>
        <v>0</v>
      </c>
      <c r="R693" s="2">
        <f t="array" ref="R693">IF($P693="",0,INDEX(StatsZone,$P693,MAP!$E$12))</f>
        <v>0</v>
      </c>
      <c r="S693" s="2">
        <f t="array" ref="S693">IF($P693="",0,INDEX(StatsZone,$P693,MAP!$E$13))</f>
        <v>0</v>
      </c>
      <c r="T693" s="2">
        <f t="shared" si="1"/>
        <v>0</v>
      </c>
      <c r="U693" s="2">
        <f t="array" ref="U693">IF($P693="",0,INDEX(StatsZone,$P693,MAP!$E$14)+INDEX(StatsZone,$P693,MAP!$E$15)+INDEX(StatsZone,$P693,MAP!$E$16))</f>
        <v>0</v>
      </c>
      <c r="V693" s="2">
        <f t="shared" si="2"/>
        <v>0</v>
      </c>
      <c r="W693" s="2">
        <f t="shared" si="3"/>
        <v>0</v>
      </c>
      <c r="X693" s="2">
        <f t="shared" si="4"/>
        <v>0</v>
      </c>
      <c r="Y693" s="2">
        <f t="shared" si="5"/>
        <v>0</v>
      </c>
      <c r="Z693" s="2">
        <f t="shared" si="6"/>
        <v>0</v>
      </c>
      <c r="AA693" s="2">
        <f t="shared" si="7"/>
        <v>0</v>
      </c>
      <c r="AB693" s="2">
        <f>IF(OR($M693="",$N693=""),0,MEDIAN(-MarginCap,MarginCap,($M693-$N693)-$AA693*HFA_Base))</f>
        <v>0</v>
      </c>
      <c r="AC693" s="2">
        <f t="array" ref="AC693">IF(OR($P693="",INDEX($P$3:$P$722,(ROW()+IF(MOD(ROW()-3,2)=0,1,-1))-3+1)=""),0,MEDIAN(-MarginCap,MarginCap,($T693-$W693)-$AA693*HFA_Base))</f>
        <v>0</v>
      </c>
      <c r="AD693" s="2">
        <f t="shared" si="8"/>
        <v>0</v>
      </c>
      <c r="AE693" s="2">
        <f>IF(OR($M693="",$N693=""),0,IF(AND(WEpa&gt;0,$AD693=1),(1-WEpa)*$AB693+WEpa*$AC693,$AB693))</f>
        <v>0</v>
      </c>
      <c r="AF693" s="2">
        <f>IF(AND($C693&lt;&gt;"",$E693=CurrentSeason,$F693="REG",ISNUMBER($G693),$G693&lt;CurrentWeek,AND($M693&lt;&gt;"",$N693&lt;&gt;"")),1,0)</f>
        <v>0</v>
      </c>
      <c r="AG693" s="2">
        <f>IF($AF693=0,0,IF($G693&gt;=CurrentWeek-RecencyWin,RecencyMult,1))</f>
        <v>0</v>
      </c>
      <c r="AH693" s="2">
        <f>IF(AND($C693&lt;&gt;"",$E693=CurrentSeason,$F693="REG",ISNUMBER($G693),$G693&lt;CurrentWeek-1,AND($M693&lt;&gt;"",$N693&lt;&gt;"")),1,0)</f>
        <v>0</v>
      </c>
      <c r="AI693" s="2">
        <f>IF($AH693=0,0,IF($G693&gt;=CurrentWeek-1-RecencyWin,RecencyMult,1))</f>
        <v>0</v>
      </c>
      <c r="AJ693" s="2">
        <f>IF($AF693=0,0,IF($G693&gt;=CurrentWeek-RecencyWin,TotRecency,1))</f>
        <v>0</v>
      </c>
      <c r="AK693" s="2">
        <f t="shared" si="9"/>
        <v>0</v>
      </c>
      <c r="AL693" s="2">
        <f t="shared" si="10"/>
        <v>0</v>
      </c>
      <c r="AM693" s="2">
        <f t="array" ref="AM693">IF($K693="",0,IFERROR(INDEX(CALC!$F$2:$F$33,MATCH($K693,CALC!$A$2:$A$33,0)),0))</f>
        <v>0</v>
      </c>
      <c r="AN693" s="2">
        <f t="array" ref="AN693">IF($K693="",0,IFERROR(INDEX(CALC!$I$2:$I$33,MATCH($K693,CALC!$A$2:$A$33,0)),0))</f>
        <v>0</v>
      </c>
      <c r="AO693" s="2">
        <f t="array" ref="AO693">IF($K693="",0,IFERROR(INDEX(CALC!$L$2:$L$33,MATCH($K693,CALC!$A$2:$A$33,0)),0))</f>
        <v>0</v>
      </c>
      <c r="AP693" s="2">
        <f t="array" ref="AP693">IF($K693="",0,IFERROR(INDEX(CALC!$T$2:$T$33,MATCH($K693,CALC!$A$2:$A$33,0)),0))</f>
        <v>0</v>
      </c>
      <c r="AQ693" s="2">
        <f t="array" ref="AQ693">IF($K693="",0,IFERROR(INDEX(CALC!$W$2:$W$33,MATCH($K693,CALC!$A$2:$A$33,0)),0))</f>
        <v>0</v>
      </c>
      <c r="AR693" s="2">
        <f t="array" ref="AR693">IF($K693="",0,IFERROR(INDEX(CALC!$Z$2:$Z$33,MATCH($K693,CALC!$A$2:$A$33,0)),0))</f>
        <v>0</v>
      </c>
      <c r="AS693" s="2">
        <f t="array" ref="AS693">IF($K693="",0,IFERROR(INDEX(CALC!$AJ$2:$AJ$33,MATCH($K693,CALC!$A$2:$A$33,0)),0))</f>
        <v>0</v>
      </c>
      <c r="AT693" s="2">
        <f t="array" ref="AT693">IF($K693="",0,IFERROR(INDEX(CALC!$AI$2:$AI$33,MATCH($K693,CALC!$A$2:$A$33,0)),0))</f>
        <v>0</v>
      </c>
      <c r="AU693" s="2">
        <f t="shared" si="11"/>
        <v>0</v>
      </c>
      <c r="AV693" s="2">
        <f t="shared" si="12"/>
        <v>0</v>
      </c>
    </row>
    <row r="694" ht="15.0" customHeight="1">
      <c r="A694" s="2">
        <v>346.0</v>
      </c>
      <c r="B694" s="2" t="s">
        <v>2366</v>
      </c>
      <c r="C694" s="2" t="str">
        <f>IFERROR(MATCH($A694,SchedSeq,0),"")</f>
        <v/>
      </c>
      <c r="D694" s="2" t="str">
        <f t="array" ref="D694">IF($C694="","",INDEX(SchedZone,$C694,MAP!$B$6))</f>
        <v/>
      </c>
      <c r="E694" s="2" t="str">
        <f t="array" ref="E694">IF($C694="","",INDEX(SchedZone,$C694,MAP!$B$3))</f>
        <v/>
      </c>
      <c r="F694" s="2" t="str">
        <f t="array" ref="F694">IF($C694="","",INDEX(SchedZone,$C694,MAP!$B$5))</f>
        <v/>
      </c>
      <c r="G694" s="2" t="str">
        <f t="array" ref="G694">IF($C694="","",INDEX(SchedZone,$C694,MAP!$B$4))</f>
        <v/>
      </c>
      <c r="H694" s="2" t="str">
        <f t="array" ref="H694">IF($C694="","",INDEX(SchedZone,$C694,MAP!$B$10))</f>
        <v/>
      </c>
      <c r="I694" s="2" t="str">
        <f t="array" ref="I694">IF($H694="","",IF(COUNTIF(Teams,$H694)&gt;0,$H694,IFERROR(INDEX(LISTS!$D$2:$D$12,MATCH($H694,LISTS!$C$2:$C$12,0)),"⚠ "&amp;$H694)))</f>
        <v/>
      </c>
      <c r="J694" s="2" t="str">
        <f t="array" ref="J694">IF($C694="","",INDEX(SchedZone,$C694,MAP!$B$12))</f>
        <v/>
      </c>
      <c r="K694" s="2" t="str">
        <f t="array" ref="K694">IF($J694="","",IF(COUNTIF(Teams,$J694)&gt;0,$J694,IFERROR(INDEX(LISTS!$D$2:$D$12,MATCH($J694,LISTS!$C$2:$C$12,0)),"⚠ "&amp;$J694)))</f>
        <v/>
      </c>
      <c r="L694" s="2" t="str">
        <f t="array" ref="L694">IF($C694="","",IF(INDEX(SchedZone,$C694,MAP!$B$14)="Neutral","N",IF($B694="HOME","H","A")))</f>
        <v/>
      </c>
      <c r="M694" s="2" t="str">
        <f t="array" ref="M694">IF($C694="","",IF(INDEX(SchedZone,$C694,MAP!$B$11)="","",INDEX(SchedZone,$C694,MAP!$B$11)))</f>
        <v/>
      </c>
      <c r="N694" s="2" t="str">
        <f t="array" ref="N694">IF($C694="","",IF(INDEX(SchedZone,$C694,MAP!$B$13)="","",INDEX(SchedZone,$C694,MAP!$B$13)))</f>
        <v/>
      </c>
      <c r="O694" s="2" t="str">
        <f t="array" ref="O694">IF($C694="","",INDEX(SchedZone,$C694,MAP!$B$15))</f>
        <v/>
      </c>
      <c r="P694" s="2" t="str">
        <f>IF($C694="","",IFERROR(MATCH($E694&amp;"|"&amp;$G694&amp;"|"&amp;$I694,StatsKey,0),""))</f>
        <v/>
      </c>
      <c r="Q694" s="2">
        <f t="array" ref="Q694">IF($P694="",0,INDEX(StatsZone,$P694,MAP!$E$9)+INDEX(StatsZone,$P694,MAP!$E$10)+INDEX(StatsZone,$P694,MAP!$E$11))</f>
        <v>0</v>
      </c>
      <c r="R694" s="2">
        <f t="array" ref="R694">IF($P694="",0,INDEX(StatsZone,$P694,MAP!$E$12))</f>
        <v>0</v>
      </c>
      <c r="S694" s="2">
        <f t="array" ref="S694">IF($P694="",0,INDEX(StatsZone,$P694,MAP!$E$13))</f>
        <v>0</v>
      </c>
      <c r="T694" s="2">
        <f t="shared" si="1"/>
        <v>0</v>
      </c>
      <c r="U694" s="2">
        <f t="array" ref="U694">IF($P694="",0,INDEX(StatsZone,$P694,MAP!$E$14)+INDEX(StatsZone,$P694,MAP!$E$15)+INDEX(StatsZone,$P694,MAP!$E$16))</f>
        <v>0</v>
      </c>
      <c r="V694" s="2">
        <f t="shared" si="2"/>
        <v>0</v>
      </c>
      <c r="W694" s="2">
        <f t="shared" si="3"/>
        <v>0</v>
      </c>
      <c r="X694" s="2">
        <f t="shared" si="4"/>
        <v>0</v>
      </c>
      <c r="Y694" s="2">
        <f t="shared" si="5"/>
        <v>0</v>
      </c>
      <c r="Z694" s="2">
        <f t="shared" si="6"/>
        <v>0</v>
      </c>
      <c r="AA694" s="2">
        <f t="shared" si="7"/>
        <v>0</v>
      </c>
      <c r="AB694" s="2">
        <f>IF(OR($M694="",$N694=""),0,MEDIAN(-MarginCap,MarginCap,($M694-$N694)-$AA694*HFA_Base))</f>
        <v>0</v>
      </c>
      <c r="AC694" s="2">
        <f t="array" ref="AC694">IF(OR($P694="",INDEX($P$3:$P$722,(ROW()+IF(MOD(ROW()-3,2)=0,1,-1))-3+1)=""),0,MEDIAN(-MarginCap,MarginCap,($T694-$W694)-$AA694*HFA_Base))</f>
        <v>0</v>
      </c>
      <c r="AD694" s="2">
        <f t="shared" si="8"/>
        <v>0</v>
      </c>
      <c r="AE694" s="2">
        <f>IF(OR($M694="",$N694=""),0,IF(AND(WEpa&gt;0,$AD694=1),(1-WEpa)*$AB694+WEpa*$AC694,$AB694))</f>
        <v>0</v>
      </c>
      <c r="AF694" s="2">
        <f>IF(AND($C694&lt;&gt;"",$E694=CurrentSeason,$F694="REG",ISNUMBER($G694),$G694&lt;CurrentWeek,AND($M694&lt;&gt;"",$N694&lt;&gt;"")),1,0)</f>
        <v>0</v>
      </c>
      <c r="AG694" s="2">
        <f>IF($AF694=0,0,IF($G694&gt;=CurrentWeek-RecencyWin,RecencyMult,1))</f>
        <v>0</v>
      </c>
      <c r="AH694" s="2">
        <f>IF(AND($C694&lt;&gt;"",$E694=CurrentSeason,$F694="REG",ISNUMBER($G694),$G694&lt;CurrentWeek-1,AND($M694&lt;&gt;"",$N694&lt;&gt;"")),1,0)</f>
        <v>0</v>
      </c>
      <c r="AI694" s="2">
        <f>IF($AH694=0,0,IF($G694&gt;=CurrentWeek-1-RecencyWin,RecencyMult,1))</f>
        <v>0</v>
      </c>
      <c r="AJ694" s="2">
        <f>IF($AF694=0,0,IF($G694&gt;=CurrentWeek-RecencyWin,TotRecency,1))</f>
        <v>0</v>
      </c>
      <c r="AK694" s="2">
        <f t="shared" si="9"/>
        <v>0</v>
      </c>
      <c r="AL694" s="2">
        <f t="shared" si="10"/>
        <v>0</v>
      </c>
      <c r="AM694" s="2">
        <f t="array" ref="AM694">IF($K694="",0,IFERROR(INDEX(CALC!$F$2:$F$33,MATCH($K694,CALC!$A$2:$A$33,0)),0))</f>
        <v>0</v>
      </c>
      <c r="AN694" s="2">
        <f t="array" ref="AN694">IF($K694="",0,IFERROR(INDEX(CALC!$I$2:$I$33,MATCH($K694,CALC!$A$2:$A$33,0)),0))</f>
        <v>0</v>
      </c>
      <c r="AO694" s="2">
        <f t="array" ref="AO694">IF($K694="",0,IFERROR(INDEX(CALC!$L$2:$L$33,MATCH($K694,CALC!$A$2:$A$33,0)),0))</f>
        <v>0</v>
      </c>
      <c r="AP694" s="2">
        <f t="array" ref="AP694">IF($K694="",0,IFERROR(INDEX(CALC!$T$2:$T$33,MATCH($K694,CALC!$A$2:$A$33,0)),0))</f>
        <v>0</v>
      </c>
      <c r="AQ694" s="2">
        <f t="array" ref="AQ694">IF($K694="",0,IFERROR(INDEX(CALC!$W$2:$W$33,MATCH($K694,CALC!$A$2:$A$33,0)),0))</f>
        <v>0</v>
      </c>
      <c r="AR694" s="2">
        <f t="array" ref="AR694">IF($K694="",0,IFERROR(INDEX(CALC!$Z$2:$Z$33,MATCH($K694,CALC!$A$2:$A$33,0)),0))</f>
        <v>0</v>
      </c>
      <c r="AS694" s="2">
        <f t="array" ref="AS694">IF($K694="",0,IFERROR(INDEX(CALC!$AJ$2:$AJ$33,MATCH($K694,CALC!$A$2:$A$33,0)),0))</f>
        <v>0</v>
      </c>
      <c r="AT694" s="2">
        <f t="array" ref="AT694">IF($K694="",0,IFERROR(INDEX(CALC!$AI$2:$AI$33,MATCH($K694,CALC!$A$2:$A$33,0)),0))</f>
        <v>0</v>
      </c>
      <c r="AU694" s="2">
        <f t="shared" si="11"/>
        <v>0</v>
      </c>
      <c r="AV694" s="2">
        <f t="shared" si="12"/>
        <v>0</v>
      </c>
    </row>
    <row r="695" ht="15.0" customHeight="1">
      <c r="A695" s="2">
        <v>347.0</v>
      </c>
      <c r="B695" s="2" t="s">
        <v>2365</v>
      </c>
      <c r="C695" s="2" t="str">
        <f>IFERROR(MATCH($A695,SchedSeq,0),"")</f>
        <v/>
      </c>
      <c r="D695" s="2" t="str">
        <f t="array" ref="D695">IF($C695="","",INDEX(SchedZone,$C695,MAP!$B$6))</f>
        <v/>
      </c>
      <c r="E695" s="2" t="str">
        <f t="array" ref="E695">IF($C695="","",INDEX(SchedZone,$C695,MAP!$B$3))</f>
        <v/>
      </c>
      <c r="F695" s="2" t="str">
        <f t="array" ref="F695">IF($C695="","",INDEX(SchedZone,$C695,MAP!$B$5))</f>
        <v/>
      </c>
      <c r="G695" s="2" t="str">
        <f t="array" ref="G695">IF($C695="","",INDEX(SchedZone,$C695,MAP!$B$4))</f>
        <v/>
      </c>
      <c r="H695" s="2" t="str">
        <f t="array" ref="H695">IF($C695="","",INDEX(SchedZone,$C695,MAP!$B$12))</f>
        <v/>
      </c>
      <c r="I695" s="2" t="str">
        <f t="array" ref="I695">IF($H695="","",IF(COUNTIF(Teams,$H695)&gt;0,$H695,IFERROR(INDEX(LISTS!$D$2:$D$12,MATCH($H695,LISTS!$C$2:$C$12,0)),"⚠ "&amp;$H695)))</f>
        <v/>
      </c>
      <c r="J695" s="2" t="str">
        <f t="array" ref="J695">IF($C695="","",INDEX(SchedZone,$C695,MAP!$B$10))</f>
        <v/>
      </c>
      <c r="K695" s="2" t="str">
        <f t="array" ref="K695">IF($J695="","",IF(COUNTIF(Teams,$J695)&gt;0,$J695,IFERROR(INDEX(LISTS!$D$2:$D$12,MATCH($J695,LISTS!$C$2:$C$12,0)),"⚠ "&amp;$J695)))</f>
        <v/>
      </c>
      <c r="L695" s="2" t="str">
        <f t="array" ref="L695">IF($C695="","",IF(INDEX(SchedZone,$C695,MAP!$B$14)="Neutral","N",IF($B695="HOME","H","A")))</f>
        <v/>
      </c>
      <c r="M695" s="2" t="str">
        <f t="array" ref="M695">IF($C695="","",IF(INDEX(SchedZone,$C695,MAP!$B$13)="","",INDEX(SchedZone,$C695,MAP!$B$13)))</f>
        <v/>
      </c>
      <c r="N695" s="2" t="str">
        <f t="array" ref="N695">IF($C695="","",IF(INDEX(SchedZone,$C695,MAP!$B$11)="","",INDEX(SchedZone,$C695,MAP!$B$11)))</f>
        <v/>
      </c>
      <c r="O695" s="2" t="str">
        <f t="array" ref="O695">IF($C695="","",INDEX(SchedZone,$C695,MAP!$B$16))</f>
        <v/>
      </c>
      <c r="P695" s="2" t="str">
        <f>IF($C695="","",IFERROR(MATCH($E695&amp;"|"&amp;$G695&amp;"|"&amp;$I695,StatsKey,0),""))</f>
        <v/>
      </c>
      <c r="Q695" s="2">
        <f t="array" ref="Q695">IF($P695="",0,INDEX(StatsZone,$P695,MAP!$E$9)+INDEX(StatsZone,$P695,MAP!$E$10)+INDEX(StatsZone,$P695,MAP!$E$11))</f>
        <v>0</v>
      </c>
      <c r="R695" s="2">
        <f t="array" ref="R695">IF($P695="",0,INDEX(StatsZone,$P695,MAP!$E$12))</f>
        <v>0</v>
      </c>
      <c r="S695" s="2">
        <f t="array" ref="S695">IF($P695="",0,INDEX(StatsZone,$P695,MAP!$E$13))</f>
        <v>0</v>
      </c>
      <c r="T695" s="2">
        <f t="shared" si="1"/>
        <v>0</v>
      </c>
      <c r="U695" s="2">
        <f t="array" ref="U695">IF($P695="",0,INDEX(StatsZone,$P695,MAP!$E$14)+INDEX(StatsZone,$P695,MAP!$E$15)+INDEX(StatsZone,$P695,MAP!$E$16))</f>
        <v>0</v>
      </c>
      <c r="V695" s="2">
        <f t="shared" si="2"/>
        <v>0</v>
      </c>
      <c r="W695" s="2">
        <f t="shared" si="3"/>
        <v>0</v>
      </c>
      <c r="X695" s="2">
        <f t="shared" si="4"/>
        <v>0</v>
      </c>
      <c r="Y695" s="2">
        <f t="shared" si="5"/>
        <v>0</v>
      </c>
      <c r="Z695" s="2">
        <f t="shared" si="6"/>
        <v>0</v>
      </c>
      <c r="AA695" s="2">
        <f t="shared" si="7"/>
        <v>0</v>
      </c>
      <c r="AB695" s="2">
        <f>IF(OR($M695="",$N695=""),0,MEDIAN(-MarginCap,MarginCap,($M695-$N695)-$AA695*HFA_Base))</f>
        <v>0</v>
      </c>
      <c r="AC695" s="2">
        <f t="array" ref="AC695">IF(OR($P695="",INDEX($P$3:$P$722,(ROW()+IF(MOD(ROW()-3,2)=0,1,-1))-3+1)=""),0,MEDIAN(-MarginCap,MarginCap,($T695-$W695)-$AA695*HFA_Base))</f>
        <v>0</v>
      </c>
      <c r="AD695" s="2">
        <f t="shared" si="8"/>
        <v>0</v>
      </c>
      <c r="AE695" s="2">
        <f>IF(OR($M695="",$N695=""),0,IF(AND(WEpa&gt;0,$AD695=1),(1-WEpa)*$AB695+WEpa*$AC695,$AB695))</f>
        <v>0</v>
      </c>
      <c r="AF695" s="2">
        <f>IF(AND($C695&lt;&gt;"",$E695=CurrentSeason,$F695="REG",ISNUMBER($G695),$G695&lt;CurrentWeek,AND($M695&lt;&gt;"",$N695&lt;&gt;"")),1,0)</f>
        <v>0</v>
      </c>
      <c r="AG695" s="2">
        <f>IF($AF695=0,0,IF($G695&gt;=CurrentWeek-RecencyWin,RecencyMult,1))</f>
        <v>0</v>
      </c>
      <c r="AH695" s="2">
        <f>IF(AND($C695&lt;&gt;"",$E695=CurrentSeason,$F695="REG",ISNUMBER($G695),$G695&lt;CurrentWeek-1,AND($M695&lt;&gt;"",$N695&lt;&gt;"")),1,0)</f>
        <v>0</v>
      </c>
      <c r="AI695" s="2">
        <f>IF($AH695=0,0,IF($G695&gt;=CurrentWeek-1-RecencyWin,RecencyMult,1))</f>
        <v>0</v>
      </c>
      <c r="AJ695" s="2">
        <f>IF($AF695=0,0,IF($G695&gt;=CurrentWeek-RecencyWin,TotRecency,1))</f>
        <v>0</v>
      </c>
      <c r="AK695" s="2">
        <f t="shared" si="9"/>
        <v>0</v>
      </c>
      <c r="AL695" s="2">
        <f t="shared" si="10"/>
        <v>0</v>
      </c>
      <c r="AM695" s="2">
        <f t="array" ref="AM695">IF($K695="",0,IFERROR(INDEX(CALC!$F$2:$F$33,MATCH($K695,CALC!$A$2:$A$33,0)),0))</f>
        <v>0</v>
      </c>
      <c r="AN695" s="2">
        <f t="array" ref="AN695">IF($K695="",0,IFERROR(INDEX(CALC!$I$2:$I$33,MATCH($K695,CALC!$A$2:$A$33,0)),0))</f>
        <v>0</v>
      </c>
      <c r="AO695" s="2">
        <f t="array" ref="AO695">IF($K695="",0,IFERROR(INDEX(CALC!$L$2:$L$33,MATCH($K695,CALC!$A$2:$A$33,0)),0))</f>
        <v>0</v>
      </c>
      <c r="AP695" s="2">
        <f t="array" ref="AP695">IF($K695="",0,IFERROR(INDEX(CALC!$T$2:$T$33,MATCH($K695,CALC!$A$2:$A$33,0)),0))</f>
        <v>0</v>
      </c>
      <c r="AQ695" s="2">
        <f t="array" ref="AQ695">IF($K695="",0,IFERROR(INDEX(CALC!$W$2:$W$33,MATCH($K695,CALC!$A$2:$A$33,0)),0))</f>
        <v>0</v>
      </c>
      <c r="AR695" s="2">
        <f t="array" ref="AR695">IF($K695="",0,IFERROR(INDEX(CALC!$Z$2:$Z$33,MATCH($K695,CALC!$A$2:$A$33,0)),0))</f>
        <v>0</v>
      </c>
      <c r="AS695" s="2">
        <f t="array" ref="AS695">IF($K695="",0,IFERROR(INDEX(CALC!$AJ$2:$AJ$33,MATCH($K695,CALC!$A$2:$A$33,0)),0))</f>
        <v>0</v>
      </c>
      <c r="AT695" s="2">
        <f t="array" ref="AT695">IF($K695="",0,IFERROR(INDEX(CALC!$AI$2:$AI$33,MATCH($K695,CALC!$A$2:$A$33,0)),0))</f>
        <v>0</v>
      </c>
      <c r="AU695" s="2">
        <f t="shared" si="11"/>
        <v>0</v>
      </c>
      <c r="AV695" s="2">
        <f t="shared" si="12"/>
        <v>0</v>
      </c>
    </row>
    <row r="696" ht="15.0" customHeight="1">
      <c r="A696" s="2">
        <v>347.0</v>
      </c>
      <c r="B696" s="2" t="s">
        <v>2366</v>
      </c>
      <c r="C696" s="2" t="str">
        <f>IFERROR(MATCH($A696,SchedSeq,0),"")</f>
        <v/>
      </c>
      <c r="D696" s="2" t="str">
        <f t="array" ref="D696">IF($C696="","",INDEX(SchedZone,$C696,MAP!$B$6))</f>
        <v/>
      </c>
      <c r="E696" s="2" t="str">
        <f t="array" ref="E696">IF($C696="","",INDEX(SchedZone,$C696,MAP!$B$3))</f>
        <v/>
      </c>
      <c r="F696" s="2" t="str">
        <f t="array" ref="F696">IF($C696="","",INDEX(SchedZone,$C696,MAP!$B$5))</f>
        <v/>
      </c>
      <c r="G696" s="2" t="str">
        <f t="array" ref="G696">IF($C696="","",INDEX(SchedZone,$C696,MAP!$B$4))</f>
        <v/>
      </c>
      <c r="H696" s="2" t="str">
        <f t="array" ref="H696">IF($C696="","",INDEX(SchedZone,$C696,MAP!$B$10))</f>
        <v/>
      </c>
      <c r="I696" s="2" t="str">
        <f t="array" ref="I696">IF($H696="","",IF(COUNTIF(Teams,$H696)&gt;0,$H696,IFERROR(INDEX(LISTS!$D$2:$D$12,MATCH($H696,LISTS!$C$2:$C$12,0)),"⚠ "&amp;$H696)))</f>
        <v/>
      </c>
      <c r="J696" s="2" t="str">
        <f t="array" ref="J696">IF($C696="","",INDEX(SchedZone,$C696,MAP!$B$12))</f>
        <v/>
      </c>
      <c r="K696" s="2" t="str">
        <f t="array" ref="K696">IF($J696="","",IF(COUNTIF(Teams,$J696)&gt;0,$J696,IFERROR(INDEX(LISTS!$D$2:$D$12,MATCH($J696,LISTS!$C$2:$C$12,0)),"⚠ "&amp;$J696)))</f>
        <v/>
      </c>
      <c r="L696" s="2" t="str">
        <f t="array" ref="L696">IF($C696="","",IF(INDEX(SchedZone,$C696,MAP!$B$14)="Neutral","N",IF($B696="HOME","H","A")))</f>
        <v/>
      </c>
      <c r="M696" s="2" t="str">
        <f t="array" ref="M696">IF($C696="","",IF(INDEX(SchedZone,$C696,MAP!$B$11)="","",INDEX(SchedZone,$C696,MAP!$B$11)))</f>
        <v/>
      </c>
      <c r="N696" s="2" t="str">
        <f t="array" ref="N696">IF($C696="","",IF(INDEX(SchedZone,$C696,MAP!$B$13)="","",INDEX(SchedZone,$C696,MAP!$B$13)))</f>
        <v/>
      </c>
      <c r="O696" s="2" t="str">
        <f t="array" ref="O696">IF($C696="","",INDEX(SchedZone,$C696,MAP!$B$15))</f>
        <v/>
      </c>
      <c r="P696" s="2" t="str">
        <f>IF($C696="","",IFERROR(MATCH($E696&amp;"|"&amp;$G696&amp;"|"&amp;$I696,StatsKey,0),""))</f>
        <v/>
      </c>
      <c r="Q696" s="2">
        <f t="array" ref="Q696">IF($P696="",0,INDEX(StatsZone,$P696,MAP!$E$9)+INDEX(StatsZone,$P696,MAP!$E$10)+INDEX(StatsZone,$P696,MAP!$E$11))</f>
        <v>0</v>
      </c>
      <c r="R696" s="2">
        <f t="array" ref="R696">IF($P696="",0,INDEX(StatsZone,$P696,MAP!$E$12))</f>
        <v>0</v>
      </c>
      <c r="S696" s="2">
        <f t="array" ref="S696">IF($P696="",0,INDEX(StatsZone,$P696,MAP!$E$13))</f>
        <v>0</v>
      </c>
      <c r="T696" s="2">
        <f t="shared" si="1"/>
        <v>0</v>
      </c>
      <c r="U696" s="2">
        <f t="array" ref="U696">IF($P696="",0,INDEX(StatsZone,$P696,MAP!$E$14)+INDEX(StatsZone,$P696,MAP!$E$15)+INDEX(StatsZone,$P696,MAP!$E$16))</f>
        <v>0</v>
      </c>
      <c r="V696" s="2">
        <f t="shared" si="2"/>
        <v>0</v>
      </c>
      <c r="W696" s="2">
        <f t="shared" si="3"/>
        <v>0</v>
      </c>
      <c r="X696" s="2">
        <f t="shared" si="4"/>
        <v>0</v>
      </c>
      <c r="Y696" s="2">
        <f t="shared" si="5"/>
        <v>0</v>
      </c>
      <c r="Z696" s="2">
        <f t="shared" si="6"/>
        <v>0</v>
      </c>
      <c r="AA696" s="2">
        <f t="shared" si="7"/>
        <v>0</v>
      </c>
      <c r="AB696" s="2">
        <f>IF(OR($M696="",$N696=""),0,MEDIAN(-MarginCap,MarginCap,($M696-$N696)-$AA696*HFA_Base))</f>
        <v>0</v>
      </c>
      <c r="AC696" s="2">
        <f t="array" ref="AC696">IF(OR($P696="",INDEX($P$3:$P$722,(ROW()+IF(MOD(ROW()-3,2)=0,1,-1))-3+1)=""),0,MEDIAN(-MarginCap,MarginCap,($T696-$W696)-$AA696*HFA_Base))</f>
        <v>0</v>
      </c>
      <c r="AD696" s="2">
        <f t="shared" si="8"/>
        <v>0</v>
      </c>
      <c r="AE696" s="2">
        <f>IF(OR($M696="",$N696=""),0,IF(AND(WEpa&gt;0,$AD696=1),(1-WEpa)*$AB696+WEpa*$AC696,$AB696))</f>
        <v>0</v>
      </c>
      <c r="AF696" s="2">
        <f>IF(AND($C696&lt;&gt;"",$E696=CurrentSeason,$F696="REG",ISNUMBER($G696),$G696&lt;CurrentWeek,AND($M696&lt;&gt;"",$N696&lt;&gt;"")),1,0)</f>
        <v>0</v>
      </c>
      <c r="AG696" s="2">
        <f>IF($AF696=0,0,IF($G696&gt;=CurrentWeek-RecencyWin,RecencyMult,1))</f>
        <v>0</v>
      </c>
      <c r="AH696" s="2">
        <f>IF(AND($C696&lt;&gt;"",$E696=CurrentSeason,$F696="REG",ISNUMBER($G696),$G696&lt;CurrentWeek-1,AND($M696&lt;&gt;"",$N696&lt;&gt;"")),1,0)</f>
        <v>0</v>
      </c>
      <c r="AI696" s="2">
        <f>IF($AH696=0,0,IF($G696&gt;=CurrentWeek-1-RecencyWin,RecencyMult,1))</f>
        <v>0</v>
      </c>
      <c r="AJ696" s="2">
        <f>IF($AF696=0,0,IF($G696&gt;=CurrentWeek-RecencyWin,TotRecency,1))</f>
        <v>0</v>
      </c>
      <c r="AK696" s="2">
        <f t="shared" si="9"/>
        <v>0</v>
      </c>
      <c r="AL696" s="2">
        <f t="shared" si="10"/>
        <v>0</v>
      </c>
      <c r="AM696" s="2">
        <f t="array" ref="AM696">IF($K696="",0,IFERROR(INDEX(CALC!$F$2:$F$33,MATCH($K696,CALC!$A$2:$A$33,0)),0))</f>
        <v>0</v>
      </c>
      <c r="AN696" s="2">
        <f t="array" ref="AN696">IF($K696="",0,IFERROR(INDEX(CALC!$I$2:$I$33,MATCH($K696,CALC!$A$2:$A$33,0)),0))</f>
        <v>0</v>
      </c>
      <c r="AO696" s="2">
        <f t="array" ref="AO696">IF($K696="",0,IFERROR(INDEX(CALC!$L$2:$L$33,MATCH($K696,CALC!$A$2:$A$33,0)),0))</f>
        <v>0</v>
      </c>
      <c r="AP696" s="2">
        <f t="array" ref="AP696">IF($K696="",0,IFERROR(INDEX(CALC!$T$2:$T$33,MATCH($K696,CALC!$A$2:$A$33,0)),0))</f>
        <v>0</v>
      </c>
      <c r="AQ696" s="2">
        <f t="array" ref="AQ696">IF($K696="",0,IFERROR(INDEX(CALC!$W$2:$W$33,MATCH($K696,CALC!$A$2:$A$33,0)),0))</f>
        <v>0</v>
      </c>
      <c r="AR696" s="2">
        <f t="array" ref="AR696">IF($K696="",0,IFERROR(INDEX(CALC!$Z$2:$Z$33,MATCH($K696,CALC!$A$2:$A$33,0)),0))</f>
        <v>0</v>
      </c>
      <c r="AS696" s="2">
        <f t="array" ref="AS696">IF($K696="",0,IFERROR(INDEX(CALC!$AJ$2:$AJ$33,MATCH($K696,CALC!$A$2:$A$33,0)),0))</f>
        <v>0</v>
      </c>
      <c r="AT696" s="2">
        <f t="array" ref="AT696">IF($K696="",0,IFERROR(INDEX(CALC!$AI$2:$AI$33,MATCH($K696,CALC!$A$2:$A$33,0)),0))</f>
        <v>0</v>
      </c>
      <c r="AU696" s="2">
        <f t="shared" si="11"/>
        <v>0</v>
      </c>
      <c r="AV696" s="2">
        <f t="shared" si="12"/>
        <v>0</v>
      </c>
    </row>
    <row r="697" ht="15.0" customHeight="1">
      <c r="A697" s="2">
        <v>348.0</v>
      </c>
      <c r="B697" s="2" t="s">
        <v>2365</v>
      </c>
      <c r="C697" s="2" t="str">
        <f>IFERROR(MATCH($A697,SchedSeq,0),"")</f>
        <v/>
      </c>
      <c r="D697" s="2" t="str">
        <f t="array" ref="D697">IF($C697="","",INDEX(SchedZone,$C697,MAP!$B$6))</f>
        <v/>
      </c>
      <c r="E697" s="2" t="str">
        <f t="array" ref="E697">IF($C697="","",INDEX(SchedZone,$C697,MAP!$B$3))</f>
        <v/>
      </c>
      <c r="F697" s="2" t="str">
        <f t="array" ref="F697">IF($C697="","",INDEX(SchedZone,$C697,MAP!$B$5))</f>
        <v/>
      </c>
      <c r="G697" s="2" t="str">
        <f t="array" ref="G697">IF($C697="","",INDEX(SchedZone,$C697,MAP!$B$4))</f>
        <v/>
      </c>
      <c r="H697" s="2" t="str">
        <f t="array" ref="H697">IF($C697="","",INDEX(SchedZone,$C697,MAP!$B$12))</f>
        <v/>
      </c>
      <c r="I697" s="2" t="str">
        <f t="array" ref="I697">IF($H697="","",IF(COUNTIF(Teams,$H697)&gt;0,$H697,IFERROR(INDEX(LISTS!$D$2:$D$12,MATCH($H697,LISTS!$C$2:$C$12,0)),"⚠ "&amp;$H697)))</f>
        <v/>
      </c>
      <c r="J697" s="2" t="str">
        <f t="array" ref="J697">IF($C697="","",INDEX(SchedZone,$C697,MAP!$B$10))</f>
        <v/>
      </c>
      <c r="K697" s="2" t="str">
        <f t="array" ref="K697">IF($J697="","",IF(COUNTIF(Teams,$J697)&gt;0,$J697,IFERROR(INDEX(LISTS!$D$2:$D$12,MATCH($J697,LISTS!$C$2:$C$12,0)),"⚠ "&amp;$J697)))</f>
        <v/>
      </c>
      <c r="L697" s="2" t="str">
        <f t="array" ref="L697">IF($C697="","",IF(INDEX(SchedZone,$C697,MAP!$B$14)="Neutral","N",IF($B697="HOME","H","A")))</f>
        <v/>
      </c>
      <c r="M697" s="2" t="str">
        <f t="array" ref="M697">IF($C697="","",IF(INDEX(SchedZone,$C697,MAP!$B$13)="","",INDEX(SchedZone,$C697,MAP!$B$13)))</f>
        <v/>
      </c>
      <c r="N697" s="2" t="str">
        <f t="array" ref="N697">IF($C697="","",IF(INDEX(SchedZone,$C697,MAP!$B$11)="","",INDEX(SchedZone,$C697,MAP!$B$11)))</f>
        <v/>
      </c>
      <c r="O697" s="2" t="str">
        <f t="array" ref="O697">IF($C697="","",INDEX(SchedZone,$C697,MAP!$B$16))</f>
        <v/>
      </c>
      <c r="P697" s="2" t="str">
        <f>IF($C697="","",IFERROR(MATCH($E697&amp;"|"&amp;$G697&amp;"|"&amp;$I697,StatsKey,0),""))</f>
        <v/>
      </c>
      <c r="Q697" s="2">
        <f t="array" ref="Q697">IF($P697="",0,INDEX(StatsZone,$P697,MAP!$E$9)+INDEX(StatsZone,$P697,MAP!$E$10)+INDEX(StatsZone,$P697,MAP!$E$11))</f>
        <v>0</v>
      </c>
      <c r="R697" s="2">
        <f t="array" ref="R697">IF($P697="",0,INDEX(StatsZone,$P697,MAP!$E$12))</f>
        <v>0</v>
      </c>
      <c r="S697" s="2">
        <f t="array" ref="S697">IF($P697="",0,INDEX(StatsZone,$P697,MAP!$E$13))</f>
        <v>0</v>
      </c>
      <c r="T697" s="2">
        <f t="shared" si="1"/>
        <v>0</v>
      </c>
      <c r="U697" s="2">
        <f t="array" ref="U697">IF($P697="",0,INDEX(StatsZone,$P697,MAP!$E$14)+INDEX(StatsZone,$P697,MAP!$E$15)+INDEX(StatsZone,$P697,MAP!$E$16))</f>
        <v>0</v>
      </c>
      <c r="V697" s="2">
        <f t="shared" si="2"/>
        <v>0</v>
      </c>
      <c r="W697" s="2">
        <f t="shared" si="3"/>
        <v>0</v>
      </c>
      <c r="X697" s="2">
        <f t="shared" si="4"/>
        <v>0</v>
      </c>
      <c r="Y697" s="2">
        <f t="shared" si="5"/>
        <v>0</v>
      </c>
      <c r="Z697" s="2">
        <f t="shared" si="6"/>
        <v>0</v>
      </c>
      <c r="AA697" s="2">
        <f t="shared" si="7"/>
        <v>0</v>
      </c>
      <c r="AB697" s="2">
        <f>IF(OR($M697="",$N697=""),0,MEDIAN(-MarginCap,MarginCap,($M697-$N697)-$AA697*HFA_Base))</f>
        <v>0</v>
      </c>
      <c r="AC697" s="2">
        <f t="array" ref="AC697">IF(OR($P697="",INDEX($P$3:$P$722,(ROW()+IF(MOD(ROW()-3,2)=0,1,-1))-3+1)=""),0,MEDIAN(-MarginCap,MarginCap,($T697-$W697)-$AA697*HFA_Base))</f>
        <v>0</v>
      </c>
      <c r="AD697" s="2">
        <f t="shared" si="8"/>
        <v>0</v>
      </c>
      <c r="AE697" s="2">
        <f>IF(OR($M697="",$N697=""),0,IF(AND(WEpa&gt;0,$AD697=1),(1-WEpa)*$AB697+WEpa*$AC697,$AB697))</f>
        <v>0</v>
      </c>
      <c r="AF697" s="2">
        <f>IF(AND($C697&lt;&gt;"",$E697=CurrentSeason,$F697="REG",ISNUMBER($G697),$G697&lt;CurrentWeek,AND($M697&lt;&gt;"",$N697&lt;&gt;"")),1,0)</f>
        <v>0</v>
      </c>
      <c r="AG697" s="2">
        <f>IF($AF697=0,0,IF($G697&gt;=CurrentWeek-RecencyWin,RecencyMult,1))</f>
        <v>0</v>
      </c>
      <c r="AH697" s="2">
        <f>IF(AND($C697&lt;&gt;"",$E697=CurrentSeason,$F697="REG",ISNUMBER($G697),$G697&lt;CurrentWeek-1,AND($M697&lt;&gt;"",$N697&lt;&gt;"")),1,0)</f>
        <v>0</v>
      </c>
      <c r="AI697" s="2">
        <f>IF($AH697=0,0,IF($G697&gt;=CurrentWeek-1-RecencyWin,RecencyMult,1))</f>
        <v>0</v>
      </c>
      <c r="AJ697" s="2">
        <f>IF($AF697=0,0,IF($G697&gt;=CurrentWeek-RecencyWin,TotRecency,1))</f>
        <v>0</v>
      </c>
      <c r="AK697" s="2">
        <f t="shared" si="9"/>
        <v>0</v>
      </c>
      <c r="AL697" s="2">
        <f t="shared" si="10"/>
        <v>0</v>
      </c>
      <c r="AM697" s="2">
        <f t="array" ref="AM697">IF($K697="",0,IFERROR(INDEX(CALC!$F$2:$F$33,MATCH($K697,CALC!$A$2:$A$33,0)),0))</f>
        <v>0</v>
      </c>
      <c r="AN697" s="2">
        <f t="array" ref="AN697">IF($K697="",0,IFERROR(INDEX(CALC!$I$2:$I$33,MATCH($K697,CALC!$A$2:$A$33,0)),0))</f>
        <v>0</v>
      </c>
      <c r="AO697" s="2">
        <f t="array" ref="AO697">IF($K697="",0,IFERROR(INDEX(CALC!$L$2:$L$33,MATCH($K697,CALC!$A$2:$A$33,0)),0))</f>
        <v>0</v>
      </c>
      <c r="AP697" s="2">
        <f t="array" ref="AP697">IF($K697="",0,IFERROR(INDEX(CALC!$T$2:$T$33,MATCH($K697,CALC!$A$2:$A$33,0)),0))</f>
        <v>0</v>
      </c>
      <c r="AQ697" s="2">
        <f t="array" ref="AQ697">IF($K697="",0,IFERROR(INDEX(CALC!$W$2:$W$33,MATCH($K697,CALC!$A$2:$A$33,0)),0))</f>
        <v>0</v>
      </c>
      <c r="AR697" s="2">
        <f t="array" ref="AR697">IF($K697="",0,IFERROR(INDEX(CALC!$Z$2:$Z$33,MATCH($K697,CALC!$A$2:$A$33,0)),0))</f>
        <v>0</v>
      </c>
      <c r="AS697" s="2">
        <f t="array" ref="AS697">IF($K697="",0,IFERROR(INDEX(CALC!$AJ$2:$AJ$33,MATCH($K697,CALC!$A$2:$A$33,0)),0))</f>
        <v>0</v>
      </c>
      <c r="AT697" s="2">
        <f t="array" ref="AT697">IF($K697="",0,IFERROR(INDEX(CALC!$AI$2:$AI$33,MATCH($K697,CALC!$A$2:$A$33,0)),0))</f>
        <v>0</v>
      </c>
      <c r="AU697" s="2">
        <f t="shared" si="11"/>
        <v>0</v>
      </c>
      <c r="AV697" s="2">
        <f t="shared" si="12"/>
        <v>0</v>
      </c>
    </row>
    <row r="698" ht="15.0" customHeight="1">
      <c r="A698" s="2">
        <v>348.0</v>
      </c>
      <c r="B698" s="2" t="s">
        <v>2366</v>
      </c>
      <c r="C698" s="2" t="str">
        <f>IFERROR(MATCH($A698,SchedSeq,0),"")</f>
        <v/>
      </c>
      <c r="D698" s="2" t="str">
        <f t="array" ref="D698">IF($C698="","",INDEX(SchedZone,$C698,MAP!$B$6))</f>
        <v/>
      </c>
      <c r="E698" s="2" t="str">
        <f t="array" ref="E698">IF($C698="","",INDEX(SchedZone,$C698,MAP!$B$3))</f>
        <v/>
      </c>
      <c r="F698" s="2" t="str">
        <f t="array" ref="F698">IF($C698="","",INDEX(SchedZone,$C698,MAP!$B$5))</f>
        <v/>
      </c>
      <c r="G698" s="2" t="str">
        <f t="array" ref="G698">IF($C698="","",INDEX(SchedZone,$C698,MAP!$B$4))</f>
        <v/>
      </c>
      <c r="H698" s="2" t="str">
        <f t="array" ref="H698">IF($C698="","",INDEX(SchedZone,$C698,MAP!$B$10))</f>
        <v/>
      </c>
      <c r="I698" s="2" t="str">
        <f t="array" ref="I698">IF($H698="","",IF(COUNTIF(Teams,$H698)&gt;0,$H698,IFERROR(INDEX(LISTS!$D$2:$D$12,MATCH($H698,LISTS!$C$2:$C$12,0)),"⚠ "&amp;$H698)))</f>
        <v/>
      </c>
      <c r="J698" s="2" t="str">
        <f t="array" ref="J698">IF($C698="","",INDEX(SchedZone,$C698,MAP!$B$12))</f>
        <v/>
      </c>
      <c r="K698" s="2" t="str">
        <f t="array" ref="K698">IF($J698="","",IF(COUNTIF(Teams,$J698)&gt;0,$J698,IFERROR(INDEX(LISTS!$D$2:$D$12,MATCH($J698,LISTS!$C$2:$C$12,0)),"⚠ "&amp;$J698)))</f>
        <v/>
      </c>
      <c r="L698" s="2" t="str">
        <f t="array" ref="L698">IF($C698="","",IF(INDEX(SchedZone,$C698,MAP!$B$14)="Neutral","N",IF($B698="HOME","H","A")))</f>
        <v/>
      </c>
      <c r="M698" s="2" t="str">
        <f t="array" ref="M698">IF($C698="","",IF(INDEX(SchedZone,$C698,MAP!$B$11)="","",INDEX(SchedZone,$C698,MAP!$B$11)))</f>
        <v/>
      </c>
      <c r="N698" s="2" t="str">
        <f t="array" ref="N698">IF($C698="","",IF(INDEX(SchedZone,$C698,MAP!$B$13)="","",INDEX(SchedZone,$C698,MAP!$B$13)))</f>
        <v/>
      </c>
      <c r="O698" s="2" t="str">
        <f t="array" ref="O698">IF($C698="","",INDEX(SchedZone,$C698,MAP!$B$15))</f>
        <v/>
      </c>
      <c r="P698" s="2" t="str">
        <f>IF($C698="","",IFERROR(MATCH($E698&amp;"|"&amp;$G698&amp;"|"&amp;$I698,StatsKey,0),""))</f>
        <v/>
      </c>
      <c r="Q698" s="2">
        <f t="array" ref="Q698">IF($P698="",0,INDEX(StatsZone,$P698,MAP!$E$9)+INDEX(StatsZone,$P698,MAP!$E$10)+INDEX(StatsZone,$P698,MAP!$E$11))</f>
        <v>0</v>
      </c>
      <c r="R698" s="2">
        <f t="array" ref="R698">IF($P698="",0,INDEX(StatsZone,$P698,MAP!$E$12))</f>
        <v>0</v>
      </c>
      <c r="S698" s="2">
        <f t="array" ref="S698">IF($P698="",0,INDEX(StatsZone,$P698,MAP!$E$13))</f>
        <v>0</v>
      </c>
      <c r="T698" s="2">
        <f t="shared" si="1"/>
        <v>0</v>
      </c>
      <c r="U698" s="2">
        <f t="array" ref="U698">IF($P698="",0,INDEX(StatsZone,$P698,MAP!$E$14)+INDEX(StatsZone,$P698,MAP!$E$15)+INDEX(StatsZone,$P698,MAP!$E$16))</f>
        <v>0</v>
      </c>
      <c r="V698" s="2">
        <f t="shared" si="2"/>
        <v>0</v>
      </c>
      <c r="W698" s="2">
        <f t="shared" si="3"/>
        <v>0</v>
      </c>
      <c r="X698" s="2">
        <f t="shared" si="4"/>
        <v>0</v>
      </c>
      <c r="Y698" s="2">
        <f t="shared" si="5"/>
        <v>0</v>
      </c>
      <c r="Z698" s="2">
        <f t="shared" si="6"/>
        <v>0</v>
      </c>
      <c r="AA698" s="2">
        <f t="shared" si="7"/>
        <v>0</v>
      </c>
      <c r="AB698" s="2">
        <f>IF(OR($M698="",$N698=""),0,MEDIAN(-MarginCap,MarginCap,($M698-$N698)-$AA698*HFA_Base))</f>
        <v>0</v>
      </c>
      <c r="AC698" s="2">
        <f t="array" ref="AC698">IF(OR($P698="",INDEX($P$3:$P$722,(ROW()+IF(MOD(ROW()-3,2)=0,1,-1))-3+1)=""),0,MEDIAN(-MarginCap,MarginCap,($T698-$W698)-$AA698*HFA_Base))</f>
        <v>0</v>
      </c>
      <c r="AD698" s="2">
        <f t="shared" si="8"/>
        <v>0</v>
      </c>
      <c r="AE698" s="2">
        <f>IF(OR($M698="",$N698=""),0,IF(AND(WEpa&gt;0,$AD698=1),(1-WEpa)*$AB698+WEpa*$AC698,$AB698))</f>
        <v>0</v>
      </c>
      <c r="AF698" s="2">
        <f>IF(AND($C698&lt;&gt;"",$E698=CurrentSeason,$F698="REG",ISNUMBER($G698),$G698&lt;CurrentWeek,AND($M698&lt;&gt;"",$N698&lt;&gt;"")),1,0)</f>
        <v>0</v>
      </c>
      <c r="AG698" s="2">
        <f>IF($AF698=0,0,IF($G698&gt;=CurrentWeek-RecencyWin,RecencyMult,1))</f>
        <v>0</v>
      </c>
      <c r="AH698" s="2">
        <f>IF(AND($C698&lt;&gt;"",$E698=CurrentSeason,$F698="REG",ISNUMBER($G698),$G698&lt;CurrentWeek-1,AND($M698&lt;&gt;"",$N698&lt;&gt;"")),1,0)</f>
        <v>0</v>
      </c>
      <c r="AI698" s="2">
        <f>IF($AH698=0,0,IF($G698&gt;=CurrentWeek-1-RecencyWin,RecencyMult,1))</f>
        <v>0</v>
      </c>
      <c r="AJ698" s="2">
        <f>IF($AF698=0,0,IF($G698&gt;=CurrentWeek-RecencyWin,TotRecency,1))</f>
        <v>0</v>
      </c>
      <c r="AK698" s="2">
        <f t="shared" si="9"/>
        <v>0</v>
      </c>
      <c r="AL698" s="2">
        <f t="shared" si="10"/>
        <v>0</v>
      </c>
      <c r="AM698" s="2">
        <f t="array" ref="AM698">IF($K698="",0,IFERROR(INDEX(CALC!$F$2:$F$33,MATCH($K698,CALC!$A$2:$A$33,0)),0))</f>
        <v>0</v>
      </c>
      <c r="AN698" s="2">
        <f t="array" ref="AN698">IF($K698="",0,IFERROR(INDEX(CALC!$I$2:$I$33,MATCH($K698,CALC!$A$2:$A$33,0)),0))</f>
        <v>0</v>
      </c>
      <c r="AO698" s="2">
        <f t="array" ref="AO698">IF($K698="",0,IFERROR(INDEX(CALC!$L$2:$L$33,MATCH($K698,CALC!$A$2:$A$33,0)),0))</f>
        <v>0</v>
      </c>
      <c r="AP698" s="2">
        <f t="array" ref="AP698">IF($K698="",0,IFERROR(INDEX(CALC!$T$2:$T$33,MATCH($K698,CALC!$A$2:$A$33,0)),0))</f>
        <v>0</v>
      </c>
      <c r="AQ698" s="2">
        <f t="array" ref="AQ698">IF($K698="",0,IFERROR(INDEX(CALC!$W$2:$W$33,MATCH($K698,CALC!$A$2:$A$33,0)),0))</f>
        <v>0</v>
      </c>
      <c r="AR698" s="2">
        <f t="array" ref="AR698">IF($K698="",0,IFERROR(INDEX(CALC!$Z$2:$Z$33,MATCH($K698,CALC!$A$2:$A$33,0)),0))</f>
        <v>0</v>
      </c>
      <c r="AS698" s="2">
        <f t="array" ref="AS698">IF($K698="",0,IFERROR(INDEX(CALC!$AJ$2:$AJ$33,MATCH($K698,CALC!$A$2:$A$33,0)),0))</f>
        <v>0</v>
      </c>
      <c r="AT698" s="2">
        <f t="array" ref="AT698">IF($K698="",0,IFERROR(INDEX(CALC!$AI$2:$AI$33,MATCH($K698,CALC!$A$2:$A$33,0)),0))</f>
        <v>0</v>
      </c>
      <c r="AU698" s="2">
        <f t="shared" si="11"/>
        <v>0</v>
      </c>
      <c r="AV698" s="2">
        <f t="shared" si="12"/>
        <v>0</v>
      </c>
    </row>
    <row r="699" ht="15.0" customHeight="1">
      <c r="A699" s="2">
        <v>349.0</v>
      </c>
      <c r="B699" s="2" t="s">
        <v>2365</v>
      </c>
      <c r="C699" s="2" t="str">
        <f>IFERROR(MATCH($A699,SchedSeq,0),"")</f>
        <v/>
      </c>
      <c r="D699" s="2" t="str">
        <f t="array" ref="D699">IF($C699="","",INDEX(SchedZone,$C699,MAP!$B$6))</f>
        <v/>
      </c>
      <c r="E699" s="2" t="str">
        <f t="array" ref="E699">IF($C699="","",INDEX(SchedZone,$C699,MAP!$B$3))</f>
        <v/>
      </c>
      <c r="F699" s="2" t="str">
        <f t="array" ref="F699">IF($C699="","",INDEX(SchedZone,$C699,MAP!$B$5))</f>
        <v/>
      </c>
      <c r="G699" s="2" t="str">
        <f t="array" ref="G699">IF($C699="","",INDEX(SchedZone,$C699,MAP!$B$4))</f>
        <v/>
      </c>
      <c r="H699" s="2" t="str">
        <f t="array" ref="H699">IF($C699="","",INDEX(SchedZone,$C699,MAP!$B$12))</f>
        <v/>
      </c>
      <c r="I699" s="2" t="str">
        <f t="array" ref="I699">IF($H699="","",IF(COUNTIF(Teams,$H699)&gt;0,$H699,IFERROR(INDEX(LISTS!$D$2:$D$12,MATCH($H699,LISTS!$C$2:$C$12,0)),"⚠ "&amp;$H699)))</f>
        <v/>
      </c>
      <c r="J699" s="2" t="str">
        <f t="array" ref="J699">IF($C699="","",INDEX(SchedZone,$C699,MAP!$B$10))</f>
        <v/>
      </c>
      <c r="K699" s="2" t="str">
        <f t="array" ref="K699">IF($J699="","",IF(COUNTIF(Teams,$J699)&gt;0,$J699,IFERROR(INDEX(LISTS!$D$2:$D$12,MATCH($J699,LISTS!$C$2:$C$12,0)),"⚠ "&amp;$J699)))</f>
        <v/>
      </c>
      <c r="L699" s="2" t="str">
        <f t="array" ref="L699">IF($C699="","",IF(INDEX(SchedZone,$C699,MAP!$B$14)="Neutral","N",IF($B699="HOME","H","A")))</f>
        <v/>
      </c>
      <c r="M699" s="2" t="str">
        <f t="array" ref="M699">IF($C699="","",IF(INDEX(SchedZone,$C699,MAP!$B$13)="","",INDEX(SchedZone,$C699,MAP!$B$13)))</f>
        <v/>
      </c>
      <c r="N699" s="2" t="str">
        <f t="array" ref="N699">IF($C699="","",IF(INDEX(SchedZone,$C699,MAP!$B$11)="","",INDEX(SchedZone,$C699,MAP!$B$11)))</f>
        <v/>
      </c>
      <c r="O699" s="2" t="str">
        <f t="array" ref="O699">IF($C699="","",INDEX(SchedZone,$C699,MAP!$B$16))</f>
        <v/>
      </c>
      <c r="P699" s="2" t="str">
        <f>IF($C699="","",IFERROR(MATCH($E699&amp;"|"&amp;$G699&amp;"|"&amp;$I699,StatsKey,0),""))</f>
        <v/>
      </c>
      <c r="Q699" s="2">
        <f t="array" ref="Q699">IF($P699="",0,INDEX(StatsZone,$P699,MAP!$E$9)+INDEX(StatsZone,$P699,MAP!$E$10)+INDEX(StatsZone,$P699,MAP!$E$11))</f>
        <v>0</v>
      </c>
      <c r="R699" s="2">
        <f t="array" ref="R699">IF($P699="",0,INDEX(StatsZone,$P699,MAP!$E$12))</f>
        <v>0</v>
      </c>
      <c r="S699" s="2">
        <f t="array" ref="S699">IF($P699="",0,INDEX(StatsZone,$P699,MAP!$E$13))</f>
        <v>0</v>
      </c>
      <c r="T699" s="2">
        <f t="shared" si="1"/>
        <v>0</v>
      </c>
      <c r="U699" s="2">
        <f t="array" ref="U699">IF($P699="",0,INDEX(StatsZone,$P699,MAP!$E$14)+INDEX(StatsZone,$P699,MAP!$E$15)+INDEX(StatsZone,$P699,MAP!$E$16))</f>
        <v>0</v>
      </c>
      <c r="V699" s="2">
        <f t="shared" si="2"/>
        <v>0</v>
      </c>
      <c r="W699" s="2">
        <f t="shared" si="3"/>
        <v>0</v>
      </c>
      <c r="X699" s="2">
        <f t="shared" si="4"/>
        <v>0</v>
      </c>
      <c r="Y699" s="2">
        <f t="shared" si="5"/>
        <v>0</v>
      </c>
      <c r="Z699" s="2">
        <f t="shared" si="6"/>
        <v>0</v>
      </c>
      <c r="AA699" s="2">
        <f t="shared" si="7"/>
        <v>0</v>
      </c>
      <c r="AB699" s="2">
        <f>IF(OR($M699="",$N699=""),0,MEDIAN(-MarginCap,MarginCap,($M699-$N699)-$AA699*HFA_Base))</f>
        <v>0</v>
      </c>
      <c r="AC699" s="2">
        <f t="array" ref="AC699">IF(OR($P699="",INDEX($P$3:$P$722,(ROW()+IF(MOD(ROW()-3,2)=0,1,-1))-3+1)=""),0,MEDIAN(-MarginCap,MarginCap,($T699-$W699)-$AA699*HFA_Base))</f>
        <v>0</v>
      </c>
      <c r="AD699" s="2">
        <f t="shared" si="8"/>
        <v>0</v>
      </c>
      <c r="AE699" s="2">
        <f>IF(OR($M699="",$N699=""),0,IF(AND(WEpa&gt;0,$AD699=1),(1-WEpa)*$AB699+WEpa*$AC699,$AB699))</f>
        <v>0</v>
      </c>
      <c r="AF699" s="2">
        <f>IF(AND($C699&lt;&gt;"",$E699=CurrentSeason,$F699="REG",ISNUMBER($G699),$G699&lt;CurrentWeek,AND($M699&lt;&gt;"",$N699&lt;&gt;"")),1,0)</f>
        <v>0</v>
      </c>
      <c r="AG699" s="2">
        <f>IF($AF699=0,0,IF($G699&gt;=CurrentWeek-RecencyWin,RecencyMult,1))</f>
        <v>0</v>
      </c>
      <c r="AH699" s="2">
        <f>IF(AND($C699&lt;&gt;"",$E699=CurrentSeason,$F699="REG",ISNUMBER($G699),$G699&lt;CurrentWeek-1,AND($M699&lt;&gt;"",$N699&lt;&gt;"")),1,0)</f>
        <v>0</v>
      </c>
      <c r="AI699" s="2">
        <f>IF($AH699=0,0,IF($G699&gt;=CurrentWeek-1-RecencyWin,RecencyMult,1))</f>
        <v>0</v>
      </c>
      <c r="AJ699" s="2">
        <f>IF($AF699=0,0,IF($G699&gt;=CurrentWeek-RecencyWin,TotRecency,1))</f>
        <v>0</v>
      </c>
      <c r="AK699" s="2">
        <f t="shared" si="9"/>
        <v>0</v>
      </c>
      <c r="AL699" s="2">
        <f t="shared" si="10"/>
        <v>0</v>
      </c>
      <c r="AM699" s="2">
        <f t="array" ref="AM699">IF($K699="",0,IFERROR(INDEX(CALC!$F$2:$F$33,MATCH($K699,CALC!$A$2:$A$33,0)),0))</f>
        <v>0</v>
      </c>
      <c r="AN699" s="2">
        <f t="array" ref="AN699">IF($K699="",0,IFERROR(INDEX(CALC!$I$2:$I$33,MATCH($K699,CALC!$A$2:$A$33,0)),0))</f>
        <v>0</v>
      </c>
      <c r="AO699" s="2">
        <f t="array" ref="AO699">IF($K699="",0,IFERROR(INDEX(CALC!$L$2:$L$33,MATCH($K699,CALC!$A$2:$A$33,0)),0))</f>
        <v>0</v>
      </c>
      <c r="AP699" s="2">
        <f t="array" ref="AP699">IF($K699="",0,IFERROR(INDEX(CALC!$T$2:$T$33,MATCH($K699,CALC!$A$2:$A$33,0)),0))</f>
        <v>0</v>
      </c>
      <c r="AQ699" s="2">
        <f t="array" ref="AQ699">IF($K699="",0,IFERROR(INDEX(CALC!$W$2:$W$33,MATCH($K699,CALC!$A$2:$A$33,0)),0))</f>
        <v>0</v>
      </c>
      <c r="AR699" s="2">
        <f t="array" ref="AR699">IF($K699="",0,IFERROR(INDEX(CALC!$Z$2:$Z$33,MATCH($K699,CALC!$A$2:$A$33,0)),0))</f>
        <v>0</v>
      </c>
      <c r="AS699" s="2">
        <f t="array" ref="AS699">IF($K699="",0,IFERROR(INDEX(CALC!$AJ$2:$AJ$33,MATCH($K699,CALC!$A$2:$A$33,0)),0))</f>
        <v>0</v>
      </c>
      <c r="AT699" s="2">
        <f t="array" ref="AT699">IF($K699="",0,IFERROR(INDEX(CALC!$AI$2:$AI$33,MATCH($K699,CALC!$A$2:$A$33,0)),0))</f>
        <v>0</v>
      </c>
      <c r="AU699" s="2">
        <f t="shared" si="11"/>
        <v>0</v>
      </c>
      <c r="AV699" s="2">
        <f t="shared" si="12"/>
        <v>0</v>
      </c>
    </row>
    <row r="700" ht="15.0" customHeight="1">
      <c r="A700" s="2">
        <v>349.0</v>
      </c>
      <c r="B700" s="2" t="s">
        <v>2366</v>
      </c>
      <c r="C700" s="2" t="str">
        <f>IFERROR(MATCH($A700,SchedSeq,0),"")</f>
        <v/>
      </c>
      <c r="D700" s="2" t="str">
        <f t="array" ref="D700">IF($C700="","",INDEX(SchedZone,$C700,MAP!$B$6))</f>
        <v/>
      </c>
      <c r="E700" s="2" t="str">
        <f t="array" ref="E700">IF($C700="","",INDEX(SchedZone,$C700,MAP!$B$3))</f>
        <v/>
      </c>
      <c r="F700" s="2" t="str">
        <f t="array" ref="F700">IF($C700="","",INDEX(SchedZone,$C700,MAP!$B$5))</f>
        <v/>
      </c>
      <c r="G700" s="2" t="str">
        <f t="array" ref="G700">IF($C700="","",INDEX(SchedZone,$C700,MAP!$B$4))</f>
        <v/>
      </c>
      <c r="H700" s="2" t="str">
        <f t="array" ref="H700">IF($C700="","",INDEX(SchedZone,$C700,MAP!$B$10))</f>
        <v/>
      </c>
      <c r="I700" s="2" t="str">
        <f t="array" ref="I700">IF($H700="","",IF(COUNTIF(Teams,$H700)&gt;0,$H700,IFERROR(INDEX(LISTS!$D$2:$D$12,MATCH($H700,LISTS!$C$2:$C$12,0)),"⚠ "&amp;$H700)))</f>
        <v/>
      </c>
      <c r="J700" s="2" t="str">
        <f t="array" ref="J700">IF($C700="","",INDEX(SchedZone,$C700,MAP!$B$12))</f>
        <v/>
      </c>
      <c r="K700" s="2" t="str">
        <f t="array" ref="K700">IF($J700="","",IF(COUNTIF(Teams,$J700)&gt;0,$J700,IFERROR(INDEX(LISTS!$D$2:$D$12,MATCH($J700,LISTS!$C$2:$C$12,0)),"⚠ "&amp;$J700)))</f>
        <v/>
      </c>
      <c r="L700" s="2" t="str">
        <f t="array" ref="L700">IF($C700="","",IF(INDEX(SchedZone,$C700,MAP!$B$14)="Neutral","N",IF($B700="HOME","H","A")))</f>
        <v/>
      </c>
      <c r="M700" s="2" t="str">
        <f t="array" ref="M700">IF($C700="","",IF(INDEX(SchedZone,$C700,MAP!$B$11)="","",INDEX(SchedZone,$C700,MAP!$B$11)))</f>
        <v/>
      </c>
      <c r="N700" s="2" t="str">
        <f t="array" ref="N700">IF($C700="","",IF(INDEX(SchedZone,$C700,MAP!$B$13)="","",INDEX(SchedZone,$C700,MAP!$B$13)))</f>
        <v/>
      </c>
      <c r="O700" s="2" t="str">
        <f t="array" ref="O700">IF($C700="","",INDEX(SchedZone,$C700,MAP!$B$15))</f>
        <v/>
      </c>
      <c r="P700" s="2" t="str">
        <f>IF($C700="","",IFERROR(MATCH($E700&amp;"|"&amp;$G700&amp;"|"&amp;$I700,StatsKey,0),""))</f>
        <v/>
      </c>
      <c r="Q700" s="2">
        <f t="array" ref="Q700">IF($P700="",0,INDEX(StatsZone,$P700,MAP!$E$9)+INDEX(StatsZone,$P700,MAP!$E$10)+INDEX(StatsZone,$P700,MAP!$E$11))</f>
        <v>0</v>
      </c>
      <c r="R700" s="2">
        <f t="array" ref="R700">IF($P700="",0,INDEX(StatsZone,$P700,MAP!$E$12))</f>
        <v>0</v>
      </c>
      <c r="S700" s="2">
        <f t="array" ref="S700">IF($P700="",0,INDEX(StatsZone,$P700,MAP!$E$13))</f>
        <v>0</v>
      </c>
      <c r="T700" s="2">
        <f t="shared" si="1"/>
        <v>0</v>
      </c>
      <c r="U700" s="2">
        <f t="array" ref="U700">IF($P700="",0,INDEX(StatsZone,$P700,MAP!$E$14)+INDEX(StatsZone,$P700,MAP!$E$15)+INDEX(StatsZone,$P700,MAP!$E$16))</f>
        <v>0</v>
      </c>
      <c r="V700" s="2">
        <f t="shared" si="2"/>
        <v>0</v>
      </c>
      <c r="W700" s="2">
        <f t="shared" si="3"/>
        <v>0</v>
      </c>
      <c r="X700" s="2">
        <f t="shared" si="4"/>
        <v>0</v>
      </c>
      <c r="Y700" s="2">
        <f t="shared" si="5"/>
        <v>0</v>
      </c>
      <c r="Z700" s="2">
        <f t="shared" si="6"/>
        <v>0</v>
      </c>
      <c r="AA700" s="2">
        <f t="shared" si="7"/>
        <v>0</v>
      </c>
      <c r="AB700" s="2">
        <f>IF(OR($M700="",$N700=""),0,MEDIAN(-MarginCap,MarginCap,($M700-$N700)-$AA700*HFA_Base))</f>
        <v>0</v>
      </c>
      <c r="AC700" s="2">
        <f t="array" ref="AC700">IF(OR($P700="",INDEX($P$3:$P$722,(ROW()+IF(MOD(ROW()-3,2)=0,1,-1))-3+1)=""),0,MEDIAN(-MarginCap,MarginCap,($T700-$W700)-$AA700*HFA_Base))</f>
        <v>0</v>
      </c>
      <c r="AD700" s="2">
        <f t="shared" si="8"/>
        <v>0</v>
      </c>
      <c r="AE700" s="2">
        <f>IF(OR($M700="",$N700=""),0,IF(AND(WEpa&gt;0,$AD700=1),(1-WEpa)*$AB700+WEpa*$AC700,$AB700))</f>
        <v>0</v>
      </c>
      <c r="AF700" s="2">
        <f>IF(AND($C700&lt;&gt;"",$E700=CurrentSeason,$F700="REG",ISNUMBER($G700),$G700&lt;CurrentWeek,AND($M700&lt;&gt;"",$N700&lt;&gt;"")),1,0)</f>
        <v>0</v>
      </c>
      <c r="AG700" s="2">
        <f>IF($AF700=0,0,IF($G700&gt;=CurrentWeek-RecencyWin,RecencyMult,1))</f>
        <v>0</v>
      </c>
      <c r="AH700" s="2">
        <f>IF(AND($C700&lt;&gt;"",$E700=CurrentSeason,$F700="REG",ISNUMBER($G700),$G700&lt;CurrentWeek-1,AND($M700&lt;&gt;"",$N700&lt;&gt;"")),1,0)</f>
        <v>0</v>
      </c>
      <c r="AI700" s="2">
        <f>IF($AH700=0,0,IF($G700&gt;=CurrentWeek-1-RecencyWin,RecencyMult,1))</f>
        <v>0</v>
      </c>
      <c r="AJ700" s="2">
        <f>IF($AF700=0,0,IF($G700&gt;=CurrentWeek-RecencyWin,TotRecency,1))</f>
        <v>0</v>
      </c>
      <c r="AK700" s="2">
        <f t="shared" si="9"/>
        <v>0</v>
      </c>
      <c r="AL700" s="2">
        <f t="shared" si="10"/>
        <v>0</v>
      </c>
      <c r="AM700" s="2">
        <f t="array" ref="AM700">IF($K700="",0,IFERROR(INDEX(CALC!$F$2:$F$33,MATCH($K700,CALC!$A$2:$A$33,0)),0))</f>
        <v>0</v>
      </c>
      <c r="AN700" s="2">
        <f t="array" ref="AN700">IF($K700="",0,IFERROR(INDEX(CALC!$I$2:$I$33,MATCH($K700,CALC!$A$2:$A$33,0)),0))</f>
        <v>0</v>
      </c>
      <c r="AO700" s="2">
        <f t="array" ref="AO700">IF($K700="",0,IFERROR(INDEX(CALC!$L$2:$L$33,MATCH($K700,CALC!$A$2:$A$33,0)),0))</f>
        <v>0</v>
      </c>
      <c r="AP700" s="2">
        <f t="array" ref="AP700">IF($K700="",0,IFERROR(INDEX(CALC!$T$2:$T$33,MATCH($K700,CALC!$A$2:$A$33,0)),0))</f>
        <v>0</v>
      </c>
      <c r="AQ700" s="2">
        <f t="array" ref="AQ700">IF($K700="",0,IFERROR(INDEX(CALC!$W$2:$W$33,MATCH($K700,CALC!$A$2:$A$33,0)),0))</f>
        <v>0</v>
      </c>
      <c r="AR700" s="2">
        <f t="array" ref="AR700">IF($K700="",0,IFERROR(INDEX(CALC!$Z$2:$Z$33,MATCH($K700,CALC!$A$2:$A$33,0)),0))</f>
        <v>0</v>
      </c>
      <c r="AS700" s="2">
        <f t="array" ref="AS700">IF($K700="",0,IFERROR(INDEX(CALC!$AJ$2:$AJ$33,MATCH($K700,CALC!$A$2:$A$33,0)),0))</f>
        <v>0</v>
      </c>
      <c r="AT700" s="2">
        <f t="array" ref="AT700">IF($K700="",0,IFERROR(INDEX(CALC!$AI$2:$AI$33,MATCH($K700,CALC!$A$2:$A$33,0)),0))</f>
        <v>0</v>
      </c>
      <c r="AU700" s="2">
        <f t="shared" si="11"/>
        <v>0</v>
      </c>
      <c r="AV700" s="2">
        <f t="shared" si="12"/>
        <v>0</v>
      </c>
    </row>
    <row r="701" ht="15.0" customHeight="1">
      <c r="A701" s="2">
        <v>350.0</v>
      </c>
      <c r="B701" s="2" t="s">
        <v>2365</v>
      </c>
      <c r="C701" s="2" t="str">
        <f>IFERROR(MATCH($A701,SchedSeq,0),"")</f>
        <v/>
      </c>
      <c r="D701" s="2" t="str">
        <f t="array" ref="D701">IF($C701="","",INDEX(SchedZone,$C701,MAP!$B$6))</f>
        <v/>
      </c>
      <c r="E701" s="2" t="str">
        <f t="array" ref="E701">IF($C701="","",INDEX(SchedZone,$C701,MAP!$B$3))</f>
        <v/>
      </c>
      <c r="F701" s="2" t="str">
        <f t="array" ref="F701">IF($C701="","",INDEX(SchedZone,$C701,MAP!$B$5))</f>
        <v/>
      </c>
      <c r="G701" s="2" t="str">
        <f t="array" ref="G701">IF($C701="","",INDEX(SchedZone,$C701,MAP!$B$4))</f>
        <v/>
      </c>
      <c r="H701" s="2" t="str">
        <f t="array" ref="H701">IF($C701="","",INDEX(SchedZone,$C701,MAP!$B$12))</f>
        <v/>
      </c>
      <c r="I701" s="2" t="str">
        <f t="array" ref="I701">IF($H701="","",IF(COUNTIF(Teams,$H701)&gt;0,$H701,IFERROR(INDEX(LISTS!$D$2:$D$12,MATCH($H701,LISTS!$C$2:$C$12,0)),"⚠ "&amp;$H701)))</f>
        <v/>
      </c>
      <c r="J701" s="2" t="str">
        <f t="array" ref="J701">IF($C701="","",INDEX(SchedZone,$C701,MAP!$B$10))</f>
        <v/>
      </c>
      <c r="K701" s="2" t="str">
        <f t="array" ref="K701">IF($J701="","",IF(COUNTIF(Teams,$J701)&gt;0,$J701,IFERROR(INDEX(LISTS!$D$2:$D$12,MATCH($J701,LISTS!$C$2:$C$12,0)),"⚠ "&amp;$J701)))</f>
        <v/>
      </c>
      <c r="L701" s="2" t="str">
        <f t="array" ref="L701">IF($C701="","",IF(INDEX(SchedZone,$C701,MAP!$B$14)="Neutral","N",IF($B701="HOME","H","A")))</f>
        <v/>
      </c>
      <c r="M701" s="2" t="str">
        <f t="array" ref="M701">IF($C701="","",IF(INDEX(SchedZone,$C701,MAP!$B$13)="","",INDEX(SchedZone,$C701,MAP!$B$13)))</f>
        <v/>
      </c>
      <c r="N701" s="2" t="str">
        <f t="array" ref="N701">IF($C701="","",IF(INDEX(SchedZone,$C701,MAP!$B$11)="","",INDEX(SchedZone,$C701,MAP!$B$11)))</f>
        <v/>
      </c>
      <c r="O701" s="2" t="str">
        <f t="array" ref="O701">IF($C701="","",INDEX(SchedZone,$C701,MAP!$B$16))</f>
        <v/>
      </c>
      <c r="P701" s="2" t="str">
        <f>IF($C701="","",IFERROR(MATCH($E701&amp;"|"&amp;$G701&amp;"|"&amp;$I701,StatsKey,0),""))</f>
        <v/>
      </c>
      <c r="Q701" s="2">
        <f t="array" ref="Q701">IF($P701="",0,INDEX(StatsZone,$P701,MAP!$E$9)+INDEX(StatsZone,$P701,MAP!$E$10)+INDEX(StatsZone,$P701,MAP!$E$11))</f>
        <v>0</v>
      </c>
      <c r="R701" s="2">
        <f t="array" ref="R701">IF($P701="",0,INDEX(StatsZone,$P701,MAP!$E$12))</f>
        <v>0</v>
      </c>
      <c r="S701" s="2">
        <f t="array" ref="S701">IF($P701="",0,INDEX(StatsZone,$P701,MAP!$E$13))</f>
        <v>0</v>
      </c>
      <c r="T701" s="2">
        <f t="shared" si="1"/>
        <v>0</v>
      </c>
      <c r="U701" s="2">
        <f t="array" ref="U701">IF($P701="",0,INDEX(StatsZone,$P701,MAP!$E$14)+INDEX(StatsZone,$P701,MAP!$E$15)+INDEX(StatsZone,$P701,MAP!$E$16))</f>
        <v>0</v>
      </c>
      <c r="V701" s="2">
        <f t="shared" si="2"/>
        <v>0</v>
      </c>
      <c r="W701" s="2">
        <f t="shared" si="3"/>
        <v>0</v>
      </c>
      <c r="X701" s="2">
        <f t="shared" si="4"/>
        <v>0</v>
      </c>
      <c r="Y701" s="2">
        <f t="shared" si="5"/>
        <v>0</v>
      </c>
      <c r="Z701" s="2">
        <f t="shared" si="6"/>
        <v>0</v>
      </c>
      <c r="AA701" s="2">
        <f t="shared" si="7"/>
        <v>0</v>
      </c>
      <c r="AB701" s="2">
        <f>IF(OR($M701="",$N701=""),0,MEDIAN(-MarginCap,MarginCap,($M701-$N701)-$AA701*HFA_Base))</f>
        <v>0</v>
      </c>
      <c r="AC701" s="2">
        <f t="array" ref="AC701">IF(OR($P701="",INDEX($P$3:$P$722,(ROW()+IF(MOD(ROW()-3,2)=0,1,-1))-3+1)=""),0,MEDIAN(-MarginCap,MarginCap,($T701-$W701)-$AA701*HFA_Base))</f>
        <v>0</v>
      </c>
      <c r="AD701" s="2">
        <f t="shared" si="8"/>
        <v>0</v>
      </c>
      <c r="AE701" s="2">
        <f>IF(OR($M701="",$N701=""),0,IF(AND(WEpa&gt;0,$AD701=1),(1-WEpa)*$AB701+WEpa*$AC701,$AB701))</f>
        <v>0</v>
      </c>
      <c r="AF701" s="2">
        <f>IF(AND($C701&lt;&gt;"",$E701=CurrentSeason,$F701="REG",ISNUMBER($G701),$G701&lt;CurrentWeek,AND($M701&lt;&gt;"",$N701&lt;&gt;"")),1,0)</f>
        <v>0</v>
      </c>
      <c r="AG701" s="2">
        <f>IF($AF701=0,0,IF($G701&gt;=CurrentWeek-RecencyWin,RecencyMult,1))</f>
        <v>0</v>
      </c>
      <c r="AH701" s="2">
        <f>IF(AND($C701&lt;&gt;"",$E701=CurrentSeason,$F701="REG",ISNUMBER($G701),$G701&lt;CurrentWeek-1,AND($M701&lt;&gt;"",$N701&lt;&gt;"")),1,0)</f>
        <v>0</v>
      </c>
      <c r="AI701" s="2">
        <f>IF($AH701=0,0,IF($G701&gt;=CurrentWeek-1-RecencyWin,RecencyMult,1))</f>
        <v>0</v>
      </c>
      <c r="AJ701" s="2">
        <f>IF($AF701=0,0,IF($G701&gt;=CurrentWeek-RecencyWin,TotRecency,1))</f>
        <v>0</v>
      </c>
      <c r="AK701" s="2">
        <f t="shared" si="9"/>
        <v>0</v>
      </c>
      <c r="AL701" s="2">
        <f t="shared" si="10"/>
        <v>0</v>
      </c>
      <c r="AM701" s="2">
        <f t="array" ref="AM701">IF($K701="",0,IFERROR(INDEX(CALC!$F$2:$F$33,MATCH($K701,CALC!$A$2:$A$33,0)),0))</f>
        <v>0</v>
      </c>
      <c r="AN701" s="2">
        <f t="array" ref="AN701">IF($K701="",0,IFERROR(INDEX(CALC!$I$2:$I$33,MATCH($K701,CALC!$A$2:$A$33,0)),0))</f>
        <v>0</v>
      </c>
      <c r="AO701" s="2">
        <f t="array" ref="AO701">IF($K701="",0,IFERROR(INDEX(CALC!$L$2:$L$33,MATCH($K701,CALC!$A$2:$A$33,0)),0))</f>
        <v>0</v>
      </c>
      <c r="AP701" s="2">
        <f t="array" ref="AP701">IF($K701="",0,IFERROR(INDEX(CALC!$T$2:$T$33,MATCH($K701,CALC!$A$2:$A$33,0)),0))</f>
        <v>0</v>
      </c>
      <c r="AQ701" s="2">
        <f t="array" ref="AQ701">IF($K701="",0,IFERROR(INDEX(CALC!$W$2:$W$33,MATCH($K701,CALC!$A$2:$A$33,0)),0))</f>
        <v>0</v>
      </c>
      <c r="AR701" s="2">
        <f t="array" ref="AR701">IF($K701="",0,IFERROR(INDEX(CALC!$Z$2:$Z$33,MATCH($K701,CALC!$A$2:$A$33,0)),0))</f>
        <v>0</v>
      </c>
      <c r="AS701" s="2">
        <f t="array" ref="AS701">IF($K701="",0,IFERROR(INDEX(CALC!$AJ$2:$AJ$33,MATCH($K701,CALC!$A$2:$A$33,0)),0))</f>
        <v>0</v>
      </c>
      <c r="AT701" s="2">
        <f t="array" ref="AT701">IF($K701="",0,IFERROR(INDEX(CALC!$AI$2:$AI$33,MATCH($K701,CALC!$A$2:$A$33,0)),0))</f>
        <v>0</v>
      </c>
      <c r="AU701" s="2">
        <f t="shared" si="11"/>
        <v>0</v>
      </c>
      <c r="AV701" s="2">
        <f t="shared" si="12"/>
        <v>0</v>
      </c>
    </row>
    <row r="702" ht="15.0" customHeight="1">
      <c r="A702" s="2">
        <v>350.0</v>
      </c>
      <c r="B702" s="2" t="s">
        <v>2366</v>
      </c>
      <c r="C702" s="2" t="str">
        <f>IFERROR(MATCH($A702,SchedSeq,0),"")</f>
        <v/>
      </c>
      <c r="D702" s="2" t="str">
        <f t="array" ref="D702">IF($C702="","",INDEX(SchedZone,$C702,MAP!$B$6))</f>
        <v/>
      </c>
      <c r="E702" s="2" t="str">
        <f t="array" ref="E702">IF($C702="","",INDEX(SchedZone,$C702,MAP!$B$3))</f>
        <v/>
      </c>
      <c r="F702" s="2" t="str">
        <f t="array" ref="F702">IF($C702="","",INDEX(SchedZone,$C702,MAP!$B$5))</f>
        <v/>
      </c>
      <c r="G702" s="2" t="str">
        <f t="array" ref="G702">IF($C702="","",INDEX(SchedZone,$C702,MAP!$B$4))</f>
        <v/>
      </c>
      <c r="H702" s="2" t="str">
        <f t="array" ref="H702">IF($C702="","",INDEX(SchedZone,$C702,MAP!$B$10))</f>
        <v/>
      </c>
      <c r="I702" s="2" t="str">
        <f t="array" ref="I702">IF($H702="","",IF(COUNTIF(Teams,$H702)&gt;0,$H702,IFERROR(INDEX(LISTS!$D$2:$D$12,MATCH($H702,LISTS!$C$2:$C$12,0)),"⚠ "&amp;$H702)))</f>
        <v/>
      </c>
      <c r="J702" s="2" t="str">
        <f t="array" ref="J702">IF($C702="","",INDEX(SchedZone,$C702,MAP!$B$12))</f>
        <v/>
      </c>
      <c r="K702" s="2" t="str">
        <f t="array" ref="K702">IF($J702="","",IF(COUNTIF(Teams,$J702)&gt;0,$J702,IFERROR(INDEX(LISTS!$D$2:$D$12,MATCH($J702,LISTS!$C$2:$C$12,0)),"⚠ "&amp;$J702)))</f>
        <v/>
      </c>
      <c r="L702" s="2" t="str">
        <f t="array" ref="L702">IF($C702="","",IF(INDEX(SchedZone,$C702,MAP!$B$14)="Neutral","N",IF($B702="HOME","H","A")))</f>
        <v/>
      </c>
      <c r="M702" s="2" t="str">
        <f t="array" ref="M702">IF($C702="","",IF(INDEX(SchedZone,$C702,MAP!$B$11)="","",INDEX(SchedZone,$C702,MAP!$B$11)))</f>
        <v/>
      </c>
      <c r="N702" s="2" t="str">
        <f t="array" ref="N702">IF($C702="","",IF(INDEX(SchedZone,$C702,MAP!$B$13)="","",INDEX(SchedZone,$C702,MAP!$B$13)))</f>
        <v/>
      </c>
      <c r="O702" s="2" t="str">
        <f t="array" ref="O702">IF($C702="","",INDEX(SchedZone,$C702,MAP!$B$15))</f>
        <v/>
      </c>
      <c r="P702" s="2" t="str">
        <f>IF($C702="","",IFERROR(MATCH($E702&amp;"|"&amp;$G702&amp;"|"&amp;$I702,StatsKey,0),""))</f>
        <v/>
      </c>
      <c r="Q702" s="2">
        <f t="array" ref="Q702">IF($P702="",0,INDEX(StatsZone,$P702,MAP!$E$9)+INDEX(StatsZone,$P702,MAP!$E$10)+INDEX(StatsZone,$P702,MAP!$E$11))</f>
        <v>0</v>
      </c>
      <c r="R702" s="2">
        <f t="array" ref="R702">IF($P702="",0,INDEX(StatsZone,$P702,MAP!$E$12))</f>
        <v>0</v>
      </c>
      <c r="S702" s="2">
        <f t="array" ref="S702">IF($P702="",0,INDEX(StatsZone,$P702,MAP!$E$13))</f>
        <v>0</v>
      </c>
      <c r="T702" s="2">
        <f t="shared" si="1"/>
        <v>0</v>
      </c>
      <c r="U702" s="2">
        <f t="array" ref="U702">IF($P702="",0,INDEX(StatsZone,$P702,MAP!$E$14)+INDEX(StatsZone,$P702,MAP!$E$15)+INDEX(StatsZone,$P702,MAP!$E$16))</f>
        <v>0</v>
      </c>
      <c r="V702" s="2">
        <f t="shared" si="2"/>
        <v>0</v>
      </c>
      <c r="W702" s="2">
        <f t="shared" si="3"/>
        <v>0</v>
      </c>
      <c r="X702" s="2">
        <f t="shared" si="4"/>
        <v>0</v>
      </c>
      <c r="Y702" s="2">
        <f t="shared" si="5"/>
        <v>0</v>
      </c>
      <c r="Z702" s="2">
        <f t="shared" si="6"/>
        <v>0</v>
      </c>
      <c r="AA702" s="2">
        <f t="shared" si="7"/>
        <v>0</v>
      </c>
      <c r="AB702" s="2">
        <f>IF(OR($M702="",$N702=""),0,MEDIAN(-MarginCap,MarginCap,($M702-$N702)-$AA702*HFA_Base))</f>
        <v>0</v>
      </c>
      <c r="AC702" s="2">
        <f t="array" ref="AC702">IF(OR($P702="",INDEX($P$3:$P$722,(ROW()+IF(MOD(ROW()-3,2)=0,1,-1))-3+1)=""),0,MEDIAN(-MarginCap,MarginCap,($T702-$W702)-$AA702*HFA_Base))</f>
        <v>0</v>
      </c>
      <c r="AD702" s="2">
        <f t="shared" si="8"/>
        <v>0</v>
      </c>
      <c r="AE702" s="2">
        <f>IF(OR($M702="",$N702=""),0,IF(AND(WEpa&gt;0,$AD702=1),(1-WEpa)*$AB702+WEpa*$AC702,$AB702))</f>
        <v>0</v>
      </c>
      <c r="AF702" s="2">
        <f>IF(AND($C702&lt;&gt;"",$E702=CurrentSeason,$F702="REG",ISNUMBER($G702),$G702&lt;CurrentWeek,AND($M702&lt;&gt;"",$N702&lt;&gt;"")),1,0)</f>
        <v>0</v>
      </c>
      <c r="AG702" s="2">
        <f>IF($AF702=0,0,IF($G702&gt;=CurrentWeek-RecencyWin,RecencyMult,1))</f>
        <v>0</v>
      </c>
      <c r="AH702" s="2">
        <f>IF(AND($C702&lt;&gt;"",$E702=CurrentSeason,$F702="REG",ISNUMBER($G702),$G702&lt;CurrentWeek-1,AND($M702&lt;&gt;"",$N702&lt;&gt;"")),1,0)</f>
        <v>0</v>
      </c>
      <c r="AI702" s="2">
        <f>IF($AH702=0,0,IF($G702&gt;=CurrentWeek-1-RecencyWin,RecencyMult,1))</f>
        <v>0</v>
      </c>
      <c r="AJ702" s="2">
        <f>IF($AF702=0,0,IF($G702&gt;=CurrentWeek-RecencyWin,TotRecency,1))</f>
        <v>0</v>
      </c>
      <c r="AK702" s="2">
        <f t="shared" si="9"/>
        <v>0</v>
      </c>
      <c r="AL702" s="2">
        <f t="shared" si="10"/>
        <v>0</v>
      </c>
      <c r="AM702" s="2">
        <f t="array" ref="AM702">IF($K702="",0,IFERROR(INDEX(CALC!$F$2:$F$33,MATCH($K702,CALC!$A$2:$A$33,0)),0))</f>
        <v>0</v>
      </c>
      <c r="AN702" s="2">
        <f t="array" ref="AN702">IF($K702="",0,IFERROR(INDEX(CALC!$I$2:$I$33,MATCH($K702,CALC!$A$2:$A$33,0)),0))</f>
        <v>0</v>
      </c>
      <c r="AO702" s="2">
        <f t="array" ref="AO702">IF($K702="",0,IFERROR(INDEX(CALC!$L$2:$L$33,MATCH($K702,CALC!$A$2:$A$33,0)),0))</f>
        <v>0</v>
      </c>
      <c r="AP702" s="2">
        <f t="array" ref="AP702">IF($K702="",0,IFERROR(INDEX(CALC!$T$2:$T$33,MATCH($K702,CALC!$A$2:$A$33,0)),0))</f>
        <v>0</v>
      </c>
      <c r="AQ702" s="2">
        <f t="array" ref="AQ702">IF($K702="",0,IFERROR(INDEX(CALC!$W$2:$W$33,MATCH($K702,CALC!$A$2:$A$33,0)),0))</f>
        <v>0</v>
      </c>
      <c r="AR702" s="2">
        <f t="array" ref="AR702">IF($K702="",0,IFERROR(INDEX(CALC!$Z$2:$Z$33,MATCH($K702,CALC!$A$2:$A$33,0)),0))</f>
        <v>0</v>
      </c>
      <c r="AS702" s="2">
        <f t="array" ref="AS702">IF($K702="",0,IFERROR(INDEX(CALC!$AJ$2:$AJ$33,MATCH($K702,CALC!$A$2:$A$33,0)),0))</f>
        <v>0</v>
      </c>
      <c r="AT702" s="2">
        <f t="array" ref="AT702">IF($K702="",0,IFERROR(INDEX(CALC!$AI$2:$AI$33,MATCH($K702,CALC!$A$2:$A$33,0)),0))</f>
        <v>0</v>
      </c>
      <c r="AU702" s="2">
        <f t="shared" si="11"/>
        <v>0</v>
      </c>
      <c r="AV702" s="2">
        <f t="shared" si="12"/>
        <v>0</v>
      </c>
    </row>
    <row r="703" ht="15.0" customHeight="1">
      <c r="A703" s="2">
        <v>351.0</v>
      </c>
      <c r="B703" s="2" t="s">
        <v>2365</v>
      </c>
      <c r="C703" s="2" t="str">
        <f>IFERROR(MATCH($A703,SchedSeq,0),"")</f>
        <v/>
      </c>
      <c r="D703" s="2" t="str">
        <f t="array" ref="D703">IF($C703="","",INDEX(SchedZone,$C703,MAP!$B$6))</f>
        <v/>
      </c>
      <c r="E703" s="2" t="str">
        <f t="array" ref="E703">IF($C703="","",INDEX(SchedZone,$C703,MAP!$B$3))</f>
        <v/>
      </c>
      <c r="F703" s="2" t="str">
        <f t="array" ref="F703">IF($C703="","",INDEX(SchedZone,$C703,MAP!$B$5))</f>
        <v/>
      </c>
      <c r="G703" s="2" t="str">
        <f t="array" ref="G703">IF($C703="","",INDEX(SchedZone,$C703,MAP!$B$4))</f>
        <v/>
      </c>
      <c r="H703" s="2" t="str">
        <f t="array" ref="H703">IF($C703="","",INDEX(SchedZone,$C703,MAP!$B$12))</f>
        <v/>
      </c>
      <c r="I703" s="2" t="str">
        <f t="array" ref="I703">IF($H703="","",IF(COUNTIF(Teams,$H703)&gt;0,$H703,IFERROR(INDEX(LISTS!$D$2:$D$12,MATCH($H703,LISTS!$C$2:$C$12,0)),"⚠ "&amp;$H703)))</f>
        <v/>
      </c>
      <c r="J703" s="2" t="str">
        <f t="array" ref="J703">IF($C703="","",INDEX(SchedZone,$C703,MAP!$B$10))</f>
        <v/>
      </c>
      <c r="K703" s="2" t="str">
        <f t="array" ref="K703">IF($J703="","",IF(COUNTIF(Teams,$J703)&gt;0,$J703,IFERROR(INDEX(LISTS!$D$2:$D$12,MATCH($J703,LISTS!$C$2:$C$12,0)),"⚠ "&amp;$J703)))</f>
        <v/>
      </c>
      <c r="L703" s="2" t="str">
        <f t="array" ref="L703">IF($C703="","",IF(INDEX(SchedZone,$C703,MAP!$B$14)="Neutral","N",IF($B703="HOME","H","A")))</f>
        <v/>
      </c>
      <c r="M703" s="2" t="str">
        <f t="array" ref="M703">IF($C703="","",IF(INDEX(SchedZone,$C703,MAP!$B$13)="","",INDEX(SchedZone,$C703,MAP!$B$13)))</f>
        <v/>
      </c>
      <c r="N703" s="2" t="str">
        <f t="array" ref="N703">IF($C703="","",IF(INDEX(SchedZone,$C703,MAP!$B$11)="","",INDEX(SchedZone,$C703,MAP!$B$11)))</f>
        <v/>
      </c>
      <c r="O703" s="2" t="str">
        <f t="array" ref="O703">IF($C703="","",INDEX(SchedZone,$C703,MAP!$B$16))</f>
        <v/>
      </c>
      <c r="P703" s="2" t="str">
        <f>IF($C703="","",IFERROR(MATCH($E703&amp;"|"&amp;$G703&amp;"|"&amp;$I703,StatsKey,0),""))</f>
        <v/>
      </c>
      <c r="Q703" s="2">
        <f t="array" ref="Q703">IF($P703="",0,INDEX(StatsZone,$P703,MAP!$E$9)+INDEX(StatsZone,$P703,MAP!$E$10)+INDEX(StatsZone,$P703,MAP!$E$11))</f>
        <v>0</v>
      </c>
      <c r="R703" s="2">
        <f t="array" ref="R703">IF($P703="",0,INDEX(StatsZone,$P703,MAP!$E$12))</f>
        <v>0</v>
      </c>
      <c r="S703" s="2">
        <f t="array" ref="S703">IF($P703="",0,INDEX(StatsZone,$P703,MAP!$E$13))</f>
        <v>0</v>
      </c>
      <c r="T703" s="2">
        <f t="shared" si="1"/>
        <v>0</v>
      </c>
      <c r="U703" s="2">
        <f t="array" ref="U703">IF($P703="",0,INDEX(StatsZone,$P703,MAP!$E$14)+INDEX(StatsZone,$P703,MAP!$E$15)+INDEX(StatsZone,$P703,MAP!$E$16))</f>
        <v>0</v>
      </c>
      <c r="V703" s="2">
        <f t="shared" si="2"/>
        <v>0</v>
      </c>
      <c r="W703" s="2">
        <f t="shared" si="3"/>
        <v>0</v>
      </c>
      <c r="X703" s="2">
        <f t="shared" si="4"/>
        <v>0</v>
      </c>
      <c r="Y703" s="2">
        <f t="shared" si="5"/>
        <v>0</v>
      </c>
      <c r="Z703" s="2">
        <f t="shared" si="6"/>
        <v>0</v>
      </c>
      <c r="AA703" s="2">
        <f t="shared" si="7"/>
        <v>0</v>
      </c>
      <c r="AB703" s="2">
        <f>IF(OR($M703="",$N703=""),0,MEDIAN(-MarginCap,MarginCap,($M703-$N703)-$AA703*HFA_Base))</f>
        <v>0</v>
      </c>
      <c r="AC703" s="2">
        <f t="array" ref="AC703">IF(OR($P703="",INDEX($P$3:$P$722,(ROW()+IF(MOD(ROW()-3,2)=0,1,-1))-3+1)=""),0,MEDIAN(-MarginCap,MarginCap,($T703-$W703)-$AA703*HFA_Base))</f>
        <v>0</v>
      </c>
      <c r="AD703" s="2">
        <f t="shared" si="8"/>
        <v>0</v>
      </c>
      <c r="AE703" s="2">
        <f>IF(OR($M703="",$N703=""),0,IF(AND(WEpa&gt;0,$AD703=1),(1-WEpa)*$AB703+WEpa*$AC703,$AB703))</f>
        <v>0</v>
      </c>
      <c r="AF703" s="2">
        <f>IF(AND($C703&lt;&gt;"",$E703=CurrentSeason,$F703="REG",ISNUMBER($G703),$G703&lt;CurrentWeek,AND($M703&lt;&gt;"",$N703&lt;&gt;"")),1,0)</f>
        <v>0</v>
      </c>
      <c r="AG703" s="2">
        <f>IF($AF703=0,0,IF($G703&gt;=CurrentWeek-RecencyWin,RecencyMult,1))</f>
        <v>0</v>
      </c>
      <c r="AH703" s="2">
        <f>IF(AND($C703&lt;&gt;"",$E703=CurrentSeason,$F703="REG",ISNUMBER($G703),$G703&lt;CurrentWeek-1,AND($M703&lt;&gt;"",$N703&lt;&gt;"")),1,0)</f>
        <v>0</v>
      </c>
      <c r="AI703" s="2">
        <f>IF($AH703=0,0,IF($G703&gt;=CurrentWeek-1-RecencyWin,RecencyMult,1))</f>
        <v>0</v>
      </c>
      <c r="AJ703" s="2">
        <f>IF($AF703=0,0,IF($G703&gt;=CurrentWeek-RecencyWin,TotRecency,1))</f>
        <v>0</v>
      </c>
      <c r="AK703" s="2">
        <f t="shared" si="9"/>
        <v>0</v>
      </c>
      <c r="AL703" s="2">
        <f t="shared" si="10"/>
        <v>0</v>
      </c>
      <c r="AM703" s="2">
        <f t="array" ref="AM703">IF($K703="",0,IFERROR(INDEX(CALC!$F$2:$F$33,MATCH($K703,CALC!$A$2:$A$33,0)),0))</f>
        <v>0</v>
      </c>
      <c r="AN703" s="2">
        <f t="array" ref="AN703">IF($K703="",0,IFERROR(INDEX(CALC!$I$2:$I$33,MATCH($K703,CALC!$A$2:$A$33,0)),0))</f>
        <v>0</v>
      </c>
      <c r="AO703" s="2">
        <f t="array" ref="AO703">IF($K703="",0,IFERROR(INDEX(CALC!$L$2:$L$33,MATCH($K703,CALC!$A$2:$A$33,0)),0))</f>
        <v>0</v>
      </c>
      <c r="AP703" s="2">
        <f t="array" ref="AP703">IF($K703="",0,IFERROR(INDEX(CALC!$T$2:$T$33,MATCH($K703,CALC!$A$2:$A$33,0)),0))</f>
        <v>0</v>
      </c>
      <c r="AQ703" s="2">
        <f t="array" ref="AQ703">IF($K703="",0,IFERROR(INDEX(CALC!$W$2:$W$33,MATCH($K703,CALC!$A$2:$A$33,0)),0))</f>
        <v>0</v>
      </c>
      <c r="AR703" s="2">
        <f t="array" ref="AR703">IF($K703="",0,IFERROR(INDEX(CALC!$Z$2:$Z$33,MATCH($K703,CALC!$A$2:$A$33,0)),0))</f>
        <v>0</v>
      </c>
      <c r="AS703" s="2">
        <f t="array" ref="AS703">IF($K703="",0,IFERROR(INDEX(CALC!$AJ$2:$AJ$33,MATCH($K703,CALC!$A$2:$A$33,0)),0))</f>
        <v>0</v>
      </c>
      <c r="AT703" s="2">
        <f t="array" ref="AT703">IF($K703="",0,IFERROR(INDEX(CALC!$AI$2:$AI$33,MATCH($K703,CALC!$A$2:$A$33,0)),0))</f>
        <v>0</v>
      </c>
      <c r="AU703" s="2">
        <f t="shared" si="11"/>
        <v>0</v>
      </c>
      <c r="AV703" s="2">
        <f t="shared" si="12"/>
        <v>0</v>
      </c>
    </row>
    <row r="704" ht="15.0" customHeight="1">
      <c r="A704" s="2">
        <v>351.0</v>
      </c>
      <c r="B704" s="2" t="s">
        <v>2366</v>
      </c>
      <c r="C704" s="2" t="str">
        <f>IFERROR(MATCH($A704,SchedSeq,0),"")</f>
        <v/>
      </c>
      <c r="D704" s="2" t="str">
        <f t="array" ref="D704">IF($C704="","",INDEX(SchedZone,$C704,MAP!$B$6))</f>
        <v/>
      </c>
      <c r="E704" s="2" t="str">
        <f t="array" ref="E704">IF($C704="","",INDEX(SchedZone,$C704,MAP!$B$3))</f>
        <v/>
      </c>
      <c r="F704" s="2" t="str">
        <f t="array" ref="F704">IF($C704="","",INDEX(SchedZone,$C704,MAP!$B$5))</f>
        <v/>
      </c>
      <c r="G704" s="2" t="str">
        <f t="array" ref="G704">IF($C704="","",INDEX(SchedZone,$C704,MAP!$B$4))</f>
        <v/>
      </c>
      <c r="H704" s="2" t="str">
        <f t="array" ref="H704">IF($C704="","",INDEX(SchedZone,$C704,MAP!$B$10))</f>
        <v/>
      </c>
      <c r="I704" s="2" t="str">
        <f t="array" ref="I704">IF($H704="","",IF(COUNTIF(Teams,$H704)&gt;0,$H704,IFERROR(INDEX(LISTS!$D$2:$D$12,MATCH($H704,LISTS!$C$2:$C$12,0)),"⚠ "&amp;$H704)))</f>
        <v/>
      </c>
      <c r="J704" s="2" t="str">
        <f t="array" ref="J704">IF($C704="","",INDEX(SchedZone,$C704,MAP!$B$12))</f>
        <v/>
      </c>
      <c r="K704" s="2" t="str">
        <f t="array" ref="K704">IF($J704="","",IF(COUNTIF(Teams,$J704)&gt;0,$J704,IFERROR(INDEX(LISTS!$D$2:$D$12,MATCH($J704,LISTS!$C$2:$C$12,0)),"⚠ "&amp;$J704)))</f>
        <v/>
      </c>
      <c r="L704" s="2" t="str">
        <f t="array" ref="L704">IF($C704="","",IF(INDEX(SchedZone,$C704,MAP!$B$14)="Neutral","N",IF($B704="HOME","H","A")))</f>
        <v/>
      </c>
      <c r="M704" s="2" t="str">
        <f t="array" ref="M704">IF($C704="","",IF(INDEX(SchedZone,$C704,MAP!$B$11)="","",INDEX(SchedZone,$C704,MAP!$B$11)))</f>
        <v/>
      </c>
      <c r="N704" s="2" t="str">
        <f t="array" ref="N704">IF($C704="","",IF(INDEX(SchedZone,$C704,MAP!$B$13)="","",INDEX(SchedZone,$C704,MAP!$B$13)))</f>
        <v/>
      </c>
      <c r="O704" s="2" t="str">
        <f t="array" ref="O704">IF($C704="","",INDEX(SchedZone,$C704,MAP!$B$15))</f>
        <v/>
      </c>
      <c r="P704" s="2" t="str">
        <f>IF($C704="","",IFERROR(MATCH($E704&amp;"|"&amp;$G704&amp;"|"&amp;$I704,StatsKey,0),""))</f>
        <v/>
      </c>
      <c r="Q704" s="2">
        <f t="array" ref="Q704">IF($P704="",0,INDEX(StatsZone,$P704,MAP!$E$9)+INDEX(StatsZone,$P704,MAP!$E$10)+INDEX(StatsZone,$P704,MAP!$E$11))</f>
        <v>0</v>
      </c>
      <c r="R704" s="2">
        <f t="array" ref="R704">IF($P704="",0,INDEX(StatsZone,$P704,MAP!$E$12))</f>
        <v>0</v>
      </c>
      <c r="S704" s="2">
        <f t="array" ref="S704">IF($P704="",0,INDEX(StatsZone,$P704,MAP!$E$13))</f>
        <v>0</v>
      </c>
      <c r="T704" s="2">
        <f t="shared" si="1"/>
        <v>0</v>
      </c>
      <c r="U704" s="2">
        <f t="array" ref="U704">IF($P704="",0,INDEX(StatsZone,$P704,MAP!$E$14)+INDEX(StatsZone,$P704,MAP!$E$15)+INDEX(StatsZone,$P704,MAP!$E$16))</f>
        <v>0</v>
      </c>
      <c r="V704" s="2">
        <f t="shared" si="2"/>
        <v>0</v>
      </c>
      <c r="W704" s="2">
        <f t="shared" si="3"/>
        <v>0</v>
      </c>
      <c r="X704" s="2">
        <f t="shared" si="4"/>
        <v>0</v>
      </c>
      <c r="Y704" s="2">
        <f t="shared" si="5"/>
        <v>0</v>
      </c>
      <c r="Z704" s="2">
        <f t="shared" si="6"/>
        <v>0</v>
      </c>
      <c r="AA704" s="2">
        <f t="shared" si="7"/>
        <v>0</v>
      </c>
      <c r="AB704" s="2">
        <f>IF(OR($M704="",$N704=""),0,MEDIAN(-MarginCap,MarginCap,($M704-$N704)-$AA704*HFA_Base))</f>
        <v>0</v>
      </c>
      <c r="AC704" s="2">
        <f t="array" ref="AC704">IF(OR($P704="",INDEX($P$3:$P$722,(ROW()+IF(MOD(ROW()-3,2)=0,1,-1))-3+1)=""),0,MEDIAN(-MarginCap,MarginCap,($T704-$W704)-$AA704*HFA_Base))</f>
        <v>0</v>
      </c>
      <c r="AD704" s="2">
        <f t="shared" si="8"/>
        <v>0</v>
      </c>
      <c r="AE704" s="2">
        <f>IF(OR($M704="",$N704=""),0,IF(AND(WEpa&gt;0,$AD704=1),(1-WEpa)*$AB704+WEpa*$AC704,$AB704))</f>
        <v>0</v>
      </c>
      <c r="AF704" s="2">
        <f>IF(AND($C704&lt;&gt;"",$E704=CurrentSeason,$F704="REG",ISNUMBER($G704),$G704&lt;CurrentWeek,AND($M704&lt;&gt;"",$N704&lt;&gt;"")),1,0)</f>
        <v>0</v>
      </c>
      <c r="AG704" s="2">
        <f>IF($AF704=0,0,IF($G704&gt;=CurrentWeek-RecencyWin,RecencyMult,1))</f>
        <v>0</v>
      </c>
      <c r="AH704" s="2">
        <f>IF(AND($C704&lt;&gt;"",$E704=CurrentSeason,$F704="REG",ISNUMBER($G704),$G704&lt;CurrentWeek-1,AND($M704&lt;&gt;"",$N704&lt;&gt;"")),1,0)</f>
        <v>0</v>
      </c>
      <c r="AI704" s="2">
        <f>IF($AH704=0,0,IF($G704&gt;=CurrentWeek-1-RecencyWin,RecencyMult,1))</f>
        <v>0</v>
      </c>
      <c r="AJ704" s="2">
        <f>IF($AF704=0,0,IF($G704&gt;=CurrentWeek-RecencyWin,TotRecency,1))</f>
        <v>0</v>
      </c>
      <c r="AK704" s="2">
        <f t="shared" si="9"/>
        <v>0</v>
      </c>
      <c r="AL704" s="2">
        <f t="shared" si="10"/>
        <v>0</v>
      </c>
      <c r="AM704" s="2">
        <f t="array" ref="AM704">IF($K704="",0,IFERROR(INDEX(CALC!$F$2:$F$33,MATCH($K704,CALC!$A$2:$A$33,0)),0))</f>
        <v>0</v>
      </c>
      <c r="AN704" s="2">
        <f t="array" ref="AN704">IF($K704="",0,IFERROR(INDEX(CALC!$I$2:$I$33,MATCH($K704,CALC!$A$2:$A$33,0)),0))</f>
        <v>0</v>
      </c>
      <c r="AO704" s="2">
        <f t="array" ref="AO704">IF($K704="",0,IFERROR(INDEX(CALC!$L$2:$L$33,MATCH($K704,CALC!$A$2:$A$33,0)),0))</f>
        <v>0</v>
      </c>
      <c r="AP704" s="2">
        <f t="array" ref="AP704">IF($K704="",0,IFERROR(INDEX(CALC!$T$2:$T$33,MATCH($K704,CALC!$A$2:$A$33,0)),0))</f>
        <v>0</v>
      </c>
      <c r="AQ704" s="2">
        <f t="array" ref="AQ704">IF($K704="",0,IFERROR(INDEX(CALC!$W$2:$W$33,MATCH($K704,CALC!$A$2:$A$33,0)),0))</f>
        <v>0</v>
      </c>
      <c r="AR704" s="2">
        <f t="array" ref="AR704">IF($K704="",0,IFERROR(INDEX(CALC!$Z$2:$Z$33,MATCH($K704,CALC!$A$2:$A$33,0)),0))</f>
        <v>0</v>
      </c>
      <c r="AS704" s="2">
        <f t="array" ref="AS704">IF($K704="",0,IFERROR(INDEX(CALC!$AJ$2:$AJ$33,MATCH($K704,CALC!$A$2:$A$33,0)),0))</f>
        <v>0</v>
      </c>
      <c r="AT704" s="2">
        <f t="array" ref="AT704">IF($K704="",0,IFERROR(INDEX(CALC!$AI$2:$AI$33,MATCH($K704,CALC!$A$2:$A$33,0)),0))</f>
        <v>0</v>
      </c>
      <c r="AU704" s="2">
        <f t="shared" si="11"/>
        <v>0</v>
      </c>
      <c r="AV704" s="2">
        <f t="shared" si="12"/>
        <v>0</v>
      </c>
    </row>
    <row r="705" ht="15.0" customHeight="1">
      <c r="A705" s="2">
        <v>352.0</v>
      </c>
      <c r="B705" s="2" t="s">
        <v>2365</v>
      </c>
      <c r="C705" s="2" t="str">
        <f>IFERROR(MATCH($A705,SchedSeq,0),"")</f>
        <v/>
      </c>
      <c r="D705" s="2" t="str">
        <f t="array" ref="D705">IF($C705="","",INDEX(SchedZone,$C705,MAP!$B$6))</f>
        <v/>
      </c>
      <c r="E705" s="2" t="str">
        <f t="array" ref="E705">IF($C705="","",INDEX(SchedZone,$C705,MAP!$B$3))</f>
        <v/>
      </c>
      <c r="F705" s="2" t="str">
        <f t="array" ref="F705">IF($C705="","",INDEX(SchedZone,$C705,MAP!$B$5))</f>
        <v/>
      </c>
      <c r="G705" s="2" t="str">
        <f t="array" ref="G705">IF($C705="","",INDEX(SchedZone,$C705,MAP!$B$4))</f>
        <v/>
      </c>
      <c r="H705" s="2" t="str">
        <f t="array" ref="H705">IF($C705="","",INDEX(SchedZone,$C705,MAP!$B$12))</f>
        <v/>
      </c>
      <c r="I705" s="2" t="str">
        <f t="array" ref="I705">IF($H705="","",IF(COUNTIF(Teams,$H705)&gt;0,$H705,IFERROR(INDEX(LISTS!$D$2:$D$12,MATCH($H705,LISTS!$C$2:$C$12,0)),"⚠ "&amp;$H705)))</f>
        <v/>
      </c>
      <c r="J705" s="2" t="str">
        <f t="array" ref="J705">IF($C705="","",INDEX(SchedZone,$C705,MAP!$B$10))</f>
        <v/>
      </c>
      <c r="K705" s="2" t="str">
        <f t="array" ref="K705">IF($J705="","",IF(COUNTIF(Teams,$J705)&gt;0,$J705,IFERROR(INDEX(LISTS!$D$2:$D$12,MATCH($J705,LISTS!$C$2:$C$12,0)),"⚠ "&amp;$J705)))</f>
        <v/>
      </c>
      <c r="L705" s="2" t="str">
        <f t="array" ref="L705">IF($C705="","",IF(INDEX(SchedZone,$C705,MAP!$B$14)="Neutral","N",IF($B705="HOME","H","A")))</f>
        <v/>
      </c>
      <c r="M705" s="2" t="str">
        <f t="array" ref="M705">IF($C705="","",IF(INDEX(SchedZone,$C705,MAP!$B$13)="","",INDEX(SchedZone,$C705,MAP!$B$13)))</f>
        <v/>
      </c>
      <c r="N705" s="2" t="str">
        <f t="array" ref="N705">IF($C705="","",IF(INDEX(SchedZone,$C705,MAP!$B$11)="","",INDEX(SchedZone,$C705,MAP!$B$11)))</f>
        <v/>
      </c>
      <c r="O705" s="2" t="str">
        <f t="array" ref="O705">IF($C705="","",INDEX(SchedZone,$C705,MAP!$B$16))</f>
        <v/>
      </c>
      <c r="P705" s="2" t="str">
        <f>IF($C705="","",IFERROR(MATCH($E705&amp;"|"&amp;$G705&amp;"|"&amp;$I705,StatsKey,0),""))</f>
        <v/>
      </c>
      <c r="Q705" s="2">
        <f t="array" ref="Q705">IF($P705="",0,INDEX(StatsZone,$P705,MAP!$E$9)+INDEX(StatsZone,$P705,MAP!$E$10)+INDEX(StatsZone,$P705,MAP!$E$11))</f>
        <v>0</v>
      </c>
      <c r="R705" s="2">
        <f t="array" ref="R705">IF($P705="",0,INDEX(StatsZone,$P705,MAP!$E$12))</f>
        <v>0</v>
      </c>
      <c r="S705" s="2">
        <f t="array" ref="S705">IF($P705="",0,INDEX(StatsZone,$P705,MAP!$E$13))</f>
        <v>0</v>
      </c>
      <c r="T705" s="2">
        <f t="shared" si="1"/>
        <v>0</v>
      </c>
      <c r="U705" s="2">
        <f t="array" ref="U705">IF($P705="",0,INDEX(StatsZone,$P705,MAP!$E$14)+INDEX(StatsZone,$P705,MAP!$E$15)+INDEX(StatsZone,$P705,MAP!$E$16))</f>
        <v>0</v>
      </c>
      <c r="V705" s="2">
        <f t="shared" si="2"/>
        <v>0</v>
      </c>
      <c r="W705" s="2">
        <f t="shared" si="3"/>
        <v>0</v>
      </c>
      <c r="X705" s="2">
        <f t="shared" si="4"/>
        <v>0</v>
      </c>
      <c r="Y705" s="2">
        <f t="shared" si="5"/>
        <v>0</v>
      </c>
      <c r="Z705" s="2">
        <f t="shared" si="6"/>
        <v>0</v>
      </c>
      <c r="AA705" s="2">
        <f t="shared" si="7"/>
        <v>0</v>
      </c>
      <c r="AB705" s="2">
        <f>IF(OR($M705="",$N705=""),0,MEDIAN(-MarginCap,MarginCap,($M705-$N705)-$AA705*HFA_Base))</f>
        <v>0</v>
      </c>
      <c r="AC705" s="2">
        <f t="array" ref="AC705">IF(OR($P705="",INDEX($P$3:$P$722,(ROW()+IF(MOD(ROW()-3,2)=0,1,-1))-3+1)=""),0,MEDIAN(-MarginCap,MarginCap,($T705-$W705)-$AA705*HFA_Base))</f>
        <v>0</v>
      </c>
      <c r="AD705" s="2">
        <f t="shared" si="8"/>
        <v>0</v>
      </c>
      <c r="AE705" s="2">
        <f>IF(OR($M705="",$N705=""),0,IF(AND(WEpa&gt;0,$AD705=1),(1-WEpa)*$AB705+WEpa*$AC705,$AB705))</f>
        <v>0</v>
      </c>
      <c r="AF705" s="2">
        <f>IF(AND($C705&lt;&gt;"",$E705=CurrentSeason,$F705="REG",ISNUMBER($G705),$G705&lt;CurrentWeek,AND($M705&lt;&gt;"",$N705&lt;&gt;"")),1,0)</f>
        <v>0</v>
      </c>
      <c r="AG705" s="2">
        <f>IF($AF705=0,0,IF($G705&gt;=CurrentWeek-RecencyWin,RecencyMult,1))</f>
        <v>0</v>
      </c>
      <c r="AH705" s="2">
        <f>IF(AND($C705&lt;&gt;"",$E705=CurrentSeason,$F705="REG",ISNUMBER($G705),$G705&lt;CurrentWeek-1,AND($M705&lt;&gt;"",$N705&lt;&gt;"")),1,0)</f>
        <v>0</v>
      </c>
      <c r="AI705" s="2">
        <f>IF($AH705=0,0,IF($G705&gt;=CurrentWeek-1-RecencyWin,RecencyMult,1))</f>
        <v>0</v>
      </c>
      <c r="AJ705" s="2">
        <f>IF($AF705=0,0,IF($G705&gt;=CurrentWeek-RecencyWin,TotRecency,1))</f>
        <v>0</v>
      </c>
      <c r="AK705" s="2">
        <f t="shared" si="9"/>
        <v>0</v>
      </c>
      <c r="AL705" s="2">
        <f t="shared" si="10"/>
        <v>0</v>
      </c>
      <c r="AM705" s="2">
        <f t="array" ref="AM705">IF($K705="",0,IFERROR(INDEX(CALC!$F$2:$F$33,MATCH($K705,CALC!$A$2:$A$33,0)),0))</f>
        <v>0</v>
      </c>
      <c r="AN705" s="2">
        <f t="array" ref="AN705">IF($K705="",0,IFERROR(INDEX(CALC!$I$2:$I$33,MATCH($K705,CALC!$A$2:$A$33,0)),0))</f>
        <v>0</v>
      </c>
      <c r="AO705" s="2">
        <f t="array" ref="AO705">IF($K705="",0,IFERROR(INDEX(CALC!$L$2:$L$33,MATCH($K705,CALC!$A$2:$A$33,0)),0))</f>
        <v>0</v>
      </c>
      <c r="AP705" s="2">
        <f t="array" ref="AP705">IF($K705="",0,IFERROR(INDEX(CALC!$T$2:$T$33,MATCH($K705,CALC!$A$2:$A$33,0)),0))</f>
        <v>0</v>
      </c>
      <c r="AQ705" s="2">
        <f t="array" ref="AQ705">IF($K705="",0,IFERROR(INDEX(CALC!$W$2:$W$33,MATCH($K705,CALC!$A$2:$A$33,0)),0))</f>
        <v>0</v>
      </c>
      <c r="AR705" s="2">
        <f t="array" ref="AR705">IF($K705="",0,IFERROR(INDEX(CALC!$Z$2:$Z$33,MATCH($K705,CALC!$A$2:$A$33,0)),0))</f>
        <v>0</v>
      </c>
      <c r="AS705" s="2">
        <f t="array" ref="AS705">IF($K705="",0,IFERROR(INDEX(CALC!$AJ$2:$AJ$33,MATCH($K705,CALC!$A$2:$A$33,0)),0))</f>
        <v>0</v>
      </c>
      <c r="AT705" s="2">
        <f t="array" ref="AT705">IF($K705="",0,IFERROR(INDEX(CALC!$AI$2:$AI$33,MATCH($K705,CALC!$A$2:$A$33,0)),0))</f>
        <v>0</v>
      </c>
      <c r="AU705" s="2">
        <f t="shared" si="11"/>
        <v>0</v>
      </c>
      <c r="AV705" s="2">
        <f t="shared" si="12"/>
        <v>0</v>
      </c>
    </row>
    <row r="706" ht="15.0" customHeight="1">
      <c r="A706" s="2">
        <v>352.0</v>
      </c>
      <c r="B706" s="2" t="s">
        <v>2366</v>
      </c>
      <c r="C706" s="2" t="str">
        <f>IFERROR(MATCH($A706,SchedSeq,0),"")</f>
        <v/>
      </c>
      <c r="D706" s="2" t="str">
        <f t="array" ref="D706">IF($C706="","",INDEX(SchedZone,$C706,MAP!$B$6))</f>
        <v/>
      </c>
      <c r="E706" s="2" t="str">
        <f t="array" ref="E706">IF($C706="","",INDEX(SchedZone,$C706,MAP!$B$3))</f>
        <v/>
      </c>
      <c r="F706" s="2" t="str">
        <f t="array" ref="F706">IF($C706="","",INDEX(SchedZone,$C706,MAP!$B$5))</f>
        <v/>
      </c>
      <c r="G706" s="2" t="str">
        <f t="array" ref="G706">IF($C706="","",INDEX(SchedZone,$C706,MAP!$B$4))</f>
        <v/>
      </c>
      <c r="H706" s="2" t="str">
        <f t="array" ref="H706">IF($C706="","",INDEX(SchedZone,$C706,MAP!$B$10))</f>
        <v/>
      </c>
      <c r="I706" s="2" t="str">
        <f t="array" ref="I706">IF($H706="","",IF(COUNTIF(Teams,$H706)&gt;0,$H706,IFERROR(INDEX(LISTS!$D$2:$D$12,MATCH($H706,LISTS!$C$2:$C$12,0)),"⚠ "&amp;$H706)))</f>
        <v/>
      </c>
      <c r="J706" s="2" t="str">
        <f t="array" ref="J706">IF($C706="","",INDEX(SchedZone,$C706,MAP!$B$12))</f>
        <v/>
      </c>
      <c r="K706" s="2" t="str">
        <f t="array" ref="K706">IF($J706="","",IF(COUNTIF(Teams,$J706)&gt;0,$J706,IFERROR(INDEX(LISTS!$D$2:$D$12,MATCH($J706,LISTS!$C$2:$C$12,0)),"⚠ "&amp;$J706)))</f>
        <v/>
      </c>
      <c r="L706" s="2" t="str">
        <f t="array" ref="L706">IF($C706="","",IF(INDEX(SchedZone,$C706,MAP!$B$14)="Neutral","N",IF($B706="HOME","H","A")))</f>
        <v/>
      </c>
      <c r="M706" s="2" t="str">
        <f t="array" ref="M706">IF($C706="","",IF(INDEX(SchedZone,$C706,MAP!$B$11)="","",INDEX(SchedZone,$C706,MAP!$B$11)))</f>
        <v/>
      </c>
      <c r="N706" s="2" t="str">
        <f t="array" ref="N706">IF($C706="","",IF(INDEX(SchedZone,$C706,MAP!$B$13)="","",INDEX(SchedZone,$C706,MAP!$B$13)))</f>
        <v/>
      </c>
      <c r="O706" s="2" t="str">
        <f t="array" ref="O706">IF($C706="","",INDEX(SchedZone,$C706,MAP!$B$15))</f>
        <v/>
      </c>
      <c r="P706" s="2" t="str">
        <f>IF($C706="","",IFERROR(MATCH($E706&amp;"|"&amp;$G706&amp;"|"&amp;$I706,StatsKey,0),""))</f>
        <v/>
      </c>
      <c r="Q706" s="2">
        <f t="array" ref="Q706">IF($P706="",0,INDEX(StatsZone,$P706,MAP!$E$9)+INDEX(StatsZone,$P706,MAP!$E$10)+INDEX(StatsZone,$P706,MAP!$E$11))</f>
        <v>0</v>
      </c>
      <c r="R706" s="2">
        <f t="array" ref="R706">IF($P706="",0,INDEX(StatsZone,$P706,MAP!$E$12))</f>
        <v>0</v>
      </c>
      <c r="S706" s="2">
        <f t="array" ref="S706">IF($P706="",0,INDEX(StatsZone,$P706,MAP!$E$13))</f>
        <v>0</v>
      </c>
      <c r="T706" s="2">
        <f t="shared" si="1"/>
        <v>0</v>
      </c>
      <c r="U706" s="2">
        <f t="array" ref="U706">IF($P706="",0,INDEX(StatsZone,$P706,MAP!$E$14)+INDEX(StatsZone,$P706,MAP!$E$15)+INDEX(StatsZone,$P706,MAP!$E$16))</f>
        <v>0</v>
      </c>
      <c r="V706" s="2">
        <f t="shared" si="2"/>
        <v>0</v>
      </c>
      <c r="W706" s="2">
        <f t="shared" si="3"/>
        <v>0</v>
      </c>
      <c r="X706" s="2">
        <f t="shared" si="4"/>
        <v>0</v>
      </c>
      <c r="Y706" s="2">
        <f t="shared" si="5"/>
        <v>0</v>
      </c>
      <c r="Z706" s="2">
        <f t="shared" si="6"/>
        <v>0</v>
      </c>
      <c r="AA706" s="2">
        <f t="shared" si="7"/>
        <v>0</v>
      </c>
      <c r="AB706" s="2">
        <f>IF(OR($M706="",$N706=""),0,MEDIAN(-MarginCap,MarginCap,($M706-$N706)-$AA706*HFA_Base))</f>
        <v>0</v>
      </c>
      <c r="AC706" s="2">
        <f t="array" ref="AC706">IF(OR($P706="",INDEX($P$3:$P$722,(ROW()+IF(MOD(ROW()-3,2)=0,1,-1))-3+1)=""),0,MEDIAN(-MarginCap,MarginCap,($T706-$W706)-$AA706*HFA_Base))</f>
        <v>0</v>
      </c>
      <c r="AD706" s="2">
        <f t="shared" si="8"/>
        <v>0</v>
      </c>
      <c r="AE706" s="2">
        <f>IF(OR($M706="",$N706=""),0,IF(AND(WEpa&gt;0,$AD706=1),(1-WEpa)*$AB706+WEpa*$AC706,$AB706))</f>
        <v>0</v>
      </c>
      <c r="AF706" s="2">
        <f>IF(AND($C706&lt;&gt;"",$E706=CurrentSeason,$F706="REG",ISNUMBER($G706),$G706&lt;CurrentWeek,AND($M706&lt;&gt;"",$N706&lt;&gt;"")),1,0)</f>
        <v>0</v>
      </c>
      <c r="AG706" s="2">
        <f>IF($AF706=0,0,IF($G706&gt;=CurrentWeek-RecencyWin,RecencyMult,1))</f>
        <v>0</v>
      </c>
      <c r="AH706" s="2">
        <f>IF(AND($C706&lt;&gt;"",$E706=CurrentSeason,$F706="REG",ISNUMBER($G706),$G706&lt;CurrentWeek-1,AND($M706&lt;&gt;"",$N706&lt;&gt;"")),1,0)</f>
        <v>0</v>
      </c>
      <c r="AI706" s="2">
        <f>IF($AH706=0,0,IF($G706&gt;=CurrentWeek-1-RecencyWin,RecencyMult,1))</f>
        <v>0</v>
      </c>
      <c r="AJ706" s="2">
        <f>IF($AF706=0,0,IF($G706&gt;=CurrentWeek-RecencyWin,TotRecency,1))</f>
        <v>0</v>
      </c>
      <c r="AK706" s="2">
        <f t="shared" si="9"/>
        <v>0</v>
      </c>
      <c r="AL706" s="2">
        <f t="shared" si="10"/>
        <v>0</v>
      </c>
      <c r="AM706" s="2">
        <f t="array" ref="AM706">IF($K706="",0,IFERROR(INDEX(CALC!$F$2:$F$33,MATCH($K706,CALC!$A$2:$A$33,0)),0))</f>
        <v>0</v>
      </c>
      <c r="AN706" s="2">
        <f t="array" ref="AN706">IF($K706="",0,IFERROR(INDEX(CALC!$I$2:$I$33,MATCH($K706,CALC!$A$2:$A$33,0)),0))</f>
        <v>0</v>
      </c>
      <c r="AO706" s="2">
        <f t="array" ref="AO706">IF($K706="",0,IFERROR(INDEX(CALC!$L$2:$L$33,MATCH($K706,CALC!$A$2:$A$33,0)),0))</f>
        <v>0</v>
      </c>
      <c r="AP706" s="2">
        <f t="array" ref="AP706">IF($K706="",0,IFERROR(INDEX(CALC!$T$2:$T$33,MATCH($K706,CALC!$A$2:$A$33,0)),0))</f>
        <v>0</v>
      </c>
      <c r="AQ706" s="2">
        <f t="array" ref="AQ706">IF($K706="",0,IFERROR(INDEX(CALC!$W$2:$W$33,MATCH($K706,CALC!$A$2:$A$33,0)),0))</f>
        <v>0</v>
      </c>
      <c r="AR706" s="2">
        <f t="array" ref="AR706">IF($K706="",0,IFERROR(INDEX(CALC!$Z$2:$Z$33,MATCH($K706,CALC!$A$2:$A$33,0)),0))</f>
        <v>0</v>
      </c>
      <c r="AS706" s="2">
        <f t="array" ref="AS706">IF($K706="",0,IFERROR(INDEX(CALC!$AJ$2:$AJ$33,MATCH($K706,CALC!$A$2:$A$33,0)),0))</f>
        <v>0</v>
      </c>
      <c r="AT706" s="2">
        <f t="array" ref="AT706">IF($K706="",0,IFERROR(INDEX(CALC!$AI$2:$AI$33,MATCH($K706,CALC!$A$2:$A$33,0)),0))</f>
        <v>0</v>
      </c>
      <c r="AU706" s="2">
        <f t="shared" si="11"/>
        <v>0</v>
      </c>
      <c r="AV706" s="2">
        <f t="shared" si="12"/>
        <v>0</v>
      </c>
    </row>
    <row r="707" ht="15.0" customHeight="1">
      <c r="A707" s="2">
        <v>353.0</v>
      </c>
      <c r="B707" s="2" t="s">
        <v>2365</v>
      </c>
      <c r="C707" s="2" t="str">
        <f>IFERROR(MATCH($A707,SchedSeq,0),"")</f>
        <v/>
      </c>
      <c r="D707" s="2" t="str">
        <f t="array" ref="D707">IF($C707="","",INDEX(SchedZone,$C707,MAP!$B$6))</f>
        <v/>
      </c>
      <c r="E707" s="2" t="str">
        <f t="array" ref="E707">IF($C707="","",INDEX(SchedZone,$C707,MAP!$B$3))</f>
        <v/>
      </c>
      <c r="F707" s="2" t="str">
        <f t="array" ref="F707">IF($C707="","",INDEX(SchedZone,$C707,MAP!$B$5))</f>
        <v/>
      </c>
      <c r="G707" s="2" t="str">
        <f t="array" ref="G707">IF($C707="","",INDEX(SchedZone,$C707,MAP!$B$4))</f>
        <v/>
      </c>
      <c r="H707" s="2" t="str">
        <f t="array" ref="H707">IF($C707="","",INDEX(SchedZone,$C707,MAP!$B$12))</f>
        <v/>
      </c>
      <c r="I707" s="2" t="str">
        <f t="array" ref="I707">IF($H707="","",IF(COUNTIF(Teams,$H707)&gt;0,$H707,IFERROR(INDEX(LISTS!$D$2:$D$12,MATCH($H707,LISTS!$C$2:$C$12,0)),"⚠ "&amp;$H707)))</f>
        <v/>
      </c>
      <c r="J707" s="2" t="str">
        <f t="array" ref="J707">IF($C707="","",INDEX(SchedZone,$C707,MAP!$B$10))</f>
        <v/>
      </c>
      <c r="K707" s="2" t="str">
        <f t="array" ref="K707">IF($J707="","",IF(COUNTIF(Teams,$J707)&gt;0,$J707,IFERROR(INDEX(LISTS!$D$2:$D$12,MATCH($J707,LISTS!$C$2:$C$12,0)),"⚠ "&amp;$J707)))</f>
        <v/>
      </c>
      <c r="L707" s="2" t="str">
        <f t="array" ref="L707">IF($C707="","",IF(INDEX(SchedZone,$C707,MAP!$B$14)="Neutral","N",IF($B707="HOME","H","A")))</f>
        <v/>
      </c>
      <c r="M707" s="2" t="str">
        <f t="array" ref="M707">IF($C707="","",IF(INDEX(SchedZone,$C707,MAP!$B$13)="","",INDEX(SchedZone,$C707,MAP!$B$13)))</f>
        <v/>
      </c>
      <c r="N707" s="2" t="str">
        <f t="array" ref="N707">IF($C707="","",IF(INDEX(SchedZone,$C707,MAP!$B$11)="","",INDEX(SchedZone,$C707,MAP!$B$11)))</f>
        <v/>
      </c>
      <c r="O707" s="2" t="str">
        <f t="array" ref="O707">IF($C707="","",INDEX(SchedZone,$C707,MAP!$B$16))</f>
        <v/>
      </c>
      <c r="P707" s="2" t="str">
        <f>IF($C707="","",IFERROR(MATCH($E707&amp;"|"&amp;$G707&amp;"|"&amp;$I707,StatsKey,0),""))</f>
        <v/>
      </c>
      <c r="Q707" s="2">
        <f t="array" ref="Q707">IF($P707="",0,INDEX(StatsZone,$P707,MAP!$E$9)+INDEX(StatsZone,$P707,MAP!$E$10)+INDEX(StatsZone,$P707,MAP!$E$11))</f>
        <v>0</v>
      </c>
      <c r="R707" s="2">
        <f t="array" ref="R707">IF($P707="",0,INDEX(StatsZone,$P707,MAP!$E$12))</f>
        <v>0</v>
      </c>
      <c r="S707" s="2">
        <f t="array" ref="S707">IF($P707="",0,INDEX(StatsZone,$P707,MAP!$E$13))</f>
        <v>0</v>
      </c>
      <c r="T707" s="2">
        <f t="shared" si="1"/>
        <v>0</v>
      </c>
      <c r="U707" s="2">
        <f t="array" ref="U707">IF($P707="",0,INDEX(StatsZone,$P707,MAP!$E$14)+INDEX(StatsZone,$P707,MAP!$E$15)+INDEX(StatsZone,$P707,MAP!$E$16))</f>
        <v>0</v>
      </c>
      <c r="V707" s="2">
        <f t="shared" si="2"/>
        <v>0</v>
      </c>
      <c r="W707" s="2">
        <f t="shared" si="3"/>
        <v>0</v>
      </c>
      <c r="X707" s="2">
        <f t="shared" si="4"/>
        <v>0</v>
      </c>
      <c r="Y707" s="2">
        <f t="shared" si="5"/>
        <v>0</v>
      </c>
      <c r="Z707" s="2">
        <f t="shared" si="6"/>
        <v>0</v>
      </c>
      <c r="AA707" s="2">
        <f t="shared" si="7"/>
        <v>0</v>
      </c>
      <c r="AB707" s="2">
        <f>IF(OR($M707="",$N707=""),0,MEDIAN(-MarginCap,MarginCap,($M707-$N707)-$AA707*HFA_Base))</f>
        <v>0</v>
      </c>
      <c r="AC707" s="2">
        <f t="array" ref="AC707">IF(OR($P707="",INDEX($P$3:$P$722,(ROW()+IF(MOD(ROW()-3,2)=0,1,-1))-3+1)=""),0,MEDIAN(-MarginCap,MarginCap,($T707-$W707)-$AA707*HFA_Base))</f>
        <v>0</v>
      </c>
      <c r="AD707" s="2">
        <f t="shared" si="8"/>
        <v>0</v>
      </c>
      <c r="AE707" s="2">
        <f>IF(OR($M707="",$N707=""),0,IF(AND(WEpa&gt;0,$AD707=1),(1-WEpa)*$AB707+WEpa*$AC707,$AB707))</f>
        <v>0</v>
      </c>
      <c r="AF707" s="2">
        <f>IF(AND($C707&lt;&gt;"",$E707=CurrentSeason,$F707="REG",ISNUMBER($G707),$G707&lt;CurrentWeek,AND($M707&lt;&gt;"",$N707&lt;&gt;"")),1,0)</f>
        <v>0</v>
      </c>
      <c r="AG707" s="2">
        <f>IF($AF707=0,0,IF($G707&gt;=CurrentWeek-RecencyWin,RecencyMult,1))</f>
        <v>0</v>
      </c>
      <c r="AH707" s="2">
        <f>IF(AND($C707&lt;&gt;"",$E707=CurrentSeason,$F707="REG",ISNUMBER($G707),$G707&lt;CurrentWeek-1,AND($M707&lt;&gt;"",$N707&lt;&gt;"")),1,0)</f>
        <v>0</v>
      </c>
      <c r="AI707" s="2">
        <f>IF($AH707=0,0,IF($G707&gt;=CurrentWeek-1-RecencyWin,RecencyMult,1))</f>
        <v>0</v>
      </c>
      <c r="AJ707" s="2">
        <f>IF($AF707=0,0,IF($G707&gt;=CurrentWeek-RecencyWin,TotRecency,1))</f>
        <v>0</v>
      </c>
      <c r="AK707" s="2">
        <f t="shared" si="9"/>
        <v>0</v>
      </c>
      <c r="AL707" s="2">
        <f t="shared" si="10"/>
        <v>0</v>
      </c>
      <c r="AM707" s="2">
        <f t="array" ref="AM707">IF($K707="",0,IFERROR(INDEX(CALC!$F$2:$F$33,MATCH($K707,CALC!$A$2:$A$33,0)),0))</f>
        <v>0</v>
      </c>
      <c r="AN707" s="2">
        <f t="array" ref="AN707">IF($K707="",0,IFERROR(INDEX(CALC!$I$2:$I$33,MATCH($K707,CALC!$A$2:$A$33,0)),0))</f>
        <v>0</v>
      </c>
      <c r="AO707" s="2">
        <f t="array" ref="AO707">IF($K707="",0,IFERROR(INDEX(CALC!$L$2:$L$33,MATCH($K707,CALC!$A$2:$A$33,0)),0))</f>
        <v>0</v>
      </c>
      <c r="AP707" s="2">
        <f t="array" ref="AP707">IF($K707="",0,IFERROR(INDEX(CALC!$T$2:$T$33,MATCH($K707,CALC!$A$2:$A$33,0)),0))</f>
        <v>0</v>
      </c>
      <c r="AQ707" s="2">
        <f t="array" ref="AQ707">IF($K707="",0,IFERROR(INDEX(CALC!$W$2:$W$33,MATCH($K707,CALC!$A$2:$A$33,0)),0))</f>
        <v>0</v>
      </c>
      <c r="AR707" s="2">
        <f t="array" ref="AR707">IF($K707="",0,IFERROR(INDEX(CALC!$Z$2:$Z$33,MATCH($K707,CALC!$A$2:$A$33,0)),0))</f>
        <v>0</v>
      </c>
      <c r="AS707" s="2">
        <f t="array" ref="AS707">IF($K707="",0,IFERROR(INDEX(CALC!$AJ$2:$AJ$33,MATCH($K707,CALC!$A$2:$A$33,0)),0))</f>
        <v>0</v>
      </c>
      <c r="AT707" s="2">
        <f t="array" ref="AT707">IF($K707="",0,IFERROR(INDEX(CALC!$AI$2:$AI$33,MATCH($K707,CALC!$A$2:$A$33,0)),0))</f>
        <v>0</v>
      </c>
      <c r="AU707" s="2">
        <f t="shared" si="11"/>
        <v>0</v>
      </c>
      <c r="AV707" s="2">
        <f t="shared" si="12"/>
        <v>0</v>
      </c>
    </row>
    <row r="708" ht="15.0" customHeight="1">
      <c r="A708" s="2">
        <v>353.0</v>
      </c>
      <c r="B708" s="2" t="s">
        <v>2366</v>
      </c>
      <c r="C708" s="2" t="str">
        <f>IFERROR(MATCH($A708,SchedSeq,0),"")</f>
        <v/>
      </c>
      <c r="D708" s="2" t="str">
        <f t="array" ref="D708">IF($C708="","",INDEX(SchedZone,$C708,MAP!$B$6))</f>
        <v/>
      </c>
      <c r="E708" s="2" t="str">
        <f t="array" ref="E708">IF($C708="","",INDEX(SchedZone,$C708,MAP!$B$3))</f>
        <v/>
      </c>
      <c r="F708" s="2" t="str">
        <f t="array" ref="F708">IF($C708="","",INDEX(SchedZone,$C708,MAP!$B$5))</f>
        <v/>
      </c>
      <c r="G708" s="2" t="str">
        <f t="array" ref="G708">IF($C708="","",INDEX(SchedZone,$C708,MAP!$B$4))</f>
        <v/>
      </c>
      <c r="H708" s="2" t="str">
        <f t="array" ref="H708">IF($C708="","",INDEX(SchedZone,$C708,MAP!$B$10))</f>
        <v/>
      </c>
      <c r="I708" s="2" t="str">
        <f t="array" ref="I708">IF($H708="","",IF(COUNTIF(Teams,$H708)&gt;0,$H708,IFERROR(INDEX(LISTS!$D$2:$D$12,MATCH($H708,LISTS!$C$2:$C$12,0)),"⚠ "&amp;$H708)))</f>
        <v/>
      </c>
      <c r="J708" s="2" t="str">
        <f t="array" ref="J708">IF($C708="","",INDEX(SchedZone,$C708,MAP!$B$12))</f>
        <v/>
      </c>
      <c r="K708" s="2" t="str">
        <f t="array" ref="K708">IF($J708="","",IF(COUNTIF(Teams,$J708)&gt;0,$J708,IFERROR(INDEX(LISTS!$D$2:$D$12,MATCH($J708,LISTS!$C$2:$C$12,0)),"⚠ "&amp;$J708)))</f>
        <v/>
      </c>
      <c r="L708" s="2" t="str">
        <f t="array" ref="L708">IF($C708="","",IF(INDEX(SchedZone,$C708,MAP!$B$14)="Neutral","N",IF($B708="HOME","H","A")))</f>
        <v/>
      </c>
      <c r="M708" s="2" t="str">
        <f t="array" ref="M708">IF($C708="","",IF(INDEX(SchedZone,$C708,MAP!$B$11)="","",INDEX(SchedZone,$C708,MAP!$B$11)))</f>
        <v/>
      </c>
      <c r="N708" s="2" t="str">
        <f t="array" ref="N708">IF($C708="","",IF(INDEX(SchedZone,$C708,MAP!$B$13)="","",INDEX(SchedZone,$C708,MAP!$B$13)))</f>
        <v/>
      </c>
      <c r="O708" s="2" t="str">
        <f t="array" ref="O708">IF($C708="","",INDEX(SchedZone,$C708,MAP!$B$15))</f>
        <v/>
      </c>
      <c r="P708" s="2" t="str">
        <f>IF($C708="","",IFERROR(MATCH($E708&amp;"|"&amp;$G708&amp;"|"&amp;$I708,StatsKey,0),""))</f>
        <v/>
      </c>
      <c r="Q708" s="2">
        <f t="array" ref="Q708">IF($P708="",0,INDEX(StatsZone,$P708,MAP!$E$9)+INDEX(StatsZone,$P708,MAP!$E$10)+INDEX(StatsZone,$P708,MAP!$E$11))</f>
        <v>0</v>
      </c>
      <c r="R708" s="2">
        <f t="array" ref="R708">IF($P708="",0,INDEX(StatsZone,$P708,MAP!$E$12))</f>
        <v>0</v>
      </c>
      <c r="S708" s="2">
        <f t="array" ref="S708">IF($P708="",0,INDEX(StatsZone,$P708,MAP!$E$13))</f>
        <v>0</v>
      </c>
      <c r="T708" s="2">
        <f t="shared" si="1"/>
        <v>0</v>
      </c>
      <c r="U708" s="2">
        <f t="array" ref="U708">IF($P708="",0,INDEX(StatsZone,$P708,MAP!$E$14)+INDEX(StatsZone,$P708,MAP!$E$15)+INDEX(StatsZone,$P708,MAP!$E$16))</f>
        <v>0</v>
      </c>
      <c r="V708" s="2">
        <f t="shared" si="2"/>
        <v>0</v>
      </c>
      <c r="W708" s="2">
        <f t="shared" si="3"/>
        <v>0</v>
      </c>
      <c r="X708" s="2">
        <f t="shared" si="4"/>
        <v>0</v>
      </c>
      <c r="Y708" s="2">
        <f t="shared" si="5"/>
        <v>0</v>
      </c>
      <c r="Z708" s="2">
        <f t="shared" si="6"/>
        <v>0</v>
      </c>
      <c r="AA708" s="2">
        <f t="shared" si="7"/>
        <v>0</v>
      </c>
      <c r="AB708" s="2">
        <f>IF(OR($M708="",$N708=""),0,MEDIAN(-MarginCap,MarginCap,($M708-$N708)-$AA708*HFA_Base))</f>
        <v>0</v>
      </c>
      <c r="AC708" s="2">
        <f t="array" ref="AC708">IF(OR($P708="",INDEX($P$3:$P$722,(ROW()+IF(MOD(ROW()-3,2)=0,1,-1))-3+1)=""),0,MEDIAN(-MarginCap,MarginCap,($T708-$W708)-$AA708*HFA_Base))</f>
        <v>0</v>
      </c>
      <c r="AD708" s="2">
        <f t="shared" si="8"/>
        <v>0</v>
      </c>
      <c r="AE708" s="2">
        <f>IF(OR($M708="",$N708=""),0,IF(AND(WEpa&gt;0,$AD708=1),(1-WEpa)*$AB708+WEpa*$AC708,$AB708))</f>
        <v>0</v>
      </c>
      <c r="AF708" s="2">
        <f>IF(AND($C708&lt;&gt;"",$E708=CurrentSeason,$F708="REG",ISNUMBER($G708),$G708&lt;CurrentWeek,AND($M708&lt;&gt;"",$N708&lt;&gt;"")),1,0)</f>
        <v>0</v>
      </c>
      <c r="AG708" s="2">
        <f>IF($AF708=0,0,IF($G708&gt;=CurrentWeek-RecencyWin,RecencyMult,1))</f>
        <v>0</v>
      </c>
      <c r="AH708" s="2">
        <f>IF(AND($C708&lt;&gt;"",$E708=CurrentSeason,$F708="REG",ISNUMBER($G708),$G708&lt;CurrentWeek-1,AND($M708&lt;&gt;"",$N708&lt;&gt;"")),1,0)</f>
        <v>0</v>
      </c>
      <c r="AI708" s="2">
        <f>IF($AH708=0,0,IF($G708&gt;=CurrentWeek-1-RecencyWin,RecencyMult,1))</f>
        <v>0</v>
      </c>
      <c r="AJ708" s="2">
        <f>IF($AF708=0,0,IF($G708&gt;=CurrentWeek-RecencyWin,TotRecency,1))</f>
        <v>0</v>
      </c>
      <c r="AK708" s="2">
        <f t="shared" si="9"/>
        <v>0</v>
      </c>
      <c r="AL708" s="2">
        <f t="shared" si="10"/>
        <v>0</v>
      </c>
      <c r="AM708" s="2">
        <f t="array" ref="AM708">IF($K708="",0,IFERROR(INDEX(CALC!$F$2:$F$33,MATCH($K708,CALC!$A$2:$A$33,0)),0))</f>
        <v>0</v>
      </c>
      <c r="AN708" s="2">
        <f t="array" ref="AN708">IF($K708="",0,IFERROR(INDEX(CALC!$I$2:$I$33,MATCH($K708,CALC!$A$2:$A$33,0)),0))</f>
        <v>0</v>
      </c>
      <c r="AO708" s="2">
        <f t="array" ref="AO708">IF($K708="",0,IFERROR(INDEX(CALC!$L$2:$L$33,MATCH($K708,CALC!$A$2:$A$33,0)),0))</f>
        <v>0</v>
      </c>
      <c r="AP708" s="2">
        <f t="array" ref="AP708">IF($K708="",0,IFERROR(INDEX(CALC!$T$2:$T$33,MATCH($K708,CALC!$A$2:$A$33,0)),0))</f>
        <v>0</v>
      </c>
      <c r="AQ708" s="2">
        <f t="array" ref="AQ708">IF($K708="",0,IFERROR(INDEX(CALC!$W$2:$W$33,MATCH($K708,CALC!$A$2:$A$33,0)),0))</f>
        <v>0</v>
      </c>
      <c r="AR708" s="2">
        <f t="array" ref="AR708">IF($K708="",0,IFERROR(INDEX(CALC!$Z$2:$Z$33,MATCH($K708,CALC!$A$2:$A$33,0)),0))</f>
        <v>0</v>
      </c>
      <c r="AS708" s="2">
        <f t="array" ref="AS708">IF($K708="",0,IFERROR(INDEX(CALC!$AJ$2:$AJ$33,MATCH($K708,CALC!$A$2:$A$33,0)),0))</f>
        <v>0</v>
      </c>
      <c r="AT708" s="2">
        <f t="array" ref="AT708">IF($K708="",0,IFERROR(INDEX(CALC!$AI$2:$AI$33,MATCH($K708,CALC!$A$2:$A$33,0)),0))</f>
        <v>0</v>
      </c>
      <c r="AU708" s="2">
        <f t="shared" si="11"/>
        <v>0</v>
      </c>
      <c r="AV708" s="2">
        <f t="shared" si="12"/>
        <v>0</v>
      </c>
    </row>
    <row r="709" ht="15.0" customHeight="1">
      <c r="A709" s="2">
        <v>354.0</v>
      </c>
      <c r="B709" s="2" t="s">
        <v>2365</v>
      </c>
      <c r="C709" s="2" t="str">
        <f>IFERROR(MATCH($A709,SchedSeq,0),"")</f>
        <v/>
      </c>
      <c r="D709" s="2" t="str">
        <f t="array" ref="D709">IF($C709="","",INDEX(SchedZone,$C709,MAP!$B$6))</f>
        <v/>
      </c>
      <c r="E709" s="2" t="str">
        <f t="array" ref="E709">IF($C709="","",INDEX(SchedZone,$C709,MAP!$B$3))</f>
        <v/>
      </c>
      <c r="F709" s="2" t="str">
        <f t="array" ref="F709">IF($C709="","",INDEX(SchedZone,$C709,MAP!$B$5))</f>
        <v/>
      </c>
      <c r="G709" s="2" t="str">
        <f t="array" ref="G709">IF($C709="","",INDEX(SchedZone,$C709,MAP!$B$4))</f>
        <v/>
      </c>
      <c r="H709" s="2" t="str">
        <f t="array" ref="H709">IF($C709="","",INDEX(SchedZone,$C709,MAP!$B$12))</f>
        <v/>
      </c>
      <c r="I709" s="2" t="str">
        <f t="array" ref="I709">IF($H709="","",IF(COUNTIF(Teams,$H709)&gt;0,$H709,IFERROR(INDEX(LISTS!$D$2:$D$12,MATCH($H709,LISTS!$C$2:$C$12,0)),"⚠ "&amp;$H709)))</f>
        <v/>
      </c>
      <c r="J709" s="2" t="str">
        <f t="array" ref="J709">IF($C709="","",INDEX(SchedZone,$C709,MAP!$B$10))</f>
        <v/>
      </c>
      <c r="K709" s="2" t="str">
        <f t="array" ref="K709">IF($J709="","",IF(COUNTIF(Teams,$J709)&gt;0,$J709,IFERROR(INDEX(LISTS!$D$2:$D$12,MATCH($J709,LISTS!$C$2:$C$12,0)),"⚠ "&amp;$J709)))</f>
        <v/>
      </c>
      <c r="L709" s="2" t="str">
        <f t="array" ref="L709">IF($C709="","",IF(INDEX(SchedZone,$C709,MAP!$B$14)="Neutral","N",IF($B709="HOME","H","A")))</f>
        <v/>
      </c>
      <c r="M709" s="2" t="str">
        <f t="array" ref="M709">IF($C709="","",IF(INDEX(SchedZone,$C709,MAP!$B$13)="","",INDEX(SchedZone,$C709,MAP!$B$13)))</f>
        <v/>
      </c>
      <c r="N709" s="2" t="str">
        <f t="array" ref="N709">IF($C709="","",IF(INDEX(SchedZone,$C709,MAP!$B$11)="","",INDEX(SchedZone,$C709,MAP!$B$11)))</f>
        <v/>
      </c>
      <c r="O709" s="2" t="str">
        <f t="array" ref="O709">IF($C709="","",INDEX(SchedZone,$C709,MAP!$B$16))</f>
        <v/>
      </c>
      <c r="P709" s="2" t="str">
        <f>IF($C709="","",IFERROR(MATCH($E709&amp;"|"&amp;$G709&amp;"|"&amp;$I709,StatsKey,0),""))</f>
        <v/>
      </c>
      <c r="Q709" s="2">
        <f t="array" ref="Q709">IF($P709="",0,INDEX(StatsZone,$P709,MAP!$E$9)+INDEX(StatsZone,$P709,MAP!$E$10)+INDEX(StatsZone,$P709,MAP!$E$11))</f>
        <v>0</v>
      </c>
      <c r="R709" s="2">
        <f t="array" ref="R709">IF($P709="",0,INDEX(StatsZone,$P709,MAP!$E$12))</f>
        <v>0</v>
      </c>
      <c r="S709" s="2">
        <f t="array" ref="S709">IF($P709="",0,INDEX(StatsZone,$P709,MAP!$E$13))</f>
        <v>0</v>
      </c>
      <c r="T709" s="2">
        <f t="shared" si="1"/>
        <v>0</v>
      </c>
      <c r="U709" s="2">
        <f t="array" ref="U709">IF($P709="",0,INDEX(StatsZone,$P709,MAP!$E$14)+INDEX(StatsZone,$P709,MAP!$E$15)+INDEX(StatsZone,$P709,MAP!$E$16))</f>
        <v>0</v>
      </c>
      <c r="V709" s="2">
        <f t="shared" si="2"/>
        <v>0</v>
      </c>
      <c r="W709" s="2">
        <f t="shared" si="3"/>
        <v>0</v>
      </c>
      <c r="X709" s="2">
        <f t="shared" si="4"/>
        <v>0</v>
      </c>
      <c r="Y709" s="2">
        <f t="shared" si="5"/>
        <v>0</v>
      </c>
      <c r="Z709" s="2">
        <f t="shared" si="6"/>
        <v>0</v>
      </c>
      <c r="AA709" s="2">
        <f t="shared" si="7"/>
        <v>0</v>
      </c>
      <c r="AB709" s="2">
        <f>IF(OR($M709="",$N709=""),0,MEDIAN(-MarginCap,MarginCap,($M709-$N709)-$AA709*HFA_Base))</f>
        <v>0</v>
      </c>
      <c r="AC709" s="2">
        <f t="array" ref="AC709">IF(OR($P709="",INDEX($P$3:$P$722,(ROW()+IF(MOD(ROW()-3,2)=0,1,-1))-3+1)=""),0,MEDIAN(-MarginCap,MarginCap,($T709-$W709)-$AA709*HFA_Base))</f>
        <v>0</v>
      </c>
      <c r="AD709" s="2">
        <f t="shared" si="8"/>
        <v>0</v>
      </c>
      <c r="AE709" s="2">
        <f>IF(OR($M709="",$N709=""),0,IF(AND(WEpa&gt;0,$AD709=1),(1-WEpa)*$AB709+WEpa*$AC709,$AB709))</f>
        <v>0</v>
      </c>
      <c r="AF709" s="2">
        <f>IF(AND($C709&lt;&gt;"",$E709=CurrentSeason,$F709="REG",ISNUMBER($G709),$G709&lt;CurrentWeek,AND($M709&lt;&gt;"",$N709&lt;&gt;"")),1,0)</f>
        <v>0</v>
      </c>
      <c r="AG709" s="2">
        <f>IF($AF709=0,0,IF($G709&gt;=CurrentWeek-RecencyWin,RecencyMult,1))</f>
        <v>0</v>
      </c>
      <c r="AH709" s="2">
        <f>IF(AND($C709&lt;&gt;"",$E709=CurrentSeason,$F709="REG",ISNUMBER($G709),$G709&lt;CurrentWeek-1,AND($M709&lt;&gt;"",$N709&lt;&gt;"")),1,0)</f>
        <v>0</v>
      </c>
      <c r="AI709" s="2">
        <f>IF($AH709=0,0,IF($G709&gt;=CurrentWeek-1-RecencyWin,RecencyMult,1))</f>
        <v>0</v>
      </c>
      <c r="AJ709" s="2">
        <f>IF($AF709=0,0,IF($G709&gt;=CurrentWeek-RecencyWin,TotRecency,1))</f>
        <v>0</v>
      </c>
      <c r="AK709" s="2">
        <f t="shared" si="9"/>
        <v>0</v>
      </c>
      <c r="AL709" s="2">
        <f t="shared" si="10"/>
        <v>0</v>
      </c>
      <c r="AM709" s="2">
        <f t="array" ref="AM709">IF($K709="",0,IFERROR(INDEX(CALC!$F$2:$F$33,MATCH($K709,CALC!$A$2:$A$33,0)),0))</f>
        <v>0</v>
      </c>
      <c r="AN709" s="2">
        <f t="array" ref="AN709">IF($K709="",0,IFERROR(INDEX(CALC!$I$2:$I$33,MATCH($K709,CALC!$A$2:$A$33,0)),0))</f>
        <v>0</v>
      </c>
      <c r="AO709" s="2">
        <f t="array" ref="AO709">IF($K709="",0,IFERROR(INDEX(CALC!$L$2:$L$33,MATCH($K709,CALC!$A$2:$A$33,0)),0))</f>
        <v>0</v>
      </c>
      <c r="AP709" s="2">
        <f t="array" ref="AP709">IF($K709="",0,IFERROR(INDEX(CALC!$T$2:$T$33,MATCH($K709,CALC!$A$2:$A$33,0)),0))</f>
        <v>0</v>
      </c>
      <c r="AQ709" s="2">
        <f t="array" ref="AQ709">IF($K709="",0,IFERROR(INDEX(CALC!$W$2:$W$33,MATCH($K709,CALC!$A$2:$A$33,0)),0))</f>
        <v>0</v>
      </c>
      <c r="AR709" s="2">
        <f t="array" ref="AR709">IF($K709="",0,IFERROR(INDEX(CALC!$Z$2:$Z$33,MATCH($K709,CALC!$A$2:$A$33,0)),0))</f>
        <v>0</v>
      </c>
      <c r="AS709" s="2">
        <f t="array" ref="AS709">IF($K709="",0,IFERROR(INDEX(CALC!$AJ$2:$AJ$33,MATCH($K709,CALC!$A$2:$A$33,0)),0))</f>
        <v>0</v>
      </c>
      <c r="AT709" s="2">
        <f t="array" ref="AT709">IF($K709="",0,IFERROR(INDEX(CALC!$AI$2:$AI$33,MATCH($K709,CALC!$A$2:$A$33,0)),0))</f>
        <v>0</v>
      </c>
      <c r="AU709" s="2">
        <f t="shared" si="11"/>
        <v>0</v>
      </c>
      <c r="AV709" s="2">
        <f t="shared" si="12"/>
        <v>0</v>
      </c>
    </row>
    <row r="710" ht="15.0" customHeight="1">
      <c r="A710" s="2">
        <v>354.0</v>
      </c>
      <c r="B710" s="2" t="s">
        <v>2366</v>
      </c>
      <c r="C710" s="2" t="str">
        <f>IFERROR(MATCH($A710,SchedSeq,0),"")</f>
        <v/>
      </c>
      <c r="D710" s="2" t="str">
        <f t="array" ref="D710">IF($C710="","",INDEX(SchedZone,$C710,MAP!$B$6))</f>
        <v/>
      </c>
      <c r="E710" s="2" t="str">
        <f t="array" ref="E710">IF($C710="","",INDEX(SchedZone,$C710,MAP!$B$3))</f>
        <v/>
      </c>
      <c r="F710" s="2" t="str">
        <f t="array" ref="F710">IF($C710="","",INDEX(SchedZone,$C710,MAP!$B$5))</f>
        <v/>
      </c>
      <c r="G710" s="2" t="str">
        <f t="array" ref="G710">IF($C710="","",INDEX(SchedZone,$C710,MAP!$B$4))</f>
        <v/>
      </c>
      <c r="H710" s="2" t="str">
        <f t="array" ref="H710">IF($C710="","",INDEX(SchedZone,$C710,MAP!$B$10))</f>
        <v/>
      </c>
      <c r="I710" s="2" t="str">
        <f t="array" ref="I710">IF($H710="","",IF(COUNTIF(Teams,$H710)&gt;0,$H710,IFERROR(INDEX(LISTS!$D$2:$D$12,MATCH($H710,LISTS!$C$2:$C$12,0)),"⚠ "&amp;$H710)))</f>
        <v/>
      </c>
      <c r="J710" s="2" t="str">
        <f t="array" ref="J710">IF($C710="","",INDEX(SchedZone,$C710,MAP!$B$12))</f>
        <v/>
      </c>
      <c r="K710" s="2" t="str">
        <f t="array" ref="K710">IF($J710="","",IF(COUNTIF(Teams,$J710)&gt;0,$J710,IFERROR(INDEX(LISTS!$D$2:$D$12,MATCH($J710,LISTS!$C$2:$C$12,0)),"⚠ "&amp;$J710)))</f>
        <v/>
      </c>
      <c r="L710" s="2" t="str">
        <f t="array" ref="L710">IF($C710="","",IF(INDEX(SchedZone,$C710,MAP!$B$14)="Neutral","N",IF($B710="HOME","H","A")))</f>
        <v/>
      </c>
      <c r="M710" s="2" t="str">
        <f t="array" ref="M710">IF($C710="","",IF(INDEX(SchedZone,$C710,MAP!$B$11)="","",INDEX(SchedZone,$C710,MAP!$B$11)))</f>
        <v/>
      </c>
      <c r="N710" s="2" t="str">
        <f t="array" ref="N710">IF($C710="","",IF(INDEX(SchedZone,$C710,MAP!$B$13)="","",INDEX(SchedZone,$C710,MAP!$B$13)))</f>
        <v/>
      </c>
      <c r="O710" s="2" t="str">
        <f t="array" ref="O710">IF($C710="","",INDEX(SchedZone,$C710,MAP!$B$15))</f>
        <v/>
      </c>
      <c r="P710" s="2" t="str">
        <f>IF($C710="","",IFERROR(MATCH($E710&amp;"|"&amp;$G710&amp;"|"&amp;$I710,StatsKey,0),""))</f>
        <v/>
      </c>
      <c r="Q710" s="2">
        <f t="array" ref="Q710">IF($P710="",0,INDEX(StatsZone,$P710,MAP!$E$9)+INDEX(StatsZone,$P710,MAP!$E$10)+INDEX(StatsZone,$P710,MAP!$E$11))</f>
        <v>0</v>
      </c>
      <c r="R710" s="2">
        <f t="array" ref="R710">IF($P710="",0,INDEX(StatsZone,$P710,MAP!$E$12))</f>
        <v>0</v>
      </c>
      <c r="S710" s="2">
        <f t="array" ref="S710">IF($P710="",0,INDEX(StatsZone,$P710,MAP!$E$13))</f>
        <v>0</v>
      </c>
      <c r="T710" s="2">
        <f t="shared" si="1"/>
        <v>0</v>
      </c>
      <c r="U710" s="2">
        <f t="array" ref="U710">IF($P710="",0,INDEX(StatsZone,$P710,MAP!$E$14)+INDEX(StatsZone,$P710,MAP!$E$15)+INDEX(StatsZone,$P710,MAP!$E$16))</f>
        <v>0</v>
      </c>
      <c r="V710" s="2">
        <f t="shared" si="2"/>
        <v>0</v>
      </c>
      <c r="W710" s="2">
        <f t="shared" si="3"/>
        <v>0</v>
      </c>
      <c r="X710" s="2">
        <f t="shared" si="4"/>
        <v>0</v>
      </c>
      <c r="Y710" s="2">
        <f t="shared" si="5"/>
        <v>0</v>
      </c>
      <c r="Z710" s="2">
        <f t="shared" si="6"/>
        <v>0</v>
      </c>
      <c r="AA710" s="2">
        <f t="shared" si="7"/>
        <v>0</v>
      </c>
      <c r="AB710" s="2">
        <f>IF(OR($M710="",$N710=""),0,MEDIAN(-MarginCap,MarginCap,($M710-$N710)-$AA710*HFA_Base))</f>
        <v>0</v>
      </c>
      <c r="AC710" s="2">
        <f t="array" ref="AC710">IF(OR($P710="",INDEX($P$3:$P$722,(ROW()+IF(MOD(ROW()-3,2)=0,1,-1))-3+1)=""),0,MEDIAN(-MarginCap,MarginCap,($T710-$W710)-$AA710*HFA_Base))</f>
        <v>0</v>
      </c>
      <c r="AD710" s="2">
        <f t="shared" si="8"/>
        <v>0</v>
      </c>
      <c r="AE710" s="2">
        <f>IF(OR($M710="",$N710=""),0,IF(AND(WEpa&gt;0,$AD710=1),(1-WEpa)*$AB710+WEpa*$AC710,$AB710))</f>
        <v>0</v>
      </c>
      <c r="AF710" s="2">
        <f>IF(AND($C710&lt;&gt;"",$E710=CurrentSeason,$F710="REG",ISNUMBER($G710),$G710&lt;CurrentWeek,AND($M710&lt;&gt;"",$N710&lt;&gt;"")),1,0)</f>
        <v>0</v>
      </c>
      <c r="AG710" s="2">
        <f>IF($AF710=0,0,IF($G710&gt;=CurrentWeek-RecencyWin,RecencyMult,1))</f>
        <v>0</v>
      </c>
      <c r="AH710" s="2">
        <f>IF(AND($C710&lt;&gt;"",$E710=CurrentSeason,$F710="REG",ISNUMBER($G710),$G710&lt;CurrentWeek-1,AND($M710&lt;&gt;"",$N710&lt;&gt;"")),1,0)</f>
        <v>0</v>
      </c>
      <c r="AI710" s="2">
        <f>IF($AH710=0,0,IF($G710&gt;=CurrentWeek-1-RecencyWin,RecencyMult,1))</f>
        <v>0</v>
      </c>
      <c r="AJ710" s="2">
        <f>IF($AF710=0,0,IF($G710&gt;=CurrentWeek-RecencyWin,TotRecency,1))</f>
        <v>0</v>
      </c>
      <c r="AK710" s="2">
        <f t="shared" si="9"/>
        <v>0</v>
      </c>
      <c r="AL710" s="2">
        <f t="shared" si="10"/>
        <v>0</v>
      </c>
      <c r="AM710" s="2">
        <f t="array" ref="AM710">IF($K710="",0,IFERROR(INDEX(CALC!$F$2:$F$33,MATCH($K710,CALC!$A$2:$A$33,0)),0))</f>
        <v>0</v>
      </c>
      <c r="AN710" s="2">
        <f t="array" ref="AN710">IF($K710="",0,IFERROR(INDEX(CALC!$I$2:$I$33,MATCH($K710,CALC!$A$2:$A$33,0)),0))</f>
        <v>0</v>
      </c>
      <c r="AO710" s="2">
        <f t="array" ref="AO710">IF($K710="",0,IFERROR(INDEX(CALC!$L$2:$L$33,MATCH($K710,CALC!$A$2:$A$33,0)),0))</f>
        <v>0</v>
      </c>
      <c r="AP710" s="2">
        <f t="array" ref="AP710">IF($K710="",0,IFERROR(INDEX(CALC!$T$2:$T$33,MATCH($K710,CALC!$A$2:$A$33,0)),0))</f>
        <v>0</v>
      </c>
      <c r="AQ710" s="2">
        <f t="array" ref="AQ710">IF($K710="",0,IFERROR(INDEX(CALC!$W$2:$W$33,MATCH($K710,CALC!$A$2:$A$33,0)),0))</f>
        <v>0</v>
      </c>
      <c r="AR710" s="2">
        <f t="array" ref="AR710">IF($K710="",0,IFERROR(INDEX(CALC!$Z$2:$Z$33,MATCH($K710,CALC!$A$2:$A$33,0)),0))</f>
        <v>0</v>
      </c>
      <c r="AS710" s="2">
        <f t="array" ref="AS710">IF($K710="",0,IFERROR(INDEX(CALC!$AJ$2:$AJ$33,MATCH($K710,CALC!$A$2:$A$33,0)),0))</f>
        <v>0</v>
      </c>
      <c r="AT710" s="2">
        <f t="array" ref="AT710">IF($K710="",0,IFERROR(INDEX(CALC!$AI$2:$AI$33,MATCH($K710,CALC!$A$2:$A$33,0)),0))</f>
        <v>0</v>
      </c>
      <c r="AU710" s="2">
        <f t="shared" si="11"/>
        <v>0</v>
      </c>
      <c r="AV710" s="2">
        <f t="shared" si="12"/>
        <v>0</v>
      </c>
    </row>
    <row r="711" ht="15.0" customHeight="1">
      <c r="A711" s="2">
        <v>355.0</v>
      </c>
      <c r="B711" s="2" t="s">
        <v>2365</v>
      </c>
      <c r="C711" s="2" t="str">
        <f>IFERROR(MATCH($A711,SchedSeq,0),"")</f>
        <v/>
      </c>
      <c r="D711" s="2" t="str">
        <f t="array" ref="D711">IF($C711="","",INDEX(SchedZone,$C711,MAP!$B$6))</f>
        <v/>
      </c>
      <c r="E711" s="2" t="str">
        <f t="array" ref="E711">IF($C711="","",INDEX(SchedZone,$C711,MAP!$B$3))</f>
        <v/>
      </c>
      <c r="F711" s="2" t="str">
        <f t="array" ref="F711">IF($C711="","",INDEX(SchedZone,$C711,MAP!$B$5))</f>
        <v/>
      </c>
      <c r="G711" s="2" t="str">
        <f t="array" ref="G711">IF($C711="","",INDEX(SchedZone,$C711,MAP!$B$4))</f>
        <v/>
      </c>
      <c r="H711" s="2" t="str">
        <f t="array" ref="H711">IF($C711="","",INDEX(SchedZone,$C711,MAP!$B$12))</f>
        <v/>
      </c>
      <c r="I711" s="2" t="str">
        <f t="array" ref="I711">IF($H711="","",IF(COUNTIF(Teams,$H711)&gt;0,$H711,IFERROR(INDEX(LISTS!$D$2:$D$12,MATCH($H711,LISTS!$C$2:$C$12,0)),"⚠ "&amp;$H711)))</f>
        <v/>
      </c>
      <c r="J711" s="2" t="str">
        <f t="array" ref="J711">IF($C711="","",INDEX(SchedZone,$C711,MAP!$B$10))</f>
        <v/>
      </c>
      <c r="K711" s="2" t="str">
        <f t="array" ref="K711">IF($J711="","",IF(COUNTIF(Teams,$J711)&gt;0,$J711,IFERROR(INDEX(LISTS!$D$2:$D$12,MATCH($J711,LISTS!$C$2:$C$12,0)),"⚠ "&amp;$J711)))</f>
        <v/>
      </c>
      <c r="L711" s="2" t="str">
        <f t="array" ref="L711">IF($C711="","",IF(INDEX(SchedZone,$C711,MAP!$B$14)="Neutral","N",IF($B711="HOME","H","A")))</f>
        <v/>
      </c>
      <c r="M711" s="2" t="str">
        <f t="array" ref="M711">IF($C711="","",IF(INDEX(SchedZone,$C711,MAP!$B$13)="","",INDEX(SchedZone,$C711,MAP!$B$13)))</f>
        <v/>
      </c>
      <c r="N711" s="2" t="str">
        <f t="array" ref="N711">IF($C711="","",IF(INDEX(SchedZone,$C711,MAP!$B$11)="","",INDEX(SchedZone,$C711,MAP!$B$11)))</f>
        <v/>
      </c>
      <c r="O711" s="2" t="str">
        <f t="array" ref="O711">IF($C711="","",INDEX(SchedZone,$C711,MAP!$B$16))</f>
        <v/>
      </c>
      <c r="P711" s="2" t="str">
        <f>IF($C711="","",IFERROR(MATCH($E711&amp;"|"&amp;$G711&amp;"|"&amp;$I711,StatsKey,0),""))</f>
        <v/>
      </c>
      <c r="Q711" s="2">
        <f t="array" ref="Q711">IF($P711="",0,INDEX(StatsZone,$P711,MAP!$E$9)+INDEX(StatsZone,$P711,MAP!$E$10)+INDEX(StatsZone,$P711,MAP!$E$11))</f>
        <v>0</v>
      </c>
      <c r="R711" s="2">
        <f t="array" ref="R711">IF($P711="",0,INDEX(StatsZone,$P711,MAP!$E$12))</f>
        <v>0</v>
      </c>
      <c r="S711" s="2">
        <f t="array" ref="S711">IF($P711="",0,INDEX(StatsZone,$P711,MAP!$E$13))</f>
        <v>0</v>
      </c>
      <c r="T711" s="2">
        <f t="shared" si="1"/>
        <v>0</v>
      </c>
      <c r="U711" s="2">
        <f t="array" ref="U711">IF($P711="",0,INDEX(StatsZone,$P711,MAP!$E$14)+INDEX(StatsZone,$P711,MAP!$E$15)+INDEX(StatsZone,$P711,MAP!$E$16))</f>
        <v>0</v>
      </c>
      <c r="V711" s="2">
        <f t="shared" si="2"/>
        <v>0</v>
      </c>
      <c r="W711" s="2">
        <f t="shared" si="3"/>
        <v>0</v>
      </c>
      <c r="X711" s="2">
        <f t="shared" si="4"/>
        <v>0</v>
      </c>
      <c r="Y711" s="2">
        <f t="shared" si="5"/>
        <v>0</v>
      </c>
      <c r="Z711" s="2">
        <f t="shared" si="6"/>
        <v>0</v>
      </c>
      <c r="AA711" s="2">
        <f t="shared" si="7"/>
        <v>0</v>
      </c>
      <c r="AB711" s="2">
        <f>IF(OR($M711="",$N711=""),0,MEDIAN(-MarginCap,MarginCap,($M711-$N711)-$AA711*HFA_Base))</f>
        <v>0</v>
      </c>
      <c r="AC711" s="2">
        <f t="array" ref="AC711">IF(OR($P711="",INDEX($P$3:$P$722,(ROW()+IF(MOD(ROW()-3,2)=0,1,-1))-3+1)=""),0,MEDIAN(-MarginCap,MarginCap,($T711-$W711)-$AA711*HFA_Base))</f>
        <v>0</v>
      </c>
      <c r="AD711" s="2">
        <f t="shared" si="8"/>
        <v>0</v>
      </c>
      <c r="AE711" s="2">
        <f>IF(OR($M711="",$N711=""),0,IF(AND(WEpa&gt;0,$AD711=1),(1-WEpa)*$AB711+WEpa*$AC711,$AB711))</f>
        <v>0</v>
      </c>
      <c r="AF711" s="2">
        <f>IF(AND($C711&lt;&gt;"",$E711=CurrentSeason,$F711="REG",ISNUMBER($G711),$G711&lt;CurrentWeek,AND($M711&lt;&gt;"",$N711&lt;&gt;"")),1,0)</f>
        <v>0</v>
      </c>
      <c r="AG711" s="2">
        <f>IF($AF711=0,0,IF($G711&gt;=CurrentWeek-RecencyWin,RecencyMult,1))</f>
        <v>0</v>
      </c>
      <c r="AH711" s="2">
        <f>IF(AND($C711&lt;&gt;"",$E711=CurrentSeason,$F711="REG",ISNUMBER($G711),$G711&lt;CurrentWeek-1,AND($M711&lt;&gt;"",$N711&lt;&gt;"")),1,0)</f>
        <v>0</v>
      </c>
      <c r="AI711" s="2">
        <f>IF($AH711=0,0,IF($G711&gt;=CurrentWeek-1-RecencyWin,RecencyMult,1))</f>
        <v>0</v>
      </c>
      <c r="AJ711" s="2">
        <f>IF($AF711=0,0,IF($G711&gt;=CurrentWeek-RecencyWin,TotRecency,1))</f>
        <v>0</v>
      </c>
      <c r="AK711" s="2">
        <f t="shared" si="9"/>
        <v>0</v>
      </c>
      <c r="AL711" s="2">
        <f t="shared" si="10"/>
        <v>0</v>
      </c>
      <c r="AM711" s="2">
        <f t="array" ref="AM711">IF($K711="",0,IFERROR(INDEX(CALC!$F$2:$F$33,MATCH($K711,CALC!$A$2:$A$33,0)),0))</f>
        <v>0</v>
      </c>
      <c r="AN711" s="2">
        <f t="array" ref="AN711">IF($K711="",0,IFERROR(INDEX(CALC!$I$2:$I$33,MATCH($K711,CALC!$A$2:$A$33,0)),0))</f>
        <v>0</v>
      </c>
      <c r="AO711" s="2">
        <f t="array" ref="AO711">IF($K711="",0,IFERROR(INDEX(CALC!$L$2:$L$33,MATCH($K711,CALC!$A$2:$A$33,0)),0))</f>
        <v>0</v>
      </c>
      <c r="AP711" s="2">
        <f t="array" ref="AP711">IF($K711="",0,IFERROR(INDEX(CALC!$T$2:$T$33,MATCH($K711,CALC!$A$2:$A$33,0)),0))</f>
        <v>0</v>
      </c>
      <c r="AQ711" s="2">
        <f t="array" ref="AQ711">IF($K711="",0,IFERROR(INDEX(CALC!$W$2:$W$33,MATCH($K711,CALC!$A$2:$A$33,0)),0))</f>
        <v>0</v>
      </c>
      <c r="AR711" s="2">
        <f t="array" ref="AR711">IF($K711="",0,IFERROR(INDEX(CALC!$Z$2:$Z$33,MATCH($K711,CALC!$A$2:$A$33,0)),0))</f>
        <v>0</v>
      </c>
      <c r="AS711" s="2">
        <f t="array" ref="AS711">IF($K711="",0,IFERROR(INDEX(CALC!$AJ$2:$AJ$33,MATCH($K711,CALC!$A$2:$A$33,0)),0))</f>
        <v>0</v>
      </c>
      <c r="AT711" s="2">
        <f t="array" ref="AT711">IF($K711="",0,IFERROR(INDEX(CALC!$AI$2:$AI$33,MATCH($K711,CALC!$A$2:$A$33,0)),0))</f>
        <v>0</v>
      </c>
      <c r="AU711" s="2">
        <f t="shared" si="11"/>
        <v>0</v>
      </c>
      <c r="AV711" s="2">
        <f t="shared" si="12"/>
        <v>0</v>
      </c>
    </row>
    <row r="712" ht="15.0" customHeight="1">
      <c r="A712" s="2">
        <v>355.0</v>
      </c>
      <c r="B712" s="2" t="s">
        <v>2366</v>
      </c>
      <c r="C712" s="2" t="str">
        <f>IFERROR(MATCH($A712,SchedSeq,0),"")</f>
        <v/>
      </c>
      <c r="D712" s="2" t="str">
        <f t="array" ref="D712">IF($C712="","",INDEX(SchedZone,$C712,MAP!$B$6))</f>
        <v/>
      </c>
      <c r="E712" s="2" t="str">
        <f t="array" ref="E712">IF($C712="","",INDEX(SchedZone,$C712,MAP!$B$3))</f>
        <v/>
      </c>
      <c r="F712" s="2" t="str">
        <f t="array" ref="F712">IF($C712="","",INDEX(SchedZone,$C712,MAP!$B$5))</f>
        <v/>
      </c>
      <c r="G712" s="2" t="str">
        <f t="array" ref="G712">IF($C712="","",INDEX(SchedZone,$C712,MAP!$B$4))</f>
        <v/>
      </c>
      <c r="H712" s="2" t="str">
        <f t="array" ref="H712">IF($C712="","",INDEX(SchedZone,$C712,MAP!$B$10))</f>
        <v/>
      </c>
      <c r="I712" s="2" t="str">
        <f t="array" ref="I712">IF($H712="","",IF(COUNTIF(Teams,$H712)&gt;0,$H712,IFERROR(INDEX(LISTS!$D$2:$D$12,MATCH($H712,LISTS!$C$2:$C$12,0)),"⚠ "&amp;$H712)))</f>
        <v/>
      </c>
      <c r="J712" s="2" t="str">
        <f t="array" ref="J712">IF($C712="","",INDEX(SchedZone,$C712,MAP!$B$12))</f>
        <v/>
      </c>
      <c r="K712" s="2" t="str">
        <f t="array" ref="K712">IF($J712="","",IF(COUNTIF(Teams,$J712)&gt;0,$J712,IFERROR(INDEX(LISTS!$D$2:$D$12,MATCH($J712,LISTS!$C$2:$C$12,0)),"⚠ "&amp;$J712)))</f>
        <v/>
      </c>
      <c r="L712" s="2" t="str">
        <f t="array" ref="L712">IF($C712="","",IF(INDEX(SchedZone,$C712,MAP!$B$14)="Neutral","N",IF($B712="HOME","H","A")))</f>
        <v/>
      </c>
      <c r="M712" s="2" t="str">
        <f t="array" ref="M712">IF($C712="","",IF(INDEX(SchedZone,$C712,MAP!$B$11)="","",INDEX(SchedZone,$C712,MAP!$B$11)))</f>
        <v/>
      </c>
      <c r="N712" s="2" t="str">
        <f t="array" ref="N712">IF($C712="","",IF(INDEX(SchedZone,$C712,MAP!$B$13)="","",INDEX(SchedZone,$C712,MAP!$B$13)))</f>
        <v/>
      </c>
      <c r="O712" s="2" t="str">
        <f t="array" ref="O712">IF($C712="","",INDEX(SchedZone,$C712,MAP!$B$15))</f>
        <v/>
      </c>
      <c r="P712" s="2" t="str">
        <f>IF($C712="","",IFERROR(MATCH($E712&amp;"|"&amp;$G712&amp;"|"&amp;$I712,StatsKey,0),""))</f>
        <v/>
      </c>
      <c r="Q712" s="2">
        <f t="array" ref="Q712">IF($P712="",0,INDEX(StatsZone,$P712,MAP!$E$9)+INDEX(StatsZone,$P712,MAP!$E$10)+INDEX(StatsZone,$P712,MAP!$E$11))</f>
        <v>0</v>
      </c>
      <c r="R712" s="2">
        <f t="array" ref="R712">IF($P712="",0,INDEX(StatsZone,$P712,MAP!$E$12))</f>
        <v>0</v>
      </c>
      <c r="S712" s="2">
        <f t="array" ref="S712">IF($P712="",0,INDEX(StatsZone,$P712,MAP!$E$13))</f>
        <v>0</v>
      </c>
      <c r="T712" s="2">
        <f t="shared" si="1"/>
        <v>0</v>
      </c>
      <c r="U712" s="2">
        <f t="array" ref="U712">IF($P712="",0,INDEX(StatsZone,$P712,MAP!$E$14)+INDEX(StatsZone,$P712,MAP!$E$15)+INDEX(StatsZone,$P712,MAP!$E$16))</f>
        <v>0</v>
      </c>
      <c r="V712" s="2">
        <f t="shared" si="2"/>
        <v>0</v>
      </c>
      <c r="W712" s="2">
        <f t="shared" si="3"/>
        <v>0</v>
      </c>
      <c r="X712" s="2">
        <f t="shared" si="4"/>
        <v>0</v>
      </c>
      <c r="Y712" s="2">
        <f t="shared" si="5"/>
        <v>0</v>
      </c>
      <c r="Z712" s="2">
        <f t="shared" si="6"/>
        <v>0</v>
      </c>
      <c r="AA712" s="2">
        <f t="shared" si="7"/>
        <v>0</v>
      </c>
      <c r="AB712" s="2">
        <f>IF(OR($M712="",$N712=""),0,MEDIAN(-MarginCap,MarginCap,($M712-$N712)-$AA712*HFA_Base))</f>
        <v>0</v>
      </c>
      <c r="AC712" s="2">
        <f t="array" ref="AC712">IF(OR($P712="",INDEX($P$3:$P$722,(ROW()+IF(MOD(ROW()-3,2)=0,1,-1))-3+1)=""),0,MEDIAN(-MarginCap,MarginCap,($T712-$W712)-$AA712*HFA_Base))</f>
        <v>0</v>
      </c>
      <c r="AD712" s="2">
        <f t="shared" si="8"/>
        <v>0</v>
      </c>
      <c r="AE712" s="2">
        <f>IF(OR($M712="",$N712=""),0,IF(AND(WEpa&gt;0,$AD712=1),(1-WEpa)*$AB712+WEpa*$AC712,$AB712))</f>
        <v>0</v>
      </c>
      <c r="AF712" s="2">
        <f>IF(AND($C712&lt;&gt;"",$E712=CurrentSeason,$F712="REG",ISNUMBER($G712),$G712&lt;CurrentWeek,AND($M712&lt;&gt;"",$N712&lt;&gt;"")),1,0)</f>
        <v>0</v>
      </c>
      <c r="AG712" s="2">
        <f>IF($AF712=0,0,IF($G712&gt;=CurrentWeek-RecencyWin,RecencyMult,1))</f>
        <v>0</v>
      </c>
      <c r="AH712" s="2">
        <f>IF(AND($C712&lt;&gt;"",$E712=CurrentSeason,$F712="REG",ISNUMBER($G712),$G712&lt;CurrentWeek-1,AND($M712&lt;&gt;"",$N712&lt;&gt;"")),1,0)</f>
        <v>0</v>
      </c>
      <c r="AI712" s="2">
        <f>IF($AH712=0,0,IF($G712&gt;=CurrentWeek-1-RecencyWin,RecencyMult,1))</f>
        <v>0</v>
      </c>
      <c r="AJ712" s="2">
        <f>IF($AF712=0,0,IF($G712&gt;=CurrentWeek-RecencyWin,TotRecency,1))</f>
        <v>0</v>
      </c>
      <c r="AK712" s="2">
        <f t="shared" si="9"/>
        <v>0</v>
      </c>
      <c r="AL712" s="2">
        <f t="shared" si="10"/>
        <v>0</v>
      </c>
      <c r="AM712" s="2">
        <f t="array" ref="AM712">IF($K712="",0,IFERROR(INDEX(CALC!$F$2:$F$33,MATCH($K712,CALC!$A$2:$A$33,0)),0))</f>
        <v>0</v>
      </c>
      <c r="AN712" s="2">
        <f t="array" ref="AN712">IF($K712="",0,IFERROR(INDEX(CALC!$I$2:$I$33,MATCH($K712,CALC!$A$2:$A$33,0)),0))</f>
        <v>0</v>
      </c>
      <c r="AO712" s="2">
        <f t="array" ref="AO712">IF($K712="",0,IFERROR(INDEX(CALC!$L$2:$L$33,MATCH($K712,CALC!$A$2:$A$33,0)),0))</f>
        <v>0</v>
      </c>
      <c r="AP712" s="2">
        <f t="array" ref="AP712">IF($K712="",0,IFERROR(INDEX(CALC!$T$2:$T$33,MATCH($K712,CALC!$A$2:$A$33,0)),0))</f>
        <v>0</v>
      </c>
      <c r="AQ712" s="2">
        <f t="array" ref="AQ712">IF($K712="",0,IFERROR(INDEX(CALC!$W$2:$W$33,MATCH($K712,CALC!$A$2:$A$33,0)),0))</f>
        <v>0</v>
      </c>
      <c r="AR712" s="2">
        <f t="array" ref="AR712">IF($K712="",0,IFERROR(INDEX(CALC!$Z$2:$Z$33,MATCH($K712,CALC!$A$2:$A$33,0)),0))</f>
        <v>0</v>
      </c>
      <c r="AS712" s="2">
        <f t="array" ref="AS712">IF($K712="",0,IFERROR(INDEX(CALC!$AJ$2:$AJ$33,MATCH($K712,CALC!$A$2:$A$33,0)),0))</f>
        <v>0</v>
      </c>
      <c r="AT712" s="2">
        <f t="array" ref="AT712">IF($K712="",0,IFERROR(INDEX(CALC!$AI$2:$AI$33,MATCH($K712,CALC!$A$2:$A$33,0)),0))</f>
        <v>0</v>
      </c>
      <c r="AU712" s="2">
        <f t="shared" si="11"/>
        <v>0</v>
      </c>
      <c r="AV712" s="2">
        <f t="shared" si="12"/>
        <v>0</v>
      </c>
    </row>
    <row r="713" ht="15.0" customHeight="1">
      <c r="A713" s="2">
        <v>356.0</v>
      </c>
      <c r="B713" s="2" t="s">
        <v>2365</v>
      </c>
      <c r="C713" s="2" t="str">
        <f>IFERROR(MATCH($A713,SchedSeq,0),"")</f>
        <v/>
      </c>
      <c r="D713" s="2" t="str">
        <f t="array" ref="D713">IF($C713="","",INDEX(SchedZone,$C713,MAP!$B$6))</f>
        <v/>
      </c>
      <c r="E713" s="2" t="str">
        <f t="array" ref="E713">IF($C713="","",INDEX(SchedZone,$C713,MAP!$B$3))</f>
        <v/>
      </c>
      <c r="F713" s="2" t="str">
        <f t="array" ref="F713">IF($C713="","",INDEX(SchedZone,$C713,MAP!$B$5))</f>
        <v/>
      </c>
      <c r="G713" s="2" t="str">
        <f t="array" ref="G713">IF($C713="","",INDEX(SchedZone,$C713,MAP!$B$4))</f>
        <v/>
      </c>
      <c r="H713" s="2" t="str">
        <f t="array" ref="H713">IF($C713="","",INDEX(SchedZone,$C713,MAP!$B$12))</f>
        <v/>
      </c>
      <c r="I713" s="2" t="str">
        <f t="array" ref="I713">IF($H713="","",IF(COUNTIF(Teams,$H713)&gt;0,$H713,IFERROR(INDEX(LISTS!$D$2:$D$12,MATCH($H713,LISTS!$C$2:$C$12,0)),"⚠ "&amp;$H713)))</f>
        <v/>
      </c>
      <c r="J713" s="2" t="str">
        <f t="array" ref="J713">IF($C713="","",INDEX(SchedZone,$C713,MAP!$B$10))</f>
        <v/>
      </c>
      <c r="K713" s="2" t="str">
        <f t="array" ref="K713">IF($J713="","",IF(COUNTIF(Teams,$J713)&gt;0,$J713,IFERROR(INDEX(LISTS!$D$2:$D$12,MATCH($J713,LISTS!$C$2:$C$12,0)),"⚠ "&amp;$J713)))</f>
        <v/>
      </c>
      <c r="L713" s="2" t="str">
        <f t="array" ref="L713">IF($C713="","",IF(INDEX(SchedZone,$C713,MAP!$B$14)="Neutral","N",IF($B713="HOME","H","A")))</f>
        <v/>
      </c>
      <c r="M713" s="2" t="str">
        <f t="array" ref="M713">IF($C713="","",IF(INDEX(SchedZone,$C713,MAP!$B$13)="","",INDEX(SchedZone,$C713,MAP!$B$13)))</f>
        <v/>
      </c>
      <c r="N713" s="2" t="str">
        <f t="array" ref="N713">IF($C713="","",IF(INDEX(SchedZone,$C713,MAP!$B$11)="","",INDEX(SchedZone,$C713,MAP!$B$11)))</f>
        <v/>
      </c>
      <c r="O713" s="2" t="str">
        <f t="array" ref="O713">IF($C713="","",INDEX(SchedZone,$C713,MAP!$B$16))</f>
        <v/>
      </c>
      <c r="P713" s="2" t="str">
        <f>IF($C713="","",IFERROR(MATCH($E713&amp;"|"&amp;$G713&amp;"|"&amp;$I713,StatsKey,0),""))</f>
        <v/>
      </c>
      <c r="Q713" s="2">
        <f t="array" ref="Q713">IF($P713="",0,INDEX(StatsZone,$P713,MAP!$E$9)+INDEX(StatsZone,$P713,MAP!$E$10)+INDEX(StatsZone,$P713,MAP!$E$11))</f>
        <v>0</v>
      </c>
      <c r="R713" s="2">
        <f t="array" ref="R713">IF($P713="",0,INDEX(StatsZone,$P713,MAP!$E$12))</f>
        <v>0</v>
      </c>
      <c r="S713" s="2">
        <f t="array" ref="S713">IF($P713="",0,INDEX(StatsZone,$P713,MAP!$E$13))</f>
        <v>0</v>
      </c>
      <c r="T713" s="2">
        <f t="shared" si="1"/>
        <v>0</v>
      </c>
      <c r="U713" s="2">
        <f t="array" ref="U713">IF($P713="",0,INDEX(StatsZone,$P713,MAP!$E$14)+INDEX(StatsZone,$P713,MAP!$E$15)+INDEX(StatsZone,$P713,MAP!$E$16))</f>
        <v>0</v>
      </c>
      <c r="V713" s="2">
        <f t="shared" si="2"/>
        <v>0</v>
      </c>
      <c r="W713" s="2">
        <f t="shared" si="3"/>
        <v>0</v>
      </c>
      <c r="X713" s="2">
        <f t="shared" si="4"/>
        <v>0</v>
      </c>
      <c r="Y713" s="2">
        <f t="shared" si="5"/>
        <v>0</v>
      </c>
      <c r="Z713" s="2">
        <f t="shared" si="6"/>
        <v>0</v>
      </c>
      <c r="AA713" s="2">
        <f t="shared" si="7"/>
        <v>0</v>
      </c>
      <c r="AB713" s="2">
        <f>IF(OR($M713="",$N713=""),0,MEDIAN(-MarginCap,MarginCap,($M713-$N713)-$AA713*HFA_Base))</f>
        <v>0</v>
      </c>
      <c r="AC713" s="2">
        <f t="array" ref="AC713">IF(OR($P713="",INDEX($P$3:$P$722,(ROW()+IF(MOD(ROW()-3,2)=0,1,-1))-3+1)=""),0,MEDIAN(-MarginCap,MarginCap,($T713-$W713)-$AA713*HFA_Base))</f>
        <v>0</v>
      </c>
      <c r="AD713" s="2">
        <f t="shared" si="8"/>
        <v>0</v>
      </c>
      <c r="AE713" s="2">
        <f>IF(OR($M713="",$N713=""),0,IF(AND(WEpa&gt;0,$AD713=1),(1-WEpa)*$AB713+WEpa*$AC713,$AB713))</f>
        <v>0</v>
      </c>
      <c r="AF713" s="2">
        <f>IF(AND($C713&lt;&gt;"",$E713=CurrentSeason,$F713="REG",ISNUMBER($G713),$G713&lt;CurrentWeek,AND($M713&lt;&gt;"",$N713&lt;&gt;"")),1,0)</f>
        <v>0</v>
      </c>
      <c r="AG713" s="2">
        <f>IF($AF713=0,0,IF($G713&gt;=CurrentWeek-RecencyWin,RecencyMult,1))</f>
        <v>0</v>
      </c>
      <c r="AH713" s="2">
        <f>IF(AND($C713&lt;&gt;"",$E713=CurrentSeason,$F713="REG",ISNUMBER($G713),$G713&lt;CurrentWeek-1,AND($M713&lt;&gt;"",$N713&lt;&gt;"")),1,0)</f>
        <v>0</v>
      </c>
      <c r="AI713" s="2">
        <f>IF($AH713=0,0,IF($G713&gt;=CurrentWeek-1-RecencyWin,RecencyMult,1))</f>
        <v>0</v>
      </c>
      <c r="AJ713" s="2">
        <f>IF($AF713=0,0,IF($G713&gt;=CurrentWeek-RecencyWin,TotRecency,1))</f>
        <v>0</v>
      </c>
      <c r="AK713" s="2">
        <f t="shared" si="9"/>
        <v>0</v>
      </c>
      <c r="AL713" s="2">
        <f t="shared" si="10"/>
        <v>0</v>
      </c>
      <c r="AM713" s="2">
        <f t="array" ref="AM713">IF($K713="",0,IFERROR(INDEX(CALC!$F$2:$F$33,MATCH($K713,CALC!$A$2:$A$33,0)),0))</f>
        <v>0</v>
      </c>
      <c r="AN713" s="2">
        <f t="array" ref="AN713">IF($K713="",0,IFERROR(INDEX(CALC!$I$2:$I$33,MATCH($K713,CALC!$A$2:$A$33,0)),0))</f>
        <v>0</v>
      </c>
      <c r="AO713" s="2">
        <f t="array" ref="AO713">IF($K713="",0,IFERROR(INDEX(CALC!$L$2:$L$33,MATCH($K713,CALC!$A$2:$A$33,0)),0))</f>
        <v>0</v>
      </c>
      <c r="AP713" s="2">
        <f t="array" ref="AP713">IF($K713="",0,IFERROR(INDEX(CALC!$T$2:$T$33,MATCH($K713,CALC!$A$2:$A$33,0)),0))</f>
        <v>0</v>
      </c>
      <c r="AQ713" s="2">
        <f t="array" ref="AQ713">IF($K713="",0,IFERROR(INDEX(CALC!$W$2:$W$33,MATCH($K713,CALC!$A$2:$A$33,0)),0))</f>
        <v>0</v>
      </c>
      <c r="AR713" s="2">
        <f t="array" ref="AR713">IF($K713="",0,IFERROR(INDEX(CALC!$Z$2:$Z$33,MATCH($K713,CALC!$A$2:$A$33,0)),0))</f>
        <v>0</v>
      </c>
      <c r="AS713" s="2">
        <f t="array" ref="AS713">IF($K713="",0,IFERROR(INDEX(CALC!$AJ$2:$AJ$33,MATCH($K713,CALC!$A$2:$A$33,0)),0))</f>
        <v>0</v>
      </c>
      <c r="AT713" s="2">
        <f t="array" ref="AT713">IF($K713="",0,IFERROR(INDEX(CALC!$AI$2:$AI$33,MATCH($K713,CALC!$A$2:$A$33,0)),0))</f>
        <v>0</v>
      </c>
      <c r="AU713" s="2">
        <f t="shared" si="11"/>
        <v>0</v>
      </c>
      <c r="AV713" s="2">
        <f t="shared" si="12"/>
        <v>0</v>
      </c>
    </row>
    <row r="714" ht="15.0" customHeight="1">
      <c r="A714" s="2">
        <v>356.0</v>
      </c>
      <c r="B714" s="2" t="s">
        <v>2366</v>
      </c>
      <c r="C714" s="2" t="str">
        <f>IFERROR(MATCH($A714,SchedSeq,0),"")</f>
        <v/>
      </c>
      <c r="D714" s="2" t="str">
        <f t="array" ref="D714">IF($C714="","",INDEX(SchedZone,$C714,MAP!$B$6))</f>
        <v/>
      </c>
      <c r="E714" s="2" t="str">
        <f t="array" ref="E714">IF($C714="","",INDEX(SchedZone,$C714,MAP!$B$3))</f>
        <v/>
      </c>
      <c r="F714" s="2" t="str">
        <f t="array" ref="F714">IF($C714="","",INDEX(SchedZone,$C714,MAP!$B$5))</f>
        <v/>
      </c>
      <c r="G714" s="2" t="str">
        <f t="array" ref="G714">IF($C714="","",INDEX(SchedZone,$C714,MAP!$B$4))</f>
        <v/>
      </c>
      <c r="H714" s="2" t="str">
        <f t="array" ref="H714">IF($C714="","",INDEX(SchedZone,$C714,MAP!$B$10))</f>
        <v/>
      </c>
      <c r="I714" s="2" t="str">
        <f t="array" ref="I714">IF($H714="","",IF(COUNTIF(Teams,$H714)&gt;0,$H714,IFERROR(INDEX(LISTS!$D$2:$D$12,MATCH($H714,LISTS!$C$2:$C$12,0)),"⚠ "&amp;$H714)))</f>
        <v/>
      </c>
      <c r="J714" s="2" t="str">
        <f t="array" ref="J714">IF($C714="","",INDEX(SchedZone,$C714,MAP!$B$12))</f>
        <v/>
      </c>
      <c r="K714" s="2" t="str">
        <f t="array" ref="K714">IF($J714="","",IF(COUNTIF(Teams,$J714)&gt;0,$J714,IFERROR(INDEX(LISTS!$D$2:$D$12,MATCH($J714,LISTS!$C$2:$C$12,0)),"⚠ "&amp;$J714)))</f>
        <v/>
      </c>
      <c r="L714" s="2" t="str">
        <f t="array" ref="L714">IF($C714="","",IF(INDEX(SchedZone,$C714,MAP!$B$14)="Neutral","N",IF($B714="HOME","H","A")))</f>
        <v/>
      </c>
      <c r="M714" s="2" t="str">
        <f t="array" ref="M714">IF($C714="","",IF(INDEX(SchedZone,$C714,MAP!$B$11)="","",INDEX(SchedZone,$C714,MAP!$B$11)))</f>
        <v/>
      </c>
      <c r="N714" s="2" t="str">
        <f t="array" ref="N714">IF($C714="","",IF(INDEX(SchedZone,$C714,MAP!$B$13)="","",INDEX(SchedZone,$C714,MAP!$B$13)))</f>
        <v/>
      </c>
      <c r="O714" s="2" t="str">
        <f t="array" ref="O714">IF($C714="","",INDEX(SchedZone,$C714,MAP!$B$15))</f>
        <v/>
      </c>
      <c r="P714" s="2" t="str">
        <f>IF($C714="","",IFERROR(MATCH($E714&amp;"|"&amp;$G714&amp;"|"&amp;$I714,StatsKey,0),""))</f>
        <v/>
      </c>
      <c r="Q714" s="2">
        <f t="array" ref="Q714">IF($P714="",0,INDEX(StatsZone,$P714,MAP!$E$9)+INDEX(StatsZone,$P714,MAP!$E$10)+INDEX(StatsZone,$P714,MAP!$E$11))</f>
        <v>0</v>
      </c>
      <c r="R714" s="2">
        <f t="array" ref="R714">IF($P714="",0,INDEX(StatsZone,$P714,MAP!$E$12))</f>
        <v>0</v>
      </c>
      <c r="S714" s="2">
        <f t="array" ref="S714">IF($P714="",0,INDEX(StatsZone,$P714,MAP!$E$13))</f>
        <v>0</v>
      </c>
      <c r="T714" s="2">
        <f t="shared" si="1"/>
        <v>0</v>
      </c>
      <c r="U714" s="2">
        <f t="array" ref="U714">IF($P714="",0,INDEX(StatsZone,$P714,MAP!$E$14)+INDEX(StatsZone,$P714,MAP!$E$15)+INDEX(StatsZone,$P714,MAP!$E$16))</f>
        <v>0</v>
      </c>
      <c r="V714" s="2">
        <f t="shared" si="2"/>
        <v>0</v>
      </c>
      <c r="W714" s="2">
        <f t="shared" si="3"/>
        <v>0</v>
      </c>
      <c r="X714" s="2">
        <f t="shared" si="4"/>
        <v>0</v>
      </c>
      <c r="Y714" s="2">
        <f t="shared" si="5"/>
        <v>0</v>
      </c>
      <c r="Z714" s="2">
        <f t="shared" si="6"/>
        <v>0</v>
      </c>
      <c r="AA714" s="2">
        <f t="shared" si="7"/>
        <v>0</v>
      </c>
      <c r="AB714" s="2">
        <f>IF(OR($M714="",$N714=""),0,MEDIAN(-MarginCap,MarginCap,($M714-$N714)-$AA714*HFA_Base))</f>
        <v>0</v>
      </c>
      <c r="AC714" s="2">
        <f t="array" ref="AC714">IF(OR($P714="",INDEX($P$3:$P$722,(ROW()+IF(MOD(ROW()-3,2)=0,1,-1))-3+1)=""),0,MEDIAN(-MarginCap,MarginCap,($T714-$W714)-$AA714*HFA_Base))</f>
        <v>0</v>
      </c>
      <c r="AD714" s="2">
        <f t="shared" si="8"/>
        <v>0</v>
      </c>
      <c r="AE714" s="2">
        <f>IF(OR($M714="",$N714=""),0,IF(AND(WEpa&gt;0,$AD714=1),(1-WEpa)*$AB714+WEpa*$AC714,$AB714))</f>
        <v>0</v>
      </c>
      <c r="AF714" s="2">
        <f>IF(AND($C714&lt;&gt;"",$E714=CurrentSeason,$F714="REG",ISNUMBER($G714),$G714&lt;CurrentWeek,AND($M714&lt;&gt;"",$N714&lt;&gt;"")),1,0)</f>
        <v>0</v>
      </c>
      <c r="AG714" s="2">
        <f>IF($AF714=0,0,IF($G714&gt;=CurrentWeek-RecencyWin,RecencyMult,1))</f>
        <v>0</v>
      </c>
      <c r="AH714" s="2">
        <f>IF(AND($C714&lt;&gt;"",$E714=CurrentSeason,$F714="REG",ISNUMBER($G714),$G714&lt;CurrentWeek-1,AND($M714&lt;&gt;"",$N714&lt;&gt;"")),1,0)</f>
        <v>0</v>
      </c>
      <c r="AI714" s="2">
        <f>IF($AH714=0,0,IF($G714&gt;=CurrentWeek-1-RecencyWin,RecencyMult,1))</f>
        <v>0</v>
      </c>
      <c r="AJ714" s="2">
        <f>IF($AF714=0,0,IF($G714&gt;=CurrentWeek-RecencyWin,TotRecency,1))</f>
        <v>0</v>
      </c>
      <c r="AK714" s="2">
        <f t="shared" si="9"/>
        <v>0</v>
      </c>
      <c r="AL714" s="2">
        <f t="shared" si="10"/>
        <v>0</v>
      </c>
      <c r="AM714" s="2">
        <f t="array" ref="AM714">IF($K714="",0,IFERROR(INDEX(CALC!$F$2:$F$33,MATCH($K714,CALC!$A$2:$A$33,0)),0))</f>
        <v>0</v>
      </c>
      <c r="AN714" s="2">
        <f t="array" ref="AN714">IF($K714="",0,IFERROR(INDEX(CALC!$I$2:$I$33,MATCH($K714,CALC!$A$2:$A$33,0)),0))</f>
        <v>0</v>
      </c>
      <c r="AO714" s="2">
        <f t="array" ref="AO714">IF($K714="",0,IFERROR(INDEX(CALC!$L$2:$L$33,MATCH($K714,CALC!$A$2:$A$33,0)),0))</f>
        <v>0</v>
      </c>
      <c r="AP714" s="2">
        <f t="array" ref="AP714">IF($K714="",0,IFERROR(INDEX(CALC!$T$2:$T$33,MATCH($K714,CALC!$A$2:$A$33,0)),0))</f>
        <v>0</v>
      </c>
      <c r="AQ714" s="2">
        <f t="array" ref="AQ714">IF($K714="",0,IFERROR(INDEX(CALC!$W$2:$W$33,MATCH($K714,CALC!$A$2:$A$33,0)),0))</f>
        <v>0</v>
      </c>
      <c r="AR714" s="2">
        <f t="array" ref="AR714">IF($K714="",0,IFERROR(INDEX(CALC!$Z$2:$Z$33,MATCH($K714,CALC!$A$2:$A$33,0)),0))</f>
        <v>0</v>
      </c>
      <c r="AS714" s="2">
        <f t="array" ref="AS714">IF($K714="",0,IFERROR(INDEX(CALC!$AJ$2:$AJ$33,MATCH($K714,CALC!$A$2:$A$33,0)),0))</f>
        <v>0</v>
      </c>
      <c r="AT714" s="2">
        <f t="array" ref="AT714">IF($K714="",0,IFERROR(INDEX(CALC!$AI$2:$AI$33,MATCH($K714,CALC!$A$2:$A$33,0)),0))</f>
        <v>0</v>
      </c>
      <c r="AU714" s="2">
        <f t="shared" si="11"/>
        <v>0</v>
      </c>
      <c r="AV714" s="2">
        <f t="shared" si="12"/>
        <v>0</v>
      </c>
    </row>
    <row r="715" ht="15.0" customHeight="1">
      <c r="A715" s="2">
        <v>357.0</v>
      </c>
      <c r="B715" s="2" t="s">
        <v>2365</v>
      </c>
      <c r="C715" s="2" t="str">
        <f>IFERROR(MATCH($A715,SchedSeq,0),"")</f>
        <v/>
      </c>
      <c r="D715" s="2" t="str">
        <f t="array" ref="D715">IF($C715="","",INDEX(SchedZone,$C715,MAP!$B$6))</f>
        <v/>
      </c>
      <c r="E715" s="2" t="str">
        <f t="array" ref="E715">IF($C715="","",INDEX(SchedZone,$C715,MAP!$B$3))</f>
        <v/>
      </c>
      <c r="F715" s="2" t="str">
        <f t="array" ref="F715">IF($C715="","",INDEX(SchedZone,$C715,MAP!$B$5))</f>
        <v/>
      </c>
      <c r="G715" s="2" t="str">
        <f t="array" ref="G715">IF($C715="","",INDEX(SchedZone,$C715,MAP!$B$4))</f>
        <v/>
      </c>
      <c r="H715" s="2" t="str">
        <f t="array" ref="H715">IF($C715="","",INDEX(SchedZone,$C715,MAP!$B$12))</f>
        <v/>
      </c>
      <c r="I715" s="2" t="str">
        <f t="array" ref="I715">IF($H715="","",IF(COUNTIF(Teams,$H715)&gt;0,$H715,IFERROR(INDEX(LISTS!$D$2:$D$12,MATCH($H715,LISTS!$C$2:$C$12,0)),"⚠ "&amp;$H715)))</f>
        <v/>
      </c>
      <c r="J715" s="2" t="str">
        <f t="array" ref="J715">IF($C715="","",INDEX(SchedZone,$C715,MAP!$B$10))</f>
        <v/>
      </c>
      <c r="K715" s="2" t="str">
        <f t="array" ref="K715">IF($J715="","",IF(COUNTIF(Teams,$J715)&gt;0,$J715,IFERROR(INDEX(LISTS!$D$2:$D$12,MATCH($J715,LISTS!$C$2:$C$12,0)),"⚠ "&amp;$J715)))</f>
        <v/>
      </c>
      <c r="L715" s="2" t="str">
        <f t="array" ref="L715">IF($C715="","",IF(INDEX(SchedZone,$C715,MAP!$B$14)="Neutral","N",IF($B715="HOME","H","A")))</f>
        <v/>
      </c>
      <c r="M715" s="2" t="str">
        <f t="array" ref="M715">IF($C715="","",IF(INDEX(SchedZone,$C715,MAP!$B$13)="","",INDEX(SchedZone,$C715,MAP!$B$13)))</f>
        <v/>
      </c>
      <c r="N715" s="2" t="str">
        <f t="array" ref="N715">IF($C715="","",IF(INDEX(SchedZone,$C715,MAP!$B$11)="","",INDEX(SchedZone,$C715,MAP!$B$11)))</f>
        <v/>
      </c>
      <c r="O715" s="2" t="str">
        <f t="array" ref="O715">IF($C715="","",INDEX(SchedZone,$C715,MAP!$B$16))</f>
        <v/>
      </c>
      <c r="P715" s="2" t="str">
        <f>IF($C715="","",IFERROR(MATCH($E715&amp;"|"&amp;$G715&amp;"|"&amp;$I715,StatsKey,0),""))</f>
        <v/>
      </c>
      <c r="Q715" s="2">
        <f t="array" ref="Q715">IF($P715="",0,INDEX(StatsZone,$P715,MAP!$E$9)+INDEX(StatsZone,$P715,MAP!$E$10)+INDEX(StatsZone,$P715,MAP!$E$11))</f>
        <v>0</v>
      </c>
      <c r="R715" s="2">
        <f t="array" ref="R715">IF($P715="",0,INDEX(StatsZone,$P715,MAP!$E$12))</f>
        <v>0</v>
      </c>
      <c r="S715" s="2">
        <f t="array" ref="S715">IF($P715="",0,INDEX(StatsZone,$P715,MAP!$E$13))</f>
        <v>0</v>
      </c>
      <c r="T715" s="2">
        <f t="shared" si="1"/>
        <v>0</v>
      </c>
      <c r="U715" s="2">
        <f t="array" ref="U715">IF($P715="",0,INDEX(StatsZone,$P715,MAP!$E$14)+INDEX(StatsZone,$P715,MAP!$E$15)+INDEX(StatsZone,$P715,MAP!$E$16))</f>
        <v>0</v>
      </c>
      <c r="V715" s="2">
        <f t="shared" si="2"/>
        <v>0</v>
      </c>
      <c r="W715" s="2">
        <f t="shared" si="3"/>
        <v>0</v>
      </c>
      <c r="X715" s="2">
        <f t="shared" si="4"/>
        <v>0</v>
      </c>
      <c r="Y715" s="2">
        <f t="shared" si="5"/>
        <v>0</v>
      </c>
      <c r="Z715" s="2">
        <f t="shared" si="6"/>
        <v>0</v>
      </c>
      <c r="AA715" s="2">
        <f t="shared" si="7"/>
        <v>0</v>
      </c>
      <c r="AB715" s="2">
        <f>IF(OR($M715="",$N715=""),0,MEDIAN(-MarginCap,MarginCap,($M715-$N715)-$AA715*HFA_Base))</f>
        <v>0</v>
      </c>
      <c r="AC715" s="2">
        <f t="array" ref="AC715">IF(OR($P715="",INDEX($P$3:$P$722,(ROW()+IF(MOD(ROW()-3,2)=0,1,-1))-3+1)=""),0,MEDIAN(-MarginCap,MarginCap,($T715-$W715)-$AA715*HFA_Base))</f>
        <v>0</v>
      </c>
      <c r="AD715" s="2">
        <f t="shared" si="8"/>
        <v>0</v>
      </c>
      <c r="AE715" s="2">
        <f>IF(OR($M715="",$N715=""),0,IF(AND(WEpa&gt;0,$AD715=1),(1-WEpa)*$AB715+WEpa*$AC715,$AB715))</f>
        <v>0</v>
      </c>
      <c r="AF715" s="2">
        <f>IF(AND($C715&lt;&gt;"",$E715=CurrentSeason,$F715="REG",ISNUMBER($G715),$G715&lt;CurrentWeek,AND($M715&lt;&gt;"",$N715&lt;&gt;"")),1,0)</f>
        <v>0</v>
      </c>
      <c r="AG715" s="2">
        <f>IF($AF715=0,0,IF($G715&gt;=CurrentWeek-RecencyWin,RecencyMult,1))</f>
        <v>0</v>
      </c>
      <c r="AH715" s="2">
        <f>IF(AND($C715&lt;&gt;"",$E715=CurrentSeason,$F715="REG",ISNUMBER($G715),$G715&lt;CurrentWeek-1,AND($M715&lt;&gt;"",$N715&lt;&gt;"")),1,0)</f>
        <v>0</v>
      </c>
      <c r="AI715" s="2">
        <f>IF($AH715=0,0,IF($G715&gt;=CurrentWeek-1-RecencyWin,RecencyMult,1))</f>
        <v>0</v>
      </c>
      <c r="AJ715" s="2">
        <f>IF($AF715=0,0,IF($G715&gt;=CurrentWeek-RecencyWin,TotRecency,1))</f>
        <v>0</v>
      </c>
      <c r="AK715" s="2">
        <f t="shared" si="9"/>
        <v>0</v>
      </c>
      <c r="AL715" s="2">
        <f t="shared" si="10"/>
        <v>0</v>
      </c>
      <c r="AM715" s="2">
        <f t="array" ref="AM715">IF($K715="",0,IFERROR(INDEX(CALC!$F$2:$F$33,MATCH($K715,CALC!$A$2:$A$33,0)),0))</f>
        <v>0</v>
      </c>
      <c r="AN715" s="2">
        <f t="array" ref="AN715">IF($K715="",0,IFERROR(INDEX(CALC!$I$2:$I$33,MATCH($K715,CALC!$A$2:$A$33,0)),0))</f>
        <v>0</v>
      </c>
      <c r="AO715" s="2">
        <f t="array" ref="AO715">IF($K715="",0,IFERROR(INDEX(CALC!$L$2:$L$33,MATCH($K715,CALC!$A$2:$A$33,0)),0))</f>
        <v>0</v>
      </c>
      <c r="AP715" s="2">
        <f t="array" ref="AP715">IF($K715="",0,IFERROR(INDEX(CALC!$T$2:$T$33,MATCH($K715,CALC!$A$2:$A$33,0)),0))</f>
        <v>0</v>
      </c>
      <c r="AQ715" s="2">
        <f t="array" ref="AQ715">IF($K715="",0,IFERROR(INDEX(CALC!$W$2:$W$33,MATCH($K715,CALC!$A$2:$A$33,0)),0))</f>
        <v>0</v>
      </c>
      <c r="AR715" s="2">
        <f t="array" ref="AR715">IF($K715="",0,IFERROR(INDEX(CALC!$Z$2:$Z$33,MATCH($K715,CALC!$A$2:$A$33,0)),0))</f>
        <v>0</v>
      </c>
      <c r="AS715" s="2">
        <f t="array" ref="AS715">IF($K715="",0,IFERROR(INDEX(CALC!$AJ$2:$AJ$33,MATCH($K715,CALC!$A$2:$A$33,0)),0))</f>
        <v>0</v>
      </c>
      <c r="AT715" s="2">
        <f t="array" ref="AT715">IF($K715="",0,IFERROR(INDEX(CALC!$AI$2:$AI$33,MATCH($K715,CALC!$A$2:$A$33,0)),0))</f>
        <v>0</v>
      </c>
      <c r="AU715" s="2">
        <f t="shared" si="11"/>
        <v>0</v>
      </c>
      <c r="AV715" s="2">
        <f t="shared" si="12"/>
        <v>0</v>
      </c>
    </row>
    <row r="716" ht="15.0" customHeight="1">
      <c r="A716" s="2">
        <v>357.0</v>
      </c>
      <c r="B716" s="2" t="s">
        <v>2366</v>
      </c>
      <c r="C716" s="2" t="str">
        <f>IFERROR(MATCH($A716,SchedSeq,0),"")</f>
        <v/>
      </c>
      <c r="D716" s="2" t="str">
        <f t="array" ref="D716">IF($C716="","",INDEX(SchedZone,$C716,MAP!$B$6))</f>
        <v/>
      </c>
      <c r="E716" s="2" t="str">
        <f t="array" ref="E716">IF($C716="","",INDEX(SchedZone,$C716,MAP!$B$3))</f>
        <v/>
      </c>
      <c r="F716" s="2" t="str">
        <f t="array" ref="F716">IF($C716="","",INDEX(SchedZone,$C716,MAP!$B$5))</f>
        <v/>
      </c>
      <c r="G716" s="2" t="str">
        <f t="array" ref="G716">IF($C716="","",INDEX(SchedZone,$C716,MAP!$B$4))</f>
        <v/>
      </c>
      <c r="H716" s="2" t="str">
        <f t="array" ref="H716">IF($C716="","",INDEX(SchedZone,$C716,MAP!$B$10))</f>
        <v/>
      </c>
      <c r="I716" s="2" t="str">
        <f t="array" ref="I716">IF($H716="","",IF(COUNTIF(Teams,$H716)&gt;0,$H716,IFERROR(INDEX(LISTS!$D$2:$D$12,MATCH($H716,LISTS!$C$2:$C$12,0)),"⚠ "&amp;$H716)))</f>
        <v/>
      </c>
      <c r="J716" s="2" t="str">
        <f t="array" ref="J716">IF($C716="","",INDEX(SchedZone,$C716,MAP!$B$12))</f>
        <v/>
      </c>
      <c r="K716" s="2" t="str">
        <f t="array" ref="K716">IF($J716="","",IF(COUNTIF(Teams,$J716)&gt;0,$J716,IFERROR(INDEX(LISTS!$D$2:$D$12,MATCH($J716,LISTS!$C$2:$C$12,0)),"⚠ "&amp;$J716)))</f>
        <v/>
      </c>
      <c r="L716" s="2" t="str">
        <f t="array" ref="L716">IF($C716="","",IF(INDEX(SchedZone,$C716,MAP!$B$14)="Neutral","N",IF($B716="HOME","H","A")))</f>
        <v/>
      </c>
      <c r="M716" s="2" t="str">
        <f t="array" ref="M716">IF($C716="","",IF(INDEX(SchedZone,$C716,MAP!$B$11)="","",INDEX(SchedZone,$C716,MAP!$B$11)))</f>
        <v/>
      </c>
      <c r="N716" s="2" t="str">
        <f t="array" ref="N716">IF($C716="","",IF(INDEX(SchedZone,$C716,MAP!$B$13)="","",INDEX(SchedZone,$C716,MAP!$B$13)))</f>
        <v/>
      </c>
      <c r="O716" s="2" t="str">
        <f t="array" ref="O716">IF($C716="","",INDEX(SchedZone,$C716,MAP!$B$15))</f>
        <v/>
      </c>
      <c r="P716" s="2" t="str">
        <f>IF($C716="","",IFERROR(MATCH($E716&amp;"|"&amp;$G716&amp;"|"&amp;$I716,StatsKey,0),""))</f>
        <v/>
      </c>
      <c r="Q716" s="2">
        <f t="array" ref="Q716">IF($P716="",0,INDEX(StatsZone,$P716,MAP!$E$9)+INDEX(StatsZone,$P716,MAP!$E$10)+INDEX(StatsZone,$P716,MAP!$E$11))</f>
        <v>0</v>
      </c>
      <c r="R716" s="2">
        <f t="array" ref="R716">IF($P716="",0,INDEX(StatsZone,$P716,MAP!$E$12))</f>
        <v>0</v>
      </c>
      <c r="S716" s="2">
        <f t="array" ref="S716">IF($P716="",0,INDEX(StatsZone,$P716,MAP!$E$13))</f>
        <v>0</v>
      </c>
      <c r="T716" s="2">
        <f t="shared" si="1"/>
        <v>0</v>
      </c>
      <c r="U716" s="2">
        <f t="array" ref="U716">IF($P716="",0,INDEX(StatsZone,$P716,MAP!$E$14)+INDEX(StatsZone,$P716,MAP!$E$15)+INDEX(StatsZone,$P716,MAP!$E$16))</f>
        <v>0</v>
      </c>
      <c r="V716" s="2">
        <f t="shared" si="2"/>
        <v>0</v>
      </c>
      <c r="W716" s="2">
        <f t="shared" si="3"/>
        <v>0</v>
      </c>
      <c r="X716" s="2">
        <f t="shared" si="4"/>
        <v>0</v>
      </c>
      <c r="Y716" s="2">
        <f t="shared" si="5"/>
        <v>0</v>
      </c>
      <c r="Z716" s="2">
        <f t="shared" si="6"/>
        <v>0</v>
      </c>
      <c r="AA716" s="2">
        <f t="shared" si="7"/>
        <v>0</v>
      </c>
      <c r="AB716" s="2">
        <f>IF(OR($M716="",$N716=""),0,MEDIAN(-MarginCap,MarginCap,($M716-$N716)-$AA716*HFA_Base))</f>
        <v>0</v>
      </c>
      <c r="AC716" s="2">
        <f t="array" ref="AC716">IF(OR($P716="",INDEX($P$3:$P$722,(ROW()+IF(MOD(ROW()-3,2)=0,1,-1))-3+1)=""),0,MEDIAN(-MarginCap,MarginCap,($T716-$W716)-$AA716*HFA_Base))</f>
        <v>0</v>
      </c>
      <c r="AD716" s="2">
        <f t="shared" si="8"/>
        <v>0</v>
      </c>
      <c r="AE716" s="2">
        <f>IF(OR($M716="",$N716=""),0,IF(AND(WEpa&gt;0,$AD716=1),(1-WEpa)*$AB716+WEpa*$AC716,$AB716))</f>
        <v>0</v>
      </c>
      <c r="AF716" s="2">
        <f>IF(AND($C716&lt;&gt;"",$E716=CurrentSeason,$F716="REG",ISNUMBER($G716),$G716&lt;CurrentWeek,AND($M716&lt;&gt;"",$N716&lt;&gt;"")),1,0)</f>
        <v>0</v>
      </c>
      <c r="AG716" s="2">
        <f>IF($AF716=0,0,IF($G716&gt;=CurrentWeek-RecencyWin,RecencyMult,1))</f>
        <v>0</v>
      </c>
      <c r="AH716" s="2">
        <f>IF(AND($C716&lt;&gt;"",$E716=CurrentSeason,$F716="REG",ISNUMBER($G716),$G716&lt;CurrentWeek-1,AND($M716&lt;&gt;"",$N716&lt;&gt;"")),1,0)</f>
        <v>0</v>
      </c>
      <c r="AI716" s="2">
        <f>IF($AH716=0,0,IF($G716&gt;=CurrentWeek-1-RecencyWin,RecencyMult,1))</f>
        <v>0</v>
      </c>
      <c r="AJ716" s="2">
        <f>IF($AF716=0,0,IF($G716&gt;=CurrentWeek-RecencyWin,TotRecency,1))</f>
        <v>0</v>
      </c>
      <c r="AK716" s="2">
        <f t="shared" si="9"/>
        <v>0</v>
      </c>
      <c r="AL716" s="2">
        <f t="shared" si="10"/>
        <v>0</v>
      </c>
      <c r="AM716" s="2">
        <f t="array" ref="AM716">IF($K716="",0,IFERROR(INDEX(CALC!$F$2:$F$33,MATCH($K716,CALC!$A$2:$A$33,0)),0))</f>
        <v>0</v>
      </c>
      <c r="AN716" s="2">
        <f t="array" ref="AN716">IF($K716="",0,IFERROR(INDEX(CALC!$I$2:$I$33,MATCH($K716,CALC!$A$2:$A$33,0)),0))</f>
        <v>0</v>
      </c>
      <c r="AO716" s="2">
        <f t="array" ref="AO716">IF($K716="",0,IFERROR(INDEX(CALC!$L$2:$L$33,MATCH($K716,CALC!$A$2:$A$33,0)),0))</f>
        <v>0</v>
      </c>
      <c r="AP716" s="2">
        <f t="array" ref="AP716">IF($K716="",0,IFERROR(INDEX(CALC!$T$2:$T$33,MATCH($K716,CALC!$A$2:$A$33,0)),0))</f>
        <v>0</v>
      </c>
      <c r="AQ716" s="2">
        <f t="array" ref="AQ716">IF($K716="",0,IFERROR(INDEX(CALC!$W$2:$W$33,MATCH($K716,CALC!$A$2:$A$33,0)),0))</f>
        <v>0</v>
      </c>
      <c r="AR716" s="2">
        <f t="array" ref="AR716">IF($K716="",0,IFERROR(INDEX(CALC!$Z$2:$Z$33,MATCH($K716,CALC!$A$2:$A$33,0)),0))</f>
        <v>0</v>
      </c>
      <c r="AS716" s="2">
        <f t="array" ref="AS716">IF($K716="",0,IFERROR(INDEX(CALC!$AJ$2:$AJ$33,MATCH($K716,CALC!$A$2:$A$33,0)),0))</f>
        <v>0</v>
      </c>
      <c r="AT716" s="2">
        <f t="array" ref="AT716">IF($K716="",0,IFERROR(INDEX(CALC!$AI$2:$AI$33,MATCH($K716,CALC!$A$2:$A$33,0)),0))</f>
        <v>0</v>
      </c>
      <c r="AU716" s="2">
        <f t="shared" si="11"/>
        <v>0</v>
      </c>
      <c r="AV716" s="2">
        <f t="shared" si="12"/>
        <v>0</v>
      </c>
    </row>
    <row r="717" ht="15.0" customHeight="1">
      <c r="A717" s="2">
        <v>358.0</v>
      </c>
      <c r="B717" s="2" t="s">
        <v>2365</v>
      </c>
      <c r="C717" s="2" t="str">
        <f>IFERROR(MATCH($A717,SchedSeq,0),"")</f>
        <v/>
      </c>
      <c r="D717" s="2" t="str">
        <f t="array" ref="D717">IF($C717="","",INDEX(SchedZone,$C717,MAP!$B$6))</f>
        <v/>
      </c>
      <c r="E717" s="2" t="str">
        <f t="array" ref="E717">IF($C717="","",INDEX(SchedZone,$C717,MAP!$B$3))</f>
        <v/>
      </c>
      <c r="F717" s="2" t="str">
        <f t="array" ref="F717">IF($C717="","",INDEX(SchedZone,$C717,MAP!$B$5))</f>
        <v/>
      </c>
      <c r="G717" s="2" t="str">
        <f t="array" ref="G717">IF($C717="","",INDEX(SchedZone,$C717,MAP!$B$4))</f>
        <v/>
      </c>
      <c r="H717" s="2" t="str">
        <f t="array" ref="H717">IF($C717="","",INDEX(SchedZone,$C717,MAP!$B$12))</f>
        <v/>
      </c>
      <c r="I717" s="2" t="str">
        <f t="array" ref="I717">IF($H717="","",IF(COUNTIF(Teams,$H717)&gt;0,$H717,IFERROR(INDEX(LISTS!$D$2:$D$12,MATCH($H717,LISTS!$C$2:$C$12,0)),"⚠ "&amp;$H717)))</f>
        <v/>
      </c>
      <c r="J717" s="2" t="str">
        <f t="array" ref="J717">IF($C717="","",INDEX(SchedZone,$C717,MAP!$B$10))</f>
        <v/>
      </c>
      <c r="K717" s="2" t="str">
        <f t="array" ref="K717">IF($J717="","",IF(COUNTIF(Teams,$J717)&gt;0,$J717,IFERROR(INDEX(LISTS!$D$2:$D$12,MATCH($J717,LISTS!$C$2:$C$12,0)),"⚠ "&amp;$J717)))</f>
        <v/>
      </c>
      <c r="L717" s="2" t="str">
        <f t="array" ref="L717">IF($C717="","",IF(INDEX(SchedZone,$C717,MAP!$B$14)="Neutral","N",IF($B717="HOME","H","A")))</f>
        <v/>
      </c>
      <c r="M717" s="2" t="str">
        <f t="array" ref="M717">IF($C717="","",IF(INDEX(SchedZone,$C717,MAP!$B$13)="","",INDEX(SchedZone,$C717,MAP!$B$13)))</f>
        <v/>
      </c>
      <c r="N717" s="2" t="str">
        <f t="array" ref="N717">IF($C717="","",IF(INDEX(SchedZone,$C717,MAP!$B$11)="","",INDEX(SchedZone,$C717,MAP!$B$11)))</f>
        <v/>
      </c>
      <c r="O717" s="2" t="str">
        <f t="array" ref="O717">IF($C717="","",INDEX(SchedZone,$C717,MAP!$B$16))</f>
        <v/>
      </c>
      <c r="P717" s="2" t="str">
        <f>IF($C717="","",IFERROR(MATCH($E717&amp;"|"&amp;$G717&amp;"|"&amp;$I717,StatsKey,0),""))</f>
        <v/>
      </c>
      <c r="Q717" s="2">
        <f t="array" ref="Q717">IF($P717="",0,INDEX(StatsZone,$P717,MAP!$E$9)+INDEX(StatsZone,$P717,MAP!$E$10)+INDEX(StatsZone,$P717,MAP!$E$11))</f>
        <v>0</v>
      </c>
      <c r="R717" s="2">
        <f t="array" ref="R717">IF($P717="",0,INDEX(StatsZone,$P717,MAP!$E$12))</f>
        <v>0</v>
      </c>
      <c r="S717" s="2">
        <f t="array" ref="S717">IF($P717="",0,INDEX(StatsZone,$P717,MAP!$E$13))</f>
        <v>0</v>
      </c>
      <c r="T717" s="2">
        <f t="shared" si="1"/>
        <v>0</v>
      </c>
      <c r="U717" s="2">
        <f t="array" ref="U717">IF($P717="",0,INDEX(StatsZone,$P717,MAP!$E$14)+INDEX(StatsZone,$P717,MAP!$E$15)+INDEX(StatsZone,$P717,MAP!$E$16))</f>
        <v>0</v>
      </c>
      <c r="V717" s="2">
        <f t="shared" si="2"/>
        <v>0</v>
      </c>
      <c r="W717" s="2">
        <f t="shared" si="3"/>
        <v>0</v>
      </c>
      <c r="X717" s="2">
        <f t="shared" si="4"/>
        <v>0</v>
      </c>
      <c r="Y717" s="2">
        <f t="shared" si="5"/>
        <v>0</v>
      </c>
      <c r="Z717" s="2">
        <f t="shared" si="6"/>
        <v>0</v>
      </c>
      <c r="AA717" s="2">
        <f t="shared" si="7"/>
        <v>0</v>
      </c>
      <c r="AB717" s="2">
        <f>IF(OR($M717="",$N717=""),0,MEDIAN(-MarginCap,MarginCap,($M717-$N717)-$AA717*HFA_Base))</f>
        <v>0</v>
      </c>
      <c r="AC717" s="2">
        <f t="array" ref="AC717">IF(OR($P717="",INDEX($P$3:$P$722,(ROW()+IF(MOD(ROW()-3,2)=0,1,-1))-3+1)=""),0,MEDIAN(-MarginCap,MarginCap,($T717-$W717)-$AA717*HFA_Base))</f>
        <v>0</v>
      </c>
      <c r="AD717" s="2">
        <f t="shared" si="8"/>
        <v>0</v>
      </c>
      <c r="AE717" s="2">
        <f>IF(OR($M717="",$N717=""),0,IF(AND(WEpa&gt;0,$AD717=1),(1-WEpa)*$AB717+WEpa*$AC717,$AB717))</f>
        <v>0</v>
      </c>
      <c r="AF717" s="2">
        <f>IF(AND($C717&lt;&gt;"",$E717=CurrentSeason,$F717="REG",ISNUMBER($G717),$G717&lt;CurrentWeek,AND($M717&lt;&gt;"",$N717&lt;&gt;"")),1,0)</f>
        <v>0</v>
      </c>
      <c r="AG717" s="2">
        <f>IF($AF717=0,0,IF($G717&gt;=CurrentWeek-RecencyWin,RecencyMult,1))</f>
        <v>0</v>
      </c>
      <c r="AH717" s="2">
        <f>IF(AND($C717&lt;&gt;"",$E717=CurrentSeason,$F717="REG",ISNUMBER($G717),$G717&lt;CurrentWeek-1,AND($M717&lt;&gt;"",$N717&lt;&gt;"")),1,0)</f>
        <v>0</v>
      </c>
      <c r="AI717" s="2">
        <f>IF($AH717=0,0,IF($G717&gt;=CurrentWeek-1-RecencyWin,RecencyMult,1))</f>
        <v>0</v>
      </c>
      <c r="AJ717" s="2">
        <f>IF($AF717=0,0,IF($G717&gt;=CurrentWeek-RecencyWin,TotRecency,1))</f>
        <v>0</v>
      </c>
      <c r="AK717" s="2">
        <f t="shared" si="9"/>
        <v>0</v>
      </c>
      <c r="AL717" s="2">
        <f t="shared" si="10"/>
        <v>0</v>
      </c>
      <c r="AM717" s="2">
        <f t="array" ref="AM717">IF($K717="",0,IFERROR(INDEX(CALC!$F$2:$F$33,MATCH($K717,CALC!$A$2:$A$33,0)),0))</f>
        <v>0</v>
      </c>
      <c r="AN717" s="2">
        <f t="array" ref="AN717">IF($K717="",0,IFERROR(INDEX(CALC!$I$2:$I$33,MATCH($K717,CALC!$A$2:$A$33,0)),0))</f>
        <v>0</v>
      </c>
      <c r="AO717" s="2">
        <f t="array" ref="AO717">IF($K717="",0,IFERROR(INDEX(CALC!$L$2:$L$33,MATCH($K717,CALC!$A$2:$A$33,0)),0))</f>
        <v>0</v>
      </c>
      <c r="AP717" s="2">
        <f t="array" ref="AP717">IF($K717="",0,IFERROR(INDEX(CALC!$T$2:$T$33,MATCH($K717,CALC!$A$2:$A$33,0)),0))</f>
        <v>0</v>
      </c>
      <c r="AQ717" s="2">
        <f t="array" ref="AQ717">IF($K717="",0,IFERROR(INDEX(CALC!$W$2:$W$33,MATCH($K717,CALC!$A$2:$A$33,0)),0))</f>
        <v>0</v>
      </c>
      <c r="AR717" s="2">
        <f t="array" ref="AR717">IF($K717="",0,IFERROR(INDEX(CALC!$Z$2:$Z$33,MATCH($K717,CALC!$A$2:$A$33,0)),0))</f>
        <v>0</v>
      </c>
      <c r="AS717" s="2">
        <f t="array" ref="AS717">IF($K717="",0,IFERROR(INDEX(CALC!$AJ$2:$AJ$33,MATCH($K717,CALC!$A$2:$A$33,0)),0))</f>
        <v>0</v>
      </c>
      <c r="AT717" s="2">
        <f t="array" ref="AT717">IF($K717="",0,IFERROR(INDEX(CALC!$AI$2:$AI$33,MATCH($K717,CALC!$A$2:$A$33,0)),0))</f>
        <v>0</v>
      </c>
      <c r="AU717" s="2">
        <f t="shared" si="11"/>
        <v>0</v>
      </c>
      <c r="AV717" s="2">
        <f t="shared" si="12"/>
        <v>0</v>
      </c>
    </row>
    <row r="718" ht="15.0" customHeight="1">
      <c r="A718" s="2">
        <v>358.0</v>
      </c>
      <c r="B718" s="2" t="s">
        <v>2366</v>
      </c>
      <c r="C718" s="2" t="str">
        <f>IFERROR(MATCH($A718,SchedSeq,0),"")</f>
        <v/>
      </c>
      <c r="D718" s="2" t="str">
        <f t="array" ref="D718">IF($C718="","",INDEX(SchedZone,$C718,MAP!$B$6))</f>
        <v/>
      </c>
      <c r="E718" s="2" t="str">
        <f t="array" ref="E718">IF($C718="","",INDEX(SchedZone,$C718,MAP!$B$3))</f>
        <v/>
      </c>
      <c r="F718" s="2" t="str">
        <f t="array" ref="F718">IF($C718="","",INDEX(SchedZone,$C718,MAP!$B$5))</f>
        <v/>
      </c>
      <c r="G718" s="2" t="str">
        <f t="array" ref="G718">IF($C718="","",INDEX(SchedZone,$C718,MAP!$B$4))</f>
        <v/>
      </c>
      <c r="H718" s="2" t="str">
        <f t="array" ref="H718">IF($C718="","",INDEX(SchedZone,$C718,MAP!$B$10))</f>
        <v/>
      </c>
      <c r="I718" s="2" t="str">
        <f t="array" ref="I718">IF($H718="","",IF(COUNTIF(Teams,$H718)&gt;0,$H718,IFERROR(INDEX(LISTS!$D$2:$D$12,MATCH($H718,LISTS!$C$2:$C$12,0)),"⚠ "&amp;$H718)))</f>
        <v/>
      </c>
      <c r="J718" s="2" t="str">
        <f t="array" ref="J718">IF($C718="","",INDEX(SchedZone,$C718,MAP!$B$12))</f>
        <v/>
      </c>
      <c r="K718" s="2" t="str">
        <f t="array" ref="K718">IF($J718="","",IF(COUNTIF(Teams,$J718)&gt;0,$J718,IFERROR(INDEX(LISTS!$D$2:$D$12,MATCH($J718,LISTS!$C$2:$C$12,0)),"⚠ "&amp;$J718)))</f>
        <v/>
      </c>
      <c r="L718" s="2" t="str">
        <f t="array" ref="L718">IF($C718="","",IF(INDEX(SchedZone,$C718,MAP!$B$14)="Neutral","N",IF($B718="HOME","H","A")))</f>
        <v/>
      </c>
      <c r="M718" s="2" t="str">
        <f t="array" ref="M718">IF($C718="","",IF(INDEX(SchedZone,$C718,MAP!$B$11)="","",INDEX(SchedZone,$C718,MAP!$B$11)))</f>
        <v/>
      </c>
      <c r="N718" s="2" t="str">
        <f t="array" ref="N718">IF($C718="","",IF(INDEX(SchedZone,$C718,MAP!$B$13)="","",INDEX(SchedZone,$C718,MAP!$B$13)))</f>
        <v/>
      </c>
      <c r="O718" s="2" t="str">
        <f t="array" ref="O718">IF($C718="","",INDEX(SchedZone,$C718,MAP!$B$15))</f>
        <v/>
      </c>
      <c r="P718" s="2" t="str">
        <f>IF($C718="","",IFERROR(MATCH($E718&amp;"|"&amp;$G718&amp;"|"&amp;$I718,StatsKey,0),""))</f>
        <v/>
      </c>
      <c r="Q718" s="2">
        <f t="array" ref="Q718">IF($P718="",0,INDEX(StatsZone,$P718,MAP!$E$9)+INDEX(StatsZone,$P718,MAP!$E$10)+INDEX(StatsZone,$P718,MAP!$E$11))</f>
        <v>0</v>
      </c>
      <c r="R718" s="2">
        <f t="array" ref="R718">IF($P718="",0,INDEX(StatsZone,$P718,MAP!$E$12))</f>
        <v>0</v>
      </c>
      <c r="S718" s="2">
        <f t="array" ref="S718">IF($P718="",0,INDEX(StatsZone,$P718,MAP!$E$13))</f>
        <v>0</v>
      </c>
      <c r="T718" s="2">
        <f t="shared" si="1"/>
        <v>0</v>
      </c>
      <c r="U718" s="2">
        <f t="array" ref="U718">IF($P718="",0,INDEX(StatsZone,$P718,MAP!$E$14)+INDEX(StatsZone,$P718,MAP!$E$15)+INDEX(StatsZone,$P718,MAP!$E$16))</f>
        <v>0</v>
      </c>
      <c r="V718" s="2">
        <f t="shared" si="2"/>
        <v>0</v>
      </c>
      <c r="W718" s="2">
        <f t="shared" si="3"/>
        <v>0</v>
      </c>
      <c r="X718" s="2">
        <f t="shared" si="4"/>
        <v>0</v>
      </c>
      <c r="Y718" s="2">
        <f t="shared" si="5"/>
        <v>0</v>
      </c>
      <c r="Z718" s="2">
        <f t="shared" si="6"/>
        <v>0</v>
      </c>
      <c r="AA718" s="2">
        <f t="shared" si="7"/>
        <v>0</v>
      </c>
      <c r="AB718" s="2">
        <f>IF(OR($M718="",$N718=""),0,MEDIAN(-MarginCap,MarginCap,($M718-$N718)-$AA718*HFA_Base))</f>
        <v>0</v>
      </c>
      <c r="AC718" s="2">
        <f t="array" ref="AC718">IF(OR($P718="",INDEX($P$3:$P$722,(ROW()+IF(MOD(ROW()-3,2)=0,1,-1))-3+1)=""),0,MEDIAN(-MarginCap,MarginCap,($T718-$W718)-$AA718*HFA_Base))</f>
        <v>0</v>
      </c>
      <c r="AD718" s="2">
        <f t="shared" si="8"/>
        <v>0</v>
      </c>
      <c r="AE718" s="2">
        <f>IF(OR($M718="",$N718=""),0,IF(AND(WEpa&gt;0,$AD718=1),(1-WEpa)*$AB718+WEpa*$AC718,$AB718))</f>
        <v>0</v>
      </c>
      <c r="AF718" s="2">
        <f>IF(AND($C718&lt;&gt;"",$E718=CurrentSeason,$F718="REG",ISNUMBER($G718),$G718&lt;CurrentWeek,AND($M718&lt;&gt;"",$N718&lt;&gt;"")),1,0)</f>
        <v>0</v>
      </c>
      <c r="AG718" s="2">
        <f>IF($AF718=0,0,IF($G718&gt;=CurrentWeek-RecencyWin,RecencyMult,1))</f>
        <v>0</v>
      </c>
      <c r="AH718" s="2">
        <f>IF(AND($C718&lt;&gt;"",$E718=CurrentSeason,$F718="REG",ISNUMBER($G718),$G718&lt;CurrentWeek-1,AND($M718&lt;&gt;"",$N718&lt;&gt;"")),1,0)</f>
        <v>0</v>
      </c>
      <c r="AI718" s="2">
        <f>IF($AH718=0,0,IF($G718&gt;=CurrentWeek-1-RecencyWin,RecencyMult,1))</f>
        <v>0</v>
      </c>
      <c r="AJ718" s="2">
        <f>IF($AF718=0,0,IF($G718&gt;=CurrentWeek-RecencyWin,TotRecency,1))</f>
        <v>0</v>
      </c>
      <c r="AK718" s="2">
        <f t="shared" si="9"/>
        <v>0</v>
      </c>
      <c r="AL718" s="2">
        <f t="shared" si="10"/>
        <v>0</v>
      </c>
      <c r="AM718" s="2">
        <f t="array" ref="AM718">IF($K718="",0,IFERROR(INDEX(CALC!$F$2:$F$33,MATCH($K718,CALC!$A$2:$A$33,0)),0))</f>
        <v>0</v>
      </c>
      <c r="AN718" s="2">
        <f t="array" ref="AN718">IF($K718="",0,IFERROR(INDEX(CALC!$I$2:$I$33,MATCH($K718,CALC!$A$2:$A$33,0)),0))</f>
        <v>0</v>
      </c>
      <c r="AO718" s="2">
        <f t="array" ref="AO718">IF($K718="",0,IFERROR(INDEX(CALC!$L$2:$L$33,MATCH($K718,CALC!$A$2:$A$33,0)),0))</f>
        <v>0</v>
      </c>
      <c r="AP718" s="2">
        <f t="array" ref="AP718">IF($K718="",0,IFERROR(INDEX(CALC!$T$2:$T$33,MATCH($K718,CALC!$A$2:$A$33,0)),0))</f>
        <v>0</v>
      </c>
      <c r="AQ718" s="2">
        <f t="array" ref="AQ718">IF($K718="",0,IFERROR(INDEX(CALC!$W$2:$W$33,MATCH($K718,CALC!$A$2:$A$33,0)),0))</f>
        <v>0</v>
      </c>
      <c r="AR718" s="2">
        <f t="array" ref="AR718">IF($K718="",0,IFERROR(INDEX(CALC!$Z$2:$Z$33,MATCH($K718,CALC!$A$2:$A$33,0)),0))</f>
        <v>0</v>
      </c>
      <c r="AS718" s="2">
        <f t="array" ref="AS718">IF($K718="",0,IFERROR(INDEX(CALC!$AJ$2:$AJ$33,MATCH($K718,CALC!$A$2:$A$33,0)),0))</f>
        <v>0</v>
      </c>
      <c r="AT718" s="2">
        <f t="array" ref="AT718">IF($K718="",0,IFERROR(INDEX(CALC!$AI$2:$AI$33,MATCH($K718,CALC!$A$2:$A$33,0)),0))</f>
        <v>0</v>
      </c>
      <c r="AU718" s="2">
        <f t="shared" si="11"/>
        <v>0</v>
      </c>
      <c r="AV718" s="2">
        <f t="shared" si="12"/>
        <v>0</v>
      </c>
    </row>
    <row r="719" ht="15.0" customHeight="1">
      <c r="A719" s="2">
        <v>359.0</v>
      </c>
      <c r="B719" s="2" t="s">
        <v>2365</v>
      </c>
      <c r="C719" s="2" t="str">
        <f>IFERROR(MATCH($A719,SchedSeq,0),"")</f>
        <v/>
      </c>
      <c r="D719" s="2" t="str">
        <f t="array" ref="D719">IF($C719="","",INDEX(SchedZone,$C719,MAP!$B$6))</f>
        <v/>
      </c>
      <c r="E719" s="2" t="str">
        <f t="array" ref="E719">IF($C719="","",INDEX(SchedZone,$C719,MAP!$B$3))</f>
        <v/>
      </c>
      <c r="F719" s="2" t="str">
        <f t="array" ref="F719">IF($C719="","",INDEX(SchedZone,$C719,MAP!$B$5))</f>
        <v/>
      </c>
      <c r="G719" s="2" t="str">
        <f t="array" ref="G719">IF($C719="","",INDEX(SchedZone,$C719,MAP!$B$4))</f>
        <v/>
      </c>
      <c r="H719" s="2" t="str">
        <f t="array" ref="H719">IF($C719="","",INDEX(SchedZone,$C719,MAP!$B$12))</f>
        <v/>
      </c>
      <c r="I719" s="2" t="str">
        <f t="array" ref="I719">IF($H719="","",IF(COUNTIF(Teams,$H719)&gt;0,$H719,IFERROR(INDEX(LISTS!$D$2:$D$12,MATCH($H719,LISTS!$C$2:$C$12,0)),"⚠ "&amp;$H719)))</f>
        <v/>
      </c>
      <c r="J719" s="2" t="str">
        <f t="array" ref="J719">IF($C719="","",INDEX(SchedZone,$C719,MAP!$B$10))</f>
        <v/>
      </c>
      <c r="K719" s="2" t="str">
        <f t="array" ref="K719">IF($J719="","",IF(COUNTIF(Teams,$J719)&gt;0,$J719,IFERROR(INDEX(LISTS!$D$2:$D$12,MATCH($J719,LISTS!$C$2:$C$12,0)),"⚠ "&amp;$J719)))</f>
        <v/>
      </c>
      <c r="L719" s="2" t="str">
        <f t="array" ref="L719">IF($C719="","",IF(INDEX(SchedZone,$C719,MAP!$B$14)="Neutral","N",IF($B719="HOME","H","A")))</f>
        <v/>
      </c>
      <c r="M719" s="2" t="str">
        <f t="array" ref="M719">IF($C719="","",IF(INDEX(SchedZone,$C719,MAP!$B$13)="","",INDEX(SchedZone,$C719,MAP!$B$13)))</f>
        <v/>
      </c>
      <c r="N719" s="2" t="str">
        <f t="array" ref="N719">IF($C719="","",IF(INDEX(SchedZone,$C719,MAP!$B$11)="","",INDEX(SchedZone,$C719,MAP!$B$11)))</f>
        <v/>
      </c>
      <c r="O719" s="2" t="str">
        <f t="array" ref="O719">IF($C719="","",INDEX(SchedZone,$C719,MAP!$B$16))</f>
        <v/>
      </c>
      <c r="P719" s="2" t="str">
        <f>IF($C719="","",IFERROR(MATCH($E719&amp;"|"&amp;$G719&amp;"|"&amp;$I719,StatsKey,0),""))</f>
        <v/>
      </c>
      <c r="Q719" s="2">
        <f t="array" ref="Q719">IF($P719="",0,INDEX(StatsZone,$P719,MAP!$E$9)+INDEX(StatsZone,$P719,MAP!$E$10)+INDEX(StatsZone,$P719,MAP!$E$11))</f>
        <v>0</v>
      </c>
      <c r="R719" s="2">
        <f t="array" ref="R719">IF($P719="",0,INDEX(StatsZone,$P719,MAP!$E$12))</f>
        <v>0</v>
      </c>
      <c r="S719" s="2">
        <f t="array" ref="S719">IF($P719="",0,INDEX(StatsZone,$P719,MAP!$E$13))</f>
        <v>0</v>
      </c>
      <c r="T719" s="2">
        <f t="shared" si="1"/>
        <v>0</v>
      </c>
      <c r="U719" s="2">
        <f t="array" ref="U719">IF($P719="",0,INDEX(StatsZone,$P719,MAP!$E$14)+INDEX(StatsZone,$P719,MAP!$E$15)+INDEX(StatsZone,$P719,MAP!$E$16))</f>
        <v>0</v>
      </c>
      <c r="V719" s="2">
        <f t="shared" si="2"/>
        <v>0</v>
      </c>
      <c r="W719" s="2">
        <f t="shared" si="3"/>
        <v>0</v>
      </c>
      <c r="X719" s="2">
        <f t="shared" si="4"/>
        <v>0</v>
      </c>
      <c r="Y719" s="2">
        <f t="shared" si="5"/>
        <v>0</v>
      </c>
      <c r="Z719" s="2">
        <f t="shared" si="6"/>
        <v>0</v>
      </c>
      <c r="AA719" s="2">
        <f t="shared" si="7"/>
        <v>0</v>
      </c>
      <c r="AB719" s="2">
        <f>IF(OR($M719="",$N719=""),0,MEDIAN(-MarginCap,MarginCap,($M719-$N719)-$AA719*HFA_Base))</f>
        <v>0</v>
      </c>
      <c r="AC719" s="2">
        <f t="array" ref="AC719">IF(OR($P719="",INDEX($P$3:$P$722,(ROW()+IF(MOD(ROW()-3,2)=0,1,-1))-3+1)=""),0,MEDIAN(-MarginCap,MarginCap,($T719-$W719)-$AA719*HFA_Base))</f>
        <v>0</v>
      </c>
      <c r="AD719" s="2">
        <f t="shared" si="8"/>
        <v>0</v>
      </c>
      <c r="AE719" s="2">
        <f>IF(OR($M719="",$N719=""),0,IF(AND(WEpa&gt;0,$AD719=1),(1-WEpa)*$AB719+WEpa*$AC719,$AB719))</f>
        <v>0</v>
      </c>
      <c r="AF719" s="2">
        <f>IF(AND($C719&lt;&gt;"",$E719=CurrentSeason,$F719="REG",ISNUMBER($G719),$G719&lt;CurrentWeek,AND($M719&lt;&gt;"",$N719&lt;&gt;"")),1,0)</f>
        <v>0</v>
      </c>
      <c r="AG719" s="2">
        <f>IF($AF719=0,0,IF($G719&gt;=CurrentWeek-RecencyWin,RecencyMult,1))</f>
        <v>0</v>
      </c>
      <c r="AH719" s="2">
        <f>IF(AND($C719&lt;&gt;"",$E719=CurrentSeason,$F719="REG",ISNUMBER($G719),$G719&lt;CurrentWeek-1,AND($M719&lt;&gt;"",$N719&lt;&gt;"")),1,0)</f>
        <v>0</v>
      </c>
      <c r="AI719" s="2">
        <f>IF($AH719=0,0,IF($G719&gt;=CurrentWeek-1-RecencyWin,RecencyMult,1))</f>
        <v>0</v>
      </c>
      <c r="AJ719" s="2">
        <f>IF($AF719=0,0,IF($G719&gt;=CurrentWeek-RecencyWin,TotRecency,1))</f>
        <v>0</v>
      </c>
      <c r="AK719" s="2">
        <f t="shared" si="9"/>
        <v>0</v>
      </c>
      <c r="AL719" s="2">
        <f t="shared" si="10"/>
        <v>0</v>
      </c>
      <c r="AM719" s="2">
        <f t="array" ref="AM719">IF($K719="",0,IFERROR(INDEX(CALC!$F$2:$F$33,MATCH($K719,CALC!$A$2:$A$33,0)),0))</f>
        <v>0</v>
      </c>
      <c r="AN719" s="2">
        <f t="array" ref="AN719">IF($K719="",0,IFERROR(INDEX(CALC!$I$2:$I$33,MATCH($K719,CALC!$A$2:$A$33,0)),0))</f>
        <v>0</v>
      </c>
      <c r="AO719" s="2">
        <f t="array" ref="AO719">IF($K719="",0,IFERROR(INDEX(CALC!$L$2:$L$33,MATCH($K719,CALC!$A$2:$A$33,0)),0))</f>
        <v>0</v>
      </c>
      <c r="AP719" s="2">
        <f t="array" ref="AP719">IF($K719="",0,IFERROR(INDEX(CALC!$T$2:$T$33,MATCH($K719,CALC!$A$2:$A$33,0)),0))</f>
        <v>0</v>
      </c>
      <c r="AQ719" s="2">
        <f t="array" ref="AQ719">IF($K719="",0,IFERROR(INDEX(CALC!$W$2:$W$33,MATCH($K719,CALC!$A$2:$A$33,0)),0))</f>
        <v>0</v>
      </c>
      <c r="AR719" s="2">
        <f t="array" ref="AR719">IF($K719="",0,IFERROR(INDEX(CALC!$Z$2:$Z$33,MATCH($K719,CALC!$A$2:$A$33,0)),0))</f>
        <v>0</v>
      </c>
      <c r="AS719" s="2">
        <f t="array" ref="AS719">IF($K719="",0,IFERROR(INDEX(CALC!$AJ$2:$AJ$33,MATCH($K719,CALC!$A$2:$A$33,0)),0))</f>
        <v>0</v>
      </c>
      <c r="AT719" s="2">
        <f t="array" ref="AT719">IF($K719="",0,IFERROR(INDEX(CALC!$AI$2:$AI$33,MATCH($K719,CALC!$A$2:$A$33,0)),0))</f>
        <v>0</v>
      </c>
      <c r="AU719" s="2">
        <f t="shared" si="11"/>
        <v>0</v>
      </c>
      <c r="AV719" s="2">
        <f t="shared" si="12"/>
        <v>0</v>
      </c>
    </row>
    <row r="720" ht="15.0" customHeight="1">
      <c r="A720" s="2">
        <v>359.0</v>
      </c>
      <c r="B720" s="2" t="s">
        <v>2366</v>
      </c>
      <c r="C720" s="2" t="str">
        <f>IFERROR(MATCH($A720,SchedSeq,0),"")</f>
        <v/>
      </c>
      <c r="D720" s="2" t="str">
        <f t="array" ref="D720">IF($C720="","",INDEX(SchedZone,$C720,MAP!$B$6))</f>
        <v/>
      </c>
      <c r="E720" s="2" t="str">
        <f t="array" ref="E720">IF($C720="","",INDEX(SchedZone,$C720,MAP!$B$3))</f>
        <v/>
      </c>
      <c r="F720" s="2" t="str">
        <f t="array" ref="F720">IF($C720="","",INDEX(SchedZone,$C720,MAP!$B$5))</f>
        <v/>
      </c>
      <c r="G720" s="2" t="str">
        <f t="array" ref="G720">IF($C720="","",INDEX(SchedZone,$C720,MAP!$B$4))</f>
        <v/>
      </c>
      <c r="H720" s="2" t="str">
        <f t="array" ref="H720">IF($C720="","",INDEX(SchedZone,$C720,MAP!$B$10))</f>
        <v/>
      </c>
      <c r="I720" s="2" t="str">
        <f t="array" ref="I720">IF($H720="","",IF(COUNTIF(Teams,$H720)&gt;0,$H720,IFERROR(INDEX(LISTS!$D$2:$D$12,MATCH($H720,LISTS!$C$2:$C$12,0)),"⚠ "&amp;$H720)))</f>
        <v/>
      </c>
      <c r="J720" s="2" t="str">
        <f t="array" ref="J720">IF($C720="","",INDEX(SchedZone,$C720,MAP!$B$12))</f>
        <v/>
      </c>
      <c r="K720" s="2" t="str">
        <f t="array" ref="K720">IF($J720="","",IF(COUNTIF(Teams,$J720)&gt;0,$J720,IFERROR(INDEX(LISTS!$D$2:$D$12,MATCH($J720,LISTS!$C$2:$C$12,0)),"⚠ "&amp;$J720)))</f>
        <v/>
      </c>
      <c r="L720" s="2" t="str">
        <f t="array" ref="L720">IF($C720="","",IF(INDEX(SchedZone,$C720,MAP!$B$14)="Neutral","N",IF($B720="HOME","H","A")))</f>
        <v/>
      </c>
      <c r="M720" s="2" t="str">
        <f t="array" ref="M720">IF($C720="","",IF(INDEX(SchedZone,$C720,MAP!$B$11)="","",INDEX(SchedZone,$C720,MAP!$B$11)))</f>
        <v/>
      </c>
      <c r="N720" s="2" t="str">
        <f t="array" ref="N720">IF($C720="","",IF(INDEX(SchedZone,$C720,MAP!$B$13)="","",INDEX(SchedZone,$C720,MAP!$B$13)))</f>
        <v/>
      </c>
      <c r="O720" s="2" t="str">
        <f t="array" ref="O720">IF($C720="","",INDEX(SchedZone,$C720,MAP!$B$15))</f>
        <v/>
      </c>
      <c r="P720" s="2" t="str">
        <f>IF($C720="","",IFERROR(MATCH($E720&amp;"|"&amp;$G720&amp;"|"&amp;$I720,StatsKey,0),""))</f>
        <v/>
      </c>
      <c r="Q720" s="2">
        <f t="array" ref="Q720">IF($P720="",0,INDEX(StatsZone,$P720,MAP!$E$9)+INDEX(StatsZone,$P720,MAP!$E$10)+INDEX(StatsZone,$P720,MAP!$E$11))</f>
        <v>0</v>
      </c>
      <c r="R720" s="2">
        <f t="array" ref="R720">IF($P720="",0,INDEX(StatsZone,$P720,MAP!$E$12))</f>
        <v>0</v>
      </c>
      <c r="S720" s="2">
        <f t="array" ref="S720">IF($P720="",0,INDEX(StatsZone,$P720,MAP!$E$13))</f>
        <v>0</v>
      </c>
      <c r="T720" s="2">
        <f t="shared" si="1"/>
        <v>0</v>
      </c>
      <c r="U720" s="2">
        <f t="array" ref="U720">IF($P720="",0,INDEX(StatsZone,$P720,MAP!$E$14)+INDEX(StatsZone,$P720,MAP!$E$15)+INDEX(StatsZone,$P720,MAP!$E$16))</f>
        <v>0</v>
      </c>
      <c r="V720" s="2">
        <f t="shared" si="2"/>
        <v>0</v>
      </c>
      <c r="W720" s="2">
        <f t="shared" si="3"/>
        <v>0</v>
      </c>
      <c r="X720" s="2">
        <f t="shared" si="4"/>
        <v>0</v>
      </c>
      <c r="Y720" s="2">
        <f t="shared" si="5"/>
        <v>0</v>
      </c>
      <c r="Z720" s="2">
        <f t="shared" si="6"/>
        <v>0</v>
      </c>
      <c r="AA720" s="2">
        <f t="shared" si="7"/>
        <v>0</v>
      </c>
      <c r="AB720" s="2">
        <f>IF(OR($M720="",$N720=""),0,MEDIAN(-MarginCap,MarginCap,($M720-$N720)-$AA720*HFA_Base))</f>
        <v>0</v>
      </c>
      <c r="AC720" s="2">
        <f t="array" ref="AC720">IF(OR($P720="",INDEX($P$3:$P$722,(ROW()+IF(MOD(ROW()-3,2)=0,1,-1))-3+1)=""),0,MEDIAN(-MarginCap,MarginCap,($T720-$W720)-$AA720*HFA_Base))</f>
        <v>0</v>
      </c>
      <c r="AD720" s="2">
        <f t="shared" si="8"/>
        <v>0</v>
      </c>
      <c r="AE720" s="2">
        <f>IF(OR($M720="",$N720=""),0,IF(AND(WEpa&gt;0,$AD720=1),(1-WEpa)*$AB720+WEpa*$AC720,$AB720))</f>
        <v>0</v>
      </c>
      <c r="AF720" s="2">
        <f>IF(AND($C720&lt;&gt;"",$E720=CurrentSeason,$F720="REG",ISNUMBER($G720),$G720&lt;CurrentWeek,AND($M720&lt;&gt;"",$N720&lt;&gt;"")),1,0)</f>
        <v>0</v>
      </c>
      <c r="AG720" s="2">
        <f>IF($AF720=0,0,IF($G720&gt;=CurrentWeek-RecencyWin,RecencyMult,1))</f>
        <v>0</v>
      </c>
      <c r="AH720" s="2">
        <f>IF(AND($C720&lt;&gt;"",$E720=CurrentSeason,$F720="REG",ISNUMBER($G720),$G720&lt;CurrentWeek-1,AND($M720&lt;&gt;"",$N720&lt;&gt;"")),1,0)</f>
        <v>0</v>
      </c>
      <c r="AI720" s="2">
        <f>IF($AH720=0,0,IF($G720&gt;=CurrentWeek-1-RecencyWin,RecencyMult,1))</f>
        <v>0</v>
      </c>
      <c r="AJ720" s="2">
        <f>IF($AF720=0,0,IF($G720&gt;=CurrentWeek-RecencyWin,TotRecency,1))</f>
        <v>0</v>
      </c>
      <c r="AK720" s="2">
        <f t="shared" si="9"/>
        <v>0</v>
      </c>
      <c r="AL720" s="2">
        <f t="shared" si="10"/>
        <v>0</v>
      </c>
      <c r="AM720" s="2">
        <f t="array" ref="AM720">IF($K720="",0,IFERROR(INDEX(CALC!$F$2:$F$33,MATCH($K720,CALC!$A$2:$A$33,0)),0))</f>
        <v>0</v>
      </c>
      <c r="AN720" s="2">
        <f t="array" ref="AN720">IF($K720="",0,IFERROR(INDEX(CALC!$I$2:$I$33,MATCH($K720,CALC!$A$2:$A$33,0)),0))</f>
        <v>0</v>
      </c>
      <c r="AO720" s="2">
        <f t="array" ref="AO720">IF($K720="",0,IFERROR(INDEX(CALC!$L$2:$L$33,MATCH($K720,CALC!$A$2:$A$33,0)),0))</f>
        <v>0</v>
      </c>
      <c r="AP720" s="2">
        <f t="array" ref="AP720">IF($K720="",0,IFERROR(INDEX(CALC!$T$2:$T$33,MATCH($K720,CALC!$A$2:$A$33,0)),0))</f>
        <v>0</v>
      </c>
      <c r="AQ720" s="2">
        <f t="array" ref="AQ720">IF($K720="",0,IFERROR(INDEX(CALC!$W$2:$W$33,MATCH($K720,CALC!$A$2:$A$33,0)),0))</f>
        <v>0</v>
      </c>
      <c r="AR720" s="2">
        <f t="array" ref="AR720">IF($K720="",0,IFERROR(INDEX(CALC!$Z$2:$Z$33,MATCH($K720,CALC!$A$2:$A$33,0)),0))</f>
        <v>0</v>
      </c>
      <c r="AS720" s="2">
        <f t="array" ref="AS720">IF($K720="",0,IFERROR(INDEX(CALC!$AJ$2:$AJ$33,MATCH($K720,CALC!$A$2:$A$33,0)),0))</f>
        <v>0</v>
      </c>
      <c r="AT720" s="2">
        <f t="array" ref="AT720">IF($K720="",0,IFERROR(INDEX(CALC!$AI$2:$AI$33,MATCH($K720,CALC!$A$2:$A$33,0)),0))</f>
        <v>0</v>
      </c>
      <c r="AU720" s="2">
        <f t="shared" si="11"/>
        <v>0</v>
      </c>
      <c r="AV720" s="2">
        <f t="shared" si="12"/>
        <v>0</v>
      </c>
    </row>
    <row r="721" ht="15.0" customHeight="1">
      <c r="A721" s="2">
        <v>360.0</v>
      </c>
      <c r="B721" s="2" t="s">
        <v>2365</v>
      </c>
      <c r="C721" s="2" t="str">
        <f>IFERROR(MATCH($A721,SchedSeq,0),"")</f>
        <v/>
      </c>
      <c r="D721" s="2" t="str">
        <f t="array" ref="D721">IF($C721="","",INDEX(SchedZone,$C721,MAP!$B$6))</f>
        <v/>
      </c>
      <c r="E721" s="2" t="str">
        <f t="array" ref="E721">IF($C721="","",INDEX(SchedZone,$C721,MAP!$B$3))</f>
        <v/>
      </c>
      <c r="F721" s="2" t="str">
        <f t="array" ref="F721">IF($C721="","",INDEX(SchedZone,$C721,MAP!$B$5))</f>
        <v/>
      </c>
      <c r="G721" s="2" t="str">
        <f t="array" ref="G721">IF($C721="","",INDEX(SchedZone,$C721,MAP!$B$4))</f>
        <v/>
      </c>
      <c r="H721" s="2" t="str">
        <f t="array" ref="H721">IF($C721="","",INDEX(SchedZone,$C721,MAP!$B$12))</f>
        <v/>
      </c>
      <c r="I721" s="2" t="str">
        <f t="array" ref="I721">IF($H721="","",IF(COUNTIF(Teams,$H721)&gt;0,$H721,IFERROR(INDEX(LISTS!$D$2:$D$12,MATCH($H721,LISTS!$C$2:$C$12,0)),"⚠ "&amp;$H721)))</f>
        <v/>
      </c>
      <c r="J721" s="2" t="str">
        <f t="array" ref="J721">IF($C721="","",INDEX(SchedZone,$C721,MAP!$B$10))</f>
        <v/>
      </c>
      <c r="K721" s="2" t="str">
        <f t="array" ref="K721">IF($J721="","",IF(COUNTIF(Teams,$J721)&gt;0,$J721,IFERROR(INDEX(LISTS!$D$2:$D$12,MATCH($J721,LISTS!$C$2:$C$12,0)),"⚠ "&amp;$J721)))</f>
        <v/>
      </c>
      <c r="L721" s="2" t="str">
        <f t="array" ref="L721">IF($C721="","",IF(INDEX(SchedZone,$C721,MAP!$B$14)="Neutral","N",IF($B721="HOME","H","A")))</f>
        <v/>
      </c>
      <c r="M721" s="2" t="str">
        <f t="array" ref="M721">IF($C721="","",IF(INDEX(SchedZone,$C721,MAP!$B$13)="","",INDEX(SchedZone,$C721,MAP!$B$13)))</f>
        <v/>
      </c>
      <c r="N721" s="2" t="str">
        <f t="array" ref="N721">IF($C721="","",IF(INDEX(SchedZone,$C721,MAP!$B$11)="","",INDEX(SchedZone,$C721,MAP!$B$11)))</f>
        <v/>
      </c>
      <c r="O721" s="2" t="str">
        <f t="array" ref="O721">IF($C721="","",INDEX(SchedZone,$C721,MAP!$B$16))</f>
        <v/>
      </c>
      <c r="P721" s="2" t="str">
        <f>IF($C721="","",IFERROR(MATCH($E721&amp;"|"&amp;$G721&amp;"|"&amp;$I721,StatsKey,0),""))</f>
        <v/>
      </c>
      <c r="Q721" s="2">
        <f t="array" ref="Q721">IF($P721="",0,INDEX(StatsZone,$P721,MAP!$E$9)+INDEX(StatsZone,$P721,MAP!$E$10)+INDEX(StatsZone,$P721,MAP!$E$11))</f>
        <v>0</v>
      </c>
      <c r="R721" s="2">
        <f t="array" ref="R721">IF($P721="",0,INDEX(StatsZone,$P721,MAP!$E$12))</f>
        <v>0</v>
      </c>
      <c r="S721" s="2">
        <f t="array" ref="S721">IF($P721="",0,INDEX(StatsZone,$P721,MAP!$E$13))</f>
        <v>0</v>
      </c>
      <c r="T721" s="2">
        <f t="shared" si="1"/>
        <v>0</v>
      </c>
      <c r="U721" s="2">
        <f t="array" ref="U721">IF($P721="",0,INDEX(StatsZone,$P721,MAP!$E$14)+INDEX(StatsZone,$P721,MAP!$E$15)+INDEX(StatsZone,$P721,MAP!$E$16))</f>
        <v>0</v>
      </c>
      <c r="V721" s="2">
        <f t="shared" si="2"/>
        <v>0</v>
      </c>
      <c r="W721" s="2">
        <f t="shared" si="3"/>
        <v>0</v>
      </c>
      <c r="X721" s="2">
        <f t="shared" si="4"/>
        <v>0</v>
      </c>
      <c r="Y721" s="2">
        <f t="shared" si="5"/>
        <v>0</v>
      </c>
      <c r="Z721" s="2">
        <f t="shared" si="6"/>
        <v>0</v>
      </c>
      <c r="AA721" s="2">
        <f t="shared" si="7"/>
        <v>0</v>
      </c>
      <c r="AB721" s="2">
        <f>IF(OR($M721="",$N721=""),0,MEDIAN(-MarginCap,MarginCap,($M721-$N721)-$AA721*HFA_Base))</f>
        <v>0</v>
      </c>
      <c r="AC721" s="2">
        <f t="array" ref="AC721">IF(OR($P721="",INDEX($P$3:$P$722,(ROW()+IF(MOD(ROW()-3,2)=0,1,-1))-3+1)=""),0,MEDIAN(-MarginCap,MarginCap,($T721-$W721)-$AA721*HFA_Base))</f>
        <v>0</v>
      </c>
      <c r="AD721" s="2">
        <f t="shared" si="8"/>
        <v>0</v>
      </c>
      <c r="AE721" s="2">
        <f>IF(OR($M721="",$N721=""),0,IF(AND(WEpa&gt;0,$AD721=1),(1-WEpa)*$AB721+WEpa*$AC721,$AB721))</f>
        <v>0</v>
      </c>
      <c r="AF721" s="2">
        <f>IF(AND($C721&lt;&gt;"",$E721=CurrentSeason,$F721="REG",ISNUMBER($G721),$G721&lt;CurrentWeek,AND($M721&lt;&gt;"",$N721&lt;&gt;"")),1,0)</f>
        <v>0</v>
      </c>
      <c r="AG721" s="2">
        <f>IF($AF721=0,0,IF($G721&gt;=CurrentWeek-RecencyWin,RecencyMult,1))</f>
        <v>0</v>
      </c>
      <c r="AH721" s="2">
        <f>IF(AND($C721&lt;&gt;"",$E721=CurrentSeason,$F721="REG",ISNUMBER($G721),$G721&lt;CurrentWeek-1,AND($M721&lt;&gt;"",$N721&lt;&gt;"")),1,0)</f>
        <v>0</v>
      </c>
      <c r="AI721" s="2">
        <f>IF($AH721=0,0,IF($G721&gt;=CurrentWeek-1-RecencyWin,RecencyMult,1))</f>
        <v>0</v>
      </c>
      <c r="AJ721" s="2">
        <f>IF($AF721=0,0,IF($G721&gt;=CurrentWeek-RecencyWin,TotRecency,1))</f>
        <v>0</v>
      </c>
      <c r="AK721" s="2">
        <f t="shared" si="9"/>
        <v>0</v>
      </c>
      <c r="AL721" s="2">
        <f t="shared" si="10"/>
        <v>0</v>
      </c>
      <c r="AM721" s="2">
        <f t="array" ref="AM721">IF($K721="",0,IFERROR(INDEX(CALC!$F$2:$F$33,MATCH($K721,CALC!$A$2:$A$33,0)),0))</f>
        <v>0</v>
      </c>
      <c r="AN721" s="2">
        <f t="array" ref="AN721">IF($K721="",0,IFERROR(INDEX(CALC!$I$2:$I$33,MATCH($K721,CALC!$A$2:$A$33,0)),0))</f>
        <v>0</v>
      </c>
      <c r="AO721" s="2">
        <f t="array" ref="AO721">IF($K721="",0,IFERROR(INDEX(CALC!$L$2:$L$33,MATCH($K721,CALC!$A$2:$A$33,0)),0))</f>
        <v>0</v>
      </c>
      <c r="AP721" s="2">
        <f t="array" ref="AP721">IF($K721="",0,IFERROR(INDEX(CALC!$T$2:$T$33,MATCH($K721,CALC!$A$2:$A$33,0)),0))</f>
        <v>0</v>
      </c>
      <c r="AQ721" s="2">
        <f t="array" ref="AQ721">IF($K721="",0,IFERROR(INDEX(CALC!$W$2:$W$33,MATCH($K721,CALC!$A$2:$A$33,0)),0))</f>
        <v>0</v>
      </c>
      <c r="AR721" s="2">
        <f t="array" ref="AR721">IF($K721="",0,IFERROR(INDEX(CALC!$Z$2:$Z$33,MATCH($K721,CALC!$A$2:$A$33,0)),0))</f>
        <v>0</v>
      </c>
      <c r="AS721" s="2">
        <f t="array" ref="AS721">IF($K721="",0,IFERROR(INDEX(CALC!$AJ$2:$AJ$33,MATCH($K721,CALC!$A$2:$A$33,0)),0))</f>
        <v>0</v>
      </c>
      <c r="AT721" s="2">
        <f t="array" ref="AT721">IF($K721="",0,IFERROR(INDEX(CALC!$AI$2:$AI$33,MATCH($K721,CALC!$A$2:$A$33,0)),0))</f>
        <v>0</v>
      </c>
      <c r="AU721" s="2">
        <f t="shared" si="11"/>
        <v>0</v>
      </c>
      <c r="AV721" s="2">
        <f t="shared" si="12"/>
        <v>0</v>
      </c>
    </row>
    <row r="722" ht="15.0" customHeight="1">
      <c r="A722" s="2">
        <v>360.0</v>
      </c>
      <c r="B722" s="2" t="s">
        <v>2366</v>
      </c>
      <c r="C722" s="2" t="str">
        <f>IFERROR(MATCH($A722,SchedSeq,0),"")</f>
        <v/>
      </c>
      <c r="D722" s="2" t="str">
        <f t="array" ref="D722">IF($C722="","",INDEX(SchedZone,$C722,MAP!$B$6))</f>
        <v/>
      </c>
      <c r="E722" s="2" t="str">
        <f t="array" ref="E722">IF($C722="","",INDEX(SchedZone,$C722,MAP!$B$3))</f>
        <v/>
      </c>
      <c r="F722" s="2" t="str">
        <f t="array" ref="F722">IF($C722="","",INDEX(SchedZone,$C722,MAP!$B$5))</f>
        <v/>
      </c>
      <c r="G722" s="2" t="str">
        <f t="array" ref="G722">IF($C722="","",INDEX(SchedZone,$C722,MAP!$B$4))</f>
        <v/>
      </c>
      <c r="H722" s="2" t="str">
        <f t="array" ref="H722">IF($C722="","",INDEX(SchedZone,$C722,MAP!$B$10))</f>
        <v/>
      </c>
      <c r="I722" s="2" t="str">
        <f t="array" ref="I722">IF($H722="","",IF(COUNTIF(Teams,$H722)&gt;0,$H722,IFERROR(INDEX(LISTS!$D$2:$D$12,MATCH($H722,LISTS!$C$2:$C$12,0)),"⚠ "&amp;$H722)))</f>
        <v/>
      </c>
      <c r="J722" s="2" t="str">
        <f t="array" ref="J722">IF($C722="","",INDEX(SchedZone,$C722,MAP!$B$12))</f>
        <v/>
      </c>
      <c r="K722" s="2" t="str">
        <f t="array" ref="K722">IF($J722="","",IF(COUNTIF(Teams,$J722)&gt;0,$J722,IFERROR(INDEX(LISTS!$D$2:$D$12,MATCH($J722,LISTS!$C$2:$C$12,0)),"⚠ "&amp;$J722)))</f>
        <v/>
      </c>
      <c r="L722" s="2" t="str">
        <f t="array" ref="L722">IF($C722="","",IF(INDEX(SchedZone,$C722,MAP!$B$14)="Neutral","N",IF($B722="HOME","H","A")))</f>
        <v/>
      </c>
      <c r="M722" s="2" t="str">
        <f t="array" ref="M722">IF($C722="","",IF(INDEX(SchedZone,$C722,MAP!$B$11)="","",INDEX(SchedZone,$C722,MAP!$B$11)))</f>
        <v/>
      </c>
      <c r="N722" s="2" t="str">
        <f t="array" ref="N722">IF($C722="","",IF(INDEX(SchedZone,$C722,MAP!$B$13)="","",INDEX(SchedZone,$C722,MAP!$B$13)))</f>
        <v/>
      </c>
      <c r="O722" s="2" t="str">
        <f t="array" ref="O722">IF($C722="","",INDEX(SchedZone,$C722,MAP!$B$15))</f>
        <v/>
      </c>
      <c r="P722" s="2" t="str">
        <f>IF($C722="","",IFERROR(MATCH($E722&amp;"|"&amp;$G722&amp;"|"&amp;$I722,StatsKey,0),""))</f>
        <v/>
      </c>
      <c r="Q722" s="2">
        <f t="array" ref="Q722">IF($P722="",0,INDEX(StatsZone,$P722,MAP!$E$9)+INDEX(StatsZone,$P722,MAP!$E$10)+INDEX(StatsZone,$P722,MAP!$E$11))</f>
        <v>0</v>
      </c>
      <c r="R722" s="2">
        <f t="array" ref="R722">IF($P722="",0,INDEX(StatsZone,$P722,MAP!$E$12))</f>
        <v>0</v>
      </c>
      <c r="S722" s="2">
        <f t="array" ref="S722">IF($P722="",0,INDEX(StatsZone,$P722,MAP!$E$13))</f>
        <v>0</v>
      </c>
      <c r="T722" s="2">
        <f t="shared" si="1"/>
        <v>0</v>
      </c>
      <c r="U722" s="2">
        <f t="array" ref="U722">IF($P722="",0,INDEX(StatsZone,$P722,MAP!$E$14)+INDEX(StatsZone,$P722,MAP!$E$15)+INDEX(StatsZone,$P722,MAP!$E$16))</f>
        <v>0</v>
      </c>
      <c r="V722" s="2">
        <f t="shared" si="2"/>
        <v>0</v>
      </c>
      <c r="W722" s="2">
        <f t="shared" si="3"/>
        <v>0</v>
      </c>
      <c r="X722" s="2">
        <f t="shared" si="4"/>
        <v>0</v>
      </c>
      <c r="Y722" s="2">
        <f t="shared" si="5"/>
        <v>0</v>
      </c>
      <c r="Z722" s="2">
        <f t="shared" si="6"/>
        <v>0</v>
      </c>
      <c r="AA722" s="2">
        <f t="shared" si="7"/>
        <v>0</v>
      </c>
      <c r="AB722" s="2">
        <f>IF(OR($M722="",$N722=""),0,MEDIAN(-MarginCap,MarginCap,($M722-$N722)-$AA722*HFA_Base))</f>
        <v>0</v>
      </c>
      <c r="AC722" s="2">
        <f t="array" ref="AC722">IF(OR($P722="",INDEX($P$3:$P$722,(ROW()+IF(MOD(ROW()-3,2)=0,1,-1))-3+1)=""),0,MEDIAN(-MarginCap,MarginCap,($T722-$W722)-$AA722*HFA_Base))</f>
        <v>0</v>
      </c>
      <c r="AD722" s="2">
        <f t="shared" si="8"/>
        <v>0</v>
      </c>
      <c r="AE722" s="2">
        <f>IF(OR($M722="",$N722=""),0,IF(AND(WEpa&gt;0,$AD722=1),(1-WEpa)*$AB722+WEpa*$AC722,$AB722))</f>
        <v>0</v>
      </c>
      <c r="AF722" s="2">
        <f>IF(AND($C722&lt;&gt;"",$E722=CurrentSeason,$F722="REG",ISNUMBER($G722),$G722&lt;CurrentWeek,AND($M722&lt;&gt;"",$N722&lt;&gt;"")),1,0)</f>
        <v>0</v>
      </c>
      <c r="AG722" s="2">
        <f>IF($AF722=0,0,IF($G722&gt;=CurrentWeek-RecencyWin,RecencyMult,1))</f>
        <v>0</v>
      </c>
      <c r="AH722" s="2">
        <f>IF(AND($C722&lt;&gt;"",$E722=CurrentSeason,$F722="REG",ISNUMBER($G722),$G722&lt;CurrentWeek-1,AND($M722&lt;&gt;"",$N722&lt;&gt;"")),1,0)</f>
        <v>0</v>
      </c>
      <c r="AI722" s="2">
        <f>IF($AH722=0,0,IF($G722&gt;=CurrentWeek-1-RecencyWin,RecencyMult,1))</f>
        <v>0</v>
      </c>
      <c r="AJ722" s="2">
        <f>IF($AF722=0,0,IF($G722&gt;=CurrentWeek-RecencyWin,TotRecency,1))</f>
        <v>0</v>
      </c>
      <c r="AK722" s="2">
        <f t="shared" si="9"/>
        <v>0</v>
      </c>
      <c r="AL722" s="2">
        <f t="shared" si="10"/>
        <v>0</v>
      </c>
      <c r="AM722" s="2">
        <f t="array" ref="AM722">IF($K722="",0,IFERROR(INDEX(CALC!$F$2:$F$33,MATCH($K722,CALC!$A$2:$A$33,0)),0))</f>
        <v>0</v>
      </c>
      <c r="AN722" s="2">
        <f t="array" ref="AN722">IF($K722="",0,IFERROR(INDEX(CALC!$I$2:$I$33,MATCH($K722,CALC!$A$2:$A$33,0)),0))</f>
        <v>0</v>
      </c>
      <c r="AO722" s="2">
        <f t="array" ref="AO722">IF($K722="",0,IFERROR(INDEX(CALC!$L$2:$L$33,MATCH($K722,CALC!$A$2:$A$33,0)),0))</f>
        <v>0</v>
      </c>
      <c r="AP722" s="2">
        <f t="array" ref="AP722">IF($K722="",0,IFERROR(INDEX(CALC!$T$2:$T$33,MATCH($K722,CALC!$A$2:$A$33,0)),0))</f>
        <v>0</v>
      </c>
      <c r="AQ722" s="2">
        <f t="array" ref="AQ722">IF($K722="",0,IFERROR(INDEX(CALC!$W$2:$W$33,MATCH($K722,CALC!$A$2:$A$33,0)),0))</f>
        <v>0</v>
      </c>
      <c r="AR722" s="2">
        <f t="array" ref="AR722">IF($K722="",0,IFERROR(INDEX(CALC!$Z$2:$Z$33,MATCH($K722,CALC!$A$2:$A$33,0)),0))</f>
        <v>0</v>
      </c>
      <c r="AS722" s="2">
        <f t="array" ref="AS722">IF($K722="",0,IFERROR(INDEX(CALC!$AJ$2:$AJ$33,MATCH($K722,CALC!$A$2:$A$33,0)),0))</f>
        <v>0</v>
      </c>
      <c r="AT722" s="2">
        <f t="array" ref="AT722">IF($K722="",0,IFERROR(INDEX(CALC!$AI$2:$AI$33,MATCH($K722,CALC!$A$2:$A$33,0)),0))</f>
        <v>0</v>
      </c>
      <c r="AU722" s="2">
        <f t="shared" si="11"/>
        <v>0</v>
      </c>
      <c r="AV722" s="2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5" t="s">
        <v>154</v>
      </c>
      <c r="B1" s="5" t="s">
        <v>257</v>
      </c>
      <c r="C1" s="5" t="s">
        <v>2367</v>
      </c>
      <c r="D1" s="5" t="s">
        <v>2368</v>
      </c>
      <c r="E1" s="5" t="s">
        <v>2369</v>
      </c>
      <c r="F1" s="5" t="s">
        <v>2370</v>
      </c>
      <c r="G1" s="5" t="s">
        <v>2371</v>
      </c>
      <c r="H1" s="5" t="s">
        <v>2372</v>
      </c>
      <c r="I1" s="5" t="s">
        <v>2373</v>
      </c>
      <c r="J1" s="5" t="s">
        <v>2374</v>
      </c>
      <c r="K1" s="5" t="s">
        <v>2375</v>
      </c>
      <c r="L1" s="5" t="s">
        <v>2376</v>
      </c>
      <c r="M1" s="5" t="s">
        <v>2377</v>
      </c>
      <c r="N1" s="5" t="s">
        <v>2378</v>
      </c>
      <c r="O1" s="5" t="s">
        <v>2379</v>
      </c>
      <c r="P1" s="5" t="s">
        <v>2380</v>
      </c>
      <c r="Q1" s="5" t="s">
        <v>2381</v>
      </c>
      <c r="R1" s="5" t="s">
        <v>2382</v>
      </c>
      <c r="S1" s="5" t="s">
        <v>2383</v>
      </c>
      <c r="T1" s="5" t="s">
        <v>2384</v>
      </c>
      <c r="U1" s="5" t="s">
        <v>2385</v>
      </c>
      <c r="V1" s="5" t="s">
        <v>2386</v>
      </c>
      <c r="W1" s="5" t="s">
        <v>2387</v>
      </c>
      <c r="X1" s="5" t="s">
        <v>2388</v>
      </c>
      <c r="Y1" s="5" t="s">
        <v>2389</v>
      </c>
      <c r="Z1" s="5" t="s">
        <v>2390</v>
      </c>
      <c r="AA1" s="5" t="s">
        <v>2391</v>
      </c>
      <c r="AB1" s="5" t="s">
        <v>2392</v>
      </c>
      <c r="AC1" s="5" t="s">
        <v>2393</v>
      </c>
      <c r="AD1" s="5" t="s">
        <v>2394</v>
      </c>
      <c r="AE1" s="5" t="s">
        <v>2395</v>
      </c>
      <c r="AF1" s="5" t="s">
        <v>2396</v>
      </c>
      <c r="AG1" s="5" t="s">
        <v>2397</v>
      </c>
      <c r="AH1" s="5" t="s">
        <v>2398</v>
      </c>
      <c r="AI1" s="5" t="s">
        <v>2399</v>
      </c>
      <c r="AJ1" s="5" t="s">
        <v>2400</v>
      </c>
      <c r="AK1" s="5" t="s">
        <v>2401</v>
      </c>
      <c r="AL1" s="5" t="s">
        <v>2402</v>
      </c>
      <c r="AM1" s="5" t="s">
        <v>2403</v>
      </c>
      <c r="AN1" s="5" t="s">
        <v>2404</v>
      </c>
      <c r="AO1" s="5" t="s">
        <v>2405</v>
      </c>
    </row>
    <row r="2" ht="15.0" customHeight="1">
      <c r="A2" s="2" t="s">
        <v>178</v>
      </c>
      <c r="B2" s="2">
        <f>SUMPRODUCT((CLTeam=$A2)*CLUseCur)</f>
        <v>0</v>
      </c>
      <c r="C2" s="2">
        <f>SUMPRODUCT((CLTeam=$A2)*CLUseCur*CLEpaOK)</f>
        <v>0</v>
      </c>
      <c r="D2" s="2">
        <f>SUMPRODUCT((CLTeam=$A2)*CLWgtCur)</f>
        <v>0</v>
      </c>
      <c r="E2" s="2" t="str">
        <f>IF($D2=0,"",SUMPRODUCT((CLTeam=$A2)*CLWgtCur*CLPerf)/$D2)</f>
        <v/>
      </c>
      <c r="F2" s="2" t="str">
        <f t="shared" ref="F2:F33" si="1">IF($E2="","",$E2-AVERAGE($E$2:$E$33))</f>
        <v/>
      </c>
      <c r="G2" s="2" t="str">
        <f>IF($B2=0,"",SUMPRODUCT((CLTeam=$A2)*CLUseCur*CLOppP0c)/$B2)</f>
        <v/>
      </c>
      <c r="H2" s="2" t="str">
        <f t="shared" ref="H2:H33" si="2">IF($F2="","",$F2+$G2)</f>
        <v/>
      </c>
      <c r="I2" s="2" t="str">
        <f t="shared" ref="I2:I33" si="3">IF($H2="","",$H2-AVERAGE($H$2:$H$33))</f>
        <v/>
      </c>
      <c r="J2" s="2" t="str">
        <f>IF($B2=0,"",SUMPRODUCT((CLTeam=$A2)*CLUseCur*CLOppP1c)/$B2)</f>
        <v/>
      </c>
      <c r="K2" s="2" t="str">
        <f t="shared" ref="K2:K33" si="4">IF($F2="","",$F2+$J2)</f>
        <v/>
      </c>
      <c r="L2" s="2" t="str">
        <f t="shared" ref="L2:L33" si="5">IF($K2="","",$K2-AVERAGE($K$2:$K$33))</f>
        <v/>
      </c>
      <c r="M2" s="2" t="str">
        <f>IF($B2=0,"",SUMPRODUCT((CLTeam=$A2)*CLUseCur*CLOppP2c)/$B2)</f>
        <v/>
      </c>
      <c r="N2" s="2" t="str">
        <f t="shared" ref="N2:N33" si="6">IF($F2="","",$F2+$M2)</f>
        <v/>
      </c>
      <c r="O2" s="2" t="str">
        <f t="shared" ref="O2:O33" si="7">IF($N2="","",$N2-AVERAGE($N$2:$N$33))</f>
        <v/>
      </c>
      <c r="P2" s="2" t="str">
        <f t="shared" ref="P2:P33" si="8">IF(OR($O2="",$L2=""),"",ROUND(ABS($O2-$L2),2))</f>
        <v/>
      </c>
      <c r="Q2" s="2">
        <f>SUMPRODUCT((CLTeam=$A2)*CLUsePrev)</f>
        <v>0</v>
      </c>
      <c r="R2" s="2">
        <f>SUMPRODUCT((CLTeam=$A2)*CLWgtPrev)</f>
        <v>0</v>
      </c>
      <c r="S2" s="2" t="str">
        <f>IF($R2=0,"",SUMPRODUCT((CLTeam=$A2)*CLWgtPrev*CLPerf)/$R2)</f>
        <v/>
      </c>
      <c r="T2" s="2" t="str">
        <f t="shared" ref="T2:T33" si="9">IF($S2="","",$S2-AVERAGE($S$2:$S$33))</f>
        <v/>
      </c>
      <c r="U2" s="2" t="str">
        <f>IF($Q2=0,"",SUMPRODUCT((CLTeam=$A2)*CLUsePrev*CLOppP0cPv)/$Q2)</f>
        <v/>
      </c>
      <c r="V2" s="2" t="str">
        <f t="shared" ref="V2:V33" si="10">IF($T2="","",$T2+$U2)</f>
        <v/>
      </c>
      <c r="W2" s="2" t="str">
        <f t="shared" ref="W2:W33" si="11">IF($V2="","",$V2-AVERAGE($V$2:$V$33))</f>
        <v/>
      </c>
      <c r="X2" s="2" t="str">
        <f>IF($Q2=0,"",SUMPRODUCT((CLTeam=$A2)*CLUsePrev*CLOppP1cPv)/$Q2)</f>
        <v/>
      </c>
      <c r="Y2" s="2" t="str">
        <f t="shared" ref="Y2:Y33" si="12">IF($T2="","",$T2+$X2)</f>
        <v/>
      </c>
      <c r="Z2" s="2" t="str">
        <f t="shared" ref="Z2:Z33" si="13">IF($Y2="","",$Y2-AVERAGE($Y$2:$Y$33))</f>
        <v/>
      </c>
      <c r="AA2" s="2" t="str">
        <f>IF($Q2=0,"",SUMPRODUCT((CLTeam=$A2)*CLUsePrev*CLOppP2cPv)/$Q2)</f>
        <v/>
      </c>
      <c r="AB2" s="2" t="str">
        <f t="shared" ref="AB2:AB33" si="14">IF($T2="","",$T2+$AA2)</f>
        <v/>
      </c>
      <c r="AC2" s="2" t="str">
        <f t="shared" ref="AC2:AC33" si="15">IF($AB2="","",$AB2-AVERAGE($AB$2:$AB$33))</f>
        <v/>
      </c>
      <c r="AD2" s="2" t="str">
        <f>IF($O2="","",IF($AC2="",$O2,MEDIAN($O2,$AC2-MoveCap,$AC2+MoveCap)))</f>
        <v/>
      </c>
      <c r="AE2" s="2" t="str">
        <f>IF(OR($O2="",$AC2=""),"",IF(ABS($O2-$AC2)&gt;MoveCap,"CAPPED",""))</f>
        <v/>
      </c>
      <c r="AF2" s="2">
        <f>SUMPRODUCT((CLTeam=$A2)*CLTotWgt)</f>
        <v>0</v>
      </c>
      <c r="AG2" s="2" t="str">
        <f>IF($AF2=0,"",SUMPRODUCT((CLTeam=$A2)*CLTotWgt*CLPlays)/$AF2)</f>
        <v/>
      </c>
      <c r="AH2" s="2" t="str">
        <f>IF($AF2=0,"",SUMPRODUCT((CLTeam=$A2)*CLTotWgt*CLOppPlays)/$AF2)</f>
        <v/>
      </c>
      <c r="AI2" s="2" t="str">
        <f>IF($AF2=0,"",SUMPRODUCT((CLTeam=$A2)*CLTotWgt*CLOffPPP)/$AF2)</f>
        <v/>
      </c>
      <c r="AJ2" s="2" t="str">
        <f>IF($AF2=0,"",SUMPRODUCT((CLTeam=$A2)*CLTotWgt*CLDefPPP)/$AF2)</f>
        <v/>
      </c>
      <c r="AK2" s="2" t="str">
        <f>IF($B2=0,"",SUMPRODUCT((CLTeam=$A2)*CLUseCur*CLOppDefPPP)/$B2)</f>
        <v/>
      </c>
      <c r="AL2" s="2" t="str">
        <f>IF($B2=0,"",SUMPRODUCT((CLTeam=$A2)*CLUseCur*CLOppOffPPP)/$B2)</f>
        <v/>
      </c>
      <c r="AM2" s="2" t="str">
        <f>IF(OR($AI2="",$AK2=""),"",$AI2+(CALC!$B$36-$AK2))</f>
        <v/>
      </c>
      <c r="AN2" s="2" t="str">
        <f>IF(OR($AJ2="",$AL2=""),"",$AJ2+(CALC!$B$36-$AL2))</f>
        <v/>
      </c>
      <c r="AO2" s="2" t="str">
        <f>IF($B2=0,"",SUMPRODUCT((CLTeam=$A2)*CLUseCur*CLPerf)/MAX(1,$B2))</f>
        <v/>
      </c>
    </row>
    <row r="3" ht="15.0" customHeight="1">
      <c r="A3" s="2" t="s">
        <v>132</v>
      </c>
      <c r="B3" s="2">
        <f>SUMPRODUCT((CLTeam=$A3)*CLUseCur)</f>
        <v>0</v>
      </c>
      <c r="C3" s="2">
        <f>SUMPRODUCT((CLTeam=$A3)*CLUseCur*CLEpaOK)</f>
        <v>0</v>
      </c>
      <c r="D3" s="2">
        <f>SUMPRODUCT((CLTeam=$A3)*CLWgtCur)</f>
        <v>0</v>
      </c>
      <c r="E3" s="2" t="str">
        <f>IF($D3=0,"",SUMPRODUCT((CLTeam=$A3)*CLWgtCur*CLPerf)/$D3)</f>
        <v/>
      </c>
      <c r="F3" s="2" t="str">
        <f t="shared" si="1"/>
        <v/>
      </c>
      <c r="G3" s="2" t="str">
        <f>IF($B3=0,"",SUMPRODUCT((CLTeam=$A3)*CLUseCur*CLOppP0c)/$B3)</f>
        <v/>
      </c>
      <c r="H3" s="2" t="str">
        <f t="shared" si="2"/>
        <v/>
      </c>
      <c r="I3" s="2" t="str">
        <f t="shared" si="3"/>
        <v/>
      </c>
      <c r="J3" s="2" t="str">
        <f>IF($B3=0,"",SUMPRODUCT((CLTeam=$A3)*CLUseCur*CLOppP1c)/$B3)</f>
        <v/>
      </c>
      <c r="K3" s="2" t="str">
        <f t="shared" si="4"/>
        <v/>
      </c>
      <c r="L3" s="2" t="str">
        <f t="shared" si="5"/>
        <v/>
      </c>
      <c r="M3" s="2" t="str">
        <f>IF($B3=0,"",SUMPRODUCT((CLTeam=$A3)*CLUseCur*CLOppP2c)/$B3)</f>
        <v/>
      </c>
      <c r="N3" s="2" t="str">
        <f t="shared" si="6"/>
        <v/>
      </c>
      <c r="O3" s="2" t="str">
        <f t="shared" si="7"/>
        <v/>
      </c>
      <c r="P3" s="2" t="str">
        <f t="shared" si="8"/>
        <v/>
      </c>
      <c r="Q3" s="2">
        <f>SUMPRODUCT((CLTeam=$A3)*CLUsePrev)</f>
        <v>0</v>
      </c>
      <c r="R3" s="2">
        <f>SUMPRODUCT((CLTeam=$A3)*CLWgtPrev)</f>
        <v>0</v>
      </c>
      <c r="S3" s="2" t="str">
        <f>IF($R3=0,"",SUMPRODUCT((CLTeam=$A3)*CLWgtPrev*CLPerf)/$R3)</f>
        <v/>
      </c>
      <c r="T3" s="2" t="str">
        <f t="shared" si="9"/>
        <v/>
      </c>
      <c r="U3" s="2" t="str">
        <f>IF($Q3=0,"",SUMPRODUCT((CLTeam=$A3)*CLUsePrev*CLOppP0cPv)/$Q3)</f>
        <v/>
      </c>
      <c r="V3" s="2" t="str">
        <f t="shared" si="10"/>
        <v/>
      </c>
      <c r="W3" s="2" t="str">
        <f t="shared" si="11"/>
        <v/>
      </c>
      <c r="X3" s="2" t="str">
        <f>IF($Q3=0,"",SUMPRODUCT((CLTeam=$A3)*CLUsePrev*CLOppP1cPv)/$Q3)</f>
        <v/>
      </c>
      <c r="Y3" s="2" t="str">
        <f t="shared" si="12"/>
        <v/>
      </c>
      <c r="Z3" s="2" t="str">
        <f t="shared" si="13"/>
        <v/>
      </c>
      <c r="AA3" s="2" t="str">
        <f>IF($Q3=0,"",SUMPRODUCT((CLTeam=$A3)*CLUsePrev*CLOppP2cPv)/$Q3)</f>
        <v/>
      </c>
      <c r="AB3" s="2" t="str">
        <f t="shared" si="14"/>
        <v/>
      </c>
      <c r="AC3" s="2" t="str">
        <f t="shared" si="15"/>
        <v/>
      </c>
      <c r="AD3" s="2" t="str">
        <f>IF($O3="","",IF($AC3="",$O3,MEDIAN($O3,$AC3-MoveCap,$AC3+MoveCap)))</f>
        <v/>
      </c>
      <c r="AE3" s="2" t="str">
        <f>IF(OR($O3="",$AC3=""),"",IF(ABS($O3-$AC3)&gt;MoveCap,"CAPPED",""))</f>
        <v/>
      </c>
      <c r="AF3" s="2">
        <f>SUMPRODUCT((CLTeam=$A3)*CLTotWgt)</f>
        <v>0</v>
      </c>
      <c r="AG3" s="2" t="str">
        <f>IF($AF3=0,"",SUMPRODUCT((CLTeam=$A3)*CLTotWgt*CLPlays)/$AF3)</f>
        <v/>
      </c>
      <c r="AH3" s="2" t="str">
        <f>IF($AF3=0,"",SUMPRODUCT((CLTeam=$A3)*CLTotWgt*CLOppPlays)/$AF3)</f>
        <v/>
      </c>
      <c r="AI3" s="2" t="str">
        <f>IF($AF3=0,"",SUMPRODUCT((CLTeam=$A3)*CLTotWgt*CLOffPPP)/$AF3)</f>
        <v/>
      </c>
      <c r="AJ3" s="2" t="str">
        <f>IF($AF3=0,"",SUMPRODUCT((CLTeam=$A3)*CLTotWgt*CLDefPPP)/$AF3)</f>
        <v/>
      </c>
      <c r="AK3" s="2" t="str">
        <f>IF($B3=0,"",SUMPRODUCT((CLTeam=$A3)*CLUseCur*CLOppDefPPP)/$B3)</f>
        <v/>
      </c>
      <c r="AL3" s="2" t="str">
        <f>IF($B3=0,"",SUMPRODUCT((CLTeam=$A3)*CLUseCur*CLOppOffPPP)/$B3)</f>
        <v/>
      </c>
      <c r="AM3" s="2" t="str">
        <f>IF(OR($AI3="",$AK3=""),"",$AI3+(CALC!$B$36-$AK3))</f>
        <v/>
      </c>
      <c r="AN3" s="2" t="str">
        <f>IF(OR($AJ3="",$AL3=""),"",$AJ3+(CALC!$B$36-$AL3))</f>
        <v/>
      </c>
      <c r="AO3" s="2" t="str">
        <f>IF($B3=0,"",SUMPRODUCT((CLTeam=$A3)*CLUseCur*CLPerf)/MAX(1,$B3))</f>
        <v/>
      </c>
    </row>
    <row r="4" ht="15.0" customHeight="1">
      <c r="A4" s="2" t="s">
        <v>148</v>
      </c>
      <c r="B4" s="2">
        <f>SUMPRODUCT((CLTeam=$A4)*CLUseCur)</f>
        <v>0</v>
      </c>
      <c r="C4" s="2">
        <f>SUMPRODUCT((CLTeam=$A4)*CLUseCur*CLEpaOK)</f>
        <v>0</v>
      </c>
      <c r="D4" s="2">
        <f>SUMPRODUCT((CLTeam=$A4)*CLWgtCur)</f>
        <v>0</v>
      </c>
      <c r="E4" s="2" t="str">
        <f>IF($D4=0,"",SUMPRODUCT((CLTeam=$A4)*CLWgtCur*CLPerf)/$D4)</f>
        <v/>
      </c>
      <c r="F4" s="2" t="str">
        <f t="shared" si="1"/>
        <v/>
      </c>
      <c r="G4" s="2" t="str">
        <f>IF($B4=0,"",SUMPRODUCT((CLTeam=$A4)*CLUseCur*CLOppP0c)/$B4)</f>
        <v/>
      </c>
      <c r="H4" s="2" t="str">
        <f t="shared" si="2"/>
        <v/>
      </c>
      <c r="I4" s="2" t="str">
        <f t="shared" si="3"/>
        <v/>
      </c>
      <c r="J4" s="2" t="str">
        <f>IF($B4=0,"",SUMPRODUCT((CLTeam=$A4)*CLUseCur*CLOppP1c)/$B4)</f>
        <v/>
      </c>
      <c r="K4" s="2" t="str">
        <f t="shared" si="4"/>
        <v/>
      </c>
      <c r="L4" s="2" t="str">
        <f t="shared" si="5"/>
        <v/>
      </c>
      <c r="M4" s="2" t="str">
        <f>IF($B4=0,"",SUMPRODUCT((CLTeam=$A4)*CLUseCur*CLOppP2c)/$B4)</f>
        <v/>
      </c>
      <c r="N4" s="2" t="str">
        <f t="shared" si="6"/>
        <v/>
      </c>
      <c r="O4" s="2" t="str">
        <f t="shared" si="7"/>
        <v/>
      </c>
      <c r="P4" s="2" t="str">
        <f t="shared" si="8"/>
        <v/>
      </c>
      <c r="Q4" s="2">
        <f>SUMPRODUCT((CLTeam=$A4)*CLUsePrev)</f>
        <v>0</v>
      </c>
      <c r="R4" s="2">
        <f>SUMPRODUCT((CLTeam=$A4)*CLWgtPrev)</f>
        <v>0</v>
      </c>
      <c r="S4" s="2" t="str">
        <f>IF($R4=0,"",SUMPRODUCT((CLTeam=$A4)*CLWgtPrev*CLPerf)/$R4)</f>
        <v/>
      </c>
      <c r="T4" s="2" t="str">
        <f t="shared" si="9"/>
        <v/>
      </c>
      <c r="U4" s="2" t="str">
        <f>IF($Q4=0,"",SUMPRODUCT((CLTeam=$A4)*CLUsePrev*CLOppP0cPv)/$Q4)</f>
        <v/>
      </c>
      <c r="V4" s="2" t="str">
        <f t="shared" si="10"/>
        <v/>
      </c>
      <c r="W4" s="2" t="str">
        <f t="shared" si="11"/>
        <v/>
      </c>
      <c r="X4" s="2" t="str">
        <f>IF($Q4=0,"",SUMPRODUCT((CLTeam=$A4)*CLUsePrev*CLOppP1cPv)/$Q4)</f>
        <v/>
      </c>
      <c r="Y4" s="2" t="str">
        <f t="shared" si="12"/>
        <v/>
      </c>
      <c r="Z4" s="2" t="str">
        <f t="shared" si="13"/>
        <v/>
      </c>
      <c r="AA4" s="2" t="str">
        <f>IF($Q4=0,"",SUMPRODUCT((CLTeam=$A4)*CLUsePrev*CLOppP2cPv)/$Q4)</f>
        <v/>
      </c>
      <c r="AB4" s="2" t="str">
        <f t="shared" si="14"/>
        <v/>
      </c>
      <c r="AC4" s="2" t="str">
        <f t="shared" si="15"/>
        <v/>
      </c>
      <c r="AD4" s="2" t="str">
        <f>IF($O4="","",IF($AC4="",$O4,MEDIAN($O4,$AC4-MoveCap,$AC4+MoveCap)))</f>
        <v/>
      </c>
      <c r="AE4" s="2" t="str">
        <f>IF(OR($O4="",$AC4=""),"",IF(ABS($O4-$AC4)&gt;MoveCap,"CAPPED",""))</f>
        <v/>
      </c>
      <c r="AF4" s="2">
        <f>SUMPRODUCT((CLTeam=$A4)*CLTotWgt)</f>
        <v>0</v>
      </c>
      <c r="AG4" s="2" t="str">
        <f>IF($AF4=0,"",SUMPRODUCT((CLTeam=$A4)*CLTotWgt*CLPlays)/$AF4)</f>
        <v/>
      </c>
      <c r="AH4" s="2" t="str">
        <f>IF($AF4=0,"",SUMPRODUCT((CLTeam=$A4)*CLTotWgt*CLOppPlays)/$AF4)</f>
        <v/>
      </c>
      <c r="AI4" s="2" t="str">
        <f>IF($AF4=0,"",SUMPRODUCT((CLTeam=$A4)*CLTotWgt*CLOffPPP)/$AF4)</f>
        <v/>
      </c>
      <c r="AJ4" s="2" t="str">
        <f>IF($AF4=0,"",SUMPRODUCT((CLTeam=$A4)*CLTotWgt*CLDefPPP)/$AF4)</f>
        <v/>
      </c>
      <c r="AK4" s="2" t="str">
        <f>IF($B4=0,"",SUMPRODUCT((CLTeam=$A4)*CLUseCur*CLOppDefPPP)/$B4)</f>
        <v/>
      </c>
      <c r="AL4" s="2" t="str">
        <f>IF($B4=0,"",SUMPRODUCT((CLTeam=$A4)*CLUseCur*CLOppOffPPP)/$B4)</f>
        <v/>
      </c>
      <c r="AM4" s="2" t="str">
        <f>IF(OR($AI4="",$AK4=""),"",$AI4+(CALC!$B$36-$AK4))</f>
        <v/>
      </c>
      <c r="AN4" s="2" t="str">
        <f>IF(OR($AJ4="",$AL4=""),"",$AJ4+(CALC!$B$36-$AL4))</f>
        <v/>
      </c>
      <c r="AO4" s="2" t="str">
        <f>IF($B4=0,"",SUMPRODUCT((CLTeam=$A4)*CLUseCur*CLPerf)/MAX(1,$B4))</f>
        <v/>
      </c>
    </row>
    <row r="5" ht="15.0" customHeight="1">
      <c r="A5" s="2" t="s">
        <v>136</v>
      </c>
      <c r="B5" s="2">
        <f>SUMPRODUCT((CLTeam=$A5)*CLUseCur)</f>
        <v>0</v>
      </c>
      <c r="C5" s="2">
        <f>SUMPRODUCT((CLTeam=$A5)*CLUseCur*CLEpaOK)</f>
        <v>0</v>
      </c>
      <c r="D5" s="2">
        <f>SUMPRODUCT((CLTeam=$A5)*CLWgtCur)</f>
        <v>0</v>
      </c>
      <c r="E5" s="2" t="str">
        <f>IF($D5=0,"",SUMPRODUCT((CLTeam=$A5)*CLWgtCur*CLPerf)/$D5)</f>
        <v/>
      </c>
      <c r="F5" s="2" t="str">
        <f t="shared" si="1"/>
        <v/>
      </c>
      <c r="G5" s="2" t="str">
        <f>IF($B5=0,"",SUMPRODUCT((CLTeam=$A5)*CLUseCur*CLOppP0c)/$B5)</f>
        <v/>
      </c>
      <c r="H5" s="2" t="str">
        <f t="shared" si="2"/>
        <v/>
      </c>
      <c r="I5" s="2" t="str">
        <f t="shared" si="3"/>
        <v/>
      </c>
      <c r="J5" s="2" t="str">
        <f>IF($B5=0,"",SUMPRODUCT((CLTeam=$A5)*CLUseCur*CLOppP1c)/$B5)</f>
        <v/>
      </c>
      <c r="K5" s="2" t="str">
        <f t="shared" si="4"/>
        <v/>
      </c>
      <c r="L5" s="2" t="str">
        <f t="shared" si="5"/>
        <v/>
      </c>
      <c r="M5" s="2" t="str">
        <f>IF($B5=0,"",SUMPRODUCT((CLTeam=$A5)*CLUseCur*CLOppP2c)/$B5)</f>
        <v/>
      </c>
      <c r="N5" s="2" t="str">
        <f t="shared" si="6"/>
        <v/>
      </c>
      <c r="O5" s="2" t="str">
        <f t="shared" si="7"/>
        <v/>
      </c>
      <c r="P5" s="2" t="str">
        <f t="shared" si="8"/>
        <v/>
      </c>
      <c r="Q5" s="2">
        <f>SUMPRODUCT((CLTeam=$A5)*CLUsePrev)</f>
        <v>0</v>
      </c>
      <c r="R5" s="2">
        <f>SUMPRODUCT((CLTeam=$A5)*CLWgtPrev)</f>
        <v>0</v>
      </c>
      <c r="S5" s="2" t="str">
        <f>IF($R5=0,"",SUMPRODUCT((CLTeam=$A5)*CLWgtPrev*CLPerf)/$R5)</f>
        <v/>
      </c>
      <c r="T5" s="2" t="str">
        <f t="shared" si="9"/>
        <v/>
      </c>
      <c r="U5" s="2" t="str">
        <f>IF($Q5=0,"",SUMPRODUCT((CLTeam=$A5)*CLUsePrev*CLOppP0cPv)/$Q5)</f>
        <v/>
      </c>
      <c r="V5" s="2" t="str">
        <f t="shared" si="10"/>
        <v/>
      </c>
      <c r="W5" s="2" t="str">
        <f t="shared" si="11"/>
        <v/>
      </c>
      <c r="X5" s="2" t="str">
        <f>IF($Q5=0,"",SUMPRODUCT((CLTeam=$A5)*CLUsePrev*CLOppP1cPv)/$Q5)</f>
        <v/>
      </c>
      <c r="Y5" s="2" t="str">
        <f t="shared" si="12"/>
        <v/>
      </c>
      <c r="Z5" s="2" t="str">
        <f t="shared" si="13"/>
        <v/>
      </c>
      <c r="AA5" s="2" t="str">
        <f>IF($Q5=0,"",SUMPRODUCT((CLTeam=$A5)*CLUsePrev*CLOppP2cPv)/$Q5)</f>
        <v/>
      </c>
      <c r="AB5" s="2" t="str">
        <f t="shared" si="14"/>
        <v/>
      </c>
      <c r="AC5" s="2" t="str">
        <f t="shared" si="15"/>
        <v/>
      </c>
      <c r="AD5" s="2" t="str">
        <f>IF($O5="","",IF($AC5="",$O5,MEDIAN($O5,$AC5-MoveCap,$AC5+MoveCap)))</f>
        <v/>
      </c>
      <c r="AE5" s="2" t="str">
        <f>IF(OR($O5="",$AC5=""),"",IF(ABS($O5-$AC5)&gt;MoveCap,"CAPPED",""))</f>
        <v/>
      </c>
      <c r="AF5" s="2">
        <f>SUMPRODUCT((CLTeam=$A5)*CLTotWgt)</f>
        <v>0</v>
      </c>
      <c r="AG5" s="2" t="str">
        <f>IF($AF5=0,"",SUMPRODUCT((CLTeam=$A5)*CLTotWgt*CLPlays)/$AF5)</f>
        <v/>
      </c>
      <c r="AH5" s="2" t="str">
        <f>IF($AF5=0,"",SUMPRODUCT((CLTeam=$A5)*CLTotWgt*CLOppPlays)/$AF5)</f>
        <v/>
      </c>
      <c r="AI5" s="2" t="str">
        <f>IF($AF5=0,"",SUMPRODUCT((CLTeam=$A5)*CLTotWgt*CLOffPPP)/$AF5)</f>
        <v/>
      </c>
      <c r="AJ5" s="2" t="str">
        <f>IF($AF5=0,"",SUMPRODUCT((CLTeam=$A5)*CLTotWgt*CLDefPPP)/$AF5)</f>
        <v/>
      </c>
      <c r="AK5" s="2" t="str">
        <f>IF($B5=0,"",SUMPRODUCT((CLTeam=$A5)*CLUseCur*CLOppDefPPP)/$B5)</f>
        <v/>
      </c>
      <c r="AL5" s="2" t="str">
        <f>IF($B5=0,"",SUMPRODUCT((CLTeam=$A5)*CLUseCur*CLOppOffPPP)/$B5)</f>
        <v/>
      </c>
      <c r="AM5" s="2" t="str">
        <f>IF(OR($AI5="",$AK5=""),"",$AI5+(CALC!$B$36-$AK5))</f>
        <v/>
      </c>
      <c r="AN5" s="2" t="str">
        <f>IF(OR($AJ5="",$AL5=""),"",$AJ5+(CALC!$B$36-$AL5))</f>
        <v/>
      </c>
      <c r="AO5" s="2" t="str">
        <f>IF($B5=0,"",SUMPRODUCT((CLTeam=$A5)*CLUseCur*CLPerf)/MAX(1,$B5))</f>
        <v/>
      </c>
    </row>
    <row r="6" ht="15.0" customHeight="1">
      <c r="A6" s="2" t="s">
        <v>189</v>
      </c>
      <c r="B6" s="2">
        <f>SUMPRODUCT((CLTeam=$A6)*CLUseCur)</f>
        <v>0</v>
      </c>
      <c r="C6" s="2">
        <f>SUMPRODUCT((CLTeam=$A6)*CLUseCur*CLEpaOK)</f>
        <v>0</v>
      </c>
      <c r="D6" s="2">
        <f>SUMPRODUCT((CLTeam=$A6)*CLWgtCur)</f>
        <v>0</v>
      </c>
      <c r="E6" s="2" t="str">
        <f>IF($D6=0,"",SUMPRODUCT((CLTeam=$A6)*CLWgtCur*CLPerf)/$D6)</f>
        <v/>
      </c>
      <c r="F6" s="2" t="str">
        <f t="shared" si="1"/>
        <v/>
      </c>
      <c r="G6" s="2" t="str">
        <f>IF($B6=0,"",SUMPRODUCT((CLTeam=$A6)*CLUseCur*CLOppP0c)/$B6)</f>
        <v/>
      </c>
      <c r="H6" s="2" t="str">
        <f t="shared" si="2"/>
        <v/>
      </c>
      <c r="I6" s="2" t="str">
        <f t="shared" si="3"/>
        <v/>
      </c>
      <c r="J6" s="2" t="str">
        <f>IF($B6=0,"",SUMPRODUCT((CLTeam=$A6)*CLUseCur*CLOppP1c)/$B6)</f>
        <v/>
      </c>
      <c r="K6" s="2" t="str">
        <f t="shared" si="4"/>
        <v/>
      </c>
      <c r="L6" s="2" t="str">
        <f t="shared" si="5"/>
        <v/>
      </c>
      <c r="M6" s="2" t="str">
        <f>IF($B6=0,"",SUMPRODUCT((CLTeam=$A6)*CLUseCur*CLOppP2c)/$B6)</f>
        <v/>
      </c>
      <c r="N6" s="2" t="str">
        <f t="shared" si="6"/>
        <v/>
      </c>
      <c r="O6" s="2" t="str">
        <f t="shared" si="7"/>
        <v/>
      </c>
      <c r="P6" s="2" t="str">
        <f t="shared" si="8"/>
        <v/>
      </c>
      <c r="Q6" s="2">
        <f>SUMPRODUCT((CLTeam=$A6)*CLUsePrev)</f>
        <v>0</v>
      </c>
      <c r="R6" s="2">
        <f>SUMPRODUCT((CLTeam=$A6)*CLWgtPrev)</f>
        <v>0</v>
      </c>
      <c r="S6" s="2" t="str">
        <f>IF($R6=0,"",SUMPRODUCT((CLTeam=$A6)*CLWgtPrev*CLPerf)/$R6)</f>
        <v/>
      </c>
      <c r="T6" s="2" t="str">
        <f t="shared" si="9"/>
        <v/>
      </c>
      <c r="U6" s="2" t="str">
        <f>IF($Q6=0,"",SUMPRODUCT((CLTeam=$A6)*CLUsePrev*CLOppP0cPv)/$Q6)</f>
        <v/>
      </c>
      <c r="V6" s="2" t="str">
        <f t="shared" si="10"/>
        <v/>
      </c>
      <c r="W6" s="2" t="str">
        <f t="shared" si="11"/>
        <v/>
      </c>
      <c r="X6" s="2" t="str">
        <f>IF($Q6=0,"",SUMPRODUCT((CLTeam=$A6)*CLUsePrev*CLOppP1cPv)/$Q6)</f>
        <v/>
      </c>
      <c r="Y6" s="2" t="str">
        <f t="shared" si="12"/>
        <v/>
      </c>
      <c r="Z6" s="2" t="str">
        <f t="shared" si="13"/>
        <v/>
      </c>
      <c r="AA6" s="2" t="str">
        <f>IF($Q6=0,"",SUMPRODUCT((CLTeam=$A6)*CLUsePrev*CLOppP2cPv)/$Q6)</f>
        <v/>
      </c>
      <c r="AB6" s="2" t="str">
        <f t="shared" si="14"/>
        <v/>
      </c>
      <c r="AC6" s="2" t="str">
        <f t="shared" si="15"/>
        <v/>
      </c>
      <c r="AD6" s="2" t="str">
        <f>IF($O6="","",IF($AC6="",$O6,MEDIAN($O6,$AC6-MoveCap,$AC6+MoveCap)))</f>
        <v/>
      </c>
      <c r="AE6" s="2" t="str">
        <f>IF(OR($O6="",$AC6=""),"",IF(ABS($O6-$AC6)&gt;MoveCap,"CAPPED",""))</f>
        <v/>
      </c>
      <c r="AF6" s="2">
        <f>SUMPRODUCT((CLTeam=$A6)*CLTotWgt)</f>
        <v>0</v>
      </c>
      <c r="AG6" s="2" t="str">
        <f>IF($AF6=0,"",SUMPRODUCT((CLTeam=$A6)*CLTotWgt*CLPlays)/$AF6)</f>
        <v/>
      </c>
      <c r="AH6" s="2" t="str">
        <f>IF($AF6=0,"",SUMPRODUCT((CLTeam=$A6)*CLTotWgt*CLOppPlays)/$AF6)</f>
        <v/>
      </c>
      <c r="AI6" s="2" t="str">
        <f>IF($AF6=0,"",SUMPRODUCT((CLTeam=$A6)*CLTotWgt*CLOffPPP)/$AF6)</f>
        <v/>
      </c>
      <c r="AJ6" s="2" t="str">
        <f>IF($AF6=0,"",SUMPRODUCT((CLTeam=$A6)*CLTotWgt*CLDefPPP)/$AF6)</f>
        <v/>
      </c>
      <c r="AK6" s="2" t="str">
        <f>IF($B6=0,"",SUMPRODUCT((CLTeam=$A6)*CLUseCur*CLOppDefPPP)/$B6)</f>
        <v/>
      </c>
      <c r="AL6" s="2" t="str">
        <f>IF($B6=0,"",SUMPRODUCT((CLTeam=$A6)*CLUseCur*CLOppOffPPP)/$B6)</f>
        <v/>
      </c>
      <c r="AM6" s="2" t="str">
        <f>IF(OR($AI6="",$AK6=""),"",$AI6+(CALC!$B$36-$AK6))</f>
        <v/>
      </c>
      <c r="AN6" s="2" t="str">
        <f>IF(OR($AJ6="",$AL6=""),"",$AJ6+(CALC!$B$36-$AL6))</f>
        <v/>
      </c>
      <c r="AO6" s="2" t="str">
        <f>IF($B6=0,"",SUMPRODUCT((CLTeam=$A6)*CLUseCur*CLPerf)/MAX(1,$B6))</f>
        <v/>
      </c>
    </row>
    <row r="7" ht="15.0" customHeight="1">
      <c r="A7" s="2" t="s">
        <v>137</v>
      </c>
      <c r="B7" s="2">
        <f>SUMPRODUCT((CLTeam=$A7)*CLUseCur)</f>
        <v>0</v>
      </c>
      <c r="C7" s="2">
        <f>SUMPRODUCT((CLTeam=$A7)*CLUseCur*CLEpaOK)</f>
        <v>0</v>
      </c>
      <c r="D7" s="2">
        <f>SUMPRODUCT((CLTeam=$A7)*CLWgtCur)</f>
        <v>0</v>
      </c>
      <c r="E7" s="2" t="str">
        <f>IF($D7=0,"",SUMPRODUCT((CLTeam=$A7)*CLWgtCur*CLPerf)/$D7)</f>
        <v/>
      </c>
      <c r="F7" s="2" t="str">
        <f t="shared" si="1"/>
        <v/>
      </c>
      <c r="G7" s="2" t="str">
        <f>IF($B7=0,"",SUMPRODUCT((CLTeam=$A7)*CLUseCur*CLOppP0c)/$B7)</f>
        <v/>
      </c>
      <c r="H7" s="2" t="str">
        <f t="shared" si="2"/>
        <v/>
      </c>
      <c r="I7" s="2" t="str">
        <f t="shared" si="3"/>
        <v/>
      </c>
      <c r="J7" s="2" t="str">
        <f>IF($B7=0,"",SUMPRODUCT((CLTeam=$A7)*CLUseCur*CLOppP1c)/$B7)</f>
        <v/>
      </c>
      <c r="K7" s="2" t="str">
        <f t="shared" si="4"/>
        <v/>
      </c>
      <c r="L7" s="2" t="str">
        <f t="shared" si="5"/>
        <v/>
      </c>
      <c r="M7" s="2" t="str">
        <f>IF($B7=0,"",SUMPRODUCT((CLTeam=$A7)*CLUseCur*CLOppP2c)/$B7)</f>
        <v/>
      </c>
      <c r="N7" s="2" t="str">
        <f t="shared" si="6"/>
        <v/>
      </c>
      <c r="O7" s="2" t="str">
        <f t="shared" si="7"/>
        <v/>
      </c>
      <c r="P7" s="2" t="str">
        <f t="shared" si="8"/>
        <v/>
      </c>
      <c r="Q7" s="2">
        <f>SUMPRODUCT((CLTeam=$A7)*CLUsePrev)</f>
        <v>0</v>
      </c>
      <c r="R7" s="2">
        <f>SUMPRODUCT((CLTeam=$A7)*CLWgtPrev)</f>
        <v>0</v>
      </c>
      <c r="S7" s="2" t="str">
        <f>IF($R7=0,"",SUMPRODUCT((CLTeam=$A7)*CLWgtPrev*CLPerf)/$R7)</f>
        <v/>
      </c>
      <c r="T7" s="2" t="str">
        <f t="shared" si="9"/>
        <v/>
      </c>
      <c r="U7" s="2" t="str">
        <f>IF($Q7=0,"",SUMPRODUCT((CLTeam=$A7)*CLUsePrev*CLOppP0cPv)/$Q7)</f>
        <v/>
      </c>
      <c r="V7" s="2" t="str">
        <f t="shared" si="10"/>
        <v/>
      </c>
      <c r="W7" s="2" t="str">
        <f t="shared" si="11"/>
        <v/>
      </c>
      <c r="X7" s="2" t="str">
        <f>IF($Q7=0,"",SUMPRODUCT((CLTeam=$A7)*CLUsePrev*CLOppP1cPv)/$Q7)</f>
        <v/>
      </c>
      <c r="Y7" s="2" t="str">
        <f t="shared" si="12"/>
        <v/>
      </c>
      <c r="Z7" s="2" t="str">
        <f t="shared" si="13"/>
        <v/>
      </c>
      <c r="AA7" s="2" t="str">
        <f>IF($Q7=0,"",SUMPRODUCT((CLTeam=$A7)*CLUsePrev*CLOppP2cPv)/$Q7)</f>
        <v/>
      </c>
      <c r="AB7" s="2" t="str">
        <f t="shared" si="14"/>
        <v/>
      </c>
      <c r="AC7" s="2" t="str">
        <f t="shared" si="15"/>
        <v/>
      </c>
      <c r="AD7" s="2" t="str">
        <f>IF($O7="","",IF($AC7="",$O7,MEDIAN($O7,$AC7-MoveCap,$AC7+MoveCap)))</f>
        <v/>
      </c>
      <c r="AE7" s="2" t="str">
        <f>IF(OR($O7="",$AC7=""),"",IF(ABS($O7-$AC7)&gt;MoveCap,"CAPPED",""))</f>
        <v/>
      </c>
      <c r="AF7" s="2">
        <f>SUMPRODUCT((CLTeam=$A7)*CLTotWgt)</f>
        <v>0</v>
      </c>
      <c r="AG7" s="2" t="str">
        <f>IF($AF7=0,"",SUMPRODUCT((CLTeam=$A7)*CLTotWgt*CLPlays)/$AF7)</f>
        <v/>
      </c>
      <c r="AH7" s="2" t="str">
        <f>IF($AF7=0,"",SUMPRODUCT((CLTeam=$A7)*CLTotWgt*CLOppPlays)/$AF7)</f>
        <v/>
      </c>
      <c r="AI7" s="2" t="str">
        <f>IF($AF7=0,"",SUMPRODUCT((CLTeam=$A7)*CLTotWgt*CLOffPPP)/$AF7)</f>
        <v/>
      </c>
      <c r="AJ7" s="2" t="str">
        <f>IF($AF7=0,"",SUMPRODUCT((CLTeam=$A7)*CLTotWgt*CLDefPPP)/$AF7)</f>
        <v/>
      </c>
      <c r="AK7" s="2" t="str">
        <f>IF($B7=0,"",SUMPRODUCT((CLTeam=$A7)*CLUseCur*CLOppDefPPP)/$B7)</f>
        <v/>
      </c>
      <c r="AL7" s="2" t="str">
        <f>IF($B7=0,"",SUMPRODUCT((CLTeam=$A7)*CLUseCur*CLOppOffPPP)/$B7)</f>
        <v/>
      </c>
      <c r="AM7" s="2" t="str">
        <f>IF(OR($AI7="",$AK7=""),"",$AI7+(CALC!$B$36-$AK7))</f>
        <v/>
      </c>
      <c r="AN7" s="2" t="str">
        <f>IF(OR($AJ7="",$AL7=""),"",$AJ7+(CALC!$B$36-$AL7))</f>
        <v/>
      </c>
      <c r="AO7" s="2" t="str">
        <f>IF($B7=0,"",SUMPRODUCT((CLTeam=$A7)*CLUseCur*CLPerf)/MAX(1,$B7))</f>
        <v/>
      </c>
    </row>
    <row r="8" ht="15.0" customHeight="1">
      <c r="A8" s="2" t="s">
        <v>138</v>
      </c>
      <c r="B8" s="2">
        <f>SUMPRODUCT((CLTeam=$A8)*CLUseCur)</f>
        <v>0</v>
      </c>
      <c r="C8" s="2">
        <f>SUMPRODUCT((CLTeam=$A8)*CLUseCur*CLEpaOK)</f>
        <v>0</v>
      </c>
      <c r="D8" s="2">
        <f>SUMPRODUCT((CLTeam=$A8)*CLWgtCur)</f>
        <v>0</v>
      </c>
      <c r="E8" s="2" t="str">
        <f>IF($D8=0,"",SUMPRODUCT((CLTeam=$A8)*CLWgtCur*CLPerf)/$D8)</f>
        <v/>
      </c>
      <c r="F8" s="2" t="str">
        <f t="shared" si="1"/>
        <v/>
      </c>
      <c r="G8" s="2" t="str">
        <f>IF($B8=0,"",SUMPRODUCT((CLTeam=$A8)*CLUseCur*CLOppP0c)/$B8)</f>
        <v/>
      </c>
      <c r="H8" s="2" t="str">
        <f t="shared" si="2"/>
        <v/>
      </c>
      <c r="I8" s="2" t="str">
        <f t="shared" si="3"/>
        <v/>
      </c>
      <c r="J8" s="2" t="str">
        <f>IF($B8=0,"",SUMPRODUCT((CLTeam=$A8)*CLUseCur*CLOppP1c)/$B8)</f>
        <v/>
      </c>
      <c r="K8" s="2" t="str">
        <f t="shared" si="4"/>
        <v/>
      </c>
      <c r="L8" s="2" t="str">
        <f t="shared" si="5"/>
        <v/>
      </c>
      <c r="M8" s="2" t="str">
        <f>IF($B8=0,"",SUMPRODUCT((CLTeam=$A8)*CLUseCur*CLOppP2c)/$B8)</f>
        <v/>
      </c>
      <c r="N8" s="2" t="str">
        <f t="shared" si="6"/>
        <v/>
      </c>
      <c r="O8" s="2" t="str">
        <f t="shared" si="7"/>
        <v/>
      </c>
      <c r="P8" s="2" t="str">
        <f t="shared" si="8"/>
        <v/>
      </c>
      <c r="Q8" s="2">
        <f>SUMPRODUCT((CLTeam=$A8)*CLUsePrev)</f>
        <v>0</v>
      </c>
      <c r="R8" s="2">
        <f>SUMPRODUCT((CLTeam=$A8)*CLWgtPrev)</f>
        <v>0</v>
      </c>
      <c r="S8" s="2" t="str">
        <f>IF($R8=0,"",SUMPRODUCT((CLTeam=$A8)*CLWgtPrev*CLPerf)/$R8)</f>
        <v/>
      </c>
      <c r="T8" s="2" t="str">
        <f t="shared" si="9"/>
        <v/>
      </c>
      <c r="U8" s="2" t="str">
        <f>IF($Q8=0,"",SUMPRODUCT((CLTeam=$A8)*CLUsePrev*CLOppP0cPv)/$Q8)</f>
        <v/>
      </c>
      <c r="V8" s="2" t="str">
        <f t="shared" si="10"/>
        <v/>
      </c>
      <c r="W8" s="2" t="str">
        <f t="shared" si="11"/>
        <v/>
      </c>
      <c r="X8" s="2" t="str">
        <f>IF($Q8=0,"",SUMPRODUCT((CLTeam=$A8)*CLUsePrev*CLOppP1cPv)/$Q8)</f>
        <v/>
      </c>
      <c r="Y8" s="2" t="str">
        <f t="shared" si="12"/>
        <v/>
      </c>
      <c r="Z8" s="2" t="str">
        <f t="shared" si="13"/>
        <v/>
      </c>
      <c r="AA8" s="2" t="str">
        <f>IF($Q8=0,"",SUMPRODUCT((CLTeam=$A8)*CLUsePrev*CLOppP2cPv)/$Q8)</f>
        <v/>
      </c>
      <c r="AB8" s="2" t="str">
        <f t="shared" si="14"/>
        <v/>
      </c>
      <c r="AC8" s="2" t="str">
        <f t="shared" si="15"/>
        <v/>
      </c>
      <c r="AD8" s="2" t="str">
        <f>IF($O8="","",IF($AC8="",$O8,MEDIAN($O8,$AC8-MoveCap,$AC8+MoveCap)))</f>
        <v/>
      </c>
      <c r="AE8" s="2" t="str">
        <f>IF(OR($O8="",$AC8=""),"",IF(ABS($O8-$AC8)&gt;MoveCap,"CAPPED",""))</f>
        <v/>
      </c>
      <c r="AF8" s="2">
        <f>SUMPRODUCT((CLTeam=$A8)*CLTotWgt)</f>
        <v>0</v>
      </c>
      <c r="AG8" s="2" t="str">
        <f>IF($AF8=0,"",SUMPRODUCT((CLTeam=$A8)*CLTotWgt*CLPlays)/$AF8)</f>
        <v/>
      </c>
      <c r="AH8" s="2" t="str">
        <f>IF($AF8=0,"",SUMPRODUCT((CLTeam=$A8)*CLTotWgt*CLOppPlays)/$AF8)</f>
        <v/>
      </c>
      <c r="AI8" s="2" t="str">
        <f>IF($AF8=0,"",SUMPRODUCT((CLTeam=$A8)*CLTotWgt*CLOffPPP)/$AF8)</f>
        <v/>
      </c>
      <c r="AJ8" s="2" t="str">
        <f>IF($AF8=0,"",SUMPRODUCT((CLTeam=$A8)*CLTotWgt*CLDefPPP)/$AF8)</f>
        <v/>
      </c>
      <c r="AK8" s="2" t="str">
        <f>IF($B8=0,"",SUMPRODUCT((CLTeam=$A8)*CLUseCur*CLOppDefPPP)/$B8)</f>
        <v/>
      </c>
      <c r="AL8" s="2" t="str">
        <f>IF($B8=0,"",SUMPRODUCT((CLTeam=$A8)*CLUseCur*CLOppOffPPP)/$B8)</f>
        <v/>
      </c>
      <c r="AM8" s="2" t="str">
        <f>IF(OR($AI8="",$AK8=""),"",$AI8+(CALC!$B$36-$AK8))</f>
        <v/>
      </c>
      <c r="AN8" s="2" t="str">
        <f>IF(OR($AJ8="",$AL8=""),"",$AJ8+(CALC!$B$36-$AL8))</f>
        <v/>
      </c>
      <c r="AO8" s="2" t="str">
        <f>IF($B8=0,"",SUMPRODUCT((CLTeam=$A8)*CLUseCur*CLPerf)/MAX(1,$B8))</f>
        <v/>
      </c>
    </row>
    <row r="9" ht="15.0" customHeight="1">
      <c r="A9" s="2" t="s">
        <v>196</v>
      </c>
      <c r="B9" s="2">
        <f>SUMPRODUCT((CLTeam=$A9)*CLUseCur)</f>
        <v>0</v>
      </c>
      <c r="C9" s="2">
        <f>SUMPRODUCT((CLTeam=$A9)*CLUseCur*CLEpaOK)</f>
        <v>0</v>
      </c>
      <c r="D9" s="2">
        <f>SUMPRODUCT((CLTeam=$A9)*CLWgtCur)</f>
        <v>0</v>
      </c>
      <c r="E9" s="2" t="str">
        <f>IF($D9=0,"",SUMPRODUCT((CLTeam=$A9)*CLWgtCur*CLPerf)/$D9)</f>
        <v/>
      </c>
      <c r="F9" s="2" t="str">
        <f t="shared" si="1"/>
        <v/>
      </c>
      <c r="G9" s="2" t="str">
        <f>IF($B9=0,"",SUMPRODUCT((CLTeam=$A9)*CLUseCur*CLOppP0c)/$B9)</f>
        <v/>
      </c>
      <c r="H9" s="2" t="str">
        <f t="shared" si="2"/>
        <v/>
      </c>
      <c r="I9" s="2" t="str">
        <f t="shared" si="3"/>
        <v/>
      </c>
      <c r="J9" s="2" t="str">
        <f>IF($B9=0,"",SUMPRODUCT((CLTeam=$A9)*CLUseCur*CLOppP1c)/$B9)</f>
        <v/>
      </c>
      <c r="K9" s="2" t="str">
        <f t="shared" si="4"/>
        <v/>
      </c>
      <c r="L9" s="2" t="str">
        <f t="shared" si="5"/>
        <v/>
      </c>
      <c r="M9" s="2" t="str">
        <f>IF($B9=0,"",SUMPRODUCT((CLTeam=$A9)*CLUseCur*CLOppP2c)/$B9)</f>
        <v/>
      </c>
      <c r="N9" s="2" t="str">
        <f t="shared" si="6"/>
        <v/>
      </c>
      <c r="O9" s="2" t="str">
        <f t="shared" si="7"/>
        <v/>
      </c>
      <c r="P9" s="2" t="str">
        <f t="shared" si="8"/>
        <v/>
      </c>
      <c r="Q9" s="2">
        <f>SUMPRODUCT((CLTeam=$A9)*CLUsePrev)</f>
        <v>0</v>
      </c>
      <c r="R9" s="2">
        <f>SUMPRODUCT((CLTeam=$A9)*CLWgtPrev)</f>
        <v>0</v>
      </c>
      <c r="S9" s="2" t="str">
        <f>IF($R9=0,"",SUMPRODUCT((CLTeam=$A9)*CLWgtPrev*CLPerf)/$R9)</f>
        <v/>
      </c>
      <c r="T9" s="2" t="str">
        <f t="shared" si="9"/>
        <v/>
      </c>
      <c r="U9" s="2" t="str">
        <f>IF($Q9=0,"",SUMPRODUCT((CLTeam=$A9)*CLUsePrev*CLOppP0cPv)/$Q9)</f>
        <v/>
      </c>
      <c r="V9" s="2" t="str">
        <f t="shared" si="10"/>
        <v/>
      </c>
      <c r="W9" s="2" t="str">
        <f t="shared" si="11"/>
        <v/>
      </c>
      <c r="X9" s="2" t="str">
        <f>IF($Q9=0,"",SUMPRODUCT((CLTeam=$A9)*CLUsePrev*CLOppP1cPv)/$Q9)</f>
        <v/>
      </c>
      <c r="Y9" s="2" t="str">
        <f t="shared" si="12"/>
        <v/>
      </c>
      <c r="Z9" s="2" t="str">
        <f t="shared" si="13"/>
        <v/>
      </c>
      <c r="AA9" s="2" t="str">
        <f>IF($Q9=0,"",SUMPRODUCT((CLTeam=$A9)*CLUsePrev*CLOppP2cPv)/$Q9)</f>
        <v/>
      </c>
      <c r="AB9" s="2" t="str">
        <f t="shared" si="14"/>
        <v/>
      </c>
      <c r="AC9" s="2" t="str">
        <f t="shared" si="15"/>
        <v/>
      </c>
      <c r="AD9" s="2" t="str">
        <f>IF($O9="","",IF($AC9="",$O9,MEDIAN($O9,$AC9-MoveCap,$AC9+MoveCap)))</f>
        <v/>
      </c>
      <c r="AE9" s="2" t="str">
        <f>IF(OR($O9="",$AC9=""),"",IF(ABS($O9-$AC9)&gt;MoveCap,"CAPPED",""))</f>
        <v/>
      </c>
      <c r="AF9" s="2">
        <f>SUMPRODUCT((CLTeam=$A9)*CLTotWgt)</f>
        <v>0</v>
      </c>
      <c r="AG9" s="2" t="str">
        <f>IF($AF9=0,"",SUMPRODUCT((CLTeam=$A9)*CLTotWgt*CLPlays)/$AF9)</f>
        <v/>
      </c>
      <c r="AH9" s="2" t="str">
        <f>IF($AF9=0,"",SUMPRODUCT((CLTeam=$A9)*CLTotWgt*CLOppPlays)/$AF9)</f>
        <v/>
      </c>
      <c r="AI9" s="2" t="str">
        <f>IF($AF9=0,"",SUMPRODUCT((CLTeam=$A9)*CLTotWgt*CLOffPPP)/$AF9)</f>
        <v/>
      </c>
      <c r="AJ9" s="2" t="str">
        <f>IF($AF9=0,"",SUMPRODUCT((CLTeam=$A9)*CLTotWgt*CLDefPPP)/$AF9)</f>
        <v/>
      </c>
      <c r="AK9" s="2" t="str">
        <f>IF($B9=0,"",SUMPRODUCT((CLTeam=$A9)*CLUseCur*CLOppDefPPP)/$B9)</f>
        <v/>
      </c>
      <c r="AL9" s="2" t="str">
        <f>IF($B9=0,"",SUMPRODUCT((CLTeam=$A9)*CLUseCur*CLOppOffPPP)/$B9)</f>
        <v/>
      </c>
      <c r="AM9" s="2" t="str">
        <f>IF(OR($AI9="",$AK9=""),"",$AI9+(CALC!$B$36-$AK9))</f>
        <v/>
      </c>
      <c r="AN9" s="2" t="str">
        <f>IF(OR($AJ9="",$AL9=""),"",$AJ9+(CALC!$B$36-$AL9))</f>
        <v/>
      </c>
      <c r="AO9" s="2" t="str">
        <f>IF($B9=0,"",SUMPRODUCT((CLTeam=$A9)*CLUseCur*CLPerf)/MAX(1,$B9))</f>
        <v/>
      </c>
    </row>
    <row r="10" ht="15.0" customHeight="1">
      <c r="A10" s="2" t="s">
        <v>146</v>
      </c>
      <c r="B10" s="2">
        <f>SUMPRODUCT((CLTeam=$A10)*CLUseCur)</f>
        <v>0</v>
      </c>
      <c r="C10" s="2">
        <f>SUMPRODUCT((CLTeam=$A10)*CLUseCur*CLEpaOK)</f>
        <v>0</v>
      </c>
      <c r="D10" s="2">
        <f>SUMPRODUCT((CLTeam=$A10)*CLWgtCur)</f>
        <v>0</v>
      </c>
      <c r="E10" s="2" t="str">
        <f>IF($D10=0,"",SUMPRODUCT((CLTeam=$A10)*CLWgtCur*CLPerf)/$D10)</f>
        <v/>
      </c>
      <c r="F10" s="2" t="str">
        <f t="shared" si="1"/>
        <v/>
      </c>
      <c r="G10" s="2" t="str">
        <f>IF($B10=0,"",SUMPRODUCT((CLTeam=$A10)*CLUseCur*CLOppP0c)/$B10)</f>
        <v/>
      </c>
      <c r="H10" s="2" t="str">
        <f t="shared" si="2"/>
        <v/>
      </c>
      <c r="I10" s="2" t="str">
        <f t="shared" si="3"/>
        <v/>
      </c>
      <c r="J10" s="2" t="str">
        <f>IF($B10=0,"",SUMPRODUCT((CLTeam=$A10)*CLUseCur*CLOppP1c)/$B10)</f>
        <v/>
      </c>
      <c r="K10" s="2" t="str">
        <f t="shared" si="4"/>
        <v/>
      </c>
      <c r="L10" s="2" t="str">
        <f t="shared" si="5"/>
        <v/>
      </c>
      <c r="M10" s="2" t="str">
        <f>IF($B10=0,"",SUMPRODUCT((CLTeam=$A10)*CLUseCur*CLOppP2c)/$B10)</f>
        <v/>
      </c>
      <c r="N10" s="2" t="str">
        <f t="shared" si="6"/>
        <v/>
      </c>
      <c r="O10" s="2" t="str">
        <f t="shared" si="7"/>
        <v/>
      </c>
      <c r="P10" s="2" t="str">
        <f t="shared" si="8"/>
        <v/>
      </c>
      <c r="Q10" s="2">
        <f>SUMPRODUCT((CLTeam=$A10)*CLUsePrev)</f>
        <v>0</v>
      </c>
      <c r="R10" s="2">
        <f>SUMPRODUCT((CLTeam=$A10)*CLWgtPrev)</f>
        <v>0</v>
      </c>
      <c r="S10" s="2" t="str">
        <f>IF($R10=0,"",SUMPRODUCT((CLTeam=$A10)*CLWgtPrev*CLPerf)/$R10)</f>
        <v/>
      </c>
      <c r="T10" s="2" t="str">
        <f t="shared" si="9"/>
        <v/>
      </c>
      <c r="U10" s="2" t="str">
        <f>IF($Q10=0,"",SUMPRODUCT((CLTeam=$A10)*CLUsePrev*CLOppP0cPv)/$Q10)</f>
        <v/>
      </c>
      <c r="V10" s="2" t="str">
        <f t="shared" si="10"/>
        <v/>
      </c>
      <c r="W10" s="2" t="str">
        <f t="shared" si="11"/>
        <v/>
      </c>
      <c r="X10" s="2" t="str">
        <f>IF($Q10=0,"",SUMPRODUCT((CLTeam=$A10)*CLUsePrev*CLOppP1cPv)/$Q10)</f>
        <v/>
      </c>
      <c r="Y10" s="2" t="str">
        <f t="shared" si="12"/>
        <v/>
      </c>
      <c r="Z10" s="2" t="str">
        <f t="shared" si="13"/>
        <v/>
      </c>
      <c r="AA10" s="2" t="str">
        <f>IF($Q10=0,"",SUMPRODUCT((CLTeam=$A10)*CLUsePrev*CLOppP2cPv)/$Q10)</f>
        <v/>
      </c>
      <c r="AB10" s="2" t="str">
        <f t="shared" si="14"/>
        <v/>
      </c>
      <c r="AC10" s="2" t="str">
        <f t="shared" si="15"/>
        <v/>
      </c>
      <c r="AD10" s="2" t="str">
        <f>IF($O10="","",IF($AC10="",$O10,MEDIAN($O10,$AC10-MoveCap,$AC10+MoveCap)))</f>
        <v/>
      </c>
      <c r="AE10" s="2" t="str">
        <f>IF(OR($O10="",$AC10=""),"",IF(ABS($O10-$AC10)&gt;MoveCap,"CAPPED",""))</f>
        <v/>
      </c>
      <c r="AF10" s="2">
        <f>SUMPRODUCT((CLTeam=$A10)*CLTotWgt)</f>
        <v>0</v>
      </c>
      <c r="AG10" s="2" t="str">
        <f>IF($AF10=0,"",SUMPRODUCT((CLTeam=$A10)*CLTotWgt*CLPlays)/$AF10)</f>
        <v/>
      </c>
      <c r="AH10" s="2" t="str">
        <f>IF($AF10=0,"",SUMPRODUCT((CLTeam=$A10)*CLTotWgt*CLOppPlays)/$AF10)</f>
        <v/>
      </c>
      <c r="AI10" s="2" t="str">
        <f>IF($AF10=0,"",SUMPRODUCT((CLTeam=$A10)*CLTotWgt*CLOffPPP)/$AF10)</f>
        <v/>
      </c>
      <c r="AJ10" s="2" t="str">
        <f>IF($AF10=0,"",SUMPRODUCT((CLTeam=$A10)*CLTotWgt*CLDefPPP)/$AF10)</f>
        <v/>
      </c>
      <c r="AK10" s="2" t="str">
        <f>IF($B10=0,"",SUMPRODUCT((CLTeam=$A10)*CLUseCur*CLOppDefPPP)/$B10)</f>
        <v/>
      </c>
      <c r="AL10" s="2" t="str">
        <f>IF($B10=0,"",SUMPRODUCT((CLTeam=$A10)*CLUseCur*CLOppOffPPP)/$B10)</f>
        <v/>
      </c>
      <c r="AM10" s="2" t="str">
        <f>IF(OR($AI10="",$AK10=""),"",$AI10+(CALC!$B$36-$AK10))</f>
        <v/>
      </c>
      <c r="AN10" s="2" t="str">
        <f>IF(OR($AJ10="",$AL10=""),"",$AJ10+(CALC!$B$36-$AL10))</f>
        <v/>
      </c>
      <c r="AO10" s="2" t="str">
        <f>IF($B10=0,"",SUMPRODUCT((CLTeam=$A10)*CLUseCur*CLPerf)/MAX(1,$B10))</f>
        <v/>
      </c>
    </row>
    <row r="11" ht="15.0" customHeight="1">
      <c r="A11" s="2" t="s">
        <v>139</v>
      </c>
      <c r="B11" s="2">
        <f>SUMPRODUCT((CLTeam=$A11)*CLUseCur)</f>
        <v>0</v>
      </c>
      <c r="C11" s="2">
        <f>SUMPRODUCT((CLTeam=$A11)*CLUseCur*CLEpaOK)</f>
        <v>0</v>
      </c>
      <c r="D11" s="2">
        <f>SUMPRODUCT((CLTeam=$A11)*CLWgtCur)</f>
        <v>0</v>
      </c>
      <c r="E11" s="2" t="str">
        <f>IF($D11=0,"",SUMPRODUCT((CLTeam=$A11)*CLWgtCur*CLPerf)/$D11)</f>
        <v/>
      </c>
      <c r="F11" s="2" t="str">
        <f t="shared" si="1"/>
        <v/>
      </c>
      <c r="G11" s="2" t="str">
        <f>IF($B11=0,"",SUMPRODUCT((CLTeam=$A11)*CLUseCur*CLOppP0c)/$B11)</f>
        <v/>
      </c>
      <c r="H11" s="2" t="str">
        <f t="shared" si="2"/>
        <v/>
      </c>
      <c r="I11" s="2" t="str">
        <f t="shared" si="3"/>
        <v/>
      </c>
      <c r="J11" s="2" t="str">
        <f>IF($B11=0,"",SUMPRODUCT((CLTeam=$A11)*CLUseCur*CLOppP1c)/$B11)</f>
        <v/>
      </c>
      <c r="K11" s="2" t="str">
        <f t="shared" si="4"/>
        <v/>
      </c>
      <c r="L11" s="2" t="str">
        <f t="shared" si="5"/>
        <v/>
      </c>
      <c r="M11" s="2" t="str">
        <f>IF($B11=0,"",SUMPRODUCT((CLTeam=$A11)*CLUseCur*CLOppP2c)/$B11)</f>
        <v/>
      </c>
      <c r="N11" s="2" t="str">
        <f t="shared" si="6"/>
        <v/>
      </c>
      <c r="O11" s="2" t="str">
        <f t="shared" si="7"/>
        <v/>
      </c>
      <c r="P11" s="2" t="str">
        <f t="shared" si="8"/>
        <v/>
      </c>
      <c r="Q11" s="2">
        <f>SUMPRODUCT((CLTeam=$A11)*CLUsePrev)</f>
        <v>0</v>
      </c>
      <c r="R11" s="2">
        <f>SUMPRODUCT((CLTeam=$A11)*CLWgtPrev)</f>
        <v>0</v>
      </c>
      <c r="S11" s="2" t="str">
        <f>IF($R11=0,"",SUMPRODUCT((CLTeam=$A11)*CLWgtPrev*CLPerf)/$R11)</f>
        <v/>
      </c>
      <c r="T11" s="2" t="str">
        <f t="shared" si="9"/>
        <v/>
      </c>
      <c r="U11" s="2" t="str">
        <f>IF($Q11=0,"",SUMPRODUCT((CLTeam=$A11)*CLUsePrev*CLOppP0cPv)/$Q11)</f>
        <v/>
      </c>
      <c r="V11" s="2" t="str">
        <f t="shared" si="10"/>
        <v/>
      </c>
      <c r="W11" s="2" t="str">
        <f t="shared" si="11"/>
        <v/>
      </c>
      <c r="X11" s="2" t="str">
        <f>IF($Q11=0,"",SUMPRODUCT((CLTeam=$A11)*CLUsePrev*CLOppP1cPv)/$Q11)</f>
        <v/>
      </c>
      <c r="Y11" s="2" t="str">
        <f t="shared" si="12"/>
        <v/>
      </c>
      <c r="Z11" s="2" t="str">
        <f t="shared" si="13"/>
        <v/>
      </c>
      <c r="AA11" s="2" t="str">
        <f>IF($Q11=0,"",SUMPRODUCT((CLTeam=$A11)*CLUsePrev*CLOppP2cPv)/$Q11)</f>
        <v/>
      </c>
      <c r="AB11" s="2" t="str">
        <f t="shared" si="14"/>
        <v/>
      </c>
      <c r="AC11" s="2" t="str">
        <f t="shared" si="15"/>
        <v/>
      </c>
      <c r="AD11" s="2" t="str">
        <f>IF($O11="","",IF($AC11="",$O11,MEDIAN($O11,$AC11-MoveCap,$AC11+MoveCap)))</f>
        <v/>
      </c>
      <c r="AE11" s="2" t="str">
        <f>IF(OR($O11="",$AC11=""),"",IF(ABS($O11-$AC11)&gt;MoveCap,"CAPPED",""))</f>
        <v/>
      </c>
      <c r="AF11" s="2">
        <f>SUMPRODUCT((CLTeam=$A11)*CLTotWgt)</f>
        <v>0</v>
      </c>
      <c r="AG11" s="2" t="str">
        <f>IF($AF11=0,"",SUMPRODUCT((CLTeam=$A11)*CLTotWgt*CLPlays)/$AF11)</f>
        <v/>
      </c>
      <c r="AH11" s="2" t="str">
        <f>IF($AF11=0,"",SUMPRODUCT((CLTeam=$A11)*CLTotWgt*CLOppPlays)/$AF11)</f>
        <v/>
      </c>
      <c r="AI11" s="2" t="str">
        <f>IF($AF11=0,"",SUMPRODUCT((CLTeam=$A11)*CLTotWgt*CLOffPPP)/$AF11)</f>
        <v/>
      </c>
      <c r="AJ11" s="2" t="str">
        <f>IF($AF11=0,"",SUMPRODUCT((CLTeam=$A11)*CLTotWgt*CLDefPPP)/$AF11)</f>
        <v/>
      </c>
      <c r="AK11" s="2" t="str">
        <f>IF($B11=0,"",SUMPRODUCT((CLTeam=$A11)*CLUseCur*CLOppDefPPP)/$B11)</f>
        <v/>
      </c>
      <c r="AL11" s="2" t="str">
        <f>IF($B11=0,"",SUMPRODUCT((CLTeam=$A11)*CLUseCur*CLOppOffPPP)/$B11)</f>
        <v/>
      </c>
      <c r="AM11" s="2" t="str">
        <f>IF(OR($AI11="",$AK11=""),"",$AI11+(CALC!$B$36-$AK11))</f>
        <v/>
      </c>
      <c r="AN11" s="2" t="str">
        <f>IF(OR($AJ11="",$AL11=""),"",$AJ11+(CALC!$B$36-$AL11))</f>
        <v/>
      </c>
      <c r="AO11" s="2" t="str">
        <f>IF($B11=0,"",SUMPRODUCT((CLTeam=$A11)*CLUseCur*CLPerf)/MAX(1,$B11))</f>
        <v/>
      </c>
    </row>
    <row r="12" ht="15.0" customHeight="1">
      <c r="A12" s="2" t="s">
        <v>202</v>
      </c>
      <c r="B12" s="2">
        <f>SUMPRODUCT((CLTeam=$A12)*CLUseCur)</f>
        <v>0</v>
      </c>
      <c r="C12" s="2">
        <f>SUMPRODUCT((CLTeam=$A12)*CLUseCur*CLEpaOK)</f>
        <v>0</v>
      </c>
      <c r="D12" s="2">
        <f>SUMPRODUCT((CLTeam=$A12)*CLWgtCur)</f>
        <v>0</v>
      </c>
      <c r="E12" s="2" t="str">
        <f>IF($D12=0,"",SUMPRODUCT((CLTeam=$A12)*CLWgtCur*CLPerf)/$D12)</f>
        <v/>
      </c>
      <c r="F12" s="2" t="str">
        <f t="shared" si="1"/>
        <v/>
      </c>
      <c r="G12" s="2" t="str">
        <f>IF($B12=0,"",SUMPRODUCT((CLTeam=$A12)*CLUseCur*CLOppP0c)/$B12)</f>
        <v/>
      </c>
      <c r="H12" s="2" t="str">
        <f t="shared" si="2"/>
        <v/>
      </c>
      <c r="I12" s="2" t="str">
        <f t="shared" si="3"/>
        <v/>
      </c>
      <c r="J12" s="2" t="str">
        <f>IF($B12=0,"",SUMPRODUCT((CLTeam=$A12)*CLUseCur*CLOppP1c)/$B12)</f>
        <v/>
      </c>
      <c r="K12" s="2" t="str">
        <f t="shared" si="4"/>
        <v/>
      </c>
      <c r="L12" s="2" t="str">
        <f t="shared" si="5"/>
        <v/>
      </c>
      <c r="M12" s="2" t="str">
        <f>IF($B12=0,"",SUMPRODUCT((CLTeam=$A12)*CLUseCur*CLOppP2c)/$B12)</f>
        <v/>
      </c>
      <c r="N12" s="2" t="str">
        <f t="shared" si="6"/>
        <v/>
      </c>
      <c r="O12" s="2" t="str">
        <f t="shared" si="7"/>
        <v/>
      </c>
      <c r="P12" s="2" t="str">
        <f t="shared" si="8"/>
        <v/>
      </c>
      <c r="Q12" s="2">
        <f>SUMPRODUCT((CLTeam=$A12)*CLUsePrev)</f>
        <v>0</v>
      </c>
      <c r="R12" s="2">
        <f>SUMPRODUCT((CLTeam=$A12)*CLWgtPrev)</f>
        <v>0</v>
      </c>
      <c r="S12" s="2" t="str">
        <f>IF($R12=0,"",SUMPRODUCT((CLTeam=$A12)*CLWgtPrev*CLPerf)/$R12)</f>
        <v/>
      </c>
      <c r="T12" s="2" t="str">
        <f t="shared" si="9"/>
        <v/>
      </c>
      <c r="U12" s="2" t="str">
        <f>IF($Q12=0,"",SUMPRODUCT((CLTeam=$A12)*CLUsePrev*CLOppP0cPv)/$Q12)</f>
        <v/>
      </c>
      <c r="V12" s="2" t="str">
        <f t="shared" si="10"/>
        <v/>
      </c>
      <c r="W12" s="2" t="str">
        <f t="shared" si="11"/>
        <v/>
      </c>
      <c r="X12" s="2" t="str">
        <f>IF($Q12=0,"",SUMPRODUCT((CLTeam=$A12)*CLUsePrev*CLOppP1cPv)/$Q12)</f>
        <v/>
      </c>
      <c r="Y12" s="2" t="str">
        <f t="shared" si="12"/>
        <v/>
      </c>
      <c r="Z12" s="2" t="str">
        <f t="shared" si="13"/>
        <v/>
      </c>
      <c r="AA12" s="2" t="str">
        <f>IF($Q12=0,"",SUMPRODUCT((CLTeam=$A12)*CLUsePrev*CLOppP2cPv)/$Q12)</f>
        <v/>
      </c>
      <c r="AB12" s="2" t="str">
        <f t="shared" si="14"/>
        <v/>
      </c>
      <c r="AC12" s="2" t="str">
        <f t="shared" si="15"/>
        <v/>
      </c>
      <c r="AD12" s="2" t="str">
        <f>IF($O12="","",IF($AC12="",$O12,MEDIAN($O12,$AC12-MoveCap,$AC12+MoveCap)))</f>
        <v/>
      </c>
      <c r="AE12" s="2" t="str">
        <f>IF(OR($O12="",$AC12=""),"",IF(ABS($O12-$AC12)&gt;MoveCap,"CAPPED",""))</f>
        <v/>
      </c>
      <c r="AF12" s="2">
        <f>SUMPRODUCT((CLTeam=$A12)*CLTotWgt)</f>
        <v>0</v>
      </c>
      <c r="AG12" s="2" t="str">
        <f>IF($AF12=0,"",SUMPRODUCT((CLTeam=$A12)*CLTotWgt*CLPlays)/$AF12)</f>
        <v/>
      </c>
      <c r="AH12" s="2" t="str">
        <f>IF($AF12=0,"",SUMPRODUCT((CLTeam=$A12)*CLTotWgt*CLOppPlays)/$AF12)</f>
        <v/>
      </c>
      <c r="AI12" s="2" t="str">
        <f>IF($AF12=0,"",SUMPRODUCT((CLTeam=$A12)*CLTotWgt*CLOffPPP)/$AF12)</f>
        <v/>
      </c>
      <c r="AJ12" s="2" t="str">
        <f>IF($AF12=0,"",SUMPRODUCT((CLTeam=$A12)*CLTotWgt*CLDefPPP)/$AF12)</f>
        <v/>
      </c>
      <c r="AK12" s="2" t="str">
        <f>IF($B12=0,"",SUMPRODUCT((CLTeam=$A12)*CLUseCur*CLOppDefPPP)/$B12)</f>
        <v/>
      </c>
      <c r="AL12" s="2" t="str">
        <f>IF($B12=0,"",SUMPRODUCT((CLTeam=$A12)*CLUseCur*CLOppOffPPP)/$B12)</f>
        <v/>
      </c>
      <c r="AM12" s="2" t="str">
        <f>IF(OR($AI12="",$AK12=""),"",$AI12+(CALC!$B$36-$AK12))</f>
        <v/>
      </c>
      <c r="AN12" s="2" t="str">
        <f>IF(OR($AJ12="",$AL12=""),"",$AJ12+(CALC!$B$36-$AL12))</f>
        <v/>
      </c>
      <c r="AO12" s="2" t="str">
        <f>IF($B12=0,"",SUMPRODUCT((CLTeam=$A12)*CLUseCur*CLPerf)/MAX(1,$B12))</f>
        <v/>
      </c>
    </row>
    <row r="13" ht="15.0" customHeight="1">
      <c r="A13" s="2" t="s">
        <v>205</v>
      </c>
      <c r="B13" s="2">
        <f>SUMPRODUCT((CLTeam=$A13)*CLUseCur)</f>
        <v>0</v>
      </c>
      <c r="C13" s="2">
        <f>SUMPRODUCT((CLTeam=$A13)*CLUseCur*CLEpaOK)</f>
        <v>0</v>
      </c>
      <c r="D13" s="2">
        <f>SUMPRODUCT((CLTeam=$A13)*CLWgtCur)</f>
        <v>0</v>
      </c>
      <c r="E13" s="2" t="str">
        <f>IF($D13=0,"",SUMPRODUCT((CLTeam=$A13)*CLWgtCur*CLPerf)/$D13)</f>
        <v/>
      </c>
      <c r="F13" s="2" t="str">
        <f t="shared" si="1"/>
        <v/>
      </c>
      <c r="G13" s="2" t="str">
        <f>IF($B13=0,"",SUMPRODUCT((CLTeam=$A13)*CLUseCur*CLOppP0c)/$B13)</f>
        <v/>
      </c>
      <c r="H13" s="2" t="str">
        <f t="shared" si="2"/>
        <v/>
      </c>
      <c r="I13" s="2" t="str">
        <f t="shared" si="3"/>
        <v/>
      </c>
      <c r="J13" s="2" t="str">
        <f>IF($B13=0,"",SUMPRODUCT((CLTeam=$A13)*CLUseCur*CLOppP1c)/$B13)</f>
        <v/>
      </c>
      <c r="K13" s="2" t="str">
        <f t="shared" si="4"/>
        <v/>
      </c>
      <c r="L13" s="2" t="str">
        <f t="shared" si="5"/>
        <v/>
      </c>
      <c r="M13" s="2" t="str">
        <f>IF($B13=0,"",SUMPRODUCT((CLTeam=$A13)*CLUseCur*CLOppP2c)/$B13)</f>
        <v/>
      </c>
      <c r="N13" s="2" t="str">
        <f t="shared" si="6"/>
        <v/>
      </c>
      <c r="O13" s="2" t="str">
        <f t="shared" si="7"/>
        <v/>
      </c>
      <c r="P13" s="2" t="str">
        <f t="shared" si="8"/>
        <v/>
      </c>
      <c r="Q13" s="2">
        <f>SUMPRODUCT((CLTeam=$A13)*CLUsePrev)</f>
        <v>0</v>
      </c>
      <c r="R13" s="2">
        <f>SUMPRODUCT((CLTeam=$A13)*CLWgtPrev)</f>
        <v>0</v>
      </c>
      <c r="S13" s="2" t="str">
        <f>IF($R13=0,"",SUMPRODUCT((CLTeam=$A13)*CLWgtPrev*CLPerf)/$R13)</f>
        <v/>
      </c>
      <c r="T13" s="2" t="str">
        <f t="shared" si="9"/>
        <v/>
      </c>
      <c r="U13" s="2" t="str">
        <f>IF($Q13=0,"",SUMPRODUCT((CLTeam=$A13)*CLUsePrev*CLOppP0cPv)/$Q13)</f>
        <v/>
      </c>
      <c r="V13" s="2" t="str">
        <f t="shared" si="10"/>
        <v/>
      </c>
      <c r="W13" s="2" t="str">
        <f t="shared" si="11"/>
        <v/>
      </c>
      <c r="X13" s="2" t="str">
        <f>IF($Q13=0,"",SUMPRODUCT((CLTeam=$A13)*CLUsePrev*CLOppP1cPv)/$Q13)</f>
        <v/>
      </c>
      <c r="Y13" s="2" t="str">
        <f t="shared" si="12"/>
        <v/>
      </c>
      <c r="Z13" s="2" t="str">
        <f t="shared" si="13"/>
        <v/>
      </c>
      <c r="AA13" s="2" t="str">
        <f>IF($Q13=0,"",SUMPRODUCT((CLTeam=$A13)*CLUsePrev*CLOppP2cPv)/$Q13)</f>
        <v/>
      </c>
      <c r="AB13" s="2" t="str">
        <f t="shared" si="14"/>
        <v/>
      </c>
      <c r="AC13" s="2" t="str">
        <f t="shared" si="15"/>
        <v/>
      </c>
      <c r="AD13" s="2" t="str">
        <f>IF($O13="","",IF($AC13="",$O13,MEDIAN($O13,$AC13-MoveCap,$AC13+MoveCap)))</f>
        <v/>
      </c>
      <c r="AE13" s="2" t="str">
        <f>IF(OR($O13="",$AC13=""),"",IF(ABS($O13-$AC13)&gt;MoveCap,"CAPPED",""))</f>
        <v/>
      </c>
      <c r="AF13" s="2">
        <f>SUMPRODUCT((CLTeam=$A13)*CLTotWgt)</f>
        <v>0</v>
      </c>
      <c r="AG13" s="2" t="str">
        <f>IF($AF13=0,"",SUMPRODUCT((CLTeam=$A13)*CLTotWgt*CLPlays)/$AF13)</f>
        <v/>
      </c>
      <c r="AH13" s="2" t="str">
        <f>IF($AF13=0,"",SUMPRODUCT((CLTeam=$A13)*CLTotWgt*CLOppPlays)/$AF13)</f>
        <v/>
      </c>
      <c r="AI13" s="2" t="str">
        <f>IF($AF13=0,"",SUMPRODUCT((CLTeam=$A13)*CLTotWgt*CLOffPPP)/$AF13)</f>
        <v/>
      </c>
      <c r="AJ13" s="2" t="str">
        <f>IF($AF13=0,"",SUMPRODUCT((CLTeam=$A13)*CLTotWgt*CLDefPPP)/$AF13)</f>
        <v/>
      </c>
      <c r="AK13" s="2" t="str">
        <f>IF($B13=0,"",SUMPRODUCT((CLTeam=$A13)*CLUseCur*CLOppDefPPP)/$B13)</f>
        <v/>
      </c>
      <c r="AL13" s="2" t="str">
        <f>IF($B13=0,"",SUMPRODUCT((CLTeam=$A13)*CLUseCur*CLOppOffPPP)/$B13)</f>
        <v/>
      </c>
      <c r="AM13" s="2" t="str">
        <f>IF(OR($AI13="",$AK13=""),"",$AI13+(CALC!$B$36-$AK13))</f>
        <v/>
      </c>
      <c r="AN13" s="2" t="str">
        <f>IF(OR($AJ13="",$AL13=""),"",$AJ13+(CALC!$B$36-$AL13))</f>
        <v/>
      </c>
      <c r="AO13" s="2" t="str">
        <f>IF($B13=0,"",SUMPRODUCT((CLTeam=$A13)*CLUseCur*CLPerf)/MAX(1,$B13))</f>
        <v/>
      </c>
    </row>
    <row r="14" ht="15.0" customHeight="1">
      <c r="A14" s="2" t="s">
        <v>140</v>
      </c>
      <c r="B14" s="2">
        <f>SUMPRODUCT((CLTeam=$A14)*CLUseCur)</f>
        <v>0</v>
      </c>
      <c r="C14" s="2">
        <f>SUMPRODUCT((CLTeam=$A14)*CLUseCur*CLEpaOK)</f>
        <v>0</v>
      </c>
      <c r="D14" s="2">
        <f>SUMPRODUCT((CLTeam=$A14)*CLWgtCur)</f>
        <v>0</v>
      </c>
      <c r="E14" s="2" t="str">
        <f>IF($D14=0,"",SUMPRODUCT((CLTeam=$A14)*CLWgtCur*CLPerf)/$D14)</f>
        <v/>
      </c>
      <c r="F14" s="2" t="str">
        <f t="shared" si="1"/>
        <v/>
      </c>
      <c r="G14" s="2" t="str">
        <f>IF($B14=0,"",SUMPRODUCT((CLTeam=$A14)*CLUseCur*CLOppP0c)/$B14)</f>
        <v/>
      </c>
      <c r="H14" s="2" t="str">
        <f t="shared" si="2"/>
        <v/>
      </c>
      <c r="I14" s="2" t="str">
        <f t="shared" si="3"/>
        <v/>
      </c>
      <c r="J14" s="2" t="str">
        <f>IF($B14=0,"",SUMPRODUCT((CLTeam=$A14)*CLUseCur*CLOppP1c)/$B14)</f>
        <v/>
      </c>
      <c r="K14" s="2" t="str">
        <f t="shared" si="4"/>
        <v/>
      </c>
      <c r="L14" s="2" t="str">
        <f t="shared" si="5"/>
        <v/>
      </c>
      <c r="M14" s="2" t="str">
        <f>IF($B14=0,"",SUMPRODUCT((CLTeam=$A14)*CLUseCur*CLOppP2c)/$B14)</f>
        <v/>
      </c>
      <c r="N14" s="2" t="str">
        <f t="shared" si="6"/>
        <v/>
      </c>
      <c r="O14" s="2" t="str">
        <f t="shared" si="7"/>
        <v/>
      </c>
      <c r="P14" s="2" t="str">
        <f t="shared" si="8"/>
        <v/>
      </c>
      <c r="Q14" s="2">
        <f>SUMPRODUCT((CLTeam=$A14)*CLUsePrev)</f>
        <v>0</v>
      </c>
      <c r="R14" s="2">
        <f>SUMPRODUCT((CLTeam=$A14)*CLWgtPrev)</f>
        <v>0</v>
      </c>
      <c r="S14" s="2" t="str">
        <f>IF($R14=0,"",SUMPRODUCT((CLTeam=$A14)*CLWgtPrev*CLPerf)/$R14)</f>
        <v/>
      </c>
      <c r="T14" s="2" t="str">
        <f t="shared" si="9"/>
        <v/>
      </c>
      <c r="U14" s="2" t="str">
        <f>IF($Q14=0,"",SUMPRODUCT((CLTeam=$A14)*CLUsePrev*CLOppP0cPv)/$Q14)</f>
        <v/>
      </c>
      <c r="V14" s="2" t="str">
        <f t="shared" si="10"/>
        <v/>
      </c>
      <c r="W14" s="2" t="str">
        <f t="shared" si="11"/>
        <v/>
      </c>
      <c r="X14" s="2" t="str">
        <f>IF($Q14=0,"",SUMPRODUCT((CLTeam=$A14)*CLUsePrev*CLOppP1cPv)/$Q14)</f>
        <v/>
      </c>
      <c r="Y14" s="2" t="str">
        <f t="shared" si="12"/>
        <v/>
      </c>
      <c r="Z14" s="2" t="str">
        <f t="shared" si="13"/>
        <v/>
      </c>
      <c r="AA14" s="2" t="str">
        <f>IF($Q14=0,"",SUMPRODUCT((CLTeam=$A14)*CLUsePrev*CLOppP2cPv)/$Q14)</f>
        <v/>
      </c>
      <c r="AB14" s="2" t="str">
        <f t="shared" si="14"/>
        <v/>
      </c>
      <c r="AC14" s="2" t="str">
        <f t="shared" si="15"/>
        <v/>
      </c>
      <c r="AD14" s="2" t="str">
        <f>IF($O14="","",IF($AC14="",$O14,MEDIAN($O14,$AC14-MoveCap,$AC14+MoveCap)))</f>
        <v/>
      </c>
      <c r="AE14" s="2" t="str">
        <f>IF(OR($O14="",$AC14=""),"",IF(ABS($O14-$AC14)&gt;MoveCap,"CAPPED",""))</f>
        <v/>
      </c>
      <c r="AF14" s="2">
        <f>SUMPRODUCT((CLTeam=$A14)*CLTotWgt)</f>
        <v>0</v>
      </c>
      <c r="AG14" s="2" t="str">
        <f>IF($AF14=0,"",SUMPRODUCT((CLTeam=$A14)*CLTotWgt*CLPlays)/$AF14)</f>
        <v/>
      </c>
      <c r="AH14" s="2" t="str">
        <f>IF($AF14=0,"",SUMPRODUCT((CLTeam=$A14)*CLTotWgt*CLOppPlays)/$AF14)</f>
        <v/>
      </c>
      <c r="AI14" s="2" t="str">
        <f>IF($AF14=0,"",SUMPRODUCT((CLTeam=$A14)*CLTotWgt*CLOffPPP)/$AF14)</f>
        <v/>
      </c>
      <c r="AJ14" s="2" t="str">
        <f>IF($AF14=0,"",SUMPRODUCT((CLTeam=$A14)*CLTotWgt*CLDefPPP)/$AF14)</f>
        <v/>
      </c>
      <c r="AK14" s="2" t="str">
        <f>IF($B14=0,"",SUMPRODUCT((CLTeam=$A14)*CLUseCur*CLOppDefPPP)/$B14)</f>
        <v/>
      </c>
      <c r="AL14" s="2" t="str">
        <f>IF($B14=0,"",SUMPRODUCT((CLTeam=$A14)*CLUseCur*CLOppOffPPP)/$B14)</f>
        <v/>
      </c>
      <c r="AM14" s="2" t="str">
        <f>IF(OR($AI14="",$AK14=""),"",$AI14+(CALC!$B$36-$AK14))</f>
        <v/>
      </c>
      <c r="AN14" s="2" t="str">
        <f>IF(OR($AJ14="",$AL14=""),"",$AJ14+(CALC!$B$36-$AL14))</f>
        <v/>
      </c>
      <c r="AO14" s="2" t="str">
        <f>IF($B14=0,"",SUMPRODUCT((CLTeam=$A14)*CLUseCur*CLPerf)/MAX(1,$B14))</f>
        <v/>
      </c>
    </row>
    <row r="15" ht="15.0" customHeight="1">
      <c r="A15" s="2" t="s">
        <v>210</v>
      </c>
      <c r="B15" s="2">
        <f>SUMPRODUCT((CLTeam=$A15)*CLUseCur)</f>
        <v>0</v>
      </c>
      <c r="C15" s="2">
        <f>SUMPRODUCT((CLTeam=$A15)*CLUseCur*CLEpaOK)</f>
        <v>0</v>
      </c>
      <c r="D15" s="2">
        <f>SUMPRODUCT((CLTeam=$A15)*CLWgtCur)</f>
        <v>0</v>
      </c>
      <c r="E15" s="2" t="str">
        <f>IF($D15=0,"",SUMPRODUCT((CLTeam=$A15)*CLWgtCur*CLPerf)/$D15)</f>
        <v/>
      </c>
      <c r="F15" s="2" t="str">
        <f t="shared" si="1"/>
        <v/>
      </c>
      <c r="G15" s="2" t="str">
        <f>IF($B15=0,"",SUMPRODUCT((CLTeam=$A15)*CLUseCur*CLOppP0c)/$B15)</f>
        <v/>
      </c>
      <c r="H15" s="2" t="str">
        <f t="shared" si="2"/>
        <v/>
      </c>
      <c r="I15" s="2" t="str">
        <f t="shared" si="3"/>
        <v/>
      </c>
      <c r="J15" s="2" t="str">
        <f>IF($B15=0,"",SUMPRODUCT((CLTeam=$A15)*CLUseCur*CLOppP1c)/$B15)</f>
        <v/>
      </c>
      <c r="K15" s="2" t="str">
        <f t="shared" si="4"/>
        <v/>
      </c>
      <c r="L15" s="2" t="str">
        <f t="shared" si="5"/>
        <v/>
      </c>
      <c r="M15" s="2" t="str">
        <f>IF($B15=0,"",SUMPRODUCT((CLTeam=$A15)*CLUseCur*CLOppP2c)/$B15)</f>
        <v/>
      </c>
      <c r="N15" s="2" t="str">
        <f t="shared" si="6"/>
        <v/>
      </c>
      <c r="O15" s="2" t="str">
        <f t="shared" si="7"/>
        <v/>
      </c>
      <c r="P15" s="2" t="str">
        <f t="shared" si="8"/>
        <v/>
      </c>
      <c r="Q15" s="2">
        <f>SUMPRODUCT((CLTeam=$A15)*CLUsePrev)</f>
        <v>0</v>
      </c>
      <c r="R15" s="2">
        <f>SUMPRODUCT((CLTeam=$A15)*CLWgtPrev)</f>
        <v>0</v>
      </c>
      <c r="S15" s="2" t="str">
        <f>IF($R15=0,"",SUMPRODUCT((CLTeam=$A15)*CLWgtPrev*CLPerf)/$R15)</f>
        <v/>
      </c>
      <c r="T15" s="2" t="str">
        <f t="shared" si="9"/>
        <v/>
      </c>
      <c r="U15" s="2" t="str">
        <f>IF($Q15=0,"",SUMPRODUCT((CLTeam=$A15)*CLUsePrev*CLOppP0cPv)/$Q15)</f>
        <v/>
      </c>
      <c r="V15" s="2" t="str">
        <f t="shared" si="10"/>
        <v/>
      </c>
      <c r="W15" s="2" t="str">
        <f t="shared" si="11"/>
        <v/>
      </c>
      <c r="X15" s="2" t="str">
        <f>IF($Q15=0,"",SUMPRODUCT((CLTeam=$A15)*CLUsePrev*CLOppP1cPv)/$Q15)</f>
        <v/>
      </c>
      <c r="Y15" s="2" t="str">
        <f t="shared" si="12"/>
        <v/>
      </c>
      <c r="Z15" s="2" t="str">
        <f t="shared" si="13"/>
        <v/>
      </c>
      <c r="AA15" s="2" t="str">
        <f>IF($Q15=0,"",SUMPRODUCT((CLTeam=$A15)*CLUsePrev*CLOppP2cPv)/$Q15)</f>
        <v/>
      </c>
      <c r="AB15" s="2" t="str">
        <f t="shared" si="14"/>
        <v/>
      </c>
      <c r="AC15" s="2" t="str">
        <f t="shared" si="15"/>
        <v/>
      </c>
      <c r="AD15" s="2" t="str">
        <f>IF($O15="","",IF($AC15="",$O15,MEDIAN($O15,$AC15-MoveCap,$AC15+MoveCap)))</f>
        <v/>
      </c>
      <c r="AE15" s="2" t="str">
        <f>IF(OR($O15="",$AC15=""),"",IF(ABS($O15-$AC15)&gt;MoveCap,"CAPPED",""))</f>
        <v/>
      </c>
      <c r="AF15" s="2">
        <f>SUMPRODUCT((CLTeam=$A15)*CLTotWgt)</f>
        <v>0</v>
      </c>
      <c r="AG15" s="2" t="str">
        <f>IF($AF15=0,"",SUMPRODUCT((CLTeam=$A15)*CLTotWgt*CLPlays)/$AF15)</f>
        <v/>
      </c>
      <c r="AH15" s="2" t="str">
        <f>IF($AF15=0,"",SUMPRODUCT((CLTeam=$A15)*CLTotWgt*CLOppPlays)/$AF15)</f>
        <v/>
      </c>
      <c r="AI15" s="2" t="str">
        <f>IF($AF15=0,"",SUMPRODUCT((CLTeam=$A15)*CLTotWgt*CLOffPPP)/$AF15)</f>
        <v/>
      </c>
      <c r="AJ15" s="2" t="str">
        <f>IF($AF15=0,"",SUMPRODUCT((CLTeam=$A15)*CLTotWgt*CLDefPPP)/$AF15)</f>
        <v/>
      </c>
      <c r="AK15" s="2" t="str">
        <f>IF($B15=0,"",SUMPRODUCT((CLTeam=$A15)*CLUseCur*CLOppDefPPP)/$B15)</f>
        <v/>
      </c>
      <c r="AL15" s="2" t="str">
        <f>IF($B15=0,"",SUMPRODUCT((CLTeam=$A15)*CLUseCur*CLOppOffPPP)/$B15)</f>
        <v/>
      </c>
      <c r="AM15" s="2" t="str">
        <f>IF(OR($AI15="",$AK15=""),"",$AI15+(CALC!$B$36-$AK15))</f>
        <v/>
      </c>
      <c r="AN15" s="2" t="str">
        <f>IF(OR($AJ15="",$AL15=""),"",$AJ15+(CALC!$B$36-$AL15))</f>
        <v/>
      </c>
      <c r="AO15" s="2" t="str">
        <f>IF($B15=0,"",SUMPRODUCT((CLTeam=$A15)*CLUseCur*CLPerf)/MAX(1,$B15))</f>
        <v/>
      </c>
    </row>
    <row r="16" ht="15.0" customHeight="1">
      <c r="A16" s="2" t="s">
        <v>141</v>
      </c>
      <c r="B16" s="2">
        <f>SUMPRODUCT((CLTeam=$A16)*CLUseCur)</f>
        <v>0</v>
      </c>
      <c r="C16" s="2">
        <f>SUMPRODUCT((CLTeam=$A16)*CLUseCur*CLEpaOK)</f>
        <v>0</v>
      </c>
      <c r="D16" s="2">
        <f>SUMPRODUCT((CLTeam=$A16)*CLWgtCur)</f>
        <v>0</v>
      </c>
      <c r="E16" s="2" t="str">
        <f>IF($D16=0,"",SUMPRODUCT((CLTeam=$A16)*CLWgtCur*CLPerf)/$D16)</f>
        <v/>
      </c>
      <c r="F16" s="2" t="str">
        <f t="shared" si="1"/>
        <v/>
      </c>
      <c r="G16" s="2" t="str">
        <f>IF($B16=0,"",SUMPRODUCT((CLTeam=$A16)*CLUseCur*CLOppP0c)/$B16)</f>
        <v/>
      </c>
      <c r="H16" s="2" t="str">
        <f t="shared" si="2"/>
        <v/>
      </c>
      <c r="I16" s="2" t="str">
        <f t="shared" si="3"/>
        <v/>
      </c>
      <c r="J16" s="2" t="str">
        <f>IF($B16=0,"",SUMPRODUCT((CLTeam=$A16)*CLUseCur*CLOppP1c)/$B16)</f>
        <v/>
      </c>
      <c r="K16" s="2" t="str">
        <f t="shared" si="4"/>
        <v/>
      </c>
      <c r="L16" s="2" t="str">
        <f t="shared" si="5"/>
        <v/>
      </c>
      <c r="M16" s="2" t="str">
        <f>IF($B16=0,"",SUMPRODUCT((CLTeam=$A16)*CLUseCur*CLOppP2c)/$B16)</f>
        <v/>
      </c>
      <c r="N16" s="2" t="str">
        <f t="shared" si="6"/>
        <v/>
      </c>
      <c r="O16" s="2" t="str">
        <f t="shared" si="7"/>
        <v/>
      </c>
      <c r="P16" s="2" t="str">
        <f t="shared" si="8"/>
        <v/>
      </c>
      <c r="Q16" s="2">
        <f>SUMPRODUCT((CLTeam=$A16)*CLUsePrev)</f>
        <v>0</v>
      </c>
      <c r="R16" s="2">
        <f>SUMPRODUCT((CLTeam=$A16)*CLWgtPrev)</f>
        <v>0</v>
      </c>
      <c r="S16" s="2" t="str">
        <f>IF($R16=0,"",SUMPRODUCT((CLTeam=$A16)*CLWgtPrev*CLPerf)/$R16)</f>
        <v/>
      </c>
      <c r="T16" s="2" t="str">
        <f t="shared" si="9"/>
        <v/>
      </c>
      <c r="U16" s="2" t="str">
        <f>IF($Q16=0,"",SUMPRODUCT((CLTeam=$A16)*CLUsePrev*CLOppP0cPv)/$Q16)</f>
        <v/>
      </c>
      <c r="V16" s="2" t="str">
        <f t="shared" si="10"/>
        <v/>
      </c>
      <c r="W16" s="2" t="str">
        <f t="shared" si="11"/>
        <v/>
      </c>
      <c r="X16" s="2" t="str">
        <f>IF($Q16=0,"",SUMPRODUCT((CLTeam=$A16)*CLUsePrev*CLOppP1cPv)/$Q16)</f>
        <v/>
      </c>
      <c r="Y16" s="2" t="str">
        <f t="shared" si="12"/>
        <v/>
      </c>
      <c r="Z16" s="2" t="str">
        <f t="shared" si="13"/>
        <v/>
      </c>
      <c r="AA16" s="2" t="str">
        <f>IF($Q16=0,"",SUMPRODUCT((CLTeam=$A16)*CLUsePrev*CLOppP2cPv)/$Q16)</f>
        <v/>
      </c>
      <c r="AB16" s="2" t="str">
        <f t="shared" si="14"/>
        <v/>
      </c>
      <c r="AC16" s="2" t="str">
        <f t="shared" si="15"/>
        <v/>
      </c>
      <c r="AD16" s="2" t="str">
        <f>IF($O16="","",IF($AC16="",$O16,MEDIAN($O16,$AC16-MoveCap,$AC16+MoveCap)))</f>
        <v/>
      </c>
      <c r="AE16" s="2" t="str">
        <f>IF(OR($O16="",$AC16=""),"",IF(ABS($O16-$AC16)&gt;MoveCap,"CAPPED",""))</f>
        <v/>
      </c>
      <c r="AF16" s="2">
        <f>SUMPRODUCT((CLTeam=$A16)*CLTotWgt)</f>
        <v>0</v>
      </c>
      <c r="AG16" s="2" t="str">
        <f>IF($AF16=0,"",SUMPRODUCT((CLTeam=$A16)*CLTotWgt*CLPlays)/$AF16)</f>
        <v/>
      </c>
      <c r="AH16" s="2" t="str">
        <f>IF($AF16=0,"",SUMPRODUCT((CLTeam=$A16)*CLTotWgt*CLOppPlays)/$AF16)</f>
        <v/>
      </c>
      <c r="AI16" s="2" t="str">
        <f>IF($AF16=0,"",SUMPRODUCT((CLTeam=$A16)*CLTotWgt*CLOffPPP)/$AF16)</f>
        <v/>
      </c>
      <c r="AJ16" s="2" t="str">
        <f>IF($AF16=0,"",SUMPRODUCT((CLTeam=$A16)*CLTotWgt*CLDefPPP)/$AF16)</f>
        <v/>
      </c>
      <c r="AK16" s="2" t="str">
        <f>IF($B16=0,"",SUMPRODUCT((CLTeam=$A16)*CLUseCur*CLOppDefPPP)/$B16)</f>
        <v/>
      </c>
      <c r="AL16" s="2" t="str">
        <f>IF($B16=0,"",SUMPRODUCT((CLTeam=$A16)*CLUseCur*CLOppOffPPP)/$B16)</f>
        <v/>
      </c>
      <c r="AM16" s="2" t="str">
        <f>IF(OR($AI16="",$AK16=""),"",$AI16+(CALC!$B$36-$AK16))</f>
        <v/>
      </c>
      <c r="AN16" s="2" t="str">
        <f>IF(OR($AJ16="",$AL16=""),"",$AJ16+(CALC!$B$36-$AL16))</f>
        <v/>
      </c>
      <c r="AO16" s="2" t="str">
        <f>IF($B16=0,"",SUMPRODUCT((CLTeam=$A16)*CLUseCur*CLPerf)/MAX(1,$B16))</f>
        <v/>
      </c>
    </row>
    <row r="17" ht="15.0" customHeight="1">
      <c r="A17" s="2" t="s">
        <v>143</v>
      </c>
      <c r="B17" s="2">
        <f>SUMPRODUCT((CLTeam=$A17)*CLUseCur)</f>
        <v>0</v>
      </c>
      <c r="C17" s="2">
        <f>SUMPRODUCT((CLTeam=$A17)*CLUseCur*CLEpaOK)</f>
        <v>0</v>
      </c>
      <c r="D17" s="2">
        <f>SUMPRODUCT((CLTeam=$A17)*CLWgtCur)</f>
        <v>0</v>
      </c>
      <c r="E17" s="2" t="str">
        <f>IF($D17=0,"",SUMPRODUCT((CLTeam=$A17)*CLWgtCur*CLPerf)/$D17)</f>
        <v/>
      </c>
      <c r="F17" s="2" t="str">
        <f t="shared" si="1"/>
        <v/>
      </c>
      <c r="G17" s="2" t="str">
        <f>IF($B17=0,"",SUMPRODUCT((CLTeam=$A17)*CLUseCur*CLOppP0c)/$B17)</f>
        <v/>
      </c>
      <c r="H17" s="2" t="str">
        <f t="shared" si="2"/>
        <v/>
      </c>
      <c r="I17" s="2" t="str">
        <f t="shared" si="3"/>
        <v/>
      </c>
      <c r="J17" s="2" t="str">
        <f>IF($B17=0,"",SUMPRODUCT((CLTeam=$A17)*CLUseCur*CLOppP1c)/$B17)</f>
        <v/>
      </c>
      <c r="K17" s="2" t="str">
        <f t="shared" si="4"/>
        <v/>
      </c>
      <c r="L17" s="2" t="str">
        <f t="shared" si="5"/>
        <v/>
      </c>
      <c r="M17" s="2" t="str">
        <f>IF($B17=0,"",SUMPRODUCT((CLTeam=$A17)*CLUseCur*CLOppP2c)/$B17)</f>
        <v/>
      </c>
      <c r="N17" s="2" t="str">
        <f t="shared" si="6"/>
        <v/>
      </c>
      <c r="O17" s="2" t="str">
        <f t="shared" si="7"/>
        <v/>
      </c>
      <c r="P17" s="2" t="str">
        <f t="shared" si="8"/>
        <v/>
      </c>
      <c r="Q17" s="2">
        <f>SUMPRODUCT((CLTeam=$A17)*CLUsePrev)</f>
        <v>0</v>
      </c>
      <c r="R17" s="2">
        <f>SUMPRODUCT((CLTeam=$A17)*CLWgtPrev)</f>
        <v>0</v>
      </c>
      <c r="S17" s="2" t="str">
        <f>IF($R17=0,"",SUMPRODUCT((CLTeam=$A17)*CLWgtPrev*CLPerf)/$R17)</f>
        <v/>
      </c>
      <c r="T17" s="2" t="str">
        <f t="shared" si="9"/>
        <v/>
      </c>
      <c r="U17" s="2" t="str">
        <f>IF($Q17=0,"",SUMPRODUCT((CLTeam=$A17)*CLUsePrev*CLOppP0cPv)/$Q17)</f>
        <v/>
      </c>
      <c r="V17" s="2" t="str">
        <f t="shared" si="10"/>
        <v/>
      </c>
      <c r="W17" s="2" t="str">
        <f t="shared" si="11"/>
        <v/>
      </c>
      <c r="X17" s="2" t="str">
        <f>IF($Q17=0,"",SUMPRODUCT((CLTeam=$A17)*CLUsePrev*CLOppP1cPv)/$Q17)</f>
        <v/>
      </c>
      <c r="Y17" s="2" t="str">
        <f t="shared" si="12"/>
        <v/>
      </c>
      <c r="Z17" s="2" t="str">
        <f t="shared" si="13"/>
        <v/>
      </c>
      <c r="AA17" s="2" t="str">
        <f>IF($Q17=0,"",SUMPRODUCT((CLTeam=$A17)*CLUsePrev*CLOppP2cPv)/$Q17)</f>
        <v/>
      </c>
      <c r="AB17" s="2" t="str">
        <f t="shared" si="14"/>
        <v/>
      </c>
      <c r="AC17" s="2" t="str">
        <f t="shared" si="15"/>
        <v/>
      </c>
      <c r="AD17" s="2" t="str">
        <f>IF($O17="","",IF($AC17="",$O17,MEDIAN($O17,$AC17-MoveCap,$AC17+MoveCap)))</f>
        <v/>
      </c>
      <c r="AE17" s="2" t="str">
        <f>IF(OR($O17="",$AC17=""),"",IF(ABS($O17-$AC17)&gt;MoveCap,"CAPPED",""))</f>
        <v/>
      </c>
      <c r="AF17" s="2">
        <f>SUMPRODUCT((CLTeam=$A17)*CLTotWgt)</f>
        <v>0</v>
      </c>
      <c r="AG17" s="2" t="str">
        <f>IF($AF17=0,"",SUMPRODUCT((CLTeam=$A17)*CLTotWgt*CLPlays)/$AF17)</f>
        <v/>
      </c>
      <c r="AH17" s="2" t="str">
        <f>IF($AF17=0,"",SUMPRODUCT((CLTeam=$A17)*CLTotWgt*CLOppPlays)/$AF17)</f>
        <v/>
      </c>
      <c r="AI17" s="2" t="str">
        <f>IF($AF17=0,"",SUMPRODUCT((CLTeam=$A17)*CLTotWgt*CLOffPPP)/$AF17)</f>
        <v/>
      </c>
      <c r="AJ17" s="2" t="str">
        <f>IF($AF17=0,"",SUMPRODUCT((CLTeam=$A17)*CLTotWgt*CLDefPPP)/$AF17)</f>
        <v/>
      </c>
      <c r="AK17" s="2" t="str">
        <f>IF($B17=0,"",SUMPRODUCT((CLTeam=$A17)*CLUseCur*CLOppDefPPP)/$B17)</f>
        <v/>
      </c>
      <c r="AL17" s="2" t="str">
        <f>IF($B17=0,"",SUMPRODUCT((CLTeam=$A17)*CLUseCur*CLOppOffPPP)/$B17)</f>
        <v/>
      </c>
      <c r="AM17" s="2" t="str">
        <f>IF(OR($AI17="",$AK17=""),"",$AI17+(CALC!$B$36-$AK17))</f>
        <v/>
      </c>
      <c r="AN17" s="2" t="str">
        <f>IF(OR($AJ17="",$AL17=""),"",$AJ17+(CALC!$B$36-$AL17))</f>
        <v/>
      </c>
      <c r="AO17" s="2" t="str">
        <f>IF($B17=0,"",SUMPRODUCT((CLTeam=$A17)*CLUseCur*CLPerf)/MAX(1,$B17))</f>
        <v/>
      </c>
    </row>
    <row r="18" ht="15.0" customHeight="1">
      <c r="A18" s="2" t="s">
        <v>142</v>
      </c>
      <c r="B18" s="2">
        <f>SUMPRODUCT((CLTeam=$A18)*CLUseCur)</f>
        <v>0</v>
      </c>
      <c r="C18" s="2">
        <f>SUMPRODUCT((CLTeam=$A18)*CLUseCur*CLEpaOK)</f>
        <v>0</v>
      </c>
      <c r="D18" s="2">
        <f>SUMPRODUCT((CLTeam=$A18)*CLWgtCur)</f>
        <v>0</v>
      </c>
      <c r="E18" s="2" t="str">
        <f>IF($D18=0,"",SUMPRODUCT((CLTeam=$A18)*CLWgtCur*CLPerf)/$D18)</f>
        <v/>
      </c>
      <c r="F18" s="2" t="str">
        <f t="shared" si="1"/>
        <v/>
      </c>
      <c r="G18" s="2" t="str">
        <f>IF($B18=0,"",SUMPRODUCT((CLTeam=$A18)*CLUseCur*CLOppP0c)/$B18)</f>
        <v/>
      </c>
      <c r="H18" s="2" t="str">
        <f t="shared" si="2"/>
        <v/>
      </c>
      <c r="I18" s="2" t="str">
        <f t="shared" si="3"/>
        <v/>
      </c>
      <c r="J18" s="2" t="str">
        <f>IF($B18=0,"",SUMPRODUCT((CLTeam=$A18)*CLUseCur*CLOppP1c)/$B18)</f>
        <v/>
      </c>
      <c r="K18" s="2" t="str">
        <f t="shared" si="4"/>
        <v/>
      </c>
      <c r="L18" s="2" t="str">
        <f t="shared" si="5"/>
        <v/>
      </c>
      <c r="M18" s="2" t="str">
        <f>IF($B18=0,"",SUMPRODUCT((CLTeam=$A18)*CLUseCur*CLOppP2c)/$B18)</f>
        <v/>
      </c>
      <c r="N18" s="2" t="str">
        <f t="shared" si="6"/>
        <v/>
      </c>
      <c r="O18" s="2" t="str">
        <f t="shared" si="7"/>
        <v/>
      </c>
      <c r="P18" s="2" t="str">
        <f t="shared" si="8"/>
        <v/>
      </c>
      <c r="Q18" s="2">
        <f>SUMPRODUCT((CLTeam=$A18)*CLUsePrev)</f>
        <v>0</v>
      </c>
      <c r="R18" s="2">
        <f>SUMPRODUCT((CLTeam=$A18)*CLWgtPrev)</f>
        <v>0</v>
      </c>
      <c r="S18" s="2" t="str">
        <f>IF($R18=0,"",SUMPRODUCT((CLTeam=$A18)*CLWgtPrev*CLPerf)/$R18)</f>
        <v/>
      </c>
      <c r="T18" s="2" t="str">
        <f t="shared" si="9"/>
        <v/>
      </c>
      <c r="U18" s="2" t="str">
        <f>IF($Q18=0,"",SUMPRODUCT((CLTeam=$A18)*CLUsePrev*CLOppP0cPv)/$Q18)</f>
        <v/>
      </c>
      <c r="V18" s="2" t="str">
        <f t="shared" si="10"/>
        <v/>
      </c>
      <c r="W18" s="2" t="str">
        <f t="shared" si="11"/>
        <v/>
      </c>
      <c r="X18" s="2" t="str">
        <f>IF($Q18=0,"",SUMPRODUCT((CLTeam=$A18)*CLUsePrev*CLOppP1cPv)/$Q18)</f>
        <v/>
      </c>
      <c r="Y18" s="2" t="str">
        <f t="shared" si="12"/>
        <v/>
      </c>
      <c r="Z18" s="2" t="str">
        <f t="shared" si="13"/>
        <v/>
      </c>
      <c r="AA18" s="2" t="str">
        <f>IF($Q18=0,"",SUMPRODUCT((CLTeam=$A18)*CLUsePrev*CLOppP2cPv)/$Q18)</f>
        <v/>
      </c>
      <c r="AB18" s="2" t="str">
        <f t="shared" si="14"/>
        <v/>
      </c>
      <c r="AC18" s="2" t="str">
        <f t="shared" si="15"/>
        <v/>
      </c>
      <c r="AD18" s="2" t="str">
        <f>IF($O18="","",IF($AC18="",$O18,MEDIAN($O18,$AC18-MoveCap,$AC18+MoveCap)))</f>
        <v/>
      </c>
      <c r="AE18" s="2" t="str">
        <f>IF(OR($O18="",$AC18=""),"",IF(ABS($O18-$AC18)&gt;MoveCap,"CAPPED",""))</f>
        <v/>
      </c>
      <c r="AF18" s="2">
        <f>SUMPRODUCT((CLTeam=$A18)*CLTotWgt)</f>
        <v>0</v>
      </c>
      <c r="AG18" s="2" t="str">
        <f>IF($AF18=0,"",SUMPRODUCT((CLTeam=$A18)*CLTotWgt*CLPlays)/$AF18)</f>
        <v/>
      </c>
      <c r="AH18" s="2" t="str">
        <f>IF($AF18=0,"",SUMPRODUCT((CLTeam=$A18)*CLTotWgt*CLOppPlays)/$AF18)</f>
        <v/>
      </c>
      <c r="AI18" s="2" t="str">
        <f>IF($AF18=0,"",SUMPRODUCT((CLTeam=$A18)*CLTotWgt*CLOffPPP)/$AF18)</f>
        <v/>
      </c>
      <c r="AJ18" s="2" t="str">
        <f>IF($AF18=0,"",SUMPRODUCT((CLTeam=$A18)*CLTotWgt*CLDefPPP)/$AF18)</f>
        <v/>
      </c>
      <c r="AK18" s="2" t="str">
        <f>IF($B18=0,"",SUMPRODUCT((CLTeam=$A18)*CLUseCur*CLOppDefPPP)/$B18)</f>
        <v/>
      </c>
      <c r="AL18" s="2" t="str">
        <f>IF($B18=0,"",SUMPRODUCT((CLTeam=$A18)*CLUseCur*CLOppOffPPP)/$B18)</f>
        <v/>
      </c>
      <c r="AM18" s="2" t="str">
        <f>IF(OR($AI18="",$AK18=""),"",$AI18+(CALC!$B$36-$AK18))</f>
        <v/>
      </c>
      <c r="AN18" s="2" t="str">
        <f>IF(OR($AJ18="",$AL18=""),"",$AJ18+(CALC!$B$36-$AL18))</f>
        <v/>
      </c>
      <c r="AO18" s="2" t="str">
        <f>IF($B18=0,"",SUMPRODUCT((CLTeam=$A18)*CLUseCur*CLPerf)/MAX(1,$B18))</f>
        <v/>
      </c>
    </row>
    <row r="19" ht="15.0" customHeight="1">
      <c r="A19" s="2" t="s">
        <v>220</v>
      </c>
      <c r="B19" s="2">
        <f>SUMPRODUCT((CLTeam=$A19)*CLUseCur)</f>
        <v>0</v>
      </c>
      <c r="C19" s="2">
        <f>SUMPRODUCT((CLTeam=$A19)*CLUseCur*CLEpaOK)</f>
        <v>0</v>
      </c>
      <c r="D19" s="2">
        <f>SUMPRODUCT((CLTeam=$A19)*CLWgtCur)</f>
        <v>0</v>
      </c>
      <c r="E19" s="2" t="str">
        <f>IF($D19=0,"",SUMPRODUCT((CLTeam=$A19)*CLWgtCur*CLPerf)/$D19)</f>
        <v/>
      </c>
      <c r="F19" s="2" t="str">
        <f t="shared" si="1"/>
        <v/>
      </c>
      <c r="G19" s="2" t="str">
        <f>IF($B19=0,"",SUMPRODUCT((CLTeam=$A19)*CLUseCur*CLOppP0c)/$B19)</f>
        <v/>
      </c>
      <c r="H19" s="2" t="str">
        <f t="shared" si="2"/>
        <v/>
      </c>
      <c r="I19" s="2" t="str">
        <f t="shared" si="3"/>
        <v/>
      </c>
      <c r="J19" s="2" t="str">
        <f>IF($B19=0,"",SUMPRODUCT((CLTeam=$A19)*CLUseCur*CLOppP1c)/$B19)</f>
        <v/>
      </c>
      <c r="K19" s="2" t="str">
        <f t="shared" si="4"/>
        <v/>
      </c>
      <c r="L19" s="2" t="str">
        <f t="shared" si="5"/>
        <v/>
      </c>
      <c r="M19" s="2" t="str">
        <f>IF($B19=0,"",SUMPRODUCT((CLTeam=$A19)*CLUseCur*CLOppP2c)/$B19)</f>
        <v/>
      </c>
      <c r="N19" s="2" t="str">
        <f t="shared" si="6"/>
        <v/>
      </c>
      <c r="O19" s="2" t="str">
        <f t="shared" si="7"/>
        <v/>
      </c>
      <c r="P19" s="2" t="str">
        <f t="shared" si="8"/>
        <v/>
      </c>
      <c r="Q19" s="2">
        <f>SUMPRODUCT((CLTeam=$A19)*CLUsePrev)</f>
        <v>0</v>
      </c>
      <c r="R19" s="2">
        <f>SUMPRODUCT((CLTeam=$A19)*CLWgtPrev)</f>
        <v>0</v>
      </c>
      <c r="S19" s="2" t="str">
        <f>IF($R19=0,"",SUMPRODUCT((CLTeam=$A19)*CLWgtPrev*CLPerf)/$R19)</f>
        <v/>
      </c>
      <c r="T19" s="2" t="str">
        <f t="shared" si="9"/>
        <v/>
      </c>
      <c r="U19" s="2" t="str">
        <f>IF($Q19=0,"",SUMPRODUCT((CLTeam=$A19)*CLUsePrev*CLOppP0cPv)/$Q19)</f>
        <v/>
      </c>
      <c r="V19" s="2" t="str">
        <f t="shared" si="10"/>
        <v/>
      </c>
      <c r="W19" s="2" t="str">
        <f t="shared" si="11"/>
        <v/>
      </c>
      <c r="X19" s="2" t="str">
        <f>IF($Q19=0,"",SUMPRODUCT((CLTeam=$A19)*CLUsePrev*CLOppP1cPv)/$Q19)</f>
        <v/>
      </c>
      <c r="Y19" s="2" t="str">
        <f t="shared" si="12"/>
        <v/>
      </c>
      <c r="Z19" s="2" t="str">
        <f t="shared" si="13"/>
        <v/>
      </c>
      <c r="AA19" s="2" t="str">
        <f>IF($Q19=0,"",SUMPRODUCT((CLTeam=$A19)*CLUsePrev*CLOppP2cPv)/$Q19)</f>
        <v/>
      </c>
      <c r="AB19" s="2" t="str">
        <f t="shared" si="14"/>
        <v/>
      </c>
      <c r="AC19" s="2" t="str">
        <f t="shared" si="15"/>
        <v/>
      </c>
      <c r="AD19" s="2" t="str">
        <f>IF($O19="","",IF($AC19="",$O19,MEDIAN($O19,$AC19-MoveCap,$AC19+MoveCap)))</f>
        <v/>
      </c>
      <c r="AE19" s="2" t="str">
        <f>IF(OR($O19="",$AC19=""),"",IF(ABS($O19-$AC19)&gt;MoveCap,"CAPPED",""))</f>
        <v/>
      </c>
      <c r="AF19" s="2">
        <f>SUMPRODUCT((CLTeam=$A19)*CLTotWgt)</f>
        <v>0</v>
      </c>
      <c r="AG19" s="2" t="str">
        <f>IF($AF19=0,"",SUMPRODUCT((CLTeam=$A19)*CLTotWgt*CLPlays)/$AF19)</f>
        <v/>
      </c>
      <c r="AH19" s="2" t="str">
        <f>IF($AF19=0,"",SUMPRODUCT((CLTeam=$A19)*CLTotWgt*CLOppPlays)/$AF19)</f>
        <v/>
      </c>
      <c r="AI19" s="2" t="str">
        <f>IF($AF19=0,"",SUMPRODUCT((CLTeam=$A19)*CLTotWgt*CLOffPPP)/$AF19)</f>
        <v/>
      </c>
      <c r="AJ19" s="2" t="str">
        <f>IF($AF19=0,"",SUMPRODUCT((CLTeam=$A19)*CLTotWgt*CLDefPPP)/$AF19)</f>
        <v/>
      </c>
      <c r="AK19" s="2" t="str">
        <f>IF($B19=0,"",SUMPRODUCT((CLTeam=$A19)*CLUseCur*CLOppDefPPP)/$B19)</f>
        <v/>
      </c>
      <c r="AL19" s="2" t="str">
        <f>IF($B19=0,"",SUMPRODUCT((CLTeam=$A19)*CLUseCur*CLOppOffPPP)/$B19)</f>
        <v/>
      </c>
      <c r="AM19" s="2" t="str">
        <f>IF(OR($AI19="",$AK19=""),"",$AI19+(CALC!$B$36-$AK19))</f>
        <v/>
      </c>
      <c r="AN19" s="2" t="str">
        <f>IF(OR($AJ19="",$AL19=""),"",$AJ19+(CALC!$B$36-$AL19))</f>
        <v/>
      </c>
      <c r="AO19" s="2" t="str">
        <f>IF($B19=0,"",SUMPRODUCT((CLTeam=$A19)*CLUseCur*CLPerf)/MAX(1,$B19))</f>
        <v/>
      </c>
    </row>
    <row r="20" ht="15.0" customHeight="1">
      <c r="A20" s="2" t="s">
        <v>222</v>
      </c>
      <c r="B20" s="2">
        <f>SUMPRODUCT((CLTeam=$A20)*CLUseCur)</f>
        <v>0</v>
      </c>
      <c r="C20" s="2">
        <f>SUMPRODUCT((CLTeam=$A20)*CLUseCur*CLEpaOK)</f>
        <v>0</v>
      </c>
      <c r="D20" s="2">
        <f>SUMPRODUCT((CLTeam=$A20)*CLWgtCur)</f>
        <v>0</v>
      </c>
      <c r="E20" s="2" t="str">
        <f>IF($D20=0,"",SUMPRODUCT((CLTeam=$A20)*CLWgtCur*CLPerf)/$D20)</f>
        <v/>
      </c>
      <c r="F20" s="2" t="str">
        <f t="shared" si="1"/>
        <v/>
      </c>
      <c r="G20" s="2" t="str">
        <f>IF($B20=0,"",SUMPRODUCT((CLTeam=$A20)*CLUseCur*CLOppP0c)/$B20)</f>
        <v/>
      </c>
      <c r="H20" s="2" t="str">
        <f t="shared" si="2"/>
        <v/>
      </c>
      <c r="I20" s="2" t="str">
        <f t="shared" si="3"/>
        <v/>
      </c>
      <c r="J20" s="2" t="str">
        <f>IF($B20=0,"",SUMPRODUCT((CLTeam=$A20)*CLUseCur*CLOppP1c)/$B20)</f>
        <v/>
      </c>
      <c r="K20" s="2" t="str">
        <f t="shared" si="4"/>
        <v/>
      </c>
      <c r="L20" s="2" t="str">
        <f t="shared" si="5"/>
        <v/>
      </c>
      <c r="M20" s="2" t="str">
        <f>IF($B20=0,"",SUMPRODUCT((CLTeam=$A20)*CLUseCur*CLOppP2c)/$B20)</f>
        <v/>
      </c>
      <c r="N20" s="2" t="str">
        <f t="shared" si="6"/>
        <v/>
      </c>
      <c r="O20" s="2" t="str">
        <f t="shared" si="7"/>
        <v/>
      </c>
      <c r="P20" s="2" t="str">
        <f t="shared" si="8"/>
        <v/>
      </c>
      <c r="Q20" s="2">
        <f>SUMPRODUCT((CLTeam=$A20)*CLUsePrev)</f>
        <v>0</v>
      </c>
      <c r="R20" s="2">
        <f>SUMPRODUCT((CLTeam=$A20)*CLWgtPrev)</f>
        <v>0</v>
      </c>
      <c r="S20" s="2" t="str">
        <f>IF($R20=0,"",SUMPRODUCT((CLTeam=$A20)*CLWgtPrev*CLPerf)/$R20)</f>
        <v/>
      </c>
      <c r="T20" s="2" t="str">
        <f t="shared" si="9"/>
        <v/>
      </c>
      <c r="U20" s="2" t="str">
        <f>IF($Q20=0,"",SUMPRODUCT((CLTeam=$A20)*CLUsePrev*CLOppP0cPv)/$Q20)</f>
        <v/>
      </c>
      <c r="V20" s="2" t="str">
        <f t="shared" si="10"/>
        <v/>
      </c>
      <c r="W20" s="2" t="str">
        <f t="shared" si="11"/>
        <v/>
      </c>
      <c r="X20" s="2" t="str">
        <f>IF($Q20=0,"",SUMPRODUCT((CLTeam=$A20)*CLUsePrev*CLOppP1cPv)/$Q20)</f>
        <v/>
      </c>
      <c r="Y20" s="2" t="str">
        <f t="shared" si="12"/>
        <v/>
      </c>
      <c r="Z20" s="2" t="str">
        <f t="shared" si="13"/>
        <v/>
      </c>
      <c r="AA20" s="2" t="str">
        <f>IF($Q20=0,"",SUMPRODUCT((CLTeam=$A20)*CLUsePrev*CLOppP2cPv)/$Q20)</f>
        <v/>
      </c>
      <c r="AB20" s="2" t="str">
        <f t="shared" si="14"/>
        <v/>
      </c>
      <c r="AC20" s="2" t="str">
        <f t="shared" si="15"/>
        <v/>
      </c>
      <c r="AD20" s="2" t="str">
        <f>IF($O20="","",IF($AC20="",$O20,MEDIAN($O20,$AC20-MoveCap,$AC20+MoveCap)))</f>
        <v/>
      </c>
      <c r="AE20" s="2" t="str">
        <f>IF(OR($O20="",$AC20=""),"",IF(ABS($O20-$AC20)&gt;MoveCap,"CAPPED",""))</f>
        <v/>
      </c>
      <c r="AF20" s="2">
        <f>SUMPRODUCT((CLTeam=$A20)*CLTotWgt)</f>
        <v>0</v>
      </c>
      <c r="AG20" s="2" t="str">
        <f>IF($AF20=0,"",SUMPRODUCT((CLTeam=$A20)*CLTotWgt*CLPlays)/$AF20)</f>
        <v/>
      </c>
      <c r="AH20" s="2" t="str">
        <f>IF($AF20=0,"",SUMPRODUCT((CLTeam=$A20)*CLTotWgt*CLOppPlays)/$AF20)</f>
        <v/>
      </c>
      <c r="AI20" s="2" t="str">
        <f>IF($AF20=0,"",SUMPRODUCT((CLTeam=$A20)*CLTotWgt*CLOffPPP)/$AF20)</f>
        <v/>
      </c>
      <c r="AJ20" s="2" t="str">
        <f>IF($AF20=0,"",SUMPRODUCT((CLTeam=$A20)*CLTotWgt*CLDefPPP)/$AF20)</f>
        <v/>
      </c>
      <c r="AK20" s="2" t="str">
        <f>IF($B20=0,"",SUMPRODUCT((CLTeam=$A20)*CLUseCur*CLOppDefPPP)/$B20)</f>
        <v/>
      </c>
      <c r="AL20" s="2" t="str">
        <f>IF($B20=0,"",SUMPRODUCT((CLTeam=$A20)*CLUseCur*CLOppOffPPP)/$B20)</f>
        <v/>
      </c>
      <c r="AM20" s="2" t="str">
        <f>IF(OR($AI20="",$AK20=""),"",$AI20+(CALC!$B$36-$AK20))</f>
        <v/>
      </c>
      <c r="AN20" s="2" t="str">
        <f>IF(OR($AJ20="",$AL20=""),"",$AJ20+(CALC!$B$36-$AL20))</f>
        <v/>
      </c>
      <c r="AO20" s="2" t="str">
        <f>IF($B20=0,"",SUMPRODUCT((CLTeam=$A20)*CLUseCur*CLPerf)/MAX(1,$B20))</f>
        <v/>
      </c>
    </row>
    <row r="21" ht="15.0" customHeight="1">
      <c r="A21" s="2" t="s">
        <v>225</v>
      </c>
      <c r="B21" s="2">
        <f>SUMPRODUCT((CLTeam=$A21)*CLUseCur)</f>
        <v>0</v>
      </c>
      <c r="C21" s="2">
        <f>SUMPRODUCT((CLTeam=$A21)*CLUseCur*CLEpaOK)</f>
        <v>0</v>
      </c>
      <c r="D21" s="2">
        <f>SUMPRODUCT((CLTeam=$A21)*CLWgtCur)</f>
        <v>0</v>
      </c>
      <c r="E21" s="2" t="str">
        <f>IF($D21=0,"",SUMPRODUCT((CLTeam=$A21)*CLWgtCur*CLPerf)/$D21)</f>
        <v/>
      </c>
      <c r="F21" s="2" t="str">
        <f t="shared" si="1"/>
        <v/>
      </c>
      <c r="G21" s="2" t="str">
        <f>IF($B21=0,"",SUMPRODUCT((CLTeam=$A21)*CLUseCur*CLOppP0c)/$B21)</f>
        <v/>
      </c>
      <c r="H21" s="2" t="str">
        <f t="shared" si="2"/>
        <v/>
      </c>
      <c r="I21" s="2" t="str">
        <f t="shared" si="3"/>
        <v/>
      </c>
      <c r="J21" s="2" t="str">
        <f>IF($B21=0,"",SUMPRODUCT((CLTeam=$A21)*CLUseCur*CLOppP1c)/$B21)</f>
        <v/>
      </c>
      <c r="K21" s="2" t="str">
        <f t="shared" si="4"/>
        <v/>
      </c>
      <c r="L21" s="2" t="str">
        <f t="shared" si="5"/>
        <v/>
      </c>
      <c r="M21" s="2" t="str">
        <f>IF($B21=0,"",SUMPRODUCT((CLTeam=$A21)*CLUseCur*CLOppP2c)/$B21)</f>
        <v/>
      </c>
      <c r="N21" s="2" t="str">
        <f t="shared" si="6"/>
        <v/>
      </c>
      <c r="O21" s="2" t="str">
        <f t="shared" si="7"/>
        <v/>
      </c>
      <c r="P21" s="2" t="str">
        <f t="shared" si="8"/>
        <v/>
      </c>
      <c r="Q21" s="2">
        <f>SUMPRODUCT((CLTeam=$A21)*CLUsePrev)</f>
        <v>0</v>
      </c>
      <c r="R21" s="2">
        <f>SUMPRODUCT((CLTeam=$A21)*CLWgtPrev)</f>
        <v>0</v>
      </c>
      <c r="S21" s="2" t="str">
        <f>IF($R21=0,"",SUMPRODUCT((CLTeam=$A21)*CLWgtPrev*CLPerf)/$R21)</f>
        <v/>
      </c>
      <c r="T21" s="2" t="str">
        <f t="shared" si="9"/>
        <v/>
      </c>
      <c r="U21" s="2" t="str">
        <f>IF($Q21=0,"",SUMPRODUCT((CLTeam=$A21)*CLUsePrev*CLOppP0cPv)/$Q21)</f>
        <v/>
      </c>
      <c r="V21" s="2" t="str">
        <f t="shared" si="10"/>
        <v/>
      </c>
      <c r="W21" s="2" t="str">
        <f t="shared" si="11"/>
        <v/>
      </c>
      <c r="X21" s="2" t="str">
        <f>IF($Q21=0,"",SUMPRODUCT((CLTeam=$A21)*CLUsePrev*CLOppP1cPv)/$Q21)</f>
        <v/>
      </c>
      <c r="Y21" s="2" t="str">
        <f t="shared" si="12"/>
        <v/>
      </c>
      <c r="Z21" s="2" t="str">
        <f t="shared" si="13"/>
        <v/>
      </c>
      <c r="AA21" s="2" t="str">
        <f>IF($Q21=0,"",SUMPRODUCT((CLTeam=$A21)*CLUsePrev*CLOppP2cPv)/$Q21)</f>
        <v/>
      </c>
      <c r="AB21" s="2" t="str">
        <f t="shared" si="14"/>
        <v/>
      </c>
      <c r="AC21" s="2" t="str">
        <f t="shared" si="15"/>
        <v/>
      </c>
      <c r="AD21" s="2" t="str">
        <f>IF($O21="","",IF($AC21="",$O21,MEDIAN($O21,$AC21-MoveCap,$AC21+MoveCap)))</f>
        <v/>
      </c>
      <c r="AE21" s="2" t="str">
        <f>IF(OR($O21="",$AC21=""),"",IF(ABS($O21-$AC21)&gt;MoveCap,"CAPPED",""))</f>
        <v/>
      </c>
      <c r="AF21" s="2">
        <f>SUMPRODUCT((CLTeam=$A21)*CLTotWgt)</f>
        <v>0</v>
      </c>
      <c r="AG21" s="2" t="str">
        <f>IF($AF21=0,"",SUMPRODUCT((CLTeam=$A21)*CLTotWgt*CLPlays)/$AF21)</f>
        <v/>
      </c>
      <c r="AH21" s="2" t="str">
        <f>IF($AF21=0,"",SUMPRODUCT((CLTeam=$A21)*CLTotWgt*CLOppPlays)/$AF21)</f>
        <v/>
      </c>
      <c r="AI21" s="2" t="str">
        <f>IF($AF21=0,"",SUMPRODUCT((CLTeam=$A21)*CLTotWgt*CLOffPPP)/$AF21)</f>
        <v/>
      </c>
      <c r="AJ21" s="2" t="str">
        <f>IF($AF21=0,"",SUMPRODUCT((CLTeam=$A21)*CLTotWgt*CLDefPPP)/$AF21)</f>
        <v/>
      </c>
      <c r="AK21" s="2" t="str">
        <f>IF($B21=0,"",SUMPRODUCT((CLTeam=$A21)*CLUseCur*CLOppDefPPP)/$B21)</f>
        <v/>
      </c>
      <c r="AL21" s="2" t="str">
        <f>IF($B21=0,"",SUMPRODUCT((CLTeam=$A21)*CLUseCur*CLOppOffPPP)/$B21)</f>
        <v/>
      </c>
      <c r="AM21" s="2" t="str">
        <f>IF(OR($AI21="",$AK21=""),"",$AI21+(CALC!$B$36-$AK21))</f>
        <v/>
      </c>
      <c r="AN21" s="2" t="str">
        <f>IF(OR($AJ21="",$AL21=""),"",$AJ21+(CALC!$B$36-$AL21))</f>
        <v/>
      </c>
      <c r="AO21" s="2" t="str">
        <f>IF($B21=0,"",SUMPRODUCT((CLTeam=$A21)*CLUseCur*CLPerf)/MAX(1,$B21))</f>
        <v/>
      </c>
    </row>
    <row r="22" ht="15.0" customHeight="1">
      <c r="A22" s="2" t="s">
        <v>144</v>
      </c>
      <c r="B22" s="2">
        <f>SUMPRODUCT((CLTeam=$A22)*CLUseCur)</f>
        <v>0</v>
      </c>
      <c r="C22" s="2">
        <f>SUMPRODUCT((CLTeam=$A22)*CLUseCur*CLEpaOK)</f>
        <v>0</v>
      </c>
      <c r="D22" s="2">
        <f>SUMPRODUCT((CLTeam=$A22)*CLWgtCur)</f>
        <v>0</v>
      </c>
      <c r="E22" s="2" t="str">
        <f>IF($D22=0,"",SUMPRODUCT((CLTeam=$A22)*CLWgtCur*CLPerf)/$D22)</f>
        <v/>
      </c>
      <c r="F22" s="2" t="str">
        <f t="shared" si="1"/>
        <v/>
      </c>
      <c r="G22" s="2" t="str">
        <f>IF($B22=0,"",SUMPRODUCT((CLTeam=$A22)*CLUseCur*CLOppP0c)/$B22)</f>
        <v/>
      </c>
      <c r="H22" s="2" t="str">
        <f t="shared" si="2"/>
        <v/>
      </c>
      <c r="I22" s="2" t="str">
        <f t="shared" si="3"/>
        <v/>
      </c>
      <c r="J22" s="2" t="str">
        <f>IF($B22=0,"",SUMPRODUCT((CLTeam=$A22)*CLUseCur*CLOppP1c)/$B22)</f>
        <v/>
      </c>
      <c r="K22" s="2" t="str">
        <f t="shared" si="4"/>
        <v/>
      </c>
      <c r="L22" s="2" t="str">
        <f t="shared" si="5"/>
        <v/>
      </c>
      <c r="M22" s="2" t="str">
        <f>IF($B22=0,"",SUMPRODUCT((CLTeam=$A22)*CLUseCur*CLOppP2c)/$B22)</f>
        <v/>
      </c>
      <c r="N22" s="2" t="str">
        <f t="shared" si="6"/>
        <v/>
      </c>
      <c r="O22" s="2" t="str">
        <f t="shared" si="7"/>
        <v/>
      </c>
      <c r="P22" s="2" t="str">
        <f t="shared" si="8"/>
        <v/>
      </c>
      <c r="Q22" s="2">
        <f>SUMPRODUCT((CLTeam=$A22)*CLUsePrev)</f>
        <v>0</v>
      </c>
      <c r="R22" s="2">
        <f>SUMPRODUCT((CLTeam=$A22)*CLWgtPrev)</f>
        <v>0</v>
      </c>
      <c r="S22" s="2" t="str">
        <f>IF($R22=0,"",SUMPRODUCT((CLTeam=$A22)*CLWgtPrev*CLPerf)/$R22)</f>
        <v/>
      </c>
      <c r="T22" s="2" t="str">
        <f t="shared" si="9"/>
        <v/>
      </c>
      <c r="U22" s="2" t="str">
        <f>IF($Q22=0,"",SUMPRODUCT((CLTeam=$A22)*CLUsePrev*CLOppP0cPv)/$Q22)</f>
        <v/>
      </c>
      <c r="V22" s="2" t="str">
        <f t="shared" si="10"/>
        <v/>
      </c>
      <c r="W22" s="2" t="str">
        <f t="shared" si="11"/>
        <v/>
      </c>
      <c r="X22" s="2" t="str">
        <f>IF($Q22=0,"",SUMPRODUCT((CLTeam=$A22)*CLUsePrev*CLOppP1cPv)/$Q22)</f>
        <v/>
      </c>
      <c r="Y22" s="2" t="str">
        <f t="shared" si="12"/>
        <v/>
      </c>
      <c r="Z22" s="2" t="str">
        <f t="shared" si="13"/>
        <v/>
      </c>
      <c r="AA22" s="2" t="str">
        <f>IF($Q22=0,"",SUMPRODUCT((CLTeam=$A22)*CLUsePrev*CLOppP2cPv)/$Q22)</f>
        <v/>
      </c>
      <c r="AB22" s="2" t="str">
        <f t="shared" si="14"/>
        <v/>
      </c>
      <c r="AC22" s="2" t="str">
        <f t="shared" si="15"/>
        <v/>
      </c>
      <c r="AD22" s="2" t="str">
        <f>IF($O22="","",IF($AC22="",$O22,MEDIAN($O22,$AC22-MoveCap,$AC22+MoveCap)))</f>
        <v/>
      </c>
      <c r="AE22" s="2" t="str">
        <f>IF(OR($O22="",$AC22=""),"",IF(ABS($O22-$AC22)&gt;MoveCap,"CAPPED",""))</f>
        <v/>
      </c>
      <c r="AF22" s="2">
        <f>SUMPRODUCT((CLTeam=$A22)*CLTotWgt)</f>
        <v>0</v>
      </c>
      <c r="AG22" s="2" t="str">
        <f>IF($AF22=0,"",SUMPRODUCT((CLTeam=$A22)*CLTotWgt*CLPlays)/$AF22)</f>
        <v/>
      </c>
      <c r="AH22" s="2" t="str">
        <f>IF($AF22=0,"",SUMPRODUCT((CLTeam=$A22)*CLTotWgt*CLOppPlays)/$AF22)</f>
        <v/>
      </c>
      <c r="AI22" s="2" t="str">
        <f>IF($AF22=0,"",SUMPRODUCT((CLTeam=$A22)*CLTotWgt*CLOffPPP)/$AF22)</f>
        <v/>
      </c>
      <c r="AJ22" s="2" t="str">
        <f>IF($AF22=0,"",SUMPRODUCT((CLTeam=$A22)*CLTotWgt*CLDefPPP)/$AF22)</f>
        <v/>
      </c>
      <c r="AK22" s="2" t="str">
        <f>IF($B22=0,"",SUMPRODUCT((CLTeam=$A22)*CLUseCur*CLOppDefPPP)/$B22)</f>
        <v/>
      </c>
      <c r="AL22" s="2" t="str">
        <f>IF($B22=0,"",SUMPRODUCT((CLTeam=$A22)*CLUseCur*CLOppOffPPP)/$B22)</f>
        <v/>
      </c>
      <c r="AM22" s="2" t="str">
        <f>IF(OR($AI22="",$AK22=""),"",$AI22+(CALC!$B$36-$AK22))</f>
        <v/>
      </c>
      <c r="AN22" s="2" t="str">
        <f>IF(OR($AJ22="",$AL22=""),"",$AJ22+(CALC!$B$36-$AL22))</f>
        <v/>
      </c>
      <c r="AO22" s="2" t="str">
        <f>IF($B22=0,"",SUMPRODUCT((CLTeam=$A22)*CLUseCur*CLPerf)/MAX(1,$B22))</f>
        <v/>
      </c>
    </row>
    <row r="23" ht="15.0" customHeight="1">
      <c r="A23" s="2" t="s">
        <v>145</v>
      </c>
      <c r="B23" s="2">
        <f>SUMPRODUCT((CLTeam=$A23)*CLUseCur)</f>
        <v>0</v>
      </c>
      <c r="C23" s="2">
        <f>SUMPRODUCT((CLTeam=$A23)*CLUseCur*CLEpaOK)</f>
        <v>0</v>
      </c>
      <c r="D23" s="2">
        <f>SUMPRODUCT((CLTeam=$A23)*CLWgtCur)</f>
        <v>0</v>
      </c>
      <c r="E23" s="2" t="str">
        <f>IF($D23=0,"",SUMPRODUCT((CLTeam=$A23)*CLWgtCur*CLPerf)/$D23)</f>
        <v/>
      </c>
      <c r="F23" s="2" t="str">
        <f t="shared" si="1"/>
        <v/>
      </c>
      <c r="G23" s="2" t="str">
        <f>IF($B23=0,"",SUMPRODUCT((CLTeam=$A23)*CLUseCur*CLOppP0c)/$B23)</f>
        <v/>
      </c>
      <c r="H23" s="2" t="str">
        <f t="shared" si="2"/>
        <v/>
      </c>
      <c r="I23" s="2" t="str">
        <f t="shared" si="3"/>
        <v/>
      </c>
      <c r="J23" s="2" t="str">
        <f>IF($B23=0,"",SUMPRODUCT((CLTeam=$A23)*CLUseCur*CLOppP1c)/$B23)</f>
        <v/>
      </c>
      <c r="K23" s="2" t="str">
        <f t="shared" si="4"/>
        <v/>
      </c>
      <c r="L23" s="2" t="str">
        <f t="shared" si="5"/>
        <v/>
      </c>
      <c r="M23" s="2" t="str">
        <f>IF($B23=0,"",SUMPRODUCT((CLTeam=$A23)*CLUseCur*CLOppP2c)/$B23)</f>
        <v/>
      </c>
      <c r="N23" s="2" t="str">
        <f t="shared" si="6"/>
        <v/>
      </c>
      <c r="O23" s="2" t="str">
        <f t="shared" si="7"/>
        <v/>
      </c>
      <c r="P23" s="2" t="str">
        <f t="shared" si="8"/>
        <v/>
      </c>
      <c r="Q23" s="2">
        <f>SUMPRODUCT((CLTeam=$A23)*CLUsePrev)</f>
        <v>0</v>
      </c>
      <c r="R23" s="2">
        <f>SUMPRODUCT((CLTeam=$A23)*CLWgtPrev)</f>
        <v>0</v>
      </c>
      <c r="S23" s="2" t="str">
        <f>IF($R23=0,"",SUMPRODUCT((CLTeam=$A23)*CLWgtPrev*CLPerf)/$R23)</f>
        <v/>
      </c>
      <c r="T23" s="2" t="str">
        <f t="shared" si="9"/>
        <v/>
      </c>
      <c r="U23" s="2" t="str">
        <f>IF($Q23=0,"",SUMPRODUCT((CLTeam=$A23)*CLUsePrev*CLOppP0cPv)/$Q23)</f>
        <v/>
      </c>
      <c r="V23" s="2" t="str">
        <f t="shared" si="10"/>
        <v/>
      </c>
      <c r="W23" s="2" t="str">
        <f t="shared" si="11"/>
        <v/>
      </c>
      <c r="X23" s="2" t="str">
        <f>IF($Q23=0,"",SUMPRODUCT((CLTeam=$A23)*CLUsePrev*CLOppP1cPv)/$Q23)</f>
        <v/>
      </c>
      <c r="Y23" s="2" t="str">
        <f t="shared" si="12"/>
        <v/>
      </c>
      <c r="Z23" s="2" t="str">
        <f t="shared" si="13"/>
        <v/>
      </c>
      <c r="AA23" s="2" t="str">
        <f>IF($Q23=0,"",SUMPRODUCT((CLTeam=$A23)*CLUsePrev*CLOppP2cPv)/$Q23)</f>
        <v/>
      </c>
      <c r="AB23" s="2" t="str">
        <f t="shared" si="14"/>
        <v/>
      </c>
      <c r="AC23" s="2" t="str">
        <f t="shared" si="15"/>
        <v/>
      </c>
      <c r="AD23" s="2" t="str">
        <f>IF($O23="","",IF($AC23="",$O23,MEDIAN($O23,$AC23-MoveCap,$AC23+MoveCap)))</f>
        <v/>
      </c>
      <c r="AE23" s="2" t="str">
        <f>IF(OR($O23="",$AC23=""),"",IF(ABS($O23-$AC23)&gt;MoveCap,"CAPPED",""))</f>
        <v/>
      </c>
      <c r="AF23" s="2">
        <f>SUMPRODUCT((CLTeam=$A23)*CLTotWgt)</f>
        <v>0</v>
      </c>
      <c r="AG23" s="2" t="str">
        <f>IF($AF23=0,"",SUMPRODUCT((CLTeam=$A23)*CLTotWgt*CLPlays)/$AF23)</f>
        <v/>
      </c>
      <c r="AH23" s="2" t="str">
        <f>IF($AF23=0,"",SUMPRODUCT((CLTeam=$A23)*CLTotWgt*CLOppPlays)/$AF23)</f>
        <v/>
      </c>
      <c r="AI23" s="2" t="str">
        <f>IF($AF23=0,"",SUMPRODUCT((CLTeam=$A23)*CLTotWgt*CLOffPPP)/$AF23)</f>
        <v/>
      </c>
      <c r="AJ23" s="2" t="str">
        <f>IF($AF23=0,"",SUMPRODUCT((CLTeam=$A23)*CLTotWgt*CLDefPPP)/$AF23)</f>
        <v/>
      </c>
      <c r="AK23" s="2" t="str">
        <f>IF($B23=0,"",SUMPRODUCT((CLTeam=$A23)*CLUseCur*CLOppDefPPP)/$B23)</f>
        <v/>
      </c>
      <c r="AL23" s="2" t="str">
        <f>IF($B23=0,"",SUMPRODUCT((CLTeam=$A23)*CLUseCur*CLOppOffPPP)/$B23)</f>
        <v/>
      </c>
      <c r="AM23" s="2" t="str">
        <f>IF(OR($AI23="",$AK23=""),"",$AI23+(CALC!$B$36-$AK23))</f>
        <v/>
      </c>
      <c r="AN23" s="2" t="str">
        <f>IF(OR($AJ23="",$AL23=""),"",$AJ23+(CALC!$B$36-$AL23))</f>
        <v/>
      </c>
      <c r="AO23" s="2" t="str">
        <f>IF($B23=0,"",SUMPRODUCT((CLTeam=$A23)*CLUseCur*CLPerf)/MAX(1,$B23))</f>
        <v/>
      </c>
    </row>
    <row r="24" ht="15.0" customHeight="1">
      <c r="A24" s="2" t="s">
        <v>232</v>
      </c>
      <c r="B24" s="2">
        <f>SUMPRODUCT((CLTeam=$A24)*CLUseCur)</f>
        <v>0</v>
      </c>
      <c r="C24" s="2">
        <f>SUMPRODUCT((CLTeam=$A24)*CLUseCur*CLEpaOK)</f>
        <v>0</v>
      </c>
      <c r="D24" s="2">
        <f>SUMPRODUCT((CLTeam=$A24)*CLWgtCur)</f>
        <v>0</v>
      </c>
      <c r="E24" s="2" t="str">
        <f>IF($D24=0,"",SUMPRODUCT((CLTeam=$A24)*CLWgtCur*CLPerf)/$D24)</f>
        <v/>
      </c>
      <c r="F24" s="2" t="str">
        <f t="shared" si="1"/>
        <v/>
      </c>
      <c r="G24" s="2" t="str">
        <f>IF($B24=0,"",SUMPRODUCT((CLTeam=$A24)*CLUseCur*CLOppP0c)/$B24)</f>
        <v/>
      </c>
      <c r="H24" s="2" t="str">
        <f t="shared" si="2"/>
        <v/>
      </c>
      <c r="I24" s="2" t="str">
        <f t="shared" si="3"/>
        <v/>
      </c>
      <c r="J24" s="2" t="str">
        <f>IF($B24=0,"",SUMPRODUCT((CLTeam=$A24)*CLUseCur*CLOppP1c)/$B24)</f>
        <v/>
      </c>
      <c r="K24" s="2" t="str">
        <f t="shared" si="4"/>
        <v/>
      </c>
      <c r="L24" s="2" t="str">
        <f t="shared" si="5"/>
        <v/>
      </c>
      <c r="M24" s="2" t="str">
        <f>IF($B24=0,"",SUMPRODUCT((CLTeam=$A24)*CLUseCur*CLOppP2c)/$B24)</f>
        <v/>
      </c>
      <c r="N24" s="2" t="str">
        <f t="shared" si="6"/>
        <v/>
      </c>
      <c r="O24" s="2" t="str">
        <f t="shared" si="7"/>
        <v/>
      </c>
      <c r="P24" s="2" t="str">
        <f t="shared" si="8"/>
        <v/>
      </c>
      <c r="Q24" s="2">
        <f>SUMPRODUCT((CLTeam=$A24)*CLUsePrev)</f>
        <v>0</v>
      </c>
      <c r="R24" s="2">
        <f>SUMPRODUCT((CLTeam=$A24)*CLWgtPrev)</f>
        <v>0</v>
      </c>
      <c r="S24" s="2" t="str">
        <f>IF($R24=0,"",SUMPRODUCT((CLTeam=$A24)*CLWgtPrev*CLPerf)/$R24)</f>
        <v/>
      </c>
      <c r="T24" s="2" t="str">
        <f t="shared" si="9"/>
        <v/>
      </c>
      <c r="U24" s="2" t="str">
        <f>IF($Q24=0,"",SUMPRODUCT((CLTeam=$A24)*CLUsePrev*CLOppP0cPv)/$Q24)</f>
        <v/>
      </c>
      <c r="V24" s="2" t="str">
        <f t="shared" si="10"/>
        <v/>
      </c>
      <c r="W24" s="2" t="str">
        <f t="shared" si="11"/>
        <v/>
      </c>
      <c r="X24" s="2" t="str">
        <f>IF($Q24=0,"",SUMPRODUCT((CLTeam=$A24)*CLUsePrev*CLOppP1cPv)/$Q24)</f>
        <v/>
      </c>
      <c r="Y24" s="2" t="str">
        <f t="shared" si="12"/>
        <v/>
      </c>
      <c r="Z24" s="2" t="str">
        <f t="shared" si="13"/>
        <v/>
      </c>
      <c r="AA24" s="2" t="str">
        <f>IF($Q24=0,"",SUMPRODUCT((CLTeam=$A24)*CLUsePrev*CLOppP2cPv)/$Q24)</f>
        <v/>
      </c>
      <c r="AB24" s="2" t="str">
        <f t="shared" si="14"/>
        <v/>
      </c>
      <c r="AC24" s="2" t="str">
        <f t="shared" si="15"/>
        <v/>
      </c>
      <c r="AD24" s="2" t="str">
        <f>IF($O24="","",IF($AC24="",$O24,MEDIAN($O24,$AC24-MoveCap,$AC24+MoveCap)))</f>
        <v/>
      </c>
      <c r="AE24" s="2" t="str">
        <f>IF(OR($O24="",$AC24=""),"",IF(ABS($O24-$AC24)&gt;MoveCap,"CAPPED",""))</f>
        <v/>
      </c>
      <c r="AF24" s="2">
        <f>SUMPRODUCT((CLTeam=$A24)*CLTotWgt)</f>
        <v>0</v>
      </c>
      <c r="AG24" s="2" t="str">
        <f>IF($AF24=0,"",SUMPRODUCT((CLTeam=$A24)*CLTotWgt*CLPlays)/$AF24)</f>
        <v/>
      </c>
      <c r="AH24" s="2" t="str">
        <f>IF($AF24=0,"",SUMPRODUCT((CLTeam=$A24)*CLTotWgt*CLOppPlays)/$AF24)</f>
        <v/>
      </c>
      <c r="AI24" s="2" t="str">
        <f>IF($AF24=0,"",SUMPRODUCT((CLTeam=$A24)*CLTotWgt*CLOffPPP)/$AF24)</f>
        <v/>
      </c>
      <c r="AJ24" s="2" t="str">
        <f>IF($AF24=0,"",SUMPRODUCT((CLTeam=$A24)*CLTotWgt*CLDefPPP)/$AF24)</f>
        <v/>
      </c>
      <c r="AK24" s="2" t="str">
        <f>IF($B24=0,"",SUMPRODUCT((CLTeam=$A24)*CLUseCur*CLOppDefPPP)/$B24)</f>
        <v/>
      </c>
      <c r="AL24" s="2" t="str">
        <f>IF($B24=0,"",SUMPRODUCT((CLTeam=$A24)*CLUseCur*CLOppOffPPP)/$B24)</f>
        <v/>
      </c>
      <c r="AM24" s="2" t="str">
        <f>IF(OR($AI24="",$AK24=""),"",$AI24+(CALC!$B$36-$AK24))</f>
        <v/>
      </c>
      <c r="AN24" s="2" t="str">
        <f>IF(OR($AJ24="",$AL24=""),"",$AJ24+(CALC!$B$36-$AL24))</f>
        <v/>
      </c>
      <c r="AO24" s="2" t="str">
        <f>IF($B24=0,"",SUMPRODUCT((CLTeam=$A24)*CLUseCur*CLPerf)/MAX(1,$B24))</f>
        <v/>
      </c>
    </row>
    <row r="25" ht="15.0" customHeight="1">
      <c r="A25" s="2" t="s">
        <v>235</v>
      </c>
      <c r="B25" s="2">
        <f>SUMPRODUCT((CLTeam=$A25)*CLUseCur)</f>
        <v>0</v>
      </c>
      <c r="C25" s="2">
        <f>SUMPRODUCT((CLTeam=$A25)*CLUseCur*CLEpaOK)</f>
        <v>0</v>
      </c>
      <c r="D25" s="2">
        <f>SUMPRODUCT((CLTeam=$A25)*CLWgtCur)</f>
        <v>0</v>
      </c>
      <c r="E25" s="2" t="str">
        <f>IF($D25=0,"",SUMPRODUCT((CLTeam=$A25)*CLWgtCur*CLPerf)/$D25)</f>
        <v/>
      </c>
      <c r="F25" s="2" t="str">
        <f t="shared" si="1"/>
        <v/>
      </c>
      <c r="G25" s="2" t="str">
        <f>IF($B25=0,"",SUMPRODUCT((CLTeam=$A25)*CLUseCur*CLOppP0c)/$B25)</f>
        <v/>
      </c>
      <c r="H25" s="2" t="str">
        <f t="shared" si="2"/>
        <v/>
      </c>
      <c r="I25" s="2" t="str">
        <f t="shared" si="3"/>
        <v/>
      </c>
      <c r="J25" s="2" t="str">
        <f>IF($B25=0,"",SUMPRODUCT((CLTeam=$A25)*CLUseCur*CLOppP1c)/$B25)</f>
        <v/>
      </c>
      <c r="K25" s="2" t="str">
        <f t="shared" si="4"/>
        <v/>
      </c>
      <c r="L25" s="2" t="str">
        <f t="shared" si="5"/>
        <v/>
      </c>
      <c r="M25" s="2" t="str">
        <f>IF($B25=0,"",SUMPRODUCT((CLTeam=$A25)*CLUseCur*CLOppP2c)/$B25)</f>
        <v/>
      </c>
      <c r="N25" s="2" t="str">
        <f t="shared" si="6"/>
        <v/>
      </c>
      <c r="O25" s="2" t="str">
        <f t="shared" si="7"/>
        <v/>
      </c>
      <c r="P25" s="2" t="str">
        <f t="shared" si="8"/>
        <v/>
      </c>
      <c r="Q25" s="2">
        <f>SUMPRODUCT((CLTeam=$A25)*CLUsePrev)</f>
        <v>0</v>
      </c>
      <c r="R25" s="2">
        <f>SUMPRODUCT((CLTeam=$A25)*CLWgtPrev)</f>
        <v>0</v>
      </c>
      <c r="S25" s="2" t="str">
        <f>IF($R25=0,"",SUMPRODUCT((CLTeam=$A25)*CLWgtPrev*CLPerf)/$R25)</f>
        <v/>
      </c>
      <c r="T25" s="2" t="str">
        <f t="shared" si="9"/>
        <v/>
      </c>
      <c r="U25" s="2" t="str">
        <f>IF($Q25=0,"",SUMPRODUCT((CLTeam=$A25)*CLUsePrev*CLOppP0cPv)/$Q25)</f>
        <v/>
      </c>
      <c r="V25" s="2" t="str">
        <f t="shared" si="10"/>
        <v/>
      </c>
      <c r="W25" s="2" t="str">
        <f t="shared" si="11"/>
        <v/>
      </c>
      <c r="X25" s="2" t="str">
        <f>IF($Q25=0,"",SUMPRODUCT((CLTeam=$A25)*CLUsePrev*CLOppP1cPv)/$Q25)</f>
        <v/>
      </c>
      <c r="Y25" s="2" t="str">
        <f t="shared" si="12"/>
        <v/>
      </c>
      <c r="Z25" s="2" t="str">
        <f t="shared" si="13"/>
        <v/>
      </c>
      <c r="AA25" s="2" t="str">
        <f>IF($Q25=0,"",SUMPRODUCT((CLTeam=$A25)*CLUsePrev*CLOppP2cPv)/$Q25)</f>
        <v/>
      </c>
      <c r="AB25" s="2" t="str">
        <f t="shared" si="14"/>
        <v/>
      </c>
      <c r="AC25" s="2" t="str">
        <f t="shared" si="15"/>
        <v/>
      </c>
      <c r="AD25" s="2" t="str">
        <f>IF($O25="","",IF($AC25="",$O25,MEDIAN($O25,$AC25-MoveCap,$AC25+MoveCap)))</f>
        <v/>
      </c>
      <c r="AE25" s="2" t="str">
        <f>IF(OR($O25="",$AC25=""),"",IF(ABS($O25-$AC25)&gt;MoveCap,"CAPPED",""))</f>
        <v/>
      </c>
      <c r="AF25" s="2">
        <f>SUMPRODUCT((CLTeam=$A25)*CLTotWgt)</f>
        <v>0</v>
      </c>
      <c r="AG25" s="2" t="str">
        <f>IF($AF25=0,"",SUMPRODUCT((CLTeam=$A25)*CLTotWgt*CLPlays)/$AF25)</f>
        <v/>
      </c>
      <c r="AH25" s="2" t="str">
        <f>IF($AF25=0,"",SUMPRODUCT((CLTeam=$A25)*CLTotWgt*CLOppPlays)/$AF25)</f>
        <v/>
      </c>
      <c r="AI25" s="2" t="str">
        <f>IF($AF25=0,"",SUMPRODUCT((CLTeam=$A25)*CLTotWgt*CLOffPPP)/$AF25)</f>
        <v/>
      </c>
      <c r="AJ25" s="2" t="str">
        <f>IF($AF25=0,"",SUMPRODUCT((CLTeam=$A25)*CLTotWgt*CLDefPPP)/$AF25)</f>
        <v/>
      </c>
      <c r="AK25" s="2" t="str">
        <f>IF($B25=0,"",SUMPRODUCT((CLTeam=$A25)*CLUseCur*CLOppDefPPP)/$B25)</f>
        <v/>
      </c>
      <c r="AL25" s="2" t="str">
        <f>IF($B25=0,"",SUMPRODUCT((CLTeam=$A25)*CLUseCur*CLOppOffPPP)/$B25)</f>
        <v/>
      </c>
      <c r="AM25" s="2" t="str">
        <f>IF(OR($AI25="",$AK25=""),"",$AI25+(CALC!$B$36-$AK25))</f>
        <v/>
      </c>
      <c r="AN25" s="2" t="str">
        <f>IF(OR($AJ25="",$AL25=""),"",$AJ25+(CALC!$B$36-$AL25))</f>
        <v/>
      </c>
      <c r="AO25" s="2" t="str">
        <f>IF($B25=0,"",SUMPRODUCT((CLTeam=$A25)*CLUseCur*CLPerf)/MAX(1,$B25))</f>
        <v/>
      </c>
    </row>
    <row r="26" ht="15.0" customHeight="1">
      <c r="A26" s="2" t="s">
        <v>238</v>
      </c>
      <c r="B26" s="2">
        <f>SUMPRODUCT((CLTeam=$A26)*CLUseCur)</f>
        <v>0</v>
      </c>
      <c r="C26" s="2">
        <f>SUMPRODUCT((CLTeam=$A26)*CLUseCur*CLEpaOK)</f>
        <v>0</v>
      </c>
      <c r="D26" s="2">
        <f>SUMPRODUCT((CLTeam=$A26)*CLWgtCur)</f>
        <v>0</v>
      </c>
      <c r="E26" s="2" t="str">
        <f>IF($D26=0,"",SUMPRODUCT((CLTeam=$A26)*CLWgtCur*CLPerf)/$D26)</f>
        <v/>
      </c>
      <c r="F26" s="2" t="str">
        <f t="shared" si="1"/>
        <v/>
      </c>
      <c r="G26" s="2" t="str">
        <f>IF($B26=0,"",SUMPRODUCT((CLTeam=$A26)*CLUseCur*CLOppP0c)/$B26)</f>
        <v/>
      </c>
      <c r="H26" s="2" t="str">
        <f t="shared" si="2"/>
        <v/>
      </c>
      <c r="I26" s="2" t="str">
        <f t="shared" si="3"/>
        <v/>
      </c>
      <c r="J26" s="2" t="str">
        <f>IF($B26=0,"",SUMPRODUCT((CLTeam=$A26)*CLUseCur*CLOppP1c)/$B26)</f>
        <v/>
      </c>
      <c r="K26" s="2" t="str">
        <f t="shared" si="4"/>
        <v/>
      </c>
      <c r="L26" s="2" t="str">
        <f t="shared" si="5"/>
        <v/>
      </c>
      <c r="M26" s="2" t="str">
        <f>IF($B26=0,"",SUMPRODUCT((CLTeam=$A26)*CLUseCur*CLOppP2c)/$B26)</f>
        <v/>
      </c>
      <c r="N26" s="2" t="str">
        <f t="shared" si="6"/>
        <v/>
      </c>
      <c r="O26" s="2" t="str">
        <f t="shared" si="7"/>
        <v/>
      </c>
      <c r="P26" s="2" t="str">
        <f t="shared" si="8"/>
        <v/>
      </c>
      <c r="Q26" s="2">
        <f>SUMPRODUCT((CLTeam=$A26)*CLUsePrev)</f>
        <v>0</v>
      </c>
      <c r="R26" s="2">
        <f>SUMPRODUCT((CLTeam=$A26)*CLWgtPrev)</f>
        <v>0</v>
      </c>
      <c r="S26" s="2" t="str">
        <f>IF($R26=0,"",SUMPRODUCT((CLTeam=$A26)*CLWgtPrev*CLPerf)/$R26)</f>
        <v/>
      </c>
      <c r="T26" s="2" t="str">
        <f t="shared" si="9"/>
        <v/>
      </c>
      <c r="U26" s="2" t="str">
        <f>IF($Q26=0,"",SUMPRODUCT((CLTeam=$A26)*CLUsePrev*CLOppP0cPv)/$Q26)</f>
        <v/>
      </c>
      <c r="V26" s="2" t="str">
        <f t="shared" si="10"/>
        <v/>
      </c>
      <c r="W26" s="2" t="str">
        <f t="shared" si="11"/>
        <v/>
      </c>
      <c r="X26" s="2" t="str">
        <f>IF($Q26=0,"",SUMPRODUCT((CLTeam=$A26)*CLUsePrev*CLOppP1cPv)/$Q26)</f>
        <v/>
      </c>
      <c r="Y26" s="2" t="str">
        <f t="shared" si="12"/>
        <v/>
      </c>
      <c r="Z26" s="2" t="str">
        <f t="shared" si="13"/>
        <v/>
      </c>
      <c r="AA26" s="2" t="str">
        <f>IF($Q26=0,"",SUMPRODUCT((CLTeam=$A26)*CLUsePrev*CLOppP2cPv)/$Q26)</f>
        <v/>
      </c>
      <c r="AB26" s="2" t="str">
        <f t="shared" si="14"/>
        <v/>
      </c>
      <c r="AC26" s="2" t="str">
        <f t="shared" si="15"/>
        <v/>
      </c>
      <c r="AD26" s="2" t="str">
        <f>IF($O26="","",IF($AC26="",$O26,MEDIAN($O26,$AC26-MoveCap,$AC26+MoveCap)))</f>
        <v/>
      </c>
      <c r="AE26" s="2" t="str">
        <f>IF(OR($O26="",$AC26=""),"",IF(ABS($O26-$AC26)&gt;MoveCap,"CAPPED",""))</f>
        <v/>
      </c>
      <c r="AF26" s="2">
        <f>SUMPRODUCT((CLTeam=$A26)*CLTotWgt)</f>
        <v>0</v>
      </c>
      <c r="AG26" s="2" t="str">
        <f>IF($AF26=0,"",SUMPRODUCT((CLTeam=$A26)*CLTotWgt*CLPlays)/$AF26)</f>
        <v/>
      </c>
      <c r="AH26" s="2" t="str">
        <f>IF($AF26=0,"",SUMPRODUCT((CLTeam=$A26)*CLTotWgt*CLOppPlays)/$AF26)</f>
        <v/>
      </c>
      <c r="AI26" s="2" t="str">
        <f>IF($AF26=0,"",SUMPRODUCT((CLTeam=$A26)*CLTotWgt*CLOffPPP)/$AF26)</f>
        <v/>
      </c>
      <c r="AJ26" s="2" t="str">
        <f>IF($AF26=0,"",SUMPRODUCT((CLTeam=$A26)*CLTotWgt*CLDefPPP)/$AF26)</f>
        <v/>
      </c>
      <c r="AK26" s="2" t="str">
        <f>IF($B26=0,"",SUMPRODUCT((CLTeam=$A26)*CLUseCur*CLOppDefPPP)/$B26)</f>
        <v/>
      </c>
      <c r="AL26" s="2" t="str">
        <f>IF($B26=0,"",SUMPRODUCT((CLTeam=$A26)*CLUseCur*CLOppOffPPP)/$B26)</f>
        <v/>
      </c>
      <c r="AM26" s="2" t="str">
        <f>IF(OR($AI26="",$AK26=""),"",$AI26+(CALC!$B$36-$AK26))</f>
        <v/>
      </c>
      <c r="AN26" s="2" t="str">
        <f>IF(OR($AJ26="",$AL26=""),"",$AJ26+(CALC!$B$36-$AL26))</f>
        <v/>
      </c>
      <c r="AO26" s="2" t="str">
        <f>IF($B26=0,"",SUMPRODUCT((CLTeam=$A26)*CLUseCur*CLPerf)/MAX(1,$B26))</f>
        <v/>
      </c>
    </row>
    <row r="27" ht="15.0" customHeight="1">
      <c r="A27" s="2" t="s">
        <v>147</v>
      </c>
      <c r="B27" s="2">
        <f>SUMPRODUCT((CLTeam=$A27)*CLUseCur)</f>
        <v>0</v>
      </c>
      <c r="C27" s="2">
        <f>SUMPRODUCT((CLTeam=$A27)*CLUseCur*CLEpaOK)</f>
        <v>0</v>
      </c>
      <c r="D27" s="2">
        <f>SUMPRODUCT((CLTeam=$A27)*CLWgtCur)</f>
        <v>0</v>
      </c>
      <c r="E27" s="2" t="str">
        <f>IF($D27=0,"",SUMPRODUCT((CLTeam=$A27)*CLWgtCur*CLPerf)/$D27)</f>
        <v/>
      </c>
      <c r="F27" s="2" t="str">
        <f t="shared" si="1"/>
        <v/>
      </c>
      <c r="G27" s="2" t="str">
        <f>IF($B27=0,"",SUMPRODUCT((CLTeam=$A27)*CLUseCur*CLOppP0c)/$B27)</f>
        <v/>
      </c>
      <c r="H27" s="2" t="str">
        <f t="shared" si="2"/>
        <v/>
      </c>
      <c r="I27" s="2" t="str">
        <f t="shared" si="3"/>
        <v/>
      </c>
      <c r="J27" s="2" t="str">
        <f>IF($B27=0,"",SUMPRODUCT((CLTeam=$A27)*CLUseCur*CLOppP1c)/$B27)</f>
        <v/>
      </c>
      <c r="K27" s="2" t="str">
        <f t="shared" si="4"/>
        <v/>
      </c>
      <c r="L27" s="2" t="str">
        <f t="shared" si="5"/>
        <v/>
      </c>
      <c r="M27" s="2" t="str">
        <f>IF($B27=0,"",SUMPRODUCT((CLTeam=$A27)*CLUseCur*CLOppP2c)/$B27)</f>
        <v/>
      </c>
      <c r="N27" s="2" t="str">
        <f t="shared" si="6"/>
        <v/>
      </c>
      <c r="O27" s="2" t="str">
        <f t="shared" si="7"/>
        <v/>
      </c>
      <c r="P27" s="2" t="str">
        <f t="shared" si="8"/>
        <v/>
      </c>
      <c r="Q27" s="2">
        <f>SUMPRODUCT((CLTeam=$A27)*CLUsePrev)</f>
        <v>0</v>
      </c>
      <c r="R27" s="2">
        <f>SUMPRODUCT((CLTeam=$A27)*CLWgtPrev)</f>
        <v>0</v>
      </c>
      <c r="S27" s="2" t="str">
        <f>IF($R27=0,"",SUMPRODUCT((CLTeam=$A27)*CLWgtPrev*CLPerf)/$R27)</f>
        <v/>
      </c>
      <c r="T27" s="2" t="str">
        <f t="shared" si="9"/>
        <v/>
      </c>
      <c r="U27" s="2" t="str">
        <f>IF($Q27=0,"",SUMPRODUCT((CLTeam=$A27)*CLUsePrev*CLOppP0cPv)/$Q27)</f>
        <v/>
      </c>
      <c r="V27" s="2" t="str">
        <f t="shared" si="10"/>
        <v/>
      </c>
      <c r="W27" s="2" t="str">
        <f t="shared" si="11"/>
        <v/>
      </c>
      <c r="X27" s="2" t="str">
        <f>IF($Q27=0,"",SUMPRODUCT((CLTeam=$A27)*CLUsePrev*CLOppP1cPv)/$Q27)</f>
        <v/>
      </c>
      <c r="Y27" s="2" t="str">
        <f t="shared" si="12"/>
        <v/>
      </c>
      <c r="Z27" s="2" t="str">
        <f t="shared" si="13"/>
        <v/>
      </c>
      <c r="AA27" s="2" t="str">
        <f>IF($Q27=0,"",SUMPRODUCT((CLTeam=$A27)*CLUsePrev*CLOppP2cPv)/$Q27)</f>
        <v/>
      </c>
      <c r="AB27" s="2" t="str">
        <f t="shared" si="14"/>
        <v/>
      </c>
      <c r="AC27" s="2" t="str">
        <f t="shared" si="15"/>
        <v/>
      </c>
      <c r="AD27" s="2" t="str">
        <f>IF($O27="","",IF($AC27="",$O27,MEDIAN($O27,$AC27-MoveCap,$AC27+MoveCap)))</f>
        <v/>
      </c>
      <c r="AE27" s="2" t="str">
        <f>IF(OR($O27="",$AC27=""),"",IF(ABS($O27-$AC27)&gt;MoveCap,"CAPPED",""))</f>
        <v/>
      </c>
      <c r="AF27" s="2">
        <f>SUMPRODUCT((CLTeam=$A27)*CLTotWgt)</f>
        <v>0</v>
      </c>
      <c r="AG27" s="2" t="str">
        <f>IF($AF27=0,"",SUMPRODUCT((CLTeam=$A27)*CLTotWgt*CLPlays)/$AF27)</f>
        <v/>
      </c>
      <c r="AH27" s="2" t="str">
        <f>IF($AF27=0,"",SUMPRODUCT((CLTeam=$A27)*CLTotWgt*CLOppPlays)/$AF27)</f>
        <v/>
      </c>
      <c r="AI27" s="2" t="str">
        <f>IF($AF27=0,"",SUMPRODUCT((CLTeam=$A27)*CLTotWgt*CLOffPPP)/$AF27)</f>
        <v/>
      </c>
      <c r="AJ27" s="2" t="str">
        <f>IF($AF27=0,"",SUMPRODUCT((CLTeam=$A27)*CLTotWgt*CLDefPPP)/$AF27)</f>
        <v/>
      </c>
      <c r="AK27" s="2" t="str">
        <f>IF($B27=0,"",SUMPRODUCT((CLTeam=$A27)*CLUseCur*CLOppDefPPP)/$B27)</f>
        <v/>
      </c>
      <c r="AL27" s="2" t="str">
        <f>IF($B27=0,"",SUMPRODUCT((CLTeam=$A27)*CLUseCur*CLOppOffPPP)/$B27)</f>
        <v/>
      </c>
      <c r="AM27" s="2" t="str">
        <f>IF(OR($AI27="",$AK27=""),"",$AI27+(CALC!$B$36-$AK27))</f>
        <v/>
      </c>
      <c r="AN27" s="2" t="str">
        <f>IF(OR($AJ27="",$AL27=""),"",$AJ27+(CALC!$B$36-$AL27))</f>
        <v/>
      </c>
      <c r="AO27" s="2" t="str">
        <f>IF($B27=0,"",SUMPRODUCT((CLTeam=$A27)*CLUseCur*CLPerf)/MAX(1,$B27))</f>
        <v/>
      </c>
    </row>
    <row r="28" ht="15.0" customHeight="1">
      <c r="A28" s="2" t="s">
        <v>242</v>
      </c>
      <c r="B28" s="2">
        <f>SUMPRODUCT((CLTeam=$A28)*CLUseCur)</f>
        <v>0</v>
      </c>
      <c r="C28" s="2">
        <f>SUMPRODUCT((CLTeam=$A28)*CLUseCur*CLEpaOK)</f>
        <v>0</v>
      </c>
      <c r="D28" s="2">
        <f>SUMPRODUCT((CLTeam=$A28)*CLWgtCur)</f>
        <v>0</v>
      </c>
      <c r="E28" s="2" t="str">
        <f>IF($D28=0,"",SUMPRODUCT((CLTeam=$A28)*CLWgtCur*CLPerf)/$D28)</f>
        <v/>
      </c>
      <c r="F28" s="2" t="str">
        <f t="shared" si="1"/>
        <v/>
      </c>
      <c r="G28" s="2" t="str">
        <f>IF($B28=0,"",SUMPRODUCT((CLTeam=$A28)*CLUseCur*CLOppP0c)/$B28)</f>
        <v/>
      </c>
      <c r="H28" s="2" t="str">
        <f t="shared" si="2"/>
        <v/>
      </c>
      <c r="I28" s="2" t="str">
        <f t="shared" si="3"/>
        <v/>
      </c>
      <c r="J28" s="2" t="str">
        <f>IF($B28=0,"",SUMPRODUCT((CLTeam=$A28)*CLUseCur*CLOppP1c)/$B28)</f>
        <v/>
      </c>
      <c r="K28" s="2" t="str">
        <f t="shared" si="4"/>
        <v/>
      </c>
      <c r="L28" s="2" t="str">
        <f t="shared" si="5"/>
        <v/>
      </c>
      <c r="M28" s="2" t="str">
        <f>IF($B28=0,"",SUMPRODUCT((CLTeam=$A28)*CLUseCur*CLOppP2c)/$B28)</f>
        <v/>
      </c>
      <c r="N28" s="2" t="str">
        <f t="shared" si="6"/>
        <v/>
      </c>
      <c r="O28" s="2" t="str">
        <f t="shared" si="7"/>
        <v/>
      </c>
      <c r="P28" s="2" t="str">
        <f t="shared" si="8"/>
        <v/>
      </c>
      <c r="Q28" s="2">
        <f>SUMPRODUCT((CLTeam=$A28)*CLUsePrev)</f>
        <v>0</v>
      </c>
      <c r="R28" s="2">
        <f>SUMPRODUCT((CLTeam=$A28)*CLWgtPrev)</f>
        <v>0</v>
      </c>
      <c r="S28" s="2" t="str">
        <f>IF($R28=0,"",SUMPRODUCT((CLTeam=$A28)*CLWgtPrev*CLPerf)/$R28)</f>
        <v/>
      </c>
      <c r="T28" s="2" t="str">
        <f t="shared" si="9"/>
        <v/>
      </c>
      <c r="U28" s="2" t="str">
        <f>IF($Q28=0,"",SUMPRODUCT((CLTeam=$A28)*CLUsePrev*CLOppP0cPv)/$Q28)</f>
        <v/>
      </c>
      <c r="V28" s="2" t="str">
        <f t="shared" si="10"/>
        <v/>
      </c>
      <c r="W28" s="2" t="str">
        <f t="shared" si="11"/>
        <v/>
      </c>
      <c r="X28" s="2" t="str">
        <f>IF($Q28=0,"",SUMPRODUCT((CLTeam=$A28)*CLUsePrev*CLOppP1cPv)/$Q28)</f>
        <v/>
      </c>
      <c r="Y28" s="2" t="str">
        <f t="shared" si="12"/>
        <v/>
      </c>
      <c r="Z28" s="2" t="str">
        <f t="shared" si="13"/>
        <v/>
      </c>
      <c r="AA28" s="2" t="str">
        <f>IF($Q28=0,"",SUMPRODUCT((CLTeam=$A28)*CLUsePrev*CLOppP2cPv)/$Q28)</f>
        <v/>
      </c>
      <c r="AB28" s="2" t="str">
        <f t="shared" si="14"/>
        <v/>
      </c>
      <c r="AC28" s="2" t="str">
        <f t="shared" si="15"/>
        <v/>
      </c>
      <c r="AD28" s="2" t="str">
        <f>IF($O28="","",IF($AC28="",$O28,MEDIAN($O28,$AC28-MoveCap,$AC28+MoveCap)))</f>
        <v/>
      </c>
      <c r="AE28" s="2" t="str">
        <f>IF(OR($O28="",$AC28=""),"",IF(ABS($O28-$AC28)&gt;MoveCap,"CAPPED",""))</f>
        <v/>
      </c>
      <c r="AF28" s="2">
        <f>SUMPRODUCT((CLTeam=$A28)*CLTotWgt)</f>
        <v>0</v>
      </c>
      <c r="AG28" s="2" t="str">
        <f>IF($AF28=0,"",SUMPRODUCT((CLTeam=$A28)*CLTotWgt*CLPlays)/$AF28)</f>
        <v/>
      </c>
      <c r="AH28" s="2" t="str">
        <f>IF($AF28=0,"",SUMPRODUCT((CLTeam=$A28)*CLTotWgt*CLOppPlays)/$AF28)</f>
        <v/>
      </c>
      <c r="AI28" s="2" t="str">
        <f>IF($AF28=0,"",SUMPRODUCT((CLTeam=$A28)*CLTotWgt*CLOffPPP)/$AF28)</f>
        <v/>
      </c>
      <c r="AJ28" s="2" t="str">
        <f>IF($AF28=0,"",SUMPRODUCT((CLTeam=$A28)*CLTotWgt*CLDefPPP)/$AF28)</f>
        <v/>
      </c>
      <c r="AK28" s="2" t="str">
        <f>IF($B28=0,"",SUMPRODUCT((CLTeam=$A28)*CLUseCur*CLOppDefPPP)/$B28)</f>
        <v/>
      </c>
      <c r="AL28" s="2" t="str">
        <f>IF($B28=0,"",SUMPRODUCT((CLTeam=$A28)*CLUseCur*CLOppOffPPP)/$B28)</f>
        <v/>
      </c>
      <c r="AM28" s="2" t="str">
        <f>IF(OR($AI28="",$AK28=""),"",$AI28+(CALC!$B$36-$AK28))</f>
        <v/>
      </c>
      <c r="AN28" s="2" t="str">
        <f>IF(OR($AJ28="",$AL28=""),"",$AJ28+(CALC!$B$36-$AL28))</f>
        <v/>
      </c>
      <c r="AO28" s="2" t="str">
        <f>IF($B28=0,"",SUMPRODUCT((CLTeam=$A28)*CLUseCur*CLPerf)/MAX(1,$B28))</f>
        <v/>
      </c>
    </row>
    <row r="29" ht="15.0" customHeight="1">
      <c r="A29" s="2" t="s">
        <v>149</v>
      </c>
      <c r="B29" s="2">
        <f>SUMPRODUCT((CLTeam=$A29)*CLUseCur)</f>
        <v>0</v>
      </c>
      <c r="C29" s="2">
        <f>SUMPRODUCT((CLTeam=$A29)*CLUseCur*CLEpaOK)</f>
        <v>0</v>
      </c>
      <c r="D29" s="2">
        <f>SUMPRODUCT((CLTeam=$A29)*CLWgtCur)</f>
        <v>0</v>
      </c>
      <c r="E29" s="2" t="str">
        <f>IF($D29=0,"",SUMPRODUCT((CLTeam=$A29)*CLWgtCur*CLPerf)/$D29)</f>
        <v/>
      </c>
      <c r="F29" s="2" t="str">
        <f t="shared" si="1"/>
        <v/>
      </c>
      <c r="G29" s="2" t="str">
        <f>IF($B29=0,"",SUMPRODUCT((CLTeam=$A29)*CLUseCur*CLOppP0c)/$B29)</f>
        <v/>
      </c>
      <c r="H29" s="2" t="str">
        <f t="shared" si="2"/>
        <v/>
      </c>
      <c r="I29" s="2" t="str">
        <f t="shared" si="3"/>
        <v/>
      </c>
      <c r="J29" s="2" t="str">
        <f>IF($B29=0,"",SUMPRODUCT((CLTeam=$A29)*CLUseCur*CLOppP1c)/$B29)</f>
        <v/>
      </c>
      <c r="K29" s="2" t="str">
        <f t="shared" si="4"/>
        <v/>
      </c>
      <c r="L29" s="2" t="str">
        <f t="shared" si="5"/>
        <v/>
      </c>
      <c r="M29" s="2" t="str">
        <f>IF($B29=0,"",SUMPRODUCT((CLTeam=$A29)*CLUseCur*CLOppP2c)/$B29)</f>
        <v/>
      </c>
      <c r="N29" s="2" t="str">
        <f t="shared" si="6"/>
        <v/>
      </c>
      <c r="O29" s="2" t="str">
        <f t="shared" si="7"/>
        <v/>
      </c>
      <c r="P29" s="2" t="str">
        <f t="shared" si="8"/>
        <v/>
      </c>
      <c r="Q29" s="2">
        <f>SUMPRODUCT((CLTeam=$A29)*CLUsePrev)</f>
        <v>0</v>
      </c>
      <c r="R29" s="2">
        <f>SUMPRODUCT((CLTeam=$A29)*CLWgtPrev)</f>
        <v>0</v>
      </c>
      <c r="S29" s="2" t="str">
        <f>IF($R29=0,"",SUMPRODUCT((CLTeam=$A29)*CLWgtPrev*CLPerf)/$R29)</f>
        <v/>
      </c>
      <c r="T29" s="2" t="str">
        <f t="shared" si="9"/>
        <v/>
      </c>
      <c r="U29" s="2" t="str">
        <f>IF($Q29=0,"",SUMPRODUCT((CLTeam=$A29)*CLUsePrev*CLOppP0cPv)/$Q29)</f>
        <v/>
      </c>
      <c r="V29" s="2" t="str">
        <f t="shared" si="10"/>
        <v/>
      </c>
      <c r="W29" s="2" t="str">
        <f t="shared" si="11"/>
        <v/>
      </c>
      <c r="X29" s="2" t="str">
        <f>IF($Q29=0,"",SUMPRODUCT((CLTeam=$A29)*CLUsePrev*CLOppP1cPv)/$Q29)</f>
        <v/>
      </c>
      <c r="Y29" s="2" t="str">
        <f t="shared" si="12"/>
        <v/>
      </c>
      <c r="Z29" s="2" t="str">
        <f t="shared" si="13"/>
        <v/>
      </c>
      <c r="AA29" s="2" t="str">
        <f>IF($Q29=0,"",SUMPRODUCT((CLTeam=$A29)*CLUsePrev*CLOppP2cPv)/$Q29)</f>
        <v/>
      </c>
      <c r="AB29" s="2" t="str">
        <f t="shared" si="14"/>
        <v/>
      </c>
      <c r="AC29" s="2" t="str">
        <f t="shared" si="15"/>
        <v/>
      </c>
      <c r="AD29" s="2" t="str">
        <f>IF($O29="","",IF($AC29="",$O29,MEDIAN($O29,$AC29-MoveCap,$AC29+MoveCap)))</f>
        <v/>
      </c>
      <c r="AE29" s="2" t="str">
        <f>IF(OR($O29="",$AC29=""),"",IF(ABS($O29-$AC29)&gt;MoveCap,"CAPPED",""))</f>
        <v/>
      </c>
      <c r="AF29" s="2">
        <f>SUMPRODUCT((CLTeam=$A29)*CLTotWgt)</f>
        <v>0</v>
      </c>
      <c r="AG29" s="2" t="str">
        <f>IF($AF29=0,"",SUMPRODUCT((CLTeam=$A29)*CLTotWgt*CLPlays)/$AF29)</f>
        <v/>
      </c>
      <c r="AH29" s="2" t="str">
        <f>IF($AF29=0,"",SUMPRODUCT((CLTeam=$A29)*CLTotWgt*CLOppPlays)/$AF29)</f>
        <v/>
      </c>
      <c r="AI29" s="2" t="str">
        <f>IF($AF29=0,"",SUMPRODUCT((CLTeam=$A29)*CLTotWgt*CLOffPPP)/$AF29)</f>
        <v/>
      </c>
      <c r="AJ29" s="2" t="str">
        <f>IF($AF29=0,"",SUMPRODUCT((CLTeam=$A29)*CLTotWgt*CLDefPPP)/$AF29)</f>
        <v/>
      </c>
      <c r="AK29" s="2" t="str">
        <f>IF($B29=0,"",SUMPRODUCT((CLTeam=$A29)*CLUseCur*CLOppDefPPP)/$B29)</f>
        <v/>
      </c>
      <c r="AL29" s="2" t="str">
        <f>IF($B29=0,"",SUMPRODUCT((CLTeam=$A29)*CLUseCur*CLOppOffPPP)/$B29)</f>
        <v/>
      </c>
      <c r="AM29" s="2" t="str">
        <f>IF(OR($AI29="",$AK29=""),"",$AI29+(CALC!$B$36-$AK29))</f>
        <v/>
      </c>
      <c r="AN29" s="2" t="str">
        <f>IF(OR($AJ29="",$AL29=""),"",$AJ29+(CALC!$B$36-$AL29))</f>
        <v/>
      </c>
      <c r="AO29" s="2" t="str">
        <f>IF($B29=0,"",SUMPRODUCT((CLTeam=$A29)*CLUseCur*CLPerf)/MAX(1,$B29))</f>
        <v/>
      </c>
    </row>
    <row r="30" ht="15.0" customHeight="1">
      <c r="A30" s="2" t="s">
        <v>246</v>
      </c>
      <c r="B30" s="2">
        <f>SUMPRODUCT((CLTeam=$A30)*CLUseCur)</f>
        <v>0</v>
      </c>
      <c r="C30" s="2">
        <f>SUMPRODUCT((CLTeam=$A30)*CLUseCur*CLEpaOK)</f>
        <v>0</v>
      </c>
      <c r="D30" s="2">
        <f>SUMPRODUCT((CLTeam=$A30)*CLWgtCur)</f>
        <v>0</v>
      </c>
      <c r="E30" s="2" t="str">
        <f>IF($D30=0,"",SUMPRODUCT((CLTeam=$A30)*CLWgtCur*CLPerf)/$D30)</f>
        <v/>
      </c>
      <c r="F30" s="2" t="str">
        <f t="shared" si="1"/>
        <v/>
      </c>
      <c r="G30" s="2" t="str">
        <f>IF($B30=0,"",SUMPRODUCT((CLTeam=$A30)*CLUseCur*CLOppP0c)/$B30)</f>
        <v/>
      </c>
      <c r="H30" s="2" t="str">
        <f t="shared" si="2"/>
        <v/>
      </c>
      <c r="I30" s="2" t="str">
        <f t="shared" si="3"/>
        <v/>
      </c>
      <c r="J30" s="2" t="str">
        <f>IF($B30=0,"",SUMPRODUCT((CLTeam=$A30)*CLUseCur*CLOppP1c)/$B30)</f>
        <v/>
      </c>
      <c r="K30" s="2" t="str">
        <f t="shared" si="4"/>
        <v/>
      </c>
      <c r="L30" s="2" t="str">
        <f t="shared" si="5"/>
        <v/>
      </c>
      <c r="M30" s="2" t="str">
        <f>IF($B30=0,"",SUMPRODUCT((CLTeam=$A30)*CLUseCur*CLOppP2c)/$B30)</f>
        <v/>
      </c>
      <c r="N30" s="2" t="str">
        <f t="shared" si="6"/>
        <v/>
      </c>
      <c r="O30" s="2" t="str">
        <f t="shared" si="7"/>
        <v/>
      </c>
      <c r="P30" s="2" t="str">
        <f t="shared" si="8"/>
        <v/>
      </c>
      <c r="Q30" s="2">
        <f>SUMPRODUCT((CLTeam=$A30)*CLUsePrev)</f>
        <v>0</v>
      </c>
      <c r="R30" s="2">
        <f>SUMPRODUCT((CLTeam=$A30)*CLWgtPrev)</f>
        <v>0</v>
      </c>
      <c r="S30" s="2" t="str">
        <f>IF($R30=0,"",SUMPRODUCT((CLTeam=$A30)*CLWgtPrev*CLPerf)/$R30)</f>
        <v/>
      </c>
      <c r="T30" s="2" t="str">
        <f t="shared" si="9"/>
        <v/>
      </c>
      <c r="U30" s="2" t="str">
        <f>IF($Q30=0,"",SUMPRODUCT((CLTeam=$A30)*CLUsePrev*CLOppP0cPv)/$Q30)</f>
        <v/>
      </c>
      <c r="V30" s="2" t="str">
        <f t="shared" si="10"/>
        <v/>
      </c>
      <c r="W30" s="2" t="str">
        <f t="shared" si="11"/>
        <v/>
      </c>
      <c r="X30" s="2" t="str">
        <f>IF($Q30=0,"",SUMPRODUCT((CLTeam=$A30)*CLUsePrev*CLOppP1cPv)/$Q30)</f>
        <v/>
      </c>
      <c r="Y30" s="2" t="str">
        <f t="shared" si="12"/>
        <v/>
      </c>
      <c r="Z30" s="2" t="str">
        <f t="shared" si="13"/>
        <v/>
      </c>
      <c r="AA30" s="2" t="str">
        <f>IF($Q30=0,"",SUMPRODUCT((CLTeam=$A30)*CLUsePrev*CLOppP2cPv)/$Q30)</f>
        <v/>
      </c>
      <c r="AB30" s="2" t="str">
        <f t="shared" si="14"/>
        <v/>
      </c>
      <c r="AC30" s="2" t="str">
        <f t="shared" si="15"/>
        <v/>
      </c>
      <c r="AD30" s="2" t="str">
        <f>IF($O30="","",IF($AC30="",$O30,MEDIAN($O30,$AC30-MoveCap,$AC30+MoveCap)))</f>
        <v/>
      </c>
      <c r="AE30" s="2" t="str">
        <f>IF(OR($O30="",$AC30=""),"",IF(ABS($O30-$AC30)&gt;MoveCap,"CAPPED",""))</f>
        <v/>
      </c>
      <c r="AF30" s="2">
        <f>SUMPRODUCT((CLTeam=$A30)*CLTotWgt)</f>
        <v>0</v>
      </c>
      <c r="AG30" s="2" t="str">
        <f>IF($AF30=0,"",SUMPRODUCT((CLTeam=$A30)*CLTotWgt*CLPlays)/$AF30)</f>
        <v/>
      </c>
      <c r="AH30" s="2" t="str">
        <f>IF($AF30=0,"",SUMPRODUCT((CLTeam=$A30)*CLTotWgt*CLOppPlays)/$AF30)</f>
        <v/>
      </c>
      <c r="AI30" s="2" t="str">
        <f>IF($AF30=0,"",SUMPRODUCT((CLTeam=$A30)*CLTotWgt*CLOffPPP)/$AF30)</f>
        <v/>
      </c>
      <c r="AJ30" s="2" t="str">
        <f>IF($AF30=0,"",SUMPRODUCT((CLTeam=$A30)*CLTotWgt*CLDefPPP)/$AF30)</f>
        <v/>
      </c>
      <c r="AK30" s="2" t="str">
        <f>IF($B30=0,"",SUMPRODUCT((CLTeam=$A30)*CLUseCur*CLOppDefPPP)/$B30)</f>
        <v/>
      </c>
      <c r="AL30" s="2" t="str">
        <f>IF($B30=0,"",SUMPRODUCT((CLTeam=$A30)*CLUseCur*CLOppOffPPP)/$B30)</f>
        <v/>
      </c>
      <c r="AM30" s="2" t="str">
        <f>IF(OR($AI30="",$AK30=""),"",$AI30+(CALC!$B$36-$AK30))</f>
        <v/>
      </c>
      <c r="AN30" s="2" t="str">
        <f>IF(OR($AJ30="",$AL30=""),"",$AJ30+(CALC!$B$36-$AL30))</f>
        <v/>
      </c>
      <c r="AO30" s="2" t="str">
        <f>IF($B30=0,"",SUMPRODUCT((CLTeam=$A30)*CLUseCur*CLPerf)/MAX(1,$B30))</f>
        <v/>
      </c>
    </row>
    <row r="31" ht="15.0" customHeight="1">
      <c r="A31" s="2" t="s">
        <v>150</v>
      </c>
      <c r="B31" s="2">
        <f>SUMPRODUCT((CLTeam=$A31)*CLUseCur)</f>
        <v>0</v>
      </c>
      <c r="C31" s="2">
        <f>SUMPRODUCT((CLTeam=$A31)*CLUseCur*CLEpaOK)</f>
        <v>0</v>
      </c>
      <c r="D31" s="2">
        <f>SUMPRODUCT((CLTeam=$A31)*CLWgtCur)</f>
        <v>0</v>
      </c>
      <c r="E31" s="2" t="str">
        <f>IF($D31=0,"",SUMPRODUCT((CLTeam=$A31)*CLWgtCur*CLPerf)/$D31)</f>
        <v/>
      </c>
      <c r="F31" s="2" t="str">
        <f t="shared" si="1"/>
        <v/>
      </c>
      <c r="G31" s="2" t="str">
        <f>IF($B31=0,"",SUMPRODUCT((CLTeam=$A31)*CLUseCur*CLOppP0c)/$B31)</f>
        <v/>
      </c>
      <c r="H31" s="2" t="str">
        <f t="shared" si="2"/>
        <v/>
      </c>
      <c r="I31" s="2" t="str">
        <f t="shared" si="3"/>
        <v/>
      </c>
      <c r="J31" s="2" t="str">
        <f>IF($B31=0,"",SUMPRODUCT((CLTeam=$A31)*CLUseCur*CLOppP1c)/$B31)</f>
        <v/>
      </c>
      <c r="K31" s="2" t="str">
        <f t="shared" si="4"/>
        <v/>
      </c>
      <c r="L31" s="2" t="str">
        <f t="shared" si="5"/>
        <v/>
      </c>
      <c r="M31" s="2" t="str">
        <f>IF($B31=0,"",SUMPRODUCT((CLTeam=$A31)*CLUseCur*CLOppP2c)/$B31)</f>
        <v/>
      </c>
      <c r="N31" s="2" t="str">
        <f t="shared" si="6"/>
        <v/>
      </c>
      <c r="O31" s="2" t="str">
        <f t="shared" si="7"/>
        <v/>
      </c>
      <c r="P31" s="2" t="str">
        <f t="shared" si="8"/>
        <v/>
      </c>
      <c r="Q31" s="2">
        <f>SUMPRODUCT((CLTeam=$A31)*CLUsePrev)</f>
        <v>0</v>
      </c>
      <c r="R31" s="2">
        <f>SUMPRODUCT((CLTeam=$A31)*CLWgtPrev)</f>
        <v>0</v>
      </c>
      <c r="S31" s="2" t="str">
        <f>IF($R31=0,"",SUMPRODUCT((CLTeam=$A31)*CLWgtPrev*CLPerf)/$R31)</f>
        <v/>
      </c>
      <c r="T31" s="2" t="str">
        <f t="shared" si="9"/>
        <v/>
      </c>
      <c r="U31" s="2" t="str">
        <f>IF($Q31=0,"",SUMPRODUCT((CLTeam=$A31)*CLUsePrev*CLOppP0cPv)/$Q31)</f>
        <v/>
      </c>
      <c r="V31" s="2" t="str">
        <f t="shared" si="10"/>
        <v/>
      </c>
      <c r="W31" s="2" t="str">
        <f t="shared" si="11"/>
        <v/>
      </c>
      <c r="X31" s="2" t="str">
        <f>IF($Q31=0,"",SUMPRODUCT((CLTeam=$A31)*CLUsePrev*CLOppP1cPv)/$Q31)</f>
        <v/>
      </c>
      <c r="Y31" s="2" t="str">
        <f t="shared" si="12"/>
        <v/>
      </c>
      <c r="Z31" s="2" t="str">
        <f t="shared" si="13"/>
        <v/>
      </c>
      <c r="AA31" s="2" t="str">
        <f>IF($Q31=0,"",SUMPRODUCT((CLTeam=$A31)*CLUsePrev*CLOppP2cPv)/$Q31)</f>
        <v/>
      </c>
      <c r="AB31" s="2" t="str">
        <f t="shared" si="14"/>
        <v/>
      </c>
      <c r="AC31" s="2" t="str">
        <f t="shared" si="15"/>
        <v/>
      </c>
      <c r="AD31" s="2" t="str">
        <f>IF($O31="","",IF($AC31="",$O31,MEDIAN($O31,$AC31-MoveCap,$AC31+MoveCap)))</f>
        <v/>
      </c>
      <c r="AE31" s="2" t="str">
        <f>IF(OR($O31="",$AC31=""),"",IF(ABS($O31-$AC31)&gt;MoveCap,"CAPPED",""))</f>
        <v/>
      </c>
      <c r="AF31" s="2">
        <f>SUMPRODUCT((CLTeam=$A31)*CLTotWgt)</f>
        <v>0</v>
      </c>
      <c r="AG31" s="2" t="str">
        <f>IF($AF31=0,"",SUMPRODUCT((CLTeam=$A31)*CLTotWgt*CLPlays)/$AF31)</f>
        <v/>
      </c>
      <c r="AH31" s="2" t="str">
        <f>IF($AF31=0,"",SUMPRODUCT((CLTeam=$A31)*CLTotWgt*CLOppPlays)/$AF31)</f>
        <v/>
      </c>
      <c r="AI31" s="2" t="str">
        <f>IF($AF31=0,"",SUMPRODUCT((CLTeam=$A31)*CLTotWgt*CLOffPPP)/$AF31)</f>
        <v/>
      </c>
      <c r="AJ31" s="2" t="str">
        <f>IF($AF31=0,"",SUMPRODUCT((CLTeam=$A31)*CLTotWgt*CLDefPPP)/$AF31)</f>
        <v/>
      </c>
      <c r="AK31" s="2" t="str">
        <f>IF($B31=0,"",SUMPRODUCT((CLTeam=$A31)*CLUseCur*CLOppDefPPP)/$B31)</f>
        <v/>
      </c>
      <c r="AL31" s="2" t="str">
        <f>IF($B31=0,"",SUMPRODUCT((CLTeam=$A31)*CLUseCur*CLOppOffPPP)/$B31)</f>
        <v/>
      </c>
      <c r="AM31" s="2" t="str">
        <f>IF(OR($AI31="",$AK31=""),"",$AI31+(CALC!$B$36-$AK31))</f>
        <v/>
      </c>
      <c r="AN31" s="2" t="str">
        <f>IF(OR($AJ31="",$AL31=""),"",$AJ31+(CALC!$B$36-$AL31))</f>
        <v/>
      </c>
      <c r="AO31" s="2" t="str">
        <f>IF($B31=0,"",SUMPRODUCT((CLTeam=$A31)*CLUseCur*CLPerf)/MAX(1,$B31))</f>
        <v/>
      </c>
    </row>
    <row r="32" ht="15.0" customHeight="1">
      <c r="A32" s="2" t="s">
        <v>250</v>
      </c>
      <c r="B32" s="2">
        <f>SUMPRODUCT((CLTeam=$A32)*CLUseCur)</f>
        <v>0</v>
      </c>
      <c r="C32" s="2">
        <f>SUMPRODUCT((CLTeam=$A32)*CLUseCur*CLEpaOK)</f>
        <v>0</v>
      </c>
      <c r="D32" s="2">
        <f>SUMPRODUCT((CLTeam=$A32)*CLWgtCur)</f>
        <v>0</v>
      </c>
      <c r="E32" s="2" t="str">
        <f>IF($D32=0,"",SUMPRODUCT((CLTeam=$A32)*CLWgtCur*CLPerf)/$D32)</f>
        <v/>
      </c>
      <c r="F32" s="2" t="str">
        <f t="shared" si="1"/>
        <v/>
      </c>
      <c r="G32" s="2" t="str">
        <f>IF($B32=0,"",SUMPRODUCT((CLTeam=$A32)*CLUseCur*CLOppP0c)/$B32)</f>
        <v/>
      </c>
      <c r="H32" s="2" t="str">
        <f t="shared" si="2"/>
        <v/>
      </c>
      <c r="I32" s="2" t="str">
        <f t="shared" si="3"/>
        <v/>
      </c>
      <c r="J32" s="2" t="str">
        <f>IF($B32=0,"",SUMPRODUCT((CLTeam=$A32)*CLUseCur*CLOppP1c)/$B32)</f>
        <v/>
      </c>
      <c r="K32" s="2" t="str">
        <f t="shared" si="4"/>
        <v/>
      </c>
      <c r="L32" s="2" t="str">
        <f t="shared" si="5"/>
        <v/>
      </c>
      <c r="M32" s="2" t="str">
        <f>IF($B32=0,"",SUMPRODUCT((CLTeam=$A32)*CLUseCur*CLOppP2c)/$B32)</f>
        <v/>
      </c>
      <c r="N32" s="2" t="str">
        <f t="shared" si="6"/>
        <v/>
      </c>
      <c r="O32" s="2" t="str">
        <f t="shared" si="7"/>
        <v/>
      </c>
      <c r="P32" s="2" t="str">
        <f t="shared" si="8"/>
        <v/>
      </c>
      <c r="Q32" s="2">
        <f>SUMPRODUCT((CLTeam=$A32)*CLUsePrev)</f>
        <v>0</v>
      </c>
      <c r="R32" s="2">
        <f>SUMPRODUCT((CLTeam=$A32)*CLWgtPrev)</f>
        <v>0</v>
      </c>
      <c r="S32" s="2" t="str">
        <f>IF($R32=0,"",SUMPRODUCT((CLTeam=$A32)*CLWgtPrev*CLPerf)/$R32)</f>
        <v/>
      </c>
      <c r="T32" s="2" t="str">
        <f t="shared" si="9"/>
        <v/>
      </c>
      <c r="U32" s="2" t="str">
        <f>IF($Q32=0,"",SUMPRODUCT((CLTeam=$A32)*CLUsePrev*CLOppP0cPv)/$Q32)</f>
        <v/>
      </c>
      <c r="V32" s="2" t="str">
        <f t="shared" si="10"/>
        <v/>
      </c>
      <c r="W32" s="2" t="str">
        <f t="shared" si="11"/>
        <v/>
      </c>
      <c r="X32" s="2" t="str">
        <f>IF($Q32=0,"",SUMPRODUCT((CLTeam=$A32)*CLUsePrev*CLOppP1cPv)/$Q32)</f>
        <v/>
      </c>
      <c r="Y32" s="2" t="str">
        <f t="shared" si="12"/>
        <v/>
      </c>
      <c r="Z32" s="2" t="str">
        <f t="shared" si="13"/>
        <v/>
      </c>
      <c r="AA32" s="2" t="str">
        <f>IF($Q32=0,"",SUMPRODUCT((CLTeam=$A32)*CLUsePrev*CLOppP2cPv)/$Q32)</f>
        <v/>
      </c>
      <c r="AB32" s="2" t="str">
        <f t="shared" si="14"/>
        <v/>
      </c>
      <c r="AC32" s="2" t="str">
        <f t="shared" si="15"/>
        <v/>
      </c>
      <c r="AD32" s="2" t="str">
        <f>IF($O32="","",IF($AC32="",$O32,MEDIAN($O32,$AC32-MoveCap,$AC32+MoveCap)))</f>
        <v/>
      </c>
      <c r="AE32" s="2" t="str">
        <f>IF(OR($O32="",$AC32=""),"",IF(ABS($O32-$AC32)&gt;MoveCap,"CAPPED",""))</f>
        <v/>
      </c>
      <c r="AF32" s="2">
        <f>SUMPRODUCT((CLTeam=$A32)*CLTotWgt)</f>
        <v>0</v>
      </c>
      <c r="AG32" s="2" t="str">
        <f>IF($AF32=0,"",SUMPRODUCT((CLTeam=$A32)*CLTotWgt*CLPlays)/$AF32)</f>
        <v/>
      </c>
      <c r="AH32" s="2" t="str">
        <f>IF($AF32=0,"",SUMPRODUCT((CLTeam=$A32)*CLTotWgt*CLOppPlays)/$AF32)</f>
        <v/>
      </c>
      <c r="AI32" s="2" t="str">
        <f>IF($AF32=0,"",SUMPRODUCT((CLTeam=$A32)*CLTotWgt*CLOffPPP)/$AF32)</f>
        <v/>
      </c>
      <c r="AJ32" s="2" t="str">
        <f>IF($AF32=0,"",SUMPRODUCT((CLTeam=$A32)*CLTotWgt*CLDefPPP)/$AF32)</f>
        <v/>
      </c>
      <c r="AK32" s="2" t="str">
        <f>IF($B32=0,"",SUMPRODUCT((CLTeam=$A32)*CLUseCur*CLOppDefPPP)/$B32)</f>
        <v/>
      </c>
      <c r="AL32" s="2" t="str">
        <f>IF($B32=0,"",SUMPRODUCT((CLTeam=$A32)*CLUseCur*CLOppOffPPP)/$B32)</f>
        <v/>
      </c>
      <c r="AM32" s="2" t="str">
        <f>IF(OR($AI32="",$AK32=""),"",$AI32+(CALC!$B$36-$AK32))</f>
        <v/>
      </c>
      <c r="AN32" s="2" t="str">
        <f>IF(OR($AJ32="",$AL32=""),"",$AJ32+(CALC!$B$36-$AL32))</f>
        <v/>
      </c>
      <c r="AO32" s="2" t="str">
        <f>IF($B32=0,"",SUMPRODUCT((CLTeam=$A32)*CLUseCur*CLPerf)/MAX(1,$B32))</f>
        <v/>
      </c>
    </row>
    <row r="33" ht="15.0" customHeight="1">
      <c r="A33" s="2" t="s">
        <v>253</v>
      </c>
      <c r="B33" s="2">
        <f>SUMPRODUCT((CLTeam=$A33)*CLUseCur)</f>
        <v>0</v>
      </c>
      <c r="C33" s="2">
        <f>SUMPRODUCT((CLTeam=$A33)*CLUseCur*CLEpaOK)</f>
        <v>0</v>
      </c>
      <c r="D33" s="2">
        <f>SUMPRODUCT((CLTeam=$A33)*CLWgtCur)</f>
        <v>0</v>
      </c>
      <c r="E33" s="2" t="str">
        <f>IF($D33=0,"",SUMPRODUCT((CLTeam=$A33)*CLWgtCur*CLPerf)/$D33)</f>
        <v/>
      </c>
      <c r="F33" s="2" t="str">
        <f t="shared" si="1"/>
        <v/>
      </c>
      <c r="G33" s="2" t="str">
        <f>IF($B33=0,"",SUMPRODUCT((CLTeam=$A33)*CLUseCur*CLOppP0c)/$B33)</f>
        <v/>
      </c>
      <c r="H33" s="2" t="str">
        <f t="shared" si="2"/>
        <v/>
      </c>
      <c r="I33" s="2" t="str">
        <f t="shared" si="3"/>
        <v/>
      </c>
      <c r="J33" s="2" t="str">
        <f>IF($B33=0,"",SUMPRODUCT((CLTeam=$A33)*CLUseCur*CLOppP1c)/$B33)</f>
        <v/>
      </c>
      <c r="K33" s="2" t="str">
        <f t="shared" si="4"/>
        <v/>
      </c>
      <c r="L33" s="2" t="str">
        <f t="shared" si="5"/>
        <v/>
      </c>
      <c r="M33" s="2" t="str">
        <f>IF($B33=0,"",SUMPRODUCT((CLTeam=$A33)*CLUseCur*CLOppP2c)/$B33)</f>
        <v/>
      </c>
      <c r="N33" s="2" t="str">
        <f t="shared" si="6"/>
        <v/>
      </c>
      <c r="O33" s="2" t="str">
        <f t="shared" si="7"/>
        <v/>
      </c>
      <c r="P33" s="2" t="str">
        <f t="shared" si="8"/>
        <v/>
      </c>
      <c r="Q33" s="2">
        <f>SUMPRODUCT((CLTeam=$A33)*CLUsePrev)</f>
        <v>0</v>
      </c>
      <c r="R33" s="2">
        <f>SUMPRODUCT((CLTeam=$A33)*CLWgtPrev)</f>
        <v>0</v>
      </c>
      <c r="S33" s="2" t="str">
        <f>IF($R33=0,"",SUMPRODUCT((CLTeam=$A33)*CLWgtPrev*CLPerf)/$R33)</f>
        <v/>
      </c>
      <c r="T33" s="2" t="str">
        <f t="shared" si="9"/>
        <v/>
      </c>
      <c r="U33" s="2" t="str">
        <f>IF($Q33=0,"",SUMPRODUCT((CLTeam=$A33)*CLUsePrev*CLOppP0cPv)/$Q33)</f>
        <v/>
      </c>
      <c r="V33" s="2" t="str">
        <f t="shared" si="10"/>
        <v/>
      </c>
      <c r="W33" s="2" t="str">
        <f t="shared" si="11"/>
        <v/>
      </c>
      <c r="X33" s="2" t="str">
        <f>IF($Q33=0,"",SUMPRODUCT((CLTeam=$A33)*CLUsePrev*CLOppP1cPv)/$Q33)</f>
        <v/>
      </c>
      <c r="Y33" s="2" t="str">
        <f t="shared" si="12"/>
        <v/>
      </c>
      <c r="Z33" s="2" t="str">
        <f t="shared" si="13"/>
        <v/>
      </c>
      <c r="AA33" s="2" t="str">
        <f>IF($Q33=0,"",SUMPRODUCT((CLTeam=$A33)*CLUsePrev*CLOppP2cPv)/$Q33)</f>
        <v/>
      </c>
      <c r="AB33" s="2" t="str">
        <f t="shared" si="14"/>
        <v/>
      </c>
      <c r="AC33" s="2" t="str">
        <f t="shared" si="15"/>
        <v/>
      </c>
      <c r="AD33" s="2" t="str">
        <f>IF($O33="","",IF($AC33="",$O33,MEDIAN($O33,$AC33-MoveCap,$AC33+MoveCap)))</f>
        <v/>
      </c>
      <c r="AE33" s="2" t="str">
        <f>IF(OR($O33="",$AC33=""),"",IF(ABS($O33-$AC33)&gt;MoveCap,"CAPPED",""))</f>
        <v/>
      </c>
      <c r="AF33" s="2">
        <f>SUMPRODUCT((CLTeam=$A33)*CLTotWgt)</f>
        <v>0</v>
      </c>
      <c r="AG33" s="2" t="str">
        <f>IF($AF33=0,"",SUMPRODUCT((CLTeam=$A33)*CLTotWgt*CLPlays)/$AF33)</f>
        <v/>
      </c>
      <c r="AH33" s="2" t="str">
        <f>IF($AF33=0,"",SUMPRODUCT((CLTeam=$A33)*CLTotWgt*CLOppPlays)/$AF33)</f>
        <v/>
      </c>
      <c r="AI33" s="2" t="str">
        <f>IF($AF33=0,"",SUMPRODUCT((CLTeam=$A33)*CLTotWgt*CLOffPPP)/$AF33)</f>
        <v/>
      </c>
      <c r="AJ33" s="2" t="str">
        <f>IF($AF33=0,"",SUMPRODUCT((CLTeam=$A33)*CLTotWgt*CLDefPPP)/$AF33)</f>
        <v/>
      </c>
      <c r="AK33" s="2" t="str">
        <f>IF($B33=0,"",SUMPRODUCT((CLTeam=$A33)*CLUseCur*CLOppDefPPP)/$B33)</f>
        <v/>
      </c>
      <c r="AL33" s="2" t="str">
        <f>IF($B33=0,"",SUMPRODUCT((CLTeam=$A33)*CLUseCur*CLOppOffPPP)/$B33)</f>
        <v/>
      </c>
      <c r="AM33" s="2" t="str">
        <f>IF(OR($AI33="",$AK33=""),"",$AI33+(CALC!$B$36-$AK33))</f>
        <v/>
      </c>
      <c r="AN33" s="2" t="str">
        <f>IF(OR($AJ33="",$AL33=""),"",$AJ33+(CALC!$B$36-$AL33))</f>
        <v/>
      </c>
      <c r="AO33" s="2" t="str">
        <f>IF($B33=0,"",SUMPRODUCT((CLTeam=$A33)*CLUseCur*CLPerf)/MAX(1,$B33))</f>
        <v/>
      </c>
    </row>
    <row r="34" ht="15.75" customHeight="1"/>
    <row r="35" ht="15.0" customHeight="1">
      <c r="A35" s="28" t="s">
        <v>2406</v>
      </c>
    </row>
    <row r="36" ht="15.0" customHeight="1">
      <c r="A36" s="2" t="s">
        <v>2407</v>
      </c>
      <c r="B36" s="2" t="str">
        <f>IF(SUMPRODUCT(CLTotWgt*CLPlays)=0,"",SUMPRODUCT(CLTotWgt*CLOffPts)/SUMPRODUCT(CLTotWgt*CLPlays))</f>
        <v/>
      </c>
    </row>
    <row r="37" ht="15.0" customHeight="1">
      <c r="A37" s="2" t="s">
        <v>2408</v>
      </c>
      <c r="B37" s="2" t="str">
        <f>IF(SUMPRODUCT(CLUseCur)=0,"",SUMPRODUCT(CLUseCur*CLPlays)/SUMPRODUCT(CLUseCur))</f>
        <v/>
      </c>
    </row>
    <row r="38" ht="15.0" customHeight="1">
      <c r="A38" s="2" t="s">
        <v>2409</v>
      </c>
      <c r="B38" s="2" t="str">
        <f>IF(DstOverride&lt;&gt;"",DstOverride,IF(SUMPRODUCT(CLUseCur)=0,"",SUMPRODUCT(CLUseCur*CLDefStTD)*7/SUMPRODUCT(CLUseCur)))</f>
        <v/>
      </c>
    </row>
    <row r="39" ht="15.0" customHeight="1">
      <c r="A39" s="2" t="s">
        <v>2410</v>
      </c>
      <c r="B39" s="2" t="str">
        <f>ROUND(AVERAGE($F$2:$F$33),6)</f>
        <v>#DIV/0!</v>
      </c>
    </row>
    <row r="40" ht="15.0" customHeight="1">
      <c r="A40" s="2" t="s">
        <v>2411</v>
      </c>
      <c r="B40" s="2" t="str">
        <f>ROUND(AVERAGE($I$2:$I$33),6)</f>
        <v>#DIV/0!</v>
      </c>
    </row>
    <row r="41" ht="15.0" customHeight="1">
      <c r="A41" s="2" t="s">
        <v>2412</v>
      </c>
      <c r="B41" s="2" t="str">
        <f>ROUND(AVERAGE($L$2:$L$33),6)</f>
        <v>#DIV/0!</v>
      </c>
    </row>
    <row r="42" ht="15.0" customHeight="1">
      <c r="A42" s="2" t="s">
        <v>2413</v>
      </c>
      <c r="B42" s="2" t="str">
        <f>ROUND(AVERAGE($O$2:$O$33),6)</f>
        <v>#DIV/0!</v>
      </c>
    </row>
    <row r="43" ht="15.0" customHeight="1">
      <c r="A43" s="2" t="s">
        <v>2414</v>
      </c>
      <c r="B43" s="2" t="str">
        <f>ROUND(AVERAGE($AC$2:$AC$33),6)</f>
        <v>#DIV/0!</v>
      </c>
    </row>
    <row r="44" ht="15.0" customHeight="1">
      <c r="A44" s="2" t="s">
        <v>2415</v>
      </c>
      <c r="B44" s="2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23.25" customHeight="1">
      <c r="A1" s="21" t="s">
        <v>2416</v>
      </c>
      <c r="B1" s="21" t="s">
        <v>2417</v>
      </c>
      <c r="C1" s="21" t="s">
        <v>2418</v>
      </c>
      <c r="D1" s="21" t="s">
        <v>2419</v>
      </c>
      <c r="E1" s="21" t="s">
        <v>2420</v>
      </c>
      <c r="F1" s="21" t="s">
        <v>2421</v>
      </c>
      <c r="G1" s="21" t="s">
        <v>174</v>
      </c>
      <c r="H1" s="21" t="s">
        <v>2422</v>
      </c>
      <c r="I1" s="21" t="s">
        <v>2423</v>
      </c>
    </row>
    <row r="2" ht="15.0" customHeight="1">
      <c r="A2" s="2" t="s">
        <v>178</v>
      </c>
      <c r="B2" s="2" t="s">
        <v>178</v>
      </c>
      <c r="C2" s="2" t="s">
        <v>2424</v>
      </c>
      <c r="D2" s="2" t="s">
        <v>142</v>
      </c>
      <c r="E2" s="2" t="s">
        <v>2425</v>
      </c>
      <c r="F2" s="2" t="s">
        <v>2426</v>
      </c>
      <c r="G2" s="2" t="s">
        <v>185</v>
      </c>
      <c r="H2" s="2" t="s">
        <v>2427</v>
      </c>
      <c r="I2" s="2" t="s">
        <v>2428</v>
      </c>
    </row>
    <row r="3" ht="15.0" customHeight="1">
      <c r="A3" s="2" t="s">
        <v>132</v>
      </c>
      <c r="B3" s="2" t="s">
        <v>132</v>
      </c>
      <c r="C3" s="2" t="s">
        <v>2429</v>
      </c>
      <c r="D3" s="2" t="s">
        <v>141</v>
      </c>
      <c r="E3" s="2" t="s">
        <v>2430</v>
      </c>
      <c r="F3" s="2" t="s">
        <v>2431</v>
      </c>
      <c r="G3" s="2" t="s">
        <v>212</v>
      </c>
      <c r="H3" s="2" t="s">
        <v>337</v>
      </c>
      <c r="I3" s="2" t="s">
        <v>329</v>
      </c>
    </row>
    <row r="4" ht="15.0" customHeight="1">
      <c r="A4" s="2" t="s">
        <v>148</v>
      </c>
      <c r="B4" s="2" t="s">
        <v>148</v>
      </c>
      <c r="C4" s="2" t="s">
        <v>2432</v>
      </c>
      <c r="D4" s="2" t="s">
        <v>253</v>
      </c>
      <c r="E4" s="2" t="s">
        <v>2433</v>
      </c>
      <c r="F4" s="2" t="s">
        <v>2434</v>
      </c>
      <c r="G4" s="2" t="s">
        <v>180</v>
      </c>
    </row>
    <row r="5" ht="15.0" customHeight="1">
      <c r="A5" s="2" t="s">
        <v>136</v>
      </c>
      <c r="B5" s="2" t="s">
        <v>136</v>
      </c>
      <c r="C5" s="2" t="s">
        <v>2435</v>
      </c>
      <c r="D5" s="2" t="s">
        <v>222</v>
      </c>
      <c r="E5" s="2" t="s">
        <v>2436</v>
      </c>
      <c r="F5" s="2" t="s">
        <v>133</v>
      </c>
    </row>
    <row r="6" ht="15.0" customHeight="1">
      <c r="A6" s="2" t="s">
        <v>189</v>
      </c>
      <c r="B6" s="2" t="s">
        <v>189</v>
      </c>
      <c r="C6" s="2" t="s">
        <v>2437</v>
      </c>
      <c r="D6" s="2" t="s">
        <v>220</v>
      </c>
      <c r="E6" s="2" t="s">
        <v>2438</v>
      </c>
      <c r="F6" s="2" t="s">
        <v>2439</v>
      </c>
    </row>
    <row r="7" ht="15.0" customHeight="1">
      <c r="A7" s="2" t="s">
        <v>137</v>
      </c>
      <c r="B7" s="2" t="s">
        <v>137</v>
      </c>
      <c r="C7" s="2" t="s">
        <v>2440</v>
      </c>
      <c r="D7" s="2" t="s">
        <v>142</v>
      </c>
      <c r="E7" s="2" t="s">
        <v>2441</v>
      </c>
    </row>
    <row r="8" ht="15.0" customHeight="1">
      <c r="A8" s="2" t="s">
        <v>138</v>
      </c>
      <c r="B8" s="2" t="s">
        <v>138</v>
      </c>
      <c r="C8" s="2" t="s">
        <v>2442</v>
      </c>
      <c r="D8" s="2" t="s">
        <v>178</v>
      </c>
      <c r="E8" s="2" t="s">
        <v>2443</v>
      </c>
    </row>
    <row r="9" ht="15.0" customHeight="1">
      <c r="A9" s="2" t="s">
        <v>196</v>
      </c>
      <c r="B9" s="2" t="s">
        <v>196</v>
      </c>
      <c r="C9" s="2" t="s">
        <v>2444</v>
      </c>
      <c r="D9" s="2" t="s">
        <v>148</v>
      </c>
      <c r="E9" s="2" t="s">
        <v>2445</v>
      </c>
    </row>
    <row r="10" ht="15.0" customHeight="1">
      <c r="A10" s="2" t="s">
        <v>146</v>
      </c>
      <c r="B10" s="2" t="s">
        <v>146</v>
      </c>
      <c r="C10" s="2" t="s">
        <v>2446</v>
      </c>
      <c r="D10" s="2" t="s">
        <v>196</v>
      </c>
      <c r="E10" s="2" t="s">
        <v>2331</v>
      </c>
    </row>
    <row r="11" ht="15.0" customHeight="1">
      <c r="A11" s="2" t="s">
        <v>139</v>
      </c>
      <c r="B11" s="2" t="s">
        <v>139</v>
      </c>
      <c r="C11" s="2" t="s">
        <v>2447</v>
      </c>
      <c r="D11" s="2" t="s">
        <v>140</v>
      </c>
      <c r="E11" s="2" t="s">
        <v>2448</v>
      </c>
    </row>
    <row r="12" ht="15.0" customHeight="1">
      <c r="A12" s="2" t="s">
        <v>202</v>
      </c>
      <c r="B12" s="2" t="s">
        <v>202</v>
      </c>
      <c r="C12" s="2" t="s">
        <v>2449</v>
      </c>
      <c r="D12" s="2" t="s">
        <v>222</v>
      </c>
      <c r="E12" s="2" t="s">
        <v>2450</v>
      </c>
    </row>
    <row r="13" ht="15.0" customHeight="1">
      <c r="A13" s="2" t="s">
        <v>205</v>
      </c>
      <c r="B13" s="2" t="s">
        <v>205</v>
      </c>
      <c r="E13" s="2" t="s">
        <v>2451</v>
      </c>
    </row>
    <row r="14" ht="15.0" customHeight="1">
      <c r="A14" s="2" t="s">
        <v>140</v>
      </c>
      <c r="B14" s="2" t="s">
        <v>140</v>
      </c>
      <c r="E14" s="2" t="s">
        <v>2452</v>
      </c>
    </row>
    <row r="15" ht="15.0" customHeight="1">
      <c r="A15" s="2" t="s">
        <v>210</v>
      </c>
      <c r="B15" s="2" t="s">
        <v>210</v>
      </c>
      <c r="E15" s="2" t="s">
        <v>2453</v>
      </c>
    </row>
    <row r="16" ht="15.0" customHeight="1">
      <c r="A16" s="2" t="s">
        <v>141</v>
      </c>
      <c r="B16" s="2" t="s">
        <v>141</v>
      </c>
      <c r="E16" s="2" t="s">
        <v>2454</v>
      </c>
    </row>
    <row r="17" ht="15.0" customHeight="1">
      <c r="A17" s="2" t="s">
        <v>143</v>
      </c>
      <c r="B17" s="2" t="s">
        <v>143</v>
      </c>
      <c r="E17" s="2" t="s">
        <v>2455</v>
      </c>
    </row>
    <row r="18" ht="15.0" customHeight="1">
      <c r="A18" s="2" t="s">
        <v>142</v>
      </c>
      <c r="B18" s="2" t="s">
        <v>142</v>
      </c>
      <c r="E18" s="2" t="s">
        <v>2456</v>
      </c>
    </row>
    <row r="19" ht="15.0" customHeight="1">
      <c r="A19" s="2" t="s">
        <v>220</v>
      </c>
      <c r="B19" s="2" t="s">
        <v>220</v>
      </c>
      <c r="E19" s="2" t="s">
        <v>2457</v>
      </c>
    </row>
    <row r="20" ht="15.0" customHeight="1">
      <c r="A20" s="2" t="s">
        <v>222</v>
      </c>
      <c r="B20" s="2" t="s">
        <v>222</v>
      </c>
      <c r="E20" s="2" t="s">
        <v>2458</v>
      </c>
    </row>
    <row r="21" ht="15.0" customHeight="1">
      <c r="A21" s="2" t="s">
        <v>225</v>
      </c>
      <c r="B21" s="2" t="s">
        <v>225</v>
      </c>
      <c r="E21" s="2" t="s">
        <v>2459</v>
      </c>
    </row>
    <row r="22" ht="15.0" customHeight="1">
      <c r="A22" s="2" t="s">
        <v>144</v>
      </c>
      <c r="B22" s="2" t="s">
        <v>144</v>
      </c>
      <c r="E22" s="2" t="s">
        <v>2460</v>
      </c>
    </row>
    <row r="23" ht="15.0" customHeight="1">
      <c r="A23" s="2" t="s">
        <v>145</v>
      </c>
      <c r="B23" s="2" t="s">
        <v>145</v>
      </c>
      <c r="E23" s="2" t="s">
        <v>2461</v>
      </c>
    </row>
    <row r="24" ht="15.0" customHeight="1">
      <c r="A24" s="2" t="s">
        <v>232</v>
      </c>
      <c r="B24" s="2" t="s">
        <v>232</v>
      </c>
      <c r="E24" s="2" t="s">
        <v>2462</v>
      </c>
    </row>
    <row r="25" ht="15.0" customHeight="1">
      <c r="A25" s="2" t="s">
        <v>235</v>
      </c>
      <c r="B25" s="2" t="s">
        <v>235</v>
      </c>
      <c r="E25" s="2" t="s">
        <v>2463</v>
      </c>
    </row>
    <row r="26" ht="15.0" customHeight="1">
      <c r="A26" s="2" t="s">
        <v>238</v>
      </c>
      <c r="B26" s="2" t="s">
        <v>238</v>
      </c>
      <c r="E26" s="2" t="s">
        <v>2464</v>
      </c>
    </row>
    <row r="27" ht="15.0" customHeight="1">
      <c r="A27" s="2" t="s">
        <v>147</v>
      </c>
      <c r="B27" s="2" t="s">
        <v>147</v>
      </c>
      <c r="E27" s="2" t="s">
        <v>2465</v>
      </c>
    </row>
    <row r="28" ht="15.0" customHeight="1">
      <c r="A28" s="2" t="s">
        <v>242</v>
      </c>
      <c r="B28" s="2" t="s">
        <v>242</v>
      </c>
      <c r="E28" s="2" t="s">
        <v>2439</v>
      </c>
    </row>
    <row r="29" ht="15.0" customHeight="1">
      <c r="A29" s="2" t="s">
        <v>149</v>
      </c>
      <c r="B29" s="2" t="s">
        <v>149</v>
      </c>
    </row>
    <row r="30" ht="15.0" customHeight="1">
      <c r="A30" s="2" t="s">
        <v>246</v>
      </c>
      <c r="B30" s="2" t="s">
        <v>246</v>
      </c>
    </row>
    <row r="31" ht="15.0" customHeight="1">
      <c r="A31" s="2" t="s">
        <v>150</v>
      </c>
      <c r="B31" s="2" t="s">
        <v>150</v>
      </c>
    </row>
    <row r="32" ht="15.0" customHeight="1">
      <c r="A32" s="2" t="s">
        <v>250</v>
      </c>
      <c r="B32" s="2" t="s">
        <v>250</v>
      </c>
    </row>
    <row r="33" ht="15.0" customHeight="1">
      <c r="A33" s="2" t="s">
        <v>253</v>
      </c>
      <c r="B33" s="2" t="s">
        <v>253</v>
      </c>
    </row>
    <row r="34" ht="15.0" customHeight="1">
      <c r="B34" s="2" t="s">
        <v>2466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6" width="8.71"/>
  </cols>
  <sheetData>
    <row r="1" ht="17.25" customHeight="1">
      <c r="A1" s="7" t="s">
        <v>2467</v>
      </c>
      <c r="B1" s="2"/>
      <c r="C1" s="2"/>
      <c r="D1" s="2"/>
      <c r="E1" s="2"/>
      <c r="F1" s="2"/>
      <c r="I1" s="2"/>
      <c r="N1" s="2"/>
      <c r="S1" s="2"/>
    </row>
    <row r="2" ht="51.75" customHeight="1">
      <c r="A2" s="10" t="s">
        <v>2468</v>
      </c>
      <c r="B2" s="2"/>
      <c r="C2" s="2"/>
      <c r="D2" s="2"/>
      <c r="E2" s="2"/>
      <c r="F2" s="2"/>
      <c r="I2" s="2"/>
      <c r="N2" s="2"/>
      <c r="S2" s="2"/>
    </row>
    <row r="3">
      <c r="A3" s="2"/>
      <c r="B3" s="2"/>
      <c r="C3" s="2"/>
      <c r="D3" s="2"/>
      <c r="E3" s="2"/>
      <c r="F3" s="2"/>
      <c r="I3" s="2"/>
      <c r="N3" s="2"/>
      <c r="S3" s="2"/>
    </row>
    <row r="4" ht="32.25" customHeight="1">
      <c r="A4" s="5" t="s">
        <v>2323</v>
      </c>
      <c r="B4" s="5" t="s">
        <v>154</v>
      </c>
      <c r="C4" s="5" t="s">
        <v>1958</v>
      </c>
      <c r="D4" s="5" t="s">
        <v>2469</v>
      </c>
      <c r="E4" s="5" t="s">
        <v>2470</v>
      </c>
      <c r="F4" s="5" t="s">
        <v>2471</v>
      </c>
      <c r="G4" s="5" t="s">
        <v>2472</v>
      </c>
      <c r="H4" s="5" t="s">
        <v>2473</v>
      </c>
      <c r="I4" s="5" t="s">
        <v>2474</v>
      </c>
      <c r="J4" s="5" t="s">
        <v>2475</v>
      </c>
      <c r="K4" s="5" t="s">
        <v>2476</v>
      </c>
      <c r="L4" s="5" t="s">
        <v>2477</v>
      </c>
      <c r="M4" s="5" t="s">
        <v>2478</v>
      </c>
      <c r="N4" s="5" t="s">
        <v>2479</v>
      </c>
      <c r="O4" s="5" t="s">
        <v>2480</v>
      </c>
      <c r="P4" s="5" t="s">
        <v>2481</v>
      </c>
      <c r="Q4" s="5" t="s">
        <v>2482</v>
      </c>
      <c r="R4" s="5" t="s">
        <v>2483</v>
      </c>
      <c r="S4" s="5" t="s">
        <v>2484</v>
      </c>
      <c r="T4" s="5" t="s">
        <v>2485</v>
      </c>
    </row>
    <row r="5" ht="15.0" customHeight="1">
      <c r="A5" s="2">
        <v>2026.0</v>
      </c>
      <c r="B5" s="2" t="s">
        <v>178</v>
      </c>
      <c r="C5" s="2" t="str">
        <f t="shared" ref="C5:C36" si="1">$A5&amp;"|"&amp;$B5</f>
        <v>2026|ARI</v>
      </c>
      <c r="D5" s="2">
        <v>-3.86</v>
      </c>
      <c r="E5" s="2">
        <f>IF($D5="","",ROUND($D5*(1-PriorRegress),2))</f>
        <v>-2.59</v>
      </c>
      <c r="F5" s="2" t="s">
        <v>2486</v>
      </c>
      <c r="G5" s="2" t="s">
        <v>2487</v>
      </c>
      <c r="H5" s="11">
        <v>0.4</v>
      </c>
      <c r="I5" s="11"/>
      <c r="J5" s="2" t="str">
        <f t="shared" ref="J5:J36" si="2">IF($I5="","",ROUND($I5-AVERAGE($I$5:$I$36),2))</f>
        <v/>
      </c>
      <c r="K5" s="11"/>
      <c r="L5" s="11"/>
      <c r="M5" s="11">
        <v>0.35</v>
      </c>
      <c r="N5" s="11"/>
      <c r="O5" s="2" t="str">
        <f>IF($N5="","",ROUND(($N5-AVERAGE($N$5:$N$36))*PtsPerWin,2))</f>
        <v/>
      </c>
      <c r="P5" s="11"/>
      <c r="Q5" s="11"/>
      <c r="R5" s="11">
        <v>0.25</v>
      </c>
      <c r="S5" s="2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-2.59</v>
      </c>
      <c r="T5" s="2">
        <f>($E5&lt;&gt;"")+($J5&lt;&gt;"")+AND($O5&lt;&gt;"",WinTotalsMode="BLEND")*1</f>
        <v>1</v>
      </c>
    </row>
    <row r="6" ht="15.0" customHeight="1">
      <c r="A6" s="2">
        <v>2026.0</v>
      </c>
      <c r="B6" s="2" t="s">
        <v>132</v>
      </c>
      <c r="C6" s="2" t="str">
        <f t="shared" si="1"/>
        <v>2026|ATL</v>
      </c>
      <c r="D6" s="2">
        <v>-0.12</v>
      </c>
      <c r="E6" s="2">
        <f>IF($D6="","",ROUND($D6*(1-PriorRegress),2))</f>
        <v>-0.08</v>
      </c>
      <c r="F6" s="2" t="s">
        <v>2486</v>
      </c>
      <c r="G6" s="2" t="s">
        <v>2487</v>
      </c>
      <c r="H6" s="11">
        <v>0.4</v>
      </c>
      <c r="I6" s="11"/>
      <c r="J6" s="2" t="str">
        <f t="shared" si="2"/>
        <v/>
      </c>
      <c r="K6" s="11"/>
      <c r="L6" s="11"/>
      <c r="M6" s="11">
        <v>0.35</v>
      </c>
      <c r="N6" s="11"/>
      <c r="O6" s="2" t="str">
        <f>IF($N6="","",ROUND(($N6-AVERAGE($N$5:$N$36))*PtsPerWin,2))</f>
        <v/>
      </c>
      <c r="P6" s="11"/>
      <c r="Q6" s="11"/>
      <c r="R6" s="11">
        <v>0.25</v>
      </c>
      <c r="S6" s="2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-0.08</v>
      </c>
      <c r="T6" s="2">
        <f>($E6&lt;&gt;"")+($J6&lt;&gt;"")+AND($O6&lt;&gt;"",WinTotalsMode="BLEND")*1</f>
        <v>1</v>
      </c>
    </row>
    <row r="7" ht="15.0" customHeight="1">
      <c r="A7" s="2">
        <v>2026.0</v>
      </c>
      <c r="B7" s="2" t="s">
        <v>148</v>
      </c>
      <c r="C7" s="2" t="str">
        <f t="shared" si="1"/>
        <v>2026|BAL</v>
      </c>
      <c r="D7" s="2">
        <v>1.72</v>
      </c>
      <c r="E7" s="2">
        <f>IF($D7="","",ROUND($D7*(1-PriorRegress),2))</f>
        <v>1.15</v>
      </c>
      <c r="F7" s="2" t="s">
        <v>2486</v>
      </c>
      <c r="G7" s="2" t="s">
        <v>2487</v>
      </c>
      <c r="H7" s="11">
        <v>0.4</v>
      </c>
      <c r="I7" s="11"/>
      <c r="J7" s="2" t="str">
        <f t="shared" si="2"/>
        <v/>
      </c>
      <c r="K7" s="11"/>
      <c r="L7" s="11"/>
      <c r="M7" s="11">
        <v>0.35</v>
      </c>
      <c r="N7" s="11"/>
      <c r="O7" s="2" t="str">
        <f>IF($N7="","",ROUND(($N7-AVERAGE($N$5:$N$36))*PtsPerWin,2))</f>
        <v/>
      </c>
      <c r="P7" s="11"/>
      <c r="Q7" s="11"/>
      <c r="R7" s="11">
        <v>0.25</v>
      </c>
      <c r="S7" s="2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1.15</v>
      </c>
      <c r="T7" s="2">
        <f>($E7&lt;&gt;"")+($J7&lt;&gt;"")+AND($O7&lt;&gt;"",WinTotalsMode="BLEND")*1</f>
        <v>1</v>
      </c>
    </row>
    <row r="8" ht="15.0" customHeight="1">
      <c r="A8" s="2">
        <v>2026.0</v>
      </c>
      <c r="B8" s="2" t="s">
        <v>136</v>
      </c>
      <c r="C8" s="2" t="str">
        <f t="shared" si="1"/>
        <v>2026|BUF</v>
      </c>
      <c r="D8" s="2">
        <v>3.27</v>
      </c>
      <c r="E8" s="2">
        <f>IF($D8="","",ROUND($D8*(1-PriorRegress),2))</f>
        <v>2.19</v>
      </c>
      <c r="F8" s="2" t="s">
        <v>2486</v>
      </c>
      <c r="G8" s="2" t="s">
        <v>2487</v>
      </c>
      <c r="H8" s="11">
        <v>0.4</v>
      </c>
      <c r="I8" s="11"/>
      <c r="J8" s="2" t="str">
        <f t="shared" si="2"/>
        <v/>
      </c>
      <c r="K8" s="11"/>
      <c r="L8" s="11"/>
      <c r="M8" s="11">
        <v>0.35</v>
      </c>
      <c r="N8" s="11"/>
      <c r="O8" s="2" t="str">
        <f>IF($N8="","",ROUND(($N8-AVERAGE($N$5:$N$36))*PtsPerWin,2))</f>
        <v/>
      </c>
      <c r="P8" s="11"/>
      <c r="Q8" s="11"/>
      <c r="R8" s="11">
        <v>0.25</v>
      </c>
      <c r="S8" s="2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2.19</v>
      </c>
      <c r="T8" s="2">
        <f>($E8&lt;&gt;"")+($J8&lt;&gt;"")+AND($O8&lt;&gt;"",WinTotalsMode="BLEND")*1</f>
        <v>1</v>
      </c>
    </row>
    <row r="9" ht="15.0" customHeight="1">
      <c r="A9" s="2">
        <v>2026.0</v>
      </c>
      <c r="B9" s="2" t="s">
        <v>189</v>
      </c>
      <c r="C9" s="2" t="str">
        <f t="shared" si="1"/>
        <v>2026|CAR</v>
      </c>
      <c r="D9" s="2">
        <v>-2.42</v>
      </c>
      <c r="E9" s="2">
        <f>IF($D9="","",ROUND($D9*(1-PriorRegress),2))</f>
        <v>-1.62</v>
      </c>
      <c r="F9" s="2" t="s">
        <v>2486</v>
      </c>
      <c r="G9" s="2" t="s">
        <v>2487</v>
      </c>
      <c r="H9" s="11">
        <v>0.4</v>
      </c>
      <c r="I9" s="11"/>
      <c r="J9" s="2" t="str">
        <f t="shared" si="2"/>
        <v/>
      </c>
      <c r="K9" s="11"/>
      <c r="L9" s="11"/>
      <c r="M9" s="11">
        <v>0.35</v>
      </c>
      <c r="N9" s="11"/>
      <c r="O9" s="2" t="str">
        <f>IF($N9="","",ROUND(($N9-AVERAGE($N$5:$N$36))*PtsPerWin,2))</f>
        <v/>
      </c>
      <c r="P9" s="11"/>
      <c r="Q9" s="11"/>
      <c r="R9" s="11">
        <v>0.25</v>
      </c>
      <c r="S9" s="2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-1.62</v>
      </c>
      <c r="T9" s="2">
        <f>($E9&lt;&gt;"")+($J9&lt;&gt;"")+AND($O9&lt;&gt;"",WinTotalsMode="BLEND")*1</f>
        <v>1</v>
      </c>
    </row>
    <row r="10" ht="15.0" customHeight="1">
      <c r="A10" s="2">
        <v>2026.0</v>
      </c>
      <c r="B10" s="2" t="s">
        <v>137</v>
      </c>
      <c r="C10" s="2" t="str">
        <f t="shared" si="1"/>
        <v>2026|CHI</v>
      </c>
      <c r="D10" s="2">
        <v>1.6</v>
      </c>
      <c r="E10" s="2">
        <f>IF($D10="","",ROUND($D10*(1-PriorRegress),2))</f>
        <v>1.07</v>
      </c>
      <c r="F10" s="2" t="s">
        <v>2486</v>
      </c>
      <c r="G10" s="2" t="s">
        <v>2487</v>
      </c>
      <c r="H10" s="11">
        <v>0.4</v>
      </c>
      <c r="I10" s="11"/>
      <c r="J10" s="2" t="str">
        <f t="shared" si="2"/>
        <v/>
      </c>
      <c r="K10" s="11"/>
      <c r="L10" s="11"/>
      <c r="M10" s="11">
        <v>0.35</v>
      </c>
      <c r="N10" s="11"/>
      <c r="O10" s="2" t="str">
        <f>IF($N10="","",ROUND(($N10-AVERAGE($N$5:$N$36))*PtsPerWin,2))</f>
        <v/>
      </c>
      <c r="P10" s="11"/>
      <c r="Q10" s="11"/>
      <c r="R10" s="11">
        <v>0.25</v>
      </c>
      <c r="S10" s="2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1.07</v>
      </c>
      <c r="T10" s="2">
        <f>($E10&lt;&gt;"")+($J10&lt;&gt;"")+AND($O10&lt;&gt;"",WinTotalsMode="BLEND")*1</f>
        <v>1</v>
      </c>
    </row>
    <row r="11" ht="15.0" customHeight="1">
      <c r="A11" s="2">
        <v>2026.0</v>
      </c>
      <c r="B11" s="2" t="s">
        <v>138</v>
      </c>
      <c r="C11" s="2" t="str">
        <f t="shared" si="1"/>
        <v>2026|CIN</v>
      </c>
      <c r="D11" s="2">
        <v>-2.85</v>
      </c>
      <c r="E11" s="2">
        <f>IF($D11="","",ROUND($D11*(1-PriorRegress),2))</f>
        <v>-1.91</v>
      </c>
      <c r="F11" s="2" t="s">
        <v>2486</v>
      </c>
      <c r="G11" s="2" t="s">
        <v>2487</v>
      </c>
      <c r="H11" s="11">
        <v>0.4</v>
      </c>
      <c r="I11" s="11"/>
      <c r="J11" s="2" t="str">
        <f t="shared" si="2"/>
        <v/>
      </c>
      <c r="K11" s="11"/>
      <c r="L11" s="11"/>
      <c r="M11" s="11">
        <v>0.35</v>
      </c>
      <c r="N11" s="11"/>
      <c r="O11" s="2" t="str">
        <f>IF($N11="","",ROUND(($N11-AVERAGE($N$5:$N$36))*PtsPerWin,2))</f>
        <v/>
      </c>
      <c r="P11" s="11"/>
      <c r="Q11" s="11"/>
      <c r="R11" s="11">
        <v>0.25</v>
      </c>
      <c r="S11" s="2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-1.91</v>
      </c>
      <c r="T11" s="2">
        <f>($E11&lt;&gt;"")+($J11&lt;&gt;"")+AND($O11&lt;&gt;"",WinTotalsMode="BLEND")*1</f>
        <v>1</v>
      </c>
    </row>
    <row r="12" ht="15.0" customHeight="1">
      <c r="A12" s="2">
        <v>2026.0</v>
      </c>
      <c r="B12" s="2" t="s">
        <v>196</v>
      </c>
      <c r="C12" s="2" t="str">
        <f t="shared" si="1"/>
        <v>2026|CLE</v>
      </c>
      <c r="D12" s="2">
        <v>-4.85</v>
      </c>
      <c r="E12" s="2">
        <f>IF($D12="","",ROUND($D12*(1-PriorRegress),2))</f>
        <v>-3.25</v>
      </c>
      <c r="F12" s="2" t="s">
        <v>2486</v>
      </c>
      <c r="G12" s="2" t="s">
        <v>2487</v>
      </c>
      <c r="H12" s="11">
        <v>0.4</v>
      </c>
      <c r="I12" s="11"/>
      <c r="J12" s="2" t="str">
        <f t="shared" si="2"/>
        <v/>
      </c>
      <c r="K12" s="11"/>
      <c r="L12" s="11"/>
      <c r="M12" s="11">
        <v>0.35</v>
      </c>
      <c r="N12" s="11"/>
      <c r="O12" s="2" t="str">
        <f>IF($N12="","",ROUND(($N12-AVERAGE($N$5:$N$36))*PtsPerWin,2))</f>
        <v/>
      </c>
      <c r="P12" s="11"/>
      <c r="Q12" s="11"/>
      <c r="R12" s="11">
        <v>0.25</v>
      </c>
      <c r="S12" s="2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-3.25</v>
      </c>
      <c r="T12" s="2">
        <f>($E12&lt;&gt;"")+($J12&lt;&gt;"")+AND($O12&lt;&gt;"",WinTotalsMode="BLEND")*1</f>
        <v>1</v>
      </c>
    </row>
    <row r="13" ht="15.0" customHeight="1">
      <c r="A13" s="2">
        <v>2026.0</v>
      </c>
      <c r="B13" s="2" t="s">
        <v>146</v>
      </c>
      <c r="C13" s="2" t="str">
        <f t="shared" si="1"/>
        <v>2026|DAL</v>
      </c>
      <c r="D13" s="2">
        <v>-4.21</v>
      </c>
      <c r="E13" s="2">
        <f>IF($D13="","",ROUND($D13*(1-PriorRegress),2))</f>
        <v>-2.82</v>
      </c>
      <c r="F13" s="2" t="s">
        <v>2486</v>
      </c>
      <c r="G13" s="2" t="s">
        <v>2487</v>
      </c>
      <c r="H13" s="11">
        <v>0.4</v>
      </c>
      <c r="I13" s="11"/>
      <c r="J13" s="2" t="str">
        <f t="shared" si="2"/>
        <v/>
      </c>
      <c r="K13" s="11"/>
      <c r="L13" s="11"/>
      <c r="M13" s="11">
        <v>0.35</v>
      </c>
      <c r="N13" s="11"/>
      <c r="O13" s="2" t="str">
        <f>IF($N13="","",ROUND(($N13-AVERAGE($N$5:$N$36))*PtsPerWin,2))</f>
        <v/>
      </c>
      <c r="P13" s="11"/>
      <c r="Q13" s="11"/>
      <c r="R13" s="11">
        <v>0.25</v>
      </c>
      <c r="S13" s="2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-2.82</v>
      </c>
      <c r="T13" s="2">
        <f>($E13&lt;&gt;"")+($J13&lt;&gt;"")+AND($O13&lt;&gt;"",WinTotalsMode="BLEND")*1</f>
        <v>1</v>
      </c>
    </row>
    <row r="14" ht="15.0" customHeight="1">
      <c r="A14" s="2">
        <v>2026.0</v>
      </c>
      <c r="B14" s="2" t="s">
        <v>139</v>
      </c>
      <c r="C14" s="2" t="str">
        <f t="shared" si="1"/>
        <v>2026|DEN</v>
      </c>
      <c r="D14" s="2">
        <v>3.59</v>
      </c>
      <c r="E14" s="2">
        <f>IF($D14="","",ROUND($D14*(1-PriorRegress),2))</f>
        <v>2.41</v>
      </c>
      <c r="F14" s="2" t="s">
        <v>2486</v>
      </c>
      <c r="G14" s="2" t="s">
        <v>2487</v>
      </c>
      <c r="H14" s="11">
        <v>0.4</v>
      </c>
      <c r="I14" s="11"/>
      <c r="J14" s="2" t="str">
        <f t="shared" si="2"/>
        <v/>
      </c>
      <c r="K14" s="11"/>
      <c r="L14" s="11"/>
      <c r="M14" s="11">
        <v>0.35</v>
      </c>
      <c r="N14" s="11"/>
      <c r="O14" s="2" t="str">
        <f>IF($N14="","",ROUND(($N14-AVERAGE($N$5:$N$36))*PtsPerWin,2))</f>
        <v/>
      </c>
      <c r="P14" s="11"/>
      <c r="Q14" s="11"/>
      <c r="R14" s="11">
        <v>0.25</v>
      </c>
      <c r="S14" s="2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2.41</v>
      </c>
      <c r="T14" s="2">
        <f>($E14&lt;&gt;"")+($J14&lt;&gt;"")+AND($O14&lt;&gt;"",WinTotalsMode="BLEND")*1</f>
        <v>1</v>
      </c>
    </row>
    <row r="15" ht="15.0" customHeight="1">
      <c r="A15" s="2">
        <v>2026.0</v>
      </c>
      <c r="B15" s="2" t="s">
        <v>202</v>
      </c>
      <c r="C15" s="2" t="str">
        <f t="shared" si="1"/>
        <v>2026|DET</v>
      </c>
      <c r="D15" s="2">
        <v>1.6</v>
      </c>
      <c r="E15" s="2">
        <f>IF($D15="","",ROUND($D15*(1-PriorRegress),2))</f>
        <v>1.07</v>
      </c>
      <c r="F15" s="2" t="s">
        <v>2486</v>
      </c>
      <c r="G15" s="2" t="s">
        <v>2487</v>
      </c>
      <c r="H15" s="11">
        <v>0.4</v>
      </c>
      <c r="I15" s="11"/>
      <c r="J15" s="2" t="str">
        <f t="shared" si="2"/>
        <v/>
      </c>
      <c r="K15" s="11"/>
      <c r="L15" s="11"/>
      <c r="M15" s="11">
        <v>0.35</v>
      </c>
      <c r="N15" s="11"/>
      <c r="O15" s="2" t="str">
        <f>IF($N15="","",ROUND(($N15-AVERAGE($N$5:$N$36))*PtsPerWin,2))</f>
        <v/>
      </c>
      <c r="P15" s="11"/>
      <c r="Q15" s="11"/>
      <c r="R15" s="11">
        <v>0.25</v>
      </c>
      <c r="S15" s="2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1.07</v>
      </c>
      <c r="T15" s="2">
        <f>($E15&lt;&gt;"")+($J15&lt;&gt;"")+AND($O15&lt;&gt;"",WinTotalsMode="BLEND")*1</f>
        <v>1</v>
      </c>
    </row>
    <row r="16" ht="15.0" customHeight="1">
      <c r="A16" s="2">
        <v>2026.0</v>
      </c>
      <c r="B16" s="2" t="s">
        <v>205</v>
      </c>
      <c r="C16" s="2" t="str">
        <f t="shared" si="1"/>
        <v>2026|GB</v>
      </c>
      <c r="D16" s="2">
        <v>0.95</v>
      </c>
      <c r="E16" s="2">
        <f>IF($D16="","",ROUND($D16*(1-PriorRegress),2))</f>
        <v>0.64</v>
      </c>
      <c r="F16" s="2" t="s">
        <v>2486</v>
      </c>
      <c r="G16" s="2" t="s">
        <v>2487</v>
      </c>
      <c r="H16" s="11">
        <v>0.4</v>
      </c>
      <c r="I16" s="11"/>
      <c r="J16" s="2" t="str">
        <f t="shared" si="2"/>
        <v/>
      </c>
      <c r="K16" s="11"/>
      <c r="L16" s="11"/>
      <c r="M16" s="11">
        <v>0.35</v>
      </c>
      <c r="N16" s="11"/>
      <c r="O16" s="2" t="str">
        <f>IF($N16="","",ROUND(($N16-AVERAGE($N$5:$N$36))*PtsPerWin,2))</f>
        <v/>
      </c>
      <c r="P16" s="11"/>
      <c r="Q16" s="11"/>
      <c r="R16" s="11">
        <v>0.25</v>
      </c>
      <c r="S16" s="2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0.64</v>
      </c>
      <c r="T16" s="2">
        <f>($E16&lt;&gt;"")+($J16&lt;&gt;"")+AND($O16&lt;&gt;"",WinTotalsMode="BLEND")*1</f>
        <v>1</v>
      </c>
    </row>
    <row r="17" ht="15.0" customHeight="1">
      <c r="A17" s="2">
        <v>2026.0</v>
      </c>
      <c r="B17" s="2" t="s">
        <v>140</v>
      </c>
      <c r="C17" s="2" t="str">
        <f t="shared" si="1"/>
        <v>2026|HOU</v>
      </c>
      <c r="D17" s="2">
        <v>5.06</v>
      </c>
      <c r="E17" s="2">
        <f>IF($D17="","",ROUND($D17*(1-PriorRegress),2))</f>
        <v>3.39</v>
      </c>
      <c r="F17" s="2" t="s">
        <v>2486</v>
      </c>
      <c r="G17" s="2" t="s">
        <v>2487</v>
      </c>
      <c r="H17" s="11">
        <v>0.4</v>
      </c>
      <c r="I17" s="11"/>
      <c r="J17" s="2" t="str">
        <f t="shared" si="2"/>
        <v/>
      </c>
      <c r="K17" s="11"/>
      <c r="L17" s="11"/>
      <c r="M17" s="11">
        <v>0.35</v>
      </c>
      <c r="N17" s="11"/>
      <c r="O17" s="2" t="str">
        <f>IF($N17="","",ROUND(($N17-AVERAGE($N$5:$N$36))*PtsPerWin,2))</f>
        <v/>
      </c>
      <c r="P17" s="11"/>
      <c r="Q17" s="11"/>
      <c r="R17" s="11">
        <v>0.25</v>
      </c>
      <c r="S17" s="2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3.39</v>
      </c>
      <c r="T17" s="2">
        <f>($E17&lt;&gt;"")+($J17&lt;&gt;"")+AND($O17&lt;&gt;"",WinTotalsMode="BLEND")*1</f>
        <v>1</v>
      </c>
    </row>
    <row r="18" ht="15.0" customHeight="1">
      <c r="A18" s="2">
        <v>2026.0</v>
      </c>
      <c r="B18" s="2" t="s">
        <v>210</v>
      </c>
      <c r="C18" s="2" t="str">
        <f t="shared" si="1"/>
        <v>2026|IND</v>
      </c>
      <c r="D18" s="2">
        <v>1.52</v>
      </c>
      <c r="E18" s="2">
        <f>IF($D18="","",ROUND($D18*(1-PriorRegress),2))</f>
        <v>1.02</v>
      </c>
      <c r="F18" s="2" t="s">
        <v>2486</v>
      </c>
      <c r="G18" s="2" t="s">
        <v>2487</v>
      </c>
      <c r="H18" s="11">
        <v>0.4</v>
      </c>
      <c r="I18" s="11"/>
      <c r="J18" s="2" t="str">
        <f t="shared" si="2"/>
        <v/>
      </c>
      <c r="K18" s="11"/>
      <c r="L18" s="11"/>
      <c r="M18" s="11">
        <v>0.35</v>
      </c>
      <c r="N18" s="11"/>
      <c r="O18" s="2" t="str">
        <f>IF($N18="","",ROUND(($N18-AVERAGE($N$5:$N$36))*PtsPerWin,2))</f>
        <v/>
      </c>
      <c r="P18" s="11"/>
      <c r="Q18" s="11"/>
      <c r="R18" s="11">
        <v>0.25</v>
      </c>
      <c r="S18" s="2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1.02</v>
      </c>
      <c r="T18" s="2">
        <f>($E18&lt;&gt;"")+($J18&lt;&gt;"")+AND($O18&lt;&gt;"",WinTotalsMode="BLEND")*1</f>
        <v>1</v>
      </c>
    </row>
    <row r="19" ht="15.0" customHeight="1">
      <c r="A19" s="2">
        <v>2026.0</v>
      </c>
      <c r="B19" s="2" t="s">
        <v>141</v>
      </c>
      <c r="C19" s="2" t="str">
        <f t="shared" si="1"/>
        <v>2026|JAX</v>
      </c>
      <c r="D19" s="2">
        <v>6.02</v>
      </c>
      <c r="E19" s="2">
        <f>IF($D19="","",ROUND($D19*(1-PriorRegress),2))</f>
        <v>4.03</v>
      </c>
      <c r="F19" s="2" t="s">
        <v>2486</v>
      </c>
      <c r="G19" s="2" t="s">
        <v>2487</v>
      </c>
      <c r="H19" s="11">
        <v>0.4</v>
      </c>
      <c r="I19" s="11"/>
      <c r="J19" s="2" t="str">
        <f t="shared" si="2"/>
        <v/>
      </c>
      <c r="K19" s="11"/>
      <c r="L19" s="11"/>
      <c r="M19" s="11">
        <v>0.35</v>
      </c>
      <c r="N19" s="11"/>
      <c r="O19" s="2" t="str">
        <f>IF($N19="","",ROUND(($N19-AVERAGE($N$5:$N$36))*PtsPerWin,2))</f>
        <v/>
      </c>
      <c r="P19" s="11"/>
      <c r="Q19" s="11"/>
      <c r="R19" s="11">
        <v>0.25</v>
      </c>
      <c r="S19" s="2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4.03</v>
      </c>
      <c r="T19" s="2">
        <f>($E19&lt;&gt;"")+($J19&lt;&gt;"")+AND($O19&lt;&gt;"",WinTotalsMode="BLEND")*1</f>
        <v>1</v>
      </c>
    </row>
    <row r="20" ht="15.0" customHeight="1">
      <c r="A20" s="2">
        <v>2026.0</v>
      </c>
      <c r="B20" s="2" t="s">
        <v>143</v>
      </c>
      <c r="C20" s="2" t="str">
        <f t="shared" si="1"/>
        <v>2026|KC</v>
      </c>
      <c r="D20" s="2">
        <v>-0.07</v>
      </c>
      <c r="E20" s="2">
        <f>IF($D20="","",ROUND($D20*(1-PriorRegress),2))</f>
        <v>-0.05</v>
      </c>
      <c r="F20" s="2" t="s">
        <v>2486</v>
      </c>
      <c r="G20" s="2" t="s">
        <v>2487</v>
      </c>
      <c r="H20" s="11">
        <v>0.4</v>
      </c>
      <c r="I20" s="11"/>
      <c r="J20" s="2" t="str">
        <f t="shared" si="2"/>
        <v/>
      </c>
      <c r="K20" s="11"/>
      <c r="L20" s="11"/>
      <c r="M20" s="11">
        <v>0.35</v>
      </c>
      <c r="N20" s="11"/>
      <c r="O20" s="2" t="str">
        <f>IF($N20="","",ROUND(($N20-AVERAGE($N$5:$N$36))*PtsPerWin,2))</f>
        <v/>
      </c>
      <c r="P20" s="11"/>
      <c r="Q20" s="11"/>
      <c r="R20" s="11">
        <v>0.25</v>
      </c>
      <c r="S20" s="2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-0.05</v>
      </c>
      <c r="T20" s="2">
        <f>($E20&lt;&gt;"")+($J20&lt;&gt;"")+AND($O20&lt;&gt;"",WinTotalsMode="BLEND")*1</f>
        <v>1</v>
      </c>
    </row>
    <row r="21" ht="15.0" customHeight="1">
      <c r="A21" s="2">
        <v>2026.0</v>
      </c>
      <c r="B21" s="2" t="s">
        <v>142</v>
      </c>
      <c r="C21" s="2" t="str">
        <f t="shared" si="1"/>
        <v>2026|LA</v>
      </c>
      <c r="D21" s="2">
        <v>7.62</v>
      </c>
      <c r="E21" s="2">
        <f>IF($D21="","",ROUND($D21*(1-PriorRegress),2))</f>
        <v>5.11</v>
      </c>
      <c r="F21" s="2" t="s">
        <v>2486</v>
      </c>
      <c r="G21" s="2" t="s">
        <v>2487</v>
      </c>
      <c r="H21" s="11">
        <v>0.4</v>
      </c>
      <c r="I21" s="11"/>
      <c r="J21" s="2" t="str">
        <f t="shared" si="2"/>
        <v/>
      </c>
      <c r="K21" s="11"/>
      <c r="L21" s="11"/>
      <c r="M21" s="11">
        <v>0.35</v>
      </c>
      <c r="N21" s="11"/>
      <c r="O21" s="2" t="str">
        <f>IF($N21="","",ROUND(($N21-AVERAGE($N$5:$N$36))*PtsPerWin,2))</f>
        <v/>
      </c>
      <c r="P21" s="11"/>
      <c r="Q21" s="11"/>
      <c r="R21" s="11">
        <v>0.25</v>
      </c>
      <c r="S21" s="2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5.11</v>
      </c>
      <c r="T21" s="2">
        <f>($E21&lt;&gt;"")+($J21&lt;&gt;"")+AND($O21&lt;&gt;"",WinTotalsMode="BLEND")*1</f>
        <v>1</v>
      </c>
    </row>
    <row r="22" ht="15.0" customHeight="1">
      <c r="A22" s="2">
        <v>2026.0</v>
      </c>
      <c r="B22" s="2" t="s">
        <v>220</v>
      </c>
      <c r="C22" s="2" t="str">
        <f t="shared" si="1"/>
        <v>2026|LAC</v>
      </c>
      <c r="D22" s="2">
        <v>1.05</v>
      </c>
      <c r="E22" s="2">
        <f>IF($D22="","",ROUND($D22*(1-PriorRegress),2))</f>
        <v>0.7</v>
      </c>
      <c r="F22" s="2" t="s">
        <v>2486</v>
      </c>
      <c r="G22" s="2" t="s">
        <v>2487</v>
      </c>
      <c r="H22" s="11">
        <v>0.4</v>
      </c>
      <c r="I22" s="11"/>
      <c r="J22" s="2" t="str">
        <f t="shared" si="2"/>
        <v/>
      </c>
      <c r="K22" s="11"/>
      <c r="L22" s="11"/>
      <c r="M22" s="11">
        <v>0.35</v>
      </c>
      <c r="N22" s="11"/>
      <c r="O22" s="2" t="str">
        <f>IF($N22="","",ROUND(($N22-AVERAGE($N$5:$N$36))*PtsPerWin,2))</f>
        <v/>
      </c>
      <c r="P22" s="11"/>
      <c r="Q22" s="11"/>
      <c r="R22" s="11">
        <v>0.25</v>
      </c>
      <c r="S22" s="2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0.7</v>
      </c>
      <c r="T22" s="2">
        <f>($E22&lt;&gt;"")+($J22&lt;&gt;"")+AND($O22&lt;&gt;"",WinTotalsMode="BLEND")*1</f>
        <v>1</v>
      </c>
    </row>
    <row r="23" ht="15.0" customHeight="1">
      <c r="A23" s="2">
        <v>2026.0</v>
      </c>
      <c r="B23" s="2" t="s">
        <v>222</v>
      </c>
      <c r="C23" s="2" t="str">
        <f t="shared" si="1"/>
        <v>2026|LV</v>
      </c>
      <c r="D23" s="2">
        <v>-6.57</v>
      </c>
      <c r="E23" s="2">
        <f>IF($D23="","",ROUND($D23*(1-PriorRegress),2))</f>
        <v>-4.4</v>
      </c>
      <c r="F23" s="2" t="s">
        <v>2486</v>
      </c>
      <c r="G23" s="2" t="s">
        <v>2487</v>
      </c>
      <c r="H23" s="11">
        <v>0.4</v>
      </c>
      <c r="I23" s="11"/>
      <c r="J23" s="2" t="str">
        <f t="shared" si="2"/>
        <v/>
      </c>
      <c r="K23" s="11"/>
      <c r="L23" s="11"/>
      <c r="M23" s="11">
        <v>0.35</v>
      </c>
      <c r="N23" s="11"/>
      <c r="O23" s="2" t="str">
        <f>IF($N23="","",ROUND(($N23-AVERAGE($N$5:$N$36))*PtsPerWin,2))</f>
        <v/>
      </c>
      <c r="P23" s="11"/>
      <c r="Q23" s="11"/>
      <c r="R23" s="11">
        <v>0.25</v>
      </c>
      <c r="S23" s="2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-4.4</v>
      </c>
      <c r="T23" s="2">
        <f>($E23&lt;&gt;"")+($J23&lt;&gt;"")+AND($O23&lt;&gt;"",WinTotalsMode="BLEND")*1</f>
        <v>1</v>
      </c>
    </row>
    <row r="24" ht="15.0" customHeight="1">
      <c r="A24" s="2">
        <v>2026.0</v>
      </c>
      <c r="B24" s="2" t="s">
        <v>225</v>
      </c>
      <c r="C24" s="2" t="str">
        <f t="shared" si="1"/>
        <v>2026|MIA</v>
      </c>
      <c r="D24" s="2">
        <v>-4.92</v>
      </c>
      <c r="E24" s="2">
        <f>IF($D24="","",ROUND($D24*(1-PriorRegress),2))</f>
        <v>-3.3</v>
      </c>
      <c r="F24" s="2" t="s">
        <v>2486</v>
      </c>
      <c r="G24" s="2" t="s">
        <v>2487</v>
      </c>
      <c r="H24" s="11">
        <v>0.4</v>
      </c>
      <c r="I24" s="11"/>
      <c r="J24" s="2" t="str">
        <f t="shared" si="2"/>
        <v/>
      </c>
      <c r="K24" s="11"/>
      <c r="L24" s="11"/>
      <c r="M24" s="11">
        <v>0.35</v>
      </c>
      <c r="N24" s="11"/>
      <c r="O24" s="2" t="str">
        <f>IF($N24="","",ROUND(($N24-AVERAGE($N$5:$N$36))*PtsPerWin,2))</f>
        <v/>
      </c>
      <c r="P24" s="11"/>
      <c r="Q24" s="11"/>
      <c r="R24" s="11">
        <v>0.25</v>
      </c>
      <c r="S24" s="2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-3.3</v>
      </c>
      <c r="T24" s="2">
        <f>($E24&lt;&gt;"")+($J24&lt;&gt;"")+AND($O24&lt;&gt;"",WinTotalsMode="BLEND")*1</f>
        <v>1</v>
      </c>
    </row>
    <row r="25" ht="15.0" customHeight="1">
      <c r="A25" s="2">
        <v>2026.0</v>
      </c>
      <c r="B25" s="2" t="s">
        <v>144</v>
      </c>
      <c r="C25" s="2" t="str">
        <f t="shared" si="1"/>
        <v>2026|MIN</v>
      </c>
      <c r="D25" s="2">
        <v>0.93</v>
      </c>
      <c r="E25" s="2">
        <f>IF($D25="","",ROUND($D25*(1-PriorRegress),2))</f>
        <v>0.62</v>
      </c>
      <c r="F25" s="2" t="s">
        <v>2486</v>
      </c>
      <c r="G25" s="2" t="s">
        <v>2487</v>
      </c>
      <c r="H25" s="11">
        <v>0.4</v>
      </c>
      <c r="I25" s="11"/>
      <c r="J25" s="2" t="str">
        <f t="shared" si="2"/>
        <v/>
      </c>
      <c r="K25" s="11"/>
      <c r="L25" s="11"/>
      <c r="M25" s="11">
        <v>0.35</v>
      </c>
      <c r="N25" s="11"/>
      <c r="O25" s="2" t="str">
        <f>IF($N25="","",ROUND(($N25-AVERAGE($N$5:$N$36))*PtsPerWin,2))</f>
        <v/>
      </c>
      <c r="P25" s="11"/>
      <c r="Q25" s="11"/>
      <c r="R25" s="11">
        <v>0.25</v>
      </c>
      <c r="S25" s="2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0.62</v>
      </c>
      <c r="T25" s="2">
        <f>($E25&lt;&gt;"")+($J25&lt;&gt;"")+AND($O25&lt;&gt;"",WinTotalsMode="BLEND")*1</f>
        <v>1</v>
      </c>
    </row>
    <row r="26" ht="15.0" customHeight="1">
      <c r="A26" s="2">
        <v>2026.0</v>
      </c>
      <c r="B26" s="2" t="s">
        <v>145</v>
      </c>
      <c r="C26" s="2" t="str">
        <f t="shared" si="1"/>
        <v>2026|NE</v>
      </c>
      <c r="D26" s="2">
        <v>3.9</v>
      </c>
      <c r="E26" s="2">
        <f>IF($D26="","",ROUND($D26*(1-PriorRegress),2))</f>
        <v>2.61</v>
      </c>
      <c r="F26" s="2" t="s">
        <v>2486</v>
      </c>
      <c r="G26" s="2" t="s">
        <v>2487</v>
      </c>
      <c r="H26" s="11">
        <v>0.4</v>
      </c>
      <c r="I26" s="11"/>
      <c r="J26" s="2" t="str">
        <f t="shared" si="2"/>
        <v/>
      </c>
      <c r="K26" s="11"/>
      <c r="L26" s="11"/>
      <c r="M26" s="11">
        <v>0.35</v>
      </c>
      <c r="N26" s="11"/>
      <c r="O26" s="2" t="str">
        <f>IF($N26="","",ROUND(($N26-AVERAGE($N$5:$N$36))*PtsPerWin,2))</f>
        <v/>
      </c>
      <c r="P26" s="11"/>
      <c r="Q26" s="11"/>
      <c r="R26" s="11">
        <v>0.25</v>
      </c>
      <c r="S26" s="2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2.61</v>
      </c>
      <c r="T26" s="2">
        <f>($E26&lt;&gt;"")+($J26&lt;&gt;"")+AND($O26&lt;&gt;"",WinTotalsMode="BLEND")*1</f>
        <v>1</v>
      </c>
    </row>
    <row r="27" ht="15.0" customHeight="1">
      <c r="A27" s="2">
        <v>2026.0</v>
      </c>
      <c r="B27" s="2" t="s">
        <v>232</v>
      </c>
      <c r="C27" s="2" t="str">
        <f t="shared" si="1"/>
        <v>2026|NO</v>
      </c>
      <c r="D27" s="2">
        <v>-1.74</v>
      </c>
      <c r="E27" s="2">
        <f>IF($D27="","",ROUND($D27*(1-PriorRegress),2))</f>
        <v>-1.17</v>
      </c>
      <c r="F27" s="2" t="s">
        <v>2486</v>
      </c>
      <c r="G27" s="2" t="s">
        <v>2487</v>
      </c>
      <c r="H27" s="11">
        <v>0.4</v>
      </c>
      <c r="I27" s="11"/>
      <c r="J27" s="2" t="str">
        <f t="shared" si="2"/>
        <v/>
      </c>
      <c r="K27" s="11"/>
      <c r="L27" s="11"/>
      <c r="M27" s="11">
        <v>0.35</v>
      </c>
      <c r="N27" s="11"/>
      <c r="O27" s="2" t="str">
        <f>IF($N27="","",ROUND(($N27-AVERAGE($N$5:$N$36))*PtsPerWin,2))</f>
        <v/>
      </c>
      <c r="P27" s="11"/>
      <c r="Q27" s="11"/>
      <c r="R27" s="11">
        <v>0.25</v>
      </c>
      <c r="S27" s="2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-1.17</v>
      </c>
      <c r="T27" s="2">
        <f>($E27&lt;&gt;"")+($J27&lt;&gt;"")+AND($O27&lt;&gt;"",WinTotalsMode="BLEND")*1</f>
        <v>1</v>
      </c>
    </row>
    <row r="28" ht="15.0" customHeight="1">
      <c r="A28" s="2">
        <v>2026.0</v>
      </c>
      <c r="B28" s="2" t="s">
        <v>235</v>
      </c>
      <c r="C28" s="2" t="str">
        <f t="shared" si="1"/>
        <v>2026|NYG</v>
      </c>
      <c r="D28" s="2">
        <v>-2.97</v>
      </c>
      <c r="E28" s="2">
        <f>IF($D28="","",ROUND($D28*(1-PriorRegress),2))</f>
        <v>-1.99</v>
      </c>
      <c r="F28" s="2" t="s">
        <v>2486</v>
      </c>
      <c r="G28" s="2" t="s">
        <v>2487</v>
      </c>
      <c r="H28" s="11">
        <v>0.4</v>
      </c>
      <c r="I28" s="11"/>
      <c r="J28" s="2" t="str">
        <f t="shared" si="2"/>
        <v/>
      </c>
      <c r="K28" s="11"/>
      <c r="L28" s="11"/>
      <c r="M28" s="11">
        <v>0.35</v>
      </c>
      <c r="N28" s="11"/>
      <c r="O28" s="2" t="str">
        <f>IF($N28="","",ROUND(($N28-AVERAGE($N$5:$N$36))*PtsPerWin,2))</f>
        <v/>
      </c>
      <c r="P28" s="11"/>
      <c r="Q28" s="11"/>
      <c r="R28" s="11">
        <v>0.25</v>
      </c>
      <c r="S28" s="2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-1.99</v>
      </c>
      <c r="T28" s="2">
        <f>($E28&lt;&gt;"")+($J28&lt;&gt;"")+AND($O28&lt;&gt;"",WinTotalsMode="BLEND")*1</f>
        <v>1</v>
      </c>
    </row>
    <row r="29" ht="15.0" customHeight="1">
      <c r="A29" s="2">
        <v>2026.0</v>
      </c>
      <c r="B29" s="2" t="s">
        <v>238</v>
      </c>
      <c r="C29" s="2" t="str">
        <f t="shared" si="1"/>
        <v>2026|NYJ</v>
      </c>
      <c r="D29" s="2">
        <v>-8.71</v>
      </c>
      <c r="E29" s="2">
        <f>IF($D29="","",ROUND($D29*(1-PriorRegress),2))</f>
        <v>-5.84</v>
      </c>
      <c r="F29" s="2" t="s">
        <v>2486</v>
      </c>
      <c r="G29" s="2" t="s">
        <v>2487</v>
      </c>
      <c r="H29" s="11">
        <v>0.4</v>
      </c>
      <c r="I29" s="11"/>
      <c r="J29" s="2" t="str">
        <f t="shared" si="2"/>
        <v/>
      </c>
      <c r="K29" s="11"/>
      <c r="L29" s="11"/>
      <c r="M29" s="11">
        <v>0.35</v>
      </c>
      <c r="N29" s="11"/>
      <c r="O29" s="2" t="str">
        <f>IF($N29="","",ROUND(($N29-AVERAGE($N$5:$N$36))*PtsPerWin,2))</f>
        <v/>
      </c>
      <c r="P29" s="11"/>
      <c r="Q29" s="11"/>
      <c r="R29" s="11">
        <v>0.25</v>
      </c>
      <c r="S29" s="2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-5.84</v>
      </c>
      <c r="T29" s="2">
        <f>($E29&lt;&gt;"")+($J29&lt;&gt;"")+AND($O29&lt;&gt;"",WinTotalsMode="BLEND")*1</f>
        <v>1</v>
      </c>
    </row>
    <row r="30" ht="15.0" customHeight="1">
      <c r="A30" s="2">
        <v>2026.0</v>
      </c>
      <c r="B30" s="2" t="s">
        <v>147</v>
      </c>
      <c r="C30" s="2" t="str">
        <f t="shared" si="1"/>
        <v>2026|PHI</v>
      </c>
      <c r="D30" s="2">
        <v>2.79</v>
      </c>
      <c r="E30" s="2">
        <f>IF($D30="","",ROUND($D30*(1-PriorRegress),2))</f>
        <v>1.87</v>
      </c>
      <c r="F30" s="2" t="s">
        <v>2486</v>
      </c>
      <c r="G30" s="2" t="s">
        <v>2487</v>
      </c>
      <c r="H30" s="11">
        <v>0.4</v>
      </c>
      <c r="I30" s="11"/>
      <c r="J30" s="2" t="str">
        <f t="shared" si="2"/>
        <v/>
      </c>
      <c r="K30" s="11"/>
      <c r="L30" s="11"/>
      <c r="M30" s="11">
        <v>0.35</v>
      </c>
      <c r="N30" s="11"/>
      <c r="O30" s="2" t="str">
        <f>IF($N30="","",ROUND(($N30-AVERAGE($N$5:$N$36))*PtsPerWin,2))</f>
        <v/>
      </c>
      <c r="P30" s="11"/>
      <c r="Q30" s="11"/>
      <c r="R30" s="11">
        <v>0.25</v>
      </c>
      <c r="S30" s="2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1.87</v>
      </c>
      <c r="T30" s="2">
        <f>($E30&lt;&gt;"")+($J30&lt;&gt;"")+AND($O30&lt;&gt;"",WinTotalsMode="BLEND")*1</f>
        <v>1</v>
      </c>
    </row>
    <row r="31" ht="15.0" customHeight="1">
      <c r="A31" s="2">
        <v>2026.0</v>
      </c>
      <c r="B31" s="2" t="s">
        <v>242</v>
      </c>
      <c r="C31" s="2" t="str">
        <f t="shared" si="1"/>
        <v>2026|PIT</v>
      </c>
      <c r="D31" s="2">
        <v>1.23</v>
      </c>
      <c r="E31" s="2">
        <f>IF($D31="","",ROUND($D31*(1-PriorRegress),2))</f>
        <v>0.82</v>
      </c>
      <c r="F31" s="2" t="s">
        <v>2486</v>
      </c>
      <c r="G31" s="2" t="s">
        <v>2487</v>
      </c>
      <c r="H31" s="11">
        <v>0.4</v>
      </c>
      <c r="I31" s="11"/>
      <c r="J31" s="2" t="str">
        <f t="shared" si="2"/>
        <v/>
      </c>
      <c r="K31" s="11"/>
      <c r="L31" s="11"/>
      <c r="M31" s="11">
        <v>0.35</v>
      </c>
      <c r="N31" s="11"/>
      <c r="O31" s="2" t="str">
        <f>IF($N31="","",ROUND(($N31-AVERAGE($N$5:$N$36))*PtsPerWin,2))</f>
        <v/>
      </c>
      <c r="P31" s="11"/>
      <c r="Q31" s="11"/>
      <c r="R31" s="11">
        <v>0.25</v>
      </c>
      <c r="S31" s="2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0.82</v>
      </c>
      <c r="T31" s="2">
        <f>($E31&lt;&gt;"")+($J31&lt;&gt;"")+AND($O31&lt;&gt;"",WinTotalsMode="BLEND")*1</f>
        <v>1</v>
      </c>
    </row>
    <row r="32" ht="15.0" customHeight="1">
      <c r="A32" s="2">
        <v>2026.0</v>
      </c>
      <c r="B32" s="2" t="s">
        <v>149</v>
      </c>
      <c r="C32" s="2" t="str">
        <f t="shared" si="1"/>
        <v>2026|SEA</v>
      </c>
      <c r="D32" s="2">
        <v>7.65</v>
      </c>
      <c r="E32" s="2">
        <f>IF($D32="","",ROUND($D32*(1-PriorRegress),2))</f>
        <v>5.13</v>
      </c>
      <c r="F32" s="2" t="s">
        <v>2486</v>
      </c>
      <c r="G32" s="2" t="s">
        <v>2487</v>
      </c>
      <c r="H32" s="11">
        <v>0.4</v>
      </c>
      <c r="I32" s="11"/>
      <c r="J32" s="2" t="str">
        <f t="shared" si="2"/>
        <v/>
      </c>
      <c r="K32" s="11"/>
      <c r="L32" s="11"/>
      <c r="M32" s="11">
        <v>0.35</v>
      </c>
      <c r="N32" s="11"/>
      <c r="O32" s="2" t="str">
        <f>IF($N32="","",ROUND(($N32-AVERAGE($N$5:$N$36))*PtsPerWin,2))</f>
        <v/>
      </c>
      <c r="P32" s="11"/>
      <c r="Q32" s="11"/>
      <c r="R32" s="11">
        <v>0.25</v>
      </c>
      <c r="S32" s="2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5.13</v>
      </c>
      <c r="T32" s="2">
        <f>($E32&lt;&gt;"")+($J32&lt;&gt;"")+AND($O32&lt;&gt;"",WinTotalsMode="BLEND")*1</f>
        <v>1</v>
      </c>
    </row>
    <row r="33" ht="15.0" customHeight="1">
      <c r="A33" s="2">
        <v>2026.0</v>
      </c>
      <c r="B33" s="2" t="s">
        <v>246</v>
      </c>
      <c r="C33" s="2" t="str">
        <f t="shared" si="1"/>
        <v>2026|SF</v>
      </c>
      <c r="D33" s="2">
        <v>3.31</v>
      </c>
      <c r="E33" s="2">
        <f>IF($D33="","",ROUND($D33*(1-PriorRegress),2))</f>
        <v>2.22</v>
      </c>
      <c r="F33" s="2" t="s">
        <v>2486</v>
      </c>
      <c r="G33" s="2" t="s">
        <v>2487</v>
      </c>
      <c r="H33" s="11">
        <v>0.4</v>
      </c>
      <c r="I33" s="11"/>
      <c r="J33" s="2" t="str">
        <f t="shared" si="2"/>
        <v/>
      </c>
      <c r="K33" s="11"/>
      <c r="L33" s="11"/>
      <c r="M33" s="11">
        <v>0.35</v>
      </c>
      <c r="N33" s="11"/>
      <c r="O33" s="2" t="str">
        <f>IF($N33="","",ROUND(($N33-AVERAGE($N$5:$N$36))*PtsPerWin,2))</f>
        <v/>
      </c>
      <c r="P33" s="11"/>
      <c r="Q33" s="11"/>
      <c r="R33" s="11">
        <v>0.25</v>
      </c>
      <c r="S33" s="2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2.22</v>
      </c>
      <c r="T33" s="2">
        <f>($E33&lt;&gt;"")+($J33&lt;&gt;"")+AND($O33&lt;&gt;"",WinTotalsMode="BLEND")*1</f>
        <v>1</v>
      </c>
    </row>
    <row r="34" ht="15.0" customHeight="1">
      <c r="A34" s="2">
        <v>2026.0</v>
      </c>
      <c r="B34" s="2" t="s">
        <v>150</v>
      </c>
      <c r="C34" s="2" t="str">
        <f t="shared" si="1"/>
        <v>2026|TB</v>
      </c>
      <c r="D34" s="2">
        <v>-0.89</v>
      </c>
      <c r="E34" s="2">
        <f>IF($D34="","",ROUND($D34*(1-PriorRegress),2))</f>
        <v>-0.6</v>
      </c>
      <c r="F34" s="2" t="s">
        <v>2486</v>
      </c>
      <c r="G34" s="2" t="s">
        <v>2487</v>
      </c>
      <c r="H34" s="11">
        <v>0.4</v>
      </c>
      <c r="I34" s="11"/>
      <c r="J34" s="2" t="str">
        <f t="shared" si="2"/>
        <v/>
      </c>
      <c r="K34" s="11"/>
      <c r="L34" s="11"/>
      <c r="M34" s="11">
        <v>0.35</v>
      </c>
      <c r="N34" s="11"/>
      <c r="O34" s="2" t="str">
        <f>IF($N34="","",ROUND(($N34-AVERAGE($N$5:$N$36))*PtsPerWin,2))</f>
        <v/>
      </c>
      <c r="P34" s="11"/>
      <c r="Q34" s="11"/>
      <c r="R34" s="11">
        <v>0.25</v>
      </c>
      <c r="S34" s="2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-0.6</v>
      </c>
      <c r="T34" s="2">
        <f>($E34&lt;&gt;"")+($J34&lt;&gt;"")+AND($O34&lt;&gt;"",WinTotalsMode="BLEND")*1</f>
        <v>1</v>
      </c>
    </row>
    <row r="35" ht="15.0" customHeight="1">
      <c r="A35" s="2">
        <v>2026.0</v>
      </c>
      <c r="B35" s="2" t="s">
        <v>250</v>
      </c>
      <c r="C35" s="2" t="str">
        <f t="shared" si="1"/>
        <v>2026|TEN</v>
      </c>
      <c r="D35" s="2">
        <v>-5.87</v>
      </c>
      <c r="E35" s="2">
        <f>IF($D35="","",ROUND($D35*(1-PriorRegress),2))</f>
        <v>-3.93</v>
      </c>
      <c r="F35" s="2" t="s">
        <v>2486</v>
      </c>
      <c r="G35" s="2" t="s">
        <v>2487</v>
      </c>
      <c r="H35" s="11">
        <v>0.4</v>
      </c>
      <c r="I35" s="11"/>
      <c r="J35" s="2" t="str">
        <f t="shared" si="2"/>
        <v/>
      </c>
      <c r="K35" s="11"/>
      <c r="L35" s="11"/>
      <c r="M35" s="11">
        <v>0.35</v>
      </c>
      <c r="N35" s="11"/>
      <c r="O35" s="2" t="str">
        <f>IF($N35="","",ROUND(($N35-AVERAGE($N$5:$N$36))*PtsPerWin,2))</f>
        <v/>
      </c>
      <c r="P35" s="11"/>
      <c r="Q35" s="11"/>
      <c r="R35" s="11">
        <v>0.25</v>
      </c>
      <c r="S35" s="2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-3.93</v>
      </c>
      <c r="T35" s="2">
        <f>($E35&lt;&gt;"")+($J35&lt;&gt;"")+AND($O35&lt;&gt;"",WinTotalsMode="BLEND")*1</f>
        <v>1</v>
      </c>
    </row>
    <row r="36" ht="15.0" customHeight="1">
      <c r="A36" s="2">
        <v>2026.0</v>
      </c>
      <c r="B36" s="2" t="s">
        <v>253</v>
      </c>
      <c r="C36" s="2" t="str">
        <f t="shared" si="1"/>
        <v>2026|WAS</v>
      </c>
      <c r="D36" s="2">
        <v>-3.77</v>
      </c>
      <c r="E36" s="2">
        <f>IF($D36="","",ROUND($D36*(1-PriorRegress),2))</f>
        <v>-2.53</v>
      </c>
      <c r="F36" s="2" t="s">
        <v>2486</v>
      </c>
      <c r="G36" s="2" t="s">
        <v>2487</v>
      </c>
      <c r="H36" s="11">
        <v>0.4</v>
      </c>
      <c r="I36" s="11"/>
      <c r="J36" s="2" t="str">
        <f t="shared" si="2"/>
        <v/>
      </c>
      <c r="K36" s="11"/>
      <c r="L36" s="11"/>
      <c r="M36" s="11">
        <v>0.35</v>
      </c>
      <c r="N36" s="11"/>
      <c r="O36" s="2" t="str">
        <f>IF($N36="","",ROUND(($N36-AVERAGE($N$5:$N$36))*PtsPerWin,2))</f>
        <v/>
      </c>
      <c r="P36" s="11"/>
      <c r="Q36" s="11"/>
      <c r="R36" s="11">
        <v>0.25</v>
      </c>
      <c r="S36" s="2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-2.53</v>
      </c>
      <c r="T36" s="2">
        <f>($E36&lt;&gt;"")+($J36&lt;&gt;"")+AND($O36&lt;&gt;"",WinTotalsMode="BLEND")*1</f>
        <v>1</v>
      </c>
    </row>
    <row r="37" ht="15.75" customHeight="1">
      <c r="A37" s="2"/>
      <c r="B37" s="2"/>
      <c r="C37" s="2"/>
      <c r="D37" s="2"/>
      <c r="E37" s="2"/>
      <c r="F37" s="2"/>
      <c r="I37" s="2"/>
      <c r="N37" s="2"/>
      <c r="S37" s="2"/>
    </row>
    <row r="38" ht="15.75" customHeight="1">
      <c r="A38" s="2"/>
      <c r="B38" s="2"/>
      <c r="C38" s="2"/>
      <c r="D38" s="2"/>
      <c r="E38" s="2"/>
      <c r="F38" s="2"/>
      <c r="I38" s="2"/>
      <c r="N38" s="2"/>
      <c r="S38" s="2"/>
    </row>
    <row r="39" ht="15.75" customHeight="1">
      <c r="A39" s="2"/>
      <c r="B39" s="2"/>
      <c r="C39" s="2"/>
      <c r="D39" s="2"/>
      <c r="E39" s="2"/>
      <c r="F39" s="2"/>
      <c r="I39" s="2"/>
      <c r="N39" s="2"/>
      <c r="S39" s="2"/>
    </row>
    <row r="40" ht="15.75" customHeight="1">
      <c r="A40" s="2"/>
      <c r="B40" s="2"/>
      <c r="C40" s="2"/>
      <c r="D40" s="2"/>
      <c r="E40" s="2"/>
      <c r="F40" s="2"/>
      <c r="I40" s="2"/>
      <c r="N40" s="2"/>
      <c r="S40" s="2"/>
    </row>
    <row r="41" ht="15.75" customHeight="1">
      <c r="A41" s="2"/>
      <c r="B41" s="2"/>
      <c r="C41" s="2"/>
      <c r="D41" s="2"/>
      <c r="E41" s="2"/>
      <c r="F41" s="2"/>
      <c r="I41" s="2"/>
      <c r="N41" s="2"/>
      <c r="S41" s="2"/>
    </row>
    <row r="42" ht="15.75" customHeight="1">
      <c r="A42" s="2"/>
      <c r="B42" s="2"/>
      <c r="C42" s="2"/>
      <c r="D42" s="2"/>
      <c r="E42" s="2"/>
      <c r="F42" s="2"/>
      <c r="I42" s="2"/>
      <c r="N42" s="2"/>
      <c r="S42" s="2"/>
    </row>
    <row r="43" ht="15.75" customHeight="1">
      <c r="A43" s="2"/>
      <c r="B43" s="2"/>
      <c r="C43" s="2"/>
      <c r="D43" s="2"/>
      <c r="E43" s="2"/>
      <c r="F43" s="2"/>
      <c r="I43" s="2"/>
      <c r="N43" s="2"/>
      <c r="S43" s="2"/>
    </row>
    <row r="44" ht="15.75" customHeight="1">
      <c r="A44" s="2"/>
      <c r="B44" s="2"/>
      <c r="C44" s="2"/>
      <c r="D44" s="2"/>
      <c r="E44" s="2"/>
      <c r="F44" s="2"/>
      <c r="I44" s="2"/>
      <c r="N44" s="2"/>
      <c r="S44" s="2"/>
    </row>
    <row r="45" ht="15.75" customHeight="1">
      <c r="A45" s="2"/>
      <c r="B45" s="2"/>
      <c r="C45" s="2"/>
      <c r="D45" s="2"/>
      <c r="E45" s="2"/>
      <c r="F45" s="2"/>
      <c r="I45" s="2"/>
      <c r="N45" s="2"/>
      <c r="S45" s="2"/>
    </row>
    <row r="46" ht="15.75" customHeight="1">
      <c r="A46" s="2"/>
      <c r="B46" s="2"/>
      <c r="C46" s="2"/>
      <c r="D46" s="2"/>
      <c r="E46" s="2"/>
      <c r="F46" s="2"/>
      <c r="I46" s="2"/>
      <c r="N46" s="2"/>
      <c r="S46" s="2"/>
    </row>
    <row r="47" ht="15.75" customHeight="1">
      <c r="A47" s="2"/>
      <c r="B47" s="2"/>
      <c r="C47" s="2"/>
      <c r="D47" s="2"/>
      <c r="E47" s="2"/>
      <c r="F47" s="2"/>
      <c r="I47" s="2"/>
      <c r="N47" s="2"/>
      <c r="S47" s="2"/>
    </row>
    <row r="48" ht="15.75" customHeight="1">
      <c r="A48" s="2"/>
      <c r="B48" s="2"/>
      <c r="C48" s="2"/>
      <c r="D48" s="2"/>
      <c r="E48" s="2"/>
      <c r="F48" s="2"/>
      <c r="I48" s="2"/>
      <c r="N48" s="2"/>
      <c r="S48" s="2"/>
    </row>
    <row r="49" ht="15.75" customHeight="1">
      <c r="A49" s="2"/>
      <c r="B49" s="2"/>
      <c r="C49" s="2"/>
      <c r="D49" s="2"/>
      <c r="E49" s="2"/>
      <c r="F49" s="2"/>
      <c r="I49" s="2"/>
      <c r="N49" s="2"/>
      <c r="S49" s="2"/>
    </row>
    <row r="50" ht="15.75" customHeight="1">
      <c r="A50" s="2"/>
      <c r="B50" s="2"/>
      <c r="C50" s="2"/>
      <c r="D50" s="2"/>
      <c r="E50" s="2"/>
      <c r="F50" s="2"/>
      <c r="I50" s="2"/>
      <c r="N50" s="2"/>
      <c r="S50" s="2"/>
    </row>
    <row r="51" ht="15.75" customHeight="1">
      <c r="A51" s="2"/>
      <c r="B51" s="2"/>
      <c r="C51" s="2"/>
      <c r="D51" s="2"/>
      <c r="E51" s="2"/>
      <c r="F51" s="2"/>
      <c r="I51" s="2"/>
      <c r="N51" s="2"/>
      <c r="S51" s="2"/>
    </row>
    <row r="52" ht="15.75" customHeight="1">
      <c r="A52" s="2"/>
      <c r="B52" s="2"/>
      <c r="C52" s="2"/>
      <c r="D52" s="2"/>
      <c r="E52" s="2"/>
      <c r="F52" s="2"/>
      <c r="I52" s="2"/>
      <c r="N52" s="2"/>
      <c r="S52" s="2"/>
    </row>
    <row r="53" ht="15.75" customHeight="1">
      <c r="A53" s="2"/>
      <c r="B53" s="2"/>
      <c r="C53" s="2"/>
      <c r="D53" s="2"/>
      <c r="E53" s="2"/>
      <c r="F53" s="2"/>
      <c r="I53" s="2"/>
      <c r="N53" s="2"/>
      <c r="S53" s="2"/>
    </row>
    <row r="54" ht="15.75" customHeight="1">
      <c r="A54" s="2"/>
      <c r="B54" s="2"/>
      <c r="C54" s="2"/>
      <c r="D54" s="2"/>
      <c r="E54" s="2"/>
      <c r="F54" s="2"/>
      <c r="I54" s="2"/>
      <c r="N54" s="2"/>
      <c r="S54" s="2"/>
    </row>
    <row r="55" ht="15.75" customHeight="1">
      <c r="A55" s="2"/>
      <c r="B55" s="2"/>
      <c r="C55" s="2"/>
      <c r="D55" s="2"/>
      <c r="E55" s="2"/>
      <c r="F55" s="2"/>
      <c r="I55" s="2"/>
      <c r="N55" s="2"/>
      <c r="S55" s="2"/>
    </row>
    <row r="56" ht="15.75" customHeight="1">
      <c r="A56" s="2"/>
      <c r="B56" s="2"/>
      <c r="C56" s="2"/>
      <c r="D56" s="2"/>
      <c r="E56" s="2"/>
      <c r="F56" s="2"/>
      <c r="I56" s="2"/>
      <c r="N56" s="2"/>
      <c r="S56" s="2"/>
    </row>
    <row r="57" ht="15.75" customHeight="1">
      <c r="A57" s="2"/>
      <c r="B57" s="2"/>
      <c r="C57" s="2"/>
      <c r="D57" s="2"/>
      <c r="E57" s="2"/>
      <c r="F57" s="2"/>
      <c r="I57" s="2"/>
      <c r="N57" s="2"/>
      <c r="S57" s="2"/>
    </row>
    <row r="58" ht="15.75" customHeight="1">
      <c r="A58" s="2"/>
      <c r="B58" s="2"/>
      <c r="C58" s="2"/>
      <c r="D58" s="2"/>
      <c r="E58" s="2"/>
      <c r="F58" s="2"/>
      <c r="I58" s="2"/>
      <c r="N58" s="2"/>
      <c r="S58" s="2"/>
    </row>
    <row r="59" ht="15.75" customHeight="1">
      <c r="A59" s="2"/>
      <c r="B59" s="2"/>
      <c r="C59" s="2"/>
      <c r="D59" s="2"/>
      <c r="E59" s="2"/>
      <c r="F59" s="2"/>
      <c r="I59" s="2"/>
      <c r="N59" s="2"/>
      <c r="S59" s="2"/>
    </row>
    <row r="60" ht="15.75" customHeight="1">
      <c r="A60" s="2"/>
      <c r="B60" s="2"/>
      <c r="C60" s="2"/>
      <c r="D60" s="2"/>
      <c r="E60" s="2"/>
      <c r="F60" s="2"/>
      <c r="I60" s="2"/>
      <c r="N60" s="2"/>
      <c r="S60" s="2"/>
    </row>
    <row r="61" ht="15.75" customHeight="1">
      <c r="A61" s="2"/>
      <c r="B61" s="2"/>
      <c r="C61" s="2"/>
      <c r="D61" s="2"/>
      <c r="E61" s="2"/>
      <c r="F61" s="2"/>
      <c r="I61" s="2"/>
      <c r="N61" s="2"/>
      <c r="S61" s="2"/>
    </row>
    <row r="62" ht="15.75" customHeight="1">
      <c r="A62" s="2"/>
      <c r="B62" s="2"/>
      <c r="C62" s="2"/>
      <c r="D62" s="2"/>
      <c r="E62" s="2"/>
      <c r="F62" s="2"/>
      <c r="I62" s="2"/>
      <c r="N62" s="2"/>
      <c r="S62" s="2"/>
    </row>
    <row r="63" ht="15.75" customHeight="1">
      <c r="A63" s="2"/>
      <c r="B63" s="2"/>
      <c r="C63" s="2"/>
      <c r="D63" s="2"/>
      <c r="E63" s="2"/>
      <c r="F63" s="2"/>
      <c r="I63" s="2"/>
      <c r="N63" s="2"/>
      <c r="S63" s="2"/>
    </row>
    <row r="64" ht="15.75" customHeight="1">
      <c r="A64" s="2"/>
      <c r="B64" s="2"/>
      <c r="C64" s="2"/>
      <c r="D64" s="2"/>
      <c r="E64" s="2"/>
      <c r="F64" s="2"/>
      <c r="I64" s="2"/>
      <c r="N64" s="2"/>
      <c r="S64" s="2"/>
    </row>
    <row r="65" ht="15.75" customHeight="1">
      <c r="A65" s="2"/>
      <c r="B65" s="2"/>
      <c r="C65" s="2"/>
      <c r="D65" s="2"/>
      <c r="E65" s="2"/>
      <c r="F65" s="2"/>
      <c r="I65" s="2"/>
      <c r="N65" s="2"/>
      <c r="S65" s="2"/>
    </row>
    <row r="66" ht="15.75" customHeight="1">
      <c r="A66" s="2"/>
      <c r="B66" s="2"/>
      <c r="C66" s="2"/>
      <c r="D66" s="2"/>
      <c r="E66" s="2"/>
      <c r="F66" s="2"/>
      <c r="I66" s="2"/>
      <c r="N66" s="2"/>
      <c r="S66" s="2"/>
    </row>
    <row r="67" ht="15.75" customHeight="1">
      <c r="A67" s="2"/>
      <c r="B67" s="2"/>
      <c r="C67" s="2"/>
      <c r="D67" s="2"/>
      <c r="E67" s="2"/>
      <c r="F67" s="2"/>
      <c r="I67" s="2"/>
      <c r="N67" s="2"/>
      <c r="S67" s="2"/>
    </row>
    <row r="68" ht="15.75" customHeight="1">
      <c r="A68" s="2"/>
      <c r="B68" s="2"/>
      <c r="C68" s="2"/>
      <c r="D68" s="2"/>
      <c r="E68" s="2"/>
      <c r="F68" s="2"/>
      <c r="I68" s="2"/>
      <c r="N68" s="2"/>
      <c r="S68" s="2"/>
    </row>
    <row r="69" ht="15.75" customHeight="1">
      <c r="A69" s="2"/>
      <c r="B69" s="2"/>
      <c r="C69" s="2"/>
      <c r="D69" s="2"/>
      <c r="E69" s="2"/>
      <c r="F69" s="2"/>
      <c r="I69" s="2"/>
      <c r="N69" s="2"/>
      <c r="S69" s="2"/>
    </row>
    <row r="70" ht="15.75" customHeight="1">
      <c r="A70" s="2"/>
      <c r="B70" s="2"/>
      <c r="C70" s="2"/>
      <c r="D70" s="2"/>
      <c r="E70" s="2"/>
      <c r="F70" s="2"/>
      <c r="I70" s="2"/>
      <c r="N70" s="2"/>
      <c r="S70" s="2"/>
    </row>
    <row r="71" ht="15.75" customHeight="1">
      <c r="A71" s="2"/>
      <c r="B71" s="2"/>
      <c r="C71" s="2"/>
      <c r="D71" s="2"/>
      <c r="E71" s="2"/>
      <c r="F71" s="2"/>
      <c r="I71" s="2"/>
      <c r="N71" s="2"/>
      <c r="S71" s="2"/>
    </row>
    <row r="72" ht="15.75" customHeight="1">
      <c r="A72" s="2"/>
      <c r="B72" s="2"/>
      <c r="C72" s="2"/>
      <c r="D72" s="2"/>
      <c r="E72" s="2"/>
      <c r="F72" s="2"/>
      <c r="I72" s="2"/>
      <c r="N72" s="2"/>
      <c r="S72" s="2"/>
    </row>
    <row r="73" ht="15.75" customHeight="1">
      <c r="A73" s="2"/>
      <c r="B73" s="2"/>
      <c r="C73" s="2"/>
      <c r="D73" s="2"/>
      <c r="E73" s="2"/>
      <c r="F73" s="2"/>
      <c r="I73" s="2"/>
      <c r="N73" s="2"/>
      <c r="S73" s="2"/>
    </row>
    <row r="74" ht="15.75" customHeight="1">
      <c r="A74" s="2"/>
      <c r="B74" s="2"/>
      <c r="C74" s="2"/>
      <c r="D74" s="2"/>
      <c r="E74" s="2"/>
      <c r="F74" s="2"/>
      <c r="I74" s="2"/>
      <c r="N74" s="2"/>
      <c r="S74" s="2"/>
    </row>
    <row r="75" ht="15.75" customHeight="1">
      <c r="A75" s="2"/>
      <c r="B75" s="2"/>
      <c r="C75" s="2"/>
      <c r="D75" s="2"/>
      <c r="E75" s="2"/>
      <c r="F75" s="2"/>
      <c r="I75" s="2"/>
      <c r="N75" s="2"/>
      <c r="S75" s="2"/>
    </row>
    <row r="76" ht="15.75" customHeight="1">
      <c r="A76" s="2"/>
      <c r="B76" s="2"/>
      <c r="C76" s="2"/>
      <c r="D76" s="2"/>
      <c r="E76" s="2"/>
      <c r="F76" s="2"/>
      <c r="I76" s="2"/>
      <c r="N76" s="2"/>
      <c r="S76" s="2"/>
    </row>
    <row r="77" ht="15.75" customHeight="1">
      <c r="A77" s="2"/>
      <c r="B77" s="2"/>
      <c r="C77" s="2"/>
      <c r="D77" s="2"/>
      <c r="E77" s="2"/>
      <c r="F77" s="2"/>
      <c r="I77" s="2"/>
      <c r="N77" s="2"/>
      <c r="S77" s="2"/>
    </row>
    <row r="78" ht="15.75" customHeight="1">
      <c r="A78" s="2"/>
      <c r="B78" s="2"/>
      <c r="C78" s="2"/>
      <c r="D78" s="2"/>
      <c r="E78" s="2"/>
      <c r="F78" s="2"/>
      <c r="I78" s="2"/>
      <c r="N78" s="2"/>
      <c r="S78" s="2"/>
    </row>
    <row r="79" ht="15.75" customHeight="1">
      <c r="A79" s="2"/>
      <c r="B79" s="2"/>
      <c r="C79" s="2"/>
      <c r="D79" s="2"/>
      <c r="E79" s="2"/>
      <c r="F79" s="2"/>
      <c r="I79" s="2"/>
      <c r="N79" s="2"/>
      <c r="S79" s="2"/>
    </row>
    <row r="80" ht="15.75" customHeight="1">
      <c r="A80" s="2"/>
      <c r="B80" s="2"/>
      <c r="C80" s="2"/>
      <c r="D80" s="2"/>
      <c r="E80" s="2"/>
      <c r="F80" s="2"/>
      <c r="I80" s="2"/>
      <c r="N80" s="2"/>
      <c r="S80" s="2"/>
    </row>
    <row r="81" ht="15.75" customHeight="1">
      <c r="A81" s="2"/>
      <c r="B81" s="2"/>
      <c r="C81" s="2"/>
      <c r="D81" s="2"/>
      <c r="E81" s="2"/>
      <c r="F81" s="2"/>
      <c r="I81" s="2"/>
      <c r="N81" s="2"/>
      <c r="S81" s="2"/>
    </row>
    <row r="82" ht="15.75" customHeight="1">
      <c r="A82" s="2"/>
      <c r="B82" s="2"/>
      <c r="C82" s="2"/>
      <c r="D82" s="2"/>
      <c r="E82" s="2"/>
      <c r="F82" s="2"/>
      <c r="I82" s="2"/>
      <c r="N82" s="2"/>
      <c r="S82" s="2"/>
    </row>
    <row r="83" ht="15.75" customHeight="1">
      <c r="A83" s="2"/>
      <c r="B83" s="2"/>
      <c r="C83" s="2"/>
      <c r="D83" s="2"/>
      <c r="E83" s="2"/>
      <c r="F83" s="2"/>
      <c r="I83" s="2"/>
      <c r="N83" s="2"/>
      <c r="S83" s="2"/>
    </row>
    <row r="84" ht="15.75" customHeight="1">
      <c r="A84" s="2"/>
      <c r="B84" s="2"/>
      <c r="C84" s="2"/>
      <c r="D84" s="2"/>
      <c r="E84" s="2"/>
      <c r="F84" s="2"/>
      <c r="I84" s="2"/>
      <c r="N84" s="2"/>
      <c r="S84" s="2"/>
    </row>
    <row r="85" ht="15.75" customHeight="1">
      <c r="A85" s="2"/>
      <c r="B85" s="2"/>
      <c r="C85" s="2"/>
      <c r="D85" s="2"/>
      <c r="E85" s="2"/>
      <c r="F85" s="2"/>
      <c r="I85" s="2"/>
      <c r="N85" s="2"/>
      <c r="S85" s="2"/>
    </row>
    <row r="86" ht="15.75" customHeight="1">
      <c r="A86" s="2"/>
      <c r="B86" s="2"/>
      <c r="C86" s="2"/>
      <c r="D86" s="2"/>
      <c r="E86" s="2"/>
      <c r="F86" s="2"/>
      <c r="I86" s="2"/>
      <c r="N86" s="2"/>
      <c r="S86" s="2"/>
    </row>
    <row r="87" ht="15.75" customHeight="1">
      <c r="A87" s="2"/>
      <c r="B87" s="2"/>
      <c r="C87" s="2"/>
      <c r="D87" s="2"/>
      <c r="E87" s="2"/>
      <c r="F87" s="2"/>
      <c r="I87" s="2"/>
      <c r="N87" s="2"/>
      <c r="S87" s="2"/>
    </row>
    <row r="88" ht="15.75" customHeight="1">
      <c r="A88" s="2"/>
      <c r="B88" s="2"/>
      <c r="C88" s="2"/>
      <c r="D88" s="2"/>
      <c r="E88" s="2"/>
      <c r="F88" s="2"/>
      <c r="I88" s="2"/>
      <c r="N88" s="2"/>
      <c r="S88" s="2"/>
    </row>
    <row r="89" ht="15.75" customHeight="1">
      <c r="A89" s="2"/>
      <c r="B89" s="2"/>
      <c r="C89" s="2"/>
      <c r="D89" s="2"/>
      <c r="E89" s="2"/>
      <c r="F89" s="2"/>
      <c r="I89" s="2"/>
      <c r="N89" s="2"/>
      <c r="S89" s="2"/>
    </row>
    <row r="90" ht="15.75" customHeight="1">
      <c r="A90" s="2"/>
      <c r="B90" s="2"/>
      <c r="C90" s="2"/>
      <c r="D90" s="2"/>
      <c r="E90" s="2"/>
      <c r="F90" s="2"/>
      <c r="I90" s="2"/>
      <c r="N90" s="2"/>
      <c r="S90" s="2"/>
    </row>
    <row r="91" ht="15.75" customHeight="1">
      <c r="A91" s="2"/>
      <c r="B91" s="2"/>
      <c r="C91" s="2"/>
      <c r="D91" s="2"/>
      <c r="E91" s="2"/>
      <c r="F91" s="2"/>
      <c r="I91" s="2"/>
      <c r="N91" s="2"/>
      <c r="S91" s="2"/>
    </row>
    <row r="92" ht="15.75" customHeight="1">
      <c r="A92" s="2"/>
      <c r="B92" s="2"/>
      <c r="C92" s="2"/>
      <c r="D92" s="2"/>
      <c r="E92" s="2"/>
      <c r="F92" s="2"/>
      <c r="I92" s="2"/>
      <c r="N92" s="2"/>
      <c r="S92" s="2"/>
    </row>
    <row r="93" ht="15.75" customHeight="1">
      <c r="A93" s="2"/>
      <c r="B93" s="2"/>
      <c r="C93" s="2"/>
      <c r="D93" s="2"/>
      <c r="E93" s="2"/>
      <c r="F93" s="2"/>
      <c r="I93" s="2"/>
      <c r="N93" s="2"/>
      <c r="S93" s="2"/>
    </row>
    <row r="94" ht="15.75" customHeight="1">
      <c r="A94" s="2"/>
      <c r="B94" s="2"/>
      <c r="C94" s="2"/>
      <c r="D94" s="2"/>
      <c r="E94" s="2"/>
      <c r="F94" s="2"/>
      <c r="I94" s="2"/>
      <c r="N94" s="2"/>
      <c r="S94" s="2"/>
    </row>
    <row r="95" ht="15.75" customHeight="1">
      <c r="A95" s="2"/>
      <c r="B95" s="2"/>
      <c r="C95" s="2"/>
      <c r="D95" s="2"/>
      <c r="E95" s="2"/>
      <c r="F95" s="2"/>
      <c r="I95" s="2"/>
      <c r="N95" s="2"/>
      <c r="S95" s="2"/>
    </row>
    <row r="96" ht="15.75" customHeight="1">
      <c r="A96" s="2"/>
      <c r="B96" s="2"/>
      <c r="C96" s="2"/>
      <c r="D96" s="2"/>
      <c r="E96" s="2"/>
      <c r="F96" s="2"/>
      <c r="I96" s="2"/>
      <c r="N96" s="2"/>
      <c r="S96" s="2"/>
    </row>
    <row r="97" ht="15.75" customHeight="1">
      <c r="A97" s="2"/>
      <c r="B97" s="2"/>
      <c r="C97" s="2"/>
      <c r="D97" s="2"/>
      <c r="E97" s="2"/>
      <c r="F97" s="2"/>
      <c r="I97" s="2"/>
      <c r="N97" s="2"/>
      <c r="S97" s="2"/>
    </row>
    <row r="98" ht="15.75" customHeight="1">
      <c r="A98" s="2"/>
      <c r="B98" s="2"/>
      <c r="C98" s="2"/>
      <c r="D98" s="2"/>
      <c r="E98" s="2"/>
      <c r="F98" s="2"/>
      <c r="I98" s="2"/>
      <c r="N98" s="2"/>
      <c r="S98" s="2"/>
    </row>
    <row r="99" ht="15.75" customHeight="1">
      <c r="A99" s="2"/>
      <c r="B99" s="2"/>
      <c r="C99" s="2"/>
      <c r="D99" s="2"/>
      <c r="E99" s="2"/>
      <c r="F99" s="2"/>
      <c r="I99" s="2"/>
      <c r="N99" s="2"/>
      <c r="S99" s="2"/>
    </row>
    <row r="100" ht="15.75" customHeight="1">
      <c r="A100" s="2"/>
      <c r="B100" s="2"/>
      <c r="C100" s="2"/>
      <c r="D100" s="2"/>
      <c r="E100" s="2"/>
      <c r="F100" s="2"/>
      <c r="I100" s="2"/>
      <c r="N100" s="2"/>
      <c r="S100" s="2"/>
    </row>
    <row r="101" ht="15.75" customHeight="1">
      <c r="A101" s="2"/>
      <c r="B101" s="2"/>
      <c r="C101" s="2"/>
      <c r="D101" s="2"/>
      <c r="E101" s="2"/>
      <c r="F101" s="2"/>
      <c r="I101" s="2"/>
      <c r="N101" s="2"/>
      <c r="S101" s="2"/>
    </row>
    <row r="102" ht="15.75" customHeight="1">
      <c r="A102" s="2"/>
      <c r="B102" s="2"/>
      <c r="C102" s="2"/>
      <c r="D102" s="2"/>
      <c r="E102" s="2"/>
      <c r="F102" s="2"/>
      <c r="I102" s="2"/>
      <c r="N102" s="2"/>
      <c r="S102" s="2"/>
    </row>
    <row r="103" ht="15.75" customHeight="1">
      <c r="A103" s="2"/>
      <c r="B103" s="2"/>
      <c r="C103" s="2"/>
      <c r="D103" s="2"/>
      <c r="E103" s="2"/>
      <c r="F103" s="2"/>
      <c r="I103" s="2"/>
      <c r="N103" s="2"/>
      <c r="S103" s="2"/>
    </row>
    <row r="104" ht="15.75" customHeight="1">
      <c r="A104" s="2"/>
      <c r="B104" s="2"/>
      <c r="C104" s="2"/>
      <c r="D104" s="2"/>
      <c r="E104" s="2"/>
      <c r="F104" s="2"/>
      <c r="I104" s="2"/>
      <c r="N104" s="2"/>
      <c r="S104" s="2"/>
    </row>
    <row r="105" ht="15.75" customHeight="1">
      <c r="A105" s="2"/>
      <c r="B105" s="2"/>
      <c r="C105" s="2"/>
      <c r="D105" s="2"/>
      <c r="E105" s="2"/>
      <c r="F105" s="2"/>
      <c r="I105" s="2"/>
      <c r="N105" s="2"/>
      <c r="S105" s="2"/>
    </row>
    <row r="106" ht="15.75" customHeight="1">
      <c r="A106" s="2"/>
      <c r="B106" s="2"/>
      <c r="C106" s="2"/>
      <c r="D106" s="2"/>
      <c r="E106" s="2"/>
      <c r="F106" s="2"/>
      <c r="I106" s="2"/>
      <c r="N106" s="2"/>
      <c r="S106" s="2"/>
    </row>
    <row r="107" ht="15.75" customHeight="1">
      <c r="A107" s="2"/>
      <c r="B107" s="2"/>
      <c r="C107" s="2"/>
      <c r="D107" s="2"/>
      <c r="E107" s="2"/>
      <c r="F107" s="2"/>
      <c r="I107" s="2"/>
      <c r="N107" s="2"/>
      <c r="S107" s="2"/>
    </row>
    <row r="108" ht="15.75" customHeight="1">
      <c r="A108" s="2"/>
      <c r="B108" s="2"/>
      <c r="C108" s="2"/>
      <c r="D108" s="2"/>
      <c r="E108" s="2"/>
      <c r="F108" s="2"/>
      <c r="I108" s="2"/>
      <c r="N108" s="2"/>
      <c r="S108" s="2"/>
    </row>
    <row r="109" ht="15.75" customHeight="1">
      <c r="A109" s="2"/>
      <c r="B109" s="2"/>
      <c r="C109" s="2"/>
      <c r="D109" s="2"/>
      <c r="E109" s="2"/>
      <c r="F109" s="2"/>
      <c r="I109" s="2"/>
      <c r="N109" s="2"/>
      <c r="S109" s="2"/>
    </row>
    <row r="110" ht="15.75" customHeight="1">
      <c r="A110" s="2"/>
      <c r="B110" s="2"/>
      <c r="C110" s="2"/>
      <c r="D110" s="2"/>
      <c r="E110" s="2"/>
      <c r="F110" s="2"/>
      <c r="I110" s="2"/>
      <c r="N110" s="2"/>
      <c r="S110" s="2"/>
    </row>
    <row r="111" ht="15.75" customHeight="1">
      <c r="A111" s="2"/>
      <c r="B111" s="2"/>
      <c r="C111" s="2"/>
      <c r="D111" s="2"/>
      <c r="E111" s="2"/>
      <c r="F111" s="2"/>
      <c r="I111" s="2"/>
      <c r="N111" s="2"/>
      <c r="S111" s="2"/>
    </row>
    <row r="112" ht="15.75" customHeight="1">
      <c r="A112" s="2"/>
      <c r="B112" s="2"/>
      <c r="C112" s="2"/>
      <c r="D112" s="2"/>
      <c r="E112" s="2"/>
      <c r="F112" s="2"/>
      <c r="I112" s="2"/>
      <c r="N112" s="2"/>
      <c r="S112" s="2"/>
    </row>
    <row r="113" ht="15.75" customHeight="1">
      <c r="A113" s="2"/>
      <c r="B113" s="2"/>
      <c r="C113" s="2"/>
      <c r="D113" s="2"/>
      <c r="E113" s="2"/>
      <c r="F113" s="2"/>
      <c r="I113" s="2"/>
      <c r="N113" s="2"/>
      <c r="S113" s="2"/>
    </row>
    <row r="114" ht="15.75" customHeight="1">
      <c r="A114" s="2"/>
      <c r="B114" s="2"/>
      <c r="C114" s="2"/>
      <c r="D114" s="2"/>
      <c r="E114" s="2"/>
      <c r="F114" s="2"/>
      <c r="I114" s="2"/>
      <c r="N114" s="2"/>
      <c r="S114" s="2"/>
    </row>
    <row r="115" ht="15.75" customHeight="1">
      <c r="A115" s="2"/>
      <c r="B115" s="2"/>
      <c r="C115" s="2"/>
      <c r="D115" s="2"/>
      <c r="E115" s="2"/>
      <c r="F115" s="2"/>
      <c r="I115" s="2"/>
      <c r="N115" s="2"/>
      <c r="S115" s="2"/>
    </row>
    <row r="116" ht="15.75" customHeight="1">
      <c r="A116" s="2"/>
      <c r="B116" s="2"/>
      <c r="C116" s="2"/>
      <c r="D116" s="2"/>
      <c r="E116" s="2"/>
      <c r="F116" s="2"/>
      <c r="I116" s="2"/>
      <c r="N116" s="2"/>
      <c r="S116" s="2"/>
    </row>
    <row r="117" ht="15.75" customHeight="1">
      <c r="A117" s="2"/>
      <c r="B117" s="2"/>
      <c r="C117" s="2"/>
      <c r="D117" s="2"/>
      <c r="E117" s="2"/>
      <c r="F117" s="2"/>
      <c r="I117" s="2"/>
      <c r="N117" s="2"/>
      <c r="S117" s="2"/>
    </row>
    <row r="118" ht="15.75" customHeight="1">
      <c r="A118" s="2"/>
      <c r="B118" s="2"/>
      <c r="C118" s="2"/>
      <c r="D118" s="2"/>
      <c r="E118" s="2"/>
      <c r="F118" s="2"/>
      <c r="I118" s="2"/>
      <c r="N118" s="2"/>
      <c r="S118" s="2"/>
    </row>
    <row r="119" ht="15.75" customHeight="1">
      <c r="A119" s="2"/>
      <c r="B119" s="2"/>
      <c r="C119" s="2"/>
      <c r="D119" s="2"/>
      <c r="E119" s="2"/>
      <c r="F119" s="2"/>
      <c r="I119" s="2"/>
      <c r="N119" s="2"/>
      <c r="S119" s="2"/>
    </row>
    <row r="120" ht="15.75" customHeight="1">
      <c r="A120" s="2"/>
      <c r="B120" s="2"/>
      <c r="C120" s="2"/>
      <c r="D120" s="2"/>
      <c r="E120" s="2"/>
      <c r="F120" s="2"/>
      <c r="I120" s="2"/>
      <c r="N120" s="2"/>
      <c r="S120" s="2"/>
    </row>
    <row r="121" ht="15.75" customHeight="1">
      <c r="A121" s="2"/>
      <c r="B121" s="2"/>
      <c r="C121" s="2"/>
      <c r="D121" s="2"/>
      <c r="E121" s="2"/>
      <c r="F121" s="2"/>
      <c r="I121" s="2"/>
      <c r="N121" s="2"/>
      <c r="S121" s="2"/>
    </row>
    <row r="122" ht="15.75" customHeight="1">
      <c r="A122" s="2"/>
      <c r="B122" s="2"/>
      <c r="C122" s="2"/>
      <c r="D122" s="2"/>
      <c r="E122" s="2"/>
      <c r="F122" s="2"/>
      <c r="I122" s="2"/>
      <c r="N122" s="2"/>
      <c r="S122" s="2"/>
    </row>
    <row r="123" ht="15.75" customHeight="1">
      <c r="A123" s="2"/>
      <c r="B123" s="2"/>
      <c r="C123" s="2"/>
      <c r="D123" s="2"/>
      <c r="E123" s="2"/>
      <c r="F123" s="2"/>
      <c r="I123" s="2"/>
      <c r="N123" s="2"/>
      <c r="S123" s="2"/>
    </row>
    <row r="124" ht="15.75" customHeight="1">
      <c r="A124" s="2"/>
      <c r="B124" s="2"/>
      <c r="C124" s="2"/>
      <c r="D124" s="2"/>
      <c r="E124" s="2"/>
      <c r="F124" s="2"/>
      <c r="I124" s="2"/>
      <c r="N124" s="2"/>
      <c r="S124" s="2"/>
    </row>
    <row r="125" ht="15.75" customHeight="1">
      <c r="A125" s="2"/>
      <c r="B125" s="2"/>
      <c r="C125" s="2"/>
      <c r="D125" s="2"/>
      <c r="E125" s="2"/>
      <c r="F125" s="2"/>
      <c r="I125" s="2"/>
      <c r="N125" s="2"/>
      <c r="S125" s="2"/>
    </row>
    <row r="126" ht="15.75" customHeight="1">
      <c r="A126" s="2"/>
      <c r="B126" s="2"/>
      <c r="C126" s="2"/>
      <c r="D126" s="2"/>
      <c r="E126" s="2"/>
      <c r="F126" s="2"/>
      <c r="I126" s="2"/>
      <c r="N126" s="2"/>
      <c r="S126" s="2"/>
    </row>
    <row r="127" ht="15.75" customHeight="1">
      <c r="A127" s="2"/>
      <c r="B127" s="2"/>
      <c r="C127" s="2"/>
      <c r="D127" s="2"/>
      <c r="E127" s="2"/>
      <c r="F127" s="2"/>
      <c r="I127" s="2"/>
      <c r="N127" s="2"/>
      <c r="S127" s="2"/>
    </row>
    <row r="128" ht="15.75" customHeight="1">
      <c r="A128" s="2"/>
      <c r="B128" s="2"/>
      <c r="C128" s="2"/>
      <c r="D128" s="2"/>
      <c r="E128" s="2"/>
      <c r="F128" s="2"/>
      <c r="I128" s="2"/>
      <c r="N128" s="2"/>
      <c r="S128" s="2"/>
    </row>
    <row r="129" ht="15.75" customHeight="1">
      <c r="A129" s="2"/>
      <c r="B129" s="2"/>
      <c r="C129" s="2"/>
      <c r="D129" s="2"/>
      <c r="E129" s="2"/>
      <c r="F129" s="2"/>
      <c r="I129" s="2"/>
      <c r="N129" s="2"/>
      <c r="S129" s="2"/>
    </row>
    <row r="130" ht="15.75" customHeight="1">
      <c r="A130" s="2"/>
      <c r="B130" s="2"/>
      <c r="C130" s="2"/>
      <c r="D130" s="2"/>
      <c r="E130" s="2"/>
      <c r="F130" s="2"/>
      <c r="I130" s="2"/>
      <c r="N130" s="2"/>
      <c r="S130" s="2"/>
    </row>
    <row r="131" ht="15.75" customHeight="1">
      <c r="A131" s="2"/>
      <c r="B131" s="2"/>
      <c r="C131" s="2"/>
      <c r="D131" s="2"/>
      <c r="E131" s="2"/>
      <c r="F131" s="2"/>
      <c r="I131" s="2"/>
      <c r="N131" s="2"/>
      <c r="S131" s="2"/>
    </row>
    <row r="132" ht="15.75" customHeight="1">
      <c r="A132" s="2"/>
      <c r="B132" s="2"/>
      <c r="C132" s="2"/>
      <c r="D132" s="2"/>
      <c r="E132" s="2"/>
      <c r="F132" s="2"/>
      <c r="I132" s="2"/>
      <c r="N132" s="2"/>
      <c r="S132" s="2"/>
    </row>
    <row r="133" ht="15.75" customHeight="1">
      <c r="A133" s="2"/>
      <c r="B133" s="2"/>
      <c r="C133" s="2"/>
      <c r="D133" s="2"/>
      <c r="E133" s="2"/>
      <c r="F133" s="2"/>
      <c r="I133" s="2"/>
      <c r="N133" s="2"/>
      <c r="S133" s="2"/>
    </row>
    <row r="134" ht="15.75" customHeight="1">
      <c r="A134" s="2"/>
      <c r="B134" s="2"/>
      <c r="C134" s="2"/>
      <c r="D134" s="2"/>
      <c r="E134" s="2"/>
      <c r="F134" s="2"/>
      <c r="I134" s="2"/>
      <c r="N134" s="2"/>
      <c r="S134" s="2"/>
    </row>
    <row r="135" ht="15.75" customHeight="1">
      <c r="A135" s="2"/>
      <c r="B135" s="2"/>
      <c r="C135" s="2"/>
      <c r="D135" s="2"/>
      <c r="E135" s="2"/>
      <c r="F135" s="2"/>
      <c r="I135" s="2"/>
      <c r="N135" s="2"/>
      <c r="S135" s="2"/>
    </row>
    <row r="136" ht="15.75" customHeight="1">
      <c r="A136" s="2"/>
      <c r="B136" s="2"/>
      <c r="C136" s="2"/>
      <c r="D136" s="2"/>
      <c r="E136" s="2"/>
      <c r="F136" s="2"/>
      <c r="I136" s="2"/>
      <c r="N136" s="2"/>
      <c r="S136" s="2"/>
    </row>
    <row r="137" ht="15.75" customHeight="1">
      <c r="A137" s="2"/>
      <c r="B137" s="2"/>
      <c r="C137" s="2"/>
      <c r="D137" s="2"/>
      <c r="E137" s="2"/>
      <c r="F137" s="2"/>
      <c r="I137" s="2"/>
      <c r="N137" s="2"/>
      <c r="S137" s="2"/>
    </row>
    <row r="138" ht="15.75" customHeight="1">
      <c r="A138" s="2"/>
      <c r="B138" s="2"/>
      <c r="C138" s="2"/>
      <c r="D138" s="2"/>
      <c r="E138" s="2"/>
      <c r="F138" s="2"/>
      <c r="I138" s="2"/>
      <c r="N138" s="2"/>
      <c r="S138" s="2"/>
    </row>
    <row r="139" ht="15.75" customHeight="1">
      <c r="A139" s="2"/>
      <c r="B139" s="2"/>
      <c r="C139" s="2"/>
      <c r="D139" s="2"/>
      <c r="E139" s="2"/>
      <c r="F139" s="2"/>
      <c r="I139" s="2"/>
      <c r="N139" s="2"/>
      <c r="S139" s="2"/>
    </row>
    <row r="140" ht="15.75" customHeight="1">
      <c r="A140" s="2"/>
      <c r="B140" s="2"/>
      <c r="C140" s="2"/>
      <c r="D140" s="2"/>
      <c r="E140" s="2"/>
      <c r="F140" s="2"/>
      <c r="I140" s="2"/>
      <c r="N140" s="2"/>
      <c r="S140" s="2"/>
    </row>
    <row r="141" ht="15.75" customHeight="1">
      <c r="A141" s="2"/>
      <c r="B141" s="2"/>
      <c r="C141" s="2"/>
      <c r="D141" s="2"/>
      <c r="E141" s="2"/>
      <c r="F141" s="2"/>
      <c r="I141" s="2"/>
      <c r="N141" s="2"/>
      <c r="S141" s="2"/>
    </row>
    <row r="142" ht="15.75" customHeight="1">
      <c r="A142" s="2"/>
      <c r="B142" s="2"/>
      <c r="C142" s="2"/>
      <c r="D142" s="2"/>
      <c r="E142" s="2"/>
      <c r="F142" s="2"/>
      <c r="I142" s="2"/>
      <c r="N142" s="2"/>
      <c r="S142" s="2"/>
    </row>
    <row r="143" ht="15.75" customHeight="1">
      <c r="A143" s="2"/>
      <c r="B143" s="2"/>
      <c r="C143" s="2"/>
      <c r="D143" s="2"/>
      <c r="E143" s="2"/>
      <c r="F143" s="2"/>
      <c r="I143" s="2"/>
      <c r="N143" s="2"/>
      <c r="S143" s="2"/>
    </row>
    <row r="144" ht="15.75" customHeight="1">
      <c r="A144" s="2"/>
      <c r="B144" s="2"/>
      <c r="C144" s="2"/>
      <c r="D144" s="2"/>
      <c r="E144" s="2"/>
      <c r="F144" s="2"/>
      <c r="I144" s="2"/>
      <c r="N144" s="2"/>
      <c r="S144" s="2"/>
    </row>
    <row r="145" ht="15.75" customHeight="1">
      <c r="A145" s="2"/>
      <c r="B145" s="2"/>
      <c r="C145" s="2"/>
      <c r="D145" s="2"/>
      <c r="E145" s="2"/>
      <c r="F145" s="2"/>
      <c r="I145" s="2"/>
      <c r="N145" s="2"/>
      <c r="S145" s="2"/>
    </row>
    <row r="146" ht="15.75" customHeight="1">
      <c r="A146" s="2"/>
      <c r="B146" s="2"/>
      <c r="C146" s="2"/>
      <c r="D146" s="2"/>
      <c r="E146" s="2"/>
      <c r="F146" s="2"/>
      <c r="I146" s="2"/>
      <c r="N146" s="2"/>
      <c r="S146" s="2"/>
    </row>
    <row r="147" ht="15.75" customHeight="1">
      <c r="A147" s="2"/>
      <c r="B147" s="2"/>
      <c r="C147" s="2"/>
      <c r="D147" s="2"/>
      <c r="E147" s="2"/>
      <c r="F147" s="2"/>
      <c r="I147" s="2"/>
      <c r="N147" s="2"/>
      <c r="S147" s="2"/>
    </row>
    <row r="148" ht="15.75" customHeight="1">
      <c r="A148" s="2"/>
      <c r="B148" s="2"/>
      <c r="C148" s="2"/>
      <c r="D148" s="2"/>
      <c r="E148" s="2"/>
      <c r="F148" s="2"/>
      <c r="I148" s="2"/>
      <c r="N148" s="2"/>
      <c r="S148" s="2"/>
    </row>
    <row r="149" ht="15.75" customHeight="1">
      <c r="A149" s="2"/>
      <c r="B149" s="2"/>
      <c r="C149" s="2"/>
      <c r="D149" s="2"/>
      <c r="E149" s="2"/>
      <c r="F149" s="2"/>
      <c r="I149" s="2"/>
      <c r="N149" s="2"/>
      <c r="S149" s="2"/>
    </row>
    <row r="150" ht="15.75" customHeight="1">
      <c r="A150" s="2"/>
      <c r="B150" s="2"/>
      <c r="C150" s="2"/>
      <c r="D150" s="2"/>
      <c r="E150" s="2"/>
      <c r="F150" s="2"/>
      <c r="I150" s="2"/>
      <c r="N150" s="2"/>
      <c r="S150" s="2"/>
    </row>
    <row r="151" ht="15.75" customHeight="1">
      <c r="A151" s="2"/>
      <c r="B151" s="2"/>
      <c r="C151" s="2"/>
      <c r="D151" s="2"/>
      <c r="E151" s="2"/>
      <c r="F151" s="2"/>
      <c r="I151" s="2"/>
      <c r="N151" s="2"/>
      <c r="S151" s="2"/>
    </row>
    <row r="152" ht="15.75" customHeight="1">
      <c r="A152" s="2"/>
      <c r="B152" s="2"/>
      <c r="C152" s="2"/>
      <c r="D152" s="2"/>
      <c r="E152" s="2"/>
      <c r="F152" s="2"/>
      <c r="I152" s="2"/>
      <c r="N152" s="2"/>
      <c r="S152" s="2"/>
    </row>
    <row r="153" ht="15.75" customHeight="1">
      <c r="A153" s="2"/>
      <c r="B153" s="2"/>
      <c r="C153" s="2"/>
      <c r="D153" s="2"/>
      <c r="E153" s="2"/>
      <c r="F153" s="2"/>
      <c r="I153" s="2"/>
      <c r="N153" s="2"/>
      <c r="S153" s="2"/>
    </row>
    <row r="154" ht="15.75" customHeight="1">
      <c r="A154" s="2"/>
      <c r="B154" s="2"/>
      <c r="C154" s="2"/>
      <c r="D154" s="2"/>
      <c r="E154" s="2"/>
      <c r="F154" s="2"/>
      <c r="I154" s="2"/>
      <c r="N154" s="2"/>
      <c r="S154" s="2"/>
    </row>
    <row r="155" ht="15.75" customHeight="1">
      <c r="A155" s="2"/>
      <c r="B155" s="2"/>
      <c r="C155" s="2"/>
      <c r="D155" s="2"/>
      <c r="E155" s="2"/>
      <c r="F155" s="2"/>
      <c r="I155" s="2"/>
      <c r="N155" s="2"/>
      <c r="S155" s="2"/>
    </row>
    <row r="156" ht="15.75" customHeight="1">
      <c r="A156" s="2"/>
      <c r="B156" s="2"/>
      <c r="C156" s="2"/>
      <c r="D156" s="2"/>
      <c r="E156" s="2"/>
      <c r="F156" s="2"/>
      <c r="I156" s="2"/>
      <c r="N156" s="2"/>
      <c r="S156" s="2"/>
    </row>
    <row r="157" ht="15.75" customHeight="1">
      <c r="A157" s="2"/>
      <c r="B157" s="2"/>
      <c r="C157" s="2"/>
      <c r="D157" s="2"/>
      <c r="E157" s="2"/>
      <c r="F157" s="2"/>
      <c r="I157" s="2"/>
      <c r="N157" s="2"/>
      <c r="S157" s="2"/>
    </row>
    <row r="158" ht="15.75" customHeight="1">
      <c r="A158" s="2"/>
      <c r="B158" s="2"/>
      <c r="C158" s="2"/>
      <c r="D158" s="2"/>
      <c r="E158" s="2"/>
      <c r="F158" s="2"/>
      <c r="I158" s="2"/>
      <c r="N158" s="2"/>
      <c r="S158" s="2"/>
    </row>
    <row r="159" ht="15.75" customHeight="1">
      <c r="A159" s="2"/>
      <c r="B159" s="2"/>
      <c r="C159" s="2"/>
      <c r="D159" s="2"/>
      <c r="E159" s="2"/>
      <c r="F159" s="2"/>
      <c r="I159" s="2"/>
      <c r="N159" s="2"/>
      <c r="S159" s="2"/>
    </row>
    <row r="160" ht="15.75" customHeight="1">
      <c r="A160" s="2"/>
      <c r="B160" s="2"/>
      <c r="C160" s="2"/>
      <c r="D160" s="2"/>
      <c r="E160" s="2"/>
      <c r="F160" s="2"/>
      <c r="I160" s="2"/>
      <c r="N160" s="2"/>
      <c r="S160" s="2"/>
    </row>
    <row r="161" ht="15.75" customHeight="1">
      <c r="A161" s="2"/>
      <c r="B161" s="2"/>
      <c r="C161" s="2"/>
      <c r="D161" s="2"/>
      <c r="E161" s="2"/>
      <c r="F161" s="2"/>
      <c r="I161" s="2"/>
      <c r="N161" s="2"/>
      <c r="S161" s="2"/>
    </row>
    <row r="162" ht="15.75" customHeight="1">
      <c r="A162" s="2"/>
      <c r="B162" s="2"/>
      <c r="C162" s="2"/>
      <c r="D162" s="2"/>
      <c r="E162" s="2"/>
      <c r="F162" s="2"/>
      <c r="I162" s="2"/>
      <c r="N162" s="2"/>
      <c r="S162" s="2"/>
    </row>
    <row r="163" ht="15.75" customHeight="1">
      <c r="A163" s="2"/>
      <c r="B163" s="2"/>
      <c r="C163" s="2"/>
      <c r="D163" s="2"/>
      <c r="E163" s="2"/>
      <c r="F163" s="2"/>
      <c r="I163" s="2"/>
      <c r="N163" s="2"/>
      <c r="S163" s="2"/>
    </row>
    <row r="164" ht="15.75" customHeight="1">
      <c r="A164" s="2"/>
      <c r="B164" s="2"/>
      <c r="C164" s="2"/>
      <c r="D164" s="2"/>
      <c r="E164" s="2"/>
      <c r="F164" s="2"/>
      <c r="I164" s="2"/>
      <c r="N164" s="2"/>
      <c r="S164" s="2"/>
    </row>
    <row r="165" ht="15.75" customHeight="1">
      <c r="A165" s="2"/>
      <c r="B165" s="2"/>
      <c r="C165" s="2"/>
      <c r="D165" s="2"/>
      <c r="E165" s="2"/>
      <c r="F165" s="2"/>
      <c r="I165" s="2"/>
      <c r="N165" s="2"/>
      <c r="S165" s="2"/>
    </row>
    <row r="166" ht="15.75" customHeight="1">
      <c r="A166" s="2"/>
      <c r="B166" s="2"/>
      <c r="C166" s="2"/>
      <c r="D166" s="2"/>
      <c r="E166" s="2"/>
      <c r="F166" s="2"/>
      <c r="I166" s="2"/>
      <c r="N166" s="2"/>
      <c r="S166" s="2"/>
    </row>
    <row r="167" ht="15.75" customHeight="1">
      <c r="A167" s="2"/>
      <c r="B167" s="2"/>
      <c r="C167" s="2"/>
      <c r="D167" s="2"/>
      <c r="E167" s="2"/>
      <c r="F167" s="2"/>
      <c r="I167" s="2"/>
      <c r="N167" s="2"/>
      <c r="S167" s="2"/>
    </row>
    <row r="168" ht="15.75" customHeight="1">
      <c r="A168" s="2"/>
      <c r="B168" s="2"/>
      <c r="C168" s="2"/>
      <c r="D168" s="2"/>
      <c r="E168" s="2"/>
      <c r="F168" s="2"/>
      <c r="I168" s="2"/>
      <c r="N168" s="2"/>
      <c r="S168" s="2"/>
    </row>
    <row r="169" ht="15.75" customHeight="1">
      <c r="A169" s="2"/>
      <c r="B169" s="2"/>
      <c r="C169" s="2"/>
      <c r="D169" s="2"/>
      <c r="E169" s="2"/>
      <c r="F169" s="2"/>
      <c r="I169" s="2"/>
      <c r="N169" s="2"/>
      <c r="S169" s="2"/>
    </row>
    <row r="170" ht="15.75" customHeight="1">
      <c r="A170" s="2"/>
      <c r="B170" s="2"/>
      <c r="C170" s="2"/>
      <c r="D170" s="2"/>
      <c r="E170" s="2"/>
      <c r="F170" s="2"/>
      <c r="I170" s="2"/>
      <c r="N170" s="2"/>
      <c r="S170" s="2"/>
    </row>
    <row r="171" ht="15.75" customHeight="1">
      <c r="A171" s="2"/>
      <c r="B171" s="2"/>
      <c r="C171" s="2"/>
      <c r="D171" s="2"/>
      <c r="E171" s="2"/>
      <c r="F171" s="2"/>
      <c r="I171" s="2"/>
      <c r="N171" s="2"/>
      <c r="S171" s="2"/>
    </row>
    <row r="172" ht="15.75" customHeight="1">
      <c r="A172" s="2"/>
      <c r="B172" s="2"/>
      <c r="C172" s="2"/>
      <c r="D172" s="2"/>
      <c r="E172" s="2"/>
      <c r="F172" s="2"/>
      <c r="I172" s="2"/>
      <c r="N172" s="2"/>
      <c r="S172" s="2"/>
    </row>
    <row r="173" ht="15.75" customHeight="1">
      <c r="A173" s="2"/>
      <c r="B173" s="2"/>
      <c r="C173" s="2"/>
      <c r="D173" s="2"/>
      <c r="E173" s="2"/>
      <c r="F173" s="2"/>
      <c r="I173" s="2"/>
      <c r="N173" s="2"/>
      <c r="S173" s="2"/>
    </row>
    <row r="174" ht="15.75" customHeight="1">
      <c r="A174" s="2"/>
      <c r="B174" s="2"/>
      <c r="C174" s="2"/>
      <c r="D174" s="2"/>
      <c r="E174" s="2"/>
      <c r="F174" s="2"/>
      <c r="I174" s="2"/>
      <c r="N174" s="2"/>
      <c r="S174" s="2"/>
    </row>
    <row r="175" ht="15.75" customHeight="1">
      <c r="A175" s="2"/>
      <c r="B175" s="2"/>
      <c r="C175" s="2"/>
      <c r="D175" s="2"/>
      <c r="E175" s="2"/>
      <c r="F175" s="2"/>
      <c r="I175" s="2"/>
      <c r="N175" s="2"/>
      <c r="S175" s="2"/>
    </row>
    <row r="176" ht="15.75" customHeight="1">
      <c r="A176" s="2"/>
      <c r="B176" s="2"/>
      <c r="C176" s="2"/>
      <c r="D176" s="2"/>
      <c r="E176" s="2"/>
      <c r="F176" s="2"/>
      <c r="I176" s="2"/>
      <c r="N176" s="2"/>
      <c r="S176" s="2"/>
    </row>
    <row r="177" ht="15.75" customHeight="1">
      <c r="A177" s="2"/>
      <c r="B177" s="2"/>
      <c r="C177" s="2"/>
      <c r="D177" s="2"/>
      <c r="E177" s="2"/>
      <c r="F177" s="2"/>
      <c r="I177" s="2"/>
      <c r="N177" s="2"/>
      <c r="S177" s="2"/>
    </row>
    <row r="178" ht="15.75" customHeight="1">
      <c r="A178" s="2"/>
      <c r="B178" s="2"/>
      <c r="C178" s="2"/>
      <c r="D178" s="2"/>
      <c r="E178" s="2"/>
      <c r="F178" s="2"/>
      <c r="I178" s="2"/>
      <c r="N178" s="2"/>
      <c r="S178" s="2"/>
    </row>
    <row r="179" ht="15.75" customHeight="1">
      <c r="A179" s="2"/>
      <c r="B179" s="2"/>
      <c r="C179" s="2"/>
      <c r="D179" s="2"/>
      <c r="E179" s="2"/>
      <c r="F179" s="2"/>
      <c r="I179" s="2"/>
      <c r="N179" s="2"/>
      <c r="S179" s="2"/>
    </row>
    <row r="180" ht="15.75" customHeight="1">
      <c r="A180" s="2"/>
      <c r="B180" s="2"/>
      <c r="C180" s="2"/>
      <c r="D180" s="2"/>
      <c r="E180" s="2"/>
      <c r="F180" s="2"/>
      <c r="I180" s="2"/>
      <c r="N180" s="2"/>
      <c r="S180" s="2"/>
    </row>
    <row r="181" ht="15.75" customHeight="1">
      <c r="A181" s="2"/>
      <c r="B181" s="2"/>
      <c r="C181" s="2"/>
      <c r="D181" s="2"/>
      <c r="E181" s="2"/>
      <c r="F181" s="2"/>
      <c r="I181" s="2"/>
      <c r="N181" s="2"/>
      <c r="S181" s="2"/>
    </row>
    <row r="182" ht="15.75" customHeight="1">
      <c r="A182" s="2"/>
      <c r="B182" s="2"/>
      <c r="C182" s="2"/>
      <c r="D182" s="2"/>
      <c r="E182" s="2"/>
      <c r="F182" s="2"/>
      <c r="I182" s="2"/>
      <c r="N182" s="2"/>
      <c r="S182" s="2"/>
    </row>
    <row r="183" ht="15.75" customHeight="1">
      <c r="A183" s="2"/>
      <c r="B183" s="2"/>
      <c r="C183" s="2"/>
      <c r="D183" s="2"/>
      <c r="E183" s="2"/>
      <c r="F183" s="2"/>
      <c r="I183" s="2"/>
      <c r="N183" s="2"/>
      <c r="S183" s="2"/>
    </row>
    <row r="184" ht="15.75" customHeight="1">
      <c r="A184" s="2"/>
      <c r="B184" s="2"/>
      <c r="C184" s="2"/>
      <c r="D184" s="2"/>
      <c r="E184" s="2"/>
      <c r="F184" s="2"/>
      <c r="I184" s="2"/>
      <c r="N184" s="2"/>
      <c r="S184" s="2"/>
    </row>
    <row r="185" ht="15.75" customHeight="1">
      <c r="A185" s="2"/>
      <c r="B185" s="2"/>
      <c r="C185" s="2"/>
      <c r="D185" s="2"/>
      <c r="E185" s="2"/>
      <c r="F185" s="2"/>
      <c r="I185" s="2"/>
      <c r="N185" s="2"/>
      <c r="S185" s="2"/>
    </row>
    <row r="186" ht="15.75" customHeight="1">
      <c r="A186" s="2"/>
      <c r="B186" s="2"/>
      <c r="C186" s="2"/>
      <c r="D186" s="2"/>
      <c r="E186" s="2"/>
      <c r="F186" s="2"/>
      <c r="I186" s="2"/>
      <c r="N186" s="2"/>
      <c r="S186" s="2"/>
    </row>
    <row r="187" ht="15.75" customHeight="1">
      <c r="A187" s="2"/>
      <c r="B187" s="2"/>
      <c r="C187" s="2"/>
      <c r="D187" s="2"/>
      <c r="E187" s="2"/>
      <c r="F187" s="2"/>
      <c r="I187" s="2"/>
      <c r="N187" s="2"/>
      <c r="S187" s="2"/>
    </row>
    <row r="188" ht="15.75" customHeight="1">
      <c r="A188" s="2"/>
      <c r="B188" s="2"/>
      <c r="C188" s="2"/>
      <c r="D188" s="2"/>
      <c r="E188" s="2"/>
      <c r="F188" s="2"/>
      <c r="I188" s="2"/>
      <c r="N188" s="2"/>
      <c r="S188" s="2"/>
    </row>
    <row r="189" ht="15.75" customHeight="1">
      <c r="A189" s="2"/>
      <c r="B189" s="2"/>
      <c r="C189" s="2"/>
      <c r="D189" s="2"/>
      <c r="E189" s="2"/>
      <c r="F189" s="2"/>
      <c r="I189" s="2"/>
      <c r="N189" s="2"/>
      <c r="S189" s="2"/>
    </row>
    <row r="190" ht="15.75" customHeight="1">
      <c r="A190" s="2"/>
      <c r="B190" s="2"/>
      <c r="C190" s="2"/>
      <c r="D190" s="2"/>
      <c r="E190" s="2"/>
      <c r="F190" s="2"/>
      <c r="I190" s="2"/>
      <c r="N190" s="2"/>
      <c r="S190" s="2"/>
    </row>
    <row r="191" ht="15.75" customHeight="1">
      <c r="A191" s="2"/>
      <c r="B191" s="2"/>
      <c r="C191" s="2"/>
      <c r="D191" s="2"/>
      <c r="E191" s="2"/>
      <c r="F191" s="2"/>
      <c r="I191" s="2"/>
      <c r="N191" s="2"/>
      <c r="S191" s="2"/>
    </row>
    <row r="192" ht="15.75" customHeight="1">
      <c r="A192" s="2"/>
      <c r="B192" s="2"/>
      <c r="C192" s="2"/>
      <c r="D192" s="2"/>
      <c r="E192" s="2"/>
      <c r="F192" s="2"/>
      <c r="I192" s="2"/>
      <c r="N192" s="2"/>
      <c r="S192" s="2"/>
    </row>
    <row r="193" ht="15.75" customHeight="1">
      <c r="A193" s="2"/>
      <c r="B193" s="2"/>
      <c r="C193" s="2"/>
      <c r="D193" s="2"/>
      <c r="E193" s="2"/>
      <c r="F193" s="2"/>
      <c r="I193" s="2"/>
      <c r="N193" s="2"/>
      <c r="S193" s="2"/>
    </row>
    <row r="194" ht="15.75" customHeight="1">
      <c r="A194" s="2"/>
      <c r="B194" s="2"/>
      <c r="C194" s="2"/>
      <c r="D194" s="2"/>
      <c r="E194" s="2"/>
      <c r="F194" s="2"/>
      <c r="I194" s="2"/>
      <c r="N194" s="2"/>
      <c r="S194" s="2"/>
    </row>
    <row r="195" ht="15.75" customHeight="1">
      <c r="A195" s="2"/>
      <c r="B195" s="2"/>
      <c r="C195" s="2"/>
      <c r="D195" s="2"/>
      <c r="E195" s="2"/>
      <c r="F195" s="2"/>
      <c r="I195" s="2"/>
      <c r="N195" s="2"/>
      <c r="S195" s="2"/>
    </row>
    <row r="196" ht="15.75" customHeight="1">
      <c r="A196" s="2"/>
      <c r="B196" s="2"/>
      <c r="C196" s="2"/>
      <c r="D196" s="2"/>
      <c r="E196" s="2"/>
      <c r="F196" s="2"/>
      <c r="I196" s="2"/>
      <c r="N196" s="2"/>
      <c r="S196" s="2"/>
    </row>
    <row r="197" ht="15.75" customHeight="1">
      <c r="A197" s="2"/>
      <c r="B197" s="2"/>
      <c r="C197" s="2"/>
      <c r="D197" s="2"/>
      <c r="E197" s="2"/>
      <c r="F197" s="2"/>
      <c r="I197" s="2"/>
      <c r="N197" s="2"/>
      <c r="S197" s="2"/>
    </row>
    <row r="198" ht="15.75" customHeight="1">
      <c r="A198" s="2"/>
      <c r="B198" s="2"/>
      <c r="C198" s="2"/>
      <c r="D198" s="2"/>
      <c r="E198" s="2"/>
      <c r="F198" s="2"/>
      <c r="I198" s="2"/>
      <c r="N198" s="2"/>
      <c r="S198" s="2"/>
    </row>
    <row r="199" ht="15.75" customHeight="1">
      <c r="A199" s="2"/>
      <c r="B199" s="2"/>
      <c r="C199" s="2"/>
      <c r="D199" s="2"/>
      <c r="E199" s="2"/>
      <c r="F199" s="2"/>
      <c r="I199" s="2"/>
      <c r="N199" s="2"/>
      <c r="S199" s="2"/>
    </row>
    <row r="200" ht="15.75" customHeight="1">
      <c r="A200" s="2"/>
      <c r="B200" s="2"/>
      <c r="C200" s="2"/>
      <c r="D200" s="2"/>
      <c r="E200" s="2"/>
      <c r="F200" s="2"/>
      <c r="I200" s="2"/>
      <c r="N200" s="2"/>
      <c r="S200" s="2"/>
    </row>
    <row r="201" ht="15.75" customHeight="1">
      <c r="A201" s="2"/>
      <c r="B201" s="2"/>
      <c r="C201" s="2"/>
      <c r="D201" s="2"/>
      <c r="E201" s="2"/>
      <c r="F201" s="2"/>
      <c r="I201" s="2"/>
      <c r="N201" s="2"/>
      <c r="S201" s="2"/>
    </row>
    <row r="202" ht="15.75" customHeight="1">
      <c r="A202" s="2"/>
      <c r="B202" s="2"/>
      <c r="C202" s="2"/>
      <c r="D202" s="2"/>
      <c r="E202" s="2"/>
      <c r="F202" s="2"/>
      <c r="I202" s="2"/>
      <c r="N202" s="2"/>
      <c r="S202" s="2"/>
    </row>
    <row r="203" ht="15.75" customHeight="1">
      <c r="A203" s="2"/>
      <c r="B203" s="2"/>
      <c r="C203" s="2"/>
      <c r="D203" s="2"/>
      <c r="E203" s="2"/>
      <c r="F203" s="2"/>
      <c r="I203" s="2"/>
      <c r="N203" s="2"/>
      <c r="S203" s="2"/>
    </row>
    <row r="204" ht="15.75" customHeight="1">
      <c r="A204" s="2"/>
      <c r="B204" s="2"/>
      <c r="C204" s="2"/>
      <c r="D204" s="2"/>
      <c r="E204" s="2"/>
      <c r="F204" s="2"/>
      <c r="I204" s="2"/>
      <c r="N204" s="2"/>
      <c r="S204" s="2"/>
    </row>
    <row r="205" ht="15.75" customHeight="1">
      <c r="A205" s="2"/>
      <c r="B205" s="2"/>
      <c r="C205" s="2"/>
      <c r="D205" s="2"/>
      <c r="E205" s="2"/>
      <c r="F205" s="2"/>
      <c r="I205" s="2"/>
      <c r="N205" s="2"/>
      <c r="S205" s="2"/>
    </row>
    <row r="206" ht="15.75" customHeight="1">
      <c r="A206" s="2"/>
      <c r="B206" s="2"/>
      <c r="C206" s="2"/>
      <c r="D206" s="2"/>
      <c r="E206" s="2"/>
      <c r="F206" s="2"/>
      <c r="I206" s="2"/>
      <c r="N206" s="2"/>
      <c r="S206" s="2"/>
    </row>
    <row r="207" ht="15.75" customHeight="1">
      <c r="A207" s="2"/>
      <c r="B207" s="2"/>
      <c r="C207" s="2"/>
      <c r="D207" s="2"/>
      <c r="E207" s="2"/>
      <c r="F207" s="2"/>
      <c r="I207" s="2"/>
      <c r="N207" s="2"/>
      <c r="S207" s="2"/>
    </row>
    <row r="208" ht="15.75" customHeight="1">
      <c r="A208" s="2"/>
      <c r="B208" s="2"/>
      <c r="C208" s="2"/>
      <c r="D208" s="2"/>
      <c r="E208" s="2"/>
      <c r="F208" s="2"/>
      <c r="I208" s="2"/>
      <c r="N208" s="2"/>
      <c r="S208" s="2"/>
    </row>
    <row r="209" ht="15.75" customHeight="1">
      <c r="A209" s="2"/>
      <c r="B209" s="2"/>
      <c r="C209" s="2"/>
      <c r="D209" s="2"/>
      <c r="E209" s="2"/>
      <c r="F209" s="2"/>
      <c r="I209" s="2"/>
      <c r="N209" s="2"/>
      <c r="S209" s="2"/>
    </row>
    <row r="210" ht="15.75" customHeight="1">
      <c r="A210" s="2"/>
      <c r="B210" s="2"/>
      <c r="C210" s="2"/>
      <c r="D210" s="2"/>
      <c r="E210" s="2"/>
      <c r="F210" s="2"/>
      <c r="I210" s="2"/>
      <c r="N210" s="2"/>
      <c r="S210" s="2"/>
    </row>
    <row r="211" ht="15.75" customHeight="1">
      <c r="A211" s="2"/>
      <c r="B211" s="2"/>
      <c r="C211" s="2"/>
      <c r="D211" s="2"/>
      <c r="E211" s="2"/>
      <c r="F211" s="2"/>
      <c r="I211" s="2"/>
      <c r="N211" s="2"/>
      <c r="S211" s="2"/>
    </row>
    <row r="212" ht="15.75" customHeight="1">
      <c r="A212" s="2"/>
      <c r="B212" s="2"/>
      <c r="C212" s="2"/>
      <c r="D212" s="2"/>
      <c r="E212" s="2"/>
      <c r="F212" s="2"/>
      <c r="I212" s="2"/>
      <c r="N212" s="2"/>
      <c r="S212" s="2"/>
    </row>
    <row r="213" ht="15.75" customHeight="1">
      <c r="A213" s="2"/>
      <c r="B213" s="2"/>
      <c r="C213" s="2"/>
      <c r="D213" s="2"/>
      <c r="E213" s="2"/>
      <c r="F213" s="2"/>
      <c r="I213" s="2"/>
      <c r="N213" s="2"/>
      <c r="S213" s="2"/>
    </row>
    <row r="214" ht="15.75" customHeight="1">
      <c r="A214" s="2"/>
      <c r="B214" s="2"/>
      <c r="C214" s="2"/>
      <c r="D214" s="2"/>
      <c r="E214" s="2"/>
      <c r="F214" s="2"/>
      <c r="I214" s="2"/>
      <c r="N214" s="2"/>
      <c r="S214" s="2"/>
    </row>
    <row r="215" ht="15.75" customHeight="1">
      <c r="A215" s="2"/>
      <c r="B215" s="2"/>
      <c r="C215" s="2"/>
      <c r="D215" s="2"/>
      <c r="E215" s="2"/>
      <c r="F215" s="2"/>
      <c r="I215" s="2"/>
      <c r="N215" s="2"/>
      <c r="S215" s="2"/>
    </row>
    <row r="216" ht="15.75" customHeight="1">
      <c r="A216" s="2"/>
      <c r="B216" s="2"/>
      <c r="C216" s="2"/>
      <c r="D216" s="2"/>
      <c r="E216" s="2"/>
      <c r="F216" s="2"/>
      <c r="I216" s="2"/>
      <c r="N216" s="2"/>
      <c r="S216" s="2"/>
    </row>
    <row r="217" ht="15.75" customHeight="1">
      <c r="A217" s="2"/>
      <c r="B217" s="2"/>
      <c r="C217" s="2"/>
      <c r="D217" s="2"/>
      <c r="E217" s="2"/>
      <c r="F217" s="2"/>
      <c r="I217" s="2"/>
      <c r="N217" s="2"/>
      <c r="S217" s="2"/>
    </row>
    <row r="218" ht="15.75" customHeight="1">
      <c r="A218" s="2"/>
      <c r="B218" s="2"/>
      <c r="C218" s="2"/>
      <c r="D218" s="2"/>
      <c r="E218" s="2"/>
      <c r="F218" s="2"/>
      <c r="I218" s="2"/>
      <c r="N218" s="2"/>
      <c r="S218" s="2"/>
    </row>
    <row r="219" ht="15.75" customHeight="1">
      <c r="A219" s="2"/>
      <c r="B219" s="2"/>
      <c r="C219" s="2"/>
      <c r="D219" s="2"/>
      <c r="E219" s="2"/>
      <c r="F219" s="2"/>
      <c r="I219" s="2"/>
      <c r="N219" s="2"/>
      <c r="S219" s="2"/>
    </row>
    <row r="220" ht="15.75" customHeight="1">
      <c r="A220" s="2"/>
      <c r="B220" s="2"/>
      <c r="C220" s="2"/>
      <c r="D220" s="2"/>
      <c r="E220" s="2"/>
      <c r="F220" s="2"/>
      <c r="I220" s="2"/>
      <c r="N220" s="2"/>
      <c r="S220" s="2"/>
    </row>
    <row r="221" ht="15.75" customHeight="1">
      <c r="A221" s="2"/>
      <c r="B221" s="2"/>
      <c r="C221" s="2"/>
      <c r="D221" s="2"/>
      <c r="E221" s="2"/>
      <c r="F221" s="2"/>
      <c r="I221" s="2"/>
      <c r="N221" s="2"/>
      <c r="S221" s="2"/>
    </row>
    <row r="222" ht="15.75" customHeight="1">
      <c r="A222" s="2"/>
      <c r="B222" s="2"/>
      <c r="C222" s="2"/>
      <c r="D222" s="2"/>
      <c r="E222" s="2"/>
      <c r="F222" s="2"/>
      <c r="I222" s="2"/>
      <c r="N222" s="2"/>
      <c r="S222" s="2"/>
    </row>
    <row r="223" ht="15.75" customHeight="1">
      <c r="A223" s="2"/>
      <c r="B223" s="2"/>
      <c r="C223" s="2"/>
      <c r="D223" s="2"/>
      <c r="E223" s="2"/>
      <c r="F223" s="2"/>
      <c r="I223" s="2"/>
      <c r="N223" s="2"/>
      <c r="S223" s="2"/>
    </row>
    <row r="224" ht="15.75" customHeight="1">
      <c r="A224" s="2"/>
      <c r="B224" s="2"/>
      <c r="C224" s="2"/>
      <c r="D224" s="2"/>
      <c r="E224" s="2"/>
      <c r="F224" s="2"/>
      <c r="I224" s="2"/>
      <c r="N224" s="2"/>
      <c r="S224" s="2"/>
    </row>
    <row r="225" ht="15.75" customHeight="1">
      <c r="A225" s="2"/>
      <c r="B225" s="2"/>
      <c r="C225" s="2"/>
      <c r="D225" s="2"/>
      <c r="E225" s="2"/>
      <c r="F225" s="2"/>
      <c r="I225" s="2"/>
      <c r="N225" s="2"/>
      <c r="S225" s="2"/>
    </row>
    <row r="226" ht="15.75" customHeight="1">
      <c r="A226" s="2"/>
      <c r="B226" s="2"/>
      <c r="C226" s="2"/>
      <c r="D226" s="2"/>
      <c r="E226" s="2"/>
      <c r="F226" s="2"/>
      <c r="I226" s="2"/>
      <c r="N226" s="2"/>
      <c r="S226" s="2"/>
    </row>
    <row r="227" ht="15.75" customHeight="1">
      <c r="A227" s="2"/>
      <c r="B227" s="2"/>
      <c r="C227" s="2"/>
      <c r="D227" s="2"/>
      <c r="E227" s="2"/>
      <c r="F227" s="2"/>
      <c r="I227" s="2"/>
      <c r="N227" s="2"/>
      <c r="S227" s="2"/>
    </row>
    <row r="228" ht="15.75" customHeight="1">
      <c r="A228" s="2"/>
      <c r="B228" s="2"/>
      <c r="C228" s="2"/>
      <c r="D228" s="2"/>
      <c r="E228" s="2"/>
      <c r="F228" s="2"/>
      <c r="I228" s="2"/>
      <c r="N228" s="2"/>
      <c r="S228" s="2"/>
    </row>
    <row r="229" ht="15.75" customHeight="1">
      <c r="A229" s="2"/>
      <c r="B229" s="2"/>
      <c r="C229" s="2"/>
      <c r="D229" s="2"/>
      <c r="E229" s="2"/>
      <c r="F229" s="2"/>
      <c r="I229" s="2"/>
      <c r="N229" s="2"/>
      <c r="S229" s="2"/>
    </row>
    <row r="230" ht="15.75" customHeight="1">
      <c r="A230" s="2"/>
      <c r="B230" s="2"/>
      <c r="C230" s="2"/>
      <c r="D230" s="2"/>
      <c r="E230" s="2"/>
      <c r="F230" s="2"/>
      <c r="I230" s="2"/>
      <c r="N230" s="2"/>
      <c r="S230" s="2"/>
    </row>
    <row r="231" ht="15.75" customHeight="1">
      <c r="A231" s="2"/>
      <c r="B231" s="2"/>
      <c r="C231" s="2"/>
      <c r="D231" s="2"/>
      <c r="E231" s="2"/>
      <c r="F231" s="2"/>
      <c r="I231" s="2"/>
      <c r="N231" s="2"/>
      <c r="S231" s="2"/>
    </row>
    <row r="232" ht="15.75" customHeight="1">
      <c r="A232" s="2"/>
      <c r="B232" s="2"/>
      <c r="C232" s="2"/>
      <c r="D232" s="2"/>
      <c r="E232" s="2"/>
      <c r="F232" s="2"/>
      <c r="I232" s="2"/>
      <c r="N232" s="2"/>
      <c r="S232" s="2"/>
    </row>
    <row r="233" ht="15.75" customHeight="1">
      <c r="A233" s="2"/>
      <c r="B233" s="2"/>
      <c r="C233" s="2"/>
      <c r="D233" s="2"/>
      <c r="E233" s="2"/>
      <c r="F233" s="2"/>
      <c r="I233" s="2"/>
      <c r="N233" s="2"/>
      <c r="S233" s="2"/>
    </row>
    <row r="234" ht="15.75" customHeight="1">
      <c r="A234" s="2"/>
      <c r="B234" s="2"/>
      <c r="C234" s="2"/>
      <c r="D234" s="2"/>
      <c r="E234" s="2"/>
      <c r="F234" s="2"/>
      <c r="I234" s="2"/>
      <c r="N234" s="2"/>
      <c r="S234" s="2"/>
    </row>
    <row r="235" ht="15.75" customHeight="1">
      <c r="A235" s="2"/>
      <c r="B235" s="2"/>
      <c r="C235" s="2"/>
      <c r="D235" s="2"/>
      <c r="E235" s="2"/>
      <c r="F235" s="2"/>
      <c r="I235" s="2"/>
      <c r="N235" s="2"/>
      <c r="S235" s="2"/>
    </row>
    <row r="236" ht="15.75" customHeight="1">
      <c r="A236" s="2"/>
      <c r="B236" s="2"/>
      <c r="C236" s="2"/>
      <c r="D236" s="2"/>
      <c r="E236" s="2"/>
      <c r="F236" s="2"/>
      <c r="I236" s="2"/>
      <c r="N236" s="2"/>
      <c r="S236" s="2"/>
    </row>
    <row r="237" ht="15.75" customHeight="1">
      <c r="A237" s="2"/>
      <c r="B237" s="2"/>
      <c r="C237" s="2"/>
      <c r="D237" s="2"/>
      <c r="E237" s="2"/>
      <c r="F237" s="2"/>
      <c r="I237" s="2"/>
      <c r="N237" s="2"/>
      <c r="S237" s="2"/>
    </row>
    <row r="238" ht="15.75" customHeight="1">
      <c r="A238" s="2"/>
      <c r="B238" s="2"/>
      <c r="C238" s="2"/>
      <c r="D238" s="2"/>
      <c r="E238" s="2"/>
      <c r="F238" s="2"/>
      <c r="I238" s="2"/>
      <c r="N238" s="2"/>
      <c r="S238" s="2"/>
    </row>
    <row r="239" ht="15.75" customHeight="1">
      <c r="A239" s="2"/>
      <c r="B239" s="2"/>
      <c r="C239" s="2"/>
      <c r="D239" s="2"/>
      <c r="E239" s="2"/>
      <c r="F239" s="2"/>
      <c r="I239" s="2"/>
      <c r="N239" s="2"/>
      <c r="S239" s="2"/>
    </row>
    <row r="240" ht="15.75" customHeight="1">
      <c r="A240" s="2"/>
      <c r="B240" s="2"/>
      <c r="C240" s="2"/>
      <c r="D240" s="2"/>
      <c r="E240" s="2"/>
      <c r="F240" s="2"/>
      <c r="I240" s="2"/>
      <c r="N240" s="2"/>
      <c r="S240" s="2"/>
    </row>
    <row r="241" ht="15.75" customHeight="1">
      <c r="A241" s="2"/>
      <c r="B241" s="2"/>
      <c r="C241" s="2"/>
      <c r="D241" s="2"/>
      <c r="E241" s="2"/>
      <c r="F241" s="2"/>
      <c r="I241" s="2"/>
      <c r="N241" s="2"/>
      <c r="S241" s="2"/>
    </row>
    <row r="242" ht="15.75" customHeight="1">
      <c r="A242" s="2"/>
      <c r="B242" s="2"/>
      <c r="C242" s="2"/>
      <c r="D242" s="2"/>
      <c r="E242" s="2"/>
      <c r="F242" s="2"/>
      <c r="I242" s="2"/>
      <c r="N242" s="2"/>
      <c r="S242" s="2"/>
    </row>
    <row r="243" ht="15.75" customHeight="1">
      <c r="A243" s="2"/>
      <c r="B243" s="2"/>
      <c r="C243" s="2"/>
      <c r="D243" s="2"/>
      <c r="E243" s="2"/>
      <c r="F243" s="2"/>
      <c r="I243" s="2"/>
      <c r="N243" s="2"/>
      <c r="S243" s="2"/>
    </row>
    <row r="244" ht="15.75" customHeight="1">
      <c r="A244" s="2"/>
      <c r="B244" s="2"/>
      <c r="C244" s="2"/>
      <c r="D244" s="2"/>
      <c r="E244" s="2"/>
      <c r="F244" s="2"/>
      <c r="I244" s="2"/>
      <c r="N244" s="2"/>
      <c r="S244" s="2"/>
    </row>
    <row r="245" ht="15.75" customHeight="1">
      <c r="A245" s="2"/>
      <c r="B245" s="2"/>
      <c r="C245" s="2"/>
      <c r="D245" s="2"/>
      <c r="E245" s="2"/>
      <c r="F245" s="2"/>
      <c r="I245" s="2"/>
      <c r="N245" s="2"/>
      <c r="S245" s="2"/>
    </row>
    <row r="246" ht="15.75" customHeight="1">
      <c r="A246" s="2"/>
      <c r="B246" s="2"/>
      <c r="C246" s="2"/>
      <c r="D246" s="2"/>
      <c r="E246" s="2"/>
      <c r="F246" s="2"/>
      <c r="I246" s="2"/>
      <c r="N246" s="2"/>
      <c r="S246" s="2"/>
    </row>
    <row r="247" ht="15.75" customHeight="1">
      <c r="A247" s="2"/>
      <c r="B247" s="2"/>
      <c r="C247" s="2"/>
      <c r="D247" s="2"/>
      <c r="E247" s="2"/>
      <c r="F247" s="2"/>
      <c r="I247" s="2"/>
      <c r="N247" s="2"/>
      <c r="S247" s="2"/>
    </row>
    <row r="248" ht="15.75" customHeight="1">
      <c r="A248" s="2"/>
      <c r="B248" s="2"/>
      <c r="C248" s="2"/>
      <c r="D248" s="2"/>
      <c r="E248" s="2"/>
      <c r="F248" s="2"/>
      <c r="I248" s="2"/>
      <c r="N248" s="2"/>
      <c r="S248" s="2"/>
    </row>
    <row r="249" ht="15.75" customHeight="1">
      <c r="A249" s="2"/>
      <c r="B249" s="2"/>
      <c r="C249" s="2"/>
      <c r="D249" s="2"/>
      <c r="E249" s="2"/>
      <c r="F249" s="2"/>
      <c r="I249" s="2"/>
      <c r="N249" s="2"/>
      <c r="S249" s="2"/>
    </row>
    <row r="250" ht="15.75" customHeight="1">
      <c r="A250" s="2"/>
      <c r="B250" s="2"/>
      <c r="C250" s="2"/>
      <c r="D250" s="2"/>
      <c r="E250" s="2"/>
      <c r="F250" s="2"/>
      <c r="I250" s="2"/>
      <c r="N250" s="2"/>
      <c r="S250" s="2"/>
    </row>
    <row r="251" ht="15.75" customHeight="1">
      <c r="A251" s="2"/>
      <c r="B251" s="2"/>
      <c r="C251" s="2"/>
      <c r="D251" s="2"/>
      <c r="E251" s="2"/>
      <c r="F251" s="2"/>
      <c r="I251" s="2"/>
      <c r="N251" s="2"/>
      <c r="S251" s="2"/>
    </row>
    <row r="252" ht="15.75" customHeight="1">
      <c r="A252" s="2"/>
      <c r="B252" s="2"/>
      <c r="C252" s="2"/>
      <c r="D252" s="2"/>
      <c r="E252" s="2"/>
      <c r="F252" s="2"/>
      <c r="I252" s="2"/>
      <c r="N252" s="2"/>
      <c r="S252" s="2"/>
    </row>
    <row r="253" ht="15.75" customHeight="1">
      <c r="A253" s="2"/>
      <c r="B253" s="2"/>
      <c r="C253" s="2"/>
      <c r="D253" s="2"/>
      <c r="E253" s="2"/>
      <c r="F253" s="2"/>
      <c r="I253" s="2"/>
      <c r="N253" s="2"/>
      <c r="S253" s="2"/>
    </row>
    <row r="254" ht="15.75" customHeight="1">
      <c r="A254" s="2"/>
      <c r="B254" s="2"/>
      <c r="C254" s="2"/>
      <c r="D254" s="2"/>
      <c r="E254" s="2"/>
      <c r="F254" s="2"/>
      <c r="I254" s="2"/>
      <c r="N254" s="2"/>
      <c r="S254" s="2"/>
    </row>
    <row r="255" ht="15.75" customHeight="1">
      <c r="A255" s="2"/>
      <c r="B255" s="2"/>
      <c r="C255" s="2"/>
      <c r="D255" s="2"/>
      <c r="E255" s="2"/>
      <c r="F255" s="2"/>
      <c r="I255" s="2"/>
      <c r="N255" s="2"/>
      <c r="S255" s="2"/>
    </row>
    <row r="256" ht="15.75" customHeight="1">
      <c r="A256" s="2"/>
      <c r="B256" s="2"/>
      <c r="C256" s="2"/>
      <c r="D256" s="2"/>
      <c r="E256" s="2"/>
      <c r="F256" s="2"/>
      <c r="I256" s="2"/>
      <c r="N256" s="2"/>
      <c r="S256" s="2"/>
    </row>
    <row r="257" ht="15.75" customHeight="1">
      <c r="A257" s="2"/>
      <c r="B257" s="2"/>
      <c r="C257" s="2"/>
      <c r="D257" s="2"/>
      <c r="E257" s="2"/>
      <c r="F257" s="2"/>
      <c r="I257" s="2"/>
      <c r="N257" s="2"/>
      <c r="S257" s="2"/>
    </row>
    <row r="258" ht="15.75" customHeight="1">
      <c r="A258" s="2"/>
      <c r="B258" s="2"/>
      <c r="C258" s="2"/>
      <c r="D258" s="2"/>
      <c r="E258" s="2"/>
      <c r="F258" s="2"/>
      <c r="I258" s="2"/>
      <c r="N258" s="2"/>
      <c r="S258" s="2"/>
    </row>
    <row r="259" ht="15.75" customHeight="1">
      <c r="A259" s="2"/>
      <c r="B259" s="2"/>
      <c r="C259" s="2"/>
      <c r="D259" s="2"/>
      <c r="E259" s="2"/>
      <c r="F259" s="2"/>
      <c r="I259" s="2"/>
      <c r="N259" s="2"/>
      <c r="S259" s="2"/>
    </row>
    <row r="260" ht="15.75" customHeight="1">
      <c r="A260" s="2"/>
      <c r="B260" s="2"/>
      <c r="C260" s="2"/>
      <c r="D260" s="2"/>
      <c r="E260" s="2"/>
      <c r="F260" s="2"/>
      <c r="I260" s="2"/>
      <c r="N260" s="2"/>
      <c r="S260" s="2"/>
    </row>
    <row r="261" ht="15.75" customHeight="1">
      <c r="A261" s="2"/>
      <c r="B261" s="2"/>
      <c r="C261" s="2"/>
      <c r="D261" s="2"/>
      <c r="E261" s="2"/>
      <c r="F261" s="2"/>
      <c r="I261" s="2"/>
      <c r="N261" s="2"/>
      <c r="S261" s="2"/>
    </row>
    <row r="262" ht="15.75" customHeight="1">
      <c r="A262" s="2"/>
      <c r="B262" s="2"/>
      <c r="C262" s="2"/>
      <c r="D262" s="2"/>
      <c r="E262" s="2"/>
      <c r="F262" s="2"/>
      <c r="I262" s="2"/>
      <c r="N262" s="2"/>
      <c r="S262" s="2"/>
    </row>
    <row r="263" ht="15.75" customHeight="1">
      <c r="A263" s="2"/>
      <c r="B263" s="2"/>
      <c r="C263" s="2"/>
      <c r="D263" s="2"/>
      <c r="E263" s="2"/>
      <c r="F263" s="2"/>
      <c r="I263" s="2"/>
      <c r="N263" s="2"/>
      <c r="S263" s="2"/>
    </row>
    <row r="264" ht="15.75" customHeight="1">
      <c r="A264" s="2"/>
      <c r="B264" s="2"/>
      <c r="C264" s="2"/>
      <c r="D264" s="2"/>
      <c r="E264" s="2"/>
      <c r="F264" s="2"/>
      <c r="I264" s="2"/>
      <c r="N264" s="2"/>
      <c r="S264" s="2"/>
    </row>
    <row r="265" ht="15.75" customHeight="1">
      <c r="A265" s="2"/>
      <c r="B265" s="2"/>
      <c r="C265" s="2"/>
      <c r="D265" s="2"/>
      <c r="E265" s="2"/>
      <c r="F265" s="2"/>
      <c r="I265" s="2"/>
      <c r="N265" s="2"/>
      <c r="S265" s="2"/>
    </row>
    <row r="266" ht="15.75" customHeight="1">
      <c r="A266" s="2"/>
      <c r="B266" s="2"/>
      <c r="C266" s="2"/>
      <c r="D266" s="2"/>
      <c r="E266" s="2"/>
      <c r="F266" s="2"/>
      <c r="I266" s="2"/>
      <c r="N266" s="2"/>
      <c r="S266" s="2"/>
    </row>
    <row r="267" ht="15.75" customHeight="1">
      <c r="A267" s="2"/>
      <c r="B267" s="2"/>
      <c r="C267" s="2"/>
      <c r="D267" s="2"/>
      <c r="E267" s="2"/>
      <c r="F267" s="2"/>
      <c r="I267" s="2"/>
      <c r="N267" s="2"/>
      <c r="S267" s="2"/>
    </row>
    <row r="268" ht="15.75" customHeight="1">
      <c r="A268" s="2"/>
      <c r="B268" s="2"/>
      <c r="C268" s="2"/>
      <c r="D268" s="2"/>
      <c r="E268" s="2"/>
      <c r="F268" s="2"/>
      <c r="I268" s="2"/>
      <c r="N268" s="2"/>
      <c r="S268" s="2"/>
    </row>
    <row r="269" ht="15.75" customHeight="1">
      <c r="A269" s="2"/>
      <c r="B269" s="2"/>
      <c r="C269" s="2"/>
      <c r="D269" s="2"/>
      <c r="E269" s="2"/>
      <c r="F269" s="2"/>
      <c r="I269" s="2"/>
      <c r="N269" s="2"/>
      <c r="S269" s="2"/>
    </row>
    <row r="270" ht="15.75" customHeight="1">
      <c r="A270" s="2"/>
      <c r="B270" s="2"/>
      <c r="C270" s="2"/>
      <c r="D270" s="2"/>
      <c r="E270" s="2"/>
      <c r="F270" s="2"/>
      <c r="I270" s="2"/>
      <c r="N270" s="2"/>
      <c r="S270" s="2"/>
    </row>
    <row r="271" ht="15.75" customHeight="1">
      <c r="A271" s="2"/>
      <c r="B271" s="2"/>
      <c r="C271" s="2"/>
      <c r="D271" s="2"/>
      <c r="E271" s="2"/>
      <c r="F271" s="2"/>
      <c r="I271" s="2"/>
      <c r="N271" s="2"/>
      <c r="S271" s="2"/>
    </row>
    <row r="272" ht="15.75" customHeight="1">
      <c r="A272" s="2"/>
      <c r="B272" s="2"/>
      <c r="C272" s="2"/>
      <c r="D272" s="2"/>
      <c r="E272" s="2"/>
      <c r="F272" s="2"/>
      <c r="I272" s="2"/>
      <c r="N272" s="2"/>
      <c r="S272" s="2"/>
    </row>
    <row r="273" ht="15.75" customHeight="1">
      <c r="A273" s="2"/>
      <c r="B273" s="2"/>
      <c r="C273" s="2"/>
      <c r="D273" s="2"/>
      <c r="E273" s="2"/>
      <c r="F273" s="2"/>
      <c r="I273" s="2"/>
      <c r="N273" s="2"/>
      <c r="S273" s="2"/>
    </row>
    <row r="274" ht="15.75" customHeight="1">
      <c r="A274" s="2"/>
      <c r="B274" s="2"/>
      <c r="C274" s="2"/>
      <c r="D274" s="2"/>
      <c r="E274" s="2"/>
      <c r="F274" s="2"/>
      <c r="I274" s="2"/>
      <c r="N274" s="2"/>
      <c r="S274" s="2"/>
    </row>
    <row r="275" ht="15.75" customHeight="1">
      <c r="A275" s="2"/>
      <c r="B275" s="2"/>
      <c r="C275" s="2"/>
      <c r="D275" s="2"/>
      <c r="E275" s="2"/>
      <c r="F275" s="2"/>
      <c r="I275" s="2"/>
      <c r="N275" s="2"/>
      <c r="S275" s="2"/>
    </row>
    <row r="276" ht="15.75" customHeight="1">
      <c r="A276" s="2"/>
      <c r="B276" s="2"/>
      <c r="C276" s="2"/>
      <c r="D276" s="2"/>
      <c r="E276" s="2"/>
      <c r="F276" s="2"/>
      <c r="I276" s="2"/>
      <c r="N276" s="2"/>
      <c r="S276" s="2"/>
    </row>
    <row r="277" ht="15.75" customHeight="1">
      <c r="A277" s="2"/>
      <c r="B277" s="2"/>
      <c r="C277" s="2"/>
      <c r="D277" s="2"/>
      <c r="E277" s="2"/>
      <c r="F277" s="2"/>
      <c r="I277" s="2"/>
      <c r="N277" s="2"/>
      <c r="S277" s="2"/>
    </row>
    <row r="278" ht="15.75" customHeight="1">
      <c r="A278" s="2"/>
      <c r="B278" s="2"/>
      <c r="C278" s="2"/>
      <c r="D278" s="2"/>
      <c r="E278" s="2"/>
      <c r="F278" s="2"/>
      <c r="I278" s="2"/>
      <c r="N278" s="2"/>
      <c r="S278" s="2"/>
    </row>
    <row r="279" ht="15.75" customHeight="1">
      <c r="A279" s="2"/>
      <c r="B279" s="2"/>
      <c r="C279" s="2"/>
      <c r="D279" s="2"/>
      <c r="E279" s="2"/>
      <c r="F279" s="2"/>
      <c r="I279" s="2"/>
      <c r="N279" s="2"/>
      <c r="S279" s="2"/>
    </row>
    <row r="280" ht="15.75" customHeight="1">
      <c r="A280" s="2"/>
      <c r="B280" s="2"/>
      <c r="C280" s="2"/>
      <c r="D280" s="2"/>
      <c r="E280" s="2"/>
      <c r="F280" s="2"/>
      <c r="I280" s="2"/>
      <c r="N280" s="2"/>
      <c r="S280" s="2"/>
    </row>
    <row r="281" ht="15.75" customHeight="1">
      <c r="A281" s="2"/>
      <c r="B281" s="2"/>
      <c r="C281" s="2"/>
      <c r="D281" s="2"/>
      <c r="E281" s="2"/>
      <c r="F281" s="2"/>
      <c r="I281" s="2"/>
      <c r="N281" s="2"/>
      <c r="S281" s="2"/>
    </row>
    <row r="282" ht="15.75" customHeight="1">
      <c r="A282" s="2"/>
      <c r="B282" s="2"/>
      <c r="C282" s="2"/>
      <c r="D282" s="2"/>
      <c r="E282" s="2"/>
      <c r="F282" s="2"/>
      <c r="I282" s="2"/>
      <c r="N282" s="2"/>
      <c r="S282" s="2"/>
    </row>
    <row r="283" ht="15.75" customHeight="1">
      <c r="A283" s="2"/>
      <c r="B283" s="2"/>
      <c r="C283" s="2"/>
      <c r="D283" s="2"/>
      <c r="E283" s="2"/>
      <c r="F283" s="2"/>
      <c r="I283" s="2"/>
      <c r="N283" s="2"/>
      <c r="S283" s="2"/>
    </row>
    <row r="284" ht="15.75" customHeight="1">
      <c r="A284" s="2"/>
      <c r="B284" s="2"/>
      <c r="C284" s="2"/>
      <c r="D284" s="2"/>
      <c r="E284" s="2"/>
      <c r="F284" s="2"/>
      <c r="I284" s="2"/>
      <c r="N284" s="2"/>
      <c r="S284" s="2"/>
    </row>
    <row r="285" ht="15.75" customHeight="1">
      <c r="A285" s="2"/>
      <c r="B285" s="2"/>
      <c r="C285" s="2"/>
      <c r="D285" s="2"/>
      <c r="E285" s="2"/>
      <c r="F285" s="2"/>
      <c r="I285" s="2"/>
      <c r="N285" s="2"/>
      <c r="S285" s="2"/>
    </row>
    <row r="286" ht="15.75" customHeight="1">
      <c r="A286" s="2"/>
      <c r="B286" s="2"/>
      <c r="C286" s="2"/>
      <c r="D286" s="2"/>
      <c r="E286" s="2"/>
      <c r="F286" s="2"/>
      <c r="I286" s="2"/>
      <c r="N286" s="2"/>
      <c r="S286" s="2"/>
    </row>
    <row r="287" ht="15.75" customHeight="1">
      <c r="A287" s="2"/>
      <c r="B287" s="2"/>
      <c r="C287" s="2"/>
      <c r="D287" s="2"/>
      <c r="E287" s="2"/>
      <c r="F287" s="2"/>
      <c r="I287" s="2"/>
      <c r="N287" s="2"/>
      <c r="S287" s="2"/>
    </row>
    <row r="288" ht="15.75" customHeight="1">
      <c r="A288" s="2"/>
      <c r="B288" s="2"/>
      <c r="C288" s="2"/>
      <c r="D288" s="2"/>
      <c r="E288" s="2"/>
      <c r="F288" s="2"/>
      <c r="I288" s="2"/>
      <c r="N288" s="2"/>
      <c r="S288" s="2"/>
    </row>
    <row r="289" ht="15.75" customHeight="1">
      <c r="A289" s="2"/>
      <c r="B289" s="2"/>
      <c r="C289" s="2"/>
      <c r="D289" s="2"/>
      <c r="E289" s="2"/>
      <c r="F289" s="2"/>
      <c r="I289" s="2"/>
      <c r="N289" s="2"/>
      <c r="S289" s="2"/>
    </row>
    <row r="290" ht="15.75" customHeight="1">
      <c r="A290" s="2"/>
      <c r="B290" s="2"/>
      <c r="C290" s="2"/>
      <c r="D290" s="2"/>
      <c r="E290" s="2"/>
      <c r="F290" s="2"/>
      <c r="I290" s="2"/>
      <c r="N290" s="2"/>
      <c r="S290" s="2"/>
    </row>
    <row r="291" ht="15.75" customHeight="1">
      <c r="A291" s="2"/>
      <c r="B291" s="2"/>
      <c r="C291" s="2"/>
      <c r="D291" s="2"/>
      <c r="E291" s="2"/>
      <c r="F291" s="2"/>
      <c r="I291" s="2"/>
      <c r="N291" s="2"/>
      <c r="S291" s="2"/>
    </row>
    <row r="292" ht="15.75" customHeight="1">
      <c r="A292" s="2"/>
      <c r="B292" s="2"/>
      <c r="C292" s="2"/>
      <c r="D292" s="2"/>
      <c r="E292" s="2"/>
      <c r="F292" s="2"/>
      <c r="I292" s="2"/>
      <c r="N292" s="2"/>
      <c r="S292" s="2"/>
    </row>
    <row r="293" ht="15.75" customHeight="1">
      <c r="A293" s="2"/>
      <c r="B293" s="2"/>
      <c r="C293" s="2"/>
      <c r="D293" s="2"/>
      <c r="E293" s="2"/>
      <c r="F293" s="2"/>
      <c r="I293" s="2"/>
      <c r="N293" s="2"/>
      <c r="S293" s="2"/>
    </row>
    <row r="294" ht="15.75" customHeight="1">
      <c r="A294" s="2"/>
      <c r="B294" s="2"/>
      <c r="C294" s="2"/>
      <c r="D294" s="2"/>
      <c r="E294" s="2"/>
      <c r="F294" s="2"/>
      <c r="I294" s="2"/>
      <c r="N294" s="2"/>
      <c r="S294" s="2"/>
    </row>
    <row r="295" ht="15.75" customHeight="1">
      <c r="A295" s="2"/>
      <c r="B295" s="2"/>
      <c r="C295" s="2"/>
      <c r="D295" s="2"/>
      <c r="E295" s="2"/>
      <c r="F295" s="2"/>
      <c r="I295" s="2"/>
      <c r="N295" s="2"/>
      <c r="S295" s="2"/>
    </row>
    <row r="296" ht="15.75" customHeight="1">
      <c r="A296" s="2"/>
      <c r="B296" s="2"/>
      <c r="C296" s="2"/>
      <c r="D296" s="2"/>
      <c r="E296" s="2"/>
      <c r="F296" s="2"/>
      <c r="I296" s="2"/>
      <c r="N296" s="2"/>
      <c r="S296" s="2"/>
    </row>
    <row r="297" ht="15.75" customHeight="1">
      <c r="A297" s="2"/>
      <c r="B297" s="2"/>
      <c r="C297" s="2"/>
      <c r="D297" s="2"/>
      <c r="E297" s="2"/>
      <c r="F297" s="2"/>
      <c r="I297" s="2"/>
      <c r="N297" s="2"/>
      <c r="S297" s="2"/>
    </row>
    <row r="298" ht="15.75" customHeight="1">
      <c r="A298" s="2"/>
      <c r="B298" s="2"/>
      <c r="C298" s="2"/>
      <c r="D298" s="2"/>
      <c r="E298" s="2"/>
      <c r="F298" s="2"/>
      <c r="I298" s="2"/>
      <c r="N298" s="2"/>
      <c r="S298" s="2"/>
    </row>
    <row r="299" ht="15.75" customHeight="1">
      <c r="A299" s="2"/>
      <c r="B299" s="2"/>
      <c r="C299" s="2"/>
      <c r="D299" s="2"/>
      <c r="E299" s="2"/>
      <c r="F299" s="2"/>
      <c r="I299" s="2"/>
      <c r="N299" s="2"/>
      <c r="S299" s="2"/>
    </row>
    <row r="300" ht="15.75" customHeight="1">
      <c r="A300" s="2"/>
      <c r="B300" s="2"/>
      <c r="C300" s="2"/>
      <c r="D300" s="2"/>
      <c r="E300" s="2"/>
      <c r="F300" s="2"/>
      <c r="I300" s="2"/>
      <c r="N300" s="2"/>
      <c r="S300" s="2"/>
    </row>
    <row r="301" ht="15.75" customHeight="1">
      <c r="A301" s="2"/>
      <c r="B301" s="2"/>
      <c r="C301" s="2"/>
      <c r="D301" s="2"/>
      <c r="E301" s="2"/>
      <c r="F301" s="2"/>
      <c r="I301" s="2"/>
      <c r="N301" s="2"/>
      <c r="S301" s="2"/>
    </row>
    <row r="302" ht="15.75" customHeight="1">
      <c r="A302" s="2"/>
      <c r="B302" s="2"/>
      <c r="C302" s="2"/>
      <c r="D302" s="2"/>
      <c r="E302" s="2"/>
      <c r="F302" s="2"/>
      <c r="I302" s="2"/>
      <c r="N302" s="2"/>
      <c r="S302" s="2"/>
    </row>
    <row r="303" ht="15.75" customHeight="1">
      <c r="A303" s="2"/>
      <c r="B303" s="2"/>
      <c r="C303" s="2"/>
      <c r="D303" s="2"/>
      <c r="E303" s="2"/>
      <c r="F303" s="2"/>
      <c r="I303" s="2"/>
      <c r="N303" s="2"/>
      <c r="S303" s="2"/>
    </row>
    <row r="304" ht="15.75" customHeight="1">
      <c r="A304" s="2"/>
      <c r="B304" s="2"/>
      <c r="C304" s="2"/>
      <c r="D304" s="2"/>
      <c r="E304" s="2"/>
      <c r="F304" s="2"/>
      <c r="I304" s="2"/>
      <c r="N304" s="2"/>
      <c r="S304" s="2"/>
    </row>
    <row r="305" ht="15.75" customHeight="1">
      <c r="A305" s="2"/>
      <c r="B305" s="2"/>
      <c r="C305" s="2"/>
      <c r="D305" s="2"/>
      <c r="E305" s="2"/>
      <c r="F305" s="2"/>
      <c r="I305" s="2"/>
      <c r="N305" s="2"/>
      <c r="S305" s="2"/>
    </row>
    <row r="306" ht="15.75" customHeight="1">
      <c r="A306" s="2"/>
      <c r="B306" s="2"/>
      <c r="C306" s="2"/>
      <c r="D306" s="2"/>
      <c r="E306" s="2"/>
      <c r="F306" s="2"/>
      <c r="I306" s="2"/>
      <c r="N306" s="2"/>
      <c r="S306" s="2"/>
    </row>
    <row r="307" ht="15.75" customHeight="1">
      <c r="A307" s="2"/>
      <c r="B307" s="2"/>
      <c r="C307" s="2"/>
      <c r="D307" s="2"/>
      <c r="E307" s="2"/>
      <c r="F307" s="2"/>
      <c r="I307" s="2"/>
      <c r="N307" s="2"/>
      <c r="S307" s="2"/>
    </row>
    <row r="308" ht="15.75" customHeight="1">
      <c r="A308" s="2"/>
      <c r="B308" s="2"/>
      <c r="C308" s="2"/>
      <c r="D308" s="2"/>
      <c r="E308" s="2"/>
      <c r="F308" s="2"/>
      <c r="I308" s="2"/>
      <c r="N308" s="2"/>
      <c r="S308" s="2"/>
    </row>
    <row r="309" ht="15.75" customHeight="1">
      <c r="A309" s="2"/>
      <c r="B309" s="2"/>
      <c r="C309" s="2"/>
      <c r="D309" s="2"/>
      <c r="E309" s="2"/>
      <c r="F309" s="2"/>
      <c r="I309" s="2"/>
      <c r="N309" s="2"/>
      <c r="S309" s="2"/>
    </row>
    <row r="310" ht="15.75" customHeight="1">
      <c r="A310" s="2"/>
      <c r="B310" s="2"/>
      <c r="C310" s="2"/>
      <c r="D310" s="2"/>
      <c r="E310" s="2"/>
      <c r="F310" s="2"/>
      <c r="I310" s="2"/>
      <c r="N310" s="2"/>
      <c r="S310" s="2"/>
    </row>
    <row r="311" ht="15.75" customHeight="1">
      <c r="A311" s="2"/>
      <c r="B311" s="2"/>
      <c r="C311" s="2"/>
      <c r="D311" s="2"/>
      <c r="E311" s="2"/>
      <c r="F311" s="2"/>
      <c r="I311" s="2"/>
      <c r="N311" s="2"/>
      <c r="S311" s="2"/>
    </row>
    <row r="312" ht="15.75" customHeight="1">
      <c r="A312" s="2"/>
      <c r="B312" s="2"/>
      <c r="C312" s="2"/>
      <c r="D312" s="2"/>
      <c r="E312" s="2"/>
      <c r="F312" s="2"/>
      <c r="I312" s="2"/>
      <c r="N312" s="2"/>
      <c r="S312" s="2"/>
    </row>
    <row r="313" ht="15.75" customHeight="1">
      <c r="A313" s="2"/>
      <c r="B313" s="2"/>
      <c r="C313" s="2"/>
      <c r="D313" s="2"/>
      <c r="E313" s="2"/>
      <c r="F313" s="2"/>
      <c r="I313" s="2"/>
      <c r="N313" s="2"/>
      <c r="S313" s="2"/>
    </row>
    <row r="314" ht="15.75" customHeight="1">
      <c r="A314" s="2"/>
      <c r="B314" s="2"/>
      <c r="C314" s="2"/>
      <c r="D314" s="2"/>
      <c r="E314" s="2"/>
      <c r="F314" s="2"/>
      <c r="I314" s="2"/>
      <c r="N314" s="2"/>
      <c r="S314" s="2"/>
    </row>
    <row r="315" ht="15.75" customHeight="1">
      <c r="A315" s="2"/>
      <c r="B315" s="2"/>
      <c r="C315" s="2"/>
      <c r="D315" s="2"/>
      <c r="E315" s="2"/>
      <c r="F315" s="2"/>
      <c r="I315" s="2"/>
      <c r="N315" s="2"/>
      <c r="S315" s="2"/>
    </row>
    <row r="316" ht="15.75" customHeight="1">
      <c r="A316" s="2"/>
      <c r="B316" s="2"/>
      <c r="C316" s="2"/>
      <c r="D316" s="2"/>
      <c r="E316" s="2"/>
      <c r="F316" s="2"/>
      <c r="I316" s="2"/>
      <c r="N316" s="2"/>
      <c r="S316" s="2"/>
    </row>
    <row r="317" ht="15.75" customHeight="1">
      <c r="A317" s="2"/>
      <c r="B317" s="2"/>
      <c r="C317" s="2"/>
      <c r="D317" s="2"/>
      <c r="E317" s="2"/>
      <c r="F317" s="2"/>
      <c r="I317" s="2"/>
      <c r="N317" s="2"/>
      <c r="S317" s="2"/>
    </row>
    <row r="318" ht="15.75" customHeight="1">
      <c r="A318" s="2"/>
      <c r="B318" s="2"/>
      <c r="C318" s="2"/>
      <c r="D318" s="2"/>
      <c r="E318" s="2"/>
      <c r="F318" s="2"/>
      <c r="I318" s="2"/>
      <c r="N318" s="2"/>
      <c r="S318" s="2"/>
    </row>
    <row r="319" ht="15.75" customHeight="1">
      <c r="A319" s="2"/>
      <c r="B319" s="2"/>
      <c r="C319" s="2"/>
      <c r="D319" s="2"/>
      <c r="E319" s="2"/>
      <c r="F319" s="2"/>
      <c r="I319" s="2"/>
      <c r="N319" s="2"/>
      <c r="S319" s="2"/>
    </row>
    <row r="320" ht="15.75" customHeight="1">
      <c r="A320" s="2"/>
      <c r="B320" s="2"/>
      <c r="C320" s="2"/>
      <c r="D320" s="2"/>
      <c r="E320" s="2"/>
      <c r="F320" s="2"/>
      <c r="I320" s="2"/>
      <c r="N320" s="2"/>
      <c r="S320" s="2"/>
    </row>
    <row r="321" ht="15.75" customHeight="1">
      <c r="A321" s="2"/>
      <c r="B321" s="2"/>
      <c r="C321" s="2"/>
      <c r="D321" s="2"/>
      <c r="E321" s="2"/>
      <c r="F321" s="2"/>
      <c r="I321" s="2"/>
      <c r="N321" s="2"/>
      <c r="S321" s="2"/>
    </row>
    <row r="322" ht="15.75" customHeight="1">
      <c r="A322" s="2"/>
      <c r="B322" s="2"/>
      <c r="C322" s="2"/>
      <c r="D322" s="2"/>
      <c r="E322" s="2"/>
      <c r="F322" s="2"/>
      <c r="I322" s="2"/>
      <c r="N322" s="2"/>
      <c r="S322" s="2"/>
    </row>
    <row r="323" ht="15.75" customHeight="1">
      <c r="A323" s="2"/>
      <c r="B323" s="2"/>
      <c r="C323" s="2"/>
      <c r="D323" s="2"/>
      <c r="E323" s="2"/>
      <c r="F323" s="2"/>
      <c r="I323" s="2"/>
      <c r="N323" s="2"/>
      <c r="S323" s="2"/>
    </row>
    <row r="324" ht="15.75" customHeight="1">
      <c r="A324" s="2"/>
      <c r="B324" s="2"/>
      <c r="C324" s="2"/>
      <c r="D324" s="2"/>
      <c r="E324" s="2"/>
      <c r="F324" s="2"/>
      <c r="I324" s="2"/>
      <c r="N324" s="2"/>
      <c r="S324" s="2"/>
    </row>
    <row r="325" ht="15.75" customHeight="1">
      <c r="A325" s="2"/>
      <c r="B325" s="2"/>
      <c r="C325" s="2"/>
      <c r="D325" s="2"/>
      <c r="E325" s="2"/>
      <c r="F325" s="2"/>
      <c r="I325" s="2"/>
      <c r="N325" s="2"/>
      <c r="S325" s="2"/>
    </row>
    <row r="326" ht="15.75" customHeight="1">
      <c r="A326" s="2"/>
      <c r="B326" s="2"/>
      <c r="C326" s="2"/>
      <c r="D326" s="2"/>
      <c r="E326" s="2"/>
      <c r="F326" s="2"/>
      <c r="I326" s="2"/>
      <c r="N326" s="2"/>
      <c r="S326" s="2"/>
    </row>
    <row r="327" ht="15.75" customHeight="1">
      <c r="A327" s="2"/>
      <c r="B327" s="2"/>
      <c r="C327" s="2"/>
      <c r="D327" s="2"/>
      <c r="E327" s="2"/>
      <c r="F327" s="2"/>
      <c r="I327" s="2"/>
      <c r="N327" s="2"/>
      <c r="S327" s="2"/>
    </row>
    <row r="328" ht="15.75" customHeight="1">
      <c r="A328" s="2"/>
      <c r="B328" s="2"/>
      <c r="C328" s="2"/>
      <c r="D328" s="2"/>
      <c r="E328" s="2"/>
      <c r="F328" s="2"/>
      <c r="I328" s="2"/>
      <c r="N328" s="2"/>
      <c r="S328" s="2"/>
    </row>
    <row r="329" ht="15.75" customHeight="1">
      <c r="A329" s="2"/>
      <c r="B329" s="2"/>
      <c r="C329" s="2"/>
      <c r="D329" s="2"/>
      <c r="E329" s="2"/>
      <c r="F329" s="2"/>
      <c r="I329" s="2"/>
      <c r="N329" s="2"/>
      <c r="S329" s="2"/>
    </row>
    <row r="330" ht="15.75" customHeight="1">
      <c r="A330" s="2"/>
      <c r="B330" s="2"/>
      <c r="C330" s="2"/>
      <c r="D330" s="2"/>
      <c r="E330" s="2"/>
      <c r="F330" s="2"/>
      <c r="I330" s="2"/>
      <c r="N330" s="2"/>
      <c r="S330" s="2"/>
    </row>
    <row r="331" ht="15.75" customHeight="1">
      <c r="A331" s="2"/>
      <c r="B331" s="2"/>
      <c r="C331" s="2"/>
      <c r="D331" s="2"/>
      <c r="E331" s="2"/>
      <c r="F331" s="2"/>
      <c r="I331" s="2"/>
      <c r="N331" s="2"/>
      <c r="S331" s="2"/>
    </row>
    <row r="332" ht="15.75" customHeight="1">
      <c r="A332" s="2"/>
      <c r="B332" s="2"/>
      <c r="C332" s="2"/>
      <c r="D332" s="2"/>
      <c r="E332" s="2"/>
      <c r="F332" s="2"/>
      <c r="I332" s="2"/>
      <c r="N332" s="2"/>
      <c r="S332" s="2"/>
    </row>
    <row r="333" ht="15.75" customHeight="1">
      <c r="A333" s="2"/>
      <c r="B333" s="2"/>
      <c r="C333" s="2"/>
      <c r="D333" s="2"/>
      <c r="E333" s="2"/>
      <c r="F333" s="2"/>
      <c r="I333" s="2"/>
      <c r="N333" s="2"/>
      <c r="S333" s="2"/>
    </row>
    <row r="334" ht="15.75" customHeight="1">
      <c r="A334" s="2"/>
      <c r="B334" s="2"/>
      <c r="C334" s="2"/>
      <c r="D334" s="2"/>
      <c r="E334" s="2"/>
      <c r="F334" s="2"/>
      <c r="I334" s="2"/>
      <c r="N334" s="2"/>
      <c r="S334" s="2"/>
    </row>
    <row r="335" ht="15.75" customHeight="1">
      <c r="A335" s="2"/>
      <c r="B335" s="2"/>
      <c r="C335" s="2"/>
      <c r="D335" s="2"/>
      <c r="E335" s="2"/>
      <c r="F335" s="2"/>
      <c r="I335" s="2"/>
      <c r="N335" s="2"/>
      <c r="S335" s="2"/>
    </row>
    <row r="336" ht="15.75" customHeight="1">
      <c r="A336" s="2"/>
      <c r="B336" s="2"/>
      <c r="C336" s="2"/>
      <c r="D336" s="2"/>
      <c r="E336" s="2"/>
      <c r="F336" s="2"/>
      <c r="I336" s="2"/>
      <c r="N336" s="2"/>
      <c r="S336" s="2"/>
    </row>
    <row r="337" ht="15.75" customHeight="1">
      <c r="A337" s="2"/>
      <c r="B337" s="2"/>
      <c r="C337" s="2"/>
      <c r="D337" s="2"/>
      <c r="E337" s="2"/>
      <c r="F337" s="2"/>
      <c r="I337" s="2"/>
      <c r="N337" s="2"/>
      <c r="S337" s="2"/>
    </row>
    <row r="338" ht="15.75" customHeight="1">
      <c r="A338" s="2"/>
      <c r="B338" s="2"/>
      <c r="C338" s="2"/>
      <c r="D338" s="2"/>
      <c r="E338" s="2"/>
      <c r="F338" s="2"/>
      <c r="I338" s="2"/>
      <c r="N338" s="2"/>
      <c r="S338" s="2"/>
    </row>
    <row r="339" ht="15.75" customHeight="1">
      <c r="A339" s="2"/>
      <c r="B339" s="2"/>
      <c r="C339" s="2"/>
      <c r="D339" s="2"/>
      <c r="E339" s="2"/>
      <c r="F339" s="2"/>
      <c r="I339" s="2"/>
      <c r="N339" s="2"/>
      <c r="S339" s="2"/>
    </row>
    <row r="340" ht="15.75" customHeight="1">
      <c r="A340" s="2"/>
      <c r="B340" s="2"/>
      <c r="C340" s="2"/>
      <c r="D340" s="2"/>
      <c r="E340" s="2"/>
      <c r="F340" s="2"/>
      <c r="I340" s="2"/>
      <c r="N340" s="2"/>
      <c r="S340" s="2"/>
    </row>
    <row r="341" ht="15.75" customHeight="1">
      <c r="A341" s="2"/>
      <c r="B341" s="2"/>
      <c r="C341" s="2"/>
      <c r="D341" s="2"/>
      <c r="E341" s="2"/>
      <c r="F341" s="2"/>
      <c r="I341" s="2"/>
      <c r="N341" s="2"/>
      <c r="S341" s="2"/>
    </row>
    <row r="342" ht="15.75" customHeight="1">
      <c r="A342" s="2"/>
      <c r="B342" s="2"/>
      <c r="C342" s="2"/>
      <c r="D342" s="2"/>
      <c r="E342" s="2"/>
      <c r="F342" s="2"/>
      <c r="I342" s="2"/>
      <c r="N342" s="2"/>
      <c r="S342" s="2"/>
    </row>
    <row r="343" ht="15.75" customHeight="1">
      <c r="A343" s="2"/>
      <c r="B343" s="2"/>
      <c r="C343" s="2"/>
      <c r="D343" s="2"/>
      <c r="E343" s="2"/>
      <c r="F343" s="2"/>
      <c r="I343" s="2"/>
      <c r="N343" s="2"/>
      <c r="S343" s="2"/>
    </row>
    <row r="344" ht="15.75" customHeight="1">
      <c r="A344" s="2"/>
      <c r="B344" s="2"/>
      <c r="C344" s="2"/>
      <c r="D344" s="2"/>
      <c r="E344" s="2"/>
      <c r="F344" s="2"/>
      <c r="I344" s="2"/>
      <c r="N344" s="2"/>
      <c r="S344" s="2"/>
    </row>
    <row r="345" ht="15.75" customHeight="1">
      <c r="A345" s="2"/>
      <c r="B345" s="2"/>
      <c r="C345" s="2"/>
      <c r="D345" s="2"/>
      <c r="E345" s="2"/>
      <c r="F345" s="2"/>
      <c r="I345" s="2"/>
      <c r="N345" s="2"/>
      <c r="S345" s="2"/>
    </row>
    <row r="346" ht="15.75" customHeight="1">
      <c r="A346" s="2"/>
      <c r="B346" s="2"/>
      <c r="C346" s="2"/>
      <c r="D346" s="2"/>
      <c r="E346" s="2"/>
      <c r="F346" s="2"/>
      <c r="I346" s="2"/>
      <c r="N346" s="2"/>
      <c r="S346" s="2"/>
    </row>
    <row r="347" ht="15.75" customHeight="1">
      <c r="A347" s="2"/>
      <c r="B347" s="2"/>
      <c r="C347" s="2"/>
      <c r="D347" s="2"/>
      <c r="E347" s="2"/>
      <c r="F347" s="2"/>
      <c r="I347" s="2"/>
      <c r="N347" s="2"/>
      <c r="S347" s="2"/>
    </row>
    <row r="348" ht="15.75" customHeight="1">
      <c r="A348" s="2"/>
      <c r="B348" s="2"/>
      <c r="C348" s="2"/>
      <c r="D348" s="2"/>
      <c r="E348" s="2"/>
      <c r="F348" s="2"/>
      <c r="I348" s="2"/>
      <c r="N348" s="2"/>
      <c r="S348" s="2"/>
    </row>
    <row r="349" ht="15.75" customHeight="1">
      <c r="A349" s="2"/>
      <c r="B349" s="2"/>
      <c r="C349" s="2"/>
      <c r="D349" s="2"/>
      <c r="E349" s="2"/>
      <c r="F349" s="2"/>
      <c r="I349" s="2"/>
      <c r="N349" s="2"/>
      <c r="S349" s="2"/>
    </row>
    <row r="350" ht="15.75" customHeight="1">
      <c r="A350" s="2"/>
      <c r="B350" s="2"/>
      <c r="C350" s="2"/>
      <c r="D350" s="2"/>
      <c r="E350" s="2"/>
      <c r="F350" s="2"/>
      <c r="I350" s="2"/>
      <c r="N350" s="2"/>
      <c r="S350" s="2"/>
    </row>
    <row r="351" ht="15.75" customHeight="1">
      <c r="A351" s="2"/>
      <c r="B351" s="2"/>
      <c r="C351" s="2"/>
      <c r="D351" s="2"/>
      <c r="E351" s="2"/>
      <c r="F351" s="2"/>
      <c r="I351" s="2"/>
      <c r="N351" s="2"/>
      <c r="S351" s="2"/>
    </row>
    <row r="352" ht="15.75" customHeight="1">
      <c r="A352" s="2"/>
      <c r="B352" s="2"/>
      <c r="C352" s="2"/>
      <c r="D352" s="2"/>
      <c r="E352" s="2"/>
      <c r="F352" s="2"/>
      <c r="I352" s="2"/>
      <c r="N352" s="2"/>
      <c r="S352" s="2"/>
    </row>
    <row r="353" ht="15.75" customHeight="1">
      <c r="A353" s="2"/>
      <c r="B353" s="2"/>
      <c r="C353" s="2"/>
      <c r="D353" s="2"/>
      <c r="E353" s="2"/>
      <c r="F353" s="2"/>
      <c r="I353" s="2"/>
      <c r="N353" s="2"/>
      <c r="S353" s="2"/>
    </row>
    <row r="354" ht="15.75" customHeight="1">
      <c r="A354" s="2"/>
      <c r="B354" s="2"/>
      <c r="C354" s="2"/>
      <c r="D354" s="2"/>
      <c r="E354" s="2"/>
      <c r="F354" s="2"/>
      <c r="I354" s="2"/>
      <c r="N354" s="2"/>
      <c r="S354" s="2"/>
    </row>
    <row r="355" ht="15.75" customHeight="1">
      <c r="A355" s="2"/>
      <c r="B355" s="2"/>
      <c r="C355" s="2"/>
      <c r="D355" s="2"/>
      <c r="E355" s="2"/>
      <c r="F355" s="2"/>
      <c r="I355" s="2"/>
      <c r="N355" s="2"/>
      <c r="S355" s="2"/>
    </row>
    <row r="356" ht="15.75" customHeight="1">
      <c r="A356" s="2"/>
      <c r="B356" s="2"/>
      <c r="C356" s="2"/>
      <c r="D356" s="2"/>
      <c r="E356" s="2"/>
      <c r="F356" s="2"/>
      <c r="I356" s="2"/>
      <c r="N356" s="2"/>
      <c r="S356" s="2"/>
    </row>
    <row r="357" ht="15.75" customHeight="1">
      <c r="A357" s="2"/>
      <c r="B357" s="2"/>
      <c r="C357" s="2"/>
      <c r="D357" s="2"/>
      <c r="E357" s="2"/>
      <c r="F357" s="2"/>
      <c r="I357" s="2"/>
      <c r="N357" s="2"/>
      <c r="S357" s="2"/>
    </row>
    <row r="358" ht="15.75" customHeight="1">
      <c r="A358" s="2"/>
      <c r="B358" s="2"/>
      <c r="C358" s="2"/>
      <c r="D358" s="2"/>
      <c r="E358" s="2"/>
      <c r="F358" s="2"/>
      <c r="I358" s="2"/>
      <c r="N358" s="2"/>
      <c r="S358" s="2"/>
    </row>
    <row r="359" ht="15.75" customHeight="1">
      <c r="A359" s="2"/>
      <c r="B359" s="2"/>
      <c r="C359" s="2"/>
      <c r="D359" s="2"/>
      <c r="E359" s="2"/>
      <c r="F359" s="2"/>
      <c r="I359" s="2"/>
      <c r="N359" s="2"/>
      <c r="S359" s="2"/>
    </row>
    <row r="360" ht="15.75" customHeight="1">
      <c r="A360" s="2"/>
      <c r="B360" s="2"/>
      <c r="C360" s="2"/>
      <c r="D360" s="2"/>
      <c r="E360" s="2"/>
      <c r="F360" s="2"/>
      <c r="I360" s="2"/>
      <c r="N360" s="2"/>
      <c r="S360" s="2"/>
    </row>
    <row r="361" ht="15.75" customHeight="1">
      <c r="A361" s="2"/>
      <c r="B361" s="2"/>
      <c r="C361" s="2"/>
      <c r="D361" s="2"/>
      <c r="E361" s="2"/>
      <c r="F361" s="2"/>
      <c r="I361" s="2"/>
      <c r="N361" s="2"/>
      <c r="S361" s="2"/>
    </row>
    <row r="362" ht="15.75" customHeight="1">
      <c r="A362" s="2"/>
      <c r="B362" s="2"/>
      <c r="C362" s="2"/>
      <c r="D362" s="2"/>
      <c r="E362" s="2"/>
      <c r="F362" s="2"/>
      <c r="I362" s="2"/>
      <c r="N362" s="2"/>
      <c r="S362" s="2"/>
    </row>
    <row r="363" ht="15.75" customHeight="1">
      <c r="A363" s="2"/>
      <c r="B363" s="2"/>
      <c r="C363" s="2"/>
      <c r="D363" s="2"/>
      <c r="E363" s="2"/>
      <c r="F363" s="2"/>
      <c r="I363" s="2"/>
      <c r="N363" s="2"/>
      <c r="S363" s="2"/>
    </row>
    <row r="364" ht="15.75" customHeight="1">
      <c r="A364" s="2"/>
      <c r="B364" s="2"/>
      <c r="C364" s="2"/>
      <c r="D364" s="2"/>
      <c r="E364" s="2"/>
      <c r="F364" s="2"/>
      <c r="I364" s="2"/>
      <c r="N364" s="2"/>
      <c r="S364" s="2"/>
    </row>
    <row r="365" ht="15.75" customHeight="1">
      <c r="A365" s="2"/>
      <c r="B365" s="2"/>
      <c r="C365" s="2"/>
      <c r="D365" s="2"/>
      <c r="E365" s="2"/>
      <c r="F365" s="2"/>
      <c r="I365" s="2"/>
      <c r="N365" s="2"/>
      <c r="S365" s="2"/>
    </row>
    <row r="366" ht="15.75" customHeight="1">
      <c r="A366" s="2"/>
      <c r="B366" s="2"/>
      <c r="C366" s="2"/>
      <c r="D366" s="2"/>
      <c r="E366" s="2"/>
      <c r="F366" s="2"/>
      <c r="I366" s="2"/>
      <c r="N366" s="2"/>
      <c r="S366" s="2"/>
    </row>
    <row r="367" ht="15.75" customHeight="1">
      <c r="A367" s="2"/>
      <c r="B367" s="2"/>
      <c r="C367" s="2"/>
      <c r="D367" s="2"/>
      <c r="E367" s="2"/>
      <c r="F367" s="2"/>
      <c r="I367" s="2"/>
      <c r="N367" s="2"/>
      <c r="S367" s="2"/>
    </row>
    <row r="368" ht="15.75" customHeight="1">
      <c r="A368" s="2"/>
      <c r="B368" s="2"/>
      <c r="C368" s="2"/>
      <c r="D368" s="2"/>
      <c r="E368" s="2"/>
      <c r="F368" s="2"/>
      <c r="I368" s="2"/>
      <c r="N368" s="2"/>
      <c r="S368" s="2"/>
    </row>
    <row r="369" ht="15.75" customHeight="1">
      <c r="A369" s="2"/>
      <c r="B369" s="2"/>
      <c r="C369" s="2"/>
      <c r="D369" s="2"/>
      <c r="E369" s="2"/>
      <c r="F369" s="2"/>
      <c r="I369" s="2"/>
      <c r="N369" s="2"/>
      <c r="S369" s="2"/>
    </row>
    <row r="370" ht="15.75" customHeight="1">
      <c r="A370" s="2"/>
      <c r="B370" s="2"/>
      <c r="C370" s="2"/>
      <c r="D370" s="2"/>
      <c r="E370" s="2"/>
      <c r="F370" s="2"/>
      <c r="I370" s="2"/>
      <c r="N370" s="2"/>
      <c r="S370" s="2"/>
    </row>
    <row r="371" ht="15.75" customHeight="1">
      <c r="A371" s="2"/>
      <c r="B371" s="2"/>
      <c r="C371" s="2"/>
      <c r="D371" s="2"/>
      <c r="E371" s="2"/>
      <c r="F371" s="2"/>
      <c r="I371" s="2"/>
      <c r="N371" s="2"/>
      <c r="S371" s="2"/>
    </row>
    <row r="372" ht="15.75" customHeight="1">
      <c r="A372" s="2"/>
      <c r="B372" s="2"/>
      <c r="C372" s="2"/>
      <c r="D372" s="2"/>
      <c r="E372" s="2"/>
      <c r="F372" s="2"/>
      <c r="I372" s="2"/>
      <c r="N372" s="2"/>
      <c r="S372" s="2"/>
    </row>
    <row r="373" ht="15.75" customHeight="1">
      <c r="A373" s="2"/>
      <c r="B373" s="2"/>
      <c r="C373" s="2"/>
      <c r="D373" s="2"/>
      <c r="E373" s="2"/>
      <c r="F373" s="2"/>
      <c r="I373" s="2"/>
      <c r="N373" s="2"/>
      <c r="S373" s="2"/>
    </row>
    <row r="374" ht="15.75" customHeight="1">
      <c r="A374" s="2"/>
      <c r="B374" s="2"/>
      <c r="C374" s="2"/>
      <c r="D374" s="2"/>
      <c r="E374" s="2"/>
      <c r="F374" s="2"/>
      <c r="I374" s="2"/>
      <c r="N374" s="2"/>
      <c r="S374" s="2"/>
    </row>
    <row r="375" ht="15.75" customHeight="1">
      <c r="A375" s="2"/>
      <c r="B375" s="2"/>
      <c r="C375" s="2"/>
      <c r="D375" s="2"/>
      <c r="E375" s="2"/>
      <c r="F375" s="2"/>
      <c r="I375" s="2"/>
      <c r="N375" s="2"/>
      <c r="S375" s="2"/>
    </row>
    <row r="376" ht="15.75" customHeight="1">
      <c r="A376" s="2"/>
      <c r="B376" s="2"/>
      <c r="C376" s="2"/>
      <c r="D376" s="2"/>
      <c r="E376" s="2"/>
      <c r="F376" s="2"/>
      <c r="I376" s="2"/>
      <c r="N376" s="2"/>
      <c r="S376" s="2"/>
    </row>
    <row r="377" ht="15.75" customHeight="1">
      <c r="A377" s="2"/>
      <c r="B377" s="2"/>
      <c r="C377" s="2"/>
      <c r="D377" s="2"/>
      <c r="E377" s="2"/>
      <c r="F377" s="2"/>
      <c r="I377" s="2"/>
      <c r="N377" s="2"/>
      <c r="S377" s="2"/>
    </row>
    <row r="378" ht="15.75" customHeight="1">
      <c r="A378" s="2"/>
      <c r="B378" s="2"/>
      <c r="C378" s="2"/>
      <c r="D378" s="2"/>
      <c r="E378" s="2"/>
      <c r="F378" s="2"/>
      <c r="I378" s="2"/>
      <c r="N378" s="2"/>
      <c r="S378" s="2"/>
    </row>
    <row r="379" ht="15.75" customHeight="1">
      <c r="A379" s="2"/>
      <c r="B379" s="2"/>
      <c r="C379" s="2"/>
      <c r="D379" s="2"/>
      <c r="E379" s="2"/>
      <c r="F379" s="2"/>
      <c r="I379" s="2"/>
      <c r="N379" s="2"/>
      <c r="S379" s="2"/>
    </row>
    <row r="380" ht="15.75" customHeight="1">
      <c r="A380" s="2"/>
      <c r="B380" s="2"/>
      <c r="C380" s="2"/>
      <c r="D380" s="2"/>
      <c r="E380" s="2"/>
      <c r="F380" s="2"/>
      <c r="I380" s="2"/>
      <c r="N380" s="2"/>
      <c r="S380" s="2"/>
    </row>
    <row r="381" ht="15.75" customHeight="1">
      <c r="A381" s="2"/>
      <c r="B381" s="2"/>
      <c r="C381" s="2"/>
      <c r="D381" s="2"/>
      <c r="E381" s="2"/>
      <c r="F381" s="2"/>
      <c r="I381" s="2"/>
      <c r="N381" s="2"/>
      <c r="S381" s="2"/>
    </row>
    <row r="382" ht="15.75" customHeight="1">
      <c r="A382" s="2"/>
      <c r="B382" s="2"/>
      <c r="C382" s="2"/>
      <c r="D382" s="2"/>
      <c r="E382" s="2"/>
      <c r="F382" s="2"/>
      <c r="I382" s="2"/>
      <c r="N382" s="2"/>
      <c r="S382" s="2"/>
    </row>
    <row r="383" ht="15.75" customHeight="1">
      <c r="A383" s="2"/>
      <c r="B383" s="2"/>
      <c r="C383" s="2"/>
      <c r="D383" s="2"/>
      <c r="E383" s="2"/>
      <c r="F383" s="2"/>
      <c r="I383" s="2"/>
      <c r="N383" s="2"/>
      <c r="S383" s="2"/>
    </row>
    <row r="384" ht="15.75" customHeight="1">
      <c r="A384" s="2"/>
      <c r="B384" s="2"/>
      <c r="C384" s="2"/>
      <c r="D384" s="2"/>
      <c r="E384" s="2"/>
      <c r="F384" s="2"/>
      <c r="I384" s="2"/>
      <c r="N384" s="2"/>
      <c r="S384" s="2"/>
    </row>
    <row r="385" ht="15.75" customHeight="1">
      <c r="A385" s="2"/>
      <c r="B385" s="2"/>
      <c r="C385" s="2"/>
      <c r="D385" s="2"/>
      <c r="E385" s="2"/>
      <c r="F385" s="2"/>
      <c r="I385" s="2"/>
      <c r="N385" s="2"/>
      <c r="S385" s="2"/>
    </row>
    <row r="386" ht="15.75" customHeight="1">
      <c r="A386" s="2"/>
      <c r="B386" s="2"/>
      <c r="C386" s="2"/>
      <c r="D386" s="2"/>
      <c r="E386" s="2"/>
      <c r="F386" s="2"/>
      <c r="I386" s="2"/>
      <c r="N386" s="2"/>
      <c r="S386" s="2"/>
    </row>
    <row r="387" ht="15.75" customHeight="1">
      <c r="A387" s="2"/>
      <c r="B387" s="2"/>
      <c r="C387" s="2"/>
      <c r="D387" s="2"/>
      <c r="E387" s="2"/>
      <c r="F387" s="2"/>
      <c r="I387" s="2"/>
      <c r="N387" s="2"/>
      <c r="S387" s="2"/>
    </row>
    <row r="388" ht="15.75" customHeight="1">
      <c r="A388" s="2"/>
      <c r="B388" s="2"/>
      <c r="C388" s="2"/>
      <c r="D388" s="2"/>
      <c r="E388" s="2"/>
      <c r="F388" s="2"/>
      <c r="I388" s="2"/>
      <c r="N388" s="2"/>
      <c r="S388" s="2"/>
    </row>
    <row r="389" ht="15.75" customHeight="1">
      <c r="A389" s="2"/>
      <c r="B389" s="2"/>
      <c r="C389" s="2"/>
      <c r="D389" s="2"/>
      <c r="E389" s="2"/>
      <c r="F389" s="2"/>
      <c r="I389" s="2"/>
      <c r="N389" s="2"/>
      <c r="S389" s="2"/>
    </row>
    <row r="390" ht="15.75" customHeight="1">
      <c r="A390" s="2"/>
      <c r="B390" s="2"/>
      <c r="C390" s="2"/>
      <c r="D390" s="2"/>
      <c r="E390" s="2"/>
      <c r="F390" s="2"/>
      <c r="I390" s="2"/>
      <c r="N390" s="2"/>
      <c r="S390" s="2"/>
    </row>
    <row r="391" ht="15.75" customHeight="1">
      <c r="A391" s="2"/>
      <c r="B391" s="2"/>
      <c r="C391" s="2"/>
      <c r="D391" s="2"/>
      <c r="E391" s="2"/>
      <c r="F391" s="2"/>
      <c r="I391" s="2"/>
      <c r="N391" s="2"/>
      <c r="S391" s="2"/>
    </row>
    <row r="392" ht="15.75" customHeight="1">
      <c r="A392" s="2"/>
      <c r="B392" s="2"/>
      <c r="C392" s="2"/>
      <c r="D392" s="2"/>
      <c r="E392" s="2"/>
      <c r="F392" s="2"/>
      <c r="I392" s="2"/>
      <c r="N392" s="2"/>
      <c r="S392" s="2"/>
    </row>
    <row r="393" ht="15.75" customHeight="1">
      <c r="A393" s="2"/>
      <c r="B393" s="2"/>
      <c r="C393" s="2"/>
      <c r="D393" s="2"/>
      <c r="E393" s="2"/>
      <c r="F393" s="2"/>
      <c r="I393" s="2"/>
      <c r="N393" s="2"/>
      <c r="S393" s="2"/>
    </row>
    <row r="394" ht="15.75" customHeight="1">
      <c r="A394" s="2"/>
      <c r="B394" s="2"/>
      <c r="C394" s="2"/>
      <c r="D394" s="2"/>
      <c r="E394" s="2"/>
      <c r="F394" s="2"/>
      <c r="I394" s="2"/>
      <c r="N394" s="2"/>
      <c r="S394" s="2"/>
    </row>
    <row r="395" ht="15.75" customHeight="1">
      <c r="A395" s="2"/>
      <c r="B395" s="2"/>
      <c r="C395" s="2"/>
      <c r="D395" s="2"/>
      <c r="E395" s="2"/>
      <c r="F395" s="2"/>
      <c r="I395" s="2"/>
      <c r="N395" s="2"/>
      <c r="S395" s="2"/>
    </row>
    <row r="396" ht="15.75" customHeight="1">
      <c r="A396" s="2"/>
      <c r="B396" s="2"/>
      <c r="C396" s="2"/>
      <c r="D396" s="2"/>
      <c r="E396" s="2"/>
      <c r="F396" s="2"/>
      <c r="I396" s="2"/>
      <c r="N396" s="2"/>
      <c r="S396" s="2"/>
    </row>
    <row r="397" ht="15.75" customHeight="1">
      <c r="A397" s="2"/>
      <c r="B397" s="2"/>
      <c r="C397" s="2"/>
      <c r="D397" s="2"/>
      <c r="E397" s="2"/>
      <c r="F397" s="2"/>
      <c r="I397" s="2"/>
      <c r="N397" s="2"/>
      <c r="S397" s="2"/>
    </row>
    <row r="398" ht="15.75" customHeight="1">
      <c r="A398" s="2"/>
      <c r="B398" s="2"/>
      <c r="C398" s="2"/>
      <c r="D398" s="2"/>
      <c r="E398" s="2"/>
      <c r="F398" s="2"/>
      <c r="I398" s="2"/>
      <c r="N398" s="2"/>
      <c r="S398" s="2"/>
    </row>
    <row r="399" ht="15.75" customHeight="1">
      <c r="A399" s="2"/>
      <c r="B399" s="2"/>
      <c r="C399" s="2"/>
      <c r="D399" s="2"/>
      <c r="E399" s="2"/>
      <c r="F399" s="2"/>
      <c r="I399" s="2"/>
      <c r="N399" s="2"/>
      <c r="S399" s="2"/>
    </row>
    <row r="400" ht="15.75" customHeight="1">
      <c r="A400" s="2"/>
      <c r="B400" s="2"/>
      <c r="C400" s="2"/>
      <c r="D400" s="2"/>
      <c r="E400" s="2"/>
      <c r="F400" s="2"/>
      <c r="I400" s="2"/>
      <c r="N400" s="2"/>
      <c r="S400" s="2"/>
    </row>
    <row r="401" ht="15.75" customHeight="1">
      <c r="A401" s="2"/>
      <c r="B401" s="2"/>
      <c r="C401" s="2"/>
      <c r="D401" s="2"/>
      <c r="E401" s="2"/>
      <c r="F401" s="2"/>
      <c r="I401" s="2"/>
      <c r="N401" s="2"/>
      <c r="S401" s="2"/>
    </row>
    <row r="402" ht="15.75" customHeight="1">
      <c r="A402" s="2"/>
      <c r="B402" s="2"/>
      <c r="C402" s="2"/>
      <c r="D402" s="2"/>
      <c r="E402" s="2"/>
      <c r="F402" s="2"/>
      <c r="I402" s="2"/>
      <c r="N402" s="2"/>
      <c r="S402" s="2"/>
    </row>
    <row r="403" ht="15.75" customHeight="1">
      <c r="A403" s="2"/>
      <c r="B403" s="2"/>
      <c r="C403" s="2"/>
      <c r="D403" s="2"/>
      <c r="E403" s="2"/>
      <c r="F403" s="2"/>
      <c r="I403" s="2"/>
      <c r="N403" s="2"/>
      <c r="S403" s="2"/>
    </row>
    <row r="404" ht="15.75" customHeight="1">
      <c r="A404" s="2"/>
      <c r="B404" s="2"/>
      <c r="C404" s="2"/>
      <c r="D404" s="2"/>
      <c r="E404" s="2"/>
      <c r="F404" s="2"/>
      <c r="I404" s="2"/>
      <c r="N404" s="2"/>
      <c r="S404" s="2"/>
    </row>
    <row r="405" ht="15.75" customHeight="1">
      <c r="A405" s="2"/>
      <c r="B405" s="2"/>
      <c r="C405" s="2"/>
      <c r="D405" s="2"/>
      <c r="E405" s="2"/>
      <c r="F405" s="2"/>
      <c r="I405" s="2"/>
      <c r="N405" s="2"/>
      <c r="S405" s="2"/>
    </row>
    <row r="406" ht="15.75" customHeight="1">
      <c r="A406" s="2"/>
      <c r="B406" s="2"/>
      <c r="C406" s="2"/>
      <c r="D406" s="2"/>
      <c r="E406" s="2"/>
      <c r="F406" s="2"/>
      <c r="I406" s="2"/>
      <c r="N406" s="2"/>
      <c r="S406" s="2"/>
    </row>
    <row r="407" ht="15.75" customHeight="1">
      <c r="A407" s="2"/>
      <c r="B407" s="2"/>
      <c r="C407" s="2"/>
      <c r="D407" s="2"/>
      <c r="E407" s="2"/>
      <c r="F407" s="2"/>
      <c r="I407" s="2"/>
      <c r="N407" s="2"/>
      <c r="S407" s="2"/>
    </row>
    <row r="408" ht="15.75" customHeight="1">
      <c r="A408" s="2"/>
      <c r="B408" s="2"/>
      <c r="C408" s="2"/>
      <c r="D408" s="2"/>
      <c r="E408" s="2"/>
      <c r="F408" s="2"/>
      <c r="I408" s="2"/>
      <c r="N408" s="2"/>
      <c r="S408" s="2"/>
    </row>
    <row r="409" ht="15.75" customHeight="1">
      <c r="A409" s="2"/>
      <c r="B409" s="2"/>
      <c r="C409" s="2"/>
      <c r="D409" s="2"/>
      <c r="E409" s="2"/>
      <c r="F409" s="2"/>
      <c r="I409" s="2"/>
      <c r="N409" s="2"/>
      <c r="S409" s="2"/>
    </row>
    <row r="410" ht="15.75" customHeight="1">
      <c r="A410" s="2"/>
      <c r="B410" s="2"/>
      <c r="C410" s="2"/>
      <c r="D410" s="2"/>
      <c r="E410" s="2"/>
      <c r="F410" s="2"/>
      <c r="I410" s="2"/>
      <c r="N410" s="2"/>
      <c r="S410" s="2"/>
    </row>
    <row r="411" ht="15.75" customHeight="1">
      <c r="A411" s="2"/>
      <c r="B411" s="2"/>
      <c r="C411" s="2"/>
      <c r="D411" s="2"/>
      <c r="E411" s="2"/>
      <c r="F411" s="2"/>
      <c r="I411" s="2"/>
      <c r="N411" s="2"/>
      <c r="S411" s="2"/>
    </row>
    <row r="412" ht="15.75" customHeight="1">
      <c r="A412" s="2"/>
      <c r="B412" s="2"/>
      <c r="C412" s="2"/>
      <c r="D412" s="2"/>
      <c r="E412" s="2"/>
      <c r="F412" s="2"/>
      <c r="I412" s="2"/>
      <c r="N412" s="2"/>
      <c r="S412" s="2"/>
    </row>
    <row r="413" ht="15.75" customHeight="1">
      <c r="A413" s="2"/>
      <c r="B413" s="2"/>
      <c r="C413" s="2"/>
      <c r="D413" s="2"/>
      <c r="E413" s="2"/>
      <c r="F413" s="2"/>
      <c r="I413" s="2"/>
      <c r="N413" s="2"/>
      <c r="S413" s="2"/>
    </row>
    <row r="414" ht="15.75" customHeight="1">
      <c r="A414" s="2"/>
      <c r="B414" s="2"/>
      <c r="C414" s="2"/>
      <c r="D414" s="2"/>
      <c r="E414" s="2"/>
      <c r="F414" s="2"/>
      <c r="I414" s="2"/>
      <c r="N414" s="2"/>
      <c r="S414" s="2"/>
    </row>
    <row r="415" ht="15.75" customHeight="1">
      <c r="A415" s="2"/>
      <c r="B415" s="2"/>
      <c r="C415" s="2"/>
      <c r="D415" s="2"/>
      <c r="E415" s="2"/>
      <c r="F415" s="2"/>
      <c r="I415" s="2"/>
      <c r="N415" s="2"/>
      <c r="S415" s="2"/>
    </row>
    <row r="416" ht="15.75" customHeight="1">
      <c r="A416" s="2"/>
      <c r="B416" s="2"/>
      <c r="C416" s="2"/>
      <c r="D416" s="2"/>
      <c r="E416" s="2"/>
      <c r="F416" s="2"/>
      <c r="I416" s="2"/>
      <c r="N416" s="2"/>
      <c r="S416" s="2"/>
    </row>
    <row r="417" ht="15.75" customHeight="1">
      <c r="A417" s="2"/>
      <c r="B417" s="2"/>
      <c r="C417" s="2"/>
      <c r="D417" s="2"/>
      <c r="E417" s="2"/>
      <c r="F417" s="2"/>
      <c r="I417" s="2"/>
      <c r="N417" s="2"/>
      <c r="S417" s="2"/>
    </row>
    <row r="418" ht="15.75" customHeight="1">
      <c r="A418" s="2"/>
      <c r="B418" s="2"/>
      <c r="C418" s="2"/>
      <c r="D418" s="2"/>
      <c r="E418" s="2"/>
      <c r="F418" s="2"/>
      <c r="I418" s="2"/>
      <c r="N418" s="2"/>
      <c r="S418" s="2"/>
    </row>
    <row r="419" ht="15.75" customHeight="1">
      <c r="A419" s="2"/>
      <c r="B419" s="2"/>
      <c r="C419" s="2"/>
      <c r="D419" s="2"/>
      <c r="E419" s="2"/>
      <c r="F419" s="2"/>
      <c r="I419" s="2"/>
      <c r="N419" s="2"/>
      <c r="S419" s="2"/>
    </row>
    <row r="420" ht="15.75" customHeight="1">
      <c r="A420" s="2"/>
      <c r="B420" s="2"/>
      <c r="C420" s="2"/>
      <c r="D420" s="2"/>
      <c r="E420" s="2"/>
      <c r="F420" s="2"/>
      <c r="I420" s="2"/>
      <c r="N420" s="2"/>
      <c r="S420" s="2"/>
    </row>
    <row r="421" ht="15.75" customHeight="1">
      <c r="A421" s="2"/>
      <c r="B421" s="2"/>
      <c r="C421" s="2"/>
      <c r="D421" s="2"/>
      <c r="E421" s="2"/>
      <c r="F421" s="2"/>
      <c r="I421" s="2"/>
      <c r="N421" s="2"/>
      <c r="S421" s="2"/>
    </row>
    <row r="422" ht="15.75" customHeight="1">
      <c r="A422" s="2"/>
      <c r="B422" s="2"/>
      <c r="C422" s="2"/>
      <c r="D422" s="2"/>
      <c r="E422" s="2"/>
      <c r="F422" s="2"/>
      <c r="I422" s="2"/>
      <c r="N422" s="2"/>
      <c r="S422" s="2"/>
    </row>
    <row r="423" ht="15.75" customHeight="1">
      <c r="A423" s="2"/>
      <c r="B423" s="2"/>
      <c r="C423" s="2"/>
      <c r="D423" s="2"/>
      <c r="E423" s="2"/>
      <c r="F423" s="2"/>
      <c r="I423" s="2"/>
      <c r="N423" s="2"/>
      <c r="S423" s="2"/>
    </row>
    <row r="424" ht="15.75" customHeight="1">
      <c r="A424" s="2"/>
      <c r="B424" s="2"/>
      <c r="C424" s="2"/>
      <c r="D424" s="2"/>
      <c r="E424" s="2"/>
      <c r="F424" s="2"/>
      <c r="I424" s="2"/>
      <c r="N424" s="2"/>
      <c r="S424" s="2"/>
    </row>
    <row r="425" ht="15.75" customHeight="1">
      <c r="A425" s="2"/>
      <c r="B425" s="2"/>
      <c r="C425" s="2"/>
      <c r="D425" s="2"/>
      <c r="E425" s="2"/>
      <c r="F425" s="2"/>
      <c r="I425" s="2"/>
      <c r="N425" s="2"/>
      <c r="S425" s="2"/>
    </row>
    <row r="426" ht="15.75" customHeight="1">
      <c r="A426" s="2"/>
      <c r="B426" s="2"/>
      <c r="C426" s="2"/>
      <c r="D426" s="2"/>
      <c r="E426" s="2"/>
      <c r="F426" s="2"/>
      <c r="I426" s="2"/>
      <c r="N426" s="2"/>
      <c r="S426" s="2"/>
    </row>
    <row r="427" ht="15.75" customHeight="1">
      <c r="A427" s="2"/>
      <c r="B427" s="2"/>
      <c r="C427" s="2"/>
      <c r="D427" s="2"/>
      <c r="E427" s="2"/>
      <c r="F427" s="2"/>
      <c r="I427" s="2"/>
      <c r="N427" s="2"/>
      <c r="S427" s="2"/>
    </row>
    <row r="428" ht="15.75" customHeight="1">
      <c r="A428" s="2"/>
      <c r="B428" s="2"/>
      <c r="C428" s="2"/>
      <c r="D428" s="2"/>
      <c r="E428" s="2"/>
      <c r="F428" s="2"/>
      <c r="I428" s="2"/>
      <c r="N428" s="2"/>
      <c r="S428" s="2"/>
    </row>
    <row r="429" ht="15.75" customHeight="1">
      <c r="A429" s="2"/>
      <c r="B429" s="2"/>
      <c r="C429" s="2"/>
      <c r="D429" s="2"/>
      <c r="E429" s="2"/>
      <c r="F429" s="2"/>
      <c r="I429" s="2"/>
      <c r="N429" s="2"/>
      <c r="S429" s="2"/>
    </row>
    <row r="430" ht="15.75" customHeight="1">
      <c r="A430" s="2"/>
      <c r="B430" s="2"/>
      <c r="C430" s="2"/>
      <c r="D430" s="2"/>
      <c r="E430" s="2"/>
      <c r="F430" s="2"/>
      <c r="I430" s="2"/>
      <c r="N430" s="2"/>
      <c r="S430" s="2"/>
    </row>
    <row r="431" ht="15.75" customHeight="1">
      <c r="A431" s="2"/>
      <c r="B431" s="2"/>
      <c r="C431" s="2"/>
      <c r="D431" s="2"/>
      <c r="E431" s="2"/>
      <c r="F431" s="2"/>
      <c r="I431" s="2"/>
      <c r="N431" s="2"/>
      <c r="S431" s="2"/>
    </row>
    <row r="432" ht="15.75" customHeight="1">
      <c r="A432" s="2"/>
      <c r="B432" s="2"/>
      <c r="C432" s="2"/>
      <c r="D432" s="2"/>
      <c r="E432" s="2"/>
      <c r="F432" s="2"/>
      <c r="I432" s="2"/>
      <c r="N432" s="2"/>
      <c r="S432" s="2"/>
    </row>
    <row r="433" ht="15.75" customHeight="1">
      <c r="A433" s="2"/>
      <c r="B433" s="2"/>
      <c r="C433" s="2"/>
      <c r="D433" s="2"/>
      <c r="E433" s="2"/>
      <c r="F433" s="2"/>
      <c r="I433" s="2"/>
      <c r="N433" s="2"/>
      <c r="S433" s="2"/>
    </row>
    <row r="434" ht="15.75" customHeight="1">
      <c r="A434" s="2"/>
      <c r="B434" s="2"/>
      <c r="C434" s="2"/>
      <c r="D434" s="2"/>
      <c r="E434" s="2"/>
      <c r="F434" s="2"/>
      <c r="I434" s="2"/>
      <c r="N434" s="2"/>
      <c r="S434" s="2"/>
    </row>
    <row r="435" ht="15.75" customHeight="1">
      <c r="A435" s="2"/>
      <c r="B435" s="2"/>
      <c r="C435" s="2"/>
      <c r="D435" s="2"/>
      <c r="E435" s="2"/>
      <c r="F435" s="2"/>
      <c r="I435" s="2"/>
      <c r="N435" s="2"/>
      <c r="S435" s="2"/>
    </row>
    <row r="436" ht="15.75" customHeight="1">
      <c r="A436" s="2"/>
      <c r="B436" s="2"/>
      <c r="C436" s="2"/>
      <c r="D436" s="2"/>
      <c r="E436" s="2"/>
      <c r="F436" s="2"/>
      <c r="I436" s="2"/>
      <c r="N436" s="2"/>
      <c r="S436" s="2"/>
    </row>
    <row r="437" ht="15.75" customHeight="1">
      <c r="A437" s="2"/>
      <c r="B437" s="2"/>
      <c r="C437" s="2"/>
      <c r="D437" s="2"/>
      <c r="E437" s="2"/>
      <c r="F437" s="2"/>
      <c r="I437" s="2"/>
      <c r="N437" s="2"/>
      <c r="S437" s="2"/>
    </row>
    <row r="438" ht="15.75" customHeight="1">
      <c r="A438" s="2"/>
      <c r="B438" s="2"/>
      <c r="C438" s="2"/>
      <c r="D438" s="2"/>
      <c r="E438" s="2"/>
      <c r="F438" s="2"/>
      <c r="I438" s="2"/>
      <c r="N438" s="2"/>
      <c r="S438" s="2"/>
    </row>
    <row r="439" ht="15.75" customHeight="1">
      <c r="A439" s="2"/>
      <c r="B439" s="2"/>
      <c r="C439" s="2"/>
      <c r="D439" s="2"/>
      <c r="E439" s="2"/>
      <c r="F439" s="2"/>
      <c r="I439" s="2"/>
      <c r="N439" s="2"/>
      <c r="S439" s="2"/>
    </row>
    <row r="440" ht="15.75" customHeight="1">
      <c r="A440" s="2"/>
      <c r="B440" s="2"/>
      <c r="C440" s="2"/>
      <c r="D440" s="2"/>
      <c r="E440" s="2"/>
      <c r="F440" s="2"/>
      <c r="I440" s="2"/>
      <c r="N440" s="2"/>
      <c r="S440" s="2"/>
    </row>
    <row r="441" ht="15.75" customHeight="1">
      <c r="A441" s="2"/>
      <c r="B441" s="2"/>
      <c r="C441" s="2"/>
      <c r="D441" s="2"/>
      <c r="E441" s="2"/>
      <c r="F441" s="2"/>
      <c r="I441" s="2"/>
      <c r="N441" s="2"/>
      <c r="S441" s="2"/>
    </row>
    <row r="442" ht="15.75" customHeight="1">
      <c r="A442" s="2"/>
      <c r="B442" s="2"/>
      <c r="C442" s="2"/>
      <c r="D442" s="2"/>
      <c r="E442" s="2"/>
      <c r="F442" s="2"/>
      <c r="I442" s="2"/>
      <c r="N442" s="2"/>
      <c r="S442" s="2"/>
    </row>
    <row r="443" ht="15.75" customHeight="1">
      <c r="A443" s="2"/>
      <c r="B443" s="2"/>
      <c r="C443" s="2"/>
      <c r="D443" s="2"/>
      <c r="E443" s="2"/>
      <c r="F443" s="2"/>
      <c r="I443" s="2"/>
      <c r="N443" s="2"/>
      <c r="S443" s="2"/>
    </row>
    <row r="444" ht="15.75" customHeight="1">
      <c r="A444" s="2"/>
      <c r="B444" s="2"/>
      <c r="C444" s="2"/>
      <c r="D444" s="2"/>
      <c r="E444" s="2"/>
      <c r="F444" s="2"/>
      <c r="I444" s="2"/>
      <c r="N444" s="2"/>
      <c r="S444" s="2"/>
    </row>
    <row r="445" ht="15.75" customHeight="1">
      <c r="A445" s="2"/>
      <c r="B445" s="2"/>
      <c r="C445" s="2"/>
      <c r="D445" s="2"/>
      <c r="E445" s="2"/>
      <c r="F445" s="2"/>
      <c r="I445" s="2"/>
      <c r="N445" s="2"/>
      <c r="S445" s="2"/>
    </row>
    <row r="446" ht="15.75" customHeight="1">
      <c r="A446" s="2"/>
      <c r="B446" s="2"/>
      <c r="C446" s="2"/>
      <c r="D446" s="2"/>
      <c r="E446" s="2"/>
      <c r="F446" s="2"/>
      <c r="I446" s="2"/>
      <c r="N446" s="2"/>
      <c r="S446" s="2"/>
    </row>
    <row r="447" ht="15.75" customHeight="1">
      <c r="A447" s="2"/>
      <c r="B447" s="2"/>
      <c r="C447" s="2"/>
      <c r="D447" s="2"/>
      <c r="E447" s="2"/>
      <c r="F447" s="2"/>
      <c r="I447" s="2"/>
      <c r="N447" s="2"/>
      <c r="S447" s="2"/>
    </row>
    <row r="448" ht="15.75" customHeight="1">
      <c r="A448" s="2"/>
      <c r="B448" s="2"/>
      <c r="C448" s="2"/>
      <c r="D448" s="2"/>
      <c r="E448" s="2"/>
      <c r="F448" s="2"/>
      <c r="I448" s="2"/>
      <c r="N448" s="2"/>
      <c r="S448" s="2"/>
    </row>
    <row r="449" ht="15.75" customHeight="1">
      <c r="A449" s="2"/>
      <c r="B449" s="2"/>
      <c r="C449" s="2"/>
      <c r="D449" s="2"/>
      <c r="E449" s="2"/>
      <c r="F449" s="2"/>
      <c r="I449" s="2"/>
      <c r="N449" s="2"/>
      <c r="S449" s="2"/>
    </row>
    <row r="450" ht="15.75" customHeight="1">
      <c r="A450" s="2"/>
      <c r="B450" s="2"/>
      <c r="C450" s="2"/>
      <c r="D450" s="2"/>
      <c r="E450" s="2"/>
      <c r="F450" s="2"/>
      <c r="I450" s="2"/>
      <c r="N450" s="2"/>
      <c r="S450" s="2"/>
    </row>
    <row r="451" ht="15.75" customHeight="1">
      <c r="A451" s="2"/>
      <c r="B451" s="2"/>
      <c r="C451" s="2"/>
      <c r="D451" s="2"/>
      <c r="E451" s="2"/>
      <c r="F451" s="2"/>
      <c r="I451" s="2"/>
      <c r="N451" s="2"/>
      <c r="S451" s="2"/>
    </row>
    <row r="452" ht="15.75" customHeight="1">
      <c r="A452" s="2"/>
      <c r="B452" s="2"/>
      <c r="C452" s="2"/>
      <c r="D452" s="2"/>
      <c r="E452" s="2"/>
      <c r="F452" s="2"/>
      <c r="I452" s="2"/>
      <c r="N452" s="2"/>
      <c r="S452" s="2"/>
    </row>
    <row r="453" ht="15.75" customHeight="1">
      <c r="A453" s="2"/>
      <c r="B453" s="2"/>
      <c r="C453" s="2"/>
      <c r="D453" s="2"/>
      <c r="E453" s="2"/>
      <c r="F453" s="2"/>
      <c r="I453" s="2"/>
      <c r="N453" s="2"/>
      <c r="S453" s="2"/>
    </row>
    <row r="454" ht="15.75" customHeight="1">
      <c r="A454" s="2"/>
      <c r="B454" s="2"/>
      <c r="C454" s="2"/>
      <c r="D454" s="2"/>
      <c r="E454" s="2"/>
      <c r="F454" s="2"/>
      <c r="I454" s="2"/>
      <c r="N454" s="2"/>
      <c r="S454" s="2"/>
    </row>
    <row r="455" ht="15.75" customHeight="1">
      <c r="A455" s="2"/>
      <c r="B455" s="2"/>
      <c r="C455" s="2"/>
      <c r="D455" s="2"/>
      <c r="E455" s="2"/>
      <c r="F455" s="2"/>
      <c r="I455" s="2"/>
      <c r="N455" s="2"/>
      <c r="S455" s="2"/>
    </row>
    <row r="456" ht="15.75" customHeight="1">
      <c r="A456" s="2"/>
      <c r="B456" s="2"/>
      <c r="C456" s="2"/>
      <c r="D456" s="2"/>
      <c r="E456" s="2"/>
      <c r="F456" s="2"/>
      <c r="I456" s="2"/>
      <c r="N456" s="2"/>
      <c r="S456" s="2"/>
    </row>
    <row r="457" ht="15.75" customHeight="1">
      <c r="A457" s="2"/>
      <c r="B457" s="2"/>
      <c r="C457" s="2"/>
      <c r="D457" s="2"/>
      <c r="E457" s="2"/>
      <c r="F457" s="2"/>
      <c r="I457" s="2"/>
      <c r="N457" s="2"/>
      <c r="S457" s="2"/>
    </row>
    <row r="458" ht="15.75" customHeight="1">
      <c r="A458" s="2"/>
      <c r="B458" s="2"/>
      <c r="C458" s="2"/>
      <c r="D458" s="2"/>
      <c r="E458" s="2"/>
      <c r="F458" s="2"/>
      <c r="I458" s="2"/>
      <c r="N458" s="2"/>
      <c r="S458" s="2"/>
    </row>
    <row r="459" ht="15.75" customHeight="1">
      <c r="A459" s="2"/>
      <c r="B459" s="2"/>
      <c r="C459" s="2"/>
      <c r="D459" s="2"/>
      <c r="E459" s="2"/>
      <c r="F459" s="2"/>
      <c r="I459" s="2"/>
      <c r="N459" s="2"/>
      <c r="S459" s="2"/>
    </row>
    <row r="460" ht="15.75" customHeight="1">
      <c r="A460" s="2"/>
      <c r="B460" s="2"/>
      <c r="C460" s="2"/>
      <c r="D460" s="2"/>
      <c r="E460" s="2"/>
      <c r="F460" s="2"/>
      <c r="I460" s="2"/>
      <c r="N460" s="2"/>
      <c r="S460" s="2"/>
    </row>
    <row r="461" ht="15.75" customHeight="1">
      <c r="A461" s="2"/>
      <c r="B461" s="2"/>
      <c r="C461" s="2"/>
      <c r="D461" s="2"/>
      <c r="E461" s="2"/>
      <c r="F461" s="2"/>
      <c r="I461" s="2"/>
      <c r="N461" s="2"/>
      <c r="S461" s="2"/>
    </row>
    <row r="462" ht="15.75" customHeight="1">
      <c r="A462" s="2"/>
      <c r="B462" s="2"/>
      <c r="C462" s="2"/>
      <c r="D462" s="2"/>
      <c r="E462" s="2"/>
      <c r="F462" s="2"/>
      <c r="I462" s="2"/>
      <c r="N462" s="2"/>
      <c r="S462" s="2"/>
    </row>
    <row r="463" ht="15.75" customHeight="1">
      <c r="A463" s="2"/>
      <c r="B463" s="2"/>
      <c r="C463" s="2"/>
      <c r="D463" s="2"/>
      <c r="E463" s="2"/>
      <c r="F463" s="2"/>
      <c r="I463" s="2"/>
      <c r="N463" s="2"/>
      <c r="S463" s="2"/>
    </row>
    <row r="464" ht="15.75" customHeight="1">
      <c r="A464" s="2"/>
      <c r="B464" s="2"/>
      <c r="C464" s="2"/>
      <c r="D464" s="2"/>
      <c r="E464" s="2"/>
      <c r="F464" s="2"/>
      <c r="I464" s="2"/>
      <c r="N464" s="2"/>
      <c r="S464" s="2"/>
    </row>
    <row r="465" ht="15.75" customHeight="1">
      <c r="A465" s="2"/>
      <c r="B465" s="2"/>
      <c r="C465" s="2"/>
      <c r="D465" s="2"/>
      <c r="E465" s="2"/>
      <c r="F465" s="2"/>
      <c r="I465" s="2"/>
      <c r="N465" s="2"/>
      <c r="S465" s="2"/>
    </row>
    <row r="466" ht="15.75" customHeight="1">
      <c r="A466" s="2"/>
      <c r="B466" s="2"/>
      <c r="C466" s="2"/>
      <c r="D466" s="2"/>
      <c r="E466" s="2"/>
      <c r="F466" s="2"/>
      <c r="I466" s="2"/>
      <c r="N466" s="2"/>
      <c r="S466" s="2"/>
    </row>
    <row r="467" ht="15.75" customHeight="1">
      <c r="A467" s="2"/>
      <c r="B467" s="2"/>
      <c r="C467" s="2"/>
      <c r="D467" s="2"/>
      <c r="E467" s="2"/>
      <c r="F467" s="2"/>
      <c r="I467" s="2"/>
      <c r="N467" s="2"/>
      <c r="S467" s="2"/>
    </row>
    <row r="468" ht="15.75" customHeight="1">
      <c r="A468" s="2"/>
      <c r="B468" s="2"/>
      <c r="C468" s="2"/>
      <c r="D468" s="2"/>
      <c r="E468" s="2"/>
      <c r="F468" s="2"/>
      <c r="I468" s="2"/>
      <c r="N468" s="2"/>
      <c r="S468" s="2"/>
    </row>
    <row r="469" ht="15.75" customHeight="1">
      <c r="A469" s="2"/>
      <c r="B469" s="2"/>
      <c r="C469" s="2"/>
      <c r="D469" s="2"/>
      <c r="E469" s="2"/>
      <c r="F469" s="2"/>
      <c r="I469" s="2"/>
      <c r="N469" s="2"/>
      <c r="S469" s="2"/>
    </row>
    <row r="470" ht="15.75" customHeight="1">
      <c r="A470" s="2"/>
      <c r="B470" s="2"/>
      <c r="C470" s="2"/>
      <c r="D470" s="2"/>
      <c r="E470" s="2"/>
      <c r="F470" s="2"/>
      <c r="I470" s="2"/>
      <c r="N470" s="2"/>
      <c r="S470" s="2"/>
    </row>
    <row r="471" ht="15.75" customHeight="1">
      <c r="A471" s="2"/>
      <c r="B471" s="2"/>
      <c r="C471" s="2"/>
      <c r="D471" s="2"/>
      <c r="E471" s="2"/>
      <c r="F471" s="2"/>
      <c r="I471" s="2"/>
      <c r="N471" s="2"/>
      <c r="S471" s="2"/>
    </row>
    <row r="472" ht="15.75" customHeight="1">
      <c r="A472" s="2"/>
      <c r="B472" s="2"/>
      <c r="C472" s="2"/>
      <c r="D472" s="2"/>
      <c r="E472" s="2"/>
      <c r="F472" s="2"/>
      <c r="I472" s="2"/>
      <c r="N472" s="2"/>
      <c r="S472" s="2"/>
    </row>
    <row r="473" ht="15.75" customHeight="1">
      <c r="A473" s="2"/>
      <c r="B473" s="2"/>
      <c r="C473" s="2"/>
      <c r="D473" s="2"/>
      <c r="E473" s="2"/>
      <c r="F473" s="2"/>
      <c r="I473" s="2"/>
      <c r="N473" s="2"/>
      <c r="S473" s="2"/>
    </row>
    <row r="474" ht="15.75" customHeight="1">
      <c r="A474" s="2"/>
      <c r="B474" s="2"/>
      <c r="C474" s="2"/>
      <c r="D474" s="2"/>
      <c r="E474" s="2"/>
      <c r="F474" s="2"/>
      <c r="I474" s="2"/>
      <c r="N474" s="2"/>
      <c r="S474" s="2"/>
    </row>
    <row r="475" ht="15.75" customHeight="1">
      <c r="A475" s="2"/>
      <c r="B475" s="2"/>
      <c r="C475" s="2"/>
      <c r="D475" s="2"/>
      <c r="E475" s="2"/>
      <c r="F475" s="2"/>
      <c r="I475" s="2"/>
      <c r="N475" s="2"/>
      <c r="S475" s="2"/>
    </row>
    <row r="476" ht="15.75" customHeight="1">
      <c r="A476" s="2"/>
      <c r="B476" s="2"/>
      <c r="C476" s="2"/>
      <c r="D476" s="2"/>
      <c r="E476" s="2"/>
      <c r="F476" s="2"/>
      <c r="I476" s="2"/>
      <c r="N476" s="2"/>
      <c r="S476" s="2"/>
    </row>
    <row r="477" ht="15.75" customHeight="1">
      <c r="A477" s="2"/>
      <c r="B477" s="2"/>
      <c r="C477" s="2"/>
      <c r="D477" s="2"/>
      <c r="E477" s="2"/>
      <c r="F477" s="2"/>
      <c r="I477" s="2"/>
      <c r="N477" s="2"/>
      <c r="S477" s="2"/>
    </row>
    <row r="478" ht="15.75" customHeight="1">
      <c r="A478" s="2"/>
      <c r="B478" s="2"/>
      <c r="C478" s="2"/>
      <c r="D478" s="2"/>
      <c r="E478" s="2"/>
      <c r="F478" s="2"/>
      <c r="I478" s="2"/>
      <c r="N478" s="2"/>
      <c r="S478" s="2"/>
    </row>
    <row r="479" ht="15.75" customHeight="1">
      <c r="A479" s="2"/>
      <c r="B479" s="2"/>
      <c r="C479" s="2"/>
      <c r="D479" s="2"/>
      <c r="E479" s="2"/>
      <c r="F479" s="2"/>
      <c r="I479" s="2"/>
      <c r="N479" s="2"/>
      <c r="S479" s="2"/>
    </row>
    <row r="480" ht="15.75" customHeight="1">
      <c r="A480" s="2"/>
      <c r="B480" s="2"/>
      <c r="C480" s="2"/>
      <c r="D480" s="2"/>
      <c r="E480" s="2"/>
      <c r="F480" s="2"/>
      <c r="I480" s="2"/>
      <c r="N480" s="2"/>
      <c r="S480" s="2"/>
    </row>
    <row r="481" ht="15.75" customHeight="1">
      <c r="A481" s="2"/>
      <c r="B481" s="2"/>
      <c r="C481" s="2"/>
      <c r="D481" s="2"/>
      <c r="E481" s="2"/>
      <c r="F481" s="2"/>
      <c r="I481" s="2"/>
      <c r="N481" s="2"/>
      <c r="S481" s="2"/>
    </row>
    <row r="482" ht="15.75" customHeight="1">
      <c r="A482" s="2"/>
      <c r="B482" s="2"/>
      <c r="C482" s="2"/>
      <c r="D482" s="2"/>
      <c r="E482" s="2"/>
      <c r="F482" s="2"/>
      <c r="I482" s="2"/>
      <c r="N482" s="2"/>
      <c r="S482" s="2"/>
    </row>
    <row r="483" ht="15.75" customHeight="1">
      <c r="A483" s="2"/>
      <c r="B483" s="2"/>
      <c r="C483" s="2"/>
      <c r="D483" s="2"/>
      <c r="E483" s="2"/>
      <c r="F483" s="2"/>
      <c r="I483" s="2"/>
      <c r="N483" s="2"/>
      <c r="S483" s="2"/>
    </row>
    <row r="484" ht="15.75" customHeight="1">
      <c r="A484" s="2"/>
      <c r="B484" s="2"/>
      <c r="C484" s="2"/>
      <c r="D484" s="2"/>
      <c r="E484" s="2"/>
      <c r="F484" s="2"/>
      <c r="I484" s="2"/>
      <c r="N484" s="2"/>
      <c r="S484" s="2"/>
    </row>
    <row r="485" ht="15.75" customHeight="1">
      <c r="A485" s="2"/>
      <c r="B485" s="2"/>
      <c r="C485" s="2"/>
      <c r="D485" s="2"/>
      <c r="E485" s="2"/>
      <c r="F485" s="2"/>
      <c r="I485" s="2"/>
      <c r="N485" s="2"/>
      <c r="S485" s="2"/>
    </row>
    <row r="486" ht="15.75" customHeight="1">
      <c r="A486" s="2"/>
      <c r="B486" s="2"/>
      <c r="C486" s="2"/>
      <c r="D486" s="2"/>
      <c r="E486" s="2"/>
      <c r="F486" s="2"/>
      <c r="I486" s="2"/>
      <c r="N486" s="2"/>
      <c r="S486" s="2"/>
    </row>
    <row r="487" ht="15.75" customHeight="1">
      <c r="A487" s="2"/>
      <c r="B487" s="2"/>
      <c r="C487" s="2"/>
      <c r="D487" s="2"/>
      <c r="E487" s="2"/>
      <c r="F487" s="2"/>
      <c r="I487" s="2"/>
      <c r="N487" s="2"/>
      <c r="S487" s="2"/>
    </row>
    <row r="488" ht="15.75" customHeight="1">
      <c r="A488" s="2"/>
      <c r="B488" s="2"/>
      <c r="C488" s="2"/>
      <c r="D488" s="2"/>
      <c r="E488" s="2"/>
      <c r="F488" s="2"/>
      <c r="I488" s="2"/>
      <c r="N488" s="2"/>
      <c r="S488" s="2"/>
    </row>
    <row r="489" ht="15.75" customHeight="1">
      <c r="A489" s="2"/>
      <c r="B489" s="2"/>
      <c r="C489" s="2"/>
      <c r="D489" s="2"/>
      <c r="E489" s="2"/>
      <c r="F489" s="2"/>
      <c r="I489" s="2"/>
      <c r="N489" s="2"/>
      <c r="S489" s="2"/>
    </row>
    <row r="490" ht="15.75" customHeight="1">
      <c r="A490" s="2"/>
      <c r="B490" s="2"/>
      <c r="C490" s="2"/>
      <c r="D490" s="2"/>
      <c r="E490" s="2"/>
      <c r="F490" s="2"/>
      <c r="I490" s="2"/>
      <c r="N490" s="2"/>
      <c r="S490" s="2"/>
    </row>
    <row r="491" ht="15.75" customHeight="1">
      <c r="A491" s="2"/>
      <c r="B491" s="2"/>
      <c r="C491" s="2"/>
      <c r="D491" s="2"/>
      <c r="E491" s="2"/>
      <c r="F491" s="2"/>
      <c r="I491" s="2"/>
      <c r="N491" s="2"/>
      <c r="S491" s="2"/>
    </row>
    <row r="492" ht="15.75" customHeight="1">
      <c r="A492" s="2"/>
      <c r="B492" s="2"/>
      <c r="C492" s="2"/>
      <c r="D492" s="2"/>
      <c r="E492" s="2"/>
      <c r="F492" s="2"/>
      <c r="I492" s="2"/>
      <c r="N492" s="2"/>
      <c r="S492" s="2"/>
    </row>
    <row r="493" ht="15.75" customHeight="1">
      <c r="A493" s="2"/>
      <c r="B493" s="2"/>
      <c r="C493" s="2"/>
      <c r="D493" s="2"/>
      <c r="E493" s="2"/>
      <c r="F493" s="2"/>
      <c r="I493" s="2"/>
      <c r="N493" s="2"/>
      <c r="S493" s="2"/>
    </row>
    <row r="494" ht="15.75" customHeight="1">
      <c r="A494" s="2"/>
      <c r="B494" s="2"/>
      <c r="C494" s="2"/>
      <c r="D494" s="2"/>
      <c r="E494" s="2"/>
      <c r="F494" s="2"/>
      <c r="I494" s="2"/>
      <c r="N494" s="2"/>
      <c r="S494" s="2"/>
    </row>
    <row r="495" ht="15.75" customHeight="1">
      <c r="A495" s="2"/>
      <c r="B495" s="2"/>
      <c r="C495" s="2"/>
      <c r="D495" s="2"/>
      <c r="E495" s="2"/>
      <c r="F495" s="2"/>
      <c r="I495" s="2"/>
      <c r="N495" s="2"/>
      <c r="S495" s="2"/>
    </row>
    <row r="496" ht="15.75" customHeight="1">
      <c r="A496" s="2"/>
      <c r="B496" s="2"/>
      <c r="C496" s="2"/>
      <c r="D496" s="2"/>
      <c r="E496" s="2"/>
      <c r="F496" s="2"/>
      <c r="I496" s="2"/>
      <c r="N496" s="2"/>
      <c r="S496" s="2"/>
    </row>
    <row r="497" ht="15.75" customHeight="1">
      <c r="A497" s="2"/>
      <c r="B497" s="2"/>
      <c r="C497" s="2"/>
      <c r="D497" s="2"/>
      <c r="E497" s="2"/>
      <c r="F497" s="2"/>
      <c r="I497" s="2"/>
      <c r="N497" s="2"/>
      <c r="S497" s="2"/>
    </row>
    <row r="498" ht="15.75" customHeight="1">
      <c r="A498" s="2"/>
      <c r="B498" s="2"/>
      <c r="C498" s="2"/>
      <c r="D498" s="2"/>
      <c r="E498" s="2"/>
      <c r="F498" s="2"/>
      <c r="I498" s="2"/>
      <c r="N498" s="2"/>
      <c r="S498" s="2"/>
    </row>
    <row r="499" ht="15.75" customHeight="1">
      <c r="A499" s="2"/>
      <c r="B499" s="2"/>
      <c r="C499" s="2"/>
      <c r="D499" s="2"/>
      <c r="E499" s="2"/>
      <c r="F499" s="2"/>
      <c r="I499" s="2"/>
      <c r="N499" s="2"/>
      <c r="S499" s="2"/>
    </row>
    <row r="500" ht="15.75" customHeight="1">
      <c r="A500" s="2"/>
      <c r="B500" s="2"/>
      <c r="C500" s="2"/>
      <c r="D500" s="2"/>
      <c r="E500" s="2"/>
      <c r="F500" s="2"/>
      <c r="I500" s="2"/>
      <c r="N500" s="2"/>
      <c r="S500" s="2"/>
    </row>
    <row r="501" ht="15.75" customHeight="1">
      <c r="A501" s="2"/>
      <c r="B501" s="2"/>
      <c r="C501" s="2"/>
      <c r="D501" s="2"/>
      <c r="E501" s="2"/>
      <c r="F501" s="2"/>
      <c r="I501" s="2"/>
      <c r="N501" s="2"/>
      <c r="S501" s="2"/>
    </row>
    <row r="502" ht="15.75" customHeight="1">
      <c r="A502" s="2"/>
      <c r="B502" s="2"/>
      <c r="C502" s="2"/>
      <c r="D502" s="2"/>
      <c r="E502" s="2"/>
      <c r="F502" s="2"/>
      <c r="I502" s="2"/>
      <c r="N502" s="2"/>
      <c r="S502" s="2"/>
    </row>
    <row r="503" ht="15.75" customHeight="1">
      <c r="A503" s="2"/>
      <c r="B503" s="2"/>
      <c r="C503" s="2"/>
      <c r="D503" s="2"/>
      <c r="E503" s="2"/>
      <c r="F503" s="2"/>
      <c r="I503" s="2"/>
      <c r="N503" s="2"/>
      <c r="S503" s="2"/>
    </row>
    <row r="504" ht="15.75" customHeight="1">
      <c r="A504" s="2"/>
      <c r="B504" s="2"/>
      <c r="C504" s="2"/>
      <c r="D504" s="2"/>
      <c r="E504" s="2"/>
      <c r="F504" s="2"/>
      <c r="I504" s="2"/>
      <c r="N504" s="2"/>
      <c r="S504" s="2"/>
    </row>
    <row r="505" ht="15.75" customHeight="1">
      <c r="A505" s="2"/>
      <c r="B505" s="2"/>
      <c r="C505" s="2"/>
      <c r="D505" s="2"/>
      <c r="E505" s="2"/>
      <c r="F505" s="2"/>
      <c r="I505" s="2"/>
      <c r="N505" s="2"/>
      <c r="S505" s="2"/>
    </row>
    <row r="506" ht="15.75" customHeight="1">
      <c r="A506" s="2"/>
      <c r="B506" s="2"/>
      <c r="C506" s="2"/>
      <c r="D506" s="2"/>
      <c r="E506" s="2"/>
      <c r="F506" s="2"/>
      <c r="I506" s="2"/>
      <c r="N506" s="2"/>
      <c r="S506" s="2"/>
    </row>
    <row r="507" ht="15.75" customHeight="1">
      <c r="A507" s="2"/>
      <c r="B507" s="2"/>
      <c r="C507" s="2"/>
      <c r="D507" s="2"/>
      <c r="E507" s="2"/>
      <c r="F507" s="2"/>
      <c r="I507" s="2"/>
      <c r="N507" s="2"/>
      <c r="S507" s="2"/>
    </row>
    <row r="508" ht="15.75" customHeight="1">
      <c r="A508" s="2"/>
      <c r="B508" s="2"/>
      <c r="C508" s="2"/>
      <c r="D508" s="2"/>
      <c r="E508" s="2"/>
      <c r="F508" s="2"/>
      <c r="I508" s="2"/>
      <c r="N508" s="2"/>
      <c r="S508" s="2"/>
    </row>
    <row r="509" ht="15.75" customHeight="1">
      <c r="A509" s="2"/>
      <c r="B509" s="2"/>
      <c r="C509" s="2"/>
      <c r="D509" s="2"/>
      <c r="E509" s="2"/>
      <c r="F509" s="2"/>
      <c r="I509" s="2"/>
      <c r="N509" s="2"/>
      <c r="S509" s="2"/>
    </row>
    <row r="510" ht="15.75" customHeight="1">
      <c r="A510" s="2"/>
      <c r="B510" s="2"/>
      <c r="C510" s="2"/>
      <c r="D510" s="2"/>
      <c r="E510" s="2"/>
      <c r="F510" s="2"/>
      <c r="I510" s="2"/>
      <c r="N510" s="2"/>
      <c r="S510" s="2"/>
    </row>
    <row r="511" ht="15.75" customHeight="1">
      <c r="A511" s="2"/>
      <c r="B511" s="2"/>
      <c r="C511" s="2"/>
      <c r="D511" s="2"/>
      <c r="E511" s="2"/>
      <c r="F511" s="2"/>
      <c r="I511" s="2"/>
      <c r="N511" s="2"/>
      <c r="S511" s="2"/>
    </row>
    <row r="512" ht="15.75" customHeight="1">
      <c r="A512" s="2"/>
      <c r="B512" s="2"/>
      <c r="C512" s="2"/>
      <c r="D512" s="2"/>
      <c r="E512" s="2"/>
      <c r="F512" s="2"/>
      <c r="I512" s="2"/>
      <c r="N512" s="2"/>
      <c r="S512" s="2"/>
    </row>
    <row r="513" ht="15.75" customHeight="1">
      <c r="A513" s="2"/>
      <c r="B513" s="2"/>
      <c r="C513" s="2"/>
      <c r="D513" s="2"/>
      <c r="E513" s="2"/>
      <c r="F513" s="2"/>
      <c r="I513" s="2"/>
      <c r="N513" s="2"/>
      <c r="S513" s="2"/>
    </row>
    <row r="514" ht="15.75" customHeight="1">
      <c r="A514" s="2"/>
      <c r="B514" s="2"/>
      <c r="C514" s="2"/>
      <c r="D514" s="2"/>
      <c r="E514" s="2"/>
      <c r="F514" s="2"/>
      <c r="I514" s="2"/>
      <c r="N514" s="2"/>
      <c r="S514" s="2"/>
    </row>
    <row r="515" ht="15.75" customHeight="1">
      <c r="A515" s="2"/>
      <c r="B515" s="2"/>
      <c r="C515" s="2"/>
      <c r="D515" s="2"/>
      <c r="E515" s="2"/>
      <c r="F515" s="2"/>
      <c r="I515" s="2"/>
      <c r="N515" s="2"/>
      <c r="S515" s="2"/>
    </row>
    <row r="516" ht="15.75" customHeight="1">
      <c r="A516" s="2"/>
      <c r="B516" s="2"/>
      <c r="C516" s="2"/>
      <c r="D516" s="2"/>
      <c r="E516" s="2"/>
      <c r="F516" s="2"/>
      <c r="I516" s="2"/>
      <c r="N516" s="2"/>
      <c r="S516" s="2"/>
    </row>
    <row r="517" ht="15.75" customHeight="1">
      <c r="A517" s="2"/>
      <c r="B517" s="2"/>
      <c r="C517" s="2"/>
      <c r="D517" s="2"/>
      <c r="E517" s="2"/>
      <c r="F517" s="2"/>
      <c r="I517" s="2"/>
      <c r="N517" s="2"/>
      <c r="S517" s="2"/>
    </row>
    <row r="518" ht="15.75" customHeight="1">
      <c r="A518" s="2"/>
      <c r="B518" s="2"/>
      <c r="C518" s="2"/>
      <c r="D518" s="2"/>
      <c r="E518" s="2"/>
      <c r="F518" s="2"/>
      <c r="I518" s="2"/>
      <c r="N518" s="2"/>
      <c r="S518" s="2"/>
    </row>
    <row r="519" ht="15.75" customHeight="1">
      <c r="A519" s="2"/>
      <c r="B519" s="2"/>
      <c r="C519" s="2"/>
      <c r="D519" s="2"/>
      <c r="E519" s="2"/>
      <c r="F519" s="2"/>
      <c r="I519" s="2"/>
      <c r="N519" s="2"/>
      <c r="S519" s="2"/>
    </row>
    <row r="520" ht="15.75" customHeight="1">
      <c r="A520" s="2"/>
      <c r="B520" s="2"/>
      <c r="C520" s="2"/>
      <c r="D520" s="2"/>
      <c r="E520" s="2"/>
      <c r="F520" s="2"/>
      <c r="I520" s="2"/>
      <c r="N520" s="2"/>
      <c r="S520" s="2"/>
    </row>
    <row r="521" ht="15.75" customHeight="1">
      <c r="A521" s="2"/>
      <c r="B521" s="2"/>
      <c r="C521" s="2"/>
      <c r="D521" s="2"/>
      <c r="E521" s="2"/>
      <c r="F521" s="2"/>
      <c r="I521" s="2"/>
      <c r="N521" s="2"/>
      <c r="S521" s="2"/>
    </row>
    <row r="522" ht="15.75" customHeight="1">
      <c r="A522" s="2"/>
      <c r="B522" s="2"/>
      <c r="C522" s="2"/>
      <c r="D522" s="2"/>
      <c r="E522" s="2"/>
      <c r="F522" s="2"/>
      <c r="I522" s="2"/>
      <c r="N522" s="2"/>
      <c r="S522" s="2"/>
    </row>
    <row r="523" ht="15.75" customHeight="1">
      <c r="A523" s="2"/>
      <c r="B523" s="2"/>
      <c r="C523" s="2"/>
      <c r="D523" s="2"/>
      <c r="E523" s="2"/>
      <c r="F523" s="2"/>
      <c r="I523" s="2"/>
      <c r="N523" s="2"/>
      <c r="S523" s="2"/>
    </row>
    <row r="524" ht="15.75" customHeight="1">
      <c r="A524" s="2"/>
      <c r="B524" s="2"/>
      <c r="C524" s="2"/>
      <c r="D524" s="2"/>
      <c r="E524" s="2"/>
      <c r="F524" s="2"/>
      <c r="I524" s="2"/>
      <c r="N524" s="2"/>
      <c r="S524" s="2"/>
    </row>
    <row r="525" ht="15.75" customHeight="1">
      <c r="A525" s="2"/>
      <c r="B525" s="2"/>
      <c r="C525" s="2"/>
      <c r="D525" s="2"/>
      <c r="E525" s="2"/>
      <c r="F525" s="2"/>
      <c r="I525" s="2"/>
      <c r="N525" s="2"/>
      <c r="S525" s="2"/>
    </row>
    <row r="526" ht="15.75" customHeight="1">
      <c r="A526" s="2"/>
      <c r="B526" s="2"/>
      <c r="C526" s="2"/>
      <c r="D526" s="2"/>
      <c r="E526" s="2"/>
      <c r="F526" s="2"/>
      <c r="I526" s="2"/>
      <c r="N526" s="2"/>
      <c r="S526" s="2"/>
    </row>
    <row r="527" ht="15.75" customHeight="1">
      <c r="A527" s="2"/>
      <c r="B527" s="2"/>
      <c r="C527" s="2"/>
      <c r="D527" s="2"/>
      <c r="E527" s="2"/>
      <c r="F527" s="2"/>
      <c r="I527" s="2"/>
      <c r="N527" s="2"/>
      <c r="S527" s="2"/>
    </row>
    <row r="528" ht="15.75" customHeight="1">
      <c r="A528" s="2"/>
      <c r="B528" s="2"/>
      <c r="C528" s="2"/>
      <c r="D528" s="2"/>
      <c r="E528" s="2"/>
      <c r="F528" s="2"/>
      <c r="I528" s="2"/>
      <c r="N528" s="2"/>
      <c r="S528" s="2"/>
    </row>
    <row r="529" ht="15.75" customHeight="1">
      <c r="A529" s="2"/>
      <c r="B529" s="2"/>
      <c r="C529" s="2"/>
      <c r="D529" s="2"/>
      <c r="E529" s="2"/>
      <c r="F529" s="2"/>
      <c r="I529" s="2"/>
      <c r="N529" s="2"/>
      <c r="S529" s="2"/>
    </row>
    <row r="530" ht="15.75" customHeight="1">
      <c r="A530" s="2"/>
      <c r="B530" s="2"/>
      <c r="C530" s="2"/>
      <c r="D530" s="2"/>
      <c r="E530" s="2"/>
      <c r="F530" s="2"/>
      <c r="I530" s="2"/>
      <c r="N530" s="2"/>
      <c r="S530" s="2"/>
    </row>
    <row r="531" ht="15.75" customHeight="1">
      <c r="A531" s="2"/>
      <c r="B531" s="2"/>
      <c r="C531" s="2"/>
      <c r="D531" s="2"/>
      <c r="E531" s="2"/>
      <c r="F531" s="2"/>
      <c r="I531" s="2"/>
      <c r="N531" s="2"/>
      <c r="S531" s="2"/>
    </row>
    <row r="532" ht="15.75" customHeight="1">
      <c r="A532" s="2"/>
      <c r="B532" s="2"/>
      <c r="C532" s="2"/>
      <c r="D532" s="2"/>
      <c r="E532" s="2"/>
      <c r="F532" s="2"/>
      <c r="I532" s="2"/>
      <c r="N532" s="2"/>
      <c r="S532" s="2"/>
    </row>
    <row r="533" ht="15.75" customHeight="1">
      <c r="A533" s="2"/>
      <c r="B533" s="2"/>
      <c r="C533" s="2"/>
      <c r="D533" s="2"/>
      <c r="E533" s="2"/>
      <c r="F533" s="2"/>
      <c r="I533" s="2"/>
      <c r="N533" s="2"/>
      <c r="S533" s="2"/>
    </row>
    <row r="534" ht="15.75" customHeight="1">
      <c r="A534" s="2"/>
      <c r="B534" s="2"/>
      <c r="C534" s="2"/>
      <c r="D534" s="2"/>
      <c r="E534" s="2"/>
      <c r="F534" s="2"/>
      <c r="I534" s="2"/>
      <c r="N534" s="2"/>
      <c r="S534" s="2"/>
    </row>
    <row r="535" ht="15.75" customHeight="1">
      <c r="A535" s="2"/>
      <c r="B535" s="2"/>
      <c r="C535" s="2"/>
      <c r="D535" s="2"/>
      <c r="E535" s="2"/>
      <c r="F535" s="2"/>
      <c r="I535" s="2"/>
      <c r="N535" s="2"/>
      <c r="S535" s="2"/>
    </row>
    <row r="536" ht="15.75" customHeight="1">
      <c r="A536" s="2"/>
      <c r="B536" s="2"/>
      <c r="C536" s="2"/>
      <c r="D536" s="2"/>
      <c r="E536" s="2"/>
      <c r="F536" s="2"/>
      <c r="I536" s="2"/>
      <c r="N536" s="2"/>
      <c r="S536" s="2"/>
    </row>
    <row r="537" ht="15.75" customHeight="1">
      <c r="A537" s="2"/>
      <c r="B537" s="2"/>
      <c r="C537" s="2"/>
      <c r="D537" s="2"/>
      <c r="E537" s="2"/>
      <c r="F537" s="2"/>
      <c r="I537" s="2"/>
      <c r="N537" s="2"/>
      <c r="S537" s="2"/>
    </row>
    <row r="538" ht="15.75" customHeight="1">
      <c r="A538" s="2"/>
      <c r="B538" s="2"/>
      <c r="C538" s="2"/>
      <c r="D538" s="2"/>
      <c r="E538" s="2"/>
      <c r="F538" s="2"/>
      <c r="I538" s="2"/>
      <c r="N538" s="2"/>
      <c r="S538" s="2"/>
    </row>
    <row r="539" ht="15.75" customHeight="1">
      <c r="A539" s="2"/>
      <c r="B539" s="2"/>
      <c r="C539" s="2"/>
      <c r="D539" s="2"/>
      <c r="E539" s="2"/>
      <c r="F539" s="2"/>
      <c r="I539" s="2"/>
      <c r="N539" s="2"/>
      <c r="S539" s="2"/>
    </row>
    <row r="540" ht="15.75" customHeight="1">
      <c r="A540" s="2"/>
      <c r="B540" s="2"/>
      <c r="C540" s="2"/>
      <c r="D540" s="2"/>
      <c r="E540" s="2"/>
      <c r="F540" s="2"/>
      <c r="I540" s="2"/>
      <c r="N540" s="2"/>
      <c r="S540" s="2"/>
    </row>
    <row r="541" ht="15.75" customHeight="1">
      <c r="A541" s="2"/>
      <c r="B541" s="2"/>
      <c r="C541" s="2"/>
      <c r="D541" s="2"/>
      <c r="E541" s="2"/>
      <c r="F541" s="2"/>
      <c r="I541" s="2"/>
      <c r="N541" s="2"/>
      <c r="S541" s="2"/>
    </row>
    <row r="542" ht="15.75" customHeight="1">
      <c r="A542" s="2"/>
      <c r="B542" s="2"/>
      <c r="C542" s="2"/>
      <c r="D542" s="2"/>
      <c r="E542" s="2"/>
      <c r="F542" s="2"/>
      <c r="I542" s="2"/>
      <c r="N542" s="2"/>
      <c r="S542" s="2"/>
    </row>
    <row r="543" ht="15.75" customHeight="1">
      <c r="A543" s="2"/>
      <c r="B543" s="2"/>
      <c r="C543" s="2"/>
      <c r="D543" s="2"/>
      <c r="E543" s="2"/>
      <c r="F543" s="2"/>
      <c r="I543" s="2"/>
      <c r="N543" s="2"/>
      <c r="S543" s="2"/>
    </row>
    <row r="544" ht="15.75" customHeight="1">
      <c r="A544" s="2"/>
      <c r="B544" s="2"/>
      <c r="C544" s="2"/>
      <c r="D544" s="2"/>
      <c r="E544" s="2"/>
      <c r="F544" s="2"/>
      <c r="I544" s="2"/>
      <c r="N544" s="2"/>
      <c r="S544" s="2"/>
    </row>
    <row r="545" ht="15.75" customHeight="1">
      <c r="A545" s="2"/>
      <c r="B545" s="2"/>
      <c r="C545" s="2"/>
      <c r="D545" s="2"/>
      <c r="E545" s="2"/>
      <c r="F545" s="2"/>
      <c r="I545" s="2"/>
      <c r="N545" s="2"/>
      <c r="S545" s="2"/>
    </row>
    <row r="546" ht="15.75" customHeight="1">
      <c r="A546" s="2"/>
      <c r="B546" s="2"/>
      <c r="C546" s="2"/>
      <c r="D546" s="2"/>
      <c r="E546" s="2"/>
      <c r="F546" s="2"/>
      <c r="I546" s="2"/>
      <c r="N546" s="2"/>
      <c r="S546" s="2"/>
    </row>
    <row r="547" ht="15.75" customHeight="1">
      <c r="A547" s="2"/>
      <c r="B547" s="2"/>
      <c r="C547" s="2"/>
      <c r="D547" s="2"/>
      <c r="E547" s="2"/>
      <c r="F547" s="2"/>
      <c r="I547" s="2"/>
      <c r="N547" s="2"/>
      <c r="S547" s="2"/>
    </row>
    <row r="548" ht="15.75" customHeight="1">
      <c r="A548" s="2"/>
      <c r="B548" s="2"/>
      <c r="C548" s="2"/>
      <c r="D548" s="2"/>
      <c r="E548" s="2"/>
      <c r="F548" s="2"/>
      <c r="I548" s="2"/>
      <c r="N548" s="2"/>
      <c r="S548" s="2"/>
    </row>
    <row r="549" ht="15.75" customHeight="1">
      <c r="A549" s="2"/>
      <c r="B549" s="2"/>
      <c r="C549" s="2"/>
      <c r="D549" s="2"/>
      <c r="E549" s="2"/>
      <c r="F549" s="2"/>
      <c r="I549" s="2"/>
      <c r="N549" s="2"/>
      <c r="S549" s="2"/>
    </row>
    <row r="550" ht="15.75" customHeight="1">
      <c r="A550" s="2"/>
      <c r="B550" s="2"/>
      <c r="C550" s="2"/>
      <c r="D550" s="2"/>
      <c r="E550" s="2"/>
      <c r="F550" s="2"/>
      <c r="I550" s="2"/>
      <c r="N550" s="2"/>
      <c r="S550" s="2"/>
    </row>
    <row r="551" ht="15.75" customHeight="1">
      <c r="A551" s="2"/>
      <c r="B551" s="2"/>
      <c r="C551" s="2"/>
      <c r="D551" s="2"/>
      <c r="E551" s="2"/>
      <c r="F551" s="2"/>
      <c r="I551" s="2"/>
      <c r="N551" s="2"/>
      <c r="S551" s="2"/>
    </row>
    <row r="552" ht="15.75" customHeight="1">
      <c r="A552" s="2"/>
      <c r="B552" s="2"/>
      <c r="C552" s="2"/>
      <c r="D552" s="2"/>
      <c r="E552" s="2"/>
      <c r="F552" s="2"/>
      <c r="I552" s="2"/>
      <c r="N552" s="2"/>
      <c r="S552" s="2"/>
    </row>
    <row r="553" ht="15.75" customHeight="1">
      <c r="A553" s="2"/>
      <c r="B553" s="2"/>
      <c r="C553" s="2"/>
      <c r="D553" s="2"/>
      <c r="E553" s="2"/>
      <c r="F553" s="2"/>
      <c r="I553" s="2"/>
      <c r="N553" s="2"/>
      <c r="S553" s="2"/>
    </row>
    <row r="554" ht="15.75" customHeight="1">
      <c r="A554" s="2"/>
      <c r="B554" s="2"/>
      <c r="C554" s="2"/>
      <c r="D554" s="2"/>
      <c r="E554" s="2"/>
      <c r="F554" s="2"/>
      <c r="I554" s="2"/>
      <c r="N554" s="2"/>
      <c r="S554" s="2"/>
    </row>
    <row r="555" ht="15.75" customHeight="1">
      <c r="A555" s="2"/>
      <c r="B555" s="2"/>
      <c r="C555" s="2"/>
      <c r="D555" s="2"/>
      <c r="E555" s="2"/>
      <c r="F555" s="2"/>
      <c r="I555" s="2"/>
      <c r="N555" s="2"/>
      <c r="S555" s="2"/>
    </row>
    <row r="556" ht="15.75" customHeight="1">
      <c r="A556" s="2"/>
      <c r="B556" s="2"/>
      <c r="C556" s="2"/>
      <c r="D556" s="2"/>
      <c r="E556" s="2"/>
      <c r="F556" s="2"/>
      <c r="I556" s="2"/>
      <c r="N556" s="2"/>
      <c r="S556" s="2"/>
    </row>
    <row r="557" ht="15.75" customHeight="1">
      <c r="A557" s="2"/>
      <c r="B557" s="2"/>
      <c r="C557" s="2"/>
      <c r="D557" s="2"/>
      <c r="E557" s="2"/>
      <c r="F557" s="2"/>
      <c r="I557" s="2"/>
      <c r="N557" s="2"/>
      <c r="S557" s="2"/>
    </row>
    <row r="558" ht="15.75" customHeight="1">
      <c r="A558" s="2"/>
      <c r="B558" s="2"/>
      <c r="C558" s="2"/>
      <c r="D558" s="2"/>
      <c r="E558" s="2"/>
      <c r="F558" s="2"/>
      <c r="I558" s="2"/>
      <c r="N558" s="2"/>
      <c r="S558" s="2"/>
    </row>
    <row r="559" ht="15.75" customHeight="1">
      <c r="A559" s="2"/>
      <c r="B559" s="2"/>
      <c r="C559" s="2"/>
      <c r="D559" s="2"/>
      <c r="E559" s="2"/>
      <c r="F559" s="2"/>
      <c r="I559" s="2"/>
      <c r="N559" s="2"/>
      <c r="S559" s="2"/>
    </row>
    <row r="560" ht="15.75" customHeight="1">
      <c r="A560" s="2"/>
      <c r="B560" s="2"/>
      <c r="C560" s="2"/>
      <c r="D560" s="2"/>
      <c r="E560" s="2"/>
      <c r="F560" s="2"/>
      <c r="I560" s="2"/>
      <c r="N560" s="2"/>
      <c r="S560" s="2"/>
    </row>
    <row r="561" ht="15.75" customHeight="1">
      <c r="A561" s="2"/>
      <c r="B561" s="2"/>
      <c r="C561" s="2"/>
      <c r="D561" s="2"/>
      <c r="E561" s="2"/>
      <c r="F561" s="2"/>
      <c r="I561" s="2"/>
      <c r="N561" s="2"/>
      <c r="S561" s="2"/>
    </row>
    <row r="562" ht="15.75" customHeight="1">
      <c r="A562" s="2"/>
      <c r="B562" s="2"/>
      <c r="C562" s="2"/>
      <c r="D562" s="2"/>
      <c r="E562" s="2"/>
      <c r="F562" s="2"/>
      <c r="I562" s="2"/>
      <c r="N562" s="2"/>
      <c r="S562" s="2"/>
    </row>
    <row r="563" ht="15.75" customHeight="1">
      <c r="A563" s="2"/>
      <c r="B563" s="2"/>
      <c r="C563" s="2"/>
      <c r="D563" s="2"/>
      <c r="E563" s="2"/>
      <c r="F563" s="2"/>
      <c r="I563" s="2"/>
      <c r="N563" s="2"/>
      <c r="S563" s="2"/>
    </row>
    <row r="564" ht="15.75" customHeight="1">
      <c r="A564" s="2"/>
      <c r="B564" s="2"/>
      <c r="C564" s="2"/>
      <c r="D564" s="2"/>
      <c r="E564" s="2"/>
      <c r="F564" s="2"/>
      <c r="I564" s="2"/>
      <c r="N564" s="2"/>
      <c r="S564" s="2"/>
    </row>
    <row r="565" ht="15.75" customHeight="1">
      <c r="A565" s="2"/>
      <c r="B565" s="2"/>
      <c r="C565" s="2"/>
      <c r="D565" s="2"/>
      <c r="E565" s="2"/>
      <c r="F565" s="2"/>
      <c r="I565" s="2"/>
      <c r="N565" s="2"/>
      <c r="S565" s="2"/>
    </row>
    <row r="566" ht="15.75" customHeight="1">
      <c r="A566" s="2"/>
      <c r="B566" s="2"/>
      <c r="C566" s="2"/>
      <c r="D566" s="2"/>
      <c r="E566" s="2"/>
      <c r="F566" s="2"/>
      <c r="I566" s="2"/>
      <c r="N566" s="2"/>
      <c r="S566" s="2"/>
    </row>
    <row r="567" ht="15.75" customHeight="1">
      <c r="A567" s="2"/>
      <c r="B567" s="2"/>
      <c r="C567" s="2"/>
      <c r="D567" s="2"/>
      <c r="E567" s="2"/>
      <c r="F567" s="2"/>
      <c r="I567" s="2"/>
      <c r="N567" s="2"/>
      <c r="S567" s="2"/>
    </row>
    <row r="568" ht="15.75" customHeight="1">
      <c r="A568" s="2"/>
      <c r="B568" s="2"/>
      <c r="C568" s="2"/>
      <c r="D568" s="2"/>
      <c r="E568" s="2"/>
      <c r="F568" s="2"/>
      <c r="I568" s="2"/>
      <c r="N568" s="2"/>
      <c r="S568" s="2"/>
    </row>
    <row r="569" ht="15.75" customHeight="1">
      <c r="A569" s="2"/>
      <c r="B569" s="2"/>
      <c r="C569" s="2"/>
      <c r="D569" s="2"/>
      <c r="E569" s="2"/>
      <c r="F569" s="2"/>
      <c r="I569" s="2"/>
      <c r="N569" s="2"/>
      <c r="S569" s="2"/>
    </row>
    <row r="570" ht="15.75" customHeight="1">
      <c r="A570" s="2"/>
      <c r="B570" s="2"/>
      <c r="C570" s="2"/>
      <c r="D570" s="2"/>
      <c r="E570" s="2"/>
      <c r="F570" s="2"/>
      <c r="I570" s="2"/>
      <c r="N570" s="2"/>
      <c r="S570" s="2"/>
    </row>
    <row r="571" ht="15.75" customHeight="1">
      <c r="A571" s="2"/>
      <c r="B571" s="2"/>
      <c r="C571" s="2"/>
      <c r="D571" s="2"/>
      <c r="E571" s="2"/>
      <c r="F571" s="2"/>
      <c r="I571" s="2"/>
      <c r="N571" s="2"/>
      <c r="S571" s="2"/>
    </row>
    <row r="572" ht="15.75" customHeight="1">
      <c r="A572" s="2"/>
      <c r="B572" s="2"/>
      <c r="C572" s="2"/>
      <c r="D572" s="2"/>
      <c r="E572" s="2"/>
      <c r="F572" s="2"/>
      <c r="I572" s="2"/>
      <c r="N572" s="2"/>
      <c r="S572" s="2"/>
    </row>
    <row r="573" ht="15.75" customHeight="1">
      <c r="A573" s="2"/>
      <c r="B573" s="2"/>
      <c r="C573" s="2"/>
      <c r="D573" s="2"/>
      <c r="E573" s="2"/>
      <c r="F573" s="2"/>
      <c r="I573" s="2"/>
      <c r="N573" s="2"/>
      <c r="S573" s="2"/>
    </row>
    <row r="574" ht="15.75" customHeight="1">
      <c r="A574" s="2"/>
      <c r="B574" s="2"/>
      <c r="C574" s="2"/>
      <c r="D574" s="2"/>
      <c r="E574" s="2"/>
      <c r="F574" s="2"/>
      <c r="I574" s="2"/>
      <c r="N574" s="2"/>
      <c r="S574" s="2"/>
    </row>
    <row r="575" ht="15.75" customHeight="1">
      <c r="A575" s="2"/>
      <c r="B575" s="2"/>
      <c r="C575" s="2"/>
      <c r="D575" s="2"/>
      <c r="E575" s="2"/>
      <c r="F575" s="2"/>
      <c r="I575" s="2"/>
      <c r="N575" s="2"/>
      <c r="S575" s="2"/>
    </row>
    <row r="576" ht="15.75" customHeight="1">
      <c r="A576" s="2"/>
      <c r="B576" s="2"/>
      <c r="C576" s="2"/>
      <c r="D576" s="2"/>
      <c r="E576" s="2"/>
      <c r="F576" s="2"/>
      <c r="I576" s="2"/>
      <c r="N576" s="2"/>
      <c r="S576" s="2"/>
    </row>
    <row r="577" ht="15.75" customHeight="1">
      <c r="A577" s="2"/>
      <c r="B577" s="2"/>
      <c r="C577" s="2"/>
      <c r="D577" s="2"/>
      <c r="E577" s="2"/>
      <c r="F577" s="2"/>
      <c r="I577" s="2"/>
      <c r="N577" s="2"/>
      <c r="S577" s="2"/>
    </row>
    <row r="578" ht="15.75" customHeight="1">
      <c r="A578" s="2"/>
      <c r="B578" s="2"/>
      <c r="C578" s="2"/>
      <c r="D578" s="2"/>
      <c r="E578" s="2"/>
      <c r="F578" s="2"/>
      <c r="I578" s="2"/>
      <c r="N578" s="2"/>
      <c r="S578" s="2"/>
    </row>
    <row r="579" ht="15.75" customHeight="1">
      <c r="A579" s="2"/>
      <c r="B579" s="2"/>
      <c r="C579" s="2"/>
      <c r="D579" s="2"/>
      <c r="E579" s="2"/>
      <c r="F579" s="2"/>
      <c r="I579" s="2"/>
      <c r="N579" s="2"/>
      <c r="S579" s="2"/>
    </row>
    <row r="580" ht="15.75" customHeight="1">
      <c r="A580" s="2"/>
      <c r="B580" s="2"/>
      <c r="C580" s="2"/>
      <c r="D580" s="2"/>
      <c r="E580" s="2"/>
      <c r="F580" s="2"/>
      <c r="I580" s="2"/>
      <c r="N580" s="2"/>
      <c r="S580" s="2"/>
    </row>
    <row r="581" ht="15.75" customHeight="1">
      <c r="A581" s="2"/>
      <c r="B581" s="2"/>
      <c r="C581" s="2"/>
      <c r="D581" s="2"/>
      <c r="E581" s="2"/>
      <c r="F581" s="2"/>
      <c r="I581" s="2"/>
      <c r="N581" s="2"/>
      <c r="S581" s="2"/>
    </row>
    <row r="582" ht="15.75" customHeight="1">
      <c r="A582" s="2"/>
      <c r="B582" s="2"/>
      <c r="C582" s="2"/>
      <c r="D582" s="2"/>
      <c r="E582" s="2"/>
      <c r="F582" s="2"/>
      <c r="I582" s="2"/>
      <c r="N582" s="2"/>
      <c r="S582" s="2"/>
    </row>
    <row r="583" ht="15.75" customHeight="1">
      <c r="A583" s="2"/>
      <c r="B583" s="2"/>
      <c r="C583" s="2"/>
      <c r="D583" s="2"/>
      <c r="E583" s="2"/>
      <c r="F583" s="2"/>
      <c r="I583" s="2"/>
      <c r="N583" s="2"/>
      <c r="S583" s="2"/>
    </row>
    <row r="584" ht="15.75" customHeight="1">
      <c r="A584" s="2"/>
      <c r="B584" s="2"/>
      <c r="C584" s="2"/>
      <c r="D584" s="2"/>
      <c r="E584" s="2"/>
      <c r="F584" s="2"/>
      <c r="I584" s="2"/>
      <c r="N584" s="2"/>
      <c r="S584" s="2"/>
    </row>
    <row r="585" ht="15.75" customHeight="1">
      <c r="A585" s="2"/>
      <c r="B585" s="2"/>
      <c r="C585" s="2"/>
      <c r="D585" s="2"/>
      <c r="E585" s="2"/>
      <c r="F585" s="2"/>
      <c r="I585" s="2"/>
      <c r="N585" s="2"/>
      <c r="S585" s="2"/>
    </row>
    <row r="586" ht="15.75" customHeight="1">
      <c r="A586" s="2"/>
      <c r="B586" s="2"/>
      <c r="C586" s="2"/>
      <c r="D586" s="2"/>
      <c r="E586" s="2"/>
      <c r="F586" s="2"/>
      <c r="I586" s="2"/>
      <c r="N586" s="2"/>
      <c r="S586" s="2"/>
    </row>
    <row r="587" ht="15.75" customHeight="1">
      <c r="A587" s="2"/>
      <c r="B587" s="2"/>
      <c r="C587" s="2"/>
      <c r="D587" s="2"/>
      <c r="E587" s="2"/>
      <c r="F587" s="2"/>
      <c r="I587" s="2"/>
      <c r="N587" s="2"/>
      <c r="S587" s="2"/>
    </row>
    <row r="588" ht="15.75" customHeight="1">
      <c r="A588" s="2"/>
      <c r="B588" s="2"/>
      <c r="C588" s="2"/>
      <c r="D588" s="2"/>
      <c r="E588" s="2"/>
      <c r="F588" s="2"/>
      <c r="I588" s="2"/>
      <c r="N588" s="2"/>
      <c r="S588" s="2"/>
    </row>
    <row r="589" ht="15.75" customHeight="1">
      <c r="A589" s="2"/>
      <c r="B589" s="2"/>
      <c r="C589" s="2"/>
      <c r="D589" s="2"/>
      <c r="E589" s="2"/>
      <c r="F589" s="2"/>
      <c r="I589" s="2"/>
      <c r="N589" s="2"/>
      <c r="S589" s="2"/>
    </row>
    <row r="590" ht="15.75" customHeight="1">
      <c r="A590" s="2"/>
      <c r="B590" s="2"/>
      <c r="C590" s="2"/>
      <c r="D590" s="2"/>
      <c r="E590" s="2"/>
      <c r="F590" s="2"/>
      <c r="I590" s="2"/>
      <c r="N590" s="2"/>
      <c r="S590" s="2"/>
    </row>
    <row r="591" ht="15.75" customHeight="1">
      <c r="A591" s="2"/>
      <c r="B591" s="2"/>
      <c r="C591" s="2"/>
      <c r="D591" s="2"/>
      <c r="E591" s="2"/>
      <c r="F591" s="2"/>
      <c r="I591" s="2"/>
      <c r="N591" s="2"/>
      <c r="S591" s="2"/>
    </row>
    <row r="592" ht="15.75" customHeight="1">
      <c r="A592" s="2"/>
      <c r="B592" s="2"/>
      <c r="C592" s="2"/>
      <c r="D592" s="2"/>
      <c r="E592" s="2"/>
      <c r="F592" s="2"/>
      <c r="I592" s="2"/>
      <c r="N592" s="2"/>
      <c r="S592" s="2"/>
    </row>
    <row r="593" ht="15.75" customHeight="1">
      <c r="A593" s="2"/>
      <c r="B593" s="2"/>
      <c r="C593" s="2"/>
      <c r="D593" s="2"/>
      <c r="E593" s="2"/>
      <c r="F593" s="2"/>
      <c r="I593" s="2"/>
      <c r="N593" s="2"/>
      <c r="S593" s="2"/>
    </row>
    <row r="594" ht="15.75" customHeight="1">
      <c r="A594" s="2"/>
      <c r="B594" s="2"/>
      <c r="C594" s="2"/>
      <c r="D594" s="2"/>
      <c r="E594" s="2"/>
      <c r="F594" s="2"/>
      <c r="I594" s="2"/>
      <c r="N594" s="2"/>
      <c r="S594" s="2"/>
    </row>
    <row r="595" ht="15.75" customHeight="1">
      <c r="A595" s="2"/>
      <c r="B595" s="2"/>
      <c r="C595" s="2"/>
      <c r="D595" s="2"/>
      <c r="E595" s="2"/>
      <c r="F595" s="2"/>
      <c r="I595" s="2"/>
      <c r="N595" s="2"/>
      <c r="S595" s="2"/>
    </row>
    <row r="596" ht="15.75" customHeight="1">
      <c r="A596" s="2"/>
      <c r="B596" s="2"/>
      <c r="C596" s="2"/>
      <c r="D596" s="2"/>
      <c r="E596" s="2"/>
      <c r="F596" s="2"/>
      <c r="I596" s="2"/>
      <c r="N596" s="2"/>
      <c r="S596" s="2"/>
    </row>
    <row r="597" ht="15.75" customHeight="1">
      <c r="A597" s="2"/>
      <c r="B597" s="2"/>
      <c r="C597" s="2"/>
      <c r="D597" s="2"/>
      <c r="E597" s="2"/>
      <c r="F597" s="2"/>
      <c r="I597" s="2"/>
      <c r="N597" s="2"/>
      <c r="S597" s="2"/>
    </row>
    <row r="598" ht="15.75" customHeight="1">
      <c r="A598" s="2"/>
      <c r="B598" s="2"/>
      <c r="C598" s="2"/>
      <c r="D598" s="2"/>
      <c r="E598" s="2"/>
      <c r="F598" s="2"/>
      <c r="I598" s="2"/>
      <c r="N598" s="2"/>
      <c r="S598" s="2"/>
    </row>
    <row r="599" ht="15.75" customHeight="1">
      <c r="A599" s="2"/>
      <c r="B599" s="2"/>
      <c r="C599" s="2"/>
      <c r="D599" s="2"/>
      <c r="E599" s="2"/>
      <c r="F599" s="2"/>
      <c r="I599" s="2"/>
      <c r="N599" s="2"/>
      <c r="S599" s="2"/>
    </row>
    <row r="600" ht="15.75" customHeight="1">
      <c r="A600" s="2"/>
      <c r="B600" s="2"/>
      <c r="C600" s="2"/>
      <c r="D600" s="2"/>
      <c r="E600" s="2"/>
      <c r="F600" s="2"/>
      <c r="I600" s="2"/>
      <c r="N600" s="2"/>
      <c r="S600" s="2"/>
    </row>
    <row r="601" ht="15.75" customHeight="1">
      <c r="A601" s="2"/>
      <c r="B601" s="2"/>
      <c r="C601" s="2"/>
      <c r="D601" s="2"/>
      <c r="E601" s="2"/>
      <c r="F601" s="2"/>
      <c r="I601" s="2"/>
      <c r="N601" s="2"/>
      <c r="S601" s="2"/>
    </row>
    <row r="602" ht="15.75" customHeight="1">
      <c r="A602" s="2"/>
      <c r="B602" s="2"/>
      <c r="C602" s="2"/>
      <c r="D602" s="2"/>
      <c r="E602" s="2"/>
      <c r="F602" s="2"/>
      <c r="I602" s="2"/>
      <c r="N602" s="2"/>
      <c r="S602" s="2"/>
    </row>
    <row r="603" ht="15.75" customHeight="1">
      <c r="A603" s="2"/>
      <c r="B603" s="2"/>
      <c r="C603" s="2"/>
      <c r="D603" s="2"/>
      <c r="E603" s="2"/>
      <c r="F603" s="2"/>
      <c r="I603" s="2"/>
      <c r="N603" s="2"/>
      <c r="S603" s="2"/>
    </row>
    <row r="604" ht="15.75" customHeight="1">
      <c r="A604" s="2"/>
      <c r="B604" s="2"/>
      <c r="C604" s="2"/>
      <c r="D604" s="2"/>
      <c r="E604" s="2"/>
      <c r="F604" s="2"/>
      <c r="I604" s="2"/>
      <c r="N604" s="2"/>
      <c r="S604" s="2"/>
    </row>
    <row r="605" ht="15.75" customHeight="1">
      <c r="A605" s="2"/>
      <c r="B605" s="2"/>
      <c r="C605" s="2"/>
      <c r="D605" s="2"/>
      <c r="E605" s="2"/>
      <c r="F605" s="2"/>
      <c r="I605" s="2"/>
      <c r="N605" s="2"/>
      <c r="S605" s="2"/>
    </row>
    <row r="606" ht="15.75" customHeight="1">
      <c r="A606" s="2"/>
      <c r="B606" s="2"/>
      <c r="C606" s="2"/>
      <c r="D606" s="2"/>
      <c r="E606" s="2"/>
      <c r="F606" s="2"/>
      <c r="I606" s="2"/>
      <c r="N606" s="2"/>
      <c r="S606" s="2"/>
    </row>
    <row r="607" ht="15.75" customHeight="1">
      <c r="A607" s="2"/>
      <c r="B607" s="2"/>
      <c r="C607" s="2"/>
      <c r="D607" s="2"/>
      <c r="E607" s="2"/>
      <c r="F607" s="2"/>
      <c r="I607" s="2"/>
      <c r="N607" s="2"/>
      <c r="S607" s="2"/>
    </row>
    <row r="608" ht="15.75" customHeight="1">
      <c r="A608" s="2"/>
      <c r="B608" s="2"/>
      <c r="C608" s="2"/>
      <c r="D608" s="2"/>
      <c r="E608" s="2"/>
      <c r="F608" s="2"/>
      <c r="I608" s="2"/>
      <c r="N608" s="2"/>
      <c r="S608" s="2"/>
    </row>
    <row r="609" ht="15.75" customHeight="1">
      <c r="A609" s="2"/>
      <c r="B609" s="2"/>
      <c r="C609" s="2"/>
      <c r="D609" s="2"/>
      <c r="E609" s="2"/>
      <c r="F609" s="2"/>
      <c r="I609" s="2"/>
      <c r="N609" s="2"/>
      <c r="S609" s="2"/>
    </row>
    <row r="610" ht="15.75" customHeight="1">
      <c r="A610" s="2"/>
      <c r="B610" s="2"/>
      <c r="C610" s="2"/>
      <c r="D610" s="2"/>
      <c r="E610" s="2"/>
      <c r="F610" s="2"/>
      <c r="I610" s="2"/>
      <c r="N610" s="2"/>
      <c r="S610" s="2"/>
    </row>
    <row r="611" ht="15.75" customHeight="1">
      <c r="A611" s="2"/>
      <c r="B611" s="2"/>
      <c r="C611" s="2"/>
      <c r="D611" s="2"/>
      <c r="E611" s="2"/>
      <c r="F611" s="2"/>
      <c r="I611" s="2"/>
      <c r="N611" s="2"/>
      <c r="S611" s="2"/>
    </row>
    <row r="612" ht="15.75" customHeight="1">
      <c r="A612" s="2"/>
      <c r="B612" s="2"/>
      <c r="C612" s="2"/>
      <c r="D612" s="2"/>
      <c r="E612" s="2"/>
      <c r="F612" s="2"/>
      <c r="I612" s="2"/>
      <c r="N612" s="2"/>
      <c r="S612" s="2"/>
    </row>
    <row r="613" ht="15.75" customHeight="1">
      <c r="A613" s="2"/>
      <c r="B613" s="2"/>
      <c r="C613" s="2"/>
      <c r="D613" s="2"/>
      <c r="E613" s="2"/>
      <c r="F613" s="2"/>
      <c r="I613" s="2"/>
      <c r="N613" s="2"/>
      <c r="S613" s="2"/>
    </row>
    <row r="614" ht="15.75" customHeight="1">
      <c r="A614" s="2"/>
      <c r="B614" s="2"/>
      <c r="C614" s="2"/>
      <c r="D614" s="2"/>
      <c r="E614" s="2"/>
      <c r="F614" s="2"/>
      <c r="I614" s="2"/>
      <c r="N614" s="2"/>
      <c r="S614" s="2"/>
    </row>
    <row r="615" ht="15.75" customHeight="1">
      <c r="A615" s="2"/>
      <c r="B615" s="2"/>
      <c r="C615" s="2"/>
      <c r="D615" s="2"/>
      <c r="E615" s="2"/>
      <c r="F615" s="2"/>
      <c r="I615" s="2"/>
      <c r="N615" s="2"/>
      <c r="S615" s="2"/>
    </row>
    <row r="616" ht="15.75" customHeight="1">
      <c r="A616" s="2"/>
      <c r="B616" s="2"/>
      <c r="C616" s="2"/>
      <c r="D616" s="2"/>
      <c r="E616" s="2"/>
      <c r="F616" s="2"/>
      <c r="I616" s="2"/>
      <c r="N616" s="2"/>
      <c r="S616" s="2"/>
    </row>
    <row r="617" ht="15.75" customHeight="1">
      <c r="A617" s="2"/>
      <c r="B617" s="2"/>
      <c r="C617" s="2"/>
      <c r="D617" s="2"/>
      <c r="E617" s="2"/>
      <c r="F617" s="2"/>
      <c r="I617" s="2"/>
      <c r="N617" s="2"/>
      <c r="S617" s="2"/>
    </row>
    <row r="618" ht="15.75" customHeight="1">
      <c r="A618" s="2"/>
      <c r="B618" s="2"/>
      <c r="C618" s="2"/>
      <c r="D618" s="2"/>
      <c r="E618" s="2"/>
      <c r="F618" s="2"/>
      <c r="I618" s="2"/>
      <c r="N618" s="2"/>
      <c r="S618" s="2"/>
    </row>
    <row r="619" ht="15.75" customHeight="1">
      <c r="A619" s="2"/>
      <c r="B619" s="2"/>
      <c r="C619" s="2"/>
      <c r="D619" s="2"/>
      <c r="E619" s="2"/>
      <c r="F619" s="2"/>
      <c r="I619" s="2"/>
      <c r="N619" s="2"/>
      <c r="S619" s="2"/>
    </row>
    <row r="620" ht="15.75" customHeight="1">
      <c r="A620" s="2"/>
      <c r="B620" s="2"/>
      <c r="C620" s="2"/>
      <c r="D620" s="2"/>
      <c r="E620" s="2"/>
      <c r="F620" s="2"/>
      <c r="I620" s="2"/>
      <c r="N620" s="2"/>
      <c r="S620" s="2"/>
    </row>
    <row r="621" ht="15.75" customHeight="1">
      <c r="A621" s="2"/>
      <c r="B621" s="2"/>
      <c r="C621" s="2"/>
      <c r="D621" s="2"/>
      <c r="E621" s="2"/>
      <c r="F621" s="2"/>
      <c r="I621" s="2"/>
      <c r="N621" s="2"/>
      <c r="S621" s="2"/>
    </row>
    <row r="622" ht="15.75" customHeight="1">
      <c r="A622" s="2"/>
      <c r="B622" s="2"/>
      <c r="C622" s="2"/>
      <c r="D622" s="2"/>
      <c r="E622" s="2"/>
      <c r="F622" s="2"/>
      <c r="I622" s="2"/>
      <c r="N622" s="2"/>
      <c r="S622" s="2"/>
    </row>
    <row r="623" ht="15.75" customHeight="1">
      <c r="A623" s="2"/>
      <c r="B623" s="2"/>
      <c r="C623" s="2"/>
      <c r="D623" s="2"/>
      <c r="E623" s="2"/>
      <c r="F623" s="2"/>
      <c r="I623" s="2"/>
      <c r="N623" s="2"/>
      <c r="S623" s="2"/>
    </row>
    <row r="624" ht="15.75" customHeight="1">
      <c r="A624" s="2"/>
      <c r="B624" s="2"/>
      <c r="C624" s="2"/>
      <c r="D624" s="2"/>
      <c r="E624" s="2"/>
      <c r="F624" s="2"/>
      <c r="I624" s="2"/>
      <c r="N624" s="2"/>
      <c r="S624" s="2"/>
    </row>
    <row r="625" ht="15.75" customHeight="1">
      <c r="A625" s="2"/>
      <c r="B625" s="2"/>
      <c r="C625" s="2"/>
      <c r="D625" s="2"/>
      <c r="E625" s="2"/>
      <c r="F625" s="2"/>
      <c r="I625" s="2"/>
      <c r="N625" s="2"/>
      <c r="S625" s="2"/>
    </row>
    <row r="626" ht="15.75" customHeight="1">
      <c r="A626" s="2"/>
      <c r="B626" s="2"/>
      <c r="C626" s="2"/>
      <c r="D626" s="2"/>
      <c r="E626" s="2"/>
      <c r="F626" s="2"/>
      <c r="I626" s="2"/>
      <c r="N626" s="2"/>
      <c r="S626" s="2"/>
    </row>
    <row r="627" ht="15.75" customHeight="1">
      <c r="A627" s="2"/>
      <c r="B627" s="2"/>
      <c r="C627" s="2"/>
      <c r="D627" s="2"/>
      <c r="E627" s="2"/>
      <c r="F627" s="2"/>
      <c r="I627" s="2"/>
      <c r="N627" s="2"/>
      <c r="S627" s="2"/>
    </row>
    <row r="628" ht="15.75" customHeight="1">
      <c r="A628" s="2"/>
      <c r="B628" s="2"/>
      <c r="C628" s="2"/>
      <c r="D628" s="2"/>
      <c r="E628" s="2"/>
      <c r="F628" s="2"/>
      <c r="I628" s="2"/>
      <c r="N628" s="2"/>
      <c r="S628" s="2"/>
    </row>
    <row r="629" ht="15.75" customHeight="1">
      <c r="A629" s="2"/>
      <c r="B629" s="2"/>
      <c r="C629" s="2"/>
      <c r="D629" s="2"/>
      <c r="E629" s="2"/>
      <c r="F629" s="2"/>
      <c r="I629" s="2"/>
      <c r="N629" s="2"/>
      <c r="S629" s="2"/>
    </row>
    <row r="630" ht="15.75" customHeight="1">
      <c r="A630" s="2"/>
      <c r="B630" s="2"/>
      <c r="C630" s="2"/>
      <c r="D630" s="2"/>
      <c r="E630" s="2"/>
      <c r="F630" s="2"/>
      <c r="I630" s="2"/>
      <c r="N630" s="2"/>
      <c r="S630" s="2"/>
    </row>
    <row r="631" ht="15.75" customHeight="1">
      <c r="A631" s="2"/>
      <c r="B631" s="2"/>
      <c r="C631" s="2"/>
      <c r="D631" s="2"/>
      <c r="E631" s="2"/>
      <c r="F631" s="2"/>
      <c r="I631" s="2"/>
      <c r="N631" s="2"/>
      <c r="S631" s="2"/>
    </row>
    <row r="632" ht="15.75" customHeight="1">
      <c r="A632" s="2"/>
      <c r="B632" s="2"/>
      <c r="C632" s="2"/>
      <c r="D632" s="2"/>
      <c r="E632" s="2"/>
      <c r="F632" s="2"/>
      <c r="I632" s="2"/>
      <c r="N632" s="2"/>
      <c r="S632" s="2"/>
    </row>
    <row r="633" ht="15.75" customHeight="1">
      <c r="A633" s="2"/>
      <c r="B633" s="2"/>
      <c r="C633" s="2"/>
      <c r="D633" s="2"/>
      <c r="E633" s="2"/>
      <c r="F633" s="2"/>
      <c r="I633" s="2"/>
      <c r="N633" s="2"/>
      <c r="S633" s="2"/>
    </row>
    <row r="634" ht="15.75" customHeight="1">
      <c r="A634" s="2"/>
      <c r="B634" s="2"/>
      <c r="C634" s="2"/>
      <c r="D634" s="2"/>
      <c r="E634" s="2"/>
      <c r="F634" s="2"/>
      <c r="I634" s="2"/>
      <c r="N634" s="2"/>
      <c r="S634" s="2"/>
    </row>
    <row r="635" ht="15.75" customHeight="1">
      <c r="A635" s="2"/>
      <c r="B635" s="2"/>
      <c r="C635" s="2"/>
      <c r="D635" s="2"/>
      <c r="E635" s="2"/>
      <c r="F635" s="2"/>
      <c r="I635" s="2"/>
      <c r="N635" s="2"/>
      <c r="S635" s="2"/>
    </row>
    <row r="636" ht="15.75" customHeight="1">
      <c r="A636" s="2"/>
      <c r="B636" s="2"/>
      <c r="C636" s="2"/>
      <c r="D636" s="2"/>
      <c r="E636" s="2"/>
      <c r="F636" s="2"/>
      <c r="I636" s="2"/>
      <c r="N636" s="2"/>
      <c r="S636" s="2"/>
    </row>
    <row r="637" ht="15.75" customHeight="1">
      <c r="A637" s="2"/>
      <c r="B637" s="2"/>
      <c r="C637" s="2"/>
      <c r="D637" s="2"/>
      <c r="E637" s="2"/>
      <c r="F637" s="2"/>
      <c r="I637" s="2"/>
      <c r="N637" s="2"/>
      <c r="S637" s="2"/>
    </row>
    <row r="638" ht="15.75" customHeight="1">
      <c r="A638" s="2"/>
      <c r="B638" s="2"/>
      <c r="C638" s="2"/>
      <c r="D638" s="2"/>
      <c r="E638" s="2"/>
      <c r="F638" s="2"/>
      <c r="I638" s="2"/>
      <c r="N638" s="2"/>
      <c r="S638" s="2"/>
    </row>
    <row r="639" ht="15.75" customHeight="1">
      <c r="A639" s="2"/>
      <c r="B639" s="2"/>
      <c r="C639" s="2"/>
      <c r="D639" s="2"/>
      <c r="E639" s="2"/>
      <c r="F639" s="2"/>
      <c r="I639" s="2"/>
      <c r="N639" s="2"/>
      <c r="S639" s="2"/>
    </row>
    <row r="640" ht="15.75" customHeight="1">
      <c r="A640" s="2"/>
      <c r="B640" s="2"/>
      <c r="C640" s="2"/>
      <c r="D640" s="2"/>
      <c r="E640" s="2"/>
      <c r="F640" s="2"/>
      <c r="I640" s="2"/>
      <c r="N640" s="2"/>
      <c r="S640" s="2"/>
    </row>
    <row r="641" ht="15.75" customHeight="1">
      <c r="A641" s="2"/>
      <c r="B641" s="2"/>
      <c r="C641" s="2"/>
      <c r="D641" s="2"/>
      <c r="E641" s="2"/>
      <c r="F641" s="2"/>
      <c r="I641" s="2"/>
      <c r="N641" s="2"/>
      <c r="S641" s="2"/>
    </row>
    <row r="642" ht="15.75" customHeight="1">
      <c r="A642" s="2"/>
      <c r="B642" s="2"/>
      <c r="C642" s="2"/>
      <c r="D642" s="2"/>
      <c r="E642" s="2"/>
      <c r="F642" s="2"/>
      <c r="I642" s="2"/>
      <c r="N642" s="2"/>
      <c r="S642" s="2"/>
    </row>
    <row r="643" ht="15.75" customHeight="1">
      <c r="A643" s="2"/>
      <c r="B643" s="2"/>
      <c r="C643" s="2"/>
      <c r="D643" s="2"/>
      <c r="E643" s="2"/>
      <c r="F643" s="2"/>
      <c r="I643" s="2"/>
      <c r="N643" s="2"/>
      <c r="S643" s="2"/>
    </row>
    <row r="644" ht="15.75" customHeight="1">
      <c r="A644" s="2"/>
      <c r="B644" s="2"/>
      <c r="C644" s="2"/>
      <c r="D644" s="2"/>
      <c r="E644" s="2"/>
      <c r="F644" s="2"/>
      <c r="I644" s="2"/>
      <c r="N644" s="2"/>
      <c r="S644" s="2"/>
    </row>
    <row r="645" ht="15.75" customHeight="1">
      <c r="A645" s="2"/>
      <c r="B645" s="2"/>
      <c r="C645" s="2"/>
      <c r="D645" s="2"/>
      <c r="E645" s="2"/>
      <c r="F645" s="2"/>
      <c r="I645" s="2"/>
      <c r="N645" s="2"/>
      <c r="S645" s="2"/>
    </row>
    <row r="646" ht="15.75" customHeight="1">
      <c r="A646" s="2"/>
      <c r="B646" s="2"/>
      <c r="C646" s="2"/>
      <c r="D646" s="2"/>
      <c r="E646" s="2"/>
      <c r="F646" s="2"/>
      <c r="I646" s="2"/>
      <c r="N646" s="2"/>
      <c r="S646" s="2"/>
    </row>
    <row r="647" ht="15.75" customHeight="1">
      <c r="A647" s="2"/>
      <c r="B647" s="2"/>
      <c r="C647" s="2"/>
      <c r="D647" s="2"/>
      <c r="E647" s="2"/>
      <c r="F647" s="2"/>
      <c r="I647" s="2"/>
      <c r="N647" s="2"/>
      <c r="S647" s="2"/>
    </row>
    <row r="648" ht="15.75" customHeight="1">
      <c r="A648" s="2"/>
      <c r="B648" s="2"/>
      <c r="C648" s="2"/>
      <c r="D648" s="2"/>
      <c r="E648" s="2"/>
      <c r="F648" s="2"/>
      <c r="I648" s="2"/>
      <c r="N648" s="2"/>
      <c r="S648" s="2"/>
    </row>
    <row r="649" ht="15.75" customHeight="1">
      <c r="A649" s="2"/>
      <c r="B649" s="2"/>
      <c r="C649" s="2"/>
      <c r="D649" s="2"/>
      <c r="E649" s="2"/>
      <c r="F649" s="2"/>
      <c r="I649" s="2"/>
      <c r="N649" s="2"/>
      <c r="S649" s="2"/>
    </row>
    <row r="650" ht="15.75" customHeight="1">
      <c r="A650" s="2"/>
      <c r="B650" s="2"/>
      <c r="C650" s="2"/>
      <c r="D650" s="2"/>
      <c r="E650" s="2"/>
      <c r="F650" s="2"/>
      <c r="I650" s="2"/>
      <c r="N650" s="2"/>
      <c r="S650" s="2"/>
    </row>
    <row r="651" ht="15.75" customHeight="1">
      <c r="A651" s="2"/>
      <c r="B651" s="2"/>
      <c r="C651" s="2"/>
      <c r="D651" s="2"/>
      <c r="E651" s="2"/>
      <c r="F651" s="2"/>
      <c r="I651" s="2"/>
      <c r="N651" s="2"/>
      <c r="S651" s="2"/>
    </row>
    <row r="652" ht="15.75" customHeight="1">
      <c r="A652" s="2"/>
      <c r="B652" s="2"/>
      <c r="C652" s="2"/>
      <c r="D652" s="2"/>
      <c r="E652" s="2"/>
      <c r="F652" s="2"/>
      <c r="I652" s="2"/>
      <c r="N652" s="2"/>
      <c r="S652" s="2"/>
    </row>
    <row r="653" ht="15.75" customHeight="1">
      <c r="A653" s="2"/>
      <c r="B653" s="2"/>
      <c r="C653" s="2"/>
      <c r="D653" s="2"/>
      <c r="E653" s="2"/>
      <c r="F653" s="2"/>
      <c r="I653" s="2"/>
      <c r="N653" s="2"/>
      <c r="S653" s="2"/>
    </row>
    <row r="654" ht="15.75" customHeight="1">
      <c r="A654" s="2"/>
      <c r="B654" s="2"/>
      <c r="C654" s="2"/>
      <c r="D654" s="2"/>
      <c r="E654" s="2"/>
      <c r="F654" s="2"/>
      <c r="I654" s="2"/>
      <c r="N654" s="2"/>
      <c r="S654" s="2"/>
    </row>
    <row r="655" ht="15.75" customHeight="1">
      <c r="A655" s="2"/>
      <c r="B655" s="2"/>
      <c r="C655" s="2"/>
      <c r="D655" s="2"/>
      <c r="E655" s="2"/>
      <c r="F655" s="2"/>
      <c r="I655" s="2"/>
      <c r="N655" s="2"/>
      <c r="S655" s="2"/>
    </row>
    <row r="656" ht="15.75" customHeight="1">
      <c r="A656" s="2"/>
      <c r="B656" s="2"/>
      <c r="C656" s="2"/>
      <c r="D656" s="2"/>
      <c r="E656" s="2"/>
      <c r="F656" s="2"/>
      <c r="I656" s="2"/>
      <c r="N656" s="2"/>
      <c r="S656" s="2"/>
    </row>
    <row r="657" ht="15.75" customHeight="1">
      <c r="A657" s="2"/>
      <c r="B657" s="2"/>
      <c r="C657" s="2"/>
      <c r="D657" s="2"/>
      <c r="E657" s="2"/>
      <c r="F657" s="2"/>
      <c r="I657" s="2"/>
      <c r="N657" s="2"/>
      <c r="S657" s="2"/>
    </row>
    <row r="658" ht="15.75" customHeight="1">
      <c r="A658" s="2"/>
      <c r="B658" s="2"/>
      <c r="C658" s="2"/>
      <c r="D658" s="2"/>
      <c r="E658" s="2"/>
      <c r="F658" s="2"/>
      <c r="I658" s="2"/>
      <c r="N658" s="2"/>
      <c r="S658" s="2"/>
    </row>
    <row r="659" ht="15.75" customHeight="1">
      <c r="A659" s="2"/>
      <c r="B659" s="2"/>
      <c r="C659" s="2"/>
      <c r="D659" s="2"/>
      <c r="E659" s="2"/>
      <c r="F659" s="2"/>
      <c r="I659" s="2"/>
      <c r="N659" s="2"/>
      <c r="S659" s="2"/>
    </row>
    <row r="660" ht="15.75" customHeight="1">
      <c r="A660" s="2"/>
      <c r="B660" s="2"/>
      <c r="C660" s="2"/>
      <c r="D660" s="2"/>
      <c r="E660" s="2"/>
      <c r="F660" s="2"/>
      <c r="I660" s="2"/>
      <c r="N660" s="2"/>
      <c r="S660" s="2"/>
    </row>
    <row r="661" ht="15.75" customHeight="1">
      <c r="A661" s="2"/>
      <c r="B661" s="2"/>
      <c r="C661" s="2"/>
      <c r="D661" s="2"/>
      <c r="E661" s="2"/>
      <c r="F661" s="2"/>
      <c r="I661" s="2"/>
      <c r="N661" s="2"/>
      <c r="S661" s="2"/>
    </row>
    <row r="662" ht="15.75" customHeight="1">
      <c r="A662" s="2"/>
      <c r="B662" s="2"/>
      <c r="C662" s="2"/>
      <c r="D662" s="2"/>
      <c r="E662" s="2"/>
      <c r="F662" s="2"/>
      <c r="I662" s="2"/>
      <c r="N662" s="2"/>
      <c r="S662" s="2"/>
    </row>
    <row r="663" ht="15.75" customHeight="1">
      <c r="A663" s="2"/>
      <c r="B663" s="2"/>
      <c r="C663" s="2"/>
      <c r="D663" s="2"/>
      <c r="E663" s="2"/>
      <c r="F663" s="2"/>
      <c r="I663" s="2"/>
      <c r="N663" s="2"/>
      <c r="S663" s="2"/>
    </row>
    <row r="664" ht="15.75" customHeight="1">
      <c r="A664" s="2"/>
      <c r="B664" s="2"/>
      <c r="C664" s="2"/>
      <c r="D664" s="2"/>
      <c r="E664" s="2"/>
      <c r="F664" s="2"/>
      <c r="I664" s="2"/>
      <c r="N664" s="2"/>
      <c r="S664" s="2"/>
    </row>
    <row r="665" ht="15.75" customHeight="1">
      <c r="A665" s="2"/>
      <c r="B665" s="2"/>
      <c r="C665" s="2"/>
      <c r="D665" s="2"/>
      <c r="E665" s="2"/>
      <c r="F665" s="2"/>
      <c r="I665" s="2"/>
      <c r="N665" s="2"/>
      <c r="S665" s="2"/>
    </row>
    <row r="666" ht="15.75" customHeight="1">
      <c r="A666" s="2"/>
      <c r="B666" s="2"/>
      <c r="C666" s="2"/>
      <c r="D666" s="2"/>
      <c r="E666" s="2"/>
      <c r="F666" s="2"/>
      <c r="I666" s="2"/>
      <c r="N666" s="2"/>
      <c r="S666" s="2"/>
    </row>
    <row r="667" ht="15.75" customHeight="1">
      <c r="A667" s="2"/>
      <c r="B667" s="2"/>
      <c r="C667" s="2"/>
      <c r="D667" s="2"/>
      <c r="E667" s="2"/>
      <c r="F667" s="2"/>
      <c r="I667" s="2"/>
      <c r="N667" s="2"/>
      <c r="S667" s="2"/>
    </row>
    <row r="668" ht="15.75" customHeight="1">
      <c r="A668" s="2"/>
      <c r="B668" s="2"/>
      <c r="C668" s="2"/>
      <c r="D668" s="2"/>
      <c r="E668" s="2"/>
      <c r="F668" s="2"/>
      <c r="I668" s="2"/>
      <c r="N668" s="2"/>
      <c r="S668" s="2"/>
    </row>
    <row r="669" ht="15.75" customHeight="1">
      <c r="A669" s="2"/>
      <c r="B669" s="2"/>
      <c r="C669" s="2"/>
      <c r="D669" s="2"/>
      <c r="E669" s="2"/>
      <c r="F669" s="2"/>
      <c r="I669" s="2"/>
      <c r="N669" s="2"/>
      <c r="S669" s="2"/>
    </row>
    <row r="670" ht="15.75" customHeight="1">
      <c r="A670" s="2"/>
      <c r="B670" s="2"/>
      <c r="C670" s="2"/>
      <c r="D670" s="2"/>
      <c r="E670" s="2"/>
      <c r="F670" s="2"/>
      <c r="I670" s="2"/>
      <c r="N670" s="2"/>
      <c r="S670" s="2"/>
    </row>
    <row r="671" ht="15.75" customHeight="1">
      <c r="A671" s="2"/>
      <c r="B671" s="2"/>
      <c r="C671" s="2"/>
      <c r="D671" s="2"/>
      <c r="E671" s="2"/>
      <c r="F671" s="2"/>
      <c r="I671" s="2"/>
      <c r="N671" s="2"/>
      <c r="S671" s="2"/>
    </row>
    <row r="672" ht="15.75" customHeight="1">
      <c r="A672" s="2"/>
      <c r="B672" s="2"/>
      <c r="C672" s="2"/>
      <c r="D672" s="2"/>
      <c r="E672" s="2"/>
      <c r="F672" s="2"/>
      <c r="I672" s="2"/>
      <c r="N672" s="2"/>
      <c r="S672" s="2"/>
    </row>
    <row r="673" ht="15.75" customHeight="1">
      <c r="A673" s="2"/>
      <c r="B673" s="2"/>
      <c r="C673" s="2"/>
      <c r="D673" s="2"/>
      <c r="E673" s="2"/>
      <c r="F673" s="2"/>
      <c r="I673" s="2"/>
      <c r="N673" s="2"/>
      <c r="S673" s="2"/>
    </row>
    <row r="674" ht="15.75" customHeight="1">
      <c r="A674" s="2"/>
      <c r="B674" s="2"/>
      <c r="C674" s="2"/>
      <c r="D674" s="2"/>
      <c r="E674" s="2"/>
      <c r="F674" s="2"/>
      <c r="I674" s="2"/>
      <c r="N674" s="2"/>
      <c r="S674" s="2"/>
    </row>
    <row r="675" ht="15.75" customHeight="1">
      <c r="A675" s="2"/>
      <c r="B675" s="2"/>
      <c r="C675" s="2"/>
      <c r="D675" s="2"/>
      <c r="E675" s="2"/>
      <c r="F675" s="2"/>
      <c r="I675" s="2"/>
      <c r="N675" s="2"/>
      <c r="S675" s="2"/>
    </row>
    <row r="676" ht="15.75" customHeight="1">
      <c r="A676" s="2"/>
      <c r="B676" s="2"/>
      <c r="C676" s="2"/>
      <c r="D676" s="2"/>
      <c r="E676" s="2"/>
      <c r="F676" s="2"/>
      <c r="I676" s="2"/>
      <c r="N676" s="2"/>
      <c r="S676" s="2"/>
    </row>
    <row r="677" ht="15.75" customHeight="1">
      <c r="A677" s="2"/>
      <c r="B677" s="2"/>
      <c r="C677" s="2"/>
      <c r="D677" s="2"/>
      <c r="E677" s="2"/>
      <c r="F677" s="2"/>
      <c r="I677" s="2"/>
      <c r="N677" s="2"/>
      <c r="S677" s="2"/>
    </row>
    <row r="678" ht="15.75" customHeight="1">
      <c r="A678" s="2"/>
      <c r="B678" s="2"/>
      <c r="C678" s="2"/>
      <c r="D678" s="2"/>
      <c r="E678" s="2"/>
      <c r="F678" s="2"/>
      <c r="I678" s="2"/>
      <c r="N678" s="2"/>
      <c r="S678" s="2"/>
    </row>
    <row r="679" ht="15.75" customHeight="1">
      <c r="A679" s="2"/>
      <c r="B679" s="2"/>
      <c r="C679" s="2"/>
      <c r="D679" s="2"/>
      <c r="E679" s="2"/>
      <c r="F679" s="2"/>
      <c r="I679" s="2"/>
      <c r="N679" s="2"/>
      <c r="S679" s="2"/>
    </row>
    <row r="680" ht="15.75" customHeight="1">
      <c r="A680" s="2"/>
      <c r="B680" s="2"/>
      <c r="C680" s="2"/>
      <c r="D680" s="2"/>
      <c r="E680" s="2"/>
      <c r="F680" s="2"/>
      <c r="I680" s="2"/>
      <c r="N680" s="2"/>
      <c r="S680" s="2"/>
    </row>
    <row r="681" ht="15.75" customHeight="1">
      <c r="A681" s="2"/>
      <c r="B681" s="2"/>
      <c r="C681" s="2"/>
      <c r="D681" s="2"/>
      <c r="E681" s="2"/>
      <c r="F681" s="2"/>
      <c r="I681" s="2"/>
      <c r="N681" s="2"/>
      <c r="S681" s="2"/>
    </row>
    <row r="682" ht="15.75" customHeight="1">
      <c r="A682" s="2"/>
      <c r="B682" s="2"/>
      <c r="C682" s="2"/>
      <c r="D682" s="2"/>
      <c r="E682" s="2"/>
      <c r="F682" s="2"/>
      <c r="I682" s="2"/>
      <c r="N682" s="2"/>
      <c r="S682" s="2"/>
    </row>
    <row r="683" ht="15.75" customHeight="1">
      <c r="A683" s="2"/>
      <c r="B683" s="2"/>
      <c r="C683" s="2"/>
      <c r="D683" s="2"/>
      <c r="E683" s="2"/>
      <c r="F683" s="2"/>
      <c r="I683" s="2"/>
      <c r="N683" s="2"/>
      <c r="S683" s="2"/>
    </row>
    <row r="684" ht="15.75" customHeight="1">
      <c r="A684" s="2"/>
      <c r="B684" s="2"/>
      <c r="C684" s="2"/>
      <c r="D684" s="2"/>
      <c r="E684" s="2"/>
      <c r="F684" s="2"/>
      <c r="I684" s="2"/>
      <c r="N684" s="2"/>
      <c r="S684" s="2"/>
    </row>
    <row r="685" ht="15.75" customHeight="1">
      <c r="A685" s="2"/>
      <c r="B685" s="2"/>
      <c r="C685" s="2"/>
      <c r="D685" s="2"/>
      <c r="E685" s="2"/>
      <c r="F685" s="2"/>
      <c r="I685" s="2"/>
      <c r="N685" s="2"/>
      <c r="S685" s="2"/>
    </row>
    <row r="686" ht="15.75" customHeight="1">
      <c r="A686" s="2"/>
      <c r="B686" s="2"/>
      <c r="C686" s="2"/>
      <c r="D686" s="2"/>
      <c r="E686" s="2"/>
      <c r="F686" s="2"/>
      <c r="I686" s="2"/>
      <c r="N686" s="2"/>
      <c r="S686" s="2"/>
    </row>
    <row r="687" ht="15.75" customHeight="1">
      <c r="A687" s="2"/>
      <c r="B687" s="2"/>
      <c r="C687" s="2"/>
      <c r="D687" s="2"/>
      <c r="E687" s="2"/>
      <c r="F687" s="2"/>
      <c r="I687" s="2"/>
      <c r="N687" s="2"/>
      <c r="S687" s="2"/>
    </row>
    <row r="688" ht="15.75" customHeight="1">
      <c r="A688" s="2"/>
      <c r="B688" s="2"/>
      <c r="C688" s="2"/>
      <c r="D688" s="2"/>
      <c r="E688" s="2"/>
      <c r="F688" s="2"/>
      <c r="I688" s="2"/>
      <c r="N688" s="2"/>
      <c r="S688" s="2"/>
    </row>
    <row r="689" ht="15.75" customHeight="1">
      <c r="A689" s="2"/>
      <c r="B689" s="2"/>
      <c r="C689" s="2"/>
      <c r="D689" s="2"/>
      <c r="E689" s="2"/>
      <c r="F689" s="2"/>
      <c r="I689" s="2"/>
      <c r="N689" s="2"/>
      <c r="S689" s="2"/>
    </row>
    <row r="690" ht="15.75" customHeight="1">
      <c r="A690" s="2"/>
      <c r="B690" s="2"/>
      <c r="C690" s="2"/>
      <c r="D690" s="2"/>
      <c r="E690" s="2"/>
      <c r="F690" s="2"/>
      <c r="I690" s="2"/>
      <c r="N690" s="2"/>
      <c r="S690" s="2"/>
    </row>
    <row r="691" ht="15.75" customHeight="1">
      <c r="A691" s="2"/>
      <c r="B691" s="2"/>
      <c r="C691" s="2"/>
      <c r="D691" s="2"/>
      <c r="E691" s="2"/>
      <c r="F691" s="2"/>
      <c r="I691" s="2"/>
      <c r="N691" s="2"/>
      <c r="S691" s="2"/>
    </row>
    <row r="692" ht="15.75" customHeight="1">
      <c r="A692" s="2"/>
      <c r="B692" s="2"/>
      <c r="C692" s="2"/>
      <c r="D692" s="2"/>
      <c r="E692" s="2"/>
      <c r="F692" s="2"/>
      <c r="I692" s="2"/>
      <c r="N692" s="2"/>
      <c r="S692" s="2"/>
    </row>
    <row r="693" ht="15.75" customHeight="1">
      <c r="A693" s="2"/>
      <c r="B693" s="2"/>
      <c r="C693" s="2"/>
      <c r="D693" s="2"/>
      <c r="E693" s="2"/>
      <c r="F693" s="2"/>
      <c r="I693" s="2"/>
      <c r="N693" s="2"/>
      <c r="S693" s="2"/>
    </row>
    <row r="694" ht="15.75" customHeight="1">
      <c r="A694" s="2"/>
      <c r="B694" s="2"/>
      <c r="C694" s="2"/>
      <c r="D694" s="2"/>
      <c r="E694" s="2"/>
      <c r="F694" s="2"/>
      <c r="I694" s="2"/>
      <c r="N694" s="2"/>
      <c r="S694" s="2"/>
    </row>
    <row r="695" ht="15.75" customHeight="1">
      <c r="A695" s="2"/>
      <c r="B695" s="2"/>
      <c r="C695" s="2"/>
      <c r="D695" s="2"/>
      <c r="E695" s="2"/>
      <c r="F695" s="2"/>
      <c r="I695" s="2"/>
      <c r="N695" s="2"/>
      <c r="S695" s="2"/>
    </row>
    <row r="696" ht="15.75" customHeight="1">
      <c r="A696" s="2"/>
      <c r="B696" s="2"/>
      <c r="C696" s="2"/>
      <c r="D696" s="2"/>
      <c r="E696" s="2"/>
      <c r="F696" s="2"/>
      <c r="I696" s="2"/>
      <c r="N696" s="2"/>
      <c r="S696" s="2"/>
    </row>
    <row r="697" ht="15.75" customHeight="1">
      <c r="A697" s="2"/>
      <c r="B697" s="2"/>
      <c r="C697" s="2"/>
      <c r="D697" s="2"/>
      <c r="E697" s="2"/>
      <c r="F697" s="2"/>
      <c r="I697" s="2"/>
      <c r="N697" s="2"/>
      <c r="S697" s="2"/>
    </row>
    <row r="698" ht="15.75" customHeight="1">
      <c r="A698" s="2"/>
      <c r="B698" s="2"/>
      <c r="C698" s="2"/>
      <c r="D698" s="2"/>
      <c r="E698" s="2"/>
      <c r="F698" s="2"/>
      <c r="I698" s="2"/>
      <c r="N698" s="2"/>
      <c r="S698" s="2"/>
    </row>
    <row r="699" ht="15.75" customHeight="1">
      <c r="A699" s="2"/>
      <c r="B699" s="2"/>
      <c r="C699" s="2"/>
      <c r="D699" s="2"/>
      <c r="E699" s="2"/>
      <c r="F699" s="2"/>
      <c r="I699" s="2"/>
      <c r="N699" s="2"/>
      <c r="S699" s="2"/>
    </row>
    <row r="700" ht="15.75" customHeight="1">
      <c r="A700" s="2"/>
      <c r="B700" s="2"/>
      <c r="C700" s="2"/>
      <c r="D700" s="2"/>
      <c r="E700" s="2"/>
      <c r="F700" s="2"/>
      <c r="I700" s="2"/>
      <c r="N700" s="2"/>
      <c r="S700" s="2"/>
    </row>
    <row r="701" ht="15.75" customHeight="1">
      <c r="A701" s="2"/>
      <c r="B701" s="2"/>
      <c r="C701" s="2"/>
      <c r="D701" s="2"/>
      <c r="E701" s="2"/>
      <c r="F701" s="2"/>
      <c r="I701" s="2"/>
      <c r="N701" s="2"/>
      <c r="S701" s="2"/>
    </row>
    <row r="702" ht="15.75" customHeight="1">
      <c r="A702" s="2"/>
      <c r="B702" s="2"/>
      <c r="C702" s="2"/>
      <c r="D702" s="2"/>
      <c r="E702" s="2"/>
      <c r="F702" s="2"/>
      <c r="I702" s="2"/>
      <c r="N702" s="2"/>
      <c r="S702" s="2"/>
    </row>
    <row r="703" ht="15.75" customHeight="1">
      <c r="A703" s="2"/>
      <c r="B703" s="2"/>
      <c r="C703" s="2"/>
      <c r="D703" s="2"/>
      <c r="E703" s="2"/>
      <c r="F703" s="2"/>
      <c r="I703" s="2"/>
      <c r="N703" s="2"/>
      <c r="S703" s="2"/>
    </row>
    <row r="704" ht="15.75" customHeight="1">
      <c r="A704" s="2"/>
      <c r="B704" s="2"/>
      <c r="C704" s="2"/>
      <c r="D704" s="2"/>
      <c r="E704" s="2"/>
      <c r="F704" s="2"/>
      <c r="I704" s="2"/>
      <c r="N704" s="2"/>
      <c r="S704" s="2"/>
    </row>
    <row r="705" ht="15.75" customHeight="1">
      <c r="A705" s="2"/>
      <c r="B705" s="2"/>
      <c r="C705" s="2"/>
      <c r="D705" s="2"/>
      <c r="E705" s="2"/>
      <c r="F705" s="2"/>
      <c r="I705" s="2"/>
      <c r="N705" s="2"/>
      <c r="S705" s="2"/>
    </row>
    <row r="706" ht="15.75" customHeight="1">
      <c r="A706" s="2"/>
      <c r="B706" s="2"/>
      <c r="C706" s="2"/>
      <c r="D706" s="2"/>
      <c r="E706" s="2"/>
      <c r="F706" s="2"/>
      <c r="I706" s="2"/>
      <c r="N706" s="2"/>
      <c r="S706" s="2"/>
    </row>
    <row r="707" ht="15.75" customHeight="1">
      <c r="A707" s="2"/>
      <c r="B707" s="2"/>
      <c r="C707" s="2"/>
      <c r="D707" s="2"/>
      <c r="E707" s="2"/>
      <c r="F707" s="2"/>
      <c r="I707" s="2"/>
      <c r="N707" s="2"/>
      <c r="S707" s="2"/>
    </row>
    <row r="708" ht="15.75" customHeight="1">
      <c r="A708" s="2"/>
      <c r="B708" s="2"/>
      <c r="C708" s="2"/>
      <c r="D708" s="2"/>
      <c r="E708" s="2"/>
      <c r="F708" s="2"/>
      <c r="I708" s="2"/>
      <c r="N708" s="2"/>
      <c r="S708" s="2"/>
    </row>
    <row r="709" ht="15.75" customHeight="1">
      <c r="A709" s="2"/>
      <c r="B709" s="2"/>
      <c r="C709" s="2"/>
      <c r="D709" s="2"/>
      <c r="E709" s="2"/>
      <c r="F709" s="2"/>
      <c r="I709" s="2"/>
      <c r="N709" s="2"/>
      <c r="S709" s="2"/>
    </row>
    <row r="710" ht="15.75" customHeight="1">
      <c r="A710" s="2"/>
      <c r="B710" s="2"/>
      <c r="C710" s="2"/>
      <c r="D710" s="2"/>
      <c r="E710" s="2"/>
      <c r="F710" s="2"/>
      <c r="I710" s="2"/>
      <c r="N710" s="2"/>
      <c r="S710" s="2"/>
    </row>
    <row r="711" ht="15.75" customHeight="1">
      <c r="A711" s="2"/>
      <c r="B711" s="2"/>
      <c r="C711" s="2"/>
      <c r="D711" s="2"/>
      <c r="E711" s="2"/>
      <c r="F711" s="2"/>
      <c r="I711" s="2"/>
      <c r="N711" s="2"/>
      <c r="S711" s="2"/>
    </row>
    <row r="712" ht="15.75" customHeight="1">
      <c r="A712" s="2"/>
      <c r="B712" s="2"/>
      <c r="C712" s="2"/>
      <c r="D712" s="2"/>
      <c r="E712" s="2"/>
      <c r="F712" s="2"/>
      <c r="I712" s="2"/>
      <c r="N712" s="2"/>
      <c r="S712" s="2"/>
    </row>
    <row r="713" ht="15.75" customHeight="1">
      <c r="A713" s="2"/>
      <c r="B713" s="2"/>
      <c r="C713" s="2"/>
      <c r="D713" s="2"/>
      <c r="E713" s="2"/>
      <c r="F713" s="2"/>
      <c r="I713" s="2"/>
      <c r="N713" s="2"/>
      <c r="S713" s="2"/>
    </row>
    <row r="714" ht="15.75" customHeight="1">
      <c r="A714" s="2"/>
      <c r="B714" s="2"/>
      <c r="C714" s="2"/>
      <c r="D714" s="2"/>
      <c r="E714" s="2"/>
      <c r="F714" s="2"/>
      <c r="I714" s="2"/>
      <c r="N714" s="2"/>
      <c r="S714" s="2"/>
    </row>
    <row r="715" ht="15.75" customHeight="1">
      <c r="A715" s="2"/>
      <c r="B715" s="2"/>
      <c r="C715" s="2"/>
      <c r="D715" s="2"/>
      <c r="E715" s="2"/>
      <c r="F715" s="2"/>
      <c r="I715" s="2"/>
      <c r="N715" s="2"/>
      <c r="S715" s="2"/>
    </row>
    <row r="716" ht="15.75" customHeight="1">
      <c r="A716" s="2"/>
      <c r="B716" s="2"/>
      <c r="C716" s="2"/>
      <c r="D716" s="2"/>
      <c r="E716" s="2"/>
      <c r="F716" s="2"/>
      <c r="I716" s="2"/>
      <c r="N716" s="2"/>
      <c r="S716" s="2"/>
    </row>
    <row r="717" ht="15.75" customHeight="1">
      <c r="A717" s="2"/>
      <c r="B717" s="2"/>
      <c r="C717" s="2"/>
      <c r="D717" s="2"/>
      <c r="E717" s="2"/>
      <c r="F717" s="2"/>
      <c r="I717" s="2"/>
      <c r="N717" s="2"/>
      <c r="S717" s="2"/>
    </row>
    <row r="718" ht="15.75" customHeight="1">
      <c r="A718" s="2"/>
      <c r="B718" s="2"/>
      <c r="C718" s="2"/>
      <c r="D718" s="2"/>
      <c r="E718" s="2"/>
      <c r="F718" s="2"/>
      <c r="I718" s="2"/>
      <c r="N718" s="2"/>
      <c r="S718" s="2"/>
    </row>
    <row r="719" ht="15.75" customHeight="1">
      <c r="A719" s="2"/>
      <c r="B719" s="2"/>
      <c r="C719" s="2"/>
      <c r="D719" s="2"/>
      <c r="E719" s="2"/>
      <c r="F719" s="2"/>
      <c r="I719" s="2"/>
      <c r="N719" s="2"/>
      <c r="S719" s="2"/>
    </row>
    <row r="720" ht="15.75" customHeight="1">
      <c r="A720" s="2"/>
      <c r="B720" s="2"/>
      <c r="C720" s="2"/>
      <c r="D720" s="2"/>
      <c r="E720" s="2"/>
      <c r="F720" s="2"/>
      <c r="I720" s="2"/>
      <c r="N720" s="2"/>
      <c r="S720" s="2"/>
    </row>
    <row r="721" ht="15.75" customHeight="1">
      <c r="A721" s="2"/>
      <c r="B721" s="2"/>
      <c r="C721" s="2"/>
      <c r="D721" s="2"/>
      <c r="E721" s="2"/>
      <c r="F721" s="2"/>
      <c r="I721" s="2"/>
      <c r="N721" s="2"/>
      <c r="S721" s="2"/>
    </row>
    <row r="722" ht="15.75" customHeight="1">
      <c r="A722" s="2"/>
      <c r="B722" s="2"/>
      <c r="C722" s="2"/>
      <c r="D722" s="2"/>
      <c r="E722" s="2"/>
      <c r="F722" s="2"/>
      <c r="I722" s="2"/>
      <c r="N722" s="2"/>
      <c r="S722" s="2"/>
    </row>
    <row r="723" ht="15.75" customHeight="1">
      <c r="A723" s="2"/>
      <c r="B723" s="2"/>
      <c r="C723" s="2"/>
      <c r="D723" s="2"/>
      <c r="E723" s="2"/>
      <c r="F723" s="2"/>
      <c r="I723" s="2"/>
      <c r="N723" s="2"/>
      <c r="S723" s="2"/>
    </row>
    <row r="724" ht="15.75" customHeight="1">
      <c r="A724" s="2"/>
      <c r="B724" s="2"/>
      <c r="C724" s="2"/>
      <c r="D724" s="2"/>
      <c r="E724" s="2"/>
      <c r="F724" s="2"/>
      <c r="I724" s="2"/>
      <c r="N724" s="2"/>
      <c r="S724" s="2"/>
    </row>
    <row r="725" ht="15.75" customHeight="1">
      <c r="A725" s="2"/>
      <c r="B725" s="2"/>
      <c r="C725" s="2"/>
      <c r="D725" s="2"/>
      <c r="E725" s="2"/>
      <c r="F725" s="2"/>
      <c r="I725" s="2"/>
      <c r="N725" s="2"/>
      <c r="S725" s="2"/>
    </row>
    <row r="726" ht="15.75" customHeight="1">
      <c r="A726" s="2"/>
      <c r="B726" s="2"/>
      <c r="C726" s="2"/>
      <c r="D726" s="2"/>
      <c r="E726" s="2"/>
      <c r="F726" s="2"/>
      <c r="I726" s="2"/>
      <c r="N726" s="2"/>
      <c r="S726" s="2"/>
    </row>
    <row r="727" ht="15.75" customHeight="1">
      <c r="A727" s="2"/>
      <c r="B727" s="2"/>
      <c r="C727" s="2"/>
      <c r="D727" s="2"/>
      <c r="E727" s="2"/>
      <c r="F727" s="2"/>
      <c r="I727" s="2"/>
      <c r="N727" s="2"/>
      <c r="S727" s="2"/>
    </row>
    <row r="728" ht="15.75" customHeight="1">
      <c r="A728" s="2"/>
      <c r="B728" s="2"/>
      <c r="C728" s="2"/>
      <c r="D728" s="2"/>
      <c r="E728" s="2"/>
      <c r="F728" s="2"/>
      <c r="I728" s="2"/>
      <c r="N728" s="2"/>
      <c r="S728" s="2"/>
    </row>
    <row r="729" ht="15.75" customHeight="1">
      <c r="A729" s="2"/>
      <c r="B729" s="2"/>
      <c r="C729" s="2"/>
      <c r="D729" s="2"/>
      <c r="E729" s="2"/>
      <c r="F729" s="2"/>
      <c r="I729" s="2"/>
      <c r="N729" s="2"/>
      <c r="S729" s="2"/>
    </row>
    <row r="730" ht="15.75" customHeight="1">
      <c r="A730" s="2"/>
      <c r="B730" s="2"/>
      <c r="C730" s="2"/>
      <c r="D730" s="2"/>
      <c r="E730" s="2"/>
      <c r="F730" s="2"/>
      <c r="I730" s="2"/>
      <c r="N730" s="2"/>
      <c r="S730" s="2"/>
    </row>
    <row r="731" ht="15.75" customHeight="1">
      <c r="A731" s="2"/>
      <c r="B731" s="2"/>
      <c r="C731" s="2"/>
      <c r="D731" s="2"/>
      <c r="E731" s="2"/>
      <c r="F731" s="2"/>
      <c r="I731" s="2"/>
      <c r="N731" s="2"/>
      <c r="S731" s="2"/>
    </row>
    <row r="732" ht="15.75" customHeight="1">
      <c r="A732" s="2"/>
      <c r="B732" s="2"/>
      <c r="C732" s="2"/>
      <c r="D732" s="2"/>
      <c r="E732" s="2"/>
      <c r="F732" s="2"/>
      <c r="I732" s="2"/>
      <c r="N732" s="2"/>
      <c r="S732" s="2"/>
    </row>
    <row r="733" ht="15.75" customHeight="1">
      <c r="A733" s="2"/>
      <c r="B733" s="2"/>
      <c r="C733" s="2"/>
      <c r="D733" s="2"/>
      <c r="E733" s="2"/>
      <c r="F733" s="2"/>
      <c r="I733" s="2"/>
      <c r="N733" s="2"/>
      <c r="S733" s="2"/>
    </row>
    <row r="734" ht="15.75" customHeight="1">
      <c r="A734" s="2"/>
      <c r="B734" s="2"/>
      <c r="C734" s="2"/>
      <c r="D734" s="2"/>
      <c r="E734" s="2"/>
      <c r="F734" s="2"/>
      <c r="I734" s="2"/>
      <c r="N734" s="2"/>
      <c r="S734" s="2"/>
    </row>
    <row r="735" ht="15.75" customHeight="1">
      <c r="A735" s="2"/>
      <c r="B735" s="2"/>
      <c r="C735" s="2"/>
      <c r="D735" s="2"/>
      <c r="E735" s="2"/>
      <c r="F735" s="2"/>
      <c r="I735" s="2"/>
      <c r="N735" s="2"/>
      <c r="S735" s="2"/>
    </row>
    <row r="736" ht="15.75" customHeight="1">
      <c r="A736" s="2"/>
      <c r="B736" s="2"/>
      <c r="C736" s="2"/>
      <c r="D736" s="2"/>
      <c r="E736" s="2"/>
      <c r="F736" s="2"/>
      <c r="I736" s="2"/>
      <c r="N736" s="2"/>
      <c r="S736" s="2"/>
    </row>
    <row r="737" ht="15.75" customHeight="1">
      <c r="A737" s="2"/>
      <c r="B737" s="2"/>
      <c r="C737" s="2"/>
      <c r="D737" s="2"/>
      <c r="E737" s="2"/>
      <c r="F737" s="2"/>
      <c r="I737" s="2"/>
      <c r="N737" s="2"/>
      <c r="S737" s="2"/>
    </row>
    <row r="738" ht="15.75" customHeight="1">
      <c r="A738" s="2"/>
      <c r="B738" s="2"/>
      <c r="C738" s="2"/>
      <c r="D738" s="2"/>
      <c r="E738" s="2"/>
      <c r="F738" s="2"/>
      <c r="I738" s="2"/>
      <c r="N738" s="2"/>
      <c r="S738" s="2"/>
    </row>
    <row r="739" ht="15.75" customHeight="1">
      <c r="A739" s="2"/>
      <c r="B739" s="2"/>
      <c r="C739" s="2"/>
      <c r="D739" s="2"/>
      <c r="E739" s="2"/>
      <c r="F739" s="2"/>
      <c r="I739" s="2"/>
      <c r="N739" s="2"/>
      <c r="S739" s="2"/>
    </row>
    <row r="740" ht="15.75" customHeight="1">
      <c r="A740" s="2"/>
      <c r="B740" s="2"/>
      <c r="C740" s="2"/>
      <c r="D740" s="2"/>
      <c r="E740" s="2"/>
      <c r="F740" s="2"/>
      <c r="I740" s="2"/>
      <c r="N740" s="2"/>
      <c r="S740" s="2"/>
    </row>
    <row r="741" ht="15.75" customHeight="1">
      <c r="A741" s="2"/>
      <c r="B741" s="2"/>
      <c r="C741" s="2"/>
      <c r="D741" s="2"/>
      <c r="E741" s="2"/>
      <c r="F741" s="2"/>
      <c r="I741" s="2"/>
      <c r="N741" s="2"/>
      <c r="S741" s="2"/>
    </row>
    <row r="742" ht="15.75" customHeight="1">
      <c r="A742" s="2"/>
      <c r="B742" s="2"/>
      <c r="C742" s="2"/>
      <c r="D742" s="2"/>
      <c r="E742" s="2"/>
      <c r="F742" s="2"/>
      <c r="I742" s="2"/>
      <c r="N742" s="2"/>
      <c r="S742" s="2"/>
    </row>
    <row r="743" ht="15.75" customHeight="1">
      <c r="A743" s="2"/>
      <c r="B743" s="2"/>
      <c r="C743" s="2"/>
      <c r="D743" s="2"/>
      <c r="E743" s="2"/>
      <c r="F743" s="2"/>
      <c r="I743" s="2"/>
      <c r="N743" s="2"/>
      <c r="S743" s="2"/>
    </row>
    <row r="744" ht="15.75" customHeight="1">
      <c r="A744" s="2"/>
      <c r="B744" s="2"/>
      <c r="C744" s="2"/>
      <c r="D744" s="2"/>
      <c r="E744" s="2"/>
      <c r="F744" s="2"/>
      <c r="I744" s="2"/>
      <c r="N744" s="2"/>
      <c r="S744" s="2"/>
    </row>
    <row r="745" ht="15.75" customHeight="1">
      <c r="A745" s="2"/>
      <c r="B745" s="2"/>
      <c r="C745" s="2"/>
      <c r="D745" s="2"/>
      <c r="E745" s="2"/>
      <c r="F745" s="2"/>
      <c r="I745" s="2"/>
      <c r="N745" s="2"/>
      <c r="S745" s="2"/>
    </row>
    <row r="746" ht="15.75" customHeight="1">
      <c r="A746" s="2"/>
      <c r="B746" s="2"/>
      <c r="C746" s="2"/>
      <c r="D746" s="2"/>
      <c r="E746" s="2"/>
      <c r="F746" s="2"/>
      <c r="I746" s="2"/>
      <c r="N746" s="2"/>
      <c r="S746" s="2"/>
    </row>
    <row r="747" ht="15.75" customHeight="1">
      <c r="A747" s="2"/>
      <c r="B747" s="2"/>
      <c r="C747" s="2"/>
      <c r="D747" s="2"/>
      <c r="E747" s="2"/>
      <c r="F747" s="2"/>
      <c r="I747" s="2"/>
      <c r="N747" s="2"/>
      <c r="S747" s="2"/>
    </row>
    <row r="748" ht="15.75" customHeight="1">
      <c r="A748" s="2"/>
      <c r="B748" s="2"/>
      <c r="C748" s="2"/>
      <c r="D748" s="2"/>
      <c r="E748" s="2"/>
      <c r="F748" s="2"/>
      <c r="I748" s="2"/>
      <c r="N748" s="2"/>
      <c r="S748" s="2"/>
    </row>
    <row r="749" ht="15.75" customHeight="1">
      <c r="A749" s="2"/>
      <c r="B749" s="2"/>
      <c r="C749" s="2"/>
      <c r="D749" s="2"/>
      <c r="E749" s="2"/>
      <c r="F749" s="2"/>
      <c r="I749" s="2"/>
      <c r="N749" s="2"/>
      <c r="S749" s="2"/>
    </row>
    <row r="750" ht="15.75" customHeight="1">
      <c r="A750" s="2"/>
      <c r="B750" s="2"/>
      <c r="C750" s="2"/>
      <c r="D750" s="2"/>
      <c r="E750" s="2"/>
      <c r="F750" s="2"/>
      <c r="I750" s="2"/>
      <c r="N750" s="2"/>
      <c r="S750" s="2"/>
    </row>
    <row r="751" ht="15.75" customHeight="1">
      <c r="A751" s="2"/>
      <c r="B751" s="2"/>
      <c r="C751" s="2"/>
      <c r="D751" s="2"/>
      <c r="E751" s="2"/>
      <c r="F751" s="2"/>
      <c r="I751" s="2"/>
      <c r="N751" s="2"/>
      <c r="S751" s="2"/>
    </row>
    <row r="752" ht="15.75" customHeight="1">
      <c r="A752" s="2"/>
      <c r="B752" s="2"/>
      <c r="C752" s="2"/>
      <c r="D752" s="2"/>
      <c r="E752" s="2"/>
      <c r="F752" s="2"/>
      <c r="I752" s="2"/>
      <c r="N752" s="2"/>
      <c r="S752" s="2"/>
    </row>
    <row r="753" ht="15.75" customHeight="1">
      <c r="A753" s="2"/>
      <c r="B753" s="2"/>
      <c r="C753" s="2"/>
      <c r="D753" s="2"/>
      <c r="E753" s="2"/>
      <c r="F753" s="2"/>
      <c r="I753" s="2"/>
      <c r="N753" s="2"/>
      <c r="S753" s="2"/>
    </row>
    <row r="754" ht="15.75" customHeight="1">
      <c r="A754" s="2"/>
      <c r="B754" s="2"/>
      <c r="C754" s="2"/>
      <c r="D754" s="2"/>
      <c r="E754" s="2"/>
      <c r="F754" s="2"/>
      <c r="I754" s="2"/>
      <c r="N754" s="2"/>
      <c r="S754" s="2"/>
    </row>
    <row r="755" ht="15.75" customHeight="1">
      <c r="A755" s="2"/>
      <c r="B755" s="2"/>
      <c r="C755" s="2"/>
      <c r="D755" s="2"/>
      <c r="E755" s="2"/>
      <c r="F755" s="2"/>
      <c r="I755" s="2"/>
      <c r="N755" s="2"/>
      <c r="S755" s="2"/>
    </row>
    <row r="756" ht="15.75" customHeight="1">
      <c r="A756" s="2"/>
      <c r="B756" s="2"/>
      <c r="C756" s="2"/>
      <c r="D756" s="2"/>
      <c r="E756" s="2"/>
      <c r="F756" s="2"/>
      <c r="I756" s="2"/>
      <c r="N756" s="2"/>
      <c r="S756" s="2"/>
    </row>
    <row r="757" ht="15.75" customHeight="1">
      <c r="A757" s="2"/>
      <c r="B757" s="2"/>
      <c r="C757" s="2"/>
      <c r="D757" s="2"/>
      <c r="E757" s="2"/>
      <c r="F757" s="2"/>
      <c r="I757" s="2"/>
      <c r="N757" s="2"/>
      <c r="S757" s="2"/>
    </row>
    <row r="758" ht="15.75" customHeight="1">
      <c r="A758" s="2"/>
      <c r="B758" s="2"/>
      <c r="C758" s="2"/>
      <c r="D758" s="2"/>
      <c r="E758" s="2"/>
      <c r="F758" s="2"/>
      <c r="I758" s="2"/>
      <c r="N758" s="2"/>
      <c r="S758" s="2"/>
    </row>
    <row r="759" ht="15.75" customHeight="1">
      <c r="A759" s="2"/>
      <c r="B759" s="2"/>
      <c r="C759" s="2"/>
      <c r="D759" s="2"/>
      <c r="E759" s="2"/>
      <c r="F759" s="2"/>
      <c r="I759" s="2"/>
      <c r="N759" s="2"/>
      <c r="S759" s="2"/>
    </row>
    <row r="760" ht="15.75" customHeight="1">
      <c r="A760" s="2"/>
      <c r="B760" s="2"/>
      <c r="C760" s="2"/>
      <c r="D760" s="2"/>
      <c r="E760" s="2"/>
      <c r="F760" s="2"/>
      <c r="I760" s="2"/>
      <c r="N760" s="2"/>
      <c r="S760" s="2"/>
    </row>
    <row r="761" ht="15.75" customHeight="1">
      <c r="A761" s="2"/>
      <c r="B761" s="2"/>
      <c r="C761" s="2"/>
      <c r="D761" s="2"/>
      <c r="E761" s="2"/>
      <c r="F761" s="2"/>
      <c r="I761" s="2"/>
      <c r="N761" s="2"/>
      <c r="S761" s="2"/>
    </row>
    <row r="762" ht="15.75" customHeight="1">
      <c r="A762" s="2"/>
      <c r="B762" s="2"/>
      <c r="C762" s="2"/>
      <c r="D762" s="2"/>
      <c r="E762" s="2"/>
      <c r="F762" s="2"/>
      <c r="I762" s="2"/>
      <c r="N762" s="2"/>
      <c r="S762" s="2"/>
    </row>
    <row r="763" ht="15.75" customHeight="1">
      <c r="A763" s="2"/>
      <c r="B763" s="2"/>
      <c r="C763" s="2"/>
      <c r="D763" s="2"/>
      <c r="E763" s="2"/>
      <c r="F763" s="2"/>
      <c r="I763" s="2"/>
      <c r="N763" s="2"/>
      <c r="S763" s="2"/>
    </row>
    <row r="764" ht="15.75" customHeight="1">
      <c r="A764" s="2"/>
      <c r="B764" s="2"/>
      <c r="C764" s="2"/>
      <c r="D764" s="2"/>
      <c r="E764" s="2"/>
      <c r="F764" s="2"/>
      <c r="I764" s="2"/>
      <c r="N764" s="2"/>
      <c r="S764" s="2"/>
    </row>
    <row r="765" ht="15.75" customHeight="1">
      <c r="A765" s="2"/>
      <c r="B765" s="2"/>
      <c r="C765" s="2"/>
      <c r="D765" s="2"/>
      <c r="E765" s="2"/>
      <c r="F765" s="2"/>
      <c r="I765" s="2"/>
      <c r="N765" s="2"/>
      <c r="S765" s="2"/>
    </row>
    <row r="766" ht="15.75" customHeight="1">
      <c r="A766" s="2"/>
      <c r="B766" s="2"/>
      <c r="C766" s="2"/>
      <c r="D766" s="2"/>
      <c r="E766" s="2"/>
      <c r="F766" s="2"/>
      <c r="I766" s="2"/>
      <c r="N766" s="2"/>
      <c r="S766" s="2"/>
    </row>
    <row r="767" ht="15.75" customHeight="1">
      <c r="A767" s="2"/>
      <c r="B767" s="2"/>
      <c r="C767" s="2"/>
      <c r="D767" s="2"/>
      <c r="E767" s="2"/>
      <c r="F767" s="2"/>
      <c r="I767" s="2"/>
      <c r="N767" s="2"/>
      <c r="S767" s="2"/>
    </row>
    <row r="768" ht="15.75" customHeight="1">
      <c r="A768" s="2"/>
      <c r="B768" s="2"/>
      <c r="C768" s="2"/>
      <c r="D768" s="2"/>
      <c r="E768" s="2"/>
      <c r="F768" s="2"/>
      <c r="I768" s="2"/>
      <c r="N768" s="2"/>
      <c r="S768" s="2"/>
    </row>
    <row r="769" ht="15.75" customHeight="1">
      <c r="A769" s="2"/>
      <c r="B769" s="2"/>
      <c r="C769" s="2"/>
      <c r="D769" s="2"/>
      <c r="E769" s="2"/>
      <c r="F769" s="2"/>
      <c r="I769" s="2"/>
      <c r="N769" s="2"/>
      <c r="S769" s="2"/>
    </row>
    <row r="770" ht="15.75" customHeight="1">
      <c r="A770" s="2"/>
      <c r="B770" s="2"/>
      <c r="C770" s="2"/>
      <c r="D770" s="2"/>
      <c r="E770" s="2"/>
      <c r="F770" s="2"/>
      <c r="I770" s="2"/>
      <c r="N770" s="2"/>
      <c r="S770" s="2"/>
    </row>
    <row r="771" ht="15.75" customHeight="1">
      <c r="A771" s="2"/>
      <c r="B771" s="2"/>
      <c r="C771" s="2"/>
      <c r="D771" s="2"/>
      <c r="E771" s="2"/>
      <c r="F771" s="2"/>
      <c r="I771" s="2"/>
      <c r="N771" s="2"/>
      <c r="S771" s="2"/>
    </row>
    <row r="772" ht="15.75" customHeight="1">
      <c r="A772" s="2"/>
      <c r="B772" s="2"/>
      <c r="C772" s="2"/>
      <c r="D772" s="2"/>
      <c r="E772" s="2"/>
      <c r="F772" s="2"/>
      <c r="I772" s="2"/>
      <c r="N772" s="2"/>
      <c r="S772" s="2"/>
    </row>
    <row r="773" ht="15.75" customHeight="1">
      <c r="A773" s="2"/>
      <c r="B773" s="2"/>
      <c r="C773" s="2"/>
      <c r="D773" s="2"/>
      <c r="E773" s="2"/>
      <c r="F773" s="2"/>
      <c r="I773" s="2"/>
      <c r="N773" s="2"/>
      <c r="S773" s="2"/>
    </row>
    <row r="774" ht="15.75" customHeight="1">
      <c r="A774" s="2"/>
      <c r="B774" s="2"/>
      <c r="C774" s="2"/>
      <c r="D774" s="2"/>
      <c r="E774" s="2"/>
      <c r="F774" s="2"/>
      <c r="I774" s="2"/>
      <c r="N774" s="2"/>
      <c r="S774" s="2"/>
    </row>
    <row r="775" ht="15.75" customHeight="1">
      <c r="A775" s="2"/>
      <c r="B775" s="2"/>
      <c r="C775" s="2"/>
      <c r="D775" s="2"/>
      <c r="E775" s="2"/>
      <c r="F775" s="2"/>
      <c r="I775" s="2"/>
      <c r="N775" s="2"/>
      <c r="S775" s="2"/>
    </row>
    <row r="776" ht="15.75" customHeight="1">
      <c r="A776" s="2"/>
      <c r="B776" s="2"/>
      <c r="C776" s="2"/>
      <c r="D776" s="2"/>
      <c r="E776" s="2"/>
      <c r="F776" s="2"/>
      <c r="I776" s="2"/>
      <c r="N776" s="2"/>
      <c r="S776" s="2"/>
    </row>
    <row r="777" ht="15.75" customHeight="1">
      <c r="A777" s="2"/>
      <c r="B777" s="2"/>
      <c r="C777" s="2"/>
      <c r="D777" s="2"/>
      <c r="E777" s="2"/>
      <c r="F777" s="2"/>
      <c r="I777" s="2"/>
      <c r="N777" s="2"/>
      <c r="S777" s="2"/>
    </row>
    <row r="778" ht="15.75" customHeight="1">
      <c r="A778" s="2"/>
      <c r="B778" s="2"/>
      <c r="C778" s="2"/>
      <c r="D778" s="2"/>
      <c r="E778" s="2"/>
      <c r="F778" s="2"/>
      <c r="I778" s="2"/>
      <c r="N778" s="2"/>
      <c r="S778" s="2"/>
    </row>
    <row r="779" ht="15.75" customHeight="1">
      <c r="A779" s="2"/>
      <c r="B779" s="2"/>
      <c r="C779" s="2"/>
      <c r="D779" s="2"/>
      <c r="E779" s="2"/>
      <c r="F779" s="2"/>
      <c r="I779" s="2"/>
      <c r="N779" s="2"/>
      <c r="S779" s="2"/>
    </row>
    <row r="780" ht="15.75" customHeight="1">
      <c r="A780" s="2"/>
      <c r="B780" s="2"/>
      <c r="C780" s="2"/>
      <c r="D780" s="2"/>
      <c r="E780" s="2"/>
      <c r="F780" s="2"/>
      <c r="I780" s="2"/>
      <c r="N780" s="2"/>
      <c r="S780" s="2"/>
    </row>
    <row r="781" ht="15.75" customHeight="1">
      <c r="A781" s="2"/>
      <c r="B781" s="2"/>
      <c r="C781" s="2"/>
      <c r="D781" s="2"/>
      <c r="E781" s="2"/>
      <c r="F781" s="2"/>
      <c r="I781" s="2"/>
      <c r="N781" s="2"/>
      <c r="S781" s="2"/>
    </row>
    <row r="782" ht="15.75" customHeight="1">
      <c r="A782" s="2"/>
      <c r="B782" s="2"/>
      <c r="C782" s="2"/>
      <c r="D782" s="2"/>
      <c r="E782" s="2"/>
      <c r="F782" s="2"/>
      <c r="I782" s="2"/>
      <c r="N782" s="2"/>
      <c r="S782" s="2"/>
    </row>
    <row r="783" ht="15.75" customHeight="1">
      <c r="A783" s="2"/>
      <c r="B783" s="2"/>
      <c r="C783" s="2"/>
      <c r="D783" s="2"/>
      <c r="E783" s="2"/>
      <c r="F783" s="2"/>
      <c r="I783" s="2"/>
      <c r="N783" s="2"/>
      <c r="S783" s="2"/>
    </row>
    <row r="784" ht="15.75" customHeight="1">
      <c r="A784" s="2"/>
      <c r="B784" s="2"/>
      <c r="C784" s="2"/>
      <c r="D784" s="2"/>
      <c r="E784" s="2"/>
      <c r="F784" s="2"/>
      <c r="I784" s="2"/>
      <c r="N784" s="2"/>
      <c r="S784" s="2"/>
    </row>
    <row r="785" ht="15.75" customHeight="1">
      <c r="A785" s="2"/>
      <c r="B785" s="2"/>
      <c r="C785" s="2"/>
      <c r="D785" s="2"/>
      <c r="E785" s="2"/>
      <c r="F785" s="2"/>
      <c r="I785" s="2"/>
      <c r="N785" s="2"/>
      <c r="S785" s="2"/>
    </row>
    <row r="786" ht="15.75" customHeight="1">
      <c r="A786" s="2"/>
      <c r="B786" s="2"/>
      <c r="C786" s="2"/>
      <c r="D786" s="2"/>
      <c r="E786" s="2"/>
      <c r="F786" s="2"/>
      <c r="I786" s="2"/>
      <c r="N786" s="2"/>
      <c r="S786" s="2"/>
    </row>
    <row r="787" ht="15.75" customHeight="1">
      <c r="A787" s="2"/>
      <c r="B787" s="2"/>
      <c r="C787" s="2"/>
      <c r="D787" s="2"/>
      <c r="E787" s="2"/>
      <c r="F787" s="2"/>
      <c r="I787" s="2"/>
      <c r="N787" s="2"/>
      <c r="S787" s="2"/>
    </row>
    <row r="788" ht="15.75" customHeight="1">
      <c r="A788" s="2"/>
      <c r="B788" s="2"/>
      <c r="C788" s="2"/>
      <c r="D788" s="2"/>
      <c r="E788" s="2"/>
      <c r="F788" s="2"/>
      <c r="I788" s="2"/>
      <c r="N788" s="2"/>
      <c r="S788" s="2"/>
    </row>
    <row r="789" ht="15.75" customHeight="1">
      <c r="A789" s="2"/>
      <c r="B789" s="2"/>
      <c r="C789" s="2"/>
      <c r="D789" s="2"/>
      <c r="E789" s="2"/>
      <c r="F789" s="2"/>
      <c r="I789" s="2"/>
      <c r="N789" s="2"/>
      <c r="S789" s="2"/>
    </row>
    <row r="790" ht="15.75" customHeight="1">
      <c r="A790" s="2"/>
      <c r="B790" s="2"/>
      <c r="C790" s="2"/>
      <c r="D790" s="2"/>
      <c r="E790" s="2"/>
      <c r="F790" s="2"/>
      <c r="I790" s="2"/>
      <c r="N790" s="2"/>
      <c r="S790" s="2"/>
    </row>
    <row r="791" ht="15.75" customHeight="1">
      <c r="A791" s="2"/>
      <c r="B791" s="2"/>
      <c r="C791" s="2"/>
      <c r="D791" s="2"/>
      <c r="E791" s="2"/>
      <c r="F791" s="2"/>
      <c r="I791" s="2"/>
      <c r="N791" s="2"/>
      <c r="S791" s="2"/>
    </row>
    <row r="792" ht="15.75" customHeight="1">
      <c r="A792" s="2"/>
      <c r="B792" s="2"/>
      <c r="C792" s="2"/>
      <c r="D792" s="2"/>
      <c r="E792" s="2"/>
      <c r="F792" s="2"/>
      <c r="I792" s="2"/>
      <c r="N792" s="2"/>
      <c r="S792" s="2"/>
    </row>
    <row r="793" ht="15.75" customHeight="1">
      <c r="A793" s="2"/>
      <c r="B793" s="2"/>
      <c r="C793" s="2"/>
      <c r="D793" s="2"/>
      <c r="E793" s="2"/>
      <c r="F793" s="2"/>
      <c r="I793" s="2"/>
      <c r="N793" s="2"/>
      <c r="S793" s="2"/>
    </row>
    <row r="794" ht="15.75" customHeight="1">
      <c r="A794" s="2"/>
      <c r="B794" s="2"/>
      <c r="C794" s="2"/>
      <c r="D794" s="2"/>
      <c r="E794" s="2"/>
      <c r="F794" s="2"/>
      <c r="I794" s="2"/>
      <c r="N794" s="2"/>
      <c r="S794" s="2"/>
    </row>
    <row r="795" ht="15.75" customHeight="1">
      <c r="A795" s="2"/>
      <c r="B795" s="2"/>
      <c r="C795" s="2"/>
      <c r="D795" s="2"/>
      <c r="E795" s="2"/>
      <c r="F795" s="2"/>
      <c r="I795" s="2"/>
      <c r="N795" s="2"/>
      <c r="S795" s="2"/>
    </row>
    <row r="796" ht="15.75" customHeight="1">
      <c r="A796" s="2"/>
      <c r="B796" s="2"/>
      <c r="C796" s="2"/>
      <c r="D796" s="2"/>
      <c r="E796" s="2"/>
      <c r="F796" s="2"/>
      <c r="I796" s="2"/>
      <c r="N796" s="2"/>
      <c r="S796" s="2"/>
    </row>
    <row r="797" ht="15.75" customHeight="1">
      <c r="A797" s="2"/>
      <c r="B797" s="2"/>
      <c r="C797" s="2"/>
      <c r="D797" s="2"/>
      <c r="E797" s="2"/>
      <c r="F797" s="2"/>
      <c r="I797" s="2"/>
      <c r="N797" s="2"/>
      <c r="S797" s="2"/>
    </row>
    <row r="798" ht="15.75" customHeight="1">
      <c r="A798" s="2"/>
      <c r="B798" s="2"/>
      <c r="C798" s="2"/>
      <c r="D798" s="2"/>
      <c r="E798" s="2"/>
      <c r="F798" s="2"/>
      <c r="I798" s="2"/>
      <c r="N798" s="2"/>
      <c r="S798" s="2"/>
    </row>
    <row r="799" ht="15.75" customHeight="1">
      <c r="A799" s="2"/>
      <c r="B799" s="2"/>
      <c r="C799" s="2"/>
      <c r="D799" s="2"/>
      <c r="E799" s="2"/>
      <c r="F799" s="2"/>
      <c r="I799" s="2"/>
      <c r="N799" s="2"/>
      <c r="S799" s="2"/>
    </row>
    <row r="800" ht="15.75" customHeight="1">
      <c r="A800" s="2"/>
      <c r="B800" s="2"/>
      <c r="C800" s="2"/>
      <c r="D800" s="2"/>
      <c r="E800" s="2"/>
      <c r="F800" s="2"/>
      <c r="I800" s="2"/>
      <c r="N800" s="2"/>
      <c r="S800" s="2"/>
    </row>
    <row r="801" ht="15.75" customHeight="1">
      <c r="A801" s="2"/>
      <c r="B801" s="2"/>
      <c r="C801" s="2"/>
      <c r="D801" s="2"/>
      <c r="E801" s="2"/>
      <c r="F801" s="2"/>
      <c r="I801" s="2"/>
      <c r="N801" s="2"/>
      <c r="S801" s="2"/>
    </row>
    <row r="802" ht="15.75" customHeight="1">
      <c r="A802" s="2"/>
      <c r="B802" s="2"/>
      <c r="C802" s="2"/>
      <c r="D802" s="2"/>
      <c r="E802" s="2"/>
      <c r="F802" s="2"/>
      <c r="I802" s="2"/>
      <c r="N802" s="2"/>
      <c r="S802" s="2"/>
    </row>
    <row r="803" ht="15.75" customHeight="1">
      <c r="A803" s="2"/>
      <c r="B803" s="2"/>
      <c r="C803" s="2"/>
      <c r="D803" s="2"/>
      <c r="E803" s="2"/>
      <c r="F803" s="2"/>
      <c r="I803" s="2"/>
      <c r="N803" s="2"/>
      <c r="S803" s="2"/>
    </row>
    <row r="804" ht="15.75" customHeight="1">
      <c r="A804" s="2"/>
      <c r="B804" s="2"/>
      <c r="C804" s="2"/>
      <c r="D804" s="2"/>
      <c r="E804" s="2"/>
      <c r="F804" s="2"/>
      <c r="I804" s="2"/>
      <c r="N804" s="2"/>
      <c r="S804" s="2"/>
    </row>
    <row r="805" ht="15.75" customHeight="1">
      <c r="A805" s="2"/>
      <c r="B805" s="2"/>
      <c r="C805" s="2"/>
      <c r="D805" s="2"/>
      <c r="E805" s="2"/>
      <c r="F805" s="2"/>
      <c r="I805" s="2"/>
      <c r="N805" s="2"/>
      <c r="S805" s="2"/>
    </row>
    <row r="806" ht="15.75" customHeight="1">
      <c r="A806" s="2"/>
      <c r="B806" s="2"/>
      <c r="C806" s="2"/>
      <c r="D806" s="2"/>
      <c r="E806" s="2"/>
      <c r="F806" s="2"/>
      <c r="I806" s="2"/>
      <c r="N806" s="2"/>
      <c r="S806" s="2"/>
    </row>
    <row r="807" ht="15.75" customHeight="1">
      <c r="A807" s="2"/>
      <c r="B807" s="2"/>
      <c r="C807" s="2"/>
      <c r="D807" s="2"/>
      <c r="E807" s="2"/>
      <c r="F807" s="2"/>
      <c r="I807" s="2"/>
      <c r="N807" s="2"/>
      <c r="S807" s="2"/>
    </row>
    <row r="808" ht="15.75" customHeight="1">
      <c r="A808" s="2"/>
      <c r="B808" s="2"/>
      <c r="C808" s="2"/>
      <c r="D808" s="2"/>
      <c r="E808" s="2"/>
      <c r="F808" s="2"/>
      <c r="I808" s="2"/>
      <c r="N808" s="2"/>
      <c r="S808" s="2"/>
    </row>
    <row r="809" ht="15.75" customHeight="1">
      <c r="A809" s="2"/>
      <c r="B809" s="2"/>
      <c r="C809" s="2"/>
      <c r="D809" s="2"/>
      <c r="E809" s="2"/>
      <c r="F809" s="2"/>
      <c r="I809" s="2"/>
      <c r="N809" s="2"/>
      <c r="S809" s="2"/>
    </row>
    <row r="810" ht="15.75" customHeight="1">
      <c r="A810" s="2"/>
      <c r="B810" s="2"/>
      <c r="C810" s="2"/>
      <c r="D810" s="2"/>
      <c r="E810" s="2"/>
      <c r="F810" s="2"/>
      <c r="I810" s="2"/>
      <c r="N810" s="2"/>
      <c r="S810" s="2"/>
    </row>
    <row r="811" ht="15.75" customHeight="1">
      <c r="A811" s="2"/>
      <c r="B811" s="2"/>
      <c r="C811" s="2"/>
      <c r="D811" s="2"/>
      <c r="E811" s="2"/>
      <c r="F811" s="2"/>
      <c r="I811" s="2"/>
      <c r="N811" s="2"/>
      <c r="S811" s="2"/>
    </row>
    <row r="812" ht="15.75" customHeight="1">
      <c r="A812" s="2"/>
      <c r="B812" s="2"/>
      <c r="C812" s="2"/>
      <c r="D812" s="2"/>
      <c r="E812" s="2"/>
      <c r="F812" s="2"/>
      <c r="I812" s="2"/>
      <c r="N812" s="2"/>
      <c r="S812" s="2"/>
    </row>
    <row r="813" ht="15.75" customHeight="1">
      <c r="A813" s="2"/>
      <c r="B813" s="2"/>
      <c r="C813" s="2"/>
      <c r="D813" s="2"/>
      <c r="E813" s="2"/>
      <c r="F813" s="2"/>
      <c r="I813" s="2"/>
      <c r="N813" s="2"/>
      <c r="S813" s="2"/>
    </row>
    <row r="814" ht="15.75" customHeight="1">
      <c r="A814" s="2"/>
      <c r="B814" s="2"/>
      <c r="C814" s="2"/>
      <c r="D814" s="2"/>
      <c r="E814" s="2"/>
      <c r="F814" s="2"/>
      <c r="I814" s="2"/>
      <c r="N814" s="2"/>
      <c r="S814" s="2"/>
    </row>
    <row r="815" ht="15.75" customHeight="1">
      <c r="A815" s="2"/>
      <c r="B815" s="2"/>
      <c r="C815" s="2"/>
      <c r="D815" s="2"/>
      <c r="E815" s="2"/>
      <c r="F815" s="2"/>
      <c r="I815" s="2"/>
      <c r="N815" s="2"/>
      <c r="S815" s="2"/>
    </row>
    <row r="816" ht="15.75" customHeight="1">
      <c r="A816" s="2"/>
      <c r="B816" s="2"/>
      <c r="C816" s="2"/>
      <c r="D816" s="2"/>
      <c r="E816" s="2"/>
      <c r="F816" s="2"/>
      <c r="I816" s="2"/>
      <c r="N816" s="2"/>
      <c r="S816" s="2"/>
    </row>
    <row r="817" ht="15.75" customHeight="1">
      <c r="A817" s="2"/>
      <c r="B817" s="2"/>
      <c r="C817" s="2"/>
      <c r="D817" s="2"/>
      <c r="E817" s="2"/>
      <c r="F817" s="2"/>
      <c r="I817" s="2"/>
      <c r="N817" s="2"/>
      <c r="S817" s="2"/>
    </row>
    <row r="818" ht="15.75" customHeight="1">
      <c r="A818" s="2"/>
      <c r="B818" s="2"/>
      <c r="C818" s="2"/>
      <c r="D818" s="2"/>
      <c r="E818" s="2"/>
      <c r="F818" s="2"/>
      <c r="I818" s="2"/>
      <c r="N818" s="2"/>
      <c r="S818" s="2"/>
    </row>
    <row r="819" ht="15.75" customHeight="1">
      <c r="A819" s="2"/>
      <c r="B819" s="2"/>
      <c r="C819" s="2"/>
      <c r="D819" s="2"/>
      <c r="E819" s="2"/>
      <c r="F819" s="2"/>
      <c r="I819" s="2"/>
      <c r="N819" s="2"/>
      <c r="S819" s="2"/>
    </row>
    <row r="820" ht="15.75" customHeight="1">
      <c r="A820" s="2"/>
      <c r="B820" s="2"/>
      <c r="C820" s="2"/>
      <c r="D820" s="2"/>
      <c r="E820" s="2"/>
      <c r="F820" s="2"/>
      <c r="I820" s="2"/>
      <c r="N820" s="2"/>
      <c r="S820" s="2"/>
    </row>
    <row r="821" ht="15.75" customHeight="1">
      <c r="A821" s="2"/>
      <c r="B821" s="2"/>
      <c r="C821" s="2"/>
      <c r="D821" s="2"/>
      <c r="E821" s="2"/>
      <c r="F821" s="2"/>
      <c r="I821" s="2"/>
      <c r="N821" s="2"/>
      <c r="S821" s="2"/>
    </row>
    <row r="822" ht="15.75" customHeight="1">
      <c r="A822" s="2"/>
      <c r="B822" s="2"/>
      <c r="C822" s="2"/>
      <c r="D822" s="2"/>
      <c r="E822" s="2"/>
      <c r="F822" s="2"/>
      <c r="I822" s="2"/>
      <c r="N822" s="2"/>
      <c r="S822" s="2"/>
    </row>
    <row r="823" ht="15.75" customHeight="1">
      <c r="A823" s="2"/>
      <c r="B823" s="2"/>
      <c r="C823" s="2"/>
      <c r="D823" s="2"/>
      <c r="E823" s="2"/>
      <c r="F823" s="2"/>
      <c r="I823" s="2"/>
      <c r="N823" s="2"/>
      <c r="S823" s="2"/>
    </row>
    <row r="824" ht="15.75" customHeight="1">
      <c r="A824" s="2"/>
      <c r="B824" s="2"/>
      <c r="C824" s="2"/>
      <c r="D824" s="2"/>
      <c r="E824" s="2"/>
      <c r="F824" s="2"/>
      <c r="I824" s="2"/>
      <c r="N824" s="2"/>
      <c r="S824" s="2"/>
    </row>
    <row r="825" ht="15.75" customHeight="1">
      <c r="A825" s="2"/>
      <c r="B825" s="2"/>
      <c r="C825" s="2"/>
      <c r="D825" s="2"/>
      <c r="E825" s="2"/>
      <c r="F825" s="2"/>
      <c r="I825" s="2"/>
      <c r="N825" s="2"/>
      <c r="S825" s="2"/>
    </row>
    <row r="826" ht="15.75" customHeight="1">
      <c r="A826" s="2"/>
      <c r="B826" s="2"/>
      <c r="C826" s="2"/>
      <c r="D826" s="2"/>
      <c r="E826" s="2"/>
      <c r="F826" s="2"/>
      <c r="I826" s="2"/>
      <c r="N826" s="2"/>
      <c r="S826" s="2"/>
    </row>
    <row r="827" ht="15.75" customHeight="1">
      <c r="A827" s="2"/>
      <c r="B827" s="2"/>
      <c r="C827" s="2"/>
      <c r="D827" s="2"/>
      <c r="E827" s="2"/>
      <c r="F827" s="2"/>
      <c r="I827" s="2"/>
      <c r="N827" s="2"/>
      <c r="S827" s="2"/>
    </row>
    <row r="828" ht="15.75" customHeight="1">
      <c r="A828" s="2"/>
      <c r="B828" s="2"/>
      <c r="C828" s="2"/>
      <c r="D828" s="2"/>
      <c r="E828" s="2"/>
      <c r="F828" s="2"/>
      <c r="I828" s="2"/>
      <c r="N828" s="2"/>
      <c r="S828" s="2"/>
    </row>
    <row r="829" ht="15.75" customHeight="1">
      <c r="A829" s="2"/>
      <c r="B829" s="2"/>
      <c r="C829" s="2"/>
      <c r="D829" s="2"/>
      <c r="E829" s="2"/>
      <c r="F829" s="2"/>
      <c r="I829" s="2"/>
      <c r="N829" s="2"/>
      <c r="S829" s="2"/>
    </row>
    <row r="830" ht="15.75" customHeight="1">
      <c r="A830" s="2"/>
      <c r="B830" s="2"/>
      <c r="C830" s="2"/>
      <c r="D830" s="2"/>
      <c r="E830" s="2"/>
      <c r="F830" s="2"/>
      <c r="I830" s="2"/>
      <c r="N830" s="2"/>
      <c r="S830" s="2"/>
    </row>
    <row r="831" ht="15.75" customHeight="1">
      <c r="A831" s="2"/>
      <c r="B831" s="2"/>
      <c r="C831" s="2"/>
      <c r="D831" s="2"/>
      <c r="E831" s="2"/>
      <c r="F831" s="2"/>
      <c r="I831" s="2"/>
      <c r="N831" s="2"/>
      <c r="S831" s="2"/>
    </row>
    <row r="832" ht="15.75" customHeight="1">
      <c r="A832" s="2"/>
      <c r="B832" s="2"/>
      <c r="C832" s="2"/>
      <c r="D832" s="2"/>
      <c r="E832" s="2"/>
      <c r="F832" s="2"/>
      <c r="I832" s="2"/>
      <c r="N832" s="2"/>
      <c r="S832" s="2"/>
    </row>
    <row r="833" ht="15.75" customHeight="1">
      <c r="A833" s="2"/>
      <c r="B833" s="2"/>
      <c r="C833" s="2"/>
      <c r="D833" s="2"/>
      <c r="E833" s="2"/>
      <c r="F833" s="2"/>
      <c r="I833" s="2"/>
      <c r="N833" s="2"/>
      <c r="S833" s="2"/>
    </row>
    <row r="834" ht="15.75" customHeight="1">
      <c r="A834" s="2"/>
      <c r="B834" s="2"/>
      <c r="C834" s="2"/>
      <c r="D834" s="2"/>
      <c r="E834" s="2"/>
      <c r="F834" s="2"/>
      <c r="I834" s="2"/>
      <c r="N834" s="2"/>
      <c r="S834" s="2"/>
    </row>
    <row r="835" ht="15.75" customHeight="1">
      <c r="A835" s="2"/>
      <c r="B835" s="2"/>
      <c r="C835" s="2"/>
      <c r="D835" s="2"/>
      <c r="E835" s="2"/>
      <c r="F835" s="2"/>
      <c r="I835" s="2"/>
      <c r="N835" s="2"/>
      <c r="S835" s="2"/>
    </row>
    <row r="836" ht="15.75" customHeight="1">
      <c r="A836" s="2"/>
      <c r="B836" s="2"/>
      <c r="C836" s="2"/>
      <c r="D836" s="2"/>
      <c r="E836" s="2"/>
      <c r="F836" s="2"/>
      <c r="I836" s="2"/>
      <c r="N836" s="2"/>
      <c r="S836" s="2"/>
    </row>
    <row r="837" ht="15.75" customHeight="1">
      <c r="A837" s="2"/>
      <c r="B837" s="2"/>
      <c r="C837" s="2"/>
      <c r="D837" s="2"/>
      <c r="E837" s="2"/>
      <c r="F837" s="2"/>
      <c r="I837" s="2"/>
      <c r="N837" s="2"/>
      <c r="S837" s="2"/>
    </row>
    <row r="838" ht="15.75" customHeight="1">
      <c r="A838" s="2"/>
      <c r="B838" s="2"/>
      <c r="C838" s="2"/>
      <c r="D838" s="2"/>
      <c r="E838" s="2"/>
      <c r="F838" s="2"/>
      <c r="I838" s="2"/>
      <c r="N838" s="2"/>
      <c r="S838" s="2"/>
    </row>
    <row r="839" ht="15.75" customHeight="1">
      <c r="A839" s="2"/>
      <c r="B839" s="2"/>
      <c r="C839" s="2"/>
      <c r="D839" s="2"/>
      <c r="E839" s="2"/>
      <c r="F839" s="2"/>
      <c r="I839" s="2"/>
      <c r="N839" s="2"/>
      <c r="S839" s="2"/>
    </row>
    <row r="840" ht="15.75" customHeight="1">
      <c r="A840" s="2"/>
      <c r="B840" s="2"/>
      <c r="C840" s="2"/>
      <c r="D840" s="2"/>
      <c r="E840" s="2"/>
      <c r="F840" s="2"/>
      <c r="I840" s="2"/>
      <c r="N840" s="2"/>
      <c r="S840" s="2"/>
    </row>
    <row r="841" ht="15.75" customHeight="1">
      <c r="A841" s="2"/>
      <c r="B841" s="2"/>
      <c r="C841" s="2"/>
      <c r="D841" s="2"/>
      <c r="E841" s="2"/>
      <c r="F841" s="2"/>
      <c r="I841" s="2"/>
      <c r="N841" s="2"/>
      <c r="S841" s="2"/>
    </row>
    <row r="842" ht="15.75" customHeight="1">
      <c r="A842" s="2"/>
      <c r="B842" s="2"/>
      <c r="C842" s="2"/>
      <c r="D842" s="2"/>
      <c r="E842" s="2"/>
      <c r="F842" s="2"/>
      <c r="I842" s="2"/>
      <c r="N842" s="2"/>
      <c r="S842" s="2"/>
    </row>
    <row r="843" ht="15.75" customHeight="1">
      <c r="A843" s="2"/>
      <c r="B843" s="2"/>
      <c r="C843" s="2"/>
      <c r="D843" s="2"/>
      <c r="E843" s="2"/>
      <c r="F843" s="2"/>
      <c r="I843" s="2"/>
      <c r="N843" s="2"/>
      <c r="S843" s="2"/>
    </row>
    <row r="844" ht="15.75" customHeight="1">
      <c r="A844" s="2"/>
      <c r="B844" s="2"/>
      <c r="C844" s="2"/>
      <c r="D844" s="2"/>
      <c r="E844" s="2"/>
      <c r="F844" s="2"/>
      <c r="I844" s="2"/>
      <c r="N844" s="2"/>
      <c r="S844" s="2"/>
    </row>
    <row r="845" ht="15.75" customHeight="1">
      <c r="A845" s="2"/>
      <c r="B845" s="2"/>
      <c r="C845" s="2"/>
      <c r="D845" s="2"/>
      <c r="E845" s="2"/>
      <c r="F845" s="2"/>
      <c r="I845" s="2"/>
      <c r="N845" s="2"/>
      <c r="S845" s="2"/>
    </row>
    <row r="846" ht="15.75" customHeight="1">
      <c r="A846" s="2"/>
      <c r="B846" s="2"/>
      <c r="C846" s="2"/>
      <c r="D846" s="2"/>
      <c r="E846" s="2"/>
      <c r="F846" s="2"/>
      <c r="I846" s="2"/>
      <c r="N846" s="2"/>
      <c r="S846" s="2"/>
    </row>
    <row r="847" ht="15.75" customHeight="1">
      <c r="A847" s="2"/>
      <c r="B847" s="2"/>
      <c r="C847" s="2"/>
      <c r="D847" s="2"/>
      <c r="E847" s="2"/>
      <c r="F847" s="2"/>
      <c r="I847" s="2"/>
      <c r="N847" s="2"/>
      <c r="S847" s="2"/>
    </row>
    <row r="848" ht="15.75" customHeight="1">
      <c r="A848" s="2"/>
      <c r="B848" s="2"/>
      <c r="C848" s="2"/>
      <c r="D848" s="2"/>
      <c r="E848" s="2"/>
      <c r="F848" s="2"/>
      <c r="I848" s="2"/>
      <c r="N848" s="2"/>
      <c r="S848" s="2"/>
    </row>
    <row r="849" ht="15.75" customHeight="1">
      <c r="A849" s="2"/>
      <c r="B849" s="2"/>
      <c r="C849" s="2"/>
      <c r="D849" s="2"/>
      <c r="E849" s="2"/>
      <c r="F849" s="2"/>
      <c r="I849" s="2"/>
      <c r="N849" s="2"/>
      <c r="S849" s="2"/>
    </row>
    <row r="850" ht="15.75" customHeight="1">
      <c r="A850" s="2"/>
      <c r="B850" s="2"/>
      <c r="C850" s="2"/>
      <c r="D850" s="2"/>
      <c r="E850" s="2"/>
      <c r="F850" s="2"/>
      <c r="I850" s="2"/>
      <c r="N850" s="2"/>
      <c r="S850" s="2"/>
    </row>
    <row r="851" ht="15.75" customHeight="1">
      <c r="A851" s="2"/>
      <c r="B851" s="2"/>
      <c r="C851" s="2"/>
      <c r="D851" s="2"/>
      <c r="E851" s="2"/>
      <c r="F851" s="2"/>
      <c r="I851" s="2"/>
      <c r="N851" s="2"/>
      <c r="S851" s="2"/>
    </row>
    <row r="852" ht="15.75" customHeight="1">
      <c r="A852" s="2"/>
      <c r="B852" s="2"/>
      <c r="C852" s="2"/>
      <c r="D852" s="2"/>
      <c r="E852" s="2"/>
      <c r="F852" s="2"/>
      <c r="I852" s="2"/>
      <c r="N852" s="2"/>
      <c r="S852" s="2"/>
    </row>
    <row r="853" ht="15.75" customHeight="1">
      <c r="A853" s="2"/>
      <c r="B853" s="2"/>
      <c r="C853" s="2"/>
      <c r="D853" s="2"/>
      <c r="E853" s="2"/>
      <c r="F853" s="2"/>
      <c r="I853" s="2"/>
      <c r="N853" s="2"/>
      <c r="S853" s="2"/>
    </row>
    <row r="854" ht="15.75" customHeight="1">
      <c r="A854" s="2"/>
      <c r="B854" s="2"/>
      <c r="C854" s="2"/>
      <c r="D854" s="2"/>
      <c r="E854" s="2"/>
      <c r="F854" s="2"/>
      <c r="I854" s="2"/>
      <c r="N854" s="2"/>
      <c r="S854" s="2"/>
    </row>
    <row r="855" ht="15.75" customHeight="1">
      <c r="A855" s="2"/>
      <c r="B855" s="2"/>
      <c r="C855" s="2"/>
      <c r="D855" s="2"/>
      <c r="E855" s="2"/>
      <c r="F855" s="2"/>
      <c r="I855" s="2"/>
      <c r="N855" s="2"/>
      <c r="S855" s="2"/>
    </row>
    <row r="856" ht="15.75" customHeight="1">
      <c r="A856" s="2"/>
      <c r="B856" s="2"/>
      <c r="C856" s="2"/>
      <c r="D856" s="2"/>
      <c r="E856" s="2"/>
      <c r="F856" s="2"/>
      <c r="I856" s="2"/>
      <c r="N856" s="2"/>
      <c r="S856" s="2"/>
    </row>
    <row r="857" ht="15.75" customHeight="1">
      <c r="A857" s="2"/>
      <c r="B857" s="2"/>
      <c r="C857" s="2"/>
      <c r="D857" s="2"/>
      <c r="E857" s="2"/>
      <c r="F857" s="2"/>
      <c r="I857" s="2"/>
      <c r="N857" s="2"/>
      <c r="S857" s="2"/>
    </row>
    <row r="858" ht="15.75" customHeight="1">
      <c r="A858" s="2"/>
      <c r="B858" s="2"/>
      <c r="C858" s="2"/>
      <c r="D858" s="2"/>
      <c r="E858" s="2"/>
      <c r="F858" s="2"/>
      <c r="I858" s="2"/>
      <c r="N858" s="2"/>
      <c r="S858" s="2"/>
    </row>
    <row r="859" ht="15.75" customHeight="1">
      <c r="A859" s="2"/>
      <c r="B859" s="2"/>
      <c r="C859" s="2"/>
      <c r="D859" s="2"/>
      <c r="E859" s="2"/>
      <c r="F859" s="2"/>
      <c r="I859" s="2"/>
      <c r="N859" s="2"/>
      <c r="S859" s="2"/>
    </row>
    <row r="860" ht="15.75" customHeight="1">
      <c r="A860" s="2"/>
      <c r="B860" s="2"/>
      <c r="C860" s="2"/>
      <c r="D860" s="2"/>
      <c r="E860" s="2"/>
      <c r="F860" s="2"/>
      <c r="I860" s="2"/>
      <c r="N860" s="2"/>
      <c r="S860" s="2"/>
    </row>
    <row r="861" ht="15.75" customHeight="1">
      <c r="A861" s="2"/>
      <c r="B861" s="2"/>
      <c r="C861" s="2"/>
      <c r="D861" s="2"/>
      <c r="E861" s="2"/>
      <c r="F861" s="2"/>
      <c r="I861" s="2"/>
      <c r="N861" s="2"/>
      <c r="S861" s="2"/>
    </row>
    <row r="862" ht="15.75" customHeight="1">
      <c r="A862" s="2"/>
      <c r="B862" s="2"/>
      <c r="C862" s="2"/>
      <c r="D862" s="2"/>
      <c r="E862" s="2"/>
      <c r="F862" s="2"/>
      <c r="I862" s="2"/>
      <c r="N862" s="2"/>
      <c r="S862" s="2"/>
    </row>
    <row r="863" ht="15.75" customHeight="1">
      <c r="A863" s="2"/>
      <c r="B863" s="2"/>
      <c r="C863" s="2"/>
      <c r="D863" s="2"/>
      <c r="E863" s="2"/>
      <c r="F863" s="2"/>
      <c r="I863" s="2"/>
      <c r="N863" s="2"/>
      <c r="S863" s="2"/>
    </row>
    <row r="864" ht="15.75" customHeight="1">
      <c r="A864" s="2"/>
      <c r="B864" s="2"/>
      <c r="C864" s="2"/>
      <c r="D864" s="2"/>
      <c r="E864" s="2"/>
      <c r="F864" s="2"/>
      <c r="I864" s="2"/>
      <c r="N864" s="2"/>
      <c r="S864" s="2"/>
    </row>
    <row r="865" ht="15.75" customHeight="1">
      <c r="A865" s="2"/>
      <c r="B865" s="2"/>
      <c r="C865" s="2"/>
      <c r="D865" s="2"/>
      <c r="E865" s="2"/>
      <c r="F865" s="2"/>
      <c r="I865" s="2"/>
      <c r="N865" s="2"/>
      <c r="S865" s="2"/>
    </row>
    <row r="866" ht="15.75" customHeight="1">
      <c r="A866" s="2"/>
      <c r="B866" s="2"/>
      <c r="C866" s="2"/>
      <c r="D866" s="2"/>
      <c r="E866" s="2"/>
      <c r="F866" s="2"/>
      <c r="I866" s="2"/>
      <c r="N866" s="2"/>
      <c r="S866" s="2"/>
    </row>
    <row r="867" ht="15.75" customHeight="1">
      <c r="A867" s="2"/>
      <c r="B867" s="2"/>
      <c r="C867" s="2"/>
      <c r="D867" s="2"/>
      <c r="E867" s="2"/>
      <c r="F867" s="2"/>
      <c r="I867" s="2"/>
      <c r="N867" s="2"/>
      <c r="S867" s="2"/>
    </row>
    <row r="868" ht="15.75" customHeight="1">
      <c r="A868" s="2"/>
      <c r="B868" s="2"/>
      <c r="C868" s="2"/>
      <c r="D868" s="2"/>
      <c r="E868" s="2"/>
      <c r="F868" s="2"/>
      <c r="I868" s="2"/>
      <c r="N868" s="2"/>
      <c r="S868" s="2"/>
    </row>
    <row r="869" ht="15.75" customHeight="1">
      <c r="A869" s="2"/>
      <c r="B869" s="2"/>
      <c r="C869" s="2"/>
      <c r="D869" s="2"/>
      <c r="E869" s="2"/>
      <c r="F869" s="2"/>
      <c r="I869" s="2"/>
      <c r="N869" s="2"/>
      <c r="S869" s="2"/>
    </row>
    <row r="870" ht="15.75" customHeight="1">
      <c r="A870" s="2"/>
      <c r="B870" s="2"/>
      <c r="C870" s="2"/>
      <c r="D870" s="2"/>
      <c r="E870" s="2"/>
      <c r="F870" s="2"/>
      <c r="I870" s="2"/>
      <c r="N870" s="2"/>
      <c r="S870" s="2"/>
    </row>
    <row r="871" ht="15.75" customHeight="1">
      <c r="A871" s="2"/>
      <c r="B871" s="2"/>
      <c r="C871" s="2"/>
      <c r="D871" s="2"/>
      <c r="E871" s="2"/>
      <c r="F871" s="2"/>
      <c r="I871" s="2"/>
      <c r="N871" s="2"/>
      <c r="S871" s="2"/>
    </row>
    <row r="872" ht="15.75" customHeight="1">
      <c r="A872" s="2"/>
      <c r="B872" s="2"/>
      <c r="C872" s="2"/>
      <c r="D872" s="2"/>
      <c r="E872" s="2"/>
      <c r="F872" s="2"/>
      <c r="I872" s="2"/>
      <c r="N872" s="2"/>
      <c r="S872" s="2"/>
    </row>
    <row r="873" ht="15.75" customHeight="1">
      <c r="A873" s="2"/>
      <c r="B873" s="2"/>
      <c r="C873" s="2"/>
      <c r="D873" s="2"/>
      <c r="E873" s="2"/>
      <c r="F873" s="2"/>
      <c r="I873" s="2"/>
      <c r="N873" s="2"/>
      <c r="S873" s="2"/>
    </row>
    <row r="874" ht="15.75" customHeight="1">
      <c r="A874" s="2"/>
      <c r="B874" s="2"/>
      <c r="C874" s="2"/>
      <c r="D874" s="2"/>
      <c r="E874" s="2"/>
      <c r="F874" s="2"/>
      <c r="I874" s="2"/>
      <c r="N874" s="2"/>
      <c r="S874" s="2"/>
    </row>
    <row r="875" ht="15.75" customHeight="1">
      <c r="A875" s="2"/>
      <c r="B875" s="2"/>
      <c r="C875" s="2"/>
      <c r="D875" s="2"/>
      <c r="E875" s="2"/>
      <c r="F875" s="2"/>
      <c r="I875" s="2"/>
      <c r="N875" s="2"/>
      <c r="S875" s="2"/>
    </row>
    <row r="876" ht="15.75" customHeight="1">
      <c r="A876" s="2"/>
      <c r="B876" s="2"/>
      <c r="C876" s="2"/>
      <c r="D876" s="2"/>
      <c r="E876" s="2"/>
      <c r="F876" s="2"/>
      <c r="I876" s="2"/>
      <c r="N876" s="2"/>
      <c r="S876" s="2"/>
    </row>
    <row r="877" ht="15.75" customHeight="1">
      <c r="A877" s="2"/>
      <c r="B877" s="2"/>
      <c r="C877" s="2"/>
      <c r="D877" s="2"/>
      <c r="E877" s="2"/>
      <c r="F877" s="2"/>
      <c r="I877" s="2"/>
      <c r="N877" s="2"/>
      <c r="S877" s="2"/>
    </row>
    <row r="878" ht="15.75" customHeight="1">
      <c r="A878" s="2"/>
      <c r="B878" s="2"/>
      <c r="C878" s="2"/>
      <c r="D878" s="2"/>
      <c r="E878" s="2"/>
      <c r="F878" s="2"/>
      <c r="I878" s="2"/>
      <c r="N878" s="2"/>
      <c r="S878" s="2"/>
    </row>
    <row r="879" ht="15.75" customHeight="1">
      <c r="A879" s="2"/>
      <c r="B879" s="2"/>
      <c r="C879" s="2"/>
      <c r="D879" s="2"/>
      <c r="E879" s="2"/>
      <c r="F879" s="2"/>
      <c r="I879" s="2"/>
      <c r="N879" s="2"/>
      <c r="S879" s="2"/>
    </row>
    <row r="880" ht="15.75" customHeight="1">
      <c r="A880" s="2"/>
      <c r="B880" s="2"/>
      <c r="C880" s="2"/>
      <c r="D880" s="2"/>
      <c r="E880" s="2"/>
      <c r="F880" s="2"/>
      <c r="I880" s="2"/>
      <c r="N880" s="2"/>
      <c r="S880" s="2"/>
    </row>
    <row r="881" ht="15.75" customHeight="1">
      <c r="A881" s="2"/>
      <c r="B881" s="2"/>
      <c r="C881" s="2"/>
      <c r="D881" s="2"/>
      <c r="E881" s="2"/>
      <c r="F881" s="2"/>
      <c r="I881" s="2"/>
      <c r="N881" s="2"/>
      <c r="S881" s="2"/>
    </row>
    <row r="882" ht="15.75" customHeight="1">
      <c r="A882" s="2"/>
      <c r="B882" s="2"/>
      <c r="C882" s="2"/>
      <c r="D882" s="2"/>
      <c r="E882" s="2"/>
      <c r="F882" s="2"/>
      <c r="I882" s="2"/>
      <c r="N882" s="2"/>
      <c r="S882" s="2"/>
    </row>
    <row r="883" ht="15.75" customHeight="1">
      <c r="A883" s="2"/>
      <c r="B883" s="2"/>
      <c r="C883" s="2"/>
      <c r="D883" s="2"/>
      <c r="E883" s="2"/>
      <c r="F883" s="2"/>
      <c r="I883" s="2"/>
      <c r="N883" s="2"/>
      <c r="S883" s="2"/>
    </row>
    <row r="884" ht="15.75" customHeight="1">
      <c r="A884" s="2"/>
      <c r="B884" s="2"/>
      <c r="C884" s="2"/>
      <c r="D884" s="2"/>
      <c r="E884" s="2"/>
      <c r="F884" s="2"/>
      <c r="I884" s="2"/>
      <c r="N884" s="2"/>
      <c r="S884" s="2"/>
    </row>
    <row r="885" ht="15.75" customHeight="1">
      <c r="A885" s="2"/>
      <c r="B885" s="2"/>
      <c r="C885" s="2"/>
      <c r="D885" s="2"/>
      <c r="E885" s="2"/>
      <c r="F885" s="2"/>
      <c r="I885" s="2"/>
      <c r="N885" s="2"/>
      <c r="S885" s="2"/>
    </row>
    <row r="886" ht="15.75" customHeight="1">
      <c r="A886" s="2"/>
      <c r="B886" s="2"/>
      <c r="C886" s="2"/>
      <c r="D886" s="2"/>
      <c r="E886" s="2"/>
      <c r="F886" s="2"/>
      <c r="I886" s="2"/>
      <c r="N886" s="2"/>
      <c r="S886" s="2"/>
    </row>
    <row r="887" ht="15.75" customHeight="1">
      <c r="A887" s="2"/>
      <c r="B887" s="2"/>
      <c r="C887" s="2"/>
      <c r="D887" s="2"/>
      <c r="E887" s="2"/>
      <c r="F887" s="2"/>
      <c r="I887" s="2"/>
      <c r="N887" s="2"/>
      <c r="S887" s="2"/>
    </row>
    <row r="888" ht="15.75" customHeight="1">
      <c r="A888" s="2"/>
      <c r="B888" s="2"/>
      <c r="C888" s="2"/>
      <c r="D888" s="2"/>
      <c r="E888" s="2"/>
      <c r="F888" s="2"/>
      <c r="I888" s="2"/>
      <c r="N888" s="2"/>
      <c r="S888" s="2"/>
    </row>
    <row r="889" ht="15.75" customHeight="1">
      <c r="A889" s="2"/>
      <c r="B889" s="2"/>
      <c r="C889" s="2"/>
      <c r="D889" s="2"/>
      <c r="E889" s="2"/>
      <c r="F889" s="2"/>
      <c r="I889" s="2"/>
      <c r="N889" s="2"/>
      <c r="S889" s="2"/>
    </row>
    <row r="890" ht="15.75" customHeight="1">
      <c r="A890" s="2"/>
      <c r="B890" s="2"/>
      <c r="C890" s="2"/>
      <c r="D890" s="2"/>
      <c r="E890" s="2"/>
      <c r="F890" s="2"/>
      <c r="I890" s="2"/>
      <c r="N890" s="2"/>
      <c r="S890" s="2"/>
    </row>
    <row r="891" ht="15.75" customHeight="1">
      <c r="A891" s="2"/>
      <c r="B891" s="2"/>
      <c r="C891" s="2"/>
      <c r="D891" s="2"/>
      <c r="E891" s="2"/>
      <c r="F891" s="2"/>
      <c r="I891" s="2"/>
      <c r="N891" s="2"/>
      <c r="S891" s="2"/>
    </row>
    <row r="892" ht="15.75" customHeight="1">
      <c r="A892" s="2"/>
      <c r="B892" s="2"/>
      <c r="C892" s="2"/>
      <c r="D892" s="2"/>
      <c r="E892" s="2"/>
      <c r="F892" s="2"/>
      <c r="I892" s="2"/>
      <c r="N892" s="2"/>
      <c r="S892" s="2"/>
    </row>
    <row r="893" ht="15.75" customHeight="1">
      <c r="A893" s="2"/>
      <c r="B893" s="2"/>
      <c r="C893" s="2"/>
      <c r="D893" s="2"/>
      <c r="E893" s="2"/>
      <c r="F893" s="2"/>
      <c r="I893" s="2"/>
      <c r="N893" s="2"/>
      <c r="S893" s="2"/>
    </row>
    <row r="894" ht="15.75" customHeight="1">
      <c r="A894" s="2"/>
      <c r="B894" s="2"/>
      <c r="C894" s="2"/>
      <c r="D894" s="2"/>
      <c r="E894" s="2"/>
      <c r="F894" s="2"/>
      <c r="I894" s="2"/>
      <c r="N894" s="2"/>
      <c r="S894" s="2"/>
    </row>
    <row r="895" ht="15.75" customHeight="1">
      <c r="A895" s="2"/>
      <c r="B895" s="2"/>
      <c r="C895" s="2"/>
      <c r="D895" s="2"/>
      <c r="E895" s="2"/>
      <c r="F895" s="2"/>
      <c r="I895" s="2"/>
      <c r="N895" s="2"/>
      <c r="S895" s="2"/>
    </row>
    <row r="896" ht="15.75" customHeight="1">
      <c r="A896" s="2"/>
      <c r="B896" s="2"/>
      <c r="C896" s="2"/>
      <c r="D896" s="2"/>
      <c r="E896" s="2"/>
      <c r="F896" s="2"/>
      <c r="I896" s="2"/>
      <c r="N896" s="2"/>
      <c r="S896" s="2"/>
    </row>
    <row r="897" ht="15.75" customHeight="1">
      <c r="A897" s="2"/>
      <c r="B897" s="2"/>
      <c r="C897" s="2"/>
      <c r="D897" s="2"/>
      <c r="E897" s="2"/>
      <c r="F897" s="2"/>
      <c r="I897" s="2"/>
      <c r="N897" s="2"/>
      <c r="S897" s="2"/>
    </row>
    <row r="898" ht="15.75" customHeight="1">
      <c r="A898" s="2"/>
      <c r="B898" s="2"/>
      <c r="C898" s="2"/>
      <c r="D898" s="2"/>
      <c r="E898" s="2"/>
      <c r="F898" s="2"/>
      <c r="I898" s="2"/>
      <c r="N898" s="2"/>
      <c r="S898" s="2"/>
    </row>
    <row r="899" ht="15.75" customHeight="1">
      <c r="A899" s="2"/>
      <c r="B899" s="2"/>
      <c r="C899" s="2"/>
      <c r="D899" s="2"/>
      <c r="E899" s="2"/>
      <c r="F899" s="2"/>
      <c r="I899" s="2"/>
      <c r="N899" s="2"/>
      <c r="S899" s="2"/>
    </row>
    <row r="900" ht="15.75" customHeight="1">
      <c r="A900" s="2"/>
      <c r="B900" s="2"/>
      <c r="C900" s="2"/>
      <c r="D900" s="2"/>
      <c r="E900" s="2"/>
      <c r="F900" s="2"/>
      <c r="I900" s="2"/>
      <c r="N900" s="2"/>
      <c r="S900" s="2"/>
    </row>
    <row r="901" ht="15.75" customHeight="1">
      <c r="A901" s="2"/>
      <c r="B901" s="2"/>
      <c r="C901" s="2"/>
      <c r="D901" s="2"/>
      <c r="E901" s="2"/>
      <c r="F901" s="2"/>
      <c r="I901" s="2"/>
      <c r="N901" s="2"/>
      <c r="S901" s="2"/>
    </row>
    <row r="902" ht="15.75" customHeight="1">
      <c r="A902" s="2"/>
      <c r="B902" s="2"/>
      <c r="C902" s="2"/>
      <c r="D902" s="2"/>
      <c r="E902" s="2"/>
      <c r="F902" s="2"/>
      <c r="I902" s="2"/>
      <c r="N902" s="2"/>
      <c r="S902" s="2"/>
    </row>
    <row r="903" ht="15.75" customHeight="1">
      <c r="A903" s="2"/>
      <c r="B903" s="2"/>
      <c r="C903" s="2"/>
      <c r="D903" s="2"/>
      <c r="E903" s="2"/>
      <c r="F903" s="2"/>
      <c r="I903" s="2"/>
      <c r="N903" s="2"/>
      <c r="S903" s="2"/>
    </row>
    <row r="904" ht="15.75" customHeight="1">
      <c r="A904" s="2"/>
      <c r="B904" s="2"/>
      <c r="C904" s="2"/>
      <c r="D904" s="2"/>
      <c r="E904" s="2"/>
      <c r="F904" s="2"/>
      <c r="I904" s="2"/>
      <c r="N904" s="2"/>
      <c r="S904" s="2"/>
    </row>
    <row r="905" ht="15.75" customHeight="1">
      <c r="A905" s="2"/>
      <c r="B905" s="2"/>
      <c r="C905" s="2"/>
      <c r="D905" s="2"/>
      <c r="E905" s="2"/>
      <c r="F905" s="2"/>
      <c r="I905" s="2"/>
      <c r="N905" s="2"/>
      <c r="S905" s="2"/>
    </row>
    <row r="906" ht="15.75" customHeight="1">
      <c r="A906" s="2"/>
      <c r="B906" s="2"/>
      <c r="C906" s="2"/>
      <c r="D906" s="2"/>
      <c r="E906" s="2"/>
      <c r="F906" s="2"/>
      <c r="I906" s="2"/>
      <c r="N906" s="2"/>
      <c r="S906" s="2"/>
    </row>
    <row r="907" ht="15.75" customHeight="1">
      <c r="A907" s="2"/>
      <c r="B907" s="2"/>
      <c r="C907" s="2"/>
      <c r="D907" s="2"/>
      <c r="E907" s="2"/>
      <c r="F907" s="2"/>
      <c r="I907" s="2"/>
      <c r="N907" s="2"/>
      <c r="S907" s="2"/>
    </row>
    <row r="908" ht="15.75" customHeight="1">
      <c r="A908" s="2"/>
      <c r="B908" s="2"/>
      <c r="C908" s="2"/>
      <c r="D908" s="2"/>
      <c r="E908" s="2"/>
      <c r="F908" s="2"/>
      <c r="I908" s="2"/>
      <c r="N908" s="2"/>
      <c r="S908" s="2"/>
    </row>
    <row r="909" ht="15.75" customHeight="1">
      <c r="A909" s="2"/>
      <c r="B909" s="2"/>
      <c r="C909" s="2"/>
      <c r="D909" s="2"/>
      <c r="E909" s="2"/>
      <c r="F909" s="2"/>
      <c r="I909" s="2"/>
      <c r="N909" s="2"/>
      <c r="S909" s="2"/>
    </row>
    <row r="910" ht="15.75" customHeight="1">
      <c r="A910" s="2"/>
      <c r="B910" s="2"/>
      <c r="C910" s="2"/>
      <c r="D910" s="2"/>
      <c r="E910" s="2"/>
      <c r="F910" s="2"/>
      <c r="I910" s="2"/>
      <c r="N910" s="2"/>
      <c r="S910" s="2"/>
    </row>
    <row r="911" ht="15.75" customHeight="1">
      <c r="A911" s="2"/>
      <c r="B911" s="2"/>
      <c r="C911" s="2"/>
      <c r="D911" s="2"/>
      <c r="E911" s="2"/>
      <c r="F911" s="2"/>
      <c r="I911" s="2"/>
      <c r="N911" s="2"/>
      <c r="S911" s="2"/>
    </row>
    <row r="912" ht="15.75" customHeight="1">
      <c r="A912" s="2"/>
      <c r="B912" s="2"/>
      <c r="C912" s="2"/>
      <c r="D912" s="2"/>
      <c r="E912" s="2"/>
      <c r="F912" s="2"/>
      <c r="I912" s="2"/>
      <c r="N912" s="2"/>
      <c r="S912" s="2"/>
    </row>
    <row r="913" ht="15.75" customHeight="1">
      <c r="A913" s="2"/>
      <c r="B913" s="2"/>
      <c r="C913" s="2"/>
      <c r="D913" s="2"/>
      <c r="E913" s="2"/>
      <c r="F913" s="2"/>
      <c r="I913" s="2"/>
      <c r="N913" s="2"/>
      <c r="S913" s="2"/>
    </row>
    <row r="914" ht="15.75" customHeight="1">
      <c r="A914" s="2"/>
      <c r="B914" s="2"/>
      <c r="C914" s="2"/>
      <c r="D914" s="2"/>
      <c r="E914" s="2"/>
      <c r="F914" s="2"/>
      <c r="I914" s="2"/>
      <c r="N914" s="2"/>
      <c r="S914" s="2"/>
    </row>
    <row r="915" ht="15.75" customHeight="1">
      <c r="A915" s="2"/>
      <c r="B915" s="2"/>
      <c r="C915" s="2"/>
      <c r="D915" s="2"/>
      <c r="E915" s="2"/>
      <c r="F915" s="2"/>
      <c r="I915" s="2"/>
      <c r="N915" s="2"/>
      <c r="S915" s="2"/>
    </row>
    <row r="916" ht="15.75" customHeight="1">
      <c r="A916" s="2"/>
      <c r="B916" s="2"/>
      <c r="C916" s="2"/>
      <c r="D916" s="2"/>
      <c r="E916" s="2"/>
      <c r="F916" s="2"/>
      <c r="I916" s="2"/>
      <c r="N916" s="2"/>
      <c r="S916" s="2"/>
    </row>
    <row r="917" ht="15.75" customHeight="1">
      <c r="A917" s="2"/>
      <c r="B917" s="2"/>
      <c r="C917" s="2"/>
      <c r="D917" s="2"/>
      <c r="E917" s="2"/>
      <c r="F917" s="2"/>
      <c r="I917" s="2"/>
      <c r="N917" s="2"/>
      <c r="S917" s="2"/>
    </row>
    <row r="918" ht="15.75" customHeight="1">
      <c r="A918" s="2"/>
      <c r="B918" s="2"/>
      <c r="C918" s="2"/>
      <c r="D918" s="2"/>
      <c r="E918" s="2"/>
      <c r="F918" s="2"/>
      <c r="I918" s="2"/>
      <c r="N918" s="2"/>
      <c r="S918" s="2"/>
    </row>
    <row r="919" ht="15.75" customHeight="1">
      <c r="A919" s="2"/>
      <c r="B919" s="2"/>
      <c r="C919" s="2"/>
      <c r="D919" s="2"/>
      <c r="E919" s="2"/>
      <c r="F919" s="2"/>
      <c r="I919" s="2"/>
      <c r="N919" s="2"/>
      <c r="S919" s="2"/>
    </row>
    <row r="920" ht="15.75" customHeight="1">
      <c r="A920" s="2"/>
      <c r="B920" s="2"/>
      <c r="C920" s="2"/>
      <c r="D920" s="2"/>
      <c r="E920" s="2"/>
      <c r="F920" s="2"/>
      <c r="I920" s="2"/>
      <c r="N920" s="2"/>
      <c r="S920" s="2"/>
    </row>
    <row r="921" ht="15.75" customHeight="1">
      <c r="A921" s="2"/>
      <c r="B921" s="2"/>
      <c r="C921" s="2"/>
      <c r="D921" s="2"/>
      <c r="E921" s="2"/>
      <c r="F921" s="2"/>
      <c r="I921" s="2"/>
      <c r="N921" s="2"/>
      <c r="S921" s="2"/>
    </row>
    <row r="922" ht="15.75" customHeight="1">
      <c r="A922" s="2"/>
      <c r="B922" s="2"/>
      <c r="C922" s="2"/>
      <c r="D922" s="2"/>
      <c r="E922" s="2"/>
      <c r="F922" s="2"/>
      <c r="I922" s="2"/>
      <c r="N922" s="2"/>
      <c r="S922" s="2"/>
    </row>
    <row r="923" ht="15.75" customHeight="1">
      <c r="A923" s="2"/>
      <c r="B923" s="2"/>
      <c r="C923" s="2"/>
      <c r="D923" s="2"/>
      <c r="E923" s="2"/>
      <c r="F923" s="2"/>
      <c r="I923" s="2"/>
      <c r="N923" s="2"/>
      <c r="S923" s="2"/>
    </row>
    <row r="924" ht="15.75" customHeight="1">
      <c r="A924" s="2"/>
      <c r="B924" s="2"/>
      <c r="C924" s="2"/>
      <c r="D924" s="2"/>
      <c r="E924" s="2"/>
      <c r="F924" s="2"/>
      <c r="I924" s="2"/>
      <c r="N924" s="2"/>
      <c r="S924" s="2"/>
    </row>
    <row r="925" ht="15.75" customHeight="1">
      <c r="A925" s="2"/>
      <c r="B925" s="2"/>
      <c r="C925" s="2"/>
      <c r="D925" s="2"/>
      <c r="E925" s="2"/>
      <c r="F925" s="2"/>
      <c r="I925" s="2"/>
      <c r="N925" s="2"/>
      <c r="S925" s="2"/>
    </row>
    <row r="926" ht="15.75" customHeight="1">
      <c r="A926" s="2"/>
      <c r="B926" s="2"/>
      <c r="C926" s="2"/>
      <c r="D926" s="2"/>
      <c r="E926" s="2"/>
      <c r="F926" s="2"/>
      <c r="I926" s="2"/>
      <c r="N926" s="2"/>
      <c r="S926" s="2"/>
    </row>
    <row r="927" ht="15.75" customHeight="1">
      <c r="A927" s="2"/>
      <c r="B927" s="2"/>
      <c r="C927" s="2"/>
      <c r="D927" s="2"/>
      <c r="E927" s="2"/>
      <c r="F927" s="2"/>
      <c r="I927" s="2"/>
      <c r="N927" s="2"/>
      <c r="S927" s="2"/>
    </row>
    <row r="928" ht="15.75" customHeight="1">
      <c r="A928" s="2"/>
      <c r="B928" s="2"/>
      <c r="C928" s="2"/>
      <c r="D928" s="2"/>
      <c r="E928" s="2"/>
      <c r="F928" s="2"/>
      <c r="I928" s="2"/>
      <c r="N928" s="2"/>
      <c r="S928" s="2"/>
    </row>
    <row r="929" ht="15.75" customHeight="1">
      <c r="A929" s="2"/>
      <c r="B929" s="2"/>
      <c r="C929" s="2"/>
      <c r="D929" s="2"/>
      <c r="E929" s="2"/>
      <c r="F929" s="2"/>
      <c r="I929" s="2"/>
      <c r="N929" s="2"/>
      <c r="S929" s="2"/>
    </row>
    <row r="930" ht="15.75" customHeight="1">
      <c r="A930" s="2"/>
      <c r="B930" s="2"/>
      <c r="C930" s="2"/>
      <c r="D930" s="2"/>
      <c r="E930" s="2"/>
      <c r="F930" s="2"/>
      <c r="I930" s="2"/>
      <c r="N930" s="2"/>
      <c r="S930" s="2"/>
    </row>
    <row r="931" ht="15.75" customHeight="1">
      <c r="A931" s="2"/>
      <c r="B931" s="2"/>
      <c r="C931" s="2"/>
      <c r="D931" s="2"/>
      <c r="E931" s="2"/>
      <c r="F931" s="2"/>
      <c r="I931" s="2"/>
      <c r="N931" s="2"/>
      <c r="S931" s="2"/>
    </row>
    <row r="932" ht="15.75" customHeight="1">
      <c r="A932" s="2"/>
      <c r="B932" s="2"/>
      <c r="C932" s="2"/>
      <c r="D932" s="2"/>
      <c r="E932" s="2"/>
      <c r="F932" s="2"/>
      <c r="I932" s="2"/>
      <c r="N932" s="2"/>
      <c r="S932" s="2"/>
    </row>
    <row r="933" ht="15.75" customHeight="1">
      <c r="A933" s="2"/>
      <c r="B933" s="2"/>
      <c r="C933" s="2"/>
      <c r="D933" s="2"/>
      <c r="E933" s="2"/>
      <c r="F933" s="2"/>
      <c r="I933" s="2"/>
      <c r="N933" s="2"/>
      <c r="S933" s="2"/>
    </row>
    <row r="934" ht="15.75" customHeight="1">
      <c r="A934" s="2"/>
      <c r="B934" s="2"/>
      <c r="C934" s="2"/>
      <c r="D934" s="2"/>
      <c r="E934" s="2"/>
      <c r="F934" s="2"/>
      <c r="I934" s="2"/>
      <c r="N934" s="2"/>
      <c r="S934" s="2"/>
    </row>
    <row r="935" ht="15.75" customHeight="1">
      <c r="A935" s="2"/>
      <c r="B935" s="2"/>
      <c r="C935" s="2"/>
      <c r="D935" s="2"/>
      <c r="E935" s="2"/>
      <c r="F935" s="2"/>
      <c r="I935" s="2"/>
      <c r="N935" s="2"/>
      <c r="S935" s="2"/>
    </row>
    <row r="936" ht="15.75" customHeight="1">
      <c r="A936" s="2"/>
      <c r="B936" s="2"/>
      <c r="C936" s="2"/>
      <c r="D936" s="2"/>
      <c r="E936" s="2"/>
      <c r="F936" s="2"/>
      <c r="I936" s="2"/>
      <c r="N936" s="2"/>
      <c r="S936" s="2"/>
    </row>
    <row r="937" ht="15.75" customHeight="1">
      <c r="A937" s="2"/>
      <c r="B937" s="2"/>
      <c r="C937" s="2"/>
      <c r="D937" s="2"/>
      <c r="E937" s="2"/>
      <c r="F937" s="2"/>
      <c r="I937" s="2"/>
      <c r="N937" s="2"/>
      <c r="S937" s="2"/>
    </row>
    <row r="938" ht="15.75" customHeight="1">
      <c r="A938" s="2"/>
      <c r="B938" s="2"/>
      <c r="C938" s="2"/>
      <c r="D938" s="2"/>
      <c r="E938" s="2"/>
      <c r="F938" s="2"/>
      <c r="I938" s="2"/>
      <c r="N938" s="2"/>
      <c r="S938" s="2"/>
    </row>
    <row r="939" ht="15.75" customHeight="1">
      <c r="A939" s="2"/>
      <c r="B939" s="2"/>
      <c r="C939" s="2"/>
      <c r="D939" s="2"/>
      <c r="E939" s="2"/>
      <c r="F939" s="2"/>
      <c r="I939" s="2"/>
      <c r="N939" s="2"/>
      <c r="S939" s="2"/>
    </row>
    <row r="940" ht="15.75" customHeight="1">
      <c r="A940" s="2"/>
      <c r="B940" s="2"/>
      <c r="C940" s="2"/>
      <c r="D940" s="2"/>
      <c r="E940" s="2"/>
      <c r="F940" s="2"/>
      <c r="I940" s="2"/>
      <c r="N940" s="2"/>
      <c r="S940" s="2"/>
    </row>
    <row r="941" ht="15.75" customHeight="1">
      <c r="A941" s="2"/>
      <c r="B941" s="2"/>
      <c r="C941" s="2"/>
      <c r="D941" s="2"/>
      <c r="E941" s="2"/>
      <c r="F941" s="2"/>
      <c r="I941" s="2"/>
      <c r="N941" s="2"/>
      <c r="S941" s="2"/>
    </row>
    <row r="942" ht="15.75" customHeight="1">
      <c r="A942" s="2"/>
      <c r="B942" s="2"/>
      <c r="C942" s="2"/>
      <c r="D942" s="2"/>
      <c r="E942" s="2"/>
      <c r="F942" s="2"/>
      <c r="I942" s="2"/>
      <c r="N942" s="2"/>
      <c r="S942" s="2"/>
    </row>
    <row r="943" ht="15.75" customHeight="1">
      <c r="A943" s="2"/>
      <c r="B943" s="2"/>
      <c r="C943" s="2"/>
      <c r="D943" s="2"/>
      <c r="E943" s="2"/>
      <c r="F943" s="2"/>
      <c r="I943" s="2"/>
      <c r="N943" s="2"/>
      <c r="S943" s="2"/>
    </row>
    <row r="944" ht="15.75" customHeight="1">
      <c r="A944" s="2"/>
      <c r="B944" s="2"/>
      <c r="C944" s="2"/>
      <c r="D944" s="2"/>
      <c r="E944" s="2"/>
      <c r="F944" s="2"/>
      <c r="I944" s="2"/>
      <c r="N944" s="2"/>
      <c r="S944" s="2"/>
    </row>
    <row r="945" ht="15.75" customHeight="1">
      <c r="A945" s="2"/>
      <c r="B945" s="2"/>
      <c r="C945" s="2"/>
      <c r="D945" s="2"/>
      <c r="E945" s="2"/>
      <c r="F945" s="2"/>
      <c r="I945" s="2"/>
      <c r="N945" s="2"/>
      <c r="S945" s="2"/>
    </row>
    <row r="946" ht="15.75" customHeight="1">
      <c r="A946" s="2"/>
      <c r="B946" s="2"/>
      <c r="C946" s="2"/>
      <c r="D946" s="2"/>
      <c r="E946" s="2"/>
      <c r="F946" s="2"/>
      <c r="I946" s="2"/>
      <c r="N946" s="2"/>
      <c r="S946" s="2"/>
    </row>
    <row r="947" ht="15.75" customHeight="1">
      <c r="A947" s="2"/>
      <c r="B947" s="2"/>
      <c r="C947" s="2"/>
      <c r="D947" s="2"/>
      <c r="E947" s="2"/>
      <c r="F947" s="2"/>
      <c r="I947" s="2"/>
      <c r="N947" s="2"/>
      <c r="S947" s="2"/>
    </row>
    <row r="948" ht="15.75" customHeight="1">
      <c r="A948" s="2"/>
      <c r="B948" s="2"/>
      <c r="C948" s="2"/>
      <c r="D948" s="2"/>
      <c r="E948" s="2"/>
      <c r="F948" s="2"/>
      <c r="I948" s="2"/>
      <c r="N948" s="2"/>
      <c r="S948" s="2"/>
    </row>
    <row r="949" ht="15.75" customHeight="1">
      <c r="A949" s="2"/>
      <c r="B949" s="2"/>
      <c r="C949" s="2"/>
      <c r="D949" s="2"/>
      <c r="E949" s="2"/>
      <c r="F949" s="2"/>
      <c r="I949" s="2"/>
      <c r="N949" s="2"/>
      <c r="S949" s="2"/>
    </row>
    <row r="950" ht="15.75" customHeight="1">
      <c r="A950" s="2"/>
      <c r="B950" s="2"/>
      <c r="C950" s="2"/>
      <c r="D950" s="2"/>
      <c r="E950" s="2"/>
      <c r="F950" s="2"/>
      <c r="I950" s="2"/>
      <c r="N950" s="2"/>
      <c r="S950" s="2"/>
    </row>
    <row r="951" ht="15.75" customHeight="1">
      <c r="A951" s="2"/>
      <c r="B951" s="2"/>
      <c r="C951" s="2"/>
      <c r="D951" s="2"/>
      <c r="E951" s="2"/>
      <c r="F951" s="2"/>
      <c r="I951" s="2"/>
      <c r="N951" s="2"/>
      <c r="S951" s="2"/>
    </row>
    <row r="952" ht="15.75" customHeight="1">
      <c r="A952" s="2"/>
      <c r="B952" s="2"/>
      <c r="C952" s="2"/>
      <c r="D952" s="2"/>
      <c r="E952" s="2"/>
      <c r="F952" s="2"/>
      <c r="I952" s="2"/>
      <c r="N952" s="2"/>
      <c r="S952" s="2"/>
    </row>
    <row r="953" ht="15.75" customHeight="1">
      <c r="A953" s="2"/>
      <c r="B953" s="2"/>
      <c r="C953" s="2"/>
      <c r="D953" s="2"/>
      <c r="E953" s="2"/>
      <c r="F953" s="2"/>
      <c r="I953" s="2"/>
      <c r="N953" s="2"/>
      <c r="S953" s="2"/>
    </row>
    <row r="954" ht="15.75" customHeight="1">
      <c r="A954" s="2"/>
      <c r="B954" s="2"/>
      <c r="C954" s="2"/>
      <c r="D954" s="2"/>
      <c r="E954" s="2"/>
      <c r="F954" s="2"/>
      <c r="I954" s="2"/>
      <c r="N954" s="2"/>
      <c r="S954" s="2"/>
    </row>
    <row r="955" ht="15.75" customHeight="1">
      <c r="A955" s="2"/>
      <c r="B955" s="2"/>
      <c r="C955" s="2"/>
      <c r="D955" s="2"/>
      <c r="E955" s="2"/>
      <c r="F955" s="2"/>
      <c r="I955" s="2"/>
      <c r="N955" s="2"/>
      <c r="S955" s="2"/>
    </row>
    <row r="956" ht="15.75" customHeight="1">
      <c r="A956" s="2"/>
      <c r="B956" s="2"/>
      <c r="C956" s="2"/>
      <c r="D956" s="2"/>
      <c r="E956" s="2"/>
      <c r="F956" s="2"/>
      <c r="I956" s="2"/>
      <c r="N956" s="2"/>
      <c r="S956" s="2"/>
    </row>
    <row r="957" ht="15.75" customHeight="1">
      <c r="A957" s="2"/>
      <c r="B957" s="2"/>
      <c r="C957" s="2"/>
      <c r="D957" s="2"/>
      <c r="E957" s="2"/>
      <c r="F957" s="2"/>
      <c r="I957" s="2"/>
      <c r="N957" s="2"/>
      <c r="S957" s="2"/>
    </row>
    <row r="958" ht="15.75" customHeight="1">
      <c r="A958" s="2"/>
      <c r="B958" s="2"/>
      <c r="C958" s="2"/>
      <c r="D958" s="2"/>
      <c r="E958" s="2"/>
      <c r="F958" s="2"/>
      <c r="I958" s="2"/>
      <c r="N958" s="2"/>
      <c r="S958" s="2"/>
    </row>
    <row r="959" ht="15.75" customHeight="1">
      <c r="A959" s="2"/>
      <c r="B959" s="2"/>
      <c r="C959" s="2"/>
      <c r="D959" s="2"/>
      <c r="E959" s="2"/>
      <c r="F959" s="2"/>
      <c r="I959" s="2"/>
      <c r="N959" s="2"/>
      <c r="S959" s="2"/>
    </row>
    <row r="960" ht="15.75" customHeight="1">
      <c r="A960" s="2"/>
      <c r="B960" s="2"/>
      <c r="C960" s="2"/>
      <c r="D960" s="2"/>
      <c r="E960" s="2"/>
      <c r="F960" s="2"/>
      <c r="I960" s="2"/>
      <c r="N960" s="2"/>
      <c r="S960" s="2"/>
    </row>
    <row r="961" ht="15.75" customHeight="1">
      <c r="A961" s="2"/>
      <c r="B961" s="2"/>
      <c r="C961" s="2"/>
      <c r="D961" s="2"/>
      <c r="E961" s="2"/>
      <c r="F961" s="2"/>
      <c r="I961" s="2"/>
      <c r="N961" s="2"/>
      <c r="S961" s="2"/>
    </row>
    <row r="962" ht="15.75" customHeight="1">
      <c r="A962" s="2"/>
      <c r="B962" s="2"/>
      <c r="C962" s="2"/>
      <c r="D962" s="2"/>
      <c r="E962" s="2"/>
      <c r="F962" s="2"/>
      <c r="I962" s="2"/>
      <c r="N962" s="2"/>
      <c r="S962" s="2"/>
    </row>
    <row r="963" ht="15.75" customHeight="1">
      <c r="A963" s="2"/>
      <c r="B963" s="2"/>
      <c r="C963" s="2"/>
      <c r="D963" s="2"/>
      <c r="E963" s="2"/>
      <c r="F963" s="2"/>
      <c r="I963" s="2"/>
      <c r="N963" s="2"/>
      <c r="S963" s="2"/>
    </row>
    <row r="964" ht="15.75" customHeight="1">
      <c r="A964" s="2"/>
      <c r="B964" s="2"/>
      <c r="C964" s="2"/>
      <c r="D964" s="2"/>
      <c r="E964" s="2"/>
      <c r="F964" s="2"/>
      <c r="I964" s="2"/>
      <c r="N964" s="2"/>
      <c r="S964" s="2"/>
    </row>
    <row r="965" ht="15.75" customHeight="1">
      <c r="A965" s="2"/>
      <c r="B965" s="2"/>
      <c r="C965" s="2"/>
      <c r="D965" s="2"/>
      <c r="E965" s="2"/>
      <c r="F965" s="2"/>
      <c r="I965" s="2"/>
      <c r="N965" s="2"/>
      <c r="S965" s="2"/>
    </row>
    <row r="966" ht="15.75" customHeight="1">
      <c r="A966" s="2"/>
      <c r="B966" s="2"/>
      <c r="C966" s="2"/>
      <c r="D966" s="2"/>
      <c r="E966" s="2"/>
      <c r="F966" s="2"/>
      <c r="I966" s="2"/>
      <c r="N966" s="2"/>
      <c r="S966" s="2"/>
    </row>
    <row r="967" ht="15.75" customHeight="1">
      <c r="A967" s="2"/>
      <c r="B967" s="2"/>
      <c r="C967" s="2"/>
      <c r="D967" s="2"/>
      <c r="E967" s="2"/>
      <c r="F967" s="2"/>
      <c r="I967" s="2"/>
      <c r="N967" s="2"/>
      <c r="S967" s="2"/>
    </row>
    <row r="968" ht="15.75" customHeight="1">
      <c r="A968" s="2"/>
      <c r="B968" s="2"/>
      <c r="C968" s="2"/>
      <c r="D968" s="2"/>
      <c r="E968" s="2"/>
      <c r="F968" s="2"/>
      <c r="I968" s="2"/>
      <c r="N968" s="2"/>
      <c r="S968" s="2"/>
    </row>
    <row r="969" ht="15.75" customHeight="1">
      <c r="A969" s="2"/>
      <c r="B969" s="2"/>
      <c r="C969" s="2"/>
      <c r="D969" s="2"/>
      <c r="E969" s="2"/>
      <c r="F969" s="2"/>
      <c r="I969" s="2"/>
      <c r="N969" s="2"/>
      <c r="S969" s="2"/>
    </row>
    <row r="970" ht="15.75" customHeight="1">
      <c r="A970" s="2"/>
      <c r="B970" s="2"/>
      <c r="C970" s="2"/>
      <c r="D970" s="2"/>
      <c r="E970" s="2"/>
      <c r="F970" s="2"/>
      <c r="I970" s="2"/>
      <c r="N970" s="2"/>
      <c r="S970" s="2"/>
    </row>
    <row r="971" ht="15.75" customHeight="1">
      <c r="A971" s="2"/>
      <c r="B971" s="2"/>
      <c r="C971" s="2"/>
      <c r="D971" s="2"/>
      <c r="E971" s="2"/>
      <c r="F971" s="2"/>
      <c r="I971" s="2"/>
      <c r="N971" s="2"/>
      <c r="S971" s="2"/>
    </row>
    <row r="972" ht="15.75" customHeight="1">
      <c r="A972" s="2"/>
      <c r="B972" s="2"/>
      <c r="C972" s="2"/>
      <c r="D972" s="2"/>
      <c r="E972" s="2"/>
      <c r="F972" s="2"/>
      <c r="I972" s="2"/>
      <c r="N972" s="2"/>
      <c r="S972" s="2"/>
    </row>
    <row r="973" ht="15.75" customHeight="1">
      <c r="A973" s="2"/>
      <c r="B973" s="2"/>
      <c r="C973" s="2"/>
      <c r="D973" s="2"/>
      <c r="E973" s="2"/>
      <c r="F973" s="2"/>
      <c r="I973" s="2"/>
      <c r="N973" s="2"/>
      <c r="S973" s="2"/>
    </row>
    <row r="974" ht="15.75" customHeight="1">
      <c r="A974" s="2"/>
      <c r="B974" s="2"/>
      <c r="C974" s="2"/>
      <c r="D974" s="2"/>
      <c r="E974" s="2"/>
      <c r="F974" s="2"/>
      <c r="I974" s="2"/>
      <c r="N974" s="2"/>
      <c r="S974" s="2"/>
    </row>
    <row r="975" ht="15.75" customHeight="1">
      <c r="A975" s="2"/>
      <c r="B975" s="2"/>
      <c r="C975" s="2"/>
      <c r="D975" s="2"/>
      <c r="E975" s="2"/>
      <c r="F975" s="2"/>
      <c r="I975" s="2"/>
      <c r="N975" s="2"/>
      <c r="S975" s="2"/>
    </row>
    <row r="976" ht="15.75" customHeight="1">
      <c r="A976" s="2"/>
      <c r="B976" s="2"/>
      <c r="C976" s="2"/>
      <c r="D976" s="2"/>
      <c r="E976" s="2"/>
      <c r="F976" s="2"/>
      <c r="I976" s="2"/>
      <c r="N976" s="2"/>
      <c r="S976" s="2"/>
    </row>
    <row r="977" ht="15.75" customHeight="1">
      <c r="A977" s="2"/>
      <c r="B977" s="2"/>
      <c r="C977" s="2"/>
      <c r="D977" s="2"/>
      <c r="E977" s="2"/>
      <c r="F977" s="2"/>
      <c r="I977" s="2"/>
      <c r="N977" s="2"/>
      <c r="S977" s="2"/>
    </row>
    <row r="978" ht="15.75" customHeight="1">
      <c r="A978" s="2"/>
      <c r="B978" s="2"/>
      <c r="C978" s="2"/>
      <c r="D978" s="2"/>
      <c r="E978" s="2"/>
      <c r="F978" s="2"/>
      <c r="I978" s="2"/>
      <c r="N978" s="2"/>
      <c r="S978" s="2"/>
    </row>
    <row r="979" ht="15.75" customHeight="1">
      <c r="A979" s="2"/>
      <c r="B979" s="2"/>
      <c r="C979" s="2"/>
      <c r="D979" s="2"/>
      <c r="E979" s="2"/>
      <c r="F979" s="2"/>
      <c r="I979" s="2"/>
      <c r="N979" s="2"/>
      <c r="S979" s="2"/>
    </row>
    <row r="980" ht="15.75" customHeight="1">
      <c r="A980" s="2"/>
      <c r="B980" s="2"/>
      <c r="C980" s="2"/>
      <c r="D980" s="2"/>
      <c r="E980" s="2"/>
      <c r="F980" s="2"/>
      <c r="I980" s="2"/>
      <c r="N980" s="2"/>
      <c r="S980" s="2"/>
    </row>
    <row r="981" ht="15.75" customHeight="1">
      <c r="A981" s="2"/>
      <c r="B981" s="2"/>
      <c r="C981" s="2"/>
      <c r="D981" s="2"/>
      <c r="E981" s="2"/>
      <c r="F981" s="2"/>
      <c r="I981" s="2"/>
      <c r="N981" s="2"/>
      <c r="S981" s="2"/>
    </row>
    <row r="982" ht="15.75" customHeight="1">
      <c r="A982" s="2"/>
      <c r="B982" s="2"/>
      <c r="C982" s="2"/>
      <c r="D982" s="2"/>
      <c r="E982" s="2"/>
      <c r="F982" s="2"/>
      <c r="I982" s="2"/>
      <c r="N982" s="2"/>
      <c r="S982" s="2"/>
    </row>
    <row r="983" ht="15.75" customHeight="1">
      <c r="A983" s="2"/>
      <c r="B983" s="2"/>
      <c r="C983" s="2"/>
      <c r="D983" s="2"/>
      <c r="E983" s="2"/>
      <c r="F983" s="2"/>
      <c r="I983" s="2"/>
      <c r="N983" s="2"/>
      <c r="S983" s="2"/>
    </row>
    <row r="984" ht="15.75" customHeight="1">
      <c r="A984" s="2"/>
      <c r="B984" s="2"/>
      <c r="C984" s="2"/>
      <c r="D984" s="2"/>
      <c r="E984" s="2"/>
      <c r="F984" s="2"/>
      <c r="I984" s="2"/>
      <c r="N984" s="2"/>
      <c r="S984" s="2"/>
    </row>
    <row r="985" ht="15.75" customHeight="1">
      <c r="A985" s="2"/>
      <c r="B985" s="2"/>
      <c r="C985" s="2"/>
      <c r="D985" s="2"/>
      <c r="E985" s="2"/>
      <c r="F985" s="2"/>
      <c r="I985" s="2"/>
      <c r="N985" s="2"/>
      <c r="S985" s="2"/>
    </row>
    <row r="986" ht="15.75" customHeight="1">
      <c r="A986" s="2"/>
      <c r="B986" s="2"/>
      <c r="C986" s="2"/>
      <c r="D986" s="2"/>
      <c r="E986" s="2"/>
      <c r="F986" s="2"/>
      <c r="I986" s="2"/>
      <c r="N986" s="2"/>
      <c r="S986" s="2"/>
    </row>
    <row r="987" ht="15.75" customHeight="1">
      <c r="A987" s="2"/>
      <c r="B987" s="2"/>
      <c r="C987" s="2"/>
      <c r="D987" s="2"/>
      <c r="E987" s="2"/>
      <c r="F987" s="2"/>
      <c r="I987" s="2"/>
      <c r="N987" s="2"/>
      <c r="S987" s="2"/>
    </row>
    <row r="988" ht="15.75" customHeight="1">
      <c r="A988" s="2"/>
      <c r="B988" s="2"/>
      <c r="C988" s="2"/>
      <c r="D988" s="2"/>
      <c r="E988" s="2"/>
      <c r="F988" s="2"/>
      <c r="I988" s="2"/>
      <c r="N988" s="2"/>
      <c r="S988" s="2"/>
    </row>
    <row r="989" ht="15.75" customHeight="1">
      <c r="A989" s="2"/>
      <c r="B989" s="2"/>
      <c r="C989" s="2"/>
      <c r="D989" s="2"/>
      <c r="E989" s="2"/>
      <c r="F989" s="2"/>
      <c r="I989" s="2"/>
      <c r="N989" s="2"/>
      <c r="S989" s="2"/>
    </row>
    <row r="990" ht="15.75" customHeight="1">
      <c r="A990" s="2"/>
      <c r="B990" s="2"/>
      <c r="C990" s="2"/>
      <c r="D990" s="2"/>
      <c r="E990" s="2"/>
      <c r="F990" s="2"/>
      <c r="I990" s="2"/>
      <c r="N990" s="2"/>
      <c r="S990" s="2"/>
    </row>
    <row r="991" ht="15.75" customHeight="1">
      <c r="A991" s="2"/>
      <c r="B991" s="2"/>
      <c r="C991" s="2"/>
      <c r="D991" s="2"/>
      <c r="E991" s="2"/>
      <c r="F991" s="2"/>
      <c r="I991" s="2"/>
      <c r="N991" s="2"/>
      <c r="S991" s="2"/>
    </row>
    <row r="992" ht="15.75" customHeight="1">
      <c r="A992" s="2"/>
      <c r="B992" s="2"/>
      <c r="C992" s="2"/>
      <c r="D992" s="2"/>
      <c r="E992" s="2"/>
      <c r="F992" s="2"/>
      <c r="I992" s="2"/>
      <c r="N992" s="2"/>
      <c r="S992" s="2"/>
    </row>
    <row r="993" ht="15.75" customHeight="1">
      <c r="A993" s="2"/>
      <c r="B993" s="2"/>
      <c r="C993" s="2"/>
      <c r="D993" s="2"/>
      <c r="E993" s="2"/>
      <c r="F993" s="2"/>
      <c r="I993" s="2"/>
      <c r="N993" s="2"/>
      <c r="S993" s="2"/>
    </row>
    <row r="994" ht="15.75" customHeight="1">
      <c r="A994" s="2"/>
      <c r="B994" s="2"/>
      <c r="C994" s="2"/>
      <c r="D994" s="2"/>
      <c r="E994" s="2"/>
      <c r="F994" s="2"/>
      <c r="I994" s="2"/>
      <c r="N994" s="2"/>
      <c r="S994" s="2"/>
    </row>
    <row r="995" ht="15.75" customHeight="1">
      <c r="A995" s="2"/>
      <c r="B995" s="2"/>
      <c r="C995" s="2"/>
      <c r="D995" s="2"/>
      <c r="E995" s="2"/>
      <c r="F995" s="2"/>
      <c r="I995" s="2"/>
      <c r="N995" s="2"/>
      <c r="S995" s="2"/>
    </row>
    <row r="996" ht="15.75" customHeight="1">
      <c r="A996" s="2"/>
      <c r="B996" s="2"/>
      <c r="C996" s="2"/>
      <c r="D996" s="2"/>
      <c r="E996" s="2"/>
      <c r="F996" s="2"/>
      <c r="I996" s="2"/>
      <c r="N996" s="2"/>
      <c r="S996" s="2"/>
    </row>
    <row r="997" ht="15.75" customHeight="1">
      <c r="A997" s="2"/>
      <c r="B997" s="2"/>
      <c r="C997" s="2"/>
      <c r="D997" s="2"/>
      <c r="E997" s="2"/>
      <c r="F997" s="2"/>
      <c r="I997" s="2"/>
      <c r="N997" s="2"/>
      <c r="S997" s="2"/>
    </row>
    <row r="998" ht="15.75" customHeight="1">
      <c r="A998" s="2"/>
      <c r="B998" s="2"/>
      <c r="C998" s="2"/>
      <c r="D998" s="2"/>
      <c r="E998" s="2"/>
      <c r="F998" s="2"/>
      <c r="I998" s="2"/>
      <c r="N998" s="2"/>
      <c r="S998" s="2"/>
    </row>
    <row r="999" ht="15.75" customHeight="1">
      <c r="A999" s="2"/>
      <c r="B999" s="2"/>
      <c r="C999" s="2"/>
      <c r="D999" s="2"/>
      <c r="E999" s="2"/>
      <c r="F999" s="2"/>
      <c r="I999" s="2"/>
      <c r="N999" s="2"/>
      <c r="S999" s="2"/>
    </row>
    <row r="1000" ht="15.75" customHeight="1">
      <c r="A1000" s="2"/>
      <c r="B1000" s="2"/>
      <c r="C1000" s="2"/>
      <c r="D1000" s="2"/>
      <c r="E1000" s="2"/>
      <c r="F1000" s="2"/>
      <c r="I1000" s="2"/>
      <c r="N1000" s="2"/>
      <c r="S1000" s="2"/>
    </row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2488</v>
      </c>
      <c r="B1" s="2"/>
    </row>
    <row r="2" ht="48.0" customHeight="1">
      <c r="A2" s="10" t="s">
        <v>2489</v>
      </c>
      <c r="B2" s="2"/>
    </row>
    <row r="3">
      <c r="B3" s="2"/>
    </row>
    <row r="4" ht="32.25" customHeight="1">
      <c r="A4" s="5" t="s">
        <v>345</v>
      </c>
      <c r="B4" s="5" t="s">
        <v>2490</v>
      </c>
      <c r="C4" s="5" t="s">
        <v>2491</v>
      </c>
      <c r="D4" s="5" t="s">
        <v>2492</v>
      </c>
      <c r="E4" s="5" t="s">
        <v>2493</v>
      </c>
      <c r="F4" s="5" t="s">
        <v>354</v>
      </c>
      <c r="G4" s="5" t="s">
        <v>2494</v>
      </c>
      <c r="H4" s="5" t="s">
        <v>2495</v>
      </c>
      <c r="I4" s="5" t="s">
        <v>2496</v>
      </c>
      <c r="J4" s="5" t="s">
        <v>2497</v>
      </c>
      <c r="K4" s="5" t="s">
        <v>2498</v>
      </c>
      <c r="L4" s="5" t="s">
        <v>2499</v>
      </c>
      <c r="M4" s="5" t="s">
        <v>2500</v>
      </c>
      <c r="N4" s="5" t="s">
        <v>2501</v>
      </c>
      <c r="O4" s="5" t="s">
        <v>2502</v>
      </c>
      <c r="P4" s="5" t="s">
        <v>2503</v>
      </c>
    </row>
    <row r="5" ht="15.0" customHeight="1">
      <c r="A5" s="2">
        <v>5.0</v>
      </c>
      <c r="B5" s="2" t="s">
        <v>712</v>
      </c>
      <c r="C5" s="2" t="s">
        <v>246</v>
      </c>
      <c r="D5" s="2" t="s">
        <v>142</v>
      </c>
      <c r="E5" s="2">
        <v>3.35</v>
      </c>
      <c r="F5" s="2">
        <v>-3.0</v>
      </c>
      <c r="G5" s="2">
        <v>6.35</v>
      </c>
      <c r="H5" s="2">
        <v>8.5</v>
      </c>
      <c r="I5" s="2">
        <v>-5.15</v>
      </c>
      <c r="J5" s="2">
        <v>43.85</v>
      </c>
      <c r="K5" s="2">
        <v>49.0</v>
      </c>
      <c r="L5" s="2">
        <v>5.15</v>
      </c>
      <c r="M5" s="2">
        <v>43.5</v>
      </c>
      <c r="N5" s="2">
        <v>0.35</v>
      </c>
      <c r="O5" s="2">
        <v>1.0</v>
      </c>
      <c r="P5" s="2">
        <v>1.0</v>
      </c>
    </row>
    <row r="6" ht="15.0" customHeight="1">
      <c r="A6" s="2">
        <v>5.0</v>
      </c>
      <c r="B6" s="2" t="s">
        <v>715</v>
      </c>
      <c r="C6" s="2" t="s">
        <v>144</v>
      </c>
      <c r="D6" s="2" t="s">
        <v>196</v>
      </c>
      <c r="E6" s="2">
        <v>-4.15</v>
      </c>
      <c r="F6" s="2">
        <v>-4.0</v>
      </c>
      <c r="G6" s="2">
        <v>0.15</v>
      </c>
      <c r="H6" s="2">
        <v>-3.5</v>
      </c>
      <c r="I6" s="2">
        <v>-0.65</v>
      </c>
      <c r="J6" s="2">
        <v>28.08</v>
      </c>
      <c r="K6" s="2">
        <v>38.0</v>
      </c>
      <c r="L6" s="2">
        <v>9.92</v>
      </c>
      <c r="M6" s="2">
        <v>35.5</v>
      </c>
      <c r="N6" s="2">
        <v>-7.42</v>
      </c>
      <c r="O6" s="2">
        <v>1.0</v>
      </c>
      <c r="P6" s="2">
        <v>0.0</v>
      </c>
    </row>
    <row r="7" ht="15.0" customHeight="1">
      <c r="A7" s="2">
        <v>5.0</v>
      </c>
      <c r="B7" s="2" t="s">
        <v>720</v>
      </c>
      <c r="C7" s="2" t="s">
        <v>140</v>
      </c>
      <c r="D7" s="2" t="s">
        <v>148</v>
      </c>
      <c r="E7" s="2">
        <v>0.9</v>
      </c>
      <c r="F7" s="2">
        <v>-34.0</v>
      </c>
      <c r="G7" s="2">
        <v>34.9</v>
      </c>
      <c r="H7" s="2">
        <v>-2.5</v>
      </c>
      <c r="I7" s="2">
        <v>3.4</v>
      </c>
      <c r="J7" s="2">
        <v>49.72</v>
      </c>
      <c r="K7" s="2">
        <v>54.0</v>
      </c>
      <c r="L7" s="2">
        <v>4.28</v>
      </c>
      <c r="M7" s="2">
        <v>41.5</v>
      </c>
      <c r="N7" s="2">
        <v>8.22</v>
      </c>
      <c r="O7" s="2">
        <v>0.0</v>
      </c>
      <c r="P7" s="2">
        <v>1.0</v>
      </c>
    </row>
    <row r="8" ht="15.0" customHeight="1">
      <c r="A8" s="2">
        <v>5.0</v>
      </c>
      <c r="B8" s="2" t="s">
        <v>724</v>
      </c>
      <c r="C8" s="2" t="s">
        <v>225</v>
      </c>
      <c r="D8" s="2" t="s">
        <v>189</v>
      </c>
      <c r="E8" s="2">
        <v>5.39</v>
      </c>
      <c r="F8" s="2">
        <v>3.0</v>
      </c>
      <c r="G8" s="2">
        <v>2.39</v>
      </c>
      <c r="H8" s="2">
        <v>-1.5</v>
      </c>
      <c r="I8" s="2">
        <v>6.89</v>
      </c>
      <c r="J8" s="2">
        <v>44.43</v>
      </c>
      <c r="K8" s="2">
        <v>51.0</v>
      </c>
      <c r="L8" s="2">
        <v>6.57</v>
      </c>
      <c r="M8" s="2">
        <v>44.5</v>
      </c>
      <c r="N8" s="2">
        <v>-0.07</v>
      </c>
      <c r="O8" s="2">
        <v>1.0</v>
      </c>
      <c r="P8" s="2">
        <v>0.0</v>
      </c>
    </row>
    <row r="9" ht="15.0" customHeight="1">
      <c r="A9" s="2">
        <v>5.0</v>
      </c>
      <c r="B9" s="2" t="s">
        <v>726</v>
      </c>
      <c r="C9" s="2" t="s">
        <v>222</v>
      </c>
      <c r="D9" s="2" t="s">
        <v>210</v>
      </c>
      <c r="E9" s="2">
        <v>8.61</v>
      </c>
      <c r="F9" s="2">
        <v>34.0</v>
      </c>
      <c r="G9" s="2">
        <v>25.39</v>
      </c>
      <c r="H9" s="2">
        <v>7.0</v>
      </c>
      <c r="I9" s="2">
        <v>1.61</v>
      </c>
      <c r="J9" s="2">
        <v>49.64</v>
      </c>
      <c r="K9" s="2">
        <v>46.0</v>
      </c>
      <c r="L9" s="2">
        <v>3.64</v>
      </c>
      <c r="M9" s="2">
        <v>46.5</v>
      </c>
      <c r="N9" s="2">
        <v>3.14</v>
      </c>
      <c r="O9" s="2">
        <v>1.0</v>
      </c>
      <c r="P9" s="2">
        <v>0.0</v>
      </c>
    </row>
    <row r="10" ht="15.0" customHeight="1">
      <c r="A10" s="2">
        <v>5.0</v>
      </c>
      <c r="B10" s="2" t="s">
        <v>728</v>
      </c>
      <c r="C10" s="2" t="s">
        <v>235</v>
      </c>
      <c r="D10" s="2" t="s">
        <v>232</v>
      </c>
      <c r="E10" s="2">
        <v>0.14</v>
      </c>
      <c r="F10" s="2">
        <v>12.0</v>
      </c>
      <c r="G10" s="2">
        <v>11.86</v>
      </c>
      <c r="H10" s="2">
        <v>1.5</v>
      </c>
      <c r="I10" s="2">
        <v>-1.36</v>
      </c>
      <c r="J10" s="2">
        <v>42.64</v>
      </c>
      <c r="K10" s="2">
        <v>40.0</v>
      </c>
      <c r="L10" s="2">
        <v>2.64</v>
      </c>
      <c r="M10" s="2">
        <v>41.5</v>
      </c>
      <c r="N10" s="2">
        <v>1.14</v>
      </c>
      <c r="O10" s="2">
        <v>0.0</v>
      </c>
      <c r="P10" s="2">
        <v>0.0</v>
      </c>
    </row>
    <row r="11" ht="15.0" customHeight="1">
      <c r="A11" s="2">
        <v>5.0</v>
      </c>
      <c r="B11" s="2" t="s">
        <v>730</v>
      </c>
      <c r="C11" s="2" t="s">
        <v>146</v>
      </c>
      <c r="D11" s="2" t="s">
        <v>238</v>
      </c>
      <c r="E11" s="2">
        <v>-0.92</v>
      </c>
      <c r="F11" s="2">
        <v>-15.0</v>
      </c>
      <c r="G11" s="2">
        <v>14.08</v>
      </c>
      <c r="H11" s="2">
        <v>1.5</v>
      </c>
      <c r="I11" s="2">
        <v>-2.42</v>
      </c>
      <c r="J11" s="2">
        <v>57.95</v>
      </c>
      <c r="K11" s="2">
        <v>59.0</v>
      </c>
      <c r="L11" s="2">
        <v>1.05</v>
      </c>
      <c r="M11" s="2">
        <v>48.5</v>
      </c>
      <c r="N11" s="2">
        <v>9.45</v>
      </c>
      <c r="O11" s="2">
        <v>1.0</v>
      </c>
      <c r="P11" s="2">
        <v>1.0</v>
      </c>
    </row>
    <row r="12" ht="15.0" customHeight="1">
      <c r="A12" s="2">
        <v>5.0</v>
      </c>
      <c r="B12" s="2" t="s">
        <v>732</v>
      </c>
      <c r="C12" s="2" t="s">
        <v>139</v>
      </c>
      <c r="D12" s="2" t="s">
        <v>147</v>
      </c>
      <c r="E12" s="2">
        <v>5.35</v>
      </c>
      <c r="F12" s="2">
        <v>-4.0</v>
      </c>
      <c r="G12" s="2">
        <v>9.35</v>
      </c>
      <c r="H12" s="2">
        <v>3.5</v>
      </c>
      <c r="I12" s="2">
        <v>1.85</v>
      </c>
      <c r="J12" s="2">
        <v>42.35</v>
      </c>
      <c r="K12" s="2">
        <v>38.0</v>
      </c>
      <c r="L12" s="2">
        <v>4.35</v>
      </c>
      <c r="M12" s="2">
        <v>44.5</v>
      </c>
      <c r="N12" s="2">
        <v>-2.15</v>
      </c>
      <c r="O12" s="2">
        <v>0.0</v>
      </c>
      <c r="P12" s="2">
        <v>1.0</v>
      </c>
    </row>
    <row r="13" ht="15.0" customHeight="1">
      <c r="A13" s="2">
        <v>5.0</v>
      </c>
      <c r="B13" s="2" t="s">
        <v>734</v>
      </c>
      <c r="C13" s="2" t="s">
        <v>250</v>
      </c>
      <c r="D13" s="2" t="s">
        <v>178</v>
      </c>
      <c r="E13" s="2">
        <v>11.99</v>
      </c>
      <c r="F13" s="2">
        <v>-1.0</v>
      </c>
      <c r="G13" s="2">
        <v>12.99</v>
      </c>
      <c r="H13" s="2">
        <v>7.5</v>
      </c>
      <c r="I13" s="2">
        <v>4.49</v>
      </c>
      <c r="J13" s="2">
        <v>43.59</v>
      </c>
      <c r="K13" s="2">
        <v>43.0</v>
      </c>
      <c r="L13" s="2">
        <v>0.59</v>
      </c>
      <c r="M13" s="2">
        <v>41.5</v>
      </c>
      <c r="N13" s="2">
        <v>2.09</v>
      </c>
      <c r="O13" s="2">
        <v>0.0</v>
      </c>
      <c r="P13" s="2">
        <v>1.0</v>
      </c>
    </row>
    <row r="14" ht="15.0" customHeight="1">
      <c r="A14" s="2">
        <v>5.0</v>
      </c>
      <c r="B14" s="2" t="s">
        <v>736</v>
      </c>
      <c r="C14" s="2" t="s">
        <v>150</v>
      </c>
      <c r="D14" s="2" t="s">
        <v>149</v>
      </c>
      <c r="E14" s="2">
        <v>5.2</v>
      </c>
      <c r="F14" s="2">
        <v>-3.0</v>
      </c>
      <c r="G14" s="2">
        <v>8.2</v>
      </c>
      <c r="H14" s="2">
        <v>3.5</v>
      </c>
      <c r="I14" s="2">
        <v>1.7</v>
      </c>
      <c r="J14" s="2">
        <v>48.47</v>
      </c>
      <c r="K14" s="2">
        <v>73.0</v>
      </c>
      <c r="L14" s="2">
        <v>24.53</v>
      </c>
      <c r="M14" s="2">
        <v>44.5</v>
      </c>
      <c r="N14" s="2">
        <v>3.97</v>
      </c>
      <c r="O14" s="2">
        <v>0.0</v>
      </c>
      <c r="P14" s="2">
        <v>1.0</v>
      </c>
    </row>
    <row r="15" ht="15.0" customHeight="1">
      <c r="A15" s="2">
        <v>5.0</v>
      </c>
      <c r="B15" s="2" t="s">
        <v>738</v>
      </c>
      <c r="C15" s="2" t="s">
        <v>202</v>
      </c>
      <c r="D15" s="2" t="s">
        <v>138</v>
      </c>
      <c r="E15" s="2">
        <v>-11.44</v>
      </c>
      <c r="F15" s="2">
        <v>-13.0</v>
      </c>
      <c r="G15" s="2">
        <v>1.56</v>
      </c>
      <c r="H15" s="2">
        <v>-10.5</v>
      </c>
      <c r="I15" s="2">
        <v>-0.94</v>
      </c>
      <c r="J15" s="2">
        <v>53.9</v>
      </c>
      <c r="K15" s="2">
        <v>61.0</v>
      </c>
      <c r="L15" s="2">
        <v>7.1</v>
      </c>
      <c r="M15" s="2">
        <v>49.5</v>
      </c>
      <c r="N15" s="2">
        <v>4.4</v>
      </c>
      <c r="O15" s="2">
        <v>1.0</v>
      </c>
      <c r="P15" s="2">
        <v>1.0</v>
      </c>
    </row>
    <row r="16" ht="15.0" customHeight="1">
      <c r="A16" s="2">
        <v>5.0</v>
      </c>
      <c r="B16" s="2" t="s">
        <v>740</v>
      </c>
      <c r="C16" s="2" t="s">
        <v>253</v>
      </c>
      <c r="D16" s="2" t="s">
        <v>220</v>
      </c>
      <c r="E16" s="2">
        <v>4.58</v>
      </c>
      <c r="F16" s="2">
        <v>-17.0</v>
      </c>
      <c r="G16" s="2">
        <v>21.58</v>
      </c>
      <c r="H16" s="2">
        <v>2.5</v>
      </c>
      <c r="I16" s="2">
        <v>2.08</v>
      </c>
      <c r="J16" s="2">
        <v>51.89</v>
      </c>
      <c r="K16" s="2">
        <v>37.0</v>
      </c>
      <c r="L16" s="2">
        <v>14.89</v>
      </c>
      <c r="M16" s="2">
        <v>47.5</v>
      </c>
      <c r="N16" s="2">
        <v>4.39</v>
      </c>
      <c r="O16" s="2">
        <v>0.0</v>
      </c>
      <c r="P16" s="2">
        <v>0.0</v>
      </c>
    </row>
    <row r="17" ht="15.0" customHeight="1">
      <c r="A17" s="2">
        <v>5.0</v>
      </c>
      <c r="B17" s="2" t="s">
        <v>742</v>
      </c>
      <c r="C17" s="2" t="s">
        <v>145</v>
      </c>
      <c r="D17" s="2" t="s">
        <v>136</v>
      </c>
      <c r="E17" s="2">
        <v>8.02</v>
      </c>
      <c r="F17" s="2">
        <v>-3.0</v>
      </c>
      <c r="G17" s="2">
        <v>11.02</v>
      </c>
      <c r="H17" s="2">
        <v>7.5</v>
      </c>
      <c r="I17" s="2">
        <v>0.52</v>
      </c>
      <c r="J17" s="2">
        <v>48.85</v>
      </c>
      <c r="K17" s="2">
        <v>43.0</v>
      </c>
      <c r="L17" s="2">
        <v>5.85</v>
      </c>
      <c r="M17" s="2">
        <v>49.5</v>
      </c>
      <c r="N17" s="2">
        <v>-0.65</v>
      </c>
      <c r="O17" s="2">
        <v>0.0</v>
      </c>
      <c r="P17" s="2">
        <v>1.0</v>
      </c>
    </row>
    <row r="18" ht="15.0" customHeight="1">
      <c r="A18" s="2">
        <v>5.0</v>
      </c>
      <c r="B18" s="2" t="s">
        <v>744</v>
      </c>
      <c r="C18" s="2" t="s">
        <v>143</v>
      </c>
      <c r="D18" s="2" t="s">
        <v>141</v>
      </c>
      <c r="E18" s="2">
        <v>-0.25</v>
      </c>
      <c r="F18" s="2">
        <v>3.0</v>
      </c>
      <c r="G18" s="2">
        <v>3.25</v>
      </c>
      <c r="H18" s="2">
        <v>-3.5</v>
      </c>
      <c r="I18" s="2">
        <v>3.25</v>
      </c>
      <c r="J18" s="2">
        <v>44.73</v>
      </c>
      <c r="K18" s="2">
        <v>59.0</v>
      </c>
      <c r="L18" s="2">
        <v>14.27</v>
      </c>
      <c r="M18" s="2">
        <v>45.5</v>
      </c>
      <c r="N18" s="2">
        <v>-0.77</v>
      </c>
      <c r="O18" s="2">
        <v>1.0</v>
      </c>
      <c r="P18" s="2">
        <v>0.0</v>
      </c>
    </row>
    <row r="19" ht="15.0" customHeight="1">
      <c r="A19" s="2">
        <v>6.0</v>
      </c>
      <c r="B19" s="2" t="s">
        <v>747</v>
      </c>
      <c r="C19" s="2" t="s">
        <v>147</v>
      </c>
      <c r="D19" s="2" t="s">
        <v>235</v>
      </c>
      <c r="E19" s="2">
        <v>-10.98</v>
      </c>
      <c r="F19" s="2">
        <v>17.0</v>
      </c>
      <c r="G19" s="2">
        <v>27.98</v>
      </c>
      <c r="H19" s="2">
        <v>-7.0</v>
      </c>
      <c r="I19" s="2">
        <v>-3.98</v>
      </c>
      <c r="J19" s="2">
        <v>36.67</v>
      </c>
      <c r="K19" s="2">
        <v>51.0</v>
      </c>
      <c r="L19" s="2">
        <v>14.33</v>
      </c>
      <c r="M19" s="2">
        <v>40.5</v>
      </c>
      <c r="N19" s="2">
        <v>-3.83</v>
      </c>
      <c r="O19" s="2">
        <v>0.0</v>
      </c>
      <c r="P19" s="2">
        <v>0.0</v>
      </c>
    </row>
    <row r="20" ht="15.0" customHeight="1">
      <c r="A20" s="2">
        <v>6.0</v>
      </c>
      <c r="B20" s="2" t="s">
        <v>750</v>
      </c>
      <c r="C20" s="2" t="s">
        <v>139</v>
      </c>
      <c r="D20" s="2" t="s">
        <v>238</v>
      </c>
      <c r="E20" s="2">
        <v>-12.39</v>
      </c>
      <c r="F20" s="2">
        <v>-2.0</v>
      </c>
      <c r="G20" s="2">
        <v>10.39</v>
      </c>
      <c r="H20" s="2">
        <v>-7.5</v>
      </c>
      <c r="I20" s="2">
        <v>-4.89</v>
      </c>
      <c r="J20" s="2">
        <v>42.29</v>
      </c>
      <c r="K20" s="2">
        <v>24.0</v>
      </c>
      <c r="L20" s="2">
        <v>18.29</v>
      </c>
      <c r="M20" s="2">
        <v>43.5</v>
      </c>
      <c r="N20" s="2">
        <v>-1.21</v>
      </c>
      <c r="O20" s="2">
        <v>0.0</v>
      </c>
      <c r="P20" s="2">
        <v>1.0</v>
      </c>
    </row>
    <row r="21" ht="15.0" customHeight="1">
      <c r="A21" s="2">
        <v>6.0</v>
      </c>
      <c r="B21" s="2" t="s">
        <v>753</v>
      </c>
      <c r="C21" s="2" t="s">
        <v>142</v>
      </c>
      <c r="D21" s="2" t="s">
        <v>148</v>
      </c>
      <c r="E21" s="2">
        <v>-5.27</v>
      </c>
      <c r="F21" s="2">
        <v>-14.0</v>
      </c>
      <c r="G21" s="2">
        <v>8.73</v>
      </c>
      <c r="H21" s="2">
        <v>-7.0</v>
      </c>
      <c r="I21" s="2">
        <v>1.73</v>
      </c>
      <c r="J21" s="2">
        <v>66.46</v>
      </c>
      <c r="K21" s="2">
        <v>20.0</v>
      </c>
      <c r="L21" s="2">
        <v>46.46</v>
      </c>
      <c r="M21" s="2">
        <v>43.5</v>
      </c>
      <c r="N21" s="2">
        <v>22.96</v>
      </c>
      <c r="O21" s="2">
        <v>0.0</v>
      </c>
      <c r="P21" s="2">
        <v>0.0</v>
      </c>
    </row>
    <row r="22" ht="15.0" customHeight="1">
      <c r="A22" s="2">
        <v>6.0</v>
      </c>
      <c r="B22" s="2" t="s">
        <v>755</v>
      </c>
      <c r="C22" s="2" t="s">
        <v>146</v>
      </c>
      <c r="D22" s="2" t="s">
        <v>189</v>
      </c>
      <c r="E22" s="2">
        <v>0.74</v>
      </c>
      <c r="F22" s="2">
        <v>3.0</v>
      </c>
      <c r="G22" s="2">
        <v>2.26</v>
      </c>
      <c r="H22" s="2">
        <v>-3.0</v>
      </c>
      <c r="I22" s="2">
        <v>3.74</v>
      </c>
      <c r="J22" s="2">
        <v>57.68</v>
      </c>
      <c r="K22" s="2">
        <v>57.0</v>
      </c>
      <c r="L22" s="2">
        <v>0.68</v>
      </c>
      <c r="M22" s="2">
        <v>47.5</v>
      </c>
      <c r="N22" s="2">
        <v>10.18</v>
      </c>
      <c r="O22" s="2">
        <v>1.0</v>
      </c>
      <c r="P22" s="2">
        <v>1.0</v>
      </c>
    </row>
    <row r="23" ht="15.0" customHeight="1">
      <c r="A23" s="2">
        <v>6.0</v>
      </c>
      <c r="B23" s="2" t="s">
        <v>757</v>
      </c>
      <c r="C23" s="2" t="s">
        <v>178</v>
      </c>
      <c r="D23" s="2" t="s">
        <v>210</v>
      </c>
      <c r="E23" s="2">
        <v>7.09</v>
      </c>
      <c r="F23" s="2">
        <v>4.0</v>
      </c>
      <c r="G23" s="2">
        <v>3.09</v>
      </c>
      <c r="H23" s="2">
        <v>8.5</v>
      </c>
      <c r="I23" s="2">
        <v>-1.41</v>
      </c>
      <c r="J23" s="2">
        <v>48.28</v>
      </c>
      <c r="K23" s="2">
        <v>58.0</v>
      </c>
      <c r="L23" s="2">
        <v>9.72</v>
      </c>
      <c r="M23" s="2">
        <v>46.5</v>
      </c>
      <c r="N23" s="2">
        <v>1.78</v>
      </c>
      <c r="O23" s="2">
        <v>1.0</v>
      </c>
      <c r="P23" s="2">
        <v>1.0</v>
      </c>
    </row>
    <row r="24" ht="15.0" customHeight="1">
      <c r="A24" s="2">
        <v>6.0</v>
      </c>
      <c r="B24" s="2" t="s">
        <v>760</v>
      </c>
      <c r="C24" s="2" t="s">
        <v>149</v>
      </c>
      <c r="D24" s="2" t="s">
        <v>141</v>
      </c>
      <c r="E24" s="2">
        <v>-0.28</v>
      </c>
      <c r="F24" s="2">
        <v>-8.0</v>
      </c>
      <c r="G24" s="2">
        <v>7.72</v>
      </c>
      <c r="H24" s="2">
        <v>-1.5</v>
      </c>
      <c r="I24" s="2">
        <v>1.22</v>
      </c>
      <c r="J24" s="2">
        <v>54.18</v>
      </c>
      <c r="K24" s="2">
        <v>32.0</v>
      </c>
      <c r="L24" s="2">
        <v>22.18</v>
      </c>
      <c r="M24" s="2">
        <v>47.5</v>
      </c>
      <c r="N24" s="2">
        <v>6.68</v>
      </c>
      <c r="O24" s="2">
        <v>0.0</v>
      </c>
      <c r="P24" s="2">
        <v>0.0</v>
      </c>
    </row>
    <row r="25" ht="15.0" customHeight="1">
      <c r="A25" s="2">
        <v>6.0</v>
      </c>
      <c r="B25" s="2" t="s">
        <v>762</v>
      </c>
      <c r="C25" s="2" t="s">
        <v>220</v>
      </c>
      <c r="D25" s="2" t="s">
        <v>225</v>
      </c>
      <c r="E25" s="2">
        <v>-5.18</v>
      </c>
      <c r="F25" s="2">
        <v>-2.0</v>
      </c>
      <c r="G25" s="2">
        <v>3.18</v>
      </c>
      <c r="H25" s="2">
        <v>-3.5</v>
      </c>
      <c r="I25" s="2">
        <v>-1.68</v>
      </c>
      <c r="J25" s="2">
        <v>44.98</v>
      </c>
      <c r="K25" s="2">
        <v>56.0</v>
      </c>
      <c r="L25" s="2">
        <v>11.02</v>
      </c>
      <c r="M25" s="2">
        <v>45.5</v>
      </c>
      <c r="N25" s="2">
        <v>-0.52</v>
      </c>
      <c r="O25" s="2">
        <v>0.0</v>
      </c>
      <c r="P25" s="2">
        <v>0.0</v>
      </c>
    </row>
    <row r="26" ht="15.0" customHeight="1">
      <c r="A26" s="2">
        <v>6.0</v>
      </c>
      <c r="B26" s="2" t="s">
        <v>764</v>
      </c>
      <c r="C26" s="2" t="s">
        <v>145</v>
      </c>
      <c r="D26" s="2" t="s">
        <v>232</v>
      </c>
      <c r="E26" s="2">
        <v>-2.46</v>
      </c>
      <c r="F26" s="2">
        <v>-6.0</v>
      </c>
      <c r="G26" s="2">
        <v>3.54</v>
      </c>
      <c r="H26" s="2">
        <v>-3.5</v>
      </c>
      <c r="I26" s="2">
        <v>1.04</v>
      </c>
      <c r="J26" s="2">
        <v>42.91</v>
      </c>
      <c r="K26" s="2">
        <v>44.0</v>
      </c>
      <c r="L26" s="2">
        <v>1.09</v>
      </c>
      <c r="M26" s="2">
        <v>46.5</v>
      </c>
      <c r="N26" s="2">
        <v>-3.59</v>
      </c>
      <c r="O26" s="2">
        <v>0.0</v>
      </c>
      <c r="P26" s="2">
        <v>1.0</v>
      </c>
    </row>
    <row r="27" ht="15.0" customHeight="1">
      <c r="A27" s="2">
        <v>6.0</v>
      </c>
      <c r="B27" s="2" t="s">
        <v>766</v>
      </c>
      <c r="C27" s="2" t="s">
        <v>196</v>
      </c>
      <c r="D27" s="2" t="s">
        <v>242</v>
      </c>
      <c r="E27" s="2">
        <v>8.42</v>
      </c>
      <c r="F27" s="2">
        <v>14.0</v>
      </c>
      <c r="G27" s="2">
        <v>5.58</v>
      </c>
      <c r="H27" s="2">
        <v>5.5</v>
      </c>
      <c r="I27" s="2">
        <v>2.92</v>
      </c>
      <c r="J27" s="2">
        <v>34.34</v>
      </c>
      <c r="K27" s="2">
        <v>32.0</v>
      </c>
      <c r="L27" s="2">
        <v>2.34</v>
      </c>
      <c r="M27" s="2">
        <v>37.5</v>
      </c>
      <c r="N27" s="2">
        <v>-3.16</v>
      </c>
      <c r="O27" s="2">
        <v>1.0</v>
      </c>
      <c r="P27" s="2">
        <v>1.0</v>
      </c>
    </row>
    <row r="28" ht="15.0" customHeight="1">
      <c r="A28" s="2">
        <v>6.0</v>
      </c>
      <c r="B28" s="2" t="s">
        <v>768</v>
      </c>
      <c r="C28" s="2" t="s">
        <v>250</v>
      </c>
      <c r="D28" s="2" t="s">
        <v>222</v>
      </c>
      <c r="E28" s="2">
        <v>1.7</v>
      </c>
      <c r="F28" s="2">
        <v>10.0</v>
      </c>
      <c r="G28" s="2">
        <v>8.3</v>
      </c>
      <c r="H28" s="2">
        <v>3.5</v>
      </c>
      <c r="I28" s="2">
        <v>-1.8</v>
      </c>
      <c r="J28" s="2">
        <v>43.62</v>
      </c>
      <c r="K28" s="2">
        <v>30.0</v>
      </c>
      <c r="L28" s="2">
        <v>13.62</v>
      </c>
      <c r="M28" s="2">
        <v>41.5</v>
      </c>
      <c r="N28" s="2">
        <v>2.12</v>
      </c>
      <c r="O28" s="2">
        <v>0.0</v>
      </c>
      <c r="P28" s="2">
        <v>0.0</v>
      </c>
    </row>
    <row r="29" ht="15.0" customHeight="1">
      <c r="A29" s="2">
        <v>6.0</v>
      </c>
      <c r="B29" s="2" t="s">
        <v>770</v>
      </c>
      <c r="C29" s="2" t="s">
        <v>138</v>
      </c>
      <c r="D29" s="2" t="s">
        <v>205</v>
      </c>
      <c r="E29" s="2">
        <v>16.18</v>
      </c>
      <c r="F29" s="2">
        <v>9.0</v>
      </c>
      <c r="G29" s="2">
        <v>7.18</v>
      </c>
      <c r="H29" s="2">
        <v>14.0</v>
      </c>
      <c r="I29" s="2">
        <v>2.18</v>
      </c>
      <c r="J29" s="2">
        <v>44.56</v>
      </c>
      <c r="K29" s="2">
        <v>45.0</v>
      </c>
      <c r="L29" s="2">
        <v>0.44</v>
      </c>
      <c r="M29" s="2">
        <v>44.5</v>
      </c>
      <c r="N29" s="2">
        <v>0.06</v>
      </c>
      <c r="O29" s="2">
        <v>0.0</v>
      </c>
      <c r="P29" s="2">
        <v>1.0</v>
      </c>
    </row>
    <row r="30" ht="15.0" customHeight="1">
      <c r="A30" s="2">
        <v>6.0</v>
      </c>
      <c r="B30" s="2" t="s">
        <v>772</v>
      </c>
      <c r="C30" s="2" t="s">
        <v>246</v>
      </c>
      <c r="D30" s="2" t="s">
        <v>150</v>
      </c>
      <c r="E30" s="2">
        <v>1.52</v>
      </c>
      <c r="F30" s="2">
        <v>11.0</v>
      </c>
      <c r="G30" s="2">
        <v>9.48</v>
      </c>
      <c r="H30" s="2">
        <v>3.5</v>
      </c>
      <c r="I30" s="2">
        <v>-1.98</v>
      </c>
      <c r="J30" s="2">
        <v>49.2</v>
      </c>
      <c r="K30" s="2">
        <v>49.0</v>
      </c>
      <c r="L30" s="2">
        <v>0.2</v>
      </c>
      <c r="M30" s="2">
        <v>46.5</v>
      </c>
      <c r="N30" s="2">
        <v>2.7</v>
      </c>
      <c r="O30" s="2">
        <v>0.0</v>
      </c>
      <c r="P30" s="2">
        <v>1.0</v>
      </c>
    </row>
    <row r="31" ht="15.0" customHeight="1">
      <c r="A31" s="2">
        <v>6.0</v>
      </c>
      <c r="B31" s="2" t="s">
        <v>774</v>
      </c>
      <c r="C31" s="2" t="s">
        <v>202</v>
      </c>
      <c r="D31" s="2" t="s">
        <v>143</v>
      </c>
      <c r="E31" s="2">
        <v>-1.29</v>
      </c>
      <c r="F31" s="2">
        <v>13.0</v>
      </c>
      <c r="G31" s="2">
        <v>14.29</v>
      </c>
      <c r="H31" s="2">
        <v>2.5</v>
      </c>
      <c r="I31" s="2">
        <v>-3.79</v>
      </c>
      <c r="J31" s="2">
        <v>55.5</v>
      </c>
      <c r="K31" s="2">
        <v>47.0</v>
      </c>
      <c r="L31" s="2">
        <v>8.5</v>
      </c>
      <c r="M31" s="2">
        <v>51.5</v>
      </c>
      <c r="N31" s="2">
        <v>4.0</v>
      </c>
      <c r="O31" s="2">
        <v>0.0</v>
      </c>
      <c r="P31" s="2">
        <v>0.0</v>
      </c>
    </row>
    <row r="32" ht="15.0" customHeight="1">
      <c r="A32" s="2">
        <v>6.0</v>
      </c>
      <c r="B32" s="2" t="s">
        <v>776</v>
      </c>
      <c r="C32" s="2" t="s">
        <v>136</v>
      </c>
      <c r="D32" s="2" t="s">
        <v>132</v>
      </c>
      <c r="E32" s="2">
        <v>2.18</v>
      </c>
      <c r="F32" s="2">
        <v>10.0</v>
      </c>
      <c r="G32" s="2">
        <v>7.82</v>
      </c>
      <c r="H32" s="2">
        <v>-3.5</v>
      </c>
      <c r="I32" s="2">
        <v>5.68</v>
      </c>
      <c r="J32" s="2">
        <v>44.97</v>
      </c>
      <c r="K32" s="2">
        <v>38.0</v>
      </c>
      <c r="L32" s="2">
        <v>6.97</v>
      </c>
      <c r="M32" s="2">
        <v>49.5</v>
      </c>
      <c r="N32" s="2">
        <v>-4.53</v>
      </c>
      <c r="O32" s="2">
        <v>1.0</v>
      </c>
      <c r="P32" s="2">
        <v>1.0</v>
      </c>
    </row>
    <row r="33" ht="15.0" customHeight="1">
      <c r="A33" s="2">
        <v>6.0</v>
      </c>
      <c r="B33" s="2" t="s">
        <v>779</v>
      </c>
      <c r="C33" s="2" t="s">
        <v>137</v>
      </c>
      <c r="D33" s="2" t="s">
        <v>253</v>
      </c>
      <c r="E33" s="2">
        <v>3.85</v>
      </c>
      <c r="F33" s="2">
        <v>-1.0</v>
      </c>
      <c r="G33" s="2">
        <v>4.85</v>
      </c>
      <c r="H33" s="2">
        <v>5.5</v>
      </c>
      <c r="I33" s="2">
        <v>-1.65</v>
      </c>
      <c r="J33" s="2">
        <v>56.51</v>
      </c>
      <c r="K33" s="2">
        <v>49.0</v>
      </c>
      <c r="L33" s="2">
        <v>7.51</v>
      </c>
      <c r="M33" s="2">
        <v>49.5</v>
      </c>
      <c r="N33" s="2">
        <v>7.01</v>
      </c>
      <c r="O33" s="2">
        <v>1.0</v>
      </c>
      <c r="P33" s="2">
        <v>0.0</v>
      </c>
    </row>
    <row r="34" ht="15.0" customHeight="1">
      <c r="A34" s="2">
        <v>7.0</v>
      </c>
      <c r="B34" s="2" t="s">
        <v>781</v>
      </c>
      <c r="C34" s="2" t="s">
        <v>242</v>
      </c>
      <c r="D34" s="2" t="s">
        <v>138</v>
      </c>
      <c r="E34" s="2">
        <v>-8.76</v>
      </c>
      <c r="F34" s="2">
        <v>2.0</v>
      </c>
      <c r="G34" s="2">
        <v>10.76</v>
      </c>
      <c r="H34" s="2">
        <v>-5.5</v>
      </c>
      <c r="I34" s="2">
        <v>-3.26</v>
      </c>
      <c r="J34" s="2">
        <v>49.73</v>
      </c>
      <c r="K34" s="2">
        <v>64.0</v>
      </c>
      <c r="L34" s="2">
        <v>14.27</v>
      </c>
      <c r="M34" s="2">
        <v>45.5</v>
      </c>
      <c r="N34" s="2">
        <v>4.23</v>
      </c>
      <c r="O34" s="2">
        <v>0.0</v>
      </c>
      <c r="P34" s="2">
        <v>1.0</v>
      </c>
    </row>
    <row r="35" ht="15.0" customHeight="1">
      <c r="A35" s="2">
        <v>7.0</v>
      </c>
      <c r="B35" s="2" t="s">
        <v>784</v>
      </c>
      <c r="C35" s="2" t="s">
        <v>142</v>
      </c>
      <c r="D35" s="2" t="s">
        <v>141</v>
      </c>
      <c r="E35" s="2">
        <v>-0.23</v>
      </c>
      <c r="F35" s="2">
        <v>-28.0</v>
      </c>
      <c r="G35" s="2">
        <v>27.77</v>
      </c>
      <c r="H35" s="2">
        <v>-3.0</v>
      </c>
      <c r="I35" s="2">
        <v>2.77</v>
      </c>
      <c r="J35" s="2">
        <v>39.45</v>
      </c>
      <c r="K35" s="2">
        <v>42.0</v>
      </c>
      <c r="L35" s="2">
        <v>2.55</v>
      </c>
      <c r="M35" s="2">
        <v>44.5</v>
      </c>
      <c r="N35" s="2">
        <v>-5.05</v>
      </c>
      <c r="O35" s="2">
        <v>0.0</v>
      </c>
      <c r="P35" s="2">
        <v>1.0</v>
      </c>
    </row>
    <row r="36" ht="15.0" customHeight="1">
      <c r="A36" s="2">
        <v>7.0</v>
      </c>
      <c r="B36" s="2" t="s">
        <v>787</v>
      </c>
      <c r="C36" s="2" t="s">
        <v>232</v>
      </c>
      <c r="D36" s="2" t="s">
        <v>137</v>
      </c>
      <c r="E36" s="2">
        <v>10.07</v>
      </c>
      <c r="F36" s="2">
        <v>12.0</v>
      </c>
      <c r="G36" s="2">
        <v>1.93</v>
      </c>
      <c r="H36" s="2">
        <v>4.5</v>
      </c>
      <c r="I36" s="2">
        <v>5.57</v>
      </c>
      <c r="J36" s="2">
        <v>51.2</v>
      </c>
      <c r="K36" s="2">
        <v>40.0</v>
      </c>
      <c r="L36" s="2">
        <v>11.2</v>
      </c>
      <c r="M36" s="2">
        <v>43.5</v>
      </c>
      <c r="N36" s="2">
        <v>7.7</v>
      </c>
      <c r="O36" s="2">
        <v>1.0</v>
      </c>
      <c r="P36" s="2">
        <v>0.0</v>
      </c>
    </row>
    <row r="37" ht="15.0" customHeight="1">
      <c r="A37" s="2">
        <v>7.0</v>
      </c>
      <c r="B37" s="2" t="s">
        <v>789</v>
      </c>
      <c r="C37" s="2" t="s">
        <v>225</v>
      </c>
      <c r="D37" s="2" t="s">
        <v>196</v>
      </c>
      <c r="E37" s="2">
        <v>-1.13</v>
      </c>
      <c r="F37" s="2">
        <v>25.0</v>
      </c>
      <c r="G37" s="2">
        <v>26.13</v>
      </c>
      <c r="H37" s="2">
        <v>2.5</v>
      </c>
      <c r="I37" s="2">
        <v>-3.63</v>
      </c>
      <c r="J37" s="2">
        <v>37.76</v>
      </c>
      <c r="K37" s="2">
        <v>37.0</v>
      </c>
      <c r="L37" s="2">
        <v>0.76</v>
      </c>
      <c r="M37" s="2">
        <v>34.5</v>
      </c>
      <c r="N37" s="2">
        <v>3.26</v>
      </c>
      <c r="O37" s="2">
        <v>0.0</v>
      </c>
      <c r="P37" s="2">
        <v>1.0</v>
      </c>
    </row>
    <row r="38" ht="15.0" customHeight="1">
      <c r="A38" s="2">
        <v>7.0</v>
      </c>
      <c r="B38" s="2" t="s">
        <v>791</v>
      </c>
      <c r="C38" s="2" t="s">
        <v>222</v>
      </c>
      <c r="D38" s="2" t="s">
        <v>143</v>
      </c>
      <c r="E38" s="2">
        <v>11.23</v>
      </c>
      <c r="F38" s="2">
        <v>31.0</v>
      </c>
      <c r="G38" s="2">
        <v>19.77</v>
      </c>
      <c r="H38" s="2">
        <v>13.5</v>
      </c>
      <c r="I38" s="2">
        <v>-2.27</v>
      </c>
      <c r="J38" s="2">
        <v>41.17</v>
      </c>
      <c r="K38" s="2">
        <v>31.0</v>
      </c>
      <c r="L38" s="2">
        <v>10.17</v>
      </c>
      <c r="M38" s="2">
        <v>44.5</v>
      </c>
      <c r="N38" s="2">
        <v>-3.33</v>
      </c>
      <c r="O38" s="2">
        <v>0.0</v>
      </c>
      <c r="P38" s="2">
        <v>1.0</v>
      </c>
    </row>
    <row r="39" ht="15.0" customHeight="1">
      <c r="A39" s="2">
        <v>7.0</v>
      </c>
      <c r="B39" s="2" t="s">
        <v>793</v>
      </c>
      <c r="C39" s="2" t="s">
        <v>147</v>
      </c>
      <c r="D39" s="2" t="s">
        <v>144</v>
      </c>
      <c r="E39" s="2">
        <v>-0.21</v>
      </c>
      <c r="F39" s="2">
        <v>-6.0</v>
      </c>
      <c r="G39" s="2">
        <v>5.79</v>
      </c>
      <c r="H39" s="2">
        <v>-2.5</v>
      </c>
      <c r="I39" s="2">
        <v>2.29</v>
      </c>
      <c r="J39" s="2">
        <v>43.1</v>
      </c>
      <c r="K39" s="2">
        <v>50.0</v>
      </c>
      <c r="L39" s="2">
        <v>6.9</v>
      </c>
      <c r="M39" s="2">
        <v>43.5</v>
      </c>
      <c r="N39" s="2">
        <v>-0.4</v>
      </c>
      <c r="O39" s="2">
        <v>0.0</v>
      </c>
      <c r="P39" s="2">
        <v>0.0</v>
      </c>
    </row>
    <row r="40" ht="15.0" customHeight="1">
      <c r="A40" s="2">
        <v>7.0</v>
      </c>
      <c r="B40" s="2" t="s">
        <v>795</v>
      </c>
      <c r="C40" s="2" t="s">
        <v>189</v>
      </c>
      <c r="D40" s="2" t="s">
        <v>238</v>
      </c>
      <c r="E40" s="2">
        <v>-2.12</v>
      </c>
      <c r="F40" s="2">
        <v>-7.0</v>
      </c>
      <c r="G40" s="2">
        <v>4.88</v>
      </c>
      <c r="H40" s="2">
        <v>1.5</v>
      </c>
      <c r="I40" s="2">
        <v>-3.62</v>
      </c>
      <c r="J40" s="2">
        <v>44.22</v>
      </c>
      <c r="K40" s="2">
        <v>19.0</v>
      </c>
      <c r="L40" s="2">
        <v>25.22</v>
      </c>
      <c r="M40" s="2">
        <v>39.5</v>
      </c>
      <c r="N40" s="2">
        <v>4.72</v>
      </c>
      <c r="O40" s="2">
        <v>1.0</v>
      </c>
      <c r="P40" s="2">
        <v>0.0</v>
      </c>
    </row>
    <row r="41" ht="15.0" customHeight="1">
      <c r="A41" s="2">
        <v>7.0</v>
      </c>
      <c r="B41" s="2" t="s">
        <v>797</v>
      </c>
      <c r="C41" s="2" t="s">
        <v>145</v>
      </c>
      <c r="D41" s="2" t="s">
        <v>250</v>
      </c>
      <c r="E41" s="2">
        <v>-5.84</v>
      </c>
      <c r="F41" s="2">
        <v>-18.0</v>
      </c>
      <c r="G41" s="2">
        <v>12.16</v>
      </c>
      <c r="H41" s="2">
        <v>-6.5</v>
      </c>
      <c r="I41" s="2">
        <v>0.66</v>
      </c>
      <c r="J41" s="2">
        <v>42.28</v>
      </c>
      <c r="K41" s="2">
        <v>44.0</v>
      </c>
      <c r="L41" s="2">
        <v>1.72</v>
      </c>
      <c r="M41" s="2">
        <v>40.5</v>
      </c>
      <c r="N41" s="2">
        <v>1.78</v>
      </c>
      <c r="O41" s="2">
        <v>0.0</v>
      </c>
      <c r="P41" s="2">
        <v>1.0</v>
      </c>
    </row>
    <row r="42" ht="15.0" customHeight="1">
      <c r="A42" s="2">
        <v>7.0</v>
      </c>
      <c r="B42" s="2" t="s">
        <v>799</v>
      </c>
      <c r="C42" s="2" t="s">
        <v>235</v>
      </c>
      <c r="D42" s="2" t="s">
        <v>139</v>
      </c>
      <c r="E42" s="2">
        <v>7.41</v>
      </c>
      <c r="F42" s="2">
        <v>1.0</v>
      </c>
      <c r="G42" s="2">
        <v>6.41</v>
      </c>
      <c r="H42" s="2">
        <v>7.5</v>
      </c>
      <c r="I42" s="2">
        <v>-0.09</v>
      </c>
      <c r="J42" s="2">
        <v>31.81</v>
      </c>
      <c r="K42" s="2">
        <v>65.0</v>
      </c>
      <c r="L42" s="2">
        <v>33.19</v>
      </c>
      <c r="M42" s="2">
        <v>39.5</v>
      </c>
      <c r="N42" s="2">
        <v>-7.69</v>
      </c>
      <c r="O42" s="2">
        <v>1.0</v>
      </c>
      <c r="P42" s="2">
        <v>0.0</v>
      </c>
    </row>
    <row r="43" ht="15.0" customHeight="1">
      <c r="A43" s="2">
        <v>7.0</v>
      </c>
      <c r="B43" s="2" t="s">
        <v>801</v>
      </c>
      <c r="C43" s="2" t="s">
        <v>210</v>
      </c>
      <c r="D43" s="2" t="s">
        <v>220</v>
      </c>
      <c r="E43" s="2">
        <v>-2.32</v>
      </c>
      <c r="F43" s="2">
        <v>-14.0</v>
      </c>
      <c r="G43" s="2">
        <v>11.68</v>
      </c>
      <c r="H43" s="2">
        <v>2.5</v>
      </c>
      <c r="I43" s="2">
        <v>-4.82</v>
      </c>
      <c r="J43" s="2">
        <v>54.4</v>
      </c>
      <c r="K43" s="2">
        <v>62.0</v>
      </c>
      <c r="L43" s="2">
        <v>7.6</v>
      </c>
      <c r="M43" s="2">
        <v>48.5</v>
      </c>
      <c r="N43" s="2">
        <v>5.9</v>
      </c>
      <c r="O43" s="2">
        <v>1.0</v>
      </c>
      <c r="P43" s="2">
        <v>1.0</v>
      </c>
    </row>
    <row r="44" ht="15.0" customHeight="1">
      <c r="A44" s="2">
        <v>7.0</v>
      </c>
      <c r="B44" s="2" t="s">
        <v>803</v>
      </c>
      <c r="C44" s="2" t="s">
        <v>205</v>
      </c>
      <c r="D44" s="2" t="s">
        <v>178</v>
      </c>
      <c r="E44" s="2">
        <v>-2.69</v>
      </c>
      <c r="F44" s="2">
        <v>-4.0</v>
      </c>
      <c r="G44" s="2">
        <v>1.31</v>
      </c>
      <c r="H44" s="2">
        <v>-7.0</v>
      </c>
      <c r="I44" s="2">
        <v>4.31</v>
      </c>
      <c r="J44" s="2">
        <v>39.55</v>
      </c>
      <c r="K44" s="2">
        <v>50.0</v>
      </c>
      <c r="L44" s="2">
        <v>10.45</v>
      </c>
      <c r="M44" s="2">
        <v>44.5</v>
      </c>
      <c r="N44" s="2">
        <v>-4.95</v>
      </c>
      <c r="O44" s="2">
        <v>1.0</v>
      </c>
      <c r="P44" s="2">
        <v>0.0</v>
      </c>
    </row>
    <row r="45" ht="15.0" customHeight="1">
      <c r="A45" s="2">
        <v>7.0</v>
      </c>
      <c r="B45" s="2" t="s">
        <v>805</v>
      </c>
      <c r="C45" s="2" t="s">
        <v>253</v>
      </c>
      <c r="D45" s="2" t="s">
        <v>146</v>
      </c>
      <c r="E45" s="2">
        <v>-3.65</v>
      </c>
      <c r="F45" s="2">
        <v>22.0</v>
      </c>
      <c r="G45" s="2">
        <v>25.65</v>
      </c>
      <c r="H45" s="2">
        <v>1.5</v>
      </c>
      <c r="I45" s="2">
        <v>-5.15</v>
      </c>
      <c r="J45" s="2">
        <v>61.28</v>
      </c>
      <c r="K45" s="2">
        <v>66.0</v>
      </c>
      <c r="L45" s="2">
        <v>4.72</v>
      </c>
      <c r="M45" s="2">
        <v>54.5</v>
      </c>
      <c r="N45" s="2">
        <v>6.78</v>
      </c>
      <c r="O45" s="2">
        <v>0.0</v>
      </c>
      <c r="P45" s="2">
        <v>1.0</v>
      </c>
    </row>
    <row r="46" ht="15.0" customHeight="1">
      <c r="A46" s="2">
        <v>7.0</v>
      </c>
      <c r="B46" s="2" t="s">
        <v>807</v>
      </c>
      <c r="C46" s="2" t="s">
        <v>132</v>
      </c>
      <c r="D46" s="2" t="s">
        <v>246</v>
      </c>
      <c r="E46" s="2">
        <v>-0.5</v>
      </c>
      <c r="F46" s="2">
        <v>10.0</v>
      </c>
      <c r="G46" s="2">
        <v>10.5</v>
      </c>
      <c r="H46" s="2">
        <v>1.5</v>
      </c>
      <c r="I46" s="2">
        <v>-2.0</v>
      </c>
      <c r="J46" s="2">
        <v>35.36</v>
      </c>
      <c r="K46" s="2">
        <v>30.0</v>
      </c>
      <c r="L46" s="2">
        <v>5.36</v>
      </c>
      <c r="M46" s="2">
        <v>46.5</v>
      </c>
      <c r="N46" s="2">
        <v>-11.14</v>
      </c>
      <c r="O46" s="2">
        <v>0.0</v>
      </c>
      <c r="P46" s="2">
        <v>1.0</v>
      </c>
    </row>
    <row r="47" ht="15.0" customHeight="1">
      <c r="A47" s="2">
        <v>7.0</v>
      </c>
      <c r="B47" s="2" t="s">
        <v>809</v>
      </c>
      <c r="C47" s="2" t="s">
        <v>150</v>
      </c>
      <c r="D47" s="2" t="s">
        <v>202</v>
      </c>
      <c r="E47" s="2">
        <v>0.95</v>
      </c>
      <c r="F47" s="2">
        <v>15.0</v>
      </c>
      <c r="G47" s="2">
        <v>14.05</v>
      </c>
      <c r="H47" s="2">
        <v>6.0</v>
      </c>
      <c r="I47" s="2">
        <v>-5.05</v>
      </c>
      <c r="J47" s="2">
        <v>63.9</v>
      </c>
      <c r="K47" s="2">
        <v>33.0</v>
      </c>
      <c r="L47" s="2">
        <v>30.9</v>
      </c>
      <c r="M47" s="2">
        <v>54.5</v>
      </c>
      <c r="N47" s="2">
        <v>9.4</v>
      </c>
      <c r="O47" s="2">
        <v>0.0</v>
      </c>
      <c r="P47" s="2">
        <v>0.0</v>
      </c>
    </row>
    <row r="48" ht="15.0" customHeight="1">
      <c r="A48" s="2">
        <v>7.0</v>
      </c>
      <c r="B48" s="2" t="s">
        <v>812</v>
      </c>
      <c r="C48" s="2" t="s">
        <v>140</v>
      </c>
      <c r="D48" s="2" t="s">
        <v>149</v>
      </c>
      <c r="E48" s="2">
        <v>2.99</v>
      </c>
      <c r="F48" s="2">
        <v>8.0</v>
      </c>
      <c r="G48" s="2">
        <v>5.01</v>
      </c>
      <c r="H48" s="2">
        <v>3.0</v>
      </c>
      <c r="I48" s="2">
        <v>-0.01</v>
      </c>
      <c r="J48" s="2">
        <v>38.34</v>
      </c>
      <c r="K48" s="2">
        <v>46.0</v>
      </c>
      <c r="L48" s="2">
        <v>7.66</v>
      </c>
      <c r="M48" s="2">
        <v>41.5</v>
      </c>
      <c r="N48" s="2">
        <v>-3.16</v>
      </c>
      <c r="O48" s="2">
        <v>0.0</v>
      </c>
      <c r="P48" s="2">
        <v>0.0</v>
      </c>
    </row>
    <row r="49" ht="15.0" customHeight="1">
      <c r="A49" s="2">
        <v>8.0</v>
      </c>
      <c r="B49" s="2" t="s">
        <v>814</v>
      </c>
      <c r="C49" s="2" t="s">
        <v>144</v>
      </c>
      <c r="D49" s="2" t="s">
        <v>220</v>
      </c>
      <c r="E49" s="2">
        <v>2.46</v>
      </c>
      <c r="F49" s="2">
        <v>27.0</v>
      </c>
      <c r="G49" s="2">
        <v>24.54</v>
      </c>
      <c r="H49" s="2">
        <v>3.0</v>
      </c>
      <c r="I49" s="2">
        <v>-0.54</v>
      </c>
      <c r="J49" s="2">
        <v>43.85</v>
      </c>
      <c r="K49" s="2">
        <v>47.0</v>
      </c>
      <c r="L49" s="2">
        <v>3.15</v>
      </c>
      <c r="M49" s="2">
        <v>45.5</v>
      </c>
      <c r="N49" s="2">
        <v>-1.65</v>
      </c>
      <c r="O49" s="2">
        <v>0.0</v>
      </c>
      <c r="P49" s="2">
        <v>0.0</v>
      </c>
    </row>
    <row r="50" ht="15.0" customHeight="1">
      <c r="A50" s="2">
        <v>8.0</v>
      </c>
      <c r="B50" s="2" t="s">
        <v>817</v>
      </c>
      <c r="C50" s="2" t="s">
        <v>225</v>
      </c>
      <c r="D50" s="2" t="s">
        <v>132</v>
      </c>
      <c r="E50" s="2">
        <v>10.54</v>
      </c>
      <c r="F50" s="2">
        <v>-24.0</v>
      </c>
      <c r="G50" s="2">
        <v>34.54</v>
      </c>
      <c r="H50" s="2">
        <v>7.0</v>
      </c>
      <c r="I50" s="2">
        <v>3.54</v>
      </c>
      <c r="J50" s="2">
        <v>42.01</v>
      </c>
      <c r="K50" s="2">
        <v>44.0</v>
      </c>
      <c r="L50" s="2">
        <v>1.99</v>
      </c>
      <c r="M50" s="2">
        <v>44.5</v>
      </c>
      <c r="N50" s="2">
        <v>-2.49</v>
      </c>
      <c r="O50" s="2">
        <v>0.0</v>
      </c>
      <c r="P50" s="2">
        <v>1.0</v>
      </c>
    </row>
    <row r="51" ht="15.0" customHeight="1">
      <c r="A51" s="2">
        <v>8.0</v>
      </c>
      <c r="B51" s="2" t="s">
        <v>822</v>
      </c>
      <c r="C51" s="2" t="s">
        <v>137</v>
      </c>
      <c r="D51" s="2" t="s">
        <v>148</v>
      </c>
      <c r="E51" s="2">
        <v>-6.19</v>
      </c>
      <c r="F51" s="2">
        <v>14.0</v>
      </c>
      <c r="G51" s="2">
        <v>20.19</v>
      </c>
      <c r="H51" s="2">
        <v>2.5</v>
      </c>
      <c r="I51" s="2">
        <v>-8.69</v>
      </c>
      <c r="J51" s="2">
        <v>62.96</v>
      </c>
      <c r="K51" s="2">
        <v>46.0</v>
      </c>
      <c r="L51" s="2">
        <v>16.96</v>
      </c>
      <c r="M51" s="2">
        <v>45.5</v>
      </c>
      <c r="N51" s="2">
        <v>17.46</v>
      </c>
      <c r="O51" s="2">
        <v>0.0</v>
      </c>
      <c r="P51" s="2">
        <v>1.0</v>
      </c>
    </row>
    <row r="52" ht="15.0" customHeight="1">
      <c r="A52" s="2">
        <v>8.0</v>
      </c>
      <c r="B52" s="2" t="s">
        <v>826</v>
      </c>
      <c r="C52" s="2" t="s">
        <v>136</v>
      </c>
      <c r="D52" s="2" t="s">
        <v>189</v>
      </c>
      <c r="E52" s="2">
        <v>0.01</v>
      </c>
      <c r="F52" s="2">
        <v>-31.0</v>
      </c>
      <c r="G52" s="2">
        <v>31.01</v>
      </c>
      <c r="H52" s="2">
        <v>-7.0</v>
      </c>
      <c r="I52" s="2">
        <v>7.01</v>
      </c>
      <c r="J52" s="2">
        <v>48.34</v>
      </c>
      <c r="K52" s="2">
        <v>49.0</v>
      </c>
      <c r="L52" s="2">
        <v>0.66</v>
      </c>
      <c r="M52" s="2">
        <v>47.5</v>
      </c>
      <c r="N52" s="2">
        <v>0.84</v>
      </c>
      <c r="O52" s="2">
        <v>0.0</v>
      </c>
      <c r="P52" s="2">
        <v>1.0</v>
      </c>
    </row>
    <row r="53" ht="15.0" customHeight="1">
      <c r="A53" s="2">
        <v>8.0</v>
      </c>
      <c r="B53" s="2" t="s">
        <v>828</v>
      </c>
      <c r="C53" s="2" t="s">
        <v>238</v>
      </c>
      <c r="D53" s="2" t="s">
        <v>138</v>
      </c>
      <c r="E53" s="2">
        <v>3.48</v>
      </c>
      <c r="F53" s="2">
        <v>-1.0</v>
      </c>
      <c r="G53" s="2">
        <v>4.48</v>
      </c>
      <c r="H53" s="2">
        <v>5.5</v>
      </c>
      <c r="I53" s="2">
        <v>-2.02</v>
      </c>
      <c r="J53" s="2">
        <v>44.79</v>
      </c>
      <c r="K53" s="2">
        <v>77.0</v>
      </c>
      <c r="L53" s="2">
        <v>32.21</v>
      </c>
      <c r="M53" s="2">
        <v>43.5</v>
      </c>
      <c r="N53" s="2">
        <v>1.29</v>
      </c>
      <c r="O53" s="2">
        <v>1.0</v>
      </c>
      <c r="P53" s="2">
        <v>1.0</v>
      </c>
    </row>
    <row r="54" ht="15.0" customHeight="1">
      <c r="A54" s="2">
        <v>8.0</v>
      </c>
      <c r="B54" s="2" t="s">
        <v>830</v>
      </c>
      <c r="C54" s="2" t="s">
        <v>246</v>
      </c>
      <c r="D54" s="2" t="s">
        <v>140</v>
      </c>
      <c r="E54" s="2">
        <v>2.37</v>
      </c>
      <c r="F54" s="2">
        <v>11.0</v>
      </c>
      <c r="G54" s="2">
        <v>8.63</v>
      </c>
      <c r="H54" s="2">
        <v>2.5</v>
      </c>
      <c r="I54" s="2">
        <v>-0.13</v>
      </c>
      <c r="J54" s="2">
        <v>32.23</v>
      </c>
      <c r="K54" s="2">
        <v>41.0</v>
      </c>
      <c r="L54" s="2">
        <v>8.77</v>
      </c>
      <c r="M54" s="2">
        <v>41.5</v>
      </c>
      <c r="N54" s="2">
        <v>-9.27</v>
      </c>
      <c r="O54" s="2">
        <v>0.0</v>
      </c>
      <c r="P54" s="2">
        <v>1.0</v>
      </c>
    </row>
    <row r="55" ht="15.0" customHeight="1">
      <c r="A55" s="2">
        <v>8.0</v>
      </c>
      <c r="B55" s="2" t="s">
        <v>832</v>
      </c>
      <c r="C55" s="2" t="s">
        <v>196</v>
      </c>
      <c r="D55" s="2" t="s">
        <v>145</v>
      </c>
      <c r="E55" s="2">
        <v>8.9</v>
      </c>
      <c r="F55" s="2">
        <v>19.0</v>
      </c>
      <c r="G55" s="2">
        <v>10.1</v>
      </c>
      <c r="H55" s="2">
        <v>7.0</v>
      </c>
      <c r="I55" s="2">
        <v>1.9</v>
      </c>
      <c r="J55" s="2">
        <v>32.54</v>
      </c>
      <c r="K55" s="2">
        <v>45.0</v>
      </c>
      <c r="L55" s="2">
        <v>12.46</v>
      </c>
      <c r="M55" s="2">
        <v>40.5</v>
      </c>
      <c r="N55" s="2">
        <v>-7.96</v>
      </c>
      <c r="O55" s="2">
        <v>1.0</v>
      </c>
      <c r="P55" s="2">
        <v>0.0</v>
      </c>
    </row>
    <row r="56" ht="15.0" customHeight="1">
      <c r="A56" s="2">
        <v>8.0</v>
      </c>
      <c r="B56" s="2" t="s">
        <v>834</v>
      </c>
      <c r="C56" s="2" t="s">
        <v>235</v>
      </c>
      <c r="D56" s="2" t="s">
        <v>147</v>
      </c>
      <c r="E56" s="2">
        <v>6.18</v>
      </c>
      <c r="F56" s="2">
        <v>18.0</v>
      </c>
      <c r="G56" s="2">
        <v>11.82</v>
      </c>
      <c r="H56" s="2">
        <v>7.0</v>
      </c>
      <c r="I56" s="2">
        <v>-0.82</v>
      </c>
      <c r="J56" s="2">
        <v>43.68</v>
      </c>
      <c r="K56" s="2">
        <v>58.0</v>
      </c>
      <c r="L56" s="2">
        <v>14.32</v>
      </c>
      <c r="M56" s="2">
        <v>43.5</v>
      </c>
      <c r="N56" s="2">
        <v>0.18</v>
      </c>
      <c r="O56" s="2">
        <v>0.0</v>
      </c>
      <c r="P56" s="2">
        <v>1.0</v>
      </c>
    </row>
    <row r="57" ht="15.0" customHeight="1">
      <c r="A57" s="2">
        <v>8.0</v>
      </c>
      <c r="B57" s="2" t="s">
        <v>836</v>
      </c>
      <c r="C57" s="2" t="s">
        <v>150</v>
      </c>
      <c r="D57" s="2" t="s">
        <v>232</v>
      </c>
      <c r="E57" s="2">
        <v>-5.28</v>
      </c>
      <c r="F57" s="2">
        <v>-20.0</v>
      </c>
      <c r="G57" s="2">
        <v>14.72</v>
      </c>
      <c r="H57" s="2">
        <v>-4.5</v>
      </c>
      <c r="I57" s="2">
        <v>-0.78</v>
      </c>
      <c r="J57" s="2">
        <v>50.02</v>
      </c>
      <c r="K57" s="2">
        <v>26.0</v>
      </c>
      <c r="L57" s="2">
        <v>24.02</v>
      </c>
      <c r="M57" s="2">
        <v>46.5</v>
      </c>
      <c r="N57" s="2">
        <v>3.52</v>
      </c>
      <c r="O57" s="2">
        <v>1.0</v>
      </c>
      <c r="P57" s="2">
        <v>0.0</v>
      </c>
    </row>
    <row r="58" ht="15.0" customHeight="1">
      <c r="A58" s="2">
        <v>8.0</v>
      </c>
      <c r="B58" s="2" t="s">
        <v>838</v>
      </c>
      <c r="C58" s="2" t="s">
        <v>146</v>
      </c>
      <c r="D58" s="2" t="s">
        <v>139</v>
      </c>
      <c r="E58" s="2">
        <v>1.68</v>
      </c>
      <c r="F58" s="2">
        <v>20.0</v>
      </c>
      <c r="G58" s="2">
        <v>18.32</v>
      </c>
      <c r="H58" s="2">
        <v>3.5</v>
      </c>
      <c r="I58" s="2">
        <v>-1.82</v>
      </c>
      <c r="J58" s="2">
        <v>53.58</v>
      </c>
      <c r="K58" s="2">
        <v>68.0</v>
      </c>
      <c r="L58" s="2">
        <v>14.42</v>
      </c>
      <c r="M58" s="2">
        <v>51.5</v>
      </c>
      <c r="N58" s="2">
        <v>2.08</v>
      </c>
      <c r="O58" s="2">
        <v>0.0</v>
      </c>
      <c r="P58" s="2">
        <v>1.0</v>
      </c>
    </row>
    <row r="59" ht="15.0" customHeight="1">
      <c r="A59" s="2">
        <v>8.0</v>
      </c>
      <c r="B59" s="2" t="s">
        <v>840</v>
      </c>
      <c r="C59" s="2" t="s">
        <v>250</v>
      </c>
      <c r="D59" s="2" t="s">
        <v>210</v>
      </c>
      <c r="E59" s="2">
        <v>14.42</v>
      </c>
      <c r="F59" s="2">
        <v>24.0</v>
      </c>
      <c r="G59" s="2">
        <v>9.58</v>
      </c>
      <c r="H59" s="2">
        <v>15.5</v>
      </c>
      <c r="I59" s="2">
        <v>-1.08</v>
      </c>
      <c r="J59" s="2">
        <v>53.14</v>
      </c>
      <c r="K59" s="2">
        <v>52.0</v>
      </c>
      <c r="L59" s="2">
        <v>1.14</v>
      </c>
      <c r="M59" s="2">
        <v>47.5</v>
      </c>
      <c r="N59" s="2">
        <v>5.64</v>
      </c>
      <c r="O59" s="2">
        <v>0.0</v>
      </c>
      <c r="P59" s="2">
        <v>1.0</v>
      </c>
    </row>
    <row r="60" ht="15.0" customHeight="1">
      <c r="A60" s="2">
        <v>8.0</v>
      </c>
      <c r="B60" s="2" t="s">
        <v>842</v>
      </c>
      <c r="C60" s="2" t="s">
        <v>205</v>
      </c>
      <c r="D60" s="2" t="s">
        <v>242</v>
      </c>
      <c r="E60" s="2">
        <v>-3.37</v>
      </c>
      <c r="F60" s="2">
        <v>-10.0</v>
      </c>
      <c r="G60" s="2">
        <v>6.63</v>
      </c>
      <c r="H60" s="2">
        <v>-3.0</v>
      </c>
      <c r="I60" s="2">
        <v>-0.37</v>
      </c>
      <c r="J60" s="2">
        <v>50.84</v>
      </c>
      <c r="K60" s="2">
        <v>60.0</v>
      </c>
      <c r="L60" s="2">
        <v>9.16</v>
      </c>
      <c r="M60" s="2">
        <v>46.5</v>
      </c>
      <c r="N60" s="2">
        <v>4.34</v>
      </c>
      <c r="O60" s="2">
        <v>1.0</v>
      </c>
      <c r="P60" s="2">
        <v>1.0</v>
      </c>
    </row>
    <row r="61" ht="15.0" customHeight="1">
      <c r="A61" s="2">
        <v>8.0</v>
      </c>
      <c r="B61" s="2" t="s">
        <v>844</v>
      </c>
      <c r="C61" s="2" t="s">
        <v>253</v>
      </c>
      <c r="D61" s="2" t="s">
        <v>143</v>
      </c>
      <c r="E61" s="2">
        <v>7.68</v>
      </c>
      <c r="F61" s="2">
        <v>21.0</v>
      </c>
      <c r="G61" s="2">
        <v>13.32</v>
      </c>
      <c r="H61" s="2">
        <v>10.5</v>
      </c>
      <c r="I61" s="2">
        <v>-2.82</v>
      </c>
      <c r="J61" s="2">
        <v>45.64</v>
      </c>
      <c r="K61" s="2">
        <v>35.0</v>
      </c>
      <c r="L61" s="2">
        <v>10.64</v>
      </c>
      <c r="M61" s="2">
        <v>48.5</v>
      </c>
      <c r="N61" s="2">
        <v>-2.86</v>
      </c>
      <c r="O61" s="2">
        <v>0.0</v>
      </c>
      <c r="P61" s="2">
        <v>1.0</v>
      </c>
    </row>
    <row r="62" ht="15.0" customHeight="1">
      <c r="A62" s="2">
        <v>9.0</v>
      </c>
      <c r="B62" s="2" t="s">
        <v>847</v>
      </c>
      <c r="C62" s="2" t="s">
        <v>148</v>
      </c>
      <c r="D62" s="2" t="s">
        <v>225</v>
      </c>
      <c r="E62" s="2">
        <v>-2.28</v>
      </c>
      <c r="F62" s="2">
        <v>-22.0</v>
      </c>
      <c r="G62" s="2">
        <v>19.72</v>
      </c>
      <c r="H62" s="2">
        <v>-7.5</v>
      </c>
      <c r="I62" s="2">
        <v>5.22</v>
      </c>
      <c r="J62" s="2">
        <v>58.8</v>
      </c>
      <c r="K62" s="2">
        <v>34.0</v>
      </c>
      <c r="L62" s="2">
        <v>24.8</v>
      </c>
      <c r="M62" s="2">
        <v>51.5</v>
      </c>
      <c r="N62" s="2">
        <v>7.3</v>
      </c>
      <c r="O62" s="2">
        <v>0.0</v>
      </c>
      <c r="P62" s="2">
        <v>0.0</v>
      </c>
    </row>
    <row r="63" ht="15.0" customHeight="1">
      <c r="A63" s="2">
        <v>9.0</v>
      </c>
      <c r="B63" s="2" t="s">
        <v>850</v>
      </c>
      <c r="C63" s="2" t="s">
        <v>137</v>
      </c>
      <c r="D63" s="2" t="s">
        <v>138</v>
      </c>
      <c r="E63" s="2">
        <v>-4.21</v>
      </c>
      <c r="F63" s="2">
        <v>-5.0</v>
      </c>
      <c r="G63" s="2">
        <v>0.79</v>
      </c>
      <c r="H63" s="2">
        <v>-3.0</v>
      </c>
      <c r="I63" s="2">
        <v>-1.21</v>
      </c>
      <c r="J63" s="2">
        <v>54.87</v>
      </c>
      <c r="K63" s="2">
        <v>89.0</v>
      </c>
      <c r="L63" s="2">
        <v>34.13</v>
      </c>
      <c r="M63" s="2">
        <v>51.5</v>
      </c>
      <c r="N63" s="2">
        <v>3.37</v>
      </c>
      <c r="O63" s="2">
        <v>1.0</v>
      </c>
      <c r="P63" s="2">
        <v>1.0</v>
      </c>
    </row>
    <row r="64" ht="15.0" customHeight="1">
      <c r="A64" s="2">
        <v>9.0</v>
      </c>
      <c r="B64" s="2" t="s">
        <v>853</v>
      </c>
      <c r="C64" s="2" t="s">
        <v>144</v>
      </c>
      <c r="D64" s="2" t="s">
        <v>202</v>
      </c>
      <c r="E64" s="2">
        <v>14.28</v>
      </c>
      <c r="F64" s="2">
        <v>-3.0</v>
      </c>
      <c r="G64" s="2">
        <v>17.28</v>
      </c>
      <c r="H64" s="2">
        <v>9.5</v>
      </c>
      <c r="I64" s="2">
        <v>4.78</v>
      </c>
      <c r="J64" s="2">
        <v>48.71</v>
      </c>
      <c r="K64" s="2">
        <v>51.0</v>
      </c>
      <c r="L64" s="2">
        <v>2.29</v>
      </c>
      <c r="M64" s="2">
        <v>47.5</v>
      </c>
      <c r="N64" s="2">
        <v>1.21</v>
      </c>
      <c r="O64" s="2">
        <v>0.0</v>
      </c>
      <c r="P64" s="2">
        <v>1.0</v>
      </c>
    </row>
    <row r="65" ht="15.0" customHeight="1">
      <c r="A65" s="2">
        <v>9.0</v>
      </c>
      <c r="B65" s="2" t="s">
        <v>855</v>
      </c>
      <c r="C65" s="2" t="s">
        <v>189</v>
      </c>
      <c r="D65" s="2" t="s">
        <v>205</v>
      </c>
      <c r="E65" s="2">
        <v>11.36</v>
      </c>
      <c r="F65" s="2">
        <v>-3.0</v>
      </c>
      <c r="G65" s="2">
        <v>14.36</v>
      </c>
      <c r="H65" s="2">
        <v>12.5</v>
      </c>
      <c r="I65" s="2">
        <v>-1.14</v>
      </c>
      <c r="J65" s="2">
        <v>42.68</v>
      </c>
      <c r="K65" s="2">
        <v>29.0</v>
      </c>
      <c r="L65" s="2">
        <v>13.68</v>
      </c>
      <c r="M65" s="2">
        <v>43.5</v>
      </c>
      <c r="N65" s="2">
        <v>-0.82</v>
      </c>
      <c r="O65" s="2">
        <v>1.0</v>
      </c>
      <c r="P65" s="2">
        <v>1.0</v>
      </c>
    </row>
    <row r="66" ht="15.0" customHeight="1">
      <c r="A66" s="2">
        <v>9.0</v>
      </c>
      <c r="B66" s="2" t="s">
        <v>857</v>
      </c>
      <c r="C66" s="2" t="s">
        <v>139</v>
      </c>
      <c r="D66" s="2" t="s">
        <v>140</v>
      </c>
      <c r="E66" s="2">
        <v>1.54</v>
      </c>
      <c r="F66" s="2">
        <v>-3.0</v>
      </c>
      <c r="G66" s="2">
        <v>4.54</v>
      </c>
      <c r="H66" s="2">
        <v>1.5</v>
      </c>
      <c r="I66" s="2">
        <v>0.04</v>
      </c>
      <c r="J66" s="2">
        <v>33.6</v>
      </c>
      <c r="K66" s="2">
        <v>33.0</v>
      </c>
      <c r="L66" s="2">
        <v>0.6</v>
      </c>
      <c r="M66" s="2">
        <v>40.5</v>
      </c>
      <c r="N66" s="2">
        <v>-6.9</v>
      </c>
      <c r="O66" s="2">
        <v>0.0</v>
      </c>
      <c r="P66" s="2">
        <v>1.0</v>
      </c>
    </row>
    <row r="67" ht="15.0" customHeight="1">
      <c r="A67" s="2">
        <v>9.0</v>
      </c>
      <c r="B67" s="2" t="s">
        <v>859</v>
      </c>
      <c r="C67" s="2" t="s">
        <v>132</v>
      </c>
      <c r="D67" s="2" t="s">
        <v>145</v>
      </c>
      <c r="E67" s="2">
        <v>7.38</v>
      </c>
      <c r="F67" s="2">
        <v>1.0</v>
      </c>
      <c r="G67" s="2">
        <v>6.38</v>
      </c>
      <c r="H67" s="2">
        <v>5.5</v>
      </c>
      <c r="I67" s="2">
        <v>1.88</v>
      </c>
      <c r="J67" s="2">
        <v>40.08</v>
      </c>
      <c r="K67" s="2">
        <v>47.0</v>
      </c>
      <c r="L67" s="2">
        <v>6.92</v>
      </c>
      <c r="M67" s="2">
        <v>45.5</v>
      </c>
      <c r="N67" s="2">
        <v>-5.42</v>
      </c>
      <c r="O67" s="2">
        <v>0.0</v>
      </c>
      <c r="P67" s="2">
        <v>0.0</v>
      </c>
    </row>
    <row r="68" ht="15.0" customHeight="1">
      <c r="A68" s="2">
        <v>9.0</v>
      </c>
      <c r="B68" s="2" t="s">
        <v>861</v>
      </c>
      <c r="C68" s="2" t="s">
        <v>246</v>
      </c>
      <c r="D68" s="2" t="s">
        <v>235</v>
      </c>
      <c r="E68" s="2">
        <v>-1.52</v>
      </c>
      <c r="F68" s="2">
        <v>-10.0</v>
      </c>
      <c r="G68" s="2">
        <v>8.48</v>
      </c>
      <c r="H68" s="2">
        <v>-2.5</v>
      </c>
      <c r="I68" s="2">
        <v>0.98</v>
      </c>
      <c r="J68" s="2">
        <v>44.42</v>
      </c>
      <c r="K68" s="2">
        <v>58.0</v>
      </c>
      <c r="L68" s="2">
        <v>13.58</v>
      </c>
      <c r="M68" s="2">
        <v>47.5</v>
      </c>
      <c r="N68" s="2">
        <v>-3.08</v>
      </c>
      <c r="O68" s="2">
        <v>0.0</v>
      </c>
      <c r="P68" s="2">
        <v>0.0</v>
      </c>
    </row>
    <row r="69" ht="15.0" customHeight="1">
      <c r="A69" s="2">
        <v>9.0</v>
      </c>
      <c r="B69" s="2" t="s">
        <v>863</v>
      </c>
      <c r="C69" s="2" t="s">
        <v>210</v>
      </c>
      <c r="D69" s="2" t="s">
        <v>242</v>
      </c>
      <c r="E69" s="2">
        <v>-7.06</v>
      </c>
      <c r="F69" s="2">
        <v>7.0</v>
      </c>
      <c r="G69" s="2">
        <v>14.06</v>
      </c>
      <c r="H69" s="2">
        <v>-3.5</v>
      </c>
      <c r="I69" s="2">
        <v>-3.56</v>
      </c>
      <c r="J69" s="2">
        <v>62.33</v>
      </c>
      <c r="K69" s="2">
        <v>47.0</v>
      </c>
      <c r="L69" s="2">
        <v>15.33</v>
      </c>
      <c r="M69" s="2">
        <v>51.5</v>
      </c>
      <c r="N69" s="2">
        <v>10.83</v>
      </c>
      <c r="O69" s="2">
        <v>0.0</v>
      </c>
      <c r="P69" s="2">
        <v>0.0</v>
      </c>
    </row>
    <row r="70" ht="15.0" customHeight="1">
      <c r="A70" s="2">
        <v>9.0</v>
      </c>
      <c r="B70" s="2" t="s">
        <v>865</v>
      </c>
      <c r="C70" s="2" t="s">
        <v>220</v>
      </c>
      <c r="D70" s="2" t="s">
        <v>250</v>
      </c>
      <c r="E70" s="2">
        <v>-5.67</v>
      </c>
      <c r="F70" s="2">
        <v>-7.0</v>
      </c>
      <c r="G70" s="2">
        <v>1.33</v>
      </c>
      <c r="H70" s="2">
        <v>-10.0</v>
      </c>
      <c r="I70" s="2">
        <v>4.33</v>
      </c>
      <c r="J70" s="2">
        <v>43.9</v>
      </c>
      <c r="K70" s="2">
        <v>47.0</v>
      </c>
      <c r="L70" s="2">
        <v>3.1</v>
      </c>
      <c r="M70" s="2">
        <v>44.5</v>
      </c>
      <c r="N70" s="2">
        <v>-0.6</v>
      </c>
      <c r="O70" s="2">
        <v>1.0</v>
      </c>
      <c r="P70" s="2">
        <v>0.0</v>
      </c>
    </row>
    <row r="71" ht="15.0" customHeight="1">
      <c r="A71" s="2">
        <v>9.0</v>
      </c>
      <c r="B71" s="2" t="s">
        <v>867</v>
      </c>
      <c r="C71" s="2" t="s">
        <v>232</v>
      </c>
      <c r="D71" s="2" t="s">
        <v>142</v>
      </c>
      <c r="E71" s="2">
        <v>15.12</v>
      </c>
      <c r="F71" s="2">
        <v>24.0</v>
      </c>
      <c r="G71" s="2">
        <v>8.88</v>
      </c>
      <c r="H71" s="2">
        <v>14.0</v>
      </c>
      <c r="I71" s="2">
        <v>1.12</v>
      </c>
      <c r="J71" s="2">
        <v>36.72</v>
      </c>
      <c r="K71" s="2">
        <v>44.0</v>
      </c>
      <c r="L71" s="2">
        <v>7.28</v>
      </c>
      <c r="M71" s="2">
        <v>44.5</v>
      </c>
      <c r="N71" s="2">
        <v>-7.78</v>
      </c>
      <c r="O71" s="2">
        <v>1.0</v>
      </c>
      <c r="P71" s="2">
        <v>1.0</v>
      </c>
    </row>
    <row r="72" ht="15.0" customHeight="1">
      <c r="A72" s="2">
        <v>9.0</v>
      </c>
      <c r="B72" s="2" t="s">
        <v>870</v>
      </c>
      <c r="C72" s="2" t="s">
        <v>141</v>
      </c>
      <c r="D72" s="2" t="s">
        <v>222</v>
      </c>
      <c r="E72" s="2">
        <v>-3.43</v>
      </c>
      <c r="F72" s="2">
        <v>-1.0</v>
      </c>
      <c r="G72" s="2">
        <v>2.43</v>
      </c>
      <c r="H72" s="2">
        <v>-2.5</v>
      </c>
      <c r="I72" s="2">
        <v>-0.93</v>
      </c>
      <c r="J72" s="2">
        <v>38.84</v>
      </c>
      <c r="K72" s="2">
        <v>59.0</v>
      </c>
      <c r="L72" s="2">
        <v>20.16</v>
      </c>
      <c r="M72" s="2">
        <v>43.5</v>
      </c>
      <c r="N72" s="2">
        <v>-4.66</v>
      </c>
      <c r="O72" s="2">
        <v>0.0</v>
      </c>
      <c r="P72" s="2">
        <v>0.0</v>
      </c>
    </row>
    <row r="73" ht="15.0" customHeight="1">
      <c r="A73" s="2">
        <v>9.0</v>
      </c>
      <c r="B73" s="2" t="s">
        <v>872</v>
      </c>
      <c r="C73" s="2" t="s">
        <v>143</v>
      </c>
      <c r="D73" s="2" t="s">
        <v>136</v>
      </c>
      <c r="E73" s="2">
        <v>-5.34</v>
      </c>
      <c r="F73" s="2">
        <v>7.0</v>
      </c>
      <c r="G73" s="2">
        <v>12.34</v>
      </c>
      <c r="H73" s="2">
        <v>-2.5</v>
      </c>
      <c r="I73" s="2">
        <v>-2.84</v>
      </c>
      <c r="J73" s="2">
        <v>46.99</v>
      </c>
      <c r="K73" s="2">
        <v>49.0</v>
      </c>
      <c r="L73" s="2">
        <v>2.01</v>
      </c>
      <c r="M73" s="2">
        <v>53.5</v>
      </c>
      <c r="N73" s="2">
        <v>-6.51</v>
      </c>
      <c r="O73" s="2">
        <v>0.0</v>
      </c>
      <c r="P73" s="2">
        <v>1.0</v>
      </c>
    </row>
    <row r="74" ht="15.0" customHeight="1">
      <c r="A74" s="2">
        <v>9.0</v>
      </c>
      <c r="B74" s="2" t="s">
        <v>874</v>
      </c>
      <c r="C74" s="2" t="s">
        <v>149</v>
      </c>
      <c r="D74" s="2" t="s">
        <v>253</v>
      </c>
      <c r="E74" s="2">
        <v>-5.27</v>
      </c>
      <c r="F74" s="2">
        <v>-24.0</v>
      </c>
      <c r="G74" s="2">
        <v>18.73</v>
      </c>
      <c r="H74" s="2">
        <v>-2.5</v>
      </c>
      <c r="I74" s="2">
        <v>-2.77</v>
      </c>
      <c r="J74" s="2">
        <v>50.86</v>
      </c>
      <c r="K74" s="2">
        <v>52.0</v>
      </c>
      <c r="L74" s="2">
        <v>1.14</v>
      </c>
      <c r="M74" s="2">
        <v>47.5</v>
      </c>
      <c r="N74" s="2">
        <v>3.36</v>
      </c>
      <c r="O74" s="2">
        <v>1.0</v>
      </c>
      <c r="P74" s="2">
        <v>1.0</v>
      </c>
    </row>
    <row r="75" ht="15.0" customHeight="1">
      <c r="A75" s="2">
        <v>9.0</v>
      </c>
      <c r="B75" s="2" t="s">
        <v>876</v>
      </c>
      <c r="C75" s="2" t="s">
        <v>178</v>
      </c>
      <c r="D75" s="2" t="s">
        <v>146</v>
      </c>
      <c r="E75" s="2">
        <v>1.82</v>
      </c>
      <c r="F75" s="2">
        <v>-10.0</v>
      </c>
      <c r="G75" s="2">
        <v>11.82</v>
      </c>
      <c r="H75" s="2">
        <v>3.5</v>
      </c>
      <c r="I75" s="2">
        <v>-1.68</v>
      </c>
      <c r="J75" s="2">
        <v>57.34</v>
      </c>
      <c r="K75" s="2">
        <v>44.0</v>
      </c>
      <c r="L75" s="2">
        <v>13.34</v>
      </c>
      <c r="M75" s="2">
        <v>53.5</v>
      </c>
      <c r="N75" s="2">
        <v>3.84</v>
      </c>
      <c r="O75" s="2">
        <v>1.0</v>
      </c>
      <c r="P75" s="2">
        <v>0.0</v>
      </c>
    </row>
    <row r="76" ht="15.0" customHeight="1">
      <c r="A76" s="2">
        <v>10.0</v>
      </c>
      <c r="B76" s="2" t="s">
        <v>879</v>
      </c>
      <c r="C76" s="2" t="s">
        <v>222</v>
      </c>
      <c r="D76" s="2" t="s">
        <v>139</v>
      </c>
      <c r="E76" s="2">
        <v>10.46</v>
      </c>
      <c r="F76" s="2">
        <v>3.0</v>
      </c>
      <c r="G76" s="2">
        <v>7.46</v>
      </c>
      <c r="H76" s="2">
        <v>9.5</v>
      </c>
      <c r="I76" s="2">
        <v>0.96</v>
      </c>
      <c r="J76" s="2">
        <v>38.11</v>
      </c>
      <c r="K76" s="2">
        <v>17.0</v>
      </c>
      <c r="L76" s="2">
        <v>21.11</v>
      </c>
      <c r="M76" s="2">
        <v>42.5</v>
      </c>
      <c r="N76" s="2">
        <v>-4.39</v>
      </c>
      <c r="O76" s="2">
        <v>0.0</v>
      </c>
      <c r="P76" s="2">
        <v>1.0</v>
      </c>
    </row>
    <row r="77" ht="15.0" customHeight="1">
      <c r="A77" s="2">
        <v>10.0</v>
      </c>
      <c r="B77" s="2" t="s">
        <v>882</v>
      </c>
      <c r="C77" s="2" t="s">
        <v>132</v>
      </c>
      <c r="D77" s="2" t="s">
        <v>210</v>
      </c>
      <c r="E77" s="2">
        <v>7.54</v>
      </c>
      <c r="F77" s="2">
        <v>6.0</v>
      </c>
      <c r="G77" s="2">
        <v>1.54</v>
      </c>
      <c r="H77" s="2">
        <v>6.5</v>
      </c>
      <c r="I77" s="2">
        <v>1.04</v>
      </c>
      <c r="J77" s="2">
        <v>50.18</v>
      </c>
      <c r="K77" s="2">
        <v>56.0</v>
      </c>
      <c r="L77" s="2">
        <v>5.82</v>
      </c>
      <c r="M77" s="2">
        <v>48.5</v>
      </c>
      <c r="N77" s="2">
        <v>1.68</v>
      </c>
      <c r="O77" s="2">
        <v>0.0</v>
      </c>
      <c r="P77" s="2">
        <v>1.0</v>
      </c>
    </row>
    <row r="78" ht="15.0" customHeight="1">
      <c r="A78" s="2">
        <v>10.0</v>
      </c>
      <c r="B78" s="2" t="s">
        <v>885</v>
      </c>
      <c r="C78" s="2" t="s">
        <v>232</v>
      </c>
      <c r="D78" s="2" t="s">
        <v>189</v>
      </c>
      <c r="E78" s="2">
        <v>5.95</v>
      </c>
      <c r="F78" s="2">
        <v>-10.0</v>
      </c>
      <c r="G78" s="2">
        <v>15.95</v>
      </c>
      <c r="H78" s="2">
        <v>5.5</v>
      </c>
      <c r="I78" s="2">
        <v>0.45</v>
      </c>
      <c r="J78" s="2">
        <v>36.7</v>
      </c>
      <c r="K78" s="2">
        <v>24.0</v>
      </c>
      <c r="L78" s="2">
        <v>12.7</v>
      </c>
      <c r="M78" s="2">
        <v>38.5</v>
      </c>
      <c r="N78" s="2">
        <v>-1.8</v>
      </c>
      <c r="O78" s="2">
        <v>0.0</v>
      </c>
      <c r="P78" s="2">
        <v>1.0</v>
      </c>
    </row>
    <row r="79" ht="15.0" customHeight="1">
      <c r="A79" s="2">
        <v>10.0</v>
      </c>
      <c r="B79" s="2" t="s">
        <v>887</v>
      </c>
      <c r="C79" s="2" t="s">
        <v>235</v>
      </c>
      <c r="D79" s="2" t="s">
        <v>137</v>
      </c>
      <c r="E79" s="2">
        <v>5.1</v>
      </c>
      <c r="F79" s="2">
        <v>4.0</v>
      </c>
      <c r="G79" s="2">
        <v>1.1</v>
      </c>
      <c r="H79" s="2">
        <v>4.5</v>
      </c>
      <c r="I79" s="2">
        <v>0.6</v>
      </c>
      <c r="J79" s="2">
        <v>53.63</v>
      </c>
      <c r="K79" s="2">
        <v>44.0</v>
      </c>
      <c r="L79" s="2">
        <v>9.63</v>
      </c>
      <c r="M79" s="2">
        <v>45.5</v>
      </c>
      <c r="N79" s="2">
        <v>8.13</v>
      </c>
      <c r="O79" s="2">
        <v>0.0</v>
      </c>
      <c r="P79" s="2">
        <v>0.0</v>
      </c>
    </row>
    <row r="80" ht="15.0" customHeight="1">
      <c r="A80" s="2">
        <v>10.0</v>
      </c>
      <c r="B80" s="2" t="s">
        <v>889</v>
      </c>
      <c r="C80" s="2" t="s">
        <v>141</v>
      </c>
      <c r="D80" s="2" t="s">
        <v>140</v>
      </c>
      <c r="E80" s="2">
        <v>4.41</v>
      </c>
      <c r="F80" s="2">
        <v>7.0</v>
      </c>
      <c r="G80" s="2">
        <v>2.59</v>
      </c>
      <c r="H80" s="2">
        <v>-1.5</v>
      </c>
      <c r="I80" s="2">
        <v>5.91</v>
      </c>
      <c r="J80" s="2">
        <v>37.92</v>
      </c>
      <c r="K80" s="2">
        <v>65.0</v>
      </c>
      <c r="L80" s="2">
        <v>27.08</v>
      </c>
      <c r="M80" s="2">
        <v>37.5</v>
      </c>
      <c r="N80" s="2">
        <v>0.42</v>
      </c>
      <c r="O80" s="2">
        <v>1.0</v>
      </c>
      <c r="P80" s="2">
        <v>1.0</v>
      </c>
    </row>
    <row r="81" ht="15.0" customHeight="1">
      <c r="A81" s="2">
        <v>10.0</v>
      </c>
      <c r="B81" s="2" t="s">
        <v>893</v>
      </c>
      <c r="C81" s="2" t="s">
        <v>136</v>
      </c>
      <c r="D81" s="2" t="s">
        <v>225</v>
      </c>
      <c r="E81" s="2">
        <v>-7.12</v>
      </c>
      <c r="F81" s="2">
        <v>17.0</v>
      </c>
      <c r="G81" s="2">
        <v>24.12</v>
      </c>
      <c r="H81" s="2">
        <v>-8.5</v>
      </c>
      <c r="I81" s="2">
        <v>1.38</v>
      </c>
      <c r="J81" s="2">
        <v>53.48</v>
      </c>
      <c r="K81" s="2">
        <v>43.0</v>
      </c>
      <c r="L81" s="2">
        <v>10.48</v>
      </c>
      <c r="M81" s="2">
        <v>50.5</v>
      </c>
      <c r="N81" s="2">
        <v>2.98</v>
      </c>
      <c r="O81" s="2">
        <v>1.0</v>
      </c>
      <c r="P81" s="2">
        <v>0.0</v>
      </c>
    </row>
    <row r="82" ht="15.0" customHeight="1">
      <c r="A82" s="2">
        <v>10.0</v>
      </c>
      <c r="B82" s="2" t="s">
        <v>895</v>
      </c>
      <c r="C82" s="2" t="s">
        <v>148</v>
      </c>
      <c r="D82" s="2" t="s">
        <v>144</v>
      </c>
      <c r="E82" s="2">
        <v>-3.37</v>
      </c>
      <c r="F82" s="2">
        <v>-8.0</v>
      </c>
      <c r="G82" s="2">
        <v>4.63</v>
      </c>
      <c r="H82" s="2">
        <v>-4.5</v>
      </c>
      <c r="I82" s="2">
        <v>1.13</v>
      </c>
      <c r="J82" s="2">
        <v>50.06</v>
      </c>
      <c r="K82" s="2">
        <v>46.0</v>
      </c>
      <c r="L82" s="2">
        <v>4.06</v>
      </c>
      <c r="M82" s="2">
        <v>48.5</v>
      </c>
      <c r="N82" s="2">
        <v>1.56</v>
      </c>
      <c r="O82" s="2">
        <v>0.0</v>
      </c>
      <c r="P82" s="2">
        <v>0.0</v>
      </c>
    </row>
    <row r="83" ht="15.0" customHeight="1">
      <c r="A83" s="2">
        <v>10.0</v>
      </c>
      <c r="B83" s="2" t="s">
        <v>897</v>
      </c>
      <c r="C83" s="2" t="s">
        <v>196</v>
      </c>
      <c r="D83" s="2" t="s">
        <v>238</v>
      </c>
      <c r="E83" s="2">
        <v>1.8</v>
      </c>
      <c r="F83" s="2">
        <v>7.0</v>
      </c>
      <c r="G83" s="2">
        <v>5.2</v>
      </c>
      <c r="H83" s="2">
        <v>-1.5</v>
      </c>
      <c r="I83" s="2">
        <v>3.3</v>
      </c>
      <c r="J83" s="2">
        <v>34.26</v>
      </c>
      <c r="K83" s="2">
        <v>47.0</v>
      </c>
      <c r="L83" s="2">
        <v>12.74</v>
      </c>
      <c r="M83" s="2">
        <v>37.5</v>
      </c>
      <c r="N83" s="2">
        <v>-3.24</v>
      </c>
      <c r="O83" s="2">
        <v>1.0</v>
      </c>
      <c r="P83" s="2">
        <v>0.0</v>
      </c>
    </row>
    <row r="84" ht="15.0" customHeight="1">
      <c r="A84" s="2">
        <v>10.0</v>
      </c>
      <c r="B84" s="2" t="s">
        <v>899</v>
      </c>
      <c r="C84" s="2" t="s">
        <v>145</v>
      </c>
      <c r="D84" s="2" t="s">
        <v>150</v>
      </c>
      <c r="E84" s="2">
        <v>4.03</v>
      </c>
      <c r="F84" s="2">
        <v>-5.0</v>
      </c>
      <c r="G84" s="2">
        <v>9.03</v>
      </c>
      <c r="H84" s="2">
        <v>2.5</v>
      </c>
      <c r="I84" s="2">
        <v>1.53</v>
      </c>
      <c r="J84" s="2">
        <v>48.66</v>
      </c>
      <c r="K84" s="2">
        <v>51.0</v>
      </c>
      <c r="L84" s="2">
        <v>2.34</v>
      </c>
      <c r="M84" s="2">
        <v>48.5</v>
      </c>
      <c r="N84" s="2">
        <v>0.16</v>
      </c>
      <c r="O84" s="2">
        <v>0.0</v>
      </c>
      <c r="P84" s="2">
        <v>1.0</v>
      </c>
    </row>
    <row r="85" ht="15.0" customHeight="1">
      <c r="A85" s="2">
        <v>10.0</v>
      </c>
      <c r="B85" s="2" t="s">
        <v>901</v>
      </c>
      <c r="C85" s="2" t="s">
        <v>178</v>
      </c>
      <c r="D85" s="2" t="s">
        <v>149</v>
      </c>
      <c r="E85" s="2">
        <v>7.62</v>
      </c>
      <c r="F85" s="2">
        <v>22.0</v>
      </c>
      <c r="G85" s="2">
        <v>14.38</v>
      </c>
      <c r="H85" s="2">
        <v>7.0</v>
      </c>
      <c r="I85" s="2">
        <v>0.62</v>
      </c>
      <c r="J85" s="2">
        <v>46.46</v>
      </c>
      <c r="K85" s="2">
        <v>66.0</v>
      </c>
      <c r="L85" s="2">
        <v>19.54</v>
      </c>
      <c r="M85" s="2">
        <v>44.5</v>
      </c>
      <c r="N85" s="2">
        <v>1.96</v>
      </c>
      <c r="O85" s="2">
        <v>1.0</v>
      </c>
      <c r="P85" s="2">
        <v>1.0</v>
      </c>
    </row>
    <row r="86" ht="15.0" customHeight="1">
      <c r="A86" s="2">
        <v>10.0</v>
      </c>
      <c r="B86" s="2" t="s">
        <v>903</v>
      </c>
      <c r="C86" s="2" t="s">
        <v>142</v>
      </c>
      <c r="D86" s="2" t="s">
        <v>246</v>
      </c>
      <c r="E86" s="2">
        <v>-4.49</v>
      </c>
      <c r="F86" s="2">
        <v>-16.0</v>
      </c>
      <c r="G86" s="2">
        <v>11.51</v>
      </c>
      <c r="H86" s="2">
        <v>-5.5</v>
      </c>
      <c r="I86" s="2">
        <v>1.01</v>
      </c>
      <c r="J86" s="2">
        <v>42.74</v>
      </c>
      <c r="K86" s="2">
        <v>68.0</v>
      </c>
      <c r="L86" s="2">
        <v>25.26</v>
      </c>
      <c r="M86" s="2">
        <v>49.5</v>
      </c>
      <c r="N86" s="2">
        <v>-6.76</v>
      </c>
      <c r="O86" s="2">
        <v>0.0</v>
      </c>
      <c r="P86" s="2">
        <v>0.0</v>
      </c>
    </row>
    <row r="87" ht="15.0" customHeight="1">
      <c r="A87" s="2">
        <v>10.0</v>
      </c>
      <c r="B87" s="2" t="s">
        <v>905</v>
      </c>
      <c r="C87" s="2" t="s">
        <v>202</v>
      </c>
      <c r="D87" s="2" t="s">
        <v>253</v>
      </c>
      <c r="E87" s="2">
        <v>-6.38</v>
      </c>
      <c r="F87" s="2">
        <v>-22.0</v>
      </c>
      <c r="G87" s="2">
        <v>15.62</v>
      </c>
      <c r="H87" s="2">
        <v>-8.5</v>
      </c>
      <c r="I87" s="2">
        <v>2.12</v>
      </c>
      <c r="J87" s="2">
        <v>54.73</v>
      </c>
      <c r="K87" s="2">
        <v>66.0</v>
      </c>
      <c r="L87" s="2">
        <v>11.27</v>
      </c>
      <c r="M87" s="2">
        <v>49.5</v>
      </c>
      <c r="N87" s="2">
        <v>5.23</v>
      </c>
      <c r="O87" s="2">
        <v>0.0</v>
      </c>
      <c r="P87" s="2">
        <v>1.0</v>
      </c>
    </row>
    <row r="88" ht="15.0" customHeight="1">
      <c r="A88" s="2">
        <v>10.0</v>
      </c>
      <c r="B88" s="2" t="s">
        <v>907</v>
      </c>
      <c r="C88" s="2" t="s">
        <v>242</v>
      </c>
      <c r="D88" s="2" t="s">
        <v>220</v>
      </c>
      <c r="E88" s="2">
        <v>2.1</v>
      </c>
      <c r="F88" s="2">
        <v>15.0</v>
      </c>
      <c r="G88" s="2">
        <v>12.9</v>
      </c>
      <c r="H88" s="2">
        <v>3.0</v>
      </c>
      <c r="I88" s="2">
        <v>-0.9</v>
      </c>
      <c r="J88" s="2">
        <v>48.17</v>
      </c>
      <c r="K88" s="2">
        <v>35.0</v>
      </c>
      <c r="L88" s="2">
        <v>13.17</v>
      </c>
      <c r="M88" s="2">
        <v>45.5</v>
      </c>
      <c r="N88" s="2">
        <v>2.67</v>
      </c>
      <c r="O88" s="2">
        <v>0.0</v>
      </c>
      <c r="P88" s="2">
        <v>0.0</v>
      </c>
    </row>
    <row r="89" ht="15.0" customHeight="1">
      <c r="A89" s="2">
        <v>10.0</v>
      </c>
      <c r="B89" s="2" t="s">
        <v>909</v>
      </c>
      <c r="C89" s="2" t="s">
        <v>147</v>
      </c>
      <c r="D89" s="2" t="s">
        <v>205</v>
      </c>
      <c r="E89" s="2">
        <v>0.52</v>
      </c>
      <c r="F89" s="2">
        <v>-3.0</v>
      </c>
      <c r="G89" s="2">
        <v>3.52</v>
      </c>
      <c r="H89" s="2">
        <v>1.5</v>
      </c>
      <c r="I89" s="2">
        <v>-0.98</v>
      </c>
      <c r="J89" s="2">
        <v>47.85</v>
      </c>
      <c r="K89" s="2">
        <v>17.0</v>
      </c>
      <c r="L89" s="2">
        <v>30.85</v>
      </c>
      <c r="M89" s="2">
        <v>45.5</v>
      </c>
      <c r="N89" s="2">
        <v>2.35</v>
      </c>
      <c r="O89" s="2">
        <v>1.0</v>
      </c>
      <c r="P89" s="2">
        <v>0.0</v>
      </c>
    </row>
    <row r="90" ht="15.0" customHeight="1">
      <c r="A90" s="2">
        <v>11.0</v>
      </c>
      <c r="B90" s="2" t="s">
        <v>912</v>
      </c>
      <c r="C90" s="2" t="s">
        <v>238</v>
      </c>
      <c r="D90" s="2" t="s">
        <v>145</v>
      </c>
      <c r="E90" s="2">
        <v>10.15</v>
      </c>
      <c r="F90" s="2">
        <v>13.0</v>
      </c>
      <c r="G90" s="2">
        <v>2.85</v>
      </c>
      <c r="H90" s="2">
        <v>12.5</v>
      </c>
      <c r="I90" s="2">
        <v>-2.35</v>
      </c>
      <c r="J90" s="2">
        <v>48.33</v>
      </c>
      <c r="K90" s="2">
        <v>41.0</v>
      </c>
      <c r="L90" s="2">
        <v>7.33</v>
      </c>
      <c r="M90" s="2">
        <v>43.5</v>
      </c>
      <c r="N90" s="2">
        <v>4.83</v>
      </c>
      <c r="O90" s="2">
        <v>0.0</v>
      </c>
      <c r="P90" s="2">
        <v>0.0</v>
      </c>
    </row>
    <row r="91" ht="15.0" customHeight="1">
      <c r="A91" s="2">
        <v>11.0</v>
      </c>
      <c r="B91" s="2" t="s">
        <v>915</v>
      </c>
      <c r="C91" s="2" t="s">
        <v>253</v>
      </c>
      <c r="D91" s="2" t="s">
        <v>225</v>
      </c>
      <c r="E91" s="2">
        <v>1.37</v>
      </c>
      <c r="F91" s="2">
        <v>3.0</v>
      </c>
      <c r="G91" s="2">
        <v>1.63</v>
      </c>
      <c r="H91" s="2">
        <v>2.5</v>
      </c>
      <c r="I91" s="2">
        <v>-1.13</v>
      </c>
      <c r="J91" s="2">
        <v>50.61</v>
      </c>
      <c r="K91" s="2">
        <v>29.0</v>
      </c>
      <c r="L91" s="2">
        <v>21.61</v>
      </c>
      <c r="M91" s="2">
        <v>47.5</v>
      </c>
      <c r="N91" s="2">
        <v>3.11</v>
      </c>
      <c r="O91" s="2">
        <v>0.0</v>
      </c>
      <c r="P91" s="2">
        <v>0.0</v>
      </c>
    </row>
    <row r="92" ht="15.0" customHeight="1">
      <c r="A92" s="2">
        <v>11.0</v>
      </c>
      <c r="B92" s="2" t="s">
        <v>918</v>
      </c>
      <c r="C92" s="2" t="s">
        <v>189</v>
      </c>
      <c r="D92" s="2" t="s">
        <v>132</v>
      </c>
      <c r="E92" s="2">
        <v>2.8</v>
      </c>
      <c r="F92" s="2">
        <v>-3.0</v>
      </c>
      <c r="G92" s="2">
        <v>5.8</v>
      </c>
      <c r="H92" s="2">
        <v>4.5</v>
      </c>
      <c r="I92" s="2">
        <v>-1.7</v>
      </c>
      <c r="J92" s="2">
        <v>35.64</v>
      </c>
      <c r="K92" s="2">
        <v>57.0</v>
      </c>
      <c r="L92" s="2">
        <v>21.36</v>
      </c>
      <c r="M92" s="2">
        <v>42.5</v>
      </c>
      <c r="N92" s="2">
        <v>-6.86</v>
      </c>
      <c r="O92" s="2">
        <v>1.0</v>
      </c>
      <c r="P92" s="2">
        <v>0.0</v>
      </c>
    </row>
    <row r="93" ht="15.0" customHeight="1">
      <c r="A93" s="2">
        <v>11.0</v>
      </c>
      <c r="B93" s="2" t="s">
        <v>920</v>
      </c>
      <c r="C93" s="2" t="s">
        <v>150</v>
      </c>
      <c r="D93" s="2" t="s">
        <v>136</v>
      </c>
      <c r="E93" s="2">
        <v>0.66</v>
      </c>
      <c r="F93" s="2">
        <v>12.0</v>
      </c>
      <c r="G93" s="2">
        <v>11.34</v>
      </c>
      <c r="H93" s="2">
        <v>6.0</v>
      </c>
      <c r="I93" s="2">
        <v>-5.34</v>
      </c>
      <c r="J93" s="2">
        <v>53.91</v>
      </c>
      <c r="K93" s="2">
        <v>76.0</v>
      </c>
      <c r="L93" s="2">
        <v>22.09</v>
      </c>
      <c r="M93" s="2">
        <v>46.5</v>
      </c>
      <c r="N93" s="2">
        <v>7.41</v>
      </c>
      <c r="O93" s="2">
        <v>0.0</v>
      </c>
      <c r="P93" s="2">
        <v>1.0</v>
      </c>
    </row>
    <row r="94" ht="15.0" customHeight="1">
      <c r="A94" s="2">
        <v>11.0</v>
      </c>
      <c r="B94" s="2" t="s">
        <v>922</v>
      </c>
      <c r="C94" s="2" t="s">
        <v>220</v>
      </c>
      <c r="D94" s="2" t="s">
        <v>141</v>
      </c>
      <c r="E94" s="2">
        <v>-0.16</v>
      </c>
      <c r="F94" s="2">
        <v>29.0</v>
      </c>
      <c r="G94" s="2">
        <v>29.16</v>
      </c>
      <c r="H94" s="2">
        <v>-3.0</v>
      </c>
      <c r="I94" s="2">
        <v>2.84</v>
      </c>
      <c r="J94" s="2">
        <v>45.88</v>
      </c>
      <c r="K94" s="2">
        <v>41.0</v>
      </c>
      <c r="L94" s="2">
        <v>4.88</v>
      </c>
      <c r="M94" s="2">
        <v>43.5</v>
      </c>
      <c r="N94" s="2">
        <v>2.38</v>
      </c>
      <c r="O94" s="2">
        <v>1.0</v>
      </c>
      <c r="P94" s="2">
        <v>0.0</v>
      </c>
    </row>
    <row r="95" ht="15.0" customHeight="1">
      <c r="A95" s="2">
        <v>11.0</v>
      </c>
      <c r="B95" s="2" t="s">
        <v>924</v>
      </c>
      <c r="C95" s="2" t="s">
        <v>137</v>
      </c>
      <c r="D95" s="2" t="s">
        <v>144</v>
      </c>
      <c r="E95" s="2">
        <v>-1.65</v>
      </c>
      <c r="F95" s="2">
        <v>-2.0</v>
      </c>
      <c r="G95" s="2">
        <v>0.35</v>
      </c>
      <c r="H95" s="2">
        <v>3.0</v>
      </c>
      <c r="I95" s="2">
        <v>-4.65</v>
      </c>
      <c r="J95" s="2">
        <v>47.25</v>
      </c>
      <c r="K95" s="2">
        <v>36.0</v>
      </c>
      <c r="L95" s="2">
        <v>11.25</v>
      </c>
      <c r="M95" s="2">
        <v>47.5</v>
      </c>
      <c r="N95" s="2">
        <v>-0.25</v>
      </c>
      <c r="O95" s="2">
        <v>1.0</v>
      </c>
      <c r="P95" s="2">
        <v>1.0</v>
      </c>
    </row>
    <row r="96" ht="15.0" customHeight="1">
      <c r="A96" s="2">
        <v>11.0</v>
      </c>
      <c r="B96" s="2" t="s">
        <v>926</v>
      </c>
      <c r="C96" s="2" t="s">
        <v>205</v>
      </c>
      <c r="D96" s="2" t="s">
        <v>235</v>
      </c>
      <c r="E96" s="2">
        <v>-4.78</v>
      </c>
      <c r="F96" s="2">
        <v>-7.0</v>
      </c>
      <c r="G96" s="2">
        <v>2.22</v>
      </c>
      <c r="H96" s="2">
        <v>-7.5</v>
      </c>
      <c r="I96" s="2">
        <v>2.72</v>
      </c>
      <c r="J96" s="2">
        <v>43.92</v>
      </c>
      <c r="K96" s="2">
        <v>47.0</v>
      </c>
      <c r="L96" s="2">
        <v>3.08</v>
      </c>
      <c r="M96" s="2">
        <v>41.5</v>
      </c>
      <c r="N96" s="2">
        <v>2.42</v>
      </c>
      <c r="O96" s="2">
        <v>1.0</v>
      </c>
      <c r="P96" s="2">
        <v>1.0</v>
      </c>
    </row>
    <row r="97" ht="15.0" customHeight="1">
      <c r="A97" s="2">
        <v>11.0</v>
      </c>
      <c r="B97" s="2" t="s">
        <v>930</v>
      </c>
      <c r="C97" s="2" t="s">
        <v>138</v>
      </c>
      <c r="D97" s="2" t="s">
        <v>242</v>
      </c>
      <c r="E97" s="2">
        <v>6.25</v>
      </c>
      <c r="F97" s="2">
        <v>22.0</v>
      </c>
      <c r="G97" s="2">
        <v>15.75</v>
      </c>
      <c r="H97" s="2">
        <v>5.5</v>
      </c>
      <c r="I97" s="2">
        <v>0.75</v>
      </c>
      <c r="J97" s="2">
        <v>56.96</v>
      </c>
      <c r="K97" s="2">
        <v>46.0</v>
      </c>
      <c r="L97" s="2">
        <v>10.96</v>
      </c>
      <c r="M97" s="2">
        <v>48.5</v>
      </c>
      <c r="N97" s="2">
        <v>8.46</v>
      </c>
      <c r="O97" s="2">
        <v>1.0</v>
      </c>
      <c r="P97" s="2">
        <v>0.0</v>
      </c>
    </row>
    <row r="98" ht="15.0" customHeight="1">
      <c r="A98" s="2">
        <v>11.0</v>
      </c>
      <c r="B98" s="2" t="s">
        <v>932</v>
      </c>
      <c r="C98" s="2" t="s">
        <v>140</v>
      </c>
      <c r="D98" s="2" t="s">
        <v>250</v>
      </c>
      <c r="E98" s="2">
        <v>-9.5</v>
      </c>
      <c r="F98" s="2">
        <v>-3.0</v>
      </c>
      <c r="G98" s="2">
        <v>6.5</v>
      </c>
      <c r="H98" s="2">
        <v>-5.5</v>
      </c>
      <c r="I98" s="2">
        <v>-4.0</v>
      </c>
      <c r="J98" s="2">
        <v>36.21</v>
      </c>
      <c r="K98" s="2">
        <v>29.0</v>
      </c>
      <c r="L98" s="2">
        <v>7.21</v>
      </c>
      <c r="M98" s="2">
        <v>37.5</v>
      </c>
      <c r="N98" s="2">
        <v>-1.29</v>
      </c>
      <c r="O98" s="2">
        <v>0.0</v>
      </c>
      <c r="P98" s="2">
        <v>1.0</v>
      </c>
    </row>
    <row r="99" ht="15.0" customHeight="1">
      <c r="A99" s="2">
        <v>11.0</v>
      </c>
      <c r="B99" s="2" t="s">
        <v>934</v>
      </c>
      <c r="C99" s="2" t="s">
        <v>246</v>
      </c>
      <c r="D99" s="2" t="s">
        <v>178</v>
      </c>
      <c r="E99" s="2">
        <v>-0.31</v>
      </c>
      <c r="F99" s="2">
        <v>-19.0</v>
      </c>
      <c r="G99" s="2">
        <v>18.69</v>
      </c>
      <c r="H99" s="2">
        <v>-3.5</v>
      </c>
      <c r="I99" s="2">
        <v>3.19</v>
      </c>
      <c r="J99" s="2">
        <v>44.73</v>
      </c>
      <c r="K99" s="2">
        <v>63.0</v>
      </c>
      <c r="L99" s="2">
        <v>18.27</v>
      </c>
      <c r="M99" s="2">
        <v>48.5</v>
      </c>
      <c r="N99" s="2">
        <v>-3.77</v>
      </c>
      <c r="O99" s="2">
        <v>0.0</v>
      </c>
      <c r="P99" s="2">
        <v>0.0</v>
      </c>
    </row>
    <row r="100" ht="15.0" customHeight="1">
      <c r="A100" s="2">
        <v>11.0</v>
      </c>
      <c r="B100" s="2" t="s">
        <v>936</v>
      </c>
      <c r="C100" s="2" t="s">
        <v>149</v>
      </c>
      <c r="D100" s="2" t="s">
        <v>142</v>
      </c>
      <c r="E100" s="2">
        <v>3.48</v>
      </c>
      <c r="F100" s="2">
        <v>2.0</v>
      </c>
      <c r="G100" s="2">
        <v>1.48</v>
      </c>
      <c r="H100" s="2">
        <v>3.0</v>
      </c>
      <c r="I100" s="2">
        <v>0.48</v>
      </c>
      <c r="J100" s="2">
        <v>50.71</v>
      </c>
      <c r="K100" s="2">
        <v>40.0</v>
      </c>
      <c r="L100" s="2">
        <v>10.71</v>
      </c>
      <c r="M100" s="2">
        <v>49.5</v>
      </c>
      <c r="N100" s="2">
        <v>1.21</v>
      </c>
      <c r="O100" s="2">
        <v>0.0</v>
      </c>
      <c r="P100" s="2">
        <v>0.0</v>
      </c>
    </row>
    <row r="101" ht="15.0" customHeight="1">
      <c r="A101" s="2">
        <v>11.0</v>
      </c>
      <c r="B101" s="2" t="s">
        <v>938</v>
      </c>
      <c r="C101" s="2" t="s">
        <v>148</v>
      </c>
      <c r="D101" s="2" t="s">
        <v>196</v>
      </c>
      <c r="E101" s="2">
        <v>-6.88</v>
      </c>
      <c r="F101" s="2">
        <v>-7.0</v>
      </c>
      <c r="G101" s="2">
        <v>0.12</v>
      </c>
      <c r="H101" s="2">
        <v>-7.5</v>
      </c>
      <c r="I101" s="2">
        <v>0.62</v>
      </c>
      <c r="J101" s="2">
        <v>41.25</v>
      </c>
      <c r="K101" s="2">
        <v>39.0</v>
      </c>
      <c r="L101" s="2">
        <v>2.25</v>
      </c>
      <c r="M101" s="2">
        <v>37.5</v>
      </c>
      <c r="N101" s="2">
        <v>3.75</v>
      </c>
      <c r="O101" s="2">
        <v>1.0</v>
      </c>
      <c r="P101" s="2">
        <v>1.0</v>
      </c>
    </row>
    <row r="102" ht="15.0" customHeight="1">
      <c r="A102" s="2">
        <v>11.0</v>
      </c>
      <c r="B102" s="2" t="s">
        <v>940</v>
      </c>
      <c r="C102" s="2" t="s">
        <v>143</v>
      </c>
      <c r="D102" s="2" t="s">
        <v>139</v>
      </c>
      <c r="E102" s="2">
        <v>-1.29</v>
      </c>
      <c r="F102" s="2">
        <v>3.0</v>
      </c>
      <c r="G102" s="2">
        <v>4.29</v>
      </c>
      <c r="H102" s="2">
        <v>-3.5</v>
      </c>
      <c r="I102" s="2">
        <v>2.21</v>
      </c>
      <c r="J102" s="2">
        <v>36.16</v>
      </c>
      <c r="K102" s="2">
        <v>41.0</v>
      </c>
      <c r="L102" s="2">
        <v>4.84</v>
      </c>
      <c r="M102" s="2">
        <v>44.5</v>
      </c>
      <c r="N102" s="2">
        <v>-8.34</v>
      </c>
      <c r="O102" s="2">
        <v>1.0</v>
      </c>
      <c r="P102" s="2">
        <v>1.0</v>
      </c>
    </row>
    <row r="103" ht="15.0" customHeight="1">
      <c r="A103" s="2">
        <v>11.0</v>
      </c>
      <c r="B103" s="2" t="s">
        <v>942</v>
      </c>
      <c r="C103" s="2" t="s">
        <v>202</v>
      </c>
      <c r="D103" s="2" t="s">
        <v>147</v>
      </c>
      <c r="E103" s="2">
        <v>1.01</v>
      </c>
      <c r="F103" s="2">
        <v>7.0</v>
      </c>
      <c r="G103" s="2">
        <v>5.99</v>
      </c>
      <c r="H103" s="2">
        <v>2.5</v>
      </c>
      <c r="I103" s="2">
        <v>-1.49</v>
      </c>
      <c r="J103" s="2">
        <v>53.13</v>
      </c>
      <c r="K103" s="2">
        <v>25.0</v>
      </c>
      <c r="L103" s="2">
        <v>28.13</v>
      </c>
      <c r="M103" s="2">
        <v>46.5</v>
      </c>
      <c r="N103" s="2">
        <v>6.63</v>
      </c>
      <c r="O103" s="2">
        <v>0.0</v>
      </c>
      <c r="P103" s="2">
        <v>0.0</v>
      </c>
    </row>
    <row r="104" ht="15.0" customHeight="1">
      <c r="A104" s="2">
        <v>11.0</v>
      </c>
      <c r="B104" s="2" t="s">
        <v>944</v>
      </c>
      <c r="C104" s="2" t="s">
        <v>146</v>
      </c>
      <c r="D104" s="2" t="s">
        <v>222</v>
      </c>
      <c r="E104" s="2">
        <v>0.18</v>
      </c>
      <c r="F104" s="2">
        <v>-17.0</v>
      </c>
      <c r="G104" s="2">
        <v>17.18</v>
      </c>
      <c r="H104" s="2">
        <v>-3.5</v>
      </c>
      <c r="I104" s="2">
        <v>3.68</v>
      </c>
      <c r="J104" s="2">
        <v>52.36</v>
      </c>
      <c r="K104" s="2">
        <v>49.0</v>
      </c>
      <c r="L104" s="2">
        <v>3.36</v>
      </c>
      <c r="M104" s="2">
        <v>48.5</v>
      </c>
      <c r="N104" s="2">
        <v>3.86</v>
      </c>
      <c r="O104" s="2">
        <v>0.0</v>
      </c>
      <c r="P104" s="2">
        <v>1.0</v>
      </c>
    </row>
    <row r="105" ht="15.0" customHeight="1">
      <c r="A105" s="2">
        <v>12.0</v>
      </c>
      <c r="B105" s="2" t="s">
        <v>947</v>
      </c>
      <c r="C105" s="2" t="s">
        <v>136</v>
      </c>
      <c r="D105" s="2" t="s">
        <v>140</v>
      </c>
      <c r="E105" s="2">
        <v>3.63</v>
      </c>
      <c r="F105" s="2">
        <v>4.0</v>
      </c>
      <c r="G105" s="2">
        <v>0.37</v>
      </c>
      <c r="H105" s="2">
        <v>-5.5</v>
      </c>
      <c r="I105" s="2">
        <v>9.13</v>
      </c>
      <c r="J105" s="2">
        <v>47.47</v>
      </c>
      <c r="K105" s="2">
        <v>42.0</v>
      </c>
      <c r="L105" s="2">
        <v>5.47</v>
      </c>
      <c r="M105" s="2">
        <v>43.5</v>
      </c>
      <c r="N105" s="2">
        <v>3.97</v>
      </c>
      <c r="O105" s="2">
        <v>1.0</v>
      </c>
      <c r="P105" s="2">
        <v>0.0</v>
      </c>
    </row>
    <row r="106" ht="15.0" customHeight="1">
      <c r="A106" s="2">
        <v>12.0</v>
      </c>
      <c r="B106" s="2" t="s">
        <v>950</v>
      </c>
      <c r="C106" s="2" t="s">
        <v>238</v>
      </c>
      <c r="D106" s="2" t="s">
        <v>148</v>
      </c>
      <c r="E106" s="2">
        <v>10.9</v>
      </c>
      <c r="F106" s="2">
        <v>13.0</v>
      </c>
      <c r="G106" s="2">
        <v>2.1</v>
      </c>
      <c r="H106" s="2">
        <v>14.0</v>
      </c>
      <c r="I106" s="2">
        <v>-3.1</v>
      </c>
      <c r="J106" s="2">
        <v>50.86</v>
      </c>
      <c r="K106" s="2">
        <v>33.0</v>
      </c>
      <c r="L106" s="2">
        <v>17.86</v>
      </c>
      <c r="M106" s="2">
        <v>44.5</v>
      </c>
      <c r="N106" s="2">
        <v>6.36</v>
      </c>
      <c r="O106" s="2">
        <v>1.0</v>
      </c>
      <c r="P106" s="2">
        <v>0.0</v>
      </c>
    </row>
    <row r="107" ht="15.0" customHeight="1">
      <c r="A107" s="2">
        <v>12.0</v>
      </c>
      <c r="B107" s="2" t="s">
        <v>953</v>
      </c>
      <c r="C107" s="2" t="s">
        <v>242</v>
      </c>
      <c r="D107" s="2" t="s">
        <v>137</v>
      </c>
      <c r="E107" s="2">
        <v>1.43</v>
      </c>
      <c r="F107" s="2">
        <v>3.0</v>
      </c>
      <c r="G107" s="2">
        <v>1.57</v>
      </c>
      <c r="H107" s="2">
        <v>3.0</v>
      </c>
      <c r="I107" s="2">
        <v>-1.57</v>
      </c>
      <c r="J107" s="2">
        <v>50.47</v>
      </c>
      <c r="K107" s="2">
        <v>59.0</v>
      </c>
      <c r="L107" s="2">
        <v>8.53</v>
      </c>
      <c r="M107" s="2">
        <v>46.5</v>
      </c>
      <c r="N107" s="2">
        <v>3.97</v>
      </c>
      <c r="P107" s="2">
        <v>1.0</v>
      </c>
    </row>
    <row r="108" ht="15.0" customHeight="1">
      <c r="A108" s="2">
        <v>12.0</v>
      </c>
      <c r="B108" s="2" t="s">
        <v>957</v>
      </c>
      <c r="C108" s="2" t="s">
        <v>145</v>
      </c>
      <c r="D108" s="2" t="s">
        <v>138</v>
      </c>
      <c r="E108" s="2">
        <v>-9.6</v>
      </c>
      <c r="F108" s="2">
        <v>-6.0</v>
      </c>
      <c r="G108" s="2">
        <v>3.6</v>
      </c>
      <c r="H108" s="2">
        <v>-7.5</v>
      </c>
      <c r="I108" s="2">
        <v>-2.1</v>
      </c>
      <c r="J108" s="2">
        <v>54.52</v>
      </c>
      <c r="K108" s="2">
        <v>46.0</v>
      </c>
      <c r="L108" s="2">
        <v>8.52</v>
      </c>
      <c r="M108" s="2">
        <v>50.5</v>
      </c>
      <c r="N108" s="2">
        <v>4.02</v>
      </c>
      <c r="O108" s="2">
        <v>0.0</v>
      </c>
      <c r="P108" s="2">
        <v>0.0</v>
      </c>
    </row>
    <row r="109" ht="15.0" customHeight="1">
      <c r="A109" s="2">
        <v>12.0</v>
      </c>
      <c r="B109" s="2" t="s">
        <v>959</v>
      </c>
      <c r="C109" s="2" t="s">
        <v>235</v>
      </c>
      <c r="D109" s="2" t="s">
        <v>202</v>
      </c>
      <c r="E109" s="2">
        <v>10.21</v>
      </c>
      <c r="F109" s="2">
        <v>7.0</v>
      </c>
      <c r="G109" s="2">
        <v>3.21</v>
      </c>
      <c r="H109" s="2">
        <v>14.0</v>
      </c>
      <c r="I109" s="2">
        <v>-3.79</v>
      </c>
      <c r="J109" s="2">
        <v>54.3</v>
      </c>
      <c r="K109" s="2">
        <v>61.0</v>
      </c>
      <c r="L109" s="2">
        <v>6.7</v>
      </c>
      <c r="M109" s="2">
        <v>50.5</v>
      </c>
      <c r="N109" s="2">
        <v>3.8</v>
      </c>
      <c r="O109" s="2">
        <v>1.0</v>
      </c>
      <c r="P109" s="2">
        <v>1.0</v>
      </c>
    </row>
    <row r="110" ht="15.0" customHeight="1">
      <c r="A110" s="2">
        <v>12.0</v>
      </c>
      <c r="B110" s="2" t="s">
        <v>961</v>
      </c>
      <c r="C110" s="2" t="s">
        <v>144</v>
      </c>
      <c r="D110" s="2" t="s">
        <v>205</v>
      </c>
      <c r="E110" s="2">
        <v>8.31</v>
      </c>
      <c r="F110" s="2">
        <v>17.0</v>
      </c>
      <c r="G110" s="2">
        <v>8.69</v>
      </c>
      <c r="H110" s="2">
        <v>6.5</v>
      </c>
      <c r="I110" s="2">
        <v>1.81</v>
      </c>
      <c r="J110" s="2">
        <v>40.51</v>
      </c>
      <c r="K110" s="2">
        <v>29.0</v>
      </c>
      <c r="L110" s="2">
        <v>11.51</v>
      </c>
      <c r="M110" s="2">
        <v>41.5</v>
      </c>
      <c r="N110" s="2">
        <v>-0.99</v>
      </c>
      <c r="O110" s="2">
        <v>1.0</v>
      </c>
      <c r="P110" s="2">
        <v>1.0</v>
      </c>
    </row>
    <row r="111" ht="15.0" customHeight="1">
      <c r="A111" s="2">
        <v>12.0</v>
      </c>
      <c r="B111" s="2" t="s">
        <v>963</v>
      </c>
      <c r="C111" s="2" t="s">
        <v>210</v>
      </c>
      <c r="D111" s="2" t="s">
        <v>143</v>
      </c>
      <c r="E111" s="2">
        <v>0.86</v>
      </c>
      <c r="F111" s="2">
        <v>3.0</v>
      </c>
      <c r="G111" s="2">
        <v>2.14</v>
      </c>
      <c r="H111" s="2">
        <v>3.5</v>
      </c>
      <c r="I111" s="2">
        <v>-2.64</v>
      </c>
      <c r="J111" s="2">
        <v>52.75</v>
      </c>
      <c r="K111" s="2">
        <v>43.0</v>
      </c>
      <c r="L111" s="2">
        <v>9.75</v>
      </c>
      <c r="M111" s="2">
        <v>50.5</v>
      </c>
      <c r="N111" s="2">
        <v>2.25</v>
      </c>
      <c r="O111" s="2">
        <v>1.0</v>
      </c>
      <c r="P111" s="2">
        <v>0.0</v>
      </c>
    </row>
    <row r="112" ht="15.0" customHeight="1">
      <c r="A112" s="2">
        <v>12.0</v>
      </c>
      <c r="B112" s="2" t="s">
        <v>965</v>
      </c>
      <c r="C112" s="2" t="s">
        <v>149</v>
      </c>
      <c r="D112" s="2" t="s">
        <v>250</v>
      </c>
      <c r="E112" s="2">
        <v>-11.82</v>
      </c>
      <c r="F112" s="2">
        <v>-6.0</v>
      </c>
      <c r="G112" s="2">
        <v>5.82</v>
      </c>
      <c r="H112" s="2">
        <v>-12.5</v>
      </c>
      <c r="I112" s="2">
        <v>0.68</v>
      </c>
      <c r="J112" s="2">
        <v>45.14</v>
      </c>
      <c r="K112" s="2">
        <v>54.0</v>
      </c>
      <c r="L112" s="2">
        <v>8.86</v>
      </c>
      <c r="M112" s="2">
        <v>41.5</v>
      </c>
      <c r="N112" s="2">
        <v>3.64</v>
      </c>
      <c r="O112" s="2">
        <v>1.0</v>
      </c>
      <c r="P112" s="2">
        <v>1.0</v>
      </c>
    </row>
    <row r="113" ht="15.0" customHeight="1">
      <c r="A113" s="2">
        <v>12.0</v>
      </c>
      <c r="B113" s="2" t="s">
        <v>967</v>
      </c>
      <c r="C113" s="2" t="s">
        <v>141</v>
      </c>
      <c r="D113" s="2" t="s">
        <v>178</v>
      </c>
      <c r="E113" s="2">
        <v>-2.46</v>
      </c>
      <c r="F113" s="2">
        <v>-3.0</v>
      </c>
      <c r="G113" s="2">
        <v>0.54</v>
      </c>
      <c r="H113" s="2">
        <v>-2.5</v>
      </c>
      <c r="I113" s="2">
        <v>0.04</v>
      </c>
      <c r="J113" s="2">
        <v>46.29</v>
      </c>
      <c r="K113" s="2">
        <v>51.0</v>
      </c>
      <c r="L113" s="2">
        <v>4.71</v>
      </c>
      <c r="M113" s="2">
        <v>47.5</v>
      </c>
      <c r="N113" s="2">
        <v>-1.21</v>
      </c>
      <c r="O113" s="2">
        <v>0.0</v>
      </c>
      <c r="P113" s="2">
        <v>0.0</v>
      </c>
    </row>
    <row r="114" ht="15.0" customHeight="1">
      <c r="A114" s="2">
        <v>12.0</v>
      </c>
      <c r="B114" s="2" t="s">
        <v>969</v>
      </c>
      <c r="C114" s="2" t="s">
        <v>196</v>
      </c>
      <c r="D114" s="2" t="s">
        <v>222</v>
      </c>
      <c r="E114" s="2">
        <v>3.05</v>
      </c>
      <c r="F114" s="2">
        <v>-14.0</v>
      </c>
      <c r="G114" s="2">
        <v>17.05</v>
      </c>
      <c r="H114" s="2">
        <v>3.0</v>
      </c>
      <c r="I114" s="2">
        <v>0.05</v>
      </c>
      <c r="J114" s="2">
        <v>30.06</v>
      </c>
      <c r="K114" s="2">
        <v>34.0</v>
      </c>
      <c r="L114" s="2">
        <v>3.94</v>
      </c>
      <c r="M114" s="2">
        <v>35.5</v>
      </c>
      <c r="N114" s="2">
        <v>-5.44</v>
      </c>
      <c r="O114" s="2">
        <v>0.0</v>
      </c>
      <c r="P114" s="2">
        <v>1.0</v>
      </c>
    </row>
    <row r="115" ht="15.0" customHeight="1">
      <c r="A115" s="2">
        <v>12.0</v>
      </c>
      <c r="B115" s="2" t="s">
        <v>973</v>
      </c>
      <c r="C115" s="2" t="s">
        <v>147</v>
      </c>
      <c r="D115" s="2" t="s">
        <v>146</v>
      </c>
      <c r="E115" s="2">
        <v>-5.96</v>
      </c>
      <c r="F115" s="2">
        <v>3.0</v>
      </c>
      <c r="G115" s="2">
        <v>8.96</v>
      </c>
      <c r="H115" s="2">
        <v>-3.0</v>
      </c>
      <c r="I115" s="2">
        <v>-2.96</v>
      </c>
      <c r="J115" s="2">
        <v>54.23</v>
      </c>
      <c r="K115" s="2">
        <v>45.0</v>
      </c>
      <c r="L115" s="2">
        <v>9.23</v>
      </c>
      <c r="M115" s="2">
        <v>47.5</v>
      </c>
      <c r="N115" s="2">
        <v>6.73</v>
      </c>
      <c r="O115" s="2">
        <v>0.0</v>
      </c>
      <c r="P115" s="2">
        <v>0.0</v>
      </c>
    </row>
    <row r="116" ht="15.0" customHeight="1">
      <c r="A116" s="2">
        <v>12.0</v>
      </c>
      <c r="B116" s="2" t="s">
        <v>975</v>
      </c>
      <c r="C116" s="2" t="s">
        <v>132</v>
      </c>
      <c r="D116" s="2" t="s">
        <v>232</v>
      </c>
      <c r="E116" s="2">
        <v>0.95</v>
      </c>
      <c r="F116" s="2">
        <v>-14.0</v>
      </c>
      <c r="G116" s="2">
        <v>14.95</v>
      </c>
      <c r="H116" s="2">
        <v>1.5</v>
      </c>
      <c r="I116" s="2">
        <v>-0.55</v>
      </c>
      <c r="J116" s="2">
        <v>34.8</v>
      </c>
      <c r="K116" s="2">
        <v>34.0</v>
      </c>
      <c r="L116" s="2">
        <v>0.8</v>
      </c>
      <c r="M116" s="2">
        <v>41.5</v>
      </c>
      <c r="N116" s="2">
        <v>-6.7</v>
      </c>
      <c r="O116" s="2">
        <v>1.0</v>
      </c>
      <c r="P116" s="2">
        <v>1.0</v>
      </c>
    </row>
    <row r="117" ht="15.0" customHeight="1">
      <c r="A117" s="2">
        <v>12.0</v>
      </c>
      <c r="B117" s="2" t="s">
        <v>977</v>
      </c>
      <c r="C117" s="2" t="s">
        <v>150</v>
      </c>
      <c r="D117" s="2" t="s">
        <v>142</v>
      </c>
      <c r="E117" s="2">
        <v>9.13</v>
      </c>
      <c r="F117" s="2">
        <v>27.0</v>
      </c>
      <c r="G117" s="2">
        <v>17.87</v>
      </c>
      <c r="H117" s="2">
        <v>7.0</v>
      </c>
      <c r="I117" s="2">
        <v>2.13</v>
      </c>
      <c r="J117" s="2">
        <v>49.89</v>
      </c>
      <c r="K117" s="2">
        <v>41.0</v>
      </c>
      <c r="L117" s="2">
        <v>8.89</v>
      </c>
      <c r="M117" s="2">
        <v>49.5</v>
      </c>
      <c r="N117" s="2">
        <v>0.39</v>
      </c>
      <c r="O117" s="2">
        <v>1.0</v>
      </c>
      <c r="P117" s="2">
        <v>0.0</v>
      </c>
    </row>
    <row r="118" ht="15.0" customHeight="1">
      <c r="A118" s="2">
        <v>12.0</v>
      </c>
      <c r="B118" s="2" t="s">
        <v>979</v>
      </c>
      <c r="C118" s="2" t="s">
        <v>189</v>
      </c>
      <c r="D118" s="2" t="s">
        <v>246</v>
      </c>
      <c r="E118" s="2">
        <v>7.2</v>
      </c>
      <c r="F118" s="2">
        <v>11.0</v>
      </c>
      <c r="G118" s="2">
        <v>3.8</v>
      </c>
      <c r="H118" s="2">
        <v>7.5</v>
      </c>
      <c r="I118" s="2">
        <v>-0.3</v>
      </c>
      <c r="J118" s="2">
        <v>44.45</v>
      </c>
      <c r="K118" s="2">
        <v>29.0</v>
      </c>
      <c r="L118" s="2">
        <v>15.45</v>
      </c>
      <c r="M118" s="2">
        <v>48.5</v>
      </c>
      <c r="N118" s="2">
        <v>-4.05</v>
      </c>
      <c r="O118" s="2">
        <v>0.0</v>
      </c>
      <c r="P118" s="2">
        <v>1.0</v>
      </c>
    </row>
    <row r="119" ht="15.0" customHeight="1">
      <c r="A119" s="2">
        <v>13.0</v>
      </c>
      <c r="B119" s="2" t="s">
        <v>982</v>
      </c>
      <c r="C119" s="2" t="s">
        <v>205</v>
      </c>
      <c r="D119" s="2" t="s">
        <v>202</v>
      </c>
      <c r="E119" s="2">
        <v>1.94</v>
      </c>
      <c r="F119" s="2">
        <v>-7.0</v>
      </c>
      <c r="G119" s="2">
        <v>8.94</v>
      </c>
      <c r="H119" s="2">
        <v>2.5</v>
      </c>
      <c r="I119" s="2">
        <v>-0.56</v>
      </c>
      <c r="J119" s="2">
        <v>49.37</v>
      </c>
      <c r="K119" s="2">
        <v>55.0</v>
      </c>
      <c r="L119" s="2">
        <v>5.63</v>
      </c>
      <c r="M119" s="2">
        <v>48.5</v>
      </c>
      <c r="N119" s="2">
        <v>0.87</v>
      </c>
      <c r="O119" s="2">
        <v>1.0</v>
      </c>
      <c r="P119" s="2">
        <v>1.0</v>
      </c>
    </row>
    <row r="120" ht="15.0" customHeight="1">
      <c r="A120" s="2">
        <v>13.0</v>
      </c>
      <c r="B120" s="2" t="s">
        <v>985</v>
      </c>
      <c r="C120" s="2" t="s">
        <v>143</v>
      </c>
      <c r="D120" s="2" t="s">
        <v>146</v>
      </c>
      <c r="E120" s="2">
        <v>-4.59</v>
      </c>
      <c r="F120" s="2">
        <v>3.0</v>
      </c>
      <c r="G120" s="2">
        <v>7.59</v>
      </c>
      <c r="H120" s="2">
        <v>-3.5</v>
      </c>
      <c r="I120" s="2">
        <v>-1.09</v>
      </c>
      <c r="J120" s="2">
        <v>53.7</v>
      </c>
      <c r="K120" s="2">
        <v>59.0</v>
      </c>
      <c r="L120" s="2">
        <v>5.3</v>
      </c>
      <c r="M120" s="2">
        <v>53.5</v>
      </c>
      <c r="N120" s="2">
        <v>0.2</v>
      </c>
      <c r="O120" s="2">
        <v>0.0</v>
      </c>
      <c r="P120" s="2">
        <v>1.0</v>
      </c>
    </row>
    <row r="121" ht="15.0" customHeight="1">
      <c r="A121" s="2">
        <v>13.0</v>
      </c>
      <c r="B121" s="2" t="s">
        <v>988</v>
      </c>
      <c r="C121" s="2" t="s">
        <v>138</v>
      </c>
      <c r="D121" s="2" t="s">
        <v>148</v>
      </c>
      <c r="E121" s="2">
        <v>12.84</v>
      </c>
      <c r="F121" s="2">
        <v>-18.0</v>
      </c>
      <c r="G121" s="2">
        <v>30.84</v>
      </c>
      <c r="H121" s="2">
        <v>7.0</v>
      </c>
      <c r="I121" s="2">
        <v>5.84</v>
      </c>
      <c r="J121" s="2">
        <v>55.95</v>
      </c>
      <c r="K121" s="2">
        <v>46.0</v>
      </c>
      <c r="L121" s="2">
        <v>9.95</v>
      </c>
      <c r="M121" s="2">
        <v>52.5</v>
      </c>
      <c r="N121" s="2">
        <v>3.45</v>
      </c>
      <c r="O121" s="2">
        <v>0.0</v>
      </c>
      <c r="P121" s="2">
        <v>0.0</v>
      </c>
    </row>
    <row r="122" ht="15.0" customHeight="1">
      <c r="A122" s="2">
        <v>13.0</v>
      </c>
      <c r="B122" s="2" t="s">
        <v>990</v>
      </c>
      <c r="C122" s="2" t="s">
        <v>137</v>
      </c>
      <c r="D122" s="2" t="s">
        <v>147</v>
      </c>
      <c r="E122" s="2">
        <v>6.66</v>
      </c>
      <c r="F122" s="2">
        <v>-9.0</v>
      </c>
      <c r="G122" s="2">
        <v>15.66</v>
      </c>
      <c r="H122" s="2">
        <v>7.0</v>
      </c>
      <c r="I122" s="2">
        <v>-0.34</v>
      </c>
      <c r="J122" s="2">
        <v>46.53</v>
      </c>
      <c r="K122" s="2">
        <v>39.0</v>
      </c>
      <c r="L122" s="2">
        <v>7.53</v>
      </c>
      <c r="M122" s="2">
        <v>43.5</v>
      </c>
      <c r="N122" s="2">
        <v>3.03</v>
      </c>
      <c r="O122" s="2">
        <v>1.0</v>
      </c>
      <c r="P122" s="2">
        <v>0.0</v>
      </c>
    </row>
    <row r="123" ht="15.0" customHeight="1">
      <c r="A123" s="2">
        <v>13.0</v>
      </c>
      <c r="B123" s="2" t="s">
        <v>994</v>
      </c>
      <c r="C123" s="2" t="s">
        <v>142</v>
      </c>
      <c r="D123" s="2" t="s">
        <v>189</v>
      </c>
      <c r="E123" s="2">
        <v>-11.66</v>
      </c>
      <c r="F123" s="2">
        <v>3.0</v>
      </c>
      <c r="G123" s="2">
        <v>14.66</v>
      </c>
      <c r="H123" s="2">
        <v>-10.0</v>
      </c>
      <c r="I123" s="2">
        <v>-1.66</v>
      </c>
      <c r="J123" s="2">
        <v>39.72</v>
      </c>
      <c r="K123" s="2">
        <v>59.0</v>
      </c>
      <c r="L123" s="2">
        <v>19.28</v>
      </c>
      <c r="M123" s="2">
        <v>44.5</v>
      </c>
      <c r="N123" s="2">
        <v>-4.78</v>
      </c>
      <c r="O123" s="2">
        <v>0.0</v>
      </c>
      <c r="P123" s="2">
        <v>0.0</v>
      </c>
    </row>
    <row r="124" ht="15.0" customHeight="1">
      <c r="A124" s="2">
        <v>13.0</v>
      </c>
      <c r="B124" s="2" t="s">
        <v>997</v>
      </c>
      <c r="C124" s="2" t="s">
        <v>246</v>
      </c>
      <c r="D124" s="2" t="s">
        <v>196</v>
      </c>
      <c r="E124" s="2">
        <v>-5.64</v>
      </c>
      <c r="F124" s="2">
        <v>-18.0</v>
      </c>
      <c r="G124" s="2">
        <v>12.36</v>
      </c>
      <c r="H124" s="2">
        <v>-5.5</v>
      </c>
      <c r="I124" s="2">
        <v>-0.14</v>
      </c>
      <c r="J124" s="2">
        <v>38.97</v>
      </c>
      <c r="K124" s="2">
        <v>34.0</v>
      </c>
      <c r="L124" s="2">
        <v>4.97</v>
      </c>
      <c r="M124" s="2">
        <v>35.5</v>
      </c>
      <c r="N124" s="2">
        <v>3.47</v>
      </c>
      <c r="O124" s="2">
        <v>1.0</v>
      </c>
      <c r="P124" s="2">
        <v>0.0</v>
      </c>
    </row>
    <row r="125" ht="15.0" customHeight="1">
      <c r="A125" s="2">
        <v>13.0</v>
      </c>
      <c r="B125" s="2" t="s">
        <v>999</v>
      </c>
      <c r="C125" s="2" t="s">
        <v>140</v>
      </c>
      <c r="D125" s="2" t="s">
        <v>210</v>
      </c>
      <c r="E125" s="2">
        <v>1.96</v>
      </c>
      <c r="F125" s="2">
        <v>-4.0</v>
      </c>
      <c r="G125" s="2">
        <v>5.96</v>
      </c>
      <c r="H125" s="2">
        <v>3.0</v>
      </c>
      <c r="I125" s="2">
        <v>-1.04</v>
      </c>
      <c r="J125" s="2">
        <v>46.72</v>
      </c>
      <c r="K125" s="2">
        <v>36.0</v>
      </c>
      <c r="L125" s="2">
        <v>10.72</v>
      </c>
      <c r="M125" s="2">
        <v>44.5</v>
      </c>
      <c r="N125" s="2">
        <v>2.22</v>
      </c>
      <c r="O125" s="2">
        <v>1.0</v>
      </c>
      <c r="P125" s="2">
        <v>0.0</v>
      </c>
    </row>
    <row r="126" ht="15.0" customHeight="1">
      <c r="A126" s="2">
        <v>13.0</v>
      </c>
      <c r="B126" s="2" t="s">
        <v>1001</v>
      </c>
      <c r="C126" s="2" t="s">
        <v>232</v>
      </c>
      <c r="D126" s="2" t="s">
        <v>225</v>
      </c>
      <c r="E126" s="2">
        <v>4.52</v>
      </c>
      <c r="F126" s="2">
        <v>4.0</v>
      </c>
      <c r="G126" s="2">
        <v>0.52</v>
      </c>
      <c r="H126" s="2">
        <v>5.5</v>
      </c>
      <c r="I126" s="2">
        <v>-0.98</v>
      </c>
      <c r="J126" s="2">
        <v>37.72</v>
      </c>
      <c r="K126" s="2">
        <v>38.0</v>
      </c>
      <c r="L126" s="2">
        <v>0.28</v>
      </c>
      <c r="M126" s="2">
        <v>41.5</v>
      </c>
      <c r="N126" s="2">
        <v>-3.78</v>
      </c>
      <c r="O126" s="2">
        <v>1.0</v>
      </c>
      <c r="P126" s="2">
        <v>1.0</v>
      </c>
    </row>
    <row r="127" ht="15.0" customHeight="1">
      <c r="A127" s="2">
        <v>13.0</v>
      </c>
      <c r="B127" s="2" t="s">
        <v>1003</v>
      </c>
      <c r="C127" s="2" t="s">
        <v>132</v>
      </c>
      <c r="D127" s="2" t="s">
        <v>238</v>
      </c>
      <c r="E127" s="2">
        <v>-3.79</v>
      </c>
      <c r="F127" s="2">
        <v>3.0</v>
      </c>
      <c r="G127" s="2">
        <v>6.79</v>
      </c>
      <c r="H127" s="2">
        <v>-3.0</v>
      </c>
      <c r="I127" s="2">
        <v>-0.79</v>
      </c>
      <c r="J127" s="2">
        <v>41.01</v>
      </c>
      <c r="K127" s="2">
        <v>51.0</v>
      </c>
      <c r="L127" s="2">
        <v>9.99</v>
      </c>
      <c r="M127" s="2">
        <v>38.5</v>
      </c>
      <c r="N127" s="2">
        <v>2.51</v>
      </c>
      <c r="O127" s="2">
        <v>0.0</v>
      </c>
      <c r="P127" s="2">
        <v>1.0</v>
      </c>
    </row>
    <row r="128" ht="15.0" customHeight="1">
      <c r="A128" s="2">
        <v>13.0</v>
      </c>
      <c r="B128" s="2" t="s">
        <v>1005</v>
      </c>
      <c r="C128" s="2" t="s">
        <v>178</v>
      </c>
      <c r="D128" s="2" t="s">
        <v>150</v>
      </c>
      <c r="E128" s="2">
        <v>2.74</v>
      </c>
      <c r="F128" s="2">
        <v>3.0</v>
      </c>
      <c r="G128" s="2">
        <v>0.26</v>
      </c>
      <c r="H128" s="2">
        <v>4.5</v>
      </c>
      <c r="I128" s="2">
        <v>-1.76</v>
      </c>
      <c r="J128" s="2">
        <v>49.89</v>
      </c>
      <c r="K128" s="2">
        <v>37.0</v>
      </c>
      <c r="L128" s="2">
        <v>12.89</v>
      </c>
      <c r="M128" s="2">
        <v>44.5</v>
      </c>
      <c r="N128" s="2">
        <v>5.39</v>
      </c>
      <c r="O128" s="2">
        <v>1.0</v>
      </c>
      <c r="P128" s="2">
        <v>0.0</v>
      </c>
    </row>
    <row r="129" ht="15.0" customHeight="1">
      <c r="A129" s="2">
        <v>13.0</v>
      </c>
      <c r="B129" s="2" t="s">
        <v>1007</v>
      </c>
      <c r="C129" s="2" t="s">
        <v>141</v>
      </c>
      <c r="D129" s="2" t="s">
        <v>250</v>
      </c>
      <c r="E129" s="2">
        <v>-7.46</v>
      </c>
      <c r="F129" s="2">
        <v>-22.0</v>
      </c>
      <c r="G129" s="2">
        <v>14.54</v>
      </c>
      <c r="H129" s="2">
        <v>-6.0</v>
      </c>
      <c r="I129" s="2">
        <v>-1.46</v>
      </c>
      <c r="J129" s="2">
        <v>43.98</v>
      </c>
      <c r="K129" s="2">
        <v>28.0</v>
      </c>
      <c r="L129" s="2">
        <v>15.98</v>
      </c>
      <c r="M129" s="2">
        <v>42.5</v>
      </c>
      <c r="N129" s="2">
        <v>1.48</v>
      </c>
      <c r="O129" s="2">
        <v>1.0</v>
      </c>
      <c r="P129" s="2">
        <v>0.0</v>
      </c>
    </row>
    <row r="130" ht="15.0" customHeight="1">
      <c r="A130" s="2">
        <v>13.0</v>
      </c>
      <c r="B130" s="2" t="s">
        <v>1009</v>
      </c>
      <c r="C130" s="2" t="s">
        <v>144</v>
      </c>
      <c r="D130" s="2" t="s">
        <v>149</v>
      </c>
      <c r="E130" s="2">
        <v>12.56</v>
      </c>
      <c r="F130" s="2">
        <v>26.0</v>
      </c>
      <c r="G130" s="2">
        <v>13.44</v>
      </c>
      <c r="H130" s="2">
        <v>12.5</v>
      </c>
      <c r="I130" s="2">
        <v>0.06</v>
      </c>
      <c r="J130" s="2">
        <v>46.27</v>
      </c>
      <c r="K130" s="2">
        <v>26.0</v>
      </c>
      <c r="L130" s="2">
        <v>20.27</v>
      </c>
      <c r="M130" s="2">
        <v>42.5</v>
      </c>
      <c r="N130" s="2">
        <v>3.77</v>
      </c>
      <c r="O130" s="2">
        <v>1.0</v>
      </c>
      <c r="P130" s="2">
        <v>0.0</v>
      </c>
    </row>
    <row r="131" ht="15.0" customHeight="1">
      <c r="A131" s="2">
        <v>13.0</v>
      </c>
      <c r="B131" s="2" t="s">
        <v>1013</v>
      </c>
      <c r="C131" s="2" t="s">
        <v>222</v>
      </c>
      <c r="D131" s="2" t="s">
        <v>220</v>
      </c>
      <c r="E131" s="2">
        <v>9.44</v>
      </c>
      <c r="F131" s="2">
        <v>17.0</v>
      </c>
      <c r="G131" s="2">
        <v>7.56</v>
      </c>
      <c r="H131" s="2">
        <v>10.0</v>
      </c>
      <c r="I131" s="2">
        <v>-0.56</v>
      </c>
      <c r="J131" s="2">
        <v>39.82</v>
      </c>
      <c r="K131" s="2">
        <v>45.0</v>
      </c>
      <c r="L131" s="2">
        <v>5.18</v>
      </c>
      <c r="M131" s="2">
        <v>40.5</v>
      </c>
      <c r="N131" s="2">
        <v>-0.68</v>
      </c>
      <c r="O131" s="2">
        <v>0.0</v>
      </c>
      <c r="P131" s="2">
        <v>0.0</v>
      </c>
    </row>
    <row r="132" ht="15.0" customHeight="1">
      <c r="A132" s="2">
        <v>13.0</v>
      </c>
      <c r="B132" s="2" t="s">
        <v>1015</v>
      </c>
      <c r="C132" s="2" t="s">
        <v>136</v>
      </c>
      <c r="D132" s="2" t="s">
        <v>242</v>
      </c>
      <c r="E132" s="2">
        <v>-0.99</v>
      </c>
      <c r="F132" s="2">
        <v>-19.0</v>
      </c>
      <c r="G132" s="2">
        <v>18.01</v>
      </c>
      <c r="H132" s="2">
        <v>-3.0</v>
      </c>
      <c r="I132" s="2">
        <v>2.01</v>
      </c>
      <c r="J132" s="2">
        <v>55.92</v>
      </c>
      <c r="K132" s="2">
        <v>33.0</v>
      </c>
      <c r="L132" s="2">
        <v>22.92</v>
      </c>
      <c r="M132" s="2">
        <v>44.5</v>
      </c>
      <c r="N132" s="2">
        <v>11.42</v>
      </c>
      <c r="O132" s="2">
        <v>0.0</v>
      </c>
      <c r="P132" s="2">
        <v>0.0</v>
      </c>
    </row>
    <row r="133" ht="15.0" customHeight="1">
      <c r="A133" s="2">
        <v>13.0</v>
      </c>
      <c r="B133" s="2" t="s">
        <v>1017</v>
      </c>
      <c r="C133" s="2" t="s">
        <v>139</v>
      </c>
      <c r="D133" s="2" t="s">
        <v>253</v>
      </c>
      <c r="E133" s="2">
        <v>-5.55</v>
      </c>
      <c r="F133" s="2">
        <v>-1.0</v>
      </c>
      <c r="G133" s="2">
        <v>4.55</v>
      </c>
      <c r="H133" s="2">
        <v>-6.5</v>
      </c>
      <c r="I133" s="2">
        <v>0.95</v>
      </c>
      <c r="J133" s="2">
        <v>44.11</v>
      </c>
      <c r="K133" s="2">
        <v>53.0</v>
      </c>
      <c r="L133" s="2">
        <v>8.89</v>
      </c>
      <c r="M133" s="2">
        <v>43.5</v>
      </c>
      <c r="N133" s="2">
        <v>0.61</v>
      </c>
      <c r="O133" s="2">
        <v>1.0</v>
      </c>
      <c r="P133" s="2">
        <v>1.0</v>
      </c>
    </row>
    <row r="134" ht="15.0" customHeight="1">
      <c r="A134" s="2">
        <v>13.0</v>
      </c>
      <c r="B134" s="2" t="s">
        <v>1019</v>
      </c>
      <c r="C134" s="2" t="s">
        <v>235</v>
      </c>
      <c r="D134" s="2" t="s">
        <v>145</v>
      </c>
      <c r="E134" s="2">
        <v>7.65</v>
      </c>
      <c r="F134" s="2">
        <v>18.0</v>
      </c>
      <c r="G134" s="2">
        <v>10.35</v>
      </c>
      <c r="H134" s="2">
        <v>7.0</v>
      </c>
      <c r="I134" s="2">
        <v>0.65</v>
      </c>
      <c r="J134" s="2">
        <v>48.96</v>
      </c>
      <c r="K134" s="2">
        <v>48.0</v>
      </c>
      <c r="L134" s="2">
        <v>0.96</v>
      </c>
      <c r="M134" s="2">
        <v>46.5</v>
      </c>
      <c r="N134" s="2">
        <v>2.46</v>
      </c>
      <c r="O134" s="2">
        <v>1.0</v>
      </c>
      <c r="P134" s="2">
        <v>1.0</v>
      </c>
    </row>
    <row r="135" ht="15.0" customHeight="1">
      <c r="A135" s="2">
        <v>14.0</v>
      </c>
      <c r="B135" s="2" t="s">
        <v>1022</v>
      </c>
      <c r="C135" s="2" t="s">
        <v>146</v>
      </c>
      <c r="D135" s="2" t="s">
        <v>202</v>
      </c>
      <c r="E135" s="2">
        <v>4.81</v>
      </c>
      <c r="F135" s="2">
        <v>14.0</v>
      </c>
      <c r="G135" s="2">
        <v>9.19</v>
      </c>
      <c r="H135" s="2">
        <v>3.5</v>
      </c>
      <c r="I135" s="2">
        <v>1.31</v>
      </c>
      <c r="J135" s="2">
        <v>64.84</v>
      </c>
      <c r="K135" s="2">
        <v>74.0</v>
      </c>
      <c r="L135" s="2">
        <v>9.16</v>
      </c>
      <c r="M135" s="2">
        <v>55.5</v>
      </c>
      <c r="N135" s="2">
        <v>9.34</v>
      </c>
      <c r="O135" s="2">
        <v>1.0</v>
      </c>
      <c r="P135" s="2">
        <v>1.0</v>
      </c>
    </row>
    <row r="136" ht="15.0" customHeight="1">
      <c r="A136" s="2">
        <v>14.0</v>
      </c>
      <c r="B136" s="2" t="s">
        <v>1025</v>
      </c>
      <c r="C136" s="2" t="s">
        <v>149</v>
      </c>
      <c r="D136" s="2" t="s">
        <v>132</v>
      </c>
      <c r="E136" s="2">
        <v>-6.28</v>
      </c>
      <c r="F136" s="2">
        <v>-28.0</v>
      </c>
      <c r="G136" s="2">
        <v>21.72</v>
      </c>
      <c r="H136" s="2">
        <v>-7.0</v>
      </c>
      <c r="I136" s="2">
        <v>0.72</v>
      </c>
      <c r="J136" s="2">
        <v>46.06</v>
      </c>
      <c r="K136" s="2">
        <v>46.0</v>
      </c>
      <c r="L136" s="2">
        <v>0.06</v>
      </c>
      <c r="M136" s="2">
        <v>44.5</v>
      </c>
      <c r="N136" s="2">
        <v>1.56</v>
      </c>
      <c r="O136" s="2">
        <v>0.0</v>
      </c>
      <c r="P136" s="2">
        <v>1.0</v>
      </c>
    </row>
    <row r="137" ht="15.0" customHeight="1">
      <c r="A137" s="2">
        <v>14.0</v>
      </c>
      <c r="B137" s="2" t="s">
        <v>1028</v>
      </c>
      <c r="C137" s="2" t="s">
        <v>242</v>
      </c>
      <c r="D137" s="2" t="s">
        <v>148</v>
      </c>
      <c r="E137" s="2">
        <v>3.63</v>
      </c>
      <c r="F137" s="2">
        <v>-5.0</v>
      </c>
      <c r="G137" s="2">
        <v>8.63</v>
      </c>
      <c r="H137" s="2">
        <v>5.5</v>
      </c>
      <c r="I137" s="2">
        <v>-1.87</v>
      </c>
      <c r="J137" s="2">
        <v>49.49</v>
      </c>
      <c r="K137" s="2">
        <v>49.0</v>
      </c>
      <c r="L137" s="2">
        <v>0.49</v>
      </c>
      <c r="M137" s="2">
        <v>43.5</v>
      </c>
      <c r="N137" s="2">
        <v>5.99</v>
      </c>
      <c r="O137" s="2">
        <v>1.0</v>
      </c>
      <c r="P137" s="2">
        <v>1.0</v>
      </c>
    </row>
    <row r="138" ht="15.0" customHeight="1">
      <c r="A138" s="2">
        <v>14.0</v>
      </c>
      <c r="B138" s="2" t="s">
        <v>1030</v>
      </c>
      <c r="C138" s="2" t="s">
        <v>250</v>
      </c>
      <c r="D138" s="2" t="s">
        <v>196</v>
      </c>
      <c r="E138" s="2">
        <v>2.98</v>
      </c>
      <c r="F138" s="2">
        <v>-2.0</v>
      </c>
      <c r="G138" s="2">
        <v>4.98</v>
      </c>
      <c r="H138" s="2">
        <v>4.5</v>
      </c>
      <c r="I138" s="2">
        <v>-1.52</v>
      </c>
      <c r="J138" s="2">
        <v>33.72</v>
      </c>
      <c r="K138" s="2">
        <v>60.0</v>
      </c>
      <c r="L138" s="2">
        <v>26.28</v>
      </c>
      <c r="M138" s="2">
        <v>33.5</v>
      </c>
      <c r="N138" s="2">
        <v>0.22</v>
      </c>
      <c r="O138" s="2">
        <v>1.0</v>
      </c>
      <c r="P138" s="2">
        <v>1.0</v>
      </c>
    </row>
    <row r="139" ht="15.0" customHeight="1">
      <c r="A139" s="2">
        <v>14.0</v>
      </c>
      <c r="B139" s="2" t="s">
        <v>1032</v>
      </c>
      <c r="C139" s="2" t="s">
        <v>137</v>
      </c>
      <c r="D139" s="2" t="s">
        <v>205</v>
      </c>
      <c r="E139" s="2">
        <v>5.98</v>
      </c>
      <c r="F139" s="2">
        <v>7.0</v>
      </c>
      <c r="G139" s="2">
        <v>1.02</v>
      </c>
      <c r="H139" s="2">
        <v>6.5</v>
      </c>
      <c r="I139" s="2">
        <v>-0.52</v>
      </c>
      <c r="J139" s="2">
        <v>47.99</v>
      </c>
      <c r="K139" s="2">
        <v>49.0</v>
      </c>
      <c r="L139" s="2">
        <v>1.01</v>
      </c>
      <c r="M139" s="2">
        <v>44.5</v>
      </c>
      <c r="N139" s="2">
        <v>3.49</v>
      </c>
      <c r="O139" s="2">
        <v>0.0</v>
      </c>
      <c r="P139" s="2">
        <v>1.0</v>
      </c>
    </row>
    <row r="140" ht="15.0" customHeight="1">
      <c r="A140" s="2">
        <v>14.0</v>
      </c>
      <c r="B140" s="2" t="s">
        <v>1034</v>
      </c>
      <c r="C140" s="2" t="s">
        <v>210</v>
      </c>
      <c r="D140" s="2" t="s">
        <v>141</v>
      </c>
      <c r="E140" s="2">
        <v>0.94</v>
      </c>
      <c r="F140" s="2">
        <v>17.0</v>
      </c>
      <c r="G140" s="2">
        <v>16.06</v>
      </c>
      <c r="H140" s="2">
        <v>-2.5</v>
      </c>
      <c r="I140" s="2">
        <v>3.44</v>
      </c>
      <c r="J140" s="2">
        <v>53.92</v>
      </c>
      <c r="K140" s="2">
        <v>55.0</v>
      </c>
      <c r="L140" s="2">
        <v>1.08</v>
      </c>
      <c r="M140" s="2">
        <v>44.5</v>
      </c>
      <c r="N140" s="2">
        <v>9.42</v>
      </c>
      <c r="O140" s="2">
        <v>1.0</v>
      </c>
      <c r="P140" s="2">
        <v>1.0</v>
      </c>
    </row>
    <row r="141" ht="15.0" customHeight="1">
      <c r="A141" s="2">
        <v>14.0</v>
      </c>
      <c r="B141" s="2" t="s">
        <v>1036</v>
      </c>
      <c r="C141" s="2" t="s">
        <v>253</v>
      </c>
      <c r="D141" s="2" t="s">
        <v>144</v>
      </c>
      <c r="E141" s="2">
        <v>-0.54</v>
      </c>
      <c r="F141" s="2">
        <v>31.0</v>
      </c>
      <c r="G141" s="2">
        <v>31.54</v>
      </c>
      <c r="H141" s="2">
        <v>-1.5</v>
      </c>
      <c r="I141" s="2">
        <v>0.96</v>
      </c>
      <c r="J141" s="2">
        <v>42.86</v>
      </c>
      <c r="K141" s="2">
        <v>31.0</v>
      </c>
      <c r="L141" s="2">
        <v>11.86</v>
      </c>
      <c r="M141" s="2">
        <v>43.5</v>
      </c>
      <c r="N141" s="2">
        <v>-0.64</v>
      </c>
      <c r="O141" s="2">
        <v>1.0</v>
      </c>
      <c r="P141" s="2">
        <v>1.0</v>
      </c>
    </row>
    <row r="142" ht="15.0" customHeight="1">
      <c r="A142" s="2">
        <v>14.0</v>
      </c>
      <c r="B142" s="2" t="s">
        <v>1038</v>
      </c>
      <c r="C142" s="2" t="s">
        <v>225</v>
      </c>
      <c r="D142" s="2" t="s">
        <v>238</v>
      </c>
      <c r="E142" s="2">
        <v>-2.39</v>
      </c>
      <c r="F142" s="2">
        <v>-24.0</v>
      </c>
      <c r="G142" s="2">
        <v>21.61</v>
      </c>
      <c r="H142" s="2">
        <v>-2.5</v>
      </c>
      <c r="I142" s="2">
        <v>0.11</v>
      </c>
      <c r="J142" s="2">
        <v>44.83</v>
      </c>
      <c r="K142" s="2">
        <v>44.0</v>
      </c>
      <c r="L142" s="2">
        <v>0.83</v>
      </c>
      <c r="M142" s="2">
        <v>41.5</v>
      </c>
      <c r="N142" s="2">
        <v>3.33</v>
      </c>
      <c r="O142" s="2">
        <v>0.0</v>
      </c>
      <c r="P142" s="2">
        <v>1.0</v>
      </c>
    </row>
    <row r="143" ht="15.0" customHeight="1">
      <c r="A143" s="2">
        <v>14.0</v>
      </c>
      <c r="B143" s="2" t="s">
        <v>1040</v>
      </c>
      <c r="C143" s="2" t="s">
        <v>232</v>
      </c>
      <c r="D143" s="2" t="s">
        <v>150</v>
      </c>
      <c r="E143" s="2">
        <v>6.49</v>
      </c>
      <c r="F143" s="2">
        <v>-4.0</v>
      </c>
      <c r="G143" s="2">
        <v>10.49</v>
      </c>
      <c r="H143" s="2">
        <v>7.5</v>
      </c>
      <c r="I143" s="2">
        <v>-1.01</v>
      </c>
      <c r="J143" s="2">
        <v>42.15</v>
      </c>
      <c r="K143" s="2">
        <v>44.0</v>
      </c>
      <c r="L143" s="2">
        <v>1.85</v>
      </c>
      <c r="M143" s="2">
        <v>41.5</v>
      </c>
      <c r="N143" s="2">
        <v>0.65</v>
      </c>
      <c r="O143" s="2">
        <v>1.0</v>
      </c>
      <c r="P143" s="2">
        <v>1.0</v>
      </c>
    </row>
    <row r="144" ht="15.0" customHeight="1">
      <c r="A144" s="2">
        <v>14.0</v>
      </c>
      <c r="B144" s="2" t="s">
        <v>1042</v>
      </c>
      <c r="C144" s="2" t="s">
        <v>139</v>
      </c>
      <c r="D144" s="2" t="s">
        <v>222</v>
      </c>
      <c r="E144" s="2">
        <v>-8.73</v>
      </c>
      <c r="F144" s="2">
        <v>-7.0</v>
      </c>
      <c r="G144" s="2">
        <v>1.73</v>
      </c>
      <c r="H144" s="2">
        <v>-8.5</v>
      </c>
      <c r="I144" s="2">
        <v>-0.23</v>
      </c>
      <c r="J144" s="2">
        <v>37.55</v>
      </c>
      <c r="K144" s="2">
        <v>41.0</v>
      </c>
      <c r="L144" s="2">
        <v>3.45</v>
      </c>
      <c r="M144" s="2">
        <v>40.5</v>
      </c>
      <c r="N144" s="2">
        <v>-2.95</v>
      </c>
      <c r="O144" s="2">
        <v>0.0</v>
      </c>
      <c r="P144" s="2">
        <v>0.0</v>
      </c>
    </row>
    <row r="145" ht="15.0" customHeight="1">
      <c r="A145" s="2">
        <v>14.0</v>
      </c>
      <c r="B145" s="2" t="s">
        <v>1044</v>
      </c>
      <c r="C145" s="2" t="s">
        <v>142</v>
      </c>
      <c r="D145" s="2" t="s">
        <v>178</v>
      </c>
      <c r="E145" s="2">
        <v>-7.39</v>
      </c>
      <c r="F145" s="2">
        <v>-28.0</v>
      </c>
      <c r="G145" s="2">
        <v>20.61</v>
      </c>
      <c r="H145" s="2">
        <v>-9.5</v>
      </c>
      <c r="I145" s="2">
        <v>2.11</v>
      </c>
      <c r="J145" s="2">
        <v>45.93</v>
      </c>
      <c r="K145" s="2">
        <v>62.0</v>
      </c>
      <c r="L145" s="2">
        <v>16.07</v>
      </c>
      <c r="M145" s="2">
        <v>49.5</v>
      </c>
      <c r="N145" s="2">
        <v>-3.57</v>
      </c>
      <c r="O145" s="2">
        <v>0.0</v>
      </c>
      <c r="P145" s="2">
        <v>0.0</v>
      </c>
    </row>
    <row r="146" ht="15.0" customHeight="1">
      <c r="A146" s="2">
        <v>14.0</v>
      </c>
      <c r="B146" s="2" t="s">
        <v>1046</v>
      </c>
      <c r="C146" s="2" t="s">
        <v>138</v>
      </c>
      <c r="D146" s="2" t="s">
        <v>136</v>
      </c>
      <c r="E146" s="2">
        <v>10.27</v>
      </c>
      <c r="F146" s="2">
        <v>5.0</v>
      </c>
      <c r="G146" s="2">
        <v>5.27</v>
      </c>
      <c r="H146" s="2">
        <v>6.0</v>
      </c>
      <c r="I146" s="2">
        <v>4.27</v>
      </c>
      <c r="J146" s="2">
        <v>57.04</v>
      </c>
      <c r="K146" s="2">
        <v>73.0</v>
      </c>
      <c r="L146" s="2">
        <v>15.96</v>
      </c>
      <c r="M146" s="2">
        <v>54.5</v>
      </c>
      <c r="N146" s="2">
        <v>2.54</v>
      </c>
      <c r="O146" s="2">
        <v>0.0</v>
      </c>
      <c r="P146" s="2">
        <v>1.0</v>
      </c>
    </row>
    <row r="147" ht="15.0" customHeight="1">
      <c r="A147" s="2">
        <v>14.0</v>
      </c>
      <c r="B147" s="2" t="s">
        <v>1048</v>
      </c>
      <c r="C147" s="2" t="s">
        <v>140</v>
      </c>
      <c r="D147" s="2" t="s">
        <v>143</v>
      </c>
      <c r="E147" s="2">
        <v>1.24</v>
      </c>
      <c r="F147" s="2">
        <v>-10.0</v>
      </c>
      <c r="G147" s="2">
        <v>11.24</v>
      </c>
      <c r="H147" s="2">
        <v>4.5</v>
      </c>
      <c r="I147" s="2">
        <v>-3.26</v>
      </c>
      <c r="J147" s="2">
        <v>35.09</v>
      </c>
      <c r="K147" s="2">
        <v>30.0</v>
      </c>
      <c r="L147" s="2">
        <v>5.09</v>
      </c>
      <c r="M147" s="2">
        <v>41.5</v>
      </c>
      <c r="N147" s="2">
        <v>-6.41</v>
      </c>
      <c r="O147" s="2">
        <v>1.0</v>
      </c>
      <c r="P147" s="2">
        <v>1.0</v>
      </c>
    </row>
    <row r="148" ht="15.0" customHeight="1">
      <c r="A148" s="2">
        <v>14.0</v>
      </c>
      <c r="B148" s="2" t="s">
        <v>1050</v>
      </c>
      <c r="C148" s="2" t="s">
        <v>147</v>
      </c>
      <c r="D148" s="2" t="s">
        <v>220</v>
      </c>
      <c r="E148" s="2">
        <v>-0.63</v>
      </c>
      <c r="F148" s="2">
        <v>3.0</v>
      </c>
      <c r="G148" s="2">
        <v>3.63</v>
      </c>
      <c r="H148" s="2">
        <v>-1.5</v>
      </c>
      <c r="I148" s="2">
        <v>0.87</v>
      </c>
      <c r="J148" s="2">
        <v>40.15</v>
      </c>
      <c r="K148" s="2">
        <v>41.0</v>
      </c>
      <c r="L148" s="2">
        <v>0.85</v>
      </c>
      <c r="M148" s="2">
        <v>41.5</v>
      </c>
      <c r="N148" s="2">
        <v>-1.35</v>
      </c>
      <c r="O148" s="2">
        <v>1.0</v>
      </c>
      <c r="P148" s="2">
        <v>1.0</v>
      </c>
    </row>
    <row r="149" ht="15.0" customHeight="1">
      <c r="A149" s="2">
        <v>15.0</v>
      </c>
      <c r="B149" s="2" t="s">
        <v>1053</v>
      </c>
      <c r="C149" s="2" t="s">
        <v>132</v>
      </c>
      <c r="D149" s="2" t="s">
        <v>150</v>
      </c>
      <c r="E149" s="2">
        <v>2.65</v>
      </c>
      <c r="F149" s="2">
        <v>-1.0</v>
      </c>
      <c r="G149" s="2">
        <v>3.65</v>
      </c>
      <c r="H149" s="2">
        <v>6.0</v>
      </c>
      <c r="I149" s="2">
        <v>-3.35</v>
      </c>
      <c r="J149" s="2">
        <v>47.13</v>
      </c>
      <c r="K149" s="2">
        <v>57.0</v>
      </c>
      <c r="L149" s="2">
        <v>9.87</v>
      </c>
      <c r="M149" s="2">
        <v>43.5</v>
      </c>
      <c r="N149" s="2">
        <v>3.63</v>
      </c>
      <c r="O149" s="2">
        <v>1.0</v>
      </c>
      <c r="P149" s="2">
        <v>1.0</v>
      </c>
    </row>
    <row r="150" ht="15.0" customHeight="1">
      <c r="A150" s="2">
        <v>15.0</v>
      </c>
      <c r="B150" s="2" t="s">
        <v>1056</v>
      </c>
      <c r="C150" s="2" t="s">
        <v>196</v>
      </c>
      <c r="D150" s="2" t="s">
        <v>137</v>
      </c>
      <c r="E150" s="2">
        <v>7.38</v>
      </c>
      <c r="F150" s="2">
        <v>28.0</v>
      </c>
      <c r="G150" s="2">
        <v>20.62</v>
      </c>
      <c r="H150" s="2">
        <v>7.5</v>
      </c>
      <c r="I150" s="2">
        <v>-0.12</v>
      </c>
      <c r="J150" s="2">
        <v>43.79</v>
      </c>
      <c r="K150" s="2">
        <v>34.0</v>
      </c>
      <c r="L150" s="2">
        <v>9.79</v>
      </c>
      <c r="M150" s="2">
        <v>38.5</v>
      </c>
      <c r="N150" s="2">
        <v>5.29</v>
      </c>
      <c r="O150" s="2">
        <v>0.0</v>
      </c>
      <c r="P150" s="2">
        <v>0.0</v>
      </c>
    </row>
    <row r="151" ht="15.0" customHeight="1">
      <c r="A151" s="2">
        <v>15.0</v>
      </c>
      <c r="B151" s="2" t="s">
        <v>1059</v>
      </c>
      <c r="C151" s="2" t="s">
        <v>148</v>
      </c>
      <c r="D151" s="2" t="s">
        <v>138</v>
      </c>
      <c r="E151" s="2">
        <v>-2.74</v>
      </c>
      <c r="F151" s="2">
        <v>-24.0</v>
      </c>
      <c r="G151" s="2">
        <v>21.26</v>
      </c>
      <c r="H151" s="2">
        <v>-2.5</v>
      </c>
      <c r="I151" s="2">
        <v>-0.24</v>
      </c>
      <c r="J151" s="2">
        <v>55.19</v>
      </c>
      <c r="K151" s="2">
        <v>24.0</v>
      </c>
      <c r="L151" s="2">
        <v>31.19</v>
      </c>
      <c r="M151" s="2">
        <v>51.5</v>
      </c>
      <c r="N151" s="2">
        <v>3.69</v>
      </c>
      <c r="O151" s="2">
        <v>1.0</v>
      </c>
      <c r="P151" s="2">
        <v>0.0</v>
      </c>
    </row>
    <row r="152" ht="15.0" customHeight="1">
      <c r="A152" s="2">
        <v>15.0</v>
      </c>
      <c r="B152" s="2" t="s">
        <v>1061</v>
      </c>
      <c r="C152" s="2" t="s">
        <v>178</v>
      </c>
      <c r="D152" s="2" t="s">
        <v>140</v>
      </c>
      <c r="E152" s="2">
        <v>8.77</v>
      </c>
      <c r="F152" s="2">
        <v>20.0</v>
      </c>
      <c r="G152" s="2">
        <v>11.23</v>
      </c>
      <c r="H152" s="2">
        <v>10.5</v>
      </c>
      <c r="I152" s="2">
        <v>-1.73</v>
      </c>
      <c r="J152" s="2">
        <v>37.65</v>
      </c>
      <c r="K152" s="2">
        <v>60.0</v>
      </c>
      <c r="L152" s="2">
        <v>22.35</v>
      </c>
      <c r="M152" s="2">
        <v>42.5</v>
      </c>
      <c r="N152" s="2">
        <v>-4.85</v>
      </c>
      <c r="O152" s="2">
        <v>0.0</v>
      </c>
      <c r="P152" s="2">
        <v>0.0</v>
      </c>
    </row>
    <row r="153" ht="15.0" customHeight="1">
      <c r="A153" s="2">
        <v>15.0</v>
      </c>
      <c r="B153" s="2" t="s">
        <v>1063</v>
      </c>
      <c r="C153" s="2" t="s">
        <v>238</v>
      </c>
      <c r="D153" s="2" t="s">
        <v>141</v>
      </c>
      <c r="E153" s="2">
        <v>14.54</v>
      </c>
      <c r="F153" s="2">
        <v>28.0</v>
      </c>
      <c r="G153" s="2">
        <v>13.46</v>
      </c>
      <c r="H153" s="2">
        <v>13.5</v>
      </c>
      <c r="I153" s="2">
        <v>1.04</v>
      </c>
      <c r="J153" s="2">
        <v>44.72</v>
      </c>
      <c r="K153" s="2">
        <v>68.0</v>
      </c>
      <c r="L153" s="2">
        <v>23.28</v>
      </c>
      <c r="M153" s="2">
        <v>40.5</v>
      </c>
      <c r="N153" s="2">
        <v>4.22</v>
      </c>
      <c r="O153" s="2">
        <v>1.0</v>
      </c>
      <c r="P153" s="2">
        <v>1.0</v>
      </c>
    </row>
    <row r="154" ht="15.0" customHeight="1">
      <c r="A154" s="2">
        <v>15.0</v>
      </c>
      <c r="B154" s="2" t="s">
        <v>1067</v>
      </c>
      <c r="C154" s="2" t="s">
        <v>220</v>
      </c>
      <c r="D154" s="2" t="s">
        <v>143</v>
      </c>
      <c r="E154" s="2">
        <v>4.01</v>
      </c>
      <c r="F154" s="2">
        <v>-3.0</v>
      </c>
      <c r="G154" s="2">
        <v>7.01</v>
      </c>
      <c r="H154" s="2">
        <v>5.5</v>
      </c>
      <c r="I154" s="2">
        <v>-1.49</v>
      </c>
      <c r="J154" s="2">
        <v>42.23</v>
      </c>
      <c r="K154" s="2">
        <v>29.0</v>
      </c>
      <c r="L154" s="2">
        <v>13.23</v>
      </c>
      <c r="M154" s="2">
        <v>41.5</v>
      </c>
      <c r="N154" s="2">
        <v>0.73</v>
      </c>
      <c r="O154" s="2">
        <v>1.0</v>
      </c>
      <c r="P154" s="2">
        <v>0.0</v>
      </c>
    </row>
    <row r="155" ht="15.0" customHeight="1">
      <c r="A155" s="2">
        <v>15.0</v>
      </c>
      <c r="B155" s="2" t="s">
        <v>1069</v>
      </c>
      <c r="C155" s="2" t="s">
        <v>136</v>
      </c>
      <c r="D155" s="2" t="s">
        <v>145</v>
      </c>
      <c r="E155" s="2">
        <v>2.33</v>
      </c>
      <c r="F155" s="2">
        <v>-4.0</v>
      </c>
      <c r="G155" s="2">
        <v>6.33</v>
      </c>
      <c r="H155" s="2">
        <v>-2.5</v>
      </c>
      <c r="I155" s="2">
        <v>4.83</v>
      </c>
      <c r="J155" s="2">
        <v>52.96</v>
      </c>
      <c r="K155" s="2">
        <v>66.0</v>
      </c>
      <c r="L155" s="2">
        <v>13.04</v>
      </c>
      <c r="M155" s="2">
        <v>49.5</v>
      </c>
      <c r="N155" s="2">
        <v>3.46</v>
      </c>
      <c r="O155" s="2">
        <v>0.0</v>
      </c>
      <c r="P155" s="2">
        <v>1.0</v>
      </c>
    </row>
    <row r="156" ht="15.0" customHeight="1">
      <c r="A156" s="2">
        <v>15.0</v>
      </c>
      <c r="B156" s="2" t="s">
        <v>1071</v>
      </c>
      <c r="C156" s="2" t="s">
        <v>253</v>
      </c>
      <c r="D156" s="2" t="s">
        <v>235</v>
      </c>
      <c r="E156" s="2">
        <v>1.83</v>
      </c>
      <c r="F156" s="2">
        <v>-8.0</v>
      </c>
      <c r="G156" s="2">
        <v>9.83</v>
      </c>
      <c r="H156" s="2">
        <v>2.5</v>
      </c>
      <c r="I156" s="2">
        <v>-0.67</v>
      </c>
      <c r="J156" s="2">
        <v>50.43</v>
      </c>
      <c r="K156" s="2">
        <v>50.0</v>
      </c>
      <c r="L156" s="2">
        <v>0.43</v>
      </c>
      <c r="M156" s="2">
        <v>46.5</v>
      </c>
      <c r="N156" s="2">
        <v>3.93</v>
      </c>
      <c r="O156" s="2">
        <v>1.0</v>
      </c>
      <c r="P156" s="2">
        <v>1.0</v>
      </c>
    </row>
    <row r="157" ht="15.0" customHeight="1">
      <c r="A157" s="2">
        <v>15.0</v>
      </c>
      <c r="B157" s="2" t="s">
        <v>1073</v>
      </c>
      <c r="C157" s="2" t="s">
        <v>222</v>
      </c>
      <c r="D157" s="2" t="s">
        <v>147</v>
      </c>
      <c r="E157" s="2">
        <v>11.69</v>
      </c>
      <c r="F157" s="2">
        <v>31.0</v>
      </c>
      <c r="G157" s="2">
        <v>19.31</v>
      </c>
      <c r="H157" s="2">
        <v>12.5</v>
      </c>
      <c r="I157" s="2">
        <v>-0.81</v>
      </c>
      <c r="J157" s="2">
        <v>36.66</v>
      </c>
      <c r="K157" s="2">
        <v>31.0</v>
      </c>
      <c r="L157" s="2">
        <v>5.66</v>
      </c>
      <c r="M157" s="2">
        <v>37.5</v>
      </c>
      <c r="N157" s="2">
        <v>-0.84</v>
      </c>
      <c r="O157" s="2">
        <v>0.0</v>
      </c>
      <c r="P157" s="2">
        <v>1.0</v>
      </c>
    </row>
    <row r="158" ht="15.0" customHeight="1">
      <c r="A158" s="2">
        <v>15.0</v>
      </c>
      <c r="B158" s="2" t="s">
        <v>1077</v>
      </c>
      <c r="C158" s="2" t="s">
        <v>205</v>
      </c>
      <c r="D158" s="2" t="s">
        <v>139</v>
      </c>
      <c r="E158" s="2">
        <v>-0.71</v>
      </c>
      <c r="F158" s="2">
        <v>8.0</v>
      </c>
      <c r="G158" s="2">
        <v>8.71</v>
      </c>
      <c r="H158" s="2">
        <v>-1.5</v>
      </c>
      <c r="I158" s="2">
        <v>0.79</v>
      </c>
      <c r="J158" s="2">
        <v>39.33</v>
      </c>
      <c r="K158" s="2">
        <v>60.0</v>
      </c>
      <c r="L158" s="2">
        <v>20.67</v>
      </c>
      <c r="M158" s="2">
        <v>42.5</v>
      </c>
      <c r="N158" s="2">
        <v>-3.17</v>
      </c>
      <c r="O158" s="2">
        <v>1.0</v>
      </c>
      <c r="P158" s="2">
        <v>0.0</v>
      </c>
    </row>
    <row r="159" ht="15.0" customHeight="1">
      <c r="A159" s="2">
        <v>15.0</v>
      </c>
      <c r="B159" s="2" t="s">
        <v>1079</v>
      </c>
      <c r="C159" s="2" t="s">
        <v>202</v>
      </c>
      <c r="D159" s="2" t="s">
        <v>142</v>
      </c>
      <c r="E159" s="2">
        <v>6.81</v>
      </c>
      <c r="F159" s="2">
        <v>7.0</v>
      </c>
      <c r="G159" s="2">
        <v>0.19</v>
      </c>
      <c r="H159" s="2">
        <v>5.5</v>
      </c>
      <c r="I159" s="2">
        <v>1.31</v>
      </c>
      <c r="J159" s="2">
        <v>55.87</v>
      </c>
      <c r="K159" s="2">
        <v>75.0</v>
      </c>
      <c r="L159" s="2">
        <v>19.13</v>
      </c>
      <c r="M159" s="2">
        <v>54.5</v>
      </c>
      <c r="N159" s="2">
        <v>1.37</v>
      </c>
      <c r="O159" s="2">
        <v>1.0</v>
      </c>
      <c r="P159" s="2">
        <v>1.0</v>
      </c>
    </row>
    <row r="160" ht="15.0" customHeight="1">
      <c r="A160" s="2">
        <v>15.0</v>
      </c>
      <c r="B160" s="2" t="s">
        <v>1081</v>
      </c>
      <c r="C160" s="2" t="s">
        <v>189</v>
      </c>
      <c r="D160" s="2" t="s">
        <v>232</v>
      </c>
      <c r="E160" s="2">
        <v>-1.74</v>
      </c>
      <c r="F160" s="2">
        <v>3.0</v>
      </c>
      <c r="G160" s="2">
        <v>4.74</v>
      </c>
      <c r="H160" s="2">
        <v>-2.5</v>
      </c>
      <c r="I160" s="2">
        <v>0.76</v>
      </c>
      <c r="J160" s="2">
        <v>35.62</v>
      </c>
      <c r="K160" s="2">
        <v>37.0</v>
      </c>
      <c r="L160" s="2">
        <v>1.38</v>
      </c>
      <c r="M160" s="2">
        <v>41.5</v>
      </c>
      <c r="N160" s="2">
        <v>-5.88</v>
      </c>
      <c r="O160" s="2">
        <v>1.0</v>
      </c>
      <c r="P160" s="2">
        <v>1.0</v>
      </c>
    </row>
    <row r="161" ht="15.0" customHeight="1">
      <c r="A161" s="2">
        <v>15.0</v>
      </c>
      <c r="B161" s="2" t="s">
        <v>1083</v>
      </c>
      <c r="C161" s="2" t="s">
        <v>210</v>
      </c>
      <c r="D161" s="2" t="s">
        <v>149</v>
      </c>
      <c r="E161" s="2">
        <v>6.59</v>
      </c>
      <c r="F161" s="2">
        <v>2.0</v>
      </c>
      <c r="G161" s="2">
        <v>4.59</v>
      </c>
      <c r="H161" s="2">
        <v>13.5</v>
      </c>
      <c r="I161" s="2">
        <v>-6.91</v>
      </c>
      <c r="J161" s="2">
        <v>56.7</v>
      </c>
      <c r="K161" s="2">
        <v>34.0</v>
      </c>
      <c r="L161" s="2">
        <v>22.7</v>
      </c>
      <c r="M161" s="2">
        <v>41.5</v>
      </c>
      <c r="N161" s="2">
        <v>15.2</v>
      </c>
      <c r="O161" s="2">
        <v>1.0</v>
      </c>
      <c r="P161" s="2">
        <v>0.0</v>
      </c>
    </row>
    <row r="162" ht="15.0" customHeight="1">
      <c r="A162" s="2">
        <v>15.0</v>
      </c>
      <c r="B162" s="2" t="s">
        <v>1087</v>
      </c>
      <c r="C162" s="2" t="s">
        <v>250</v>
      </c>
      <c r="D162" s="2" t="s">
        <v>246</v>
      </c>
      <c r="E162" s="2">
        <v>12.88</v>
      </c>
      <c r="F162" s="2">
        <v>13.0</v>
      </c>
      <c r="G162" s="2">
        <v>0.12</v>
      </c>
      <c r="H162" s="2">
        <v>12.5</v>
      </c>
      <c r="I162" s="2">
        <v>0.38</v>
      </c>
      <c r="J162" s="2">
        <v>45.44</v>
      </c>
      <c r="K162" s="2">
        <v>61.0</v>
      </c>
      <c r="L162" s="2">
        <v>15.56</v>
      </c>
      <c r="M162" s="2">
        <v>44.5</v>
      </c>
      <c r="N162" s="2">
        <v>0.94</v>
      </c>
      <c r="O162" s="2">
        <v>1.0</v>
      </c>
      <c r="P162" s="2">
        <v>1.0</v>
      </c>
    </row>
    <row r="163" ht="15.0" customHeight="1">
      <c r="A163" s="2">
        <v>15.0</v>
      </c>
      <c r="B163" s="2" t="s">
        <v>1089</v>
      </c>
      <c r="C163" s="2" t="s">
        <v>144</v>
      </c>
      <c r="D163" s="2" t="s">
        <v>146</v>
      </c>
      <c r="E163" s="2">
        <v>3.36</v>
      </c>
      <c r="F163" s="2">
        <v>-8.0</v>
      </c>
      <c r="G163" s="2">
        <v>11.36</v>
      </c>
      <c r="H163" s="2">
        <v>5.5</v>
      </c>
      <c r="I163" s="2">
        <v>-2.14</v>
      </c>
      <c r="J163" s="2">
        <v>51.03</v>
      </c>
      <c r="K163" s="2">
        <v>60.0</v>
      </c>
      <c r="L163" s="2">
        <v>8.97</v>
      </c>
      <c r="M163" s="2">
        <v>47.5</v>
      </c>
      <c r="N163" s="2">
        <v>3.53</v>
      </c>
      <c r="O163" s="2">
        <v>1.0</v>
      </c>
      <c r="P163" s="2">
        <v>1.0</v>
      </c>
    </row>
    <row r="164" ht="15.0" customHeight="1">
      <c r="A164" s="2">
        <v>15.0</v>
      </c>
      <c r="B164" s="2" t="s">
        <v>1091</v>
      </c>
      <c r="C164" s="2" t="s">
        <v>225</v>
      </c>
      <c r="D164" s="2" t="s">
        <v>242</v>
      </c>
      <c r="E164" s="2">
        <v>3.93</v>
      </c>
      <c r="F164" s="2">
        <v>13.0</v>
      </c>
      <c r="G164" s="2">
        <v>9.07</v>
      </c>
      <c r="H164" s="2">
        <v>3.0</v>
      </c>
      <c r="I164" s="2">
        <v>0.93</v>
      </c>
      <c r="J164" s="2">
        <v>44.13</v>
      </c>
      <c r="K164" s="2">
        <v>43.0</v>
      </c>
      <c r="L164" s="2">
        <v>1.13</v>
      </c>
      <c r="M164" s="2">
        <v>42.5</v>
      </c>
      <c r="N164" s="2">
        <v>1.63</v>
      </c>
      <c r="O164" s="2">
        <v>1.0</v>
      </c>
      <c r="P164" s="2">
        <v>1.0</v>
      </c>
    </row>
    <row r="165" ht="15.0" customHeight="1">
      <c r="A165" s="2">
        <v>16.0</v>
      </c>
      <c r="B165" s="2" t="s">
        <v>1094</v>
      </c>
      <c r="C165" s="2" t="s">
        <v>142</v>
      </c>
      <c r="D165" s="2" t="s">
        <v>149</v>
      </c>
      <c r="E165" s="2">
        <v>0.76</v>
      </c>
      <c r="F165" s="2">
        <v>1.0</v>
      </c>
      <c r="G165" s="2">
        <v>0.24</v>
      </c>
      <c r="H165" s="2">
        <v>1.5</v>
      </c>
      <c r="I165" s="2">
        <v>-0.74</v>
      </c>
      <c r="J165" s="2">
        <v>48.88</v>
      </c>
      <c r="K165" s="2">
        <v>75.0</v>
      </c>
      <c r="L165" s="2">
        <v>26.12</v>
      </c>
      <c r="M165" s="2">
        <v>42.5</v>
      </c>
      <c r="N165" s="2">
        <v>6.38</v>
      </c>
      <c r="O165" s="2">
        <v>1.0</v>
      </c>
      <c r="P165" s="2">
        <v>1.0</v>
      </c>
    </row>
    <row r="166" ht="15.0" customHeight="1">
      <c r="A166" s="2">
        <v>16.0</v>
      </c>
      <c r="B166" s="2" t="s">
        <v>1097</v>
      </c>
      <c r="C166" s="2" t="s">
        <v>205</v>
      </c>
      <c r="D166" s="2" t="s">
        <v>137</v>
      </c>
      <c r="E166" s="2">
        <v>-1.4</v>
      </c>
      <c r="F166" s="2">
        <v>6.0</v>
      </c>
      <c r="G166" s="2">
        <v>7.4</v>
      </c>
      <c r="H166" s="2">
        <v>1.5</v>
      </c>
      <c r="I166" s="2">
        <v>-2.9</v>
      </c>
      <c r="J166" s="2">
        <v>49.01</v>
      </c>
      <c r="K166" s="2">
        <v>38.0</v>
      </c>
      <c r="L166" s="2">
        <v>11.01</v>
      </c>
      <c r="M166" s="2">
        <v>45.5</v>
      </c>
      <c r="N166" s="2">
        <v>3.51</v>
      </c>
      <c r="O166" s="2">
        <v>0.0</v>
      </c>
      <c r="P166" s="2">
        <v>0.0</v>
      </c>
    </row>
    <row r="167" ht="15.0" customHeight="1">
      <c r="A167" s="2">
        <v>16.0</v>
      </c>
      <c r="B167" s="2" t="s">
        <v>1101</v>
      </c>
      <c r="C167" s="2" t="s">
        <v>147</v>
      </c>
      <c r="D167" s="2" t="s">
        <v>253</v>
      </c>
      <c r="E167" s="2">
        <v>-4.85</v>
      </c>
      <c r="F167" s="2">
        <v>-11.0</v>
      </c>
      <c r="G167" s="2">
        <v>6.15</v>
      </c>
      <c r="H167" s="2">
        <v>-7.0</v>
      </c>
      <c r="I167" s="2">
        <v>2.15</v>
      </c>
      <c r="J167" s="2">
        <v>41.6</v>
      </c>
      <c r="K167" s="2">
        <v>47.0</v>
      </c>
      <c r="L167" s="2">
        <v>5.4</v>
      </c>
      <c r="M167" s="2">
        <v>43.5</v>
      </c>
      <c r="N167" s="2">
        <v>-1.9</v>
      </c>
      <c r="O167" s="2">
        <v>0.0</v>
      </c>
      <c r="P167" s="2">
        <v>0.0</v>
      </c>
    </row>
    <row r="168" ht="15.0" customHeight="1">
      <c r="A168" s="2">
        <v>16.0</v>
      </c>
      <c r="B168" s="2" t="s">
        <v>1104</v>
      </c>
      <c r="C168" s="2" t="s">
        <v>145</v>
      </c>
      <c r="D168" s="2" t="s">
        <v>148</v>
      </c>
      <c r="E168" s="2">
        <v>-1.02</v>
      </c>
      <c r="F168" s="2">
        <v>-4.0</v>
      </c>
      <c r="G168" s="2">
        <v>2.98</v>
      </c>
      <c r="H168" s="2">
        <v>3.5</v>
      </c>
      <c r="I168" s="2">
        <v>-4.52</v>
      </c>
      <c r="J168" s="2">
        <v>48.14</v>
      </c>
      <c r="K168" s="2">
        <v>52.0</v>
      </c>
      <c r="L168" s="2">
        <v>3.86</v>
      </c>
      <c r="M168" s="2">
        <v>48.5</v>
      </c>
      <c r="N168" s="2">
        <v>-0.36</v>
      </c>
      <c r="O168" s="2">
        <v>1.0</v>
      </c>
      <c r="P168" s="2">
        <v>0.0</v>
      </c>
    </row>
    <row r="169" ht="15.0" customHeight="1">
      <c r="A169" s="2">
        <v>16.0</v>
      </c>
      <c r="B169" s="2" t="s">
        <v>1107</v>
      </c>
      <c r="C169" s="2" t="s">
        <v>150</v>
      </c>
      <c r="D169" s="2" t="s">
        <v>189</v>
      </c>
      <c r="E169" s="2">
        <v>0.16</v>
      </c>
      <c r="F169" s="2">
        <v>3.0</v>
      </c>
      <c r="G169" s="2">
        <v>2.84</v>
      </c>
      <c r="H169" s="2">
        <v>-3.0</v>
      </c>
      <c r="I169" s="2">
        <v>3.16</v>
      </c>
      <c r="J169" s="2">
        <v>45.29</v>
      </c>
      <c r="K169" s="2">
        <v>43.0</v>
      </c>
      <c r="L169" s="2">
        <v>2.29</v>
      </c>
      <c r="M169" s="2">
        <v>44.5</v>
      </c>
      <c r="N169" s="2">
        <v>0.79</v>
      </c>
      <c r="O169" s="2">
        <v>1.0</v>
      </c>
      <c r="P169" s="2">
        <v>0.0</v>
      </c>
    </row>
    <row r="170" ht="15.0" customHeight="1">
      <c r="A170" s="2">
        <v>16.0</v>
      </c>
      <c r="B170" s="2" t="s">
        <v>1109</v>
      </c>
      <c r="C170" s="2" t="s">
        <v>136</v>
      </c>
      <c r="D170" s="2" t="s">
        <v>196</v>
      </c>
      <c r="E170" s="2">
        <v>-7.99</v>
      </c>
      <c r="F170" s="2">
        <v>-3.0</v>
      </c>
      <c r="G170" s="2">
        <v>4.99</v>
      </c>
      <c r="H170" s="2">
        <v>-10.5</v>
      </c>
      <c r="I170" s="2">
        <v>2.51</v>
      </c>
      <c r="J170" s="2">
        <v>46.99</v>
      </c>
      <c r="K170" s="2">
        <v>43.0</v>
      </c>
      <c r="L170" s="2">
        <v>3.99</v>
      </c>
      <c r="M170" s="2">
        <v>41.5</v>
      </c>
      <c r="N170" s="2">
        <v>5.49</v>
      </c>
      <c r="O170" s="2">
        <v>1.0</v>
      </c>
      <c r="P170" s="2">
        <v>1.0</v>
      </c>
    </row>
    <row r="171" ht="15.0" customHeight="1">
      <c r="A171" s="2">
        <v>16.0</v>
      </c>
      <c r="B171" s="2" t="s">
        <v>1111</v>
      </c>
      <c r="C171" s="2" t="s">
        <v>220</v>
      </c>
      <c r="D171" s="2" t="s">
        <v>146</v>
      </c>
      <c r="E171" s="2">
        <v>-3.37</v>
      </c>
      <c r="F171" s="2">
        <v>-17.0</v>
      </c>
      <c r="G171" s="2">
        <v>13.63</v>
      </c>
      <c r="H171" s="2">
        <v>1.5</v>
      </c>
      <c r="I171" s="2">
        <v>-4.87</v>
      </c>
      <c r="J171" s="2">
        <v>57.91</v>
      </c>
      <c r="K171" s="2">
        <v>51.0</v>
      </c>
      <c r="L171" s="2">
        <v>6.91</v>
      </c>
      <c r="M171" s="2">
        <v>50.5</v>
      </c>
      <c r="N171" s="2">
        <v>7.41</v>
      </c>
      <c r="O171" s="2">
        <v>1.0</v>
      </c>
      <c r="P171" s="2">
        <v>1.0</v>
      </c>
    </row>
    <row r="172" ht="15.0" customHeight="1">
      <c r="A172" s="2">
        <v>16.0</v>
      </c>
      <c r="B172" s="2" t="s">
        <v>1113</v>
      </c>
      <c r="C172" s="2" t="s">
        <v>238</v>
      </c>
      <c r="D172" s="2" t="s">
        <v>232</v>
      </c>
      <c r="E172" s="2">
        <v>5.61</v>
      </c>
      <c r="F172" s="2">
        <v>23.0</v>
      </c>
      <c r="G172" s="2">
        <v>17.39</v>
      </c>
      <c r="H172" s="2">
        <v>6.5</v>
      </c>
      <c r="I172" s="2">
        <v>-0.89</v>
      </c>
      <c r="J172" s="2">
        <v>39.31</v>
      </c>
      <c r="K172" s="2">
        <v>35.0</v>
      </c>
      <c r="L172" s="2">
        <v>4.31</v>
      </c>
      <c r="M172" s="2">
        <v>39.5</v>
      </c>
      <c r="N172" s="2">
        <v>-0.19</v>
      </c>
      <c r="O172" s="2">
        <v>0.0</v>
      </c>
      <c r="P172" s="2">
        <v>1.0</v>
      </c>
    </row>
    <row r="173" ht="15.0" customHeight="1">
      <c r="A173" s="2">
        <v>16.0</v>
      </c>
      <c r="B173" s="2" t="s">
        <v>1115</v>
      </c>
      <c r="C173" s="2" t="s">
        <v>144</v>
      </c>
      <c r="D173" s="2" t="s">
        <v>235</v>
      </c>
      <c r="E173" s="2">
        <v>-1.19</v>
      </c>
      <c r="F173" s="2">
        <v>-3.0</v>
      </c>
      <c r="G173" s="2">
        <v>1.81</v>
      </c>
      <c r="H173" s="2">
        <v>-2.5</v>
      </c>
      <c r="I173" s="2">
        <v>1.31</v>
      </c>
      <c r="J173" s="2">
        <v>42.3</v>
      </c>
      <c r="K173" s="2">
        <v>29.0</v>
      </c>
      <c r="L173" s="2">
        <v>13.3</v>
      </c>
      <c r="M173" s="2">
        <v>41.5</v>
      </c>
      <c r="N173" s="2">
        <v>0.8</v>
      </c>
      <c r="O173" s="2">
        <v>0.0</v>
      </c>
      <c r="P173" s="2">
        <v>0.0</v>
      </c>
    </row>
    <row r="174" ht="15.0" customHeight="1">
      <c r="A174" s="2">
        <v>16.0</v>
      </c>
      <c r="B174" s="2" t="s">
        <v>1117</v>
      </c>
      <c r="C174" s="2" t="s">
        <v>143</v>
      </c>
      <c r="D174" s="2" t="s">
        <v>250</v>
      </c>
      <c r="E174" s="2">
        <v>-7.43</v>
      </c>
      <c r="F174" s="2">
        <v>17.0</v>
      </c>
      <c r="G174" s="2">
        <v>24.43</v>
      </c>
      <c r="H174" s="2">
        <v>-3.5</v>
      </c>
      <c r="I174" s="2">
        <v>-3.93</v>
      </c>
      <c r="J174" s="2">
        <v>41.93</v>
      </c>
      <c r="K174" s="2">
        <v>35.0</v>
      </c>
      <c r="L174" s="2">
        <v>6.93</v>
      </c>
      <c r="M174" s="2">
        <v>37.5</v>
      </c>
      <c r="N174" s="2">
        <v>4.43</v>
      </c>
      <c r="O174" s="2">
        <v>0.0</v>
      </c>
      <c r="P174" s="2">
        <v>0.0</v>
      </c>
    </row>
    <row r="175" ht="15.0" customHeight="1">
      <c r="A175" s="2">
        <v>16.0</v>
      </c>
      <c r="B175" s="2" t="s">
        <v>1121</v>
      </c>
      <c r="C175" s="2" t="s">
        <v>132</v>
      </c>
      <c r="D175" s="2" t="s">
        <v>178</v>
      </c>
      <c r="E175" s="2">
        <v>0.62</v>
      </c>
      <c r="F175" s="2">
        <v>-7.0</v>
      </c>
      <c r="G175" s="2">
        <v>7.62</v>
      </c>
      <c r="H175" s="2">
        <v>-2.5</v>
      </c>
      <c r="I175" s="2">
        <v>3.12</v>
      </c>
      <c r="J175" s="2">
        <v>45.34</v>
      </c>
      <c r="K175" s="2">
        <v>45.0</v>
      </c>
      <c r="L175" s="2">
        <v>0.34</v>
      </c>
      <c r="M175" s="2">
        <v>48.5</v>
      </c>
      <c r="N175" s="2">
        <v>-3.16</v>
      </c>
      <c r="O175" s="2">
        <v>0.0</v>
      </c>
      <c r="P175" s="2">
        <v>1.0</v>
      </c>
    </row>
    <row r="176" ht="15.0" customHeight="1">
      <c r="A176" s="2">
        <v>16.0</v>
      </c>
      <c r="B176" s="2" t="s">
        <v>1123</v>
      </c>
      <c r="C176" s="2" t="s">
        <v>141</v>
      </c>
      <c r="D176" s="2" t="s">
        <v>139</v>
      </c>
      <c r="E176" s="2">
        <v>-0.31</v>
      </c>
      <c r="F176" s="2">
        <v>-14.0</v>
      </c>
      <c r="G176" s="2">
        <v>13.69</v>
      </c>
      <c r="H176" s="2">
        <v>3.5</v>
      </c>
      <c r="I176" s="2">
        <v>-3.81</v>
      </c>
      <c r="J176" s="2">
        <v>45.01</v>
      </c>
      <c r="K176" s="2">
        <v>54.0</v>
      </c>
      <c r="L176" s="2">
        <v>8.99</v>
      </c>
      <c r="M176" s="2">
        <v>46.5</v>
      </c>
      <c r="N176" s="2">
        <v>-1.49</v>
      </c>
      <c r="O176" s="2">
        <v>1.0</v>
      </c>
      <c r="P176" s="2">
        <v>0.0</v>
      </c>
    </row>
    <row r="177" ht="15.0" customHeight="1">
      <c r="A177" s="2">
        <v>16.0</v>
      </c>
      <c r="B177" s="2" t="s">
        <v>1125</v>
      </c>
      <c r="C177" s="2" t="s">
        <v>242</v>
      </c>
      <c r="D177" s="2" t="s">
        <v>202</v>
      </c>
      <c r="E177" s="2">
        <v>4.09</v>
      </c>
      <c r="F177" s="2">
        <v>-5.0</v>
      </c>
      <c r="G177" s="2">
        <v>9.09</v>
      </c>
      <c r="H177" s="2">
        <v>7.5</v>
      </c>
      <c r="I177" s="2">
        <v>-3.41</v>
      </c>
      <c r="J177" s="2">
        <v>55.52</v>
      </c>
      <c r="K177" s="2">
        <v>53.0</v>
      </c>
      <c r="L177" s="2">
        <v>2.52</v>
      </c>
      <c r="M177" s="2">
        <v>52.5</v>
      </c>
      <c r="N177" s="2">
        <v>3.02</v>
      </c>
      <c r="O177" s="2">
        <v>1.0</v>
      </c>
      <c r="P177" s="2">
        <v>1.0</v>
      </c>
    </row>
    <row r="178" ht="15.0" customHeight="1">
      <c r="A178" s="2">
        <v>16.0</v>
      </c>
      <c r="B178" s="2" t="s">
        <v>1127</v>
      </c>
      <c r="C178" s="2" t="s">
        <v>222</v>
      </c>
      <c r="D178" s="2" t="s">
        <v>140</v>
      </c>
      <c r="E178" s="2">
        <v>16.31</v>
      </c>
      <c r="F178" s="2">
        <v>2.0</v>
      </c>
      <c r="G178" s="2">
        <v>14.31</v>
      </c>
      <c r="H178" s="2">
        <v>14.5</v>
      </c>
      <c r="I178" s="2">
        <v>1.81</v>
      </c>
      <c r="J178" s="2">
        <v>33.64</v>
      </c>
      <c r="K178" s="2">
        <v>44.0</v>
      </c>
      <c r="L178" s="2">
        <v>10.36</v>
      </c>
      <c r="M178" s="2">
        <v>39.5</v>
      </c>
      <c r="N178" s="2">
        <v>-5.86</v>
      </c>
      <c r="O178" s="2">
        <v>0.0</v>
      </c>
      <c r="P178" s="2">
        <v>0.0</v>
      </c>
    </row>
    <row r="179" ht="15.0" customHeight="1">
      <c r="A179" s="2">
        <v>16.0</v>
      </c>
      <c r="B179" s="2" t="s">
        <v>1129</v>
      </c>
      <c r="C179" s="2" t="s">
        <v>138</v>
      </c>
      <c r="D179" s="2" t="s">
        <v>225</v>
      </c>
      <c r="E179" s="2">
        <v>3.78</v>
      </c>
      <c r="F179" s="2">
        <v>-24.0</v>
      </c>
      <c r="G179" s="2">
        <v>27.78</v>
      </c>
      <c r="H179" s="2">
        <v>-3.5</v>
      </c>
      <c r="I179" s="2">
        <v>7.28</v>
      </c>
      <c r="J179" s="2">
        <v>47.6</v>
      </c>
      <c r="K179" s="2">
        <v>66.0</v>
      </c>
      <c r="L179" s="2">
        <v>18.4</v>
      </c>
      <c r="M179" s="2">
        <v>48.5</v>
      </c>
      <c r="N179" s="2">
        <v>-0.9</v>
      </c>
      <c r="O179" s="2">
        <v>0.0</v>
      </c>
      <c r="P179" s="2">
        <v>0.0</v>
      </c>
    </row>
    <row r="180" ht="15.0" customHeight="1">
      <c r="A180" s="2">
        <v>16.0</v>
      </c>
      <c r="B180" s="2" t="s">
        <v>1133</v>
      </c>
      <c r="C180" s="2" t="s">
        <v>246</v>
      </c>
      <c r="D180" s="2" t="s">
        <v>210</v>
      </c>
      <c r="E180" s="2">
        <v>0.78</v>
      </c>
      <c r="F180" s="2">
        <v>-21.0</v>
      </c>
      <c r="G180" s="2">
        <v>21.78</v>
      </c>
      <c r="H180" s="2">
        <v>-4.5</v>
      </c>
      <c r="I180" s="2">
        <v>5.28</v>
      </c>
      <c r="J180" s="2">
        <v>54.79</v>
      </c>
      <c r="K180" s="2">
        <v>75.0</v>
      </c>
      <c r="L180" s="2">
        <v>20.21</v>
      </c>
      <c r="M180" s="2">
        <v>46.5</v>
      </c>
      <c r="N180" s="2">
        <v>8.29</v>
      </c>
      <c r="O180" s="2">
        <v>0.0</v>
      </c>
      <c r="P180" s="2">
        <v>1.0</v>
      </c>
    </row>
    <row r="181" ht="15.0" customHeight="1">
      <c r="A181" s="2">
        <v>17.0</v>
      </c>
      <c r="B181" s="2" t="s">
        <v>1136</v>
      </c>
      <c r="C181" s="2" t="s">
        <v>146</v>
      </c>
      <c r="D181" s="2" t="s">
        <v>253</v>
      </c>
      <c r="E181" s="2">
        <v>1.23</v>
      </c>
      <c r="F181" s="2">
        <v>-7.0</v>
      </c>
      <c r="G181" s="2">
        <v>8.23</v>
      </c>
      <c r="H181" s="2">
        <v>-8.5</v>
      </c>
      <c r="I181" s="2">
        <v>9.73</v>
      </c>
      <c r="J181" s="2">
        <v>61.49</v>
      </c>
      <c r="K181" s="2">
        <v>53.0</v>
      </c>
      <c r="L181" s="2">
        <v>8.49</v>
      </c>
      <c r="M181" s="2">
        <v>50.5</v>
      </c>
      <c r="N181" s="2">
        <v>10.99</v>
      </c>
      <c r="O181" s="2">
        <v>1.0</v>
      </c>
      <c r="P181" s="2">
        <v>1.0</v>
      </c>
    </row>
    <row r="182" ht="15.0" customHeight="1">
      <c r="A182" s="2">
        <v>17.0</v>
      </c>
      <c r="B182" s="2" t="s">
        <v>1141</v>
      </c>
      <c r="C182" s="2" t="s">
        <v>202</v>
      </c>
      <c r="D182" s="2" t="s">
        <v>144</v>
      </c>
      <c r="E182" s="2">
        <v>-1.81</v>
      </c>
      <c r="F182" s="2">
        <v>13.0</v>
      </c>
      <c r="G182" s="2">
        <v>14.81</v>
      </c>
      <c r="H182" s="2">
        <v>-7.0</v>
      </c>
      <c r="I182" s="2">
        <v>5.19</v>
      </c>
      <c r="J182" s="2">
        <v>48.68</v>
      </c>
      <c r="K182" s="2">
        <v>33.0</v>
      </c>
      <c r="L182" s="2">
        <v>15.68</v>
      </c>
      <c r="M182" s="2">
        <v>45.5</v>
      </c>
      <c r="N182" s="2">
        <v>3.18</v>
      </c>
      <c r="O182" s="2">
        <v>1.0</v>
      </c>
      <c r="P182" s="2">
        <v>0.0</v>
      </c>
    </row>
    <row r="183" ht="15.0" customHeight="1">
      <c r="A183" s="2">
        <v>17.0</v>
      </c>
      <c r="B183" s="2" t="s">
        <v>1143</v>
      </c>
      <c r="C183" s="2" t="s">
        <v>139</v>
      </c>
      <c r="D183" s="2" t="s">
        <v>143</v>
      </c>
      <c r="E183" s="2">
        <v>-0.2</v>
      </c>
      <c r="F183" s="2">
        <v>-7.0</v>
      </c>
      <c r="G183" s="2">
        <v>6.8</v>
      </c>
      <c r="H183" s="2">
        <v>-13.5</v>
      </c>
      <c r="I183" s="2">
        <v>13.3</v>
      </c>
      <c r="J183" s="2">
        <v>39.77</v>
      </c>
      <c r="K183" s="2">
        <v>33.0</v>
      </c>
      <c r="L183" s="2">
        <v>6.77</v>
      </c>
      <c r="M183" s="2">
        <v>37.5</v>
      </c>
      <c r="N183" s="2">
        <v>2.27</v>
      </c>
      <c r="O183" s="2">
        <v>1.0</v>
      </c>
      <c r="P183" s="2">
        <v>0.0</v>
      </c>
    </row>
    <row r="184" ht="15.0" customHeight="1">
      <c r="A184" s="2">
        <v>17.0</v>
      </c>
      <c r="B184" s="2" t="s">
        <v>1147</v>
      </c>
      <c r="C184" s="2" t="s">
        <v>149</v>
      </c>
      <c r="D184" s="2" t="s">
        <v>189</v>
      </c>
      <c r="E184" s="2">
        <v>-7.67</v>
      </c>
      <c r="F184" s="2">
        <v>-17.0</v>
      </c>
      <c r="G184" s="2">
        <v>9.33</v>
      </c>
      <c r="H184" s="2">
        <v>-6.5</v>
      </c>
      <c r="I184" s="2">
        <v>-1.17</v>
      </c>
      <c r="J184" s="2">
        <v>42.61</v>
      </c>
      <c r="K184" s="2">
        <v>37.0</v>
      </c>
      <c r="L184" s="2">
        <v>5.61</v>
      </c>
      <c r="M184" s="2">
        <v>42.5</v>
      </c>
      <c r="N184" s="2">
        <v>0.11</v>
      </c>
      <c r="O184" s="2">
        <v>1.0</v>
      </c>
      <c r="P184" s="2">
        <v>0.0</v>
      </c>
    </row>
    <row r="185" ht="15.0" customHeight="1">
      <c r="A185" s="2">
        <v>17.0</v>
      </c>
      <c r="B185" s="2" t="s">
        <v>1150</v>
      </c>
      <c r="C185" s="2" t="s">
        <v>178</v>
      </c>
      <c r="D185" s="2" t="s">
        <v>138</v>
      </c>
      <c r="E185" s="2">
        <v>-0.22</v>
      </c>
      <c r="F185" s="2">
        <v>23.0</v>
      </c>
      <c r="G185" s="2">
        <v>23.22</v>
      </c>
      <c r="H185" s="2">
        <v>7.0</v>
      </c>
      <c r="I185" s="2">
        <v>-7.22</v>
      </c>
      <c r="J185" s="2">
        <v>51.34</v>
      </c>
      <c r="K185" s="2">
        <v>51.0</v>
      </c>
      <c r="L185" s="2">
        <v>0.34</v>
      </c>
      <c r="M185" s="2">
        <v>52.5</v>
      </c>
      <c r="N185" s="2">
        <v>-1.16</v>
      </c>
      <c r="O185" s="2">
        <v>0.0</v>
      </c>
      <c r="P185" s="2">
        <v>1.0</v>
      </c>
    </row>
    <row r="186" ht="15.0" customHeight="1">
      <c r="A186" s="2">
        <v>17.0</v>
      </c>
      <c r="B186" s="2" t="s">
        <v>1152</v>
      </c>
      <c r="C186" s="2" t="s">
        <v>242</v>
      </c>
      <c r="D186" s="2" t="s">
        <v>196</v>
      </c>
      <c r="E186" s="2">
        <v>-6.24</v>
      </c>
      <c r="F186" s="2">
        <v>7.0</v>
      </c>
      <c r="G186" s="2">
        <v>13.24</v>
      </c>
      <c r="H186" s="2">
        <v>-4.5</v>
      </c>
      <c r="I186" s="2">
        <v>-1.74</v>
      </c>
      <c r="J186" s="2">
        <v>37.21</v>
      </c>
      <c r="K186" s="2">
        <v>19.0</v>
      </c>
      <c r="L186" s="2">
        <v>18.21</v>
      </c>
      <c r="M186" s="2">
        <v>35.5</v>
      </c>
      <c r="N186" s="2">
        <v>1.71</v>
      </c>
      <c r="O186" s="2">
        <v>0.0</v>
      </c>
      <c r="P186" s="2">
        <v>0.0</v>
      </c>
    </row>
    <row r="187" ht="15.0" customHeight="1">
      <c r="A187" s="2">
        <v>17.0</v>
      </c>
      <c r="B187" s="2" t="s">
        <v>1154</v>
      </c>
      <c r="C187" s="2" t="s">
        <v>148</v>
      </c>
      <c r="D187" s="2" t="s">
        <v>205</v>
      </c>
      <c r="E187" s="2">
        <v>5.35</v>
      </c>
      <c r="F187" s="2">
        <v>-17.0</v>
      </c>
      <c r="G187" s="2">
        <v>22.35</v>
      </c>
      <c r="H187" s="2">
        <v>2.5</v>
      </c>
      <c r="I187" s="2">
        <v>2.85</v>
      </c>
      <c r="J187" s="2">
        <v>46.49</v>
      </c>
      <c r="K187" s="2">
        <v>65.0</v>
      </c>
      <c r="L187" s="2">
        <v>18.51</v>
      </c>
      <c r="M187" s="2">
        <v>38.5</v>
      </c>
      <c r="N187" s="2">
        <v>7.99</v>
      </c>
      <c r="O187" s="2">
        <v>0.0</v>
      </c>
      <c r="P187" s="2">
        <v>1.0</v>
      </c>
    </row>
    <row r="188" ht="15.0" customHeight="1">
      <c r="A188" s="2">
        <v>17.0</v>
      </c>
      <c r="B188" s="2" t="s">
        <v>1158</v>
      </c>
      <c r="C188" s="2" t="s">
        <v>141</v>
      </c>
      <c r="D188" s="2" t="s">
        <v>210</v>
      </c>
      <c r="E188" s="2">
        <v>-2.77</v>
      </c>
      <c r="F188" s="2">
        <v>-6.0</v>
      </c>
      <c r="G188" s="2">
        <v>3.23</v>
      </c>
      <c r="H188" s="2">
        <v>-3.5</v>
      </c>
      <c r="I188" s="2">
        <v>0.73</v>
      </c>
      <c r="J188" s="2">
        <v>55.73</v>
      </c>
      <c r="K188" s="2">
        <v>40.0</v>
      </c>
      <c r="L188" s="2">
        <v>15.73</v>
      </c>
      <c r="M188" s="2">
        <v>48.5</v>
      </c>
      <c r="N188" s="2">
        <v>7.23</v>
      </c>
      <c r="O188" s="2">
        <v>0.0</v>
      </c>
      <c r="P188" s="2">
        <v>0.0</v>
      </c>
    </row>
    <row r="189" ht="15.0" customHeight="1">
      <c r="A189" s="2">
        <v>17.0</v>
      </c>
      <c r="B189" s="2" t="s">
        <v>1160</v>
      </c>
      <c r="C189" s="2" t="s">
        <v>140</v>
      </c>
      <c r="D189" s="2" t="s">
        <v>220</v>
      </c>
      <c r="E189" s="2">
        <v>-1.62</v>
      </c>
      <c r="F189" s="2">
        <v>-4.0</v>
      </c>
      <c r="G189" s="2">
        <v>2.38</v>
      </c>
      <c r="H189" s="2">
        <v>1.5</v>
      </c>
      <c r="I189" s="2">
        <v>-3.12</v>
      </c>
      <c r="J189" s="2">
        <v>36.67</v>
      </c>
      <c r="K189" s="2">
        <v>36.0</v>
      </c>
      <c r="L189" s="2">
        <v>0.67</v>
      </c>
      <c r="M189" s="2">
        <v>40.5</v>
      </c>
      <c r="N189" s="2">
        <v>-3.83</v>
      </c>
      <c r="O189" s="2">
        <v>1.0</v>
      </c>
      <c r="P189" s="2">
        <v>1.0</v>
      </c>
    </row>
    <row r="190" ht="15.0" customHeight="1">
      <c r="A190" s="2">
        <v>17.0</v>
      </c>
      <c r="B190" s="2" t="s">
        <v>1162</v>
      </c>
      <c r="C190" s="2" t="s">
        <v>235</v>
      </c>
      <c r="D190" s="2" t="s">
        <v>222</v>
      </c>
      <c r="E190" s="2">
        <v>0.75</v>
      </c>
      <c r="F190" s="2">
        <v>-24.0</v>
      </c>
      <c r="G190" s="2">
        <v>24.75</v>
      </c>
      <c r="H190" s="2">
        <v>-3.0</v>
      </c>
      <c r="I190" s="2">
        <v>3.75</v>
      </c>
      <c r="J190" s="2">
        <v>42.13</v>
      </c>
      <c r="K190" s="2">
        <v>44.0</v>
      </c>
      <c r="L190" s="2">
        <v>1.87</v>
      </c>
      <c r="M190" s="2">
        <v>40.5</v>
      </c>
      <c r="N190" s="2">
        <v>1.63</v>
      </c>
      <c r="O190" s="2">
        <v>0.0</v>
      </c>
      <c r="P190" s="2">
        <v>1.0</v>
      </c>
    </row>
    <row r="191" ht="15.0" customHeight="1">
      <c r="A191" s="2">
        <v>17.0</v>
      </c>
      <c r="B191" s="2" t="s">
        <v>1164</v>
      </c>
      <c r="C191" s="2" t="s">
        <v>150</v>
      </c>
      <c r="D191" s="2" t="s">
        <v>225</v>
      </c>
      <c r="E191" s="2">
        <v>-2.3</v>
      </c>
      <c r="F191" s="2">
        <v>3.0</v>
      </c>
      <c r="G191" s="2">
        <v>5.3</v>
      </c>
      <c r="H191" s="2">
        <v>-5.5</v>
      </c>
      <c r="I191" s="2">
        <v>3.2</v>
      </c>
      <c r="J191" s="2">
        <v>49.48</v>
      </c>
      <c r="K191" s="2">
        <v>37.0</v>
      </c>
      <c r="L191" s="2">
        <v>12.48</v>
      </c>
      <c r="M191" s="2">
        <v>44.5</v>
      </c>
      <c r="N191" s="2">
        <v>4.98</v>
      </c>
      <c r="O191" s="2">
        <v>1.0</v>
      </c>
      <c r="P191" s="2">
        <v>0.0</v>
      </c>
    </row>
    <row r="192" ht="15.0" customHeight="1">
      <c r="A192" s="2">
        <v>17.0</v>
      </c>
      <c r="B192" s="2" t="s">
        <v>1166</v>
      </c>
      <c r="C192" s="2" t="s">
        <v>145</v>
      </c>
      <c r="D192" s="2" t="s">
        <v>238</v>
      </c>
      <c r="E192" s="2">
        <v>-9.97</v>
      </c>
      <c r="F192" s="2">
        <v>-32.0</v>
      </c>
      <c r="G192" s="2">
        <v>22.03</v>
      </c>
      <c r="H192" s="2">
        <v>-12.5</v>
      </c>
      <c r="I192" s="2">
        <v>2.53</v>
      </c>
      <c r="J192" s="2">
        <v>46.88</v>
      </c>
      <c r="K192" s="2">
        <v>52.0</v>
      </c>
      <c r="L192" s="2">
        <v>5.12</v>
      </c>
      <c r="M192" s="2">
        <v>42.5</v>
      </c>
      <c r="N192" s="2">
        <v>4.38</v>
      </c>
      <c r="O192" s="2">
        <v>0.0</v>
      </c>
      <c r="P192" s="2">
        <v>1.0</v>
      </c>
    </row>
    <row r="193" ht="15.0" customHeight="1">
      <c r="A193" s="2">
        <v>17.0</v>
      </c>
      <c r="B193" s="2" t="s">
        <v>1168</v>
      </c>
      <c r="C193" s="2" t="s">
        <v>232</v>
      </c>
      <c r="D193" s="2" t="s">
        <v>250</v>
      </c>
      <c r="E193" s="2">
        <v>-0.6</v>
      </c>
      <c r="F193" s="2">
        <v>-8.0</v>
      </c>
      <c r="G193" s="2">
        <v>7.4</v>
      </c>
      <c r="H193" s="2">
        <v>-1.5</v>
      </c>
      <c r="I193" s="2">
        <v>0.9</v>
      </c>
      <c r="J193" s="2">
        <v>36.99</v>
      </c>
      <c r="K193" s="2">
        <v>60.0</v>
      </c>
      <c r="L193" s="2">
        <v>23.01</v>
      </c>
      <c r="M193" s="2">
        <v>39.5</v>
      </c>
      <c r="N193" s="2">
        <v>-2.51</v>
      </c>
      <c r="O193" s="2">
        <v>0.0</v>
      </c>
      <c r="P193" s="2">
        <v>0.0</v>
      </c>
    </row>
    <row r="194" ht="15.0" customHeight="1">
      <c r="A194" s="2">
        <v>17.0</v>
      </c>
      <c r="B194" s="2" t="s">
        <v>1170</v>
      </c>
      <c r="C194" s="2" t="s">
        <v>147</v>
      </c>
      <c r="D194" s="2" t="s">
        <v>136</v>
      </c>
      <c r="E194" s="2">
        <v>1.84</v>
      </c>
      <c r="F194" s="2">
        <v>-1.0</v>
      </c>
      <c r="G194" s="2">
        <v>2.84</v>
      </c>
      <c r="H194" s="2">
        <v>3.0</v>
      </c>
      <c r="I194" s="2">
        <v>-1.16</v>
      </c>
      <c r="J194" s="2">
        <v>49.26</v>
      </c>
      <c r="K194" s="2">
        <v>25.0</v>
      </c>
      <c r="L194" s="2">
        <v>24.26</v>
      </c>
      <c r="M194" s="2">
        <v>45.5</v>
      </c>
      <c r="N194" s="2">
        <v>3.76</v>
      </c>
      <c r="O194" s="2">
        <v>1.0</v>
      </c>
      <c r="P194" s="2">
        <v>0.0</v>
      </c>
    </row>
    <row r="195" ht="15.0" customHeight="1">
      <c r="A195" s="2">
        <v>17.0</v>
      </c>
      <c r="B195" s="2" t="s">
        <v>1172</v>
      </c>
      <c r="C195" s="2" t="s">
        <v>137</v>
      </c>
      <c r="D195" s="2" t="s">
        <v>246</v>
      </c>
      <c r="E195" s="2">
        <v>4.59</v>
      </c>
      <c r="F195" s="2">
        <v>4.0</v>
      </c>
      <c r="G195" s="2">
        <v>0.59</v>
      </c>
      <c r="H195" s="2">
        <v>3.5</v>
      </c>
      <c r="I195" s="2">
        <v>1.09</v>
      </c>
      <c r="J195" s="2">
        <v>52.65</v>
      </c>
      <c r="K195" s="2">
        <v>80.0</v>
      </c>
      <c r="L195" s="2">
        <v>27.35</v>
      </c>
      <c r="M195" s="2">
        <v>51.5</v>
      </c>
      <c r="N195" s="2">
        <v>1.15</v>
      </c>
      <c r="O195" s="2">
        <v>1.0</v>
      </c>
      <c r="P195" s="2">
        <v>1.0</v>
      </c>
    </row>
    <row r="196" ht="15.0" customHeight="1">
      <c r="A196" s="2">
        <v>17.0</v>
      </c>
      <c r="B196" s="2" t="s">
        <v>1174</v>
      </c>
      <c r="C196" s="2" t="s">
        <v>142</v>
      </c>
      <c r="D196" s="2" t="s">
        <v>132</v>
      </c>
      <c r="E196" s="2">
        <v>-8.16</v>
      </c>
      <c r="F196" s="2">
        <v>3.0</v>
      </c>
      <c r="G196" s="2">
        <v>11.16</v>
      </c>
      <c r="H196" s="2">
        <v>-7.5</v>
      </c>
      <c r="I196" s="2">
        <v>-0.66</v>
      </c>
      <c r="J196" s="2">
        <v>47.3</v>
      </c>
      <c r="K196" s="2">
        <v>51.0</v>
      </c>
      <c r="L196" s="2">
        <v>3.7</v>
      </c>
      <c r="M196" s="2">
        <v>48.5</v>
      </c>
      <c r="N196" s="2">
        <v>-1.2</v>
      </c>
      <c r="O196" s="2">
        <v>0.0</v>
      </c>
      <c r="P196" s="2">
        <v>0.0</v>
      </c>
    </row>
    <row r="197" ht="15.0" customHeight="1">
      <c r="A197" s="2">
        <v>18.0</v>
      </c>
      <c r="B197" s="2" t="s">
        <v>1177</v>
      </c>
      <c r="C197" s="2" t="s">
        <v>232</v>
      </c>
      <c r="D197" s="2" t="s">
        <v>132</v>
      </c>
      <c r="E197" s="2">
        <v>3.24</v>
      </c>
      <c r="F197" s="2">
        <v>2.0</v>
      </c>
      <c r="G197" s="2">
        <v>1.24</v>
      </c>
      <c r="H197" s="2">
        <v>4.5</v>
      </c>
      <c r="I197" s="2">
        <v>-1.26</v>
      </c>
      <c r="J197" s="2">
        <v>37.5</v>
      </c>
      <c r="K197" s="2">
        <v>36.0</v>
      </c>
      <c r="L197" s="2">
        <v>1.5</v>
      </c>
      <c r="M197" s="2">
        <v>43.5</v>
      </c>
      <c r="N197" s="2">
        <v>-6.0</v>
      </c>
      <c r="O197" s="2">
        <v>1.0</v>
      </c>
      <c r="P197" s="2">
        <v>1.0</v>
      </c>
    </row>
    <row r="198" ht="15.0" customHeight="1">
      <c r="A198" s="2">
        <v>18.0</v>
      </c>
      <c r="B198" s="2" t="s">
        <v>1180</v>
      </c>
      <c r="C198" s="2" t="s">
        <v>238</v>
      </c>
      <c r="D198" s="2" t="s">
        <v>136</v>
      </c>
      <c r="E198" s="2">
        <v>13.26</v>
      </c>
      <c r="F198" s="2">
        <v>27.0</v>
      </c>
      <c r="G198" s="2">
        <v>13.74</v>
      </c>
      <c r="H198" s="2">
        <v>12.5</v>
      </c>
      <c r="I198" s="2">
        <v>0.76</v>
      </c>
      <c r="J198" s="2">
        <v>53.41</v>
      </c>
      <c r="K198" s="2">
        <v>43.0</v>
      </c>
      <c r="L198" s="2">
        <v>10.41</v>
      </c>
      <c r="M198" s="2">
        <v>39.5</v>
      </c>
      <c r="N198" s="2">
        <v>13.91</v>
      </c>
      <c r="O198" s="2">
        <v>1.0</v>
      </c>
      <c r="P198" s="2">
        <v>1.0</v>
      </c>
    </row>
    <row r="199" ht="15.0" customHeight="1">
      <c r="A199" s="2">
        <v>18.0</v>
      </c>
      <c r="B199" s="2" t="s">
        <v>1184</v>
      </c>
      <c r="C199" s="2" t="s">
        <v>202</v>
      </c>
      <c r="D199" s="2" t="s">
        <v>137</v>
      </c>
      <c r="E199" s="2">
        <v>1.97</v>
      </c>
      <c r="F199" s="2">
        <v>-3.0</v>
      </c>
      <c r="G199" s="2">
        <v>4.97</v>
      </c>
      <c r="H199" s="2">
        <v>3.5</v>
      </c>
      <c r="I199" s="2">
        <v>-1.53</v>
      </c>
      <c r="J199" s="2">
        <v>59.24</v>
      </c>
      <c r="K199" s="2">
        <v>35.0</v>
      </c>
      <c r="L199" s="2">
        <v>24.24</v>
      </c>
      <c r="M199" s="2">
        <v>51.5</v>
      </c>
      <c r="N199" s="2">
        <v>7.74</v>
      </c>
      <c r="O199" s="2">
        <v>1.0</v>
      </c>
      <c r="P199" s="2">
        <v>0.0</v>
      </c>
    </row>
    <row r="200" ht="15.0" customHeight="1">
      <c r="A200" s="2">
        <v>18.0</v>
      </c>
      <c r="B200" s="2" t="s">
        <v>1186</v>
      </c>
      <c r="C200" s="2" t="s">
        <v>196</v>
      </c>
      <c r="D200" s="2" t="s">
        <v>138</v>
      </c>
      <c r="E200" s="2">
        <v>3.74</v>
      </c>
      <c r="F200" s="2">
        <v>-2.0</v>
      </c>
      <c r="G200" s="2">
        <v>5.74</v>
      </c>
      <c r="H200" s="2">
        <v>9.5</v>
      </c>
      <c r="I200" s="2">
        <v>-5.76</v>
      </c>
      <c r="J200" s="2">
        <v>41.54</v>
      </c>
      <c r="K200" s="2">
        <v>38.0</v>
      </c>
      <c r="L200" s="2">
        <v>3.54</v>
      </c>
      <c r="M200" s="2">
        <v>47.5</v>
      </c>
      <c r="N200" s="2">
        <v>-5.96</v>
      </c>
      <c r="O200" s="2">
        <v>1.0</v>
      </c>
      <c r="P200" s="2">
        <v>1.0</v>
      </c>
    </row>
    <row r="201" ht="15.0" customHeight="1">
      <c r="A201" s="2">
        <v>18.0</v>
      </c>
      <c r="B201" s="2" t="s">
        <v>1188</v>
      </c>
      <c r="C201" s="2" t="s">
        <v>220</v>
      </c>
      <c r="D201" s="2" t="s">
        <v>139</v>
      </c>
      <c r="E201" s="2">
        <v>2.72</v>
      </c>
      <c r="F201" s="2">
        <v>16.0</v>
      </c>
      <c r="G201" s="2">
        <v>13.28</v>
      </c>
      <c r="H201" s="2">
        <v>14.5</v>
      </c>
      <c r="I201" s="2">
        <v>-11.78</v>
      </c>
      <c r="J201" s="2">
        <v>42.57</v>
      </c>
      <c r="K201" s="2">
        <v>22.0</v>
      </c>
      <c r="L201" s="2">
        <v>20.57</v>
      </c>
      <c r="M201" s="2">
        <v>37.5</v>
      </c>
      <c r="N201" s="2">
        <v>5.07</v>
      </c>
      <c r="O201" s="2">
        <v>0.0</v>
      </c>
      <c r="P201" s="2">
        <v>0.0</v>
      </c>
    </row>
    <row r="202" ht="15.0" customHeight="1">
      <c r="A202" s="2">
        <v>18.0</v>
      </c>
      <c r="B202" s="2" t="s">
        <v>1192</v>
      </c>
      <c r="C202" s="2" t="s">
        <v>210</v>
      </c>
      <c r="D202" s="2" t="s">
        <v>140</v>
      </c>
      <c r="E202" s="2">
        <v>5.76</v>
      </c>
      <c r="F202" s="2">
        <v>8.0</v>
      </c>
      <c r="G202" s="2">
        <v>2.24</v>
      </c>
      <c r="H202" s="2">
        <v>9.5</v>
      </c>
      <c r="I202" s="2">
        <v>-3.74</v>
      </c>
      <c r="J202" s="2">
        <v>45.12</v>
      </c>
      <c r="K202" s="2">
        <v>68.0</v>
      </c>
      <c r="L202" s="2">
        <v>22.88</v>
      </c>
      <c r="M202" s="2">
        <v>37.5</v>
      </c>
      <c r="N202" s="2">
        <v>7.62</v>
      </c>
      <c r="O202" s="2">
        <v>1.0</v>
      </c>
      <c r="P202" s="2">
        <v>1.0</v>
      </c>
    </row>
    <row r="203" ht="15.0" customHeight="1">
      <c r="A203" s="2">
        <v>18.0</v>
      </c>
      <c r="B203" s="2" t="s">
        <v>1196</v>
      </c>
      <c r="C203" s="2" t="s">
        <v>250</v>
      </c>
      <c r="D203" s="2" t="s">
        <v>141</v>
      </c>
      <c r="E203" s="2">
        <v>13.03</v>
      </c>
      <c r="F203" s="2">
        <v>34.0</v>
      </c>
      <c r="G203" s="2">
        <v>20.97</v>
      </c>
      <c r="H203" s="2">
        <v>12.5</v>
      </c>
      <c r="I203" s="2">
        <v>0.53</v>
      </c>
      <c r="J203" s="2">
        <v>47.03</v>
      </c>
      <c r="K203" s="2">
        <v>48.0</v>
      </c>
      <c r="L203" s="2">
        <v>0.97</v>
      </c>
      <c r="M203" s="2">
        <v>46.5</v>
      </c>
      <c r="N203" s="2">
        <v>0.53</v>
      </c>
      <c r="O203" s="2">
        <v>1.0</v>
      </c>
      <c r="P203" s="2">
        <v>1.0</v>
      </c>
    </row>
    <row r="204" ht="15.0" customHeight="1">
      <c r="A204" s="2">
        <v>18.0</v>
      </c>
      <c r="B204" s="2" t="s">
        <v>1198</v>
      </c>
      <c r="C204" s="2" t="s">
        <v>178</v>
      </c>
      <c r="D204" s="2" t="s">
        <v>142</v>
      </c>
      <c r="E204" s="2">
        <v>12.78</v>
      </c>
      <c r="F204" s="2">
        <v>17.0</v>
      </c>
      <c r="G204" s="2">
        <v>4.22</v>
      </c>
      <c r="H204" s="2">
        <v>14.5</v>
      </c>
      <c r="I204" s="2">
        <v>-1.72</v>
      </c>
      <c r="J204" s="2">
        <v>49.31</v>
      </c>
      <c r="K204" s="2">
        <v>57.0</v>
      </c>
      <c r="L204" s="2">
        <v>7.69</v>
      </c>
      <c r="M204" s="2">
        <v>49.5</v>
      </c>
      <c r="N204" s="2">
        <v>-0.19</v>
      </c>
      <c r="O204" s="2">
        <v>0.0</v>
      </c>
      <c r="P204" s="2">
        <v>0.0</v>
      </c>
    </row>
    <row r="205" ht="15.0" customHeight="1">
      <c r="A205" s="2">
        <v>18.0</v>
      </c>
      <c r="B205" s="2" t="s">
        <v>1200</v>
      </c>
      <c r="C205" s="2" t="s">
        <v>143</v>
      </c>
      <c r="D205" s="2" t="s">
        <v>222</v>
      </c>
      <c r="E205" s="2">
        <v>-5.77</v>
      </c>
      <c r="F205" s="2">
        <v>2.0</v>
      </c>
      <c r="G205" s="2">
        <v>7.77</v>
      </c>
      <c r="H205" s="2">
        <v>-3.5</v>
      </c>
      <c r="I205" s="2">
        <v>-2.27</v>
      </c>
      <c r="J205" s="2">
        <v>37.69</v>
      </c>
      <c r="K205" s="2">
        <v>26.0</v>
      </c>
      <c r="L205" s="2">
        <v>11.69</v>
      </c>
      <c r="M205" s="2">
        <v>36.5</v>
      </c>
      <c r="N205" s="2">
        <v>1.19</v>
      </c>
      <c r="O205" s="2">
        <v>0.0</v>
      </c>
      <c r="P205" s="2">
        <v>0.0</v>
      </c>
    </row>
    <row r="206" ht="15.0" customHeight="1">
      <c r="A206" s="2">
        <v>18.0</v>
      </c>
      <c r="B206" s="2" t="s">
        <v>1202</v>
      </c>
      <c r="C206" s="2" t="s">
        <v>205</v>
      </c>
      <c r="D206" s="2" t="s">
        <v>144</v>
      </c>
      <c r="E206" s="2">
        <v>0.27</v>
      </c>
      <c r="F206" s="2">
        <v>13.0</v>
      </c>
      <c r="G206" s="2">
        <v>12.73</v>
      </c>
      <c r="H206" s="2">
        <v>12.5</v>
      </c>
      <c r="I206" s="2">
        <v>-12.23</v>
      </c>
      <c r="J206" s="2">
        <v>38.96</v>
      </c>
      <c r="K206" s="2">
        <v>19.0</v>
      </c>
      <c r="L206" s="2">
        <v>19.96</v>
      </c>
      <c r="M206" s="2">
        <v>37.5</v>
      </c>
      <c r="N206" s="2">
        <v>1.46</v>
      </c>
      <c r="O206" s="2">
        <v>0.0</v>
      </c>
      <c r="P206" s="2">
        <v>0.0</v>
      </c>
    </row>
    <row r="207" ht="15.0" customHeight="1">
      <c r="A207" s="2">
        <v>18.0</v>
      </c>
      <c r="B207" s="2" t="s">
        <v>1206</v>
      </c>
      <c r="C207" s="2" t="s">
        <v>225</v>
      </c>
      <c r="D207" s="2" t="s">
        <v>145</v>
      </c>
      <c r="E207" s="2">
        <v>8.94</v>
      </c>
      <c r="F207" s="2">
        <v>28.0</v>
      </c>
      <c r="G207" s="2">
        <v>19.06</v>
      </c>
      <c r="H207" s="2">
        <v>14.0</v>
      </c>
      <c r="I207" s="2">
        <v>-5.06</v>
      </c>
      <c r="J207" s="2">
        <v>47.48</v>
      </c>
      <c r="K207" s="2">
        <v>48.0</v>
      </c>
      <c r="L207" s="2">
        <v>0.52</v>
      </c>
      <c r="M207" s="2">
        <v>44.5</v>
      </c>
      <c r="N207" s="2">
        <v>2.98</v>
      </c>
      <c r="O207" s="2">
        <v>0.0</v>
      </c>
      <c r="P207" s="2">
        <v>1.0</v>
      </c>
    </row>
    <row r="208" ht="15.0" customHeight="1">
      <c r="A208" s="2">
        <v>18.0</v>
      </c>
      <c r="B208" s="2" t="s">
        <v>1208</v>
      </c>
      <c r="C208" s="2" t="s">
        <v>146</v>
      </c>
      <c r="D208" s="2" t="s">
        <v>235</v>
      </c>
      <c r="E208" s="2">
        <v>0.69</v>
      </c>
      <c r="F208" s="2">
        <v>17.0</v>
      </c>
      <c r="G208" s="2">
        <v>16.31</v>
      </c>
      <c r="H208" s="2">
        <v>-3.0</v>
      </c>
      <c r="I208" s="2">
        <v>3.69</v>
      </c>
      <c r="J208" s="2">
        <v>59.55</v>
      </c>
      <c r="K208" s="2">
        <v>51.0</v>
      </c>
      <c r="L208" s="2">
        <v>8.55</v>
      </c>
      <c r="M208" s="2">
        <v>50.5</v>
      </c>
      <c r="N208" s="2">
        <v>9.05</v>
      </c>
      <c r="O208" s="2">
        <v>1.0</v>
      </c>
      <c r="P208" s="2">
        <v>1.0</v>
      </c>
    </row>
    <row r="209" ht="15.0" customHeight="1">
      <c r="A209" s="2">
        <v>18.0</v>
      </c>
      <c r="B209" s="2" t="s">
        <v>1210</v>
      </c>
      <c r="C209" s="2" t="s">
        <v>253</v>
      </c>
      <c r="D209" s="2" t="s">
        <v>147</v>
      </c>
      <c r="E209" s="2">
        <v>10.07</v>
      </c>
      <c r="F209" s="2">
        <v>-7.0</v>
      </c>
      <c r="G209" s="2">
        <v>17.07</v>
      </c>
      <c r="H209" s="2">
        <v>3.0</v>
      </c>
      <c r="I209" s="2">
        <v>7.07</v>
      </c>
      <c r="J209" s="2">
        <v>42.02</v>
      </c>
      <c r="K209" s="2">
        <v>41.0</v>
      </c>
      <c r="L209" s="2">
        <v>1.02</v>
      </c>
      <c r="M209" s="2">
        <v>38.5</v>
      </c>
      <c r="N209" s="2">
        <v>3.52</v>
      </c>
      <c r="O209" s="2">
        <v>0.0</v>
      </c>
      <c r="P209" s="2">
        <v>1.0</v>
      </c>
    </row>
    <row r="210" ht="15.0" customHeight="1">
      <c r="A210" s="2">
        <v>18.0</v>
      </c>
      <c r="B210" s="2" t="s">
        <v>1214</v>
      </c>
      <c r="C210" s="2" t="s">
        <v>148</v>
      </c>
      <c r="D210" s="2" t="s">
        <v>242</v>
      </c>
      <c r="E210" s="2">
        <v>1.57</v>
      </c>
      <c r="F210" s="2">
        <v>2.0</v>
      </c>
      <c r="G210" s="2">
        <v>0.43</v>
      </c>
      <c r="H210" s="2">
        <v>-4.5</v>
      </c>
      <c r="I210" s="2">
        <v>6.07</v>
      </c>
      <c r="J210" s="2">
        <v>47.74</v>
      </c>
      <c r="K210" s="2">
        <v>50.0</v>
      </c>
      <c r="L210" s="2">
        <v>2.26</v>
      </c>
      <c r="M210" s="2">
        <v>41.5</v>
      </c>
      <c r="N210" s="2">
        <v>6.24</v>
      </c>
      <c r="O210" s="2">
        <v>1.0</v>
      </c>
      <c r="P210" s="2">
        <v>1.0</v>
      </c>
    </row>
    <row r="211" ht="15.0" customHeight="1">
      <c r="A211" s="2">
        <v>18.0</v>
      </c>
      <c r="B211" s="2" t="s">
        <v>1216</v>
      </c>
      <c r="C211" s="2" t="s">
        <v>149</v>
      </c>
      <c r="D211" s="2" t="s">
        <v>246</v>
      </c>
      <c r="E211" s="2">
        <v>-1.53</v>
      </c>
      <c r="F211" s="2">
        <v>-10.0</v>
      </c>
      <c r="G211" s="2">
        <v>8.47</v>
      </c>
      <c r="H211" s="2">
        <v>-2.5</v>
      </c>
      <c r="I211" s="2">
        <v>0.97</v>
      </c>
      <c r="J211" s="2">
        <v>50.67</v>
      </c>
      <c r="K211" s="2">
        <v>16.0</v>
      </c>
      <c r="L211" s="2">
        <v>34.67</v>
      </c>
      <c r="M211" s="2">
        <v>47.5</v>
      </c>
      <c r="N211" s="2">
        <v>3.17</v>
      </c>
      <c r="O211" s="2">
        <v>0.0</v>
      </c>
      <c r="P211" s="2">
        <v>0.0</v>
      </c>
    </row>
    <row r="212" ht="15.0" customHeight="1">
      <c r="A212" s="2">
        <v>18.0</v>
      </c>
      <c r="B212" s="2" t="s">
        <v>1219</v>
      </c>
      <c r="C212" s="2" t="s">
        <v>189</v>
      </c>
      <c r="D212" s="2" t="s">
        <v>150</v>
      </c>
      <c r="E212" s="2">
        <v>3.11</v>
      </c>
      <c r="F212" s="2">
        <v>2.0</v>
      </c>
      <c r="G212" s="2">
        <v>1.11</v>
      </c>
      <c r="H212" s="2">
        <v>3.0</v>
      </c>
      <c r="I212" s="2">
        <v>0.11</v>
      </c>
      <c r="J212" s="2">
        <v>44.54</v>
      </c>
      <c r="K212" s="2">
        <v>30.0</v>
      </c>
      <c r="L212" s="2">
        <v>14.54</v>
      </c>
      <c r="M212" s="2">
        <v>43.5</v>
      </c>
      <c r="N212" s="2">
        <v>1.04</v>
      </c>
      <c r="O212" s="2">
        <v>0.0</v>
      </c>
      <c r="P212" s="2">
        <v>0.0</v>
      </c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6" width="8.71"/>
  </cols>
  <sheetData>
    <row r="1" ht="17.25" customHeight="1">
      <c r="A1" s="7" t="s">
        <v>2504</v>
      </c>
    </row>
    <row r="2">
      <c r="A2" s="2"/>
    </row>
    <row r="3" ht="15.0" customHeight="1">
      <c r="A3" s="4" t="s">
        <v>2505</v>
      </c>
    </row>
    <row r="4" ht="15.0" customHeight="1">
      <c r="A4" s="6" t="s">
        <v>2506</v>
      </c>
    </row>
    <row r="5" ht="15.0" customHeight="1">
      <c r="A5" s="6" t="s">
        <v>2507</v>
      </c>
    </row>
    <row r="6" ht="15.0" customHeight="1">
      <c r="A6" s="6" t="s">
        <v>2508</v>
      </c>
    </row>
    <row r="7" ht="15.0" customHeight="1">
      <c r="A7" s="6" t="s">
        <v>2509</v>
      </c>
    </row>
    <row r="8">
      <c r="A8" s="2"/>
    </row>
    <row r="9" ht="15.0" customHeight="1">
      <c r="A9" s="4" t="s">
        <v>2510</v>
      </c>
    </row>
    <row r="10" ht="32.25" customHeight="1">
      <c r="A10" s="5" t="s">
        <v>2511</v>
      </c>
      <c r="B10" s="5" t="s">
        <v>2512</v>
      </c>
      <c r="C10" s="5" t="s">
        <v>2513</v>
      </c>
      <c r="D10" s="5" t="s">
        <v>2514</v>
      </c>
    </row>
    <row r="11" ht="15.0" customHeight="1">
      <c r="A11" s="2" t="s">
        <v>2515</v>
      </c>
      <c r="B11" s="2">
        <v>10.376</v>
      </c>
      <c r="C11" s="2">
        <v>9.993</v>
      </c>
      <c r="D11" s="2">
        <v>0.383</v>
      </c>
    </row>
    <row r="12" ht="15.0" customHeight="1">
      <c r="A12" s="2" t="s">
        <v>2516</v>
      </c>
      <c r="B12" s="2">
        <v>10.795</v>
      </c>
      <c r="C12" s="2">
        <v>10.082</v>
      </c>
      <c r="D12" s="2">
        <v>0.713</v>
      </c>
    </row>
    <row r="13" ht="15.0" customHeight="1">
      <c r="A13" s="6" t="s">
        <v>2517</v>
      </c>
    </row>
    <row r="14" ht="15.0" customHeight="1">
      <c r="A14" s="6" t="s">
        <v>2518</v>
      </c>
    </row>
    <row r="15">
      <c r="A15" s="2"/>
    </row>
    <row r="16" ht="15.0" customHeight="1">
      <c r="A16" s="4" t="s">
        <v>2519</v>
      </c>
    </row>
    <row r="17" ht="15.0" customHeight="1">
      <c r="A17" s="5" t="s">
        <v>2520</v>
      </c>
      <c r="B17" s="5" t="s">
        <v>2521</v>
      </c>
      <c r="C17" s="5" t="s">
        <v>2522</v>
      </c>
      <c r="D17" s="5" t="s">
        <v>2523</v>
      </c>
      <c r="E17" s="5" t="s">
        <v>2524</v>
      </c>
    </row>
    <row r="18" ht="15.0" customHeight="1">
      <c r="A18" s="2" t="s">
        <v>2525</v>
      </c>
      <c r="B18" s="2">
        <v>27.0</v>
      </c>
      <c r="C18" s="2">
        <v>59.3</v>
      </c>
      <c r="D18" s="2">
        <v>13.0</v>
      </c>
      <c r="E18" s="2">
        <v>61.5</v>
      </c>
    </row>
    <row r="19" ht="15.0" customHeight="1">
      <c r="A19" s="2" t="s">
        <v>2526</v>
      </c>
      <c r="B19" s="2">
        <v>55.0</v>
      </c>
      <c r="C19" s="2">
        <v>38.9</v>
      </c>
      <c r="D19" s="2">
        <v>50.0</v>
      </c>
      <c r="E19" s="2">
        <v>42.0</v>
      </c>
    </row>
    <row r="20" ht="15.0" customHeight="1">
      <c r="A20" s="2" t="s">
        <v>2527</v>
      </c>
      <c r="B20" s="2">
        <v>40.0</v>
      </c>
      <c r="C20" s="2">
        <v>55.0</v>
      </c>
      <c r="D20" s="2">
        <v>45.0</v>
      </c>
      <c r="E20" s="2">
        <v>62.2</v>
      </c>
    </row>
    <row r="21" ht="15.0" customHeight="1">
      <c r="A21" s="2" t="s">
        <v>2528</v>
      </c>
      <c r="B21" s="2">
        <v>26.0</v>
      </c>
      <c r="C21" s="2">
        <v>46.2</v>
      </c>
      <c r="D21" s="2">
        <v>67.0</v>
      </c>
      <c r="E21" s="2">
        <v>55.2</v>
      </c>
    </row>
    <row r="22" ht="15.0" customHeight="1">
      <c r="A22" s="6" t="s">
        <v>2529</v>
      </c>
    </row>
    <row r="23" ht="15.0" customHeight="1">
      <c r="A23" s="6" t="s">
        <v>2530</v>
      </c>
    </row>
    <row r="24" ht="15.75" customHeight="1">
      <c r="A24" s="2"/>
    </row>
    <row r="25" ht="15.0" customHeight="1">
      <c r="A25" s="4" t="s">
        <v>2531</v>
      </c>
    </row>
    <row r="26" ht="21.75" customHeight="1">
      <c r="A26" s="5" t="s">
        <v>2532</v>
      </c>
      <c r="B26" s="5" t="s">
        <v>2533</v>
      </c>
      <c r="C26" s="5" t="s">
        <v>2534</v>
      </c>
    </row>
    <row r="27" ht="15.0" customHeight="1">
      <c r="A27" s="2" t="s">
        <v>2535</v>
      </c>
      <c r="B27" s="2">
        <v>10.3042</v>
      </c>
      <c r="C27" s="2">
        <v>2.5773</v>
      </c>
    </row>
    <row r="28" ht="15.0" customHeight="1">
      <c r="A28" s="2" t="s">
        <v>2536</v>
      </c>
      <c r="B28" s="2">
        <v>10.3101</v>
      </c>
      <c r="C28" s="2">
        <v>2.5682</v>
      </c>
    </row>
    <row r="29" ht="15.0" customHeight="1">
      <c r="A29" s="2" t="s">
        <v>2537</v>
      </c>
      <c r="B29" s="2">
        <v>10.3515</v>
      </c>
      <c r="C29" s="2">
        <v>2.667</v>
      </c>
    </row>
    <row r="30" ht="15.0" customHeight="1">
      <c r="A30" s="2" t="s">
        <v>2538</v>
      </c>
      <c r="B30" s="2">
        <v>10.3677</v>
      </c>
      <c r="C30" s="2">
        <v>2.8194</v>
      </c>
    </row>
    <row r="31" ht="15.0" customHeight="1">
      <c r="A31" s="2" t="s">
        <v>2539</v>
      </c>
      <c r="B31" s="2">
        <v>10.3724</v>
      </c>
      <c r="C31" s="2">
        <v>2.5076</v>
      </c>
    </row>
    <row r="32" ht="15.0" customHeight="1">
      <c r="A32" s="2" t="s">
        <v>2540</v>
      </c>
      <c r="B32" s="2">
        <v>10.3761</v>
      </c>
      <c r="C32" s="2">
        <v>2.4982</v>
      </c>
    </row>
    <row r="33" ht="15.0" customHeight="1">
      <c r="A33" s="2" t="s">
        <v>2541</v>
      </c>
      <c r="B33" s="2">
        <v>10.3822</v>
      </c>
      <c r="C33" s="2">
        <v>2.847</v>
      </c>
    </row>
    <row r="34" ht="15.0" customHeight="1">
      <c r="A34" s="2" t="s">
        <v>2542</v>
      </c>
      <c r="B34" s="2">
        <v>10.3853</v>
      </c>
      <c r="C34" s="2">
        <v>2.5161</v>
      </c>
    </row>
    <row r="35" ht="15.0" customHeight="1">
      <c r="A35" s="2" t="s">
        <v>2543</v>
      </c>
      <c r="B35" s="2">
        <v>10.386</v>
      </c>
      <c r="C35" s="2">
        <v>2.89</v>
      </c>
    </row>
    <row r="36" ht="15.0" customHeight="1">
      <c r="A36" s="2" t="s">
        <v>2544</v>
      </c>
      <c r="B36" s="2">
        <v>10.3906</v>
      </c>
      <c r="C36" s="2">
        <v>2.5334</v>
      </c>
    </row>
    <row r="37" ht="15.0" customHeight="1">
      <c r="A37" s="2" t="s">
        <v>2545</v>
      </c>
      <c r="B37" s="2">
        <v>10.3984</v>
      </c>
      <c r="C37" s="2">
        <v>2.5419</v>
      </c>
    </row>
    <row r="38" ht="15.0" customHeight="1">
      <c r="A38" s="2" t="s">
        <v>2546</v>
      </c>
      <c r="B38" s="2">
        <v>10.3991</v>
      </c>
      <c r="C38" s="2">
        <v>2.5474</v>
      </c>
    </row>
    <row r="39" ht="15.0" customHeight="1">
      <c r="A39" s="2" t="s">
        <v>2547</v>
      </c>
      <c r="B39" s="2">
        <v>10.4084</v>
      </c>
      <c r="C39" s="2">
        <v>2.7309</v>
      </c>
    </row>
    <row r="40" ht="15.0" customHeight="1">
      <c r="A40" s="2" t="s">
        <v>2548</v>
      </c>
      <c r="B40" s="2">
        <v>10.4185</v>
      </c>
      <c r="C40" s="2">
        <v>2.6886</v>
      </c>
    </row>
    <row r="41" ht="15.0" customHeight="1">
      <c r="A41" s="2" t="s">
        <v>2549</v>
      </c>
      <c r="B41" s="2">
        <v>10.4246</v>
      </c>
      <c r="C41" s="2">
        <v>2.7262</v>
      </c>
    </row>
    <row r="42" ht="15.0" customHeight="1">
      <c r="A42" s="2" t="s">
        <v>2550</v>
      </c>
      <c r="B42" s="2">
        <v>10.4296</v>
      </c>
      <c r="C42" s="2">
        <v>2.718</v>
      </c>
    </row>
    <row r="43" ht="15.0" customHeight="1">
      <c r="A43" s="2" t="s">
        <v>2551</v>
      </c>
      <c r="B43" s="2">
        <v>10.4327</v>
      </c>
      <c r="C43" s="2">
        <v>2.7094</v>
      </c>
    </row>
    <row r="44" ht="15.0" customHeight="1">
      <c r="A44" s="2" t="s">
        <v>2552</v>
      </c>
      <c r="B44" s="2">
        <v>10.4489</v>
      </c>
      <c r="C44" s="2">
        <v>2.7457</v>
      </c>
    </row>
    <row r="45" ht="15.0" customHeight="1">
      <c r="A45" s="2" t="s">
        <v>2553</v>
      </c>
      <c r="B45" s="2">
        <v>10.4719</v>
      </c>
      <c r="C45" s="2">
        <v>3.3075</v>
      </c>
    </row>
    <row r="46" ht="15.0" customHeight="1">
      <c r="A46" s="2" t="s">
        <v>2554</v>
      </c>
      <c r="B46" s="2">
        <v>10.4747</v>
      </c>
      <c r="C46" s="2">
        <v>3.3114</v>
      </c>
    </row>
    <row r="47" ht="15.0" customHeight="1">
      <c r="A47" s="2" t="s">
        <v>2555</v>
      </c>
      <c r="B47" s="2">
        <v>10.4849</v>
      </c>
      <c r="C47" s="2">
        <v>3.1067</v>
      </c>
    </row>
    <row r="48" ht="15.0" customHeight="1">
      <c r="A48" s="2" t="s">
        <v>2556</v>
      </c>
      <c r="B48" s="2">
        <v>10.491</v>
      </c>
      <c r="C48" s="2">
        <v>3.3564</v>
      </c>
    </row>
    <row r="49" ht="15.0" customHeight="1">
      <c r="A49" s="2" t="s">
        <v>2557</v>
      </c>
      <c r="B49" s="2">
        <v>10.4979</v>
      </c>
      <c r="C49" s="2">
        <v>3.1292</v>
      </c>
    </row>
    <row r="50" ht="15.0" customHeight="1">
      <c r="A50" s="2" t="s">
        <v>2558</v>
      </c>
      <c r="B50" s="2">
        <v>10.5017</v>
      </c>
      <c r="C50" s="2">
        <v>3.1384</v>
      </c>
    </row>
    <row r="51" ht="15.0" customHeight="1">
      <c r="A51" s="2" t="s">
        <v>2559</v>
      </c>
      <c r="B51" s="2">
        <v>10.5157</v>
      </c>
      <c r="C51" s="2">
        <v>3.1408</v>
      </c>
    </row>
    <row r="52" ht="15.0" customHeight="1">
      <c r="A52" s="2" t="s">
        <v>2560</v>
      </c>
      <c r="B52" s="2">
        <v>10.5263</v>
      </c>
      <c r="C52" s="2">
        <v>3.1847</v>
      </c>
    </row>
    <row r="53" ht="15.0" customHeight="1">
      <c r="A53" s="2" t="s">
        <v>2561</v>
      </c>
      <c r="B53" s="2">
        <v>10.5415</v>
      </c>
      <c r="C53" s="2">
        <v>3.1857</v>
      </c>
    </row>
    <row r="54" ht="15.0" customHeight="1">
      <c r="A54" s="6" t="s">
        <v>2562</v>
      </c>
    </row>
    <row r="55" ht="15.0" customHeight="1">
      <c r="A55" s="6" t="s">
        <v>2563</v>
      </c>
    </row>
    <row r="56" ht="15.75" customHeight="1">
      <c r="A56" s="2"/>
    </row>
    <row r="57" ht="15.0" customHeight="1">
      <c r="A57" s="4" t="s">
        <v>2564</v>
      </c>
    </row>
    <row r="58" ht="21.75" customHeight="1">
      <c r="A58" s="5" t="s">
        <v>2532</v>
      </c>
      <c r="B58" s="5" t="s">
        <v>2533</v>
      </c>
      <c r="C58" s="5" t="s">
        <v>2534</v>
      </c>
    </row>
    <row r="59" ht="15.0" customHeight="1">
      <c r="A59" s="2" t="s">
        <v>2565</v>
      </c>
      <c r="B59" s="2">
        <v>10.772</v>
      </c>
      <c r="C59" s="2">
        <v>4.0597</v>
      </c>
    </row>
    <row r="60" ht="15.0" customHeight="1">
      <c r="A60" s="2" t="s">
        <v>2566</v>
      </c>
      <c r="B60" s="2">
        <v>10.7954</v>
      </c>
      <c r="C60" s="2">
        <v>4.0564</v>
      </c>
    </row>
    <row r="61" ht="15.0" customHeight="1">
      <c r="A61" s="2" t="s">
        <v>2567</v>
      </c>
      <c r="B61" s="2">
        <v>10.802</v>
      </c>
      <c r="C61" s="2">
        <v>4.1446</v>
      </c>
    </row>
    <row r="62" ht="15.0" customHeight="1">
      <c r="A62" s="2" t="s">
        <v>2568</v>
      </c>
      <c r="B62" s="2">
        <v>10.8242</v>
      </c>
      <c r="C62" s="2">
        <v>4.1247</v>
      </c>
    </row>
    <row r="63" ht="15.0" customHeight="1">
      <c r="A63" s="2" t="s">
        <v>2569</v>
      </c>
      <c r="B63" s="2">
        <v>10.8245</v>
      </c>
      <c r="C63" s="2">
        <v>4.0552</v>
      </c>
    </row>
    <row r="64" ht="15.0" customHeight="1">
      <c r="A64" s="2" t="s">
        <v>2570</v>
      </c>
      <c r="B64" s="2">
        <v>10.8513</v>
      </c>
      <c r="C64" s="2">
        <v>4.111</v>
      </c>
    </row>
    <row r="65" ht="15.0" customHeight="1">
      <c r="A65" s="2" t="s">
        <v>2571</v>
      </c>
      <c r="B65" s="2">
        <v>10.8574</v>
      </c>
      <c r="C65" s="2">
        <v>4.2905</v>
      </c>
    </row>
    <row r="66" ht="15.0" customHeight="1">
      <c r="A66" s="2" t="s">
        <v>2572</v>
      </c>
      <c r="B66" s="2">
        <v>10.8762</v>
      </c>
      <c r="C66" s="2">
        <v>4.2492</v>
      </c>
    </row>
    <row r="67" ht="15.0" customHeight="1">
      <c r="A67" s="2" t="s">
        <v>2573</v>
      </c>
      <c r="B67" s="2">
        <v>10.904</v>
      </c>
      <c r="C67" s="2">
        <v>4.2166</v>
      </c>
    </row>
    <row r="68" ht="15.0" customHeight="1">
      <c r="A68" s="2" t="s">
        <v>2574</v>
      </c>
      <c r="B68" s="2">
        <v>11.3135</v>
      </c>
      <c r="C68" s="2">
        <v>4.2252</v>
      </c>
    </row>
    <row r="69" ht="15.0" customHeight="1">
      <c r="A69" s="6" t="s">
        <v>2575</v>
      </c>
    </row>
    <row r="70" ht="15.0" customHeight="1">
      <c r="A70" s="6" t="s">
        <v>2576</v>
      </c>
    </row>
    <row r="71" ht="15.0" customHeight="1">
      <c r="A71" s="6" t="s">
        <v>2577</v>
      </c>
    </row>
    <row r="72" ht="15.0" customHeight="1">
      <c r="A72" s="6" t="s">
        <v>2578</v>
      </c>
    </row>
    <row r="73" ht="15.75" customHeight="1">
      <c r="A73" s="2"/>
    </row>
    <row r="74" ht="15.0" customHeight="1">
      <c r="A74" s="4" t="s">
        <v>2579</v>
      </c>
    </row>
    <row r="75" ht="15.0" customHeight="1">
      <c r="A75" s="5" t="s">
        <v>119</v>
      </c>
      <c r="B75" s="5" t="s">
        <v>15</v>
      </c>
      <c r="C75" s="5" t="s">
        <v>17</v>
      </c>
      <c r="D75" s="5" t="s">
        <v>19</v>
      </c>
      <c r="E75" s="5" t="s">
        <v>21</v>
      </c>
      <c r="F75" s="5" t="s">
        <v>2580</v>
      </c>
      <c r="G75" s="5" t="s">
        <v>2581</v>
      </c>
      <c r="H75" s="5" t="s">
        <v>2582</v>
      </c>
      <c r="I75" s="5" t="s">
        <v>2583</v>
      </c>
      <c r="J75" s="5" t="s">
        <v>2584</v>
      </c>
      <c r="K75" s="5" t="s">
        <v>2585</v>
      </c>
      <c r="L75" s="5" t="s">
        <v>2586</v>
      </c>
      <c r="M75" s="5" t="s">
        <v>2587</v>
      </c>
      <c r="N75" s="5" t="s">
        <v>2588</v>
      </c>
      <c r="O75" s="5" t="s">
        <v>2589</v>
      </c>
    </row>
    <row r="76" ht="15.0" customHeight="1">
      <c r="A76" s="2" t="s">
        <v>2590</v>
      </c>
      <c r="B76" s="2">
        <v>11.65</v>
      </c>
      <c r="C76" s="2">
        <v>8.29</v>
      </c>
      <c r="D76" s="2">
        <v>12.25</v>
      </c>
      <c r="E76" s="2">
        <v>15.99</v>
      </c>
      <c r="F76" s="2">
        <v>10.08</v>
      </c>
      <c r="G76" s="2">
        <v>9.25</v>
      </c>
      <c r="H76" s="2">
        <v>8.22</v>
      </c>
      <c r="I76" s="2">
        <v>6.48</v>
      </c>
      <c r="J76" s="2">
        <v>10.75</v>
      </c>
      <c r="K76" s="2">
        <v>11.98</v>
      </c>
      <c r="L76" s="2">
        <v>9.47</v>
      </c>
      <c r="M76" s="2">
        <v>11.01</v>
      </c>
      <c r="N76" s="2">
        <v>11.1</v>
      </c>
      <c r="O76" s="2">
        <v>9.33</v>
      </c>
    </row>
    <row r="77" ht="15.75" customHeight="1">
      <c r="A77" s="2"/>
    </row>
    <row r="78" ht="15.0" customHeight="1">
      <c r="A78" s="4" t="s">
        <v>2591</v>
      </c>
    </row>
    <row r="79" ht="15.0" customHeight="1">
      <c r="A79" s="6" t="s">
        <v>2592</v>
      </c>
    </row>
    <row r="80" ht="15.0" customHeight="1">
      <c r="A80" s="6" t="s">
        <v>2593</v>
      </c>
    </row>
    <row r="81" ht="15.0" customHeight="1">
      <c r="A81" s="6" t="s">
        <v>2594</v>
      </c>
    </row>
    <row r="82" ht="15.0" customHeight="1">
      <c r="A82" s="6" t="s">
        <v>2595</v>
      </c>
    </row>
    <row r="83" ht="15.0" customHeight="1">
      <c r="A83" s="6" t="s">
        <v>2596</v>
      </c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 ht="17.25" customHeight="1">
      <c r="A1" s="7" t="s">
        <v>2597</v>
      </c>
    </row>
    <row r="2">
      <c r="A2" s="2"/>
    </row>
    <row r="3" ht="15.0" customHeight="1">
      <c r="A3" s="4" t="s">
        <v>2598</v>
      </c>
    </row>
    <row r="4" ht="15.0" customHeight="1">
      <c r="A4" s="6" t="s">
        <v>2599</v>
      </c>
    </row>
    <row r="5" ht="15.0" customHeight="1">
      <c r="A5" s="6" t="s">
        <v>2600</v>
      </c>
    </row>
    <row r="6" ht="15.0" customHeight="1">
      <c r="A6" s="6" t="s">
        <v>2601</v>
      </c>
    </row>
    <row r="7" ht="15.0" customHeight="1">
      <c r="A7" s="6" t="s">
        <v>2602</v>
      </c>
    </row>
    <row r="8" ht="15.0" customHeight="1">
      <c r="A8" s="6" t="s">
        <v>2603</v>
      </c>
    </row>
    <row r="9">
      <c r="A9" s="2"/>
    </row>
    <row r="10" ht="15.0" customHeight="1">
      <c r="A10" s="4" t="s">
        <v>2604</v>
      </c>
    </row>
    <row r="11" ht="15.0" customHeight="1">
      <c r="A11" s="6" t="s">
        <v>2605</v>
      </c>
    </row>
    <row r="12" ht="15.0" customHeight="1">
      <c r="A12" s="6" t="s">
        <v>2606</v>
      </c>
    </row>
    <row r="13" ht="15.0" customHeight="1">
      <c r="A13" s="6" t="s">
        <v>2607</v>
      </c>
    </row>
    <row r="14" ht="15.0" customHeight="1">
      <c r="A14" s="6" t="s">
        <v>2608</v>
      </c>
    </row>
    <row r="15" ht="15.0" customHeight="1">
      <c r="A15" s="6" t="s">
        <v>2609</v>
      </c>
    </row>
    <row r="16" ht="15.0" customHeight="1">
      <c r="A16" s="6" t="s">
        <v>2610</v>
      </c>
    </row>
    <row r="17" ht="15.0" customHeight="1">
      <c r="A17" s="6" t="s">
        <v>2611</v>
      </c>
    </row>
    <row r="18">
      <c r="A18" s="2"/>
    </row>
    <row r="19" ht="15.0" customHeight="1">
      <c r="A19" s="4" t="s">
        <v>2612</v>
      </c>
    </row>
    <row r="20" ht="15.0" customHeight="1">
      <c r="A20" s="6" t="s">
        <v>2613</v>
      </c>
    </row>
    <row r="21" ht="15.0" customHeight="1">
      <c r="A21" s="6" t="s">
        <v>2614</v>
      </c>
    </row>
    <row r="22" ht="15.0" customHeight="1">
      <c r="A22" s="6" t="s">
        <v>2615</v>
      </c>
    </row>
    <row r="23" ht="15.0" customHeight="1">
      <c r="A23" s="6" t="s">
        <v>2616</v>
      </c>
    </row>
    <row r="24" ht="15.0" customHeight="1">
      <c r="A24" s="6" t="s">
        <v>2617</v>
      </c>
    </row>
    <row r="25" ht="15.0" customHeight="1">
      <c r="A25" s="6" t="s">
        <v>2618</v>
      </c>
    </row>
    <row r="26" ht="15.75" customHeight="1">
      <c r="A26" s="2"/>
    </row>
    <row r="27" ht="15.0" customHeight="1">
      <c r="A27" s="4" t="s">
        <v>2619</v>
      </c>
    </row>
    <row r="28" ht="15.0" customHeight="1">
      <c r="A28" s="6" t="s">
        <v>2620</v>
      </c>
    </row>
    <row r="29" ht="15.0" customHeight="1">
      <c r="A29" s="6" t="s">
        <v>2621</v>
      </c>
    </row>
    <row r="30" ht="15.0" customHeight="1">
      <c r="A30" s="6" t="s">
        <v>2622</v>
      </c>
    </row>
    <row r="31" ht="15.0" customHeight="1">
      <c r="A31" s="6" t="s">
        <v>2623</v>
      </c>
    </row>
    <row r="32" ht="15.0" customHeight="1">
      <c r="A32" s="6" t="s">
        <v>2624</v>
      </c>
    </row>
    <row r="33" ht="15.0" customHeight="1">
      <c r="A33" s="6" t="s">
        <v>2625</v>
      </c>
    </row>
    <row r="34" ht="15.0" customHeight="1">
      <c r="A34" s="6" t="s">
        <v>2626</v>
      </c>
    </row>
    <row r="35" ht="15.0" customHeight="1">
      <c r="A35" s="6" t="s">
        <v>2627</v>
      </c>
    </row>
    <row r="36" ht="15.0" customHeight="1">
      <c r="A36" s="6" t="s">
        <v>2628</v>
      </c>
    </row>
    <row r="37" ht="15.0" customHeight="1">
      <c r="A37" s="6" t="s">
        <v>2629</v>
      </c>
    </row>
    <row r="38" ht="15.0" customHeight="1">
      <c r="A38" s="6" t="s">
        <v>2630</v>
      </c>
    </row>
    <row r="39" ht="15.0" customHeight="1">
      <c r="A39" s="6" t="s">
        <v>2631</v>
      </c>
    </row>
    <row r="40" ht="15.0" customHeight="1">
      <c r="A40" s="6" t="s">
        <v>2632</v>
      </c>
    </row>
    <row r="41" ht="15.0" customHeight="1">
      <c r="A41" s="6" t="s">
        <v>2633</v>
      </c>
    </row>
    <row r="42" ht="15.0" customHeight="1">
      <c r="A42" s="6" t="s">
        <v>2634</v>
      </c>
    </row>
    <row r="43" ht="15.75" customHeight="1">
      <c r="A43" s="2"/>
    </row>
    <row r="44" ht="15.75" customHeight="1">
      <c r="A44" s="4" t="s">
        <v>2635</v>
      </c>
    </row>
    <row r="45" ht="15.75" customHeight="1">
      <c r="A45" s="6" t="s">
        <v>2636</v>
      </c>
    </row>
    <row r="46" ht="15.75" customHeight="1">
      <c r="A46" s="6" t="s">
        <v>2637</v>
      </c>
    </row>
    <row r="47" ht="15.75" customHeight="1">
      <c r="A47" s="6" t="s">
        <v>2638</v>
      </c>
    </row>
    <row r="48" ht="15.75" customHeight="1">
      <c r="A48" s="6" t="s">
        <v>2639</v>
      </c>
    </row>
    <row r="49" ht="15.75" customHeight="1">
      <c r="A49" s="6" t="s">
        <v>2640</v>
      </c>
    </row>
    <row r="50" ht="15.75" customHeight="1">
      <c r="A50" s="6" t="s">
        <v>2641</v>
      </c>
    </row>
    <row r="51" ht="15.75" customHeight="1">
      <c r="A51" s="6" t="s">
        <v>2642</v>
      </c>
    </row>
    <row r="52" ht="15.75" customHeight="1">
      <c r="A52" s="6" t="s">
        <v>2643</v>
      </c>
    </row>
    <row r="53" ht="15.75" customHeight="1">
      <c r="A53" s="6" t="s">
        <v>2644</v>
      </c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26" width="8.71"/>
  </cols>
  <sheetData>
    <row r="1" ht="17.25" customHeight="1">
      <c r="A1" s="7" t="s">
        <v>2645</v>
      </c>
      <c r="B1" s="2"/>
    </row>
    <row r="2">
      <c r="A2" s="2"/>
      <c r="B2" s="2"/>
    </row>
    <row r="3" ht="23.25" customHeight="1">
      <c r="A3" s="4" t="s">
        <v>2646</v>
      </c>
      <c r="B3" s="29" t="s">
        <v>2647</v>
      </c>
    </row>
    <row r="4" ht="23.25" customHeight="1">
      <c r="A4" s="4" t="s">
        <v>2648</v>
      </c>
      <c r="B4" s="29" t="s">
        <v>2649</v>
      </c>
    </row>
    <row r="5" ht="23.25" customHeight="1">
      <c r="A5" s="4" t="s">
        <v>2650</v>
      </c>
      <c r="B5" s="29" t="s">
        <v>2651</v>
      </c>
    </row>
    <row r="6" ht="23.25" customHeight="1">
      <c r="A6" s="4" t="s">
        <v>2652</v>
      </c>
      <c r="B6" s="29" t="s">
        <v>2653</v>
      </c>
    </row>
    <row r="7" ht="23.25" customHeight="1">
      <c r="A7" s="4" t="s">
        <v>2654</v>
      </c>
      <c r="B7" s="29" t="s">
        <v>2655</v>
      </c>
    </row>
    <row r="8" ht="23.25" customHeight="1">
      <c r="A8" s="4" t="s">
        <v>2656</v>
      </c>
      <c r="B8" s="29" t="s">
        <v>2657</v>
      </c>
    </row>
    <row r="9" ht="23.25" customHeight="1">
      <c r="A9" s="4" t="s">
        <v>2658</v>
      </c>
      <c r="B9" s="29" t="s">
        <v>2659</v>
      </c>
    </row>
    <row r="10" ht="23.25" customHeight="1">
      <c r="A10" s="4" t="s">
        <v>2660</v>
      </c>
      <c r="B10" s="29" t="s">
        <v>2661</v>
      </c>
    </row>
    <row r="11" ht="23.25" customHeight="1">
      <c r="A11" s="4" t="s">
        <v>2662</v>
      </c>
      <c r="B11" s="29" t="s">
        <v>2663</v>
      </c>
    </row>
    <row r="12" ht="23.25" customHeight="1">
      <c r="A12" s="4" t="s">
        <v>2664</v>
      </c>
      <c r="B12" s="29" t="s">
        <v>2665</v>
      </c>
    </row>
    <row r="13" ht="15.0" customHeight="1">
      <c r="A13" s="4" t="s">
        <v>65</v>
      </c>
      <c r="B13" s="29" t="s">
        <v>2666</v>
      </c>
    </row>
    <row r="14" ht="23.25" customHeight="1">
      <c r="A14" s="4" t="s">
        <v>2667</v>
      </c>
      <c r="B14" s="29" t="s">
        <v>2668</v>
      </c>
    </row>
    <row r="15" ht="23.25" customHeight="1">
      <c r="A15" s="4" t="s">
        <v>2669</v>
      </c>
      <c r="B15" s="29" t="s">
        <v>2670</v>
      </c>
    </row>
    <row r="16" ht="23.25" customHeight="1">
      <c r="A16" s="4" t="s">
        <v>2671</v>
      </c>
      <c r="B16" s="29" t="s">
        <v>2672</v>
      </c>
    </row>
    <row r="17" ht="23.25" customHeight="1">
      <c r="A17" s="4" t="s">
        <v>2673</v>
      </c>
      <c r="B17" s="29" t="s">
        <v>2674</v>
      </c>
    </row>
    <row r="18" ht="34.5" customHeight="1">
      <c r="A18" s="4" t="s">
        <v>2675</v>
      </c>
      <c r="B18" s="29" t="s">
        <v>2676</v>
      </c>
    </row>
    <row r="19" ht="34.5" customHeight="1">
      <c r="A19" s="4" t="s">
        <v>2677</v>
      </c>
      <c r="B19" s="29" t="s">
        <v>2678</v>
      </c>
    </row>
    <row r="20" ht="23.25" customHeight="1">
      <c r="A20" s="4" t="s">
        <v>2679</v>
      </c>
      <c r="B20" s="29" t="s">
        <v>2680</v>
      </c>
    </row>
    <row r="21" ht="34.5" customHeight="1">
      <c r="A21" s="4" t="s">
        <v>2681</v>
      </c>
      <c r="B21" s="29" t="s">
        <v>2682</v>
      </c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26" width="8.71"/>
  </cols>
  <sheetData>
    <row r="1" ht="15.0" customHeight="1">
      <c r="A1" s="5" t="s">
        <v>2683</v>
      </c>
      <c r="B1" s="5" t="s">
        <v>56</v>
      </c>
      <c r="C1" s="5" t="s">
        <v>2684</v>
      </c>
      <c r="D1" s="5" t="s">
        <v>2685</v>
      </c>
    </row>
    <row r="2" ht="15.0" customHeight="1">
      <c r="A2" s="2" t="s">
        <v>2686</v>
      </c>
      <c r="B2" s="2" t="s">
        <v>2487</v>
      </c>
      <c r="C2" s="2" t="s">
        <v>2687</v>
      </c>
      <c r="D2" s="2" t="s">
        <v>2688</v>
      </c>
    </row>
    <row r="3" ht="15.0" customHeight="1">
      <c r="A3" s="2" t="s">
        <v>2689</v>
      </c>
      <c r="B3" s="2" t="s">
        <v>2690</v>
      </c>
      <c r="C3" s="2" t="s">
        <v>2691</v>
      </c>
      <c r="D3" s="2" t="s">
        <v>2692</v>
      </c>
    </row>
    <row r="4">
      <c r="A4" s="2" t="inlineStr">
        <is>
          <t>1.1</t>
        </is>
      </c>
      <c r="B4" s="2" t="inlineStr">
        <is>
          <t>2026-07-23</t>
        </is>
      </c>
      <c r="C4" s="2" t="inlineStr">
        <is>
          <t xml:space="preserve">Version-label alignment (documentation only). START HERE banner corrected from (v1.0) to (v1.1) to match the canonical version proven across CHANGELOG latest entry 1.1, SETTINGS parameter-freeze note (frozen as of v1.1, 2026-07-13), DICTIONARY v1.1 sections, AUDIT V1.1 safety-pass test report, and BACKTEST parameter freeze v1.1. No formulas, weights, thresholds, methodology, schedule, sample/backtest data, QB values, adjustments, ratings, or settings changed. Historical v1.0 references (BACKTEST archive values A82/A83, AUDIT v1.0 test report A27/A45, HISTORY 2025 spread-provenance note A2) intentionally left untouched.</t>
        </is>
      </c>
      <c r="D4" s="2" t="inlineStr">
        <is>
          <t xml:space="preserve">None. Documentation-only banner correction; model outputs and backtest metrics unchanged (Spread MAE 10.376; Totals MAE 10.787).</t>
        </is>
      </c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